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comments5.xml" ContentType="application/vnd.openxmlformats-officedocument.spreadsheetml.comments+xml"/>
  <Override PartName="/xl/comments2.xml" ContentType="application/vnd.openxmlformats-officedocument.spreadsheetml.comments+xml"/>
  <Override PartName="/xl/comments12.xml" ContentType="application/vnd.openxmlformats-officedocument.spreadsheetml.comments+xml"/>
  <Override PartName="/xl/comments4.xml" ContentType="application/vnd.openxmlformats-officedocument.spreadsheetml.comments+xml"/>
  <Override PartName="/xl/comments14.xml" ContentType="application/vnd.openxmlformats-officedocument.spreadsheetml.comments+xml"/>
  <Override PartName="/xl/media/image1.wmf" ContentType="image/x-wmf"/>
  <Override PartName="/xl/drawings/vmlDrawing12.vml" ContentType="application/vnd.openxmlformats-officedocument.vmlDrawing"/>
  <Override PartName="/xl/drawings/vmlDrawing11.vml" ContentType="application/vnd.openxmlformats-officedocument.vmlDrawing"/>
  <Override PartName="/xl/drawings/vmlDrawing10.vml" ContentType="application/vnd.openxmlformats-officedocument.vmlDrawing"/>
  <Override PartName="/xl/drawings/vmlDrawing9.vml" ContentType="application/vnd.openxmlformats-officedocument.vmlDrawing"/>
  <Override PartName="/xl/drawings/vmlDrawing8.vml" ContentType="application/vnd.openxmlformats-officedocument.vmlDrawing"/>
  <Override PartName="/xl/drawings/vmlDrawing7.vml" ContentType="application/vnd.openxmlformats-officedocument.vmlDrawing"/>
  <Override PartName="/xl/drawings/vmlDrawing18.vml" ContentType="application/vnd.openxmlformats-officedocument.vmlDrawing"/>
  <Override PartName="/xl/drawings/vmlDrawing4.vml" ContentType="application/vnd.openxmlformats-officedocument.vmlDrawing"/>
  <Override PartName="/xl/drawings/vmlDrawing17.vml" ContentType="application/vnd.openxmlformats-officedocument.vmlDrawing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16.vml" ContentType="application/vnd.openxmlformats-officedocument.vmlDrawing"/>
  <Override PartName="/xl/drawings/_rels/drawing1.xml.rels" ContentType="application/vnd.openxmlformats-package.relationships+xml"/>
  <Override PartName="/xl/drawings/vmlDrawing2.vml" ContentType="application/vnd.openxmlformats-officedocument.vmlDrawing"/>
  <Override PartName="/xl/drawings/vmlDrawing15.vml" ContentType="application/vnd.openxmlformats-officedocument.vmlDrawing"/>
  <Override PartName="/xl/drawings/vmlDrawing1.vml" ContentType="application/vnd.openxmlformats-officedocument.vmlDrawing"/>
  <Override PartName="/xl/drawings/vmlDrawing14.vml" ContentType="application/vnd.openxmlformats-officedocument.vmlDrawing"/>
  <Override PartName="/xl/drawings/vmlDrawing13.vml" ContentType="application/vnd.openxmlformats-officedocument.vmlDrawing"/>
  <Override PartName="/xl/drawings/vmlDrawing5.vml" ContentType="application/vnd.openxmlformats-officedocument.vmlDrawing"/>
  <Override PartName="/xl/drawings/vmlDrawing6.vml" ContentType="application/vnd.openxmlformats-officedocument.vmlDrawing"/>
  <Override PartName="/xl/sharedStrings.xml" ContentType="application/vnd.openxmlformats-officedocument.spreadsheetml.sharedStrings+xml"/>
  <Override PartName="/xl/comments6.xml" ContentType="application/vnd.openxmlformats-officedocument.spreadsheetml.comments+xml"/>
  <Override PartName="/xl/styles.xml" ContentType="application/vnd.openxmlformats-officedocument.spreadsheetml.styles+xml"/>
  <Override PartName="/xl/comments16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_rels/externalLink4.xml.rels" ContentType="application/vnd.openxmlformats-package.relationships+xml"/>
  <Override PartName="/xl/externalLinks/_rels/externalLink3.xml.rels" ContentType="application/vnd.openxmlformats-package.relationships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4.xml" ContentType="application/vnd.openxmlformats-officedocument.spreadsheetml.externalLink+xml"/>
  <Override PartName="/xl/comments17.xml" ContentType="application/vnd.openxmlformats-officedocument.spreadsheetml.comments+xml"/>
  <Override PartName="/xl/comments11.xml" ContentType="application/vnd.openxmlformats-officedocument.spreadsheetml.comments+xml"/>
  <Override PartName="/xl/comments10.xml" ContentType="application/vnd.openxmlformats-officedocument.spreadsheetml.comments+xml"/>
  <Override PartName="/xl/workbook.xml" ContentType="application/vnd.openxmlformats-officedocument.spreadsheetml.sheet.main+xml"/>
  <Override PartName="/xl/comments20.xml" ContentType="application/vnd.openxmlformats-officedocument.spreadsheetml.comments+xml"/>
  <Override PartName="/xl/comments18.xml" ContentType="application/vnd.openxmlformats-officedocument.spreadsheetml.comments+xml"/>
  <Override PartName="/xl/comments8.xml" ContentType="application/vnd.openxmlformats-officedocument.spreadsheetml.comments+xml"/>
  <Override PartName="/xl/theme/theme1.xml" ContentType="application/vnd.openxmlformats-officedocument.theme+xml"/>
  <Override PartName="/xl/comments3.xml" ContentType="application/vnd.openxmlformats-officedocument.spreadsheetml.comments+xml"/>
  <Override PartName="/xl/comments13.xml" ContentType="application/vnd.openxmlformats-officedocument.spreadsheetml.comments+xml"/>
  <Override PartName="/xl/worksheets/_rels/sheet8.xml.rels" ContentType="application/vnd.openxmlformats-package.relationships+xml"/>
  <Override PartName="/xl/worksheets/_rels/sheet13.xml.rels" ContentType="application/vnd.openxmlformats-package.relationships+xml"/>
  <Override PartName="/xl/worksheets/_rels/sheet12.xml.rels" ContentType="application/vnd.openxmlformats-package.relationships+xml"/>
  <Override PartName="/xl/worksheets/_rels/sheet4.xml.rels" ContentType="application/vnd.openxmlformats-package.relationships+xml"/>
  <Override PartName="/xl/worksheets/_rels/sheet1.xml.rels" ContentType="application/vnd.openxmlformats-package.relationships+xml"/>
  <Override PartName="/xl/worksheets/_rels/sheet16.xml.rels" ContentType="application/vnd.openxmlformats-package.relationships+xml"/>
  <Override PartName="/xl/worksheets/_rels/sheet11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worksheets/_rels/sheet10.xml.rels" ContentType="application/vnd.openxmlformats-package.relationships+xml"/>
  <Override PartName="/xl/worksheets/_rels/sheet9.xml.rels" ContentType="application/vnd.openxmlformats-package.relationships+xml"/>
  <Override PartName="/xl/worksheets/_rels/sheet14.xml.rels" ContentType="application/vnd.openxmlformats-package.relationships+xml"/>
  <Override PartName="/xl/worksheets/_rels/sheet3.xml.rels" ContentType="application/vnd.openxmlformats-package.relationships+xml"/>
  <Override PartName="/xl/worksheets/_rels/sheet21.xml.rels" ContentType="application/vnd.openxmlformats-package.relationships+xml"/>
  <Override PartName="/xl/worksheets/_rels/sheet19.xml.rels" ContentType="application/vnd.openxmlformats-package.relationships+xml"/>
  <Override PartName="/xl/worksheets/_rels/sheet2.xml.rels" ContentType="application/vnd.openxmlformats-package.relationships+xml"/>
  <Override PartName="/xl/worksheets/_rels/sheet20.xml.rels" ContentType="application/vnd.openxmlformats-package.relationships+xml"/>
  <Override PartName="/xl/worksheets/_rels/sheet18.xml.rels" ContentType="application/vnd.openxmlformats-package.relationships+xml"/>
  <Override PartName="/xl/worksheets/_rels/sheet17.xml.rels" ContentType="application/vnd.openxmlformats-package.relationships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8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7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19.xml" ContentType="application/vnd.openxmlformats-officedocument.spreadsheetml.comments+xml"/>
  <Override PartName="/xl/comments9.xml" ContentType="application/vnd.openxmlformats-officedocument.spreadsheetml.comments+xml"/>
  <Override PartName="/xl/comments21.xml" ContentType="application/vnd.openxmlformats-officedocument.spreadsheetml.comment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ummary" sheetId="1" state="visible" r:id="rId3"/>
    <sheet name="SC Total Power" sheetId="2" state="visible" r:id="rId4"/>
    <sheet name="Arg Total Power" sheetId="3" state="visible" r:id="rId5"/>
    <sheet name="RAC V@r Total" sheetId="4" state="visible" r:id="rId6"/>
    <sheet name="SC Total Gas" sheetId="5" state="visible" r:id="rId7"/>
    <sheet name="ARG Gas Firm" sheetId="6" state="visible" r:id="rId8"/>
    <sheet name="ARG Gas Transport" sheetId="7" state="visible" r:id="rId9"/>
    <sheet name="ARG Gas IM" sheetId="8" state="visible" r:id="rId10"/>
    <sheet name="EZE Power Trading" sheetId="9" state="visible" r:id="rId11"/>
    <sheet name="Rio Cuarto Power Trading" sheetId="10" state="visible" r:id="rId12"/>
    <sheet name="Modesto Maranzana Power" sheetId="11" state="visible" r:id="rId13"/>
    <sheet name="MM PLANT" sheetId="12" state="visible" r:id="rId14"/>
    <sheet name="Plant Manager" sheetId="13" state="visible" r:id="rId15"/>
    <sheet name="BRA Power" sheetId="14" state="visible" r:id="rId16"/>
    <sheet name="ELETROBOLT" sheetId="15" state="visible" r:id="rId17"/>
    <sheet name="BRA PWR Certificates" sheetId="16" state="visible" r:id="rId18"/>
    <sheet name="CRD Hedge" sheetId="17" state="visible" r:id="rId19"/>
    <sheet name="GNS Bolv Gas MTM" sheetId="18" state="visible" r:id="rId20"/>
    <sheet name="SC Gas MTM" sheetId="19" state="visible" r:id="rId21"/>
    <sheet name="TBS Gas MTM" sheetId="20" state="visible" r:id="rId22"/>
    <sheet name="TBS CRD MTM" sheetId="21" state="visible" r:id="rId23"/>
    <sheet name="Master Data" sheetId="22" state="visible" r:id="rId24"/>
  </sheets>
  <externalReferences>
    <externalReference r:id="rId25"/>
    <externalReference r:id="rId26"/>
    <externalReference r:id="rId27"/>
    <externalReference r:id="rId28"/>
  </externalReferences>
  <definedNames>
    <definedName function="false" hidden="false" localSheetId="0" name="_xlnm.Print_Area" vbProcedure="false">Summary!$B$2:$R$57</definedName>
    <definedName function="false" hidden="true" localSheetId="0" name="_xlnm._FilterDatabase" vbProcedure="false">Summary!$A$1:$T$61</definedName>
    <definedName function="false" hidden="false" name="ComposeOrNot" vbProcedure="false">'[4]'!$A$7:$A$19</definedName>
    <definedName function="false" hidden="false" name="ComposeOrNotIndex" vbProcedure="false">'[4]'!$A$7</definedName>
    <definedName function="false" hidden="false" name="ComposeResult" vbProcedure="false">'[4]'!$G$7:$G$19</definedName>
    <definedName function="false" hidden="false" name="Excel_BuiltIn_Print_Area" vbProcedure="false">'[3]'!B1:$IW$2</definedName>
    <definedName function="false" hidden="false" name="Excel_BuiltIn_Print_Titles" vbProcedure="false">'[3]'!$A$1</definedName>
    <definedName function="false" hidden="false" name="NumberOfCopies" vbProcedure="false">'[3]'!$C$2</definedName>
    <definedName function="false" hidden="false" name="PhoneNumbers" vbProcedure="false">'[1]Orig Sched '!$O$2:$O$14</definedName>
    <definedName function="false" hidden="false" name="PrintOrNot" vbProcedure="false">'[3]'!$A$5:$A$20</definedName>
    <definedName function="false" hidden="false" name="PrintOrNotIndex" vbProcedure="false">'[3]'!$A$5</definedName>
    <definedName function="false" hidden="false" name="PrintResult" vbProcedure="false">'[3]'!$E$5:$E$20</definedName>
    <definedName function="false" hidden="false" name="RollLiquids" vbProcedure="false">RollLiquids</definedName>
    <definedName function="false" hidden="false" localSheetId="0" name="RollLiquids" vbProcedure="false">RollLiquids</definedName>
    <definedName function="false" hidden="false" localSheetId="0" name="summary" vbProcedure="false">Summary!$B$2:$R$42</definedName>
    <definedName function="false" hidden="false" localSheetId="1" name="RollLiquids" vbProcedure="false">RollLiquids</definedName>
    <definedName function="false" hidden="false" localSheetId="2" name="RollLiquids" vbProcedure="false">RollLiquids</definedName>
    <definedName function="false" hidden="false" localSheetId="3" name="Excel_BuiltIn__FilterDatabase" vbProcedure="false">'RAC V@r Total'!$P$3:$U$371</definedName>
    <definedName function="false" hidden="false" localSheetId="3" name="RollLiquids" vbProcedure="false">RollLiquids</definedName>
    <definedName function="false" hidden="false" localSheetId="4" name="RollLiquids" vbProcedure="false">RollLiquids</definedName>
    <definedName function="false" hidden="false" localSheetId="6" name="RollLiquids" vbProcedure="false">RollLiquids</definedName>
    <definedName function="false" hidden="false" localSheetId="7" name="RollLiquids" vbProcedure="false">RollLiquids</definedName>
    <definedName function="false" hidden="false" localSheetId="8" name="RollLiquids" vbProcedure="false">RollLiquids</definedName>
    <definedName function="false" hidden="false" localSheetId="9" name="RollLiquids" vbProcedure="false">RollLiquids</definedName>
    <definedName function="false" hidden="false" localSheetId="10" name="RollLiquids" vbProcedure="false">RollLiquids</definedName>
    <definedName function="false" hidden="false" localSheetId="11" name="RollLiquids" vbProcedure="false">RollLiquids</definedName>
    <definedName function="false" hidden="false" localSheetId="12" name="RollLiquids" vbProcedure="false">RollLiquids</definedName>
    <definedName function="false" hidden="false" localSheetId="13" name="RollLiquids" vbProcedure="false">RollLiquids</definedName>
    <definedName function="false" hidden="false" localSheetId="14" name="RollLiquids" vbProcedure="false">RollLiquids</definedName>
    <definedName function="false" hidden="false" localSheetId="15" name="RollLiquids" vbProcedure="false">RollLiquids</definedName>
    <definedName function="false" hidden="false" localSheetId="16" name="RollLiquids" vbProcedure="false">RollLiquids</definedName>
    <definedName function="false" hidden="false" localSheetId="17" name="RollLiquids" vbProcedure="false">RollLiquids</definedName>
    <definedName function="false" hidden="false" localSheetId="18" name="RollLiquids" vbProcedure="false">RollLiquids</definedName>
    <definedName function="false" hidden="false" localSheetId="19" name="RollLiquids" vbProcedure="false">RollLiquids</definedName>
    <definedName function="false" hidden="false" localSheetId="20" name="RollLiquids" vbProcedure="false">RollLiquids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0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report top page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303</xdr:row>
                <xdr:rowOff>7</xdr:rowOff>
              </xdr:from>
              <xdr:to>
                <xdr:col>5</xdr:col>
                <xdr:colOff>69</xdr:colOff>
                <xdr:row>307</xdr:row>
                <xdr:rowOff>13</xdr:rowOff>
              </xdr:to>
            </anchor>
          </commentPr>
        </mc:Choice>
        <mc:Fallback/>
      </mc:AlternateContent>
    </comment>
    <comment ref="D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7</xdr:rowOff>
              </xdr:from>
              <xdr:to>
                <xdr:col>5</xdr:col>
                <xdr:colOff>69</xdr:colOff>
                <xdr:row>321</xdr:row>
                <xdr:rowOff>13</xdr:rowOff>
              </xdr:to>
            </anchor>
          </commentPr>
        </mc:Choice>
        <mc:Fallback/>
      </mc:AlternateContent>
    </comment>
    <comment ref="D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322</xdr:row>
                <xdr:rowOff>7</xdr:rowOff>
              </xdr:from>
              <xdr:to>
                <xdr:col>5</xdr:col>
                <xdr:colOff>69</xdr:colOff>
                <xdr:row>326</xdr:row>
                <xdr:rowOff>13</xdr:rowOff>
              </xdr:to>
            </anchor>
          </commentPr>
        </mc:Choice>
        <mc:Fallback/>
      </mc:AlternateContent>
    </comment>
    <comment ref="D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323</xdr:row>
                <xdr:rowOff>7</xdr:rowOff>
              </xdr:from>
              <xdr:to>
                <xdr:col>5</xdr:col>
                <xdr:colOff>69</xdr:colOff>
                <xdr:row>327</xdr:row>
                <xdr:rowOff>13</xdr:rowOff>
              </xdr:to>
            </anchor>
          </commentPr>
        </mc:Choice>
        <mc:Fallback/>
      </mc:AlternateContent>
    </comment>
    <comment ref="D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324</xdr:row>
                <xdr:rowOff>7</xdr:rowOff>
              </xdr:from>
              <xdr:to>
                <xdr:col>5</xdr:col>
                <xdr:colOff>69</xdr:colOff>
                <xdr:row>328</xdr:row>
                <xdr:rowOff>13</xdr:rowOff>
              </xdr:to>
            </anchor>
          </commentPr>
        </mc:Choice>
        <mc:Fallback/>
      </mc:AlternateContent>
    </comment>
    <comment ref="D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325</xdr:row>
                <xdr:rowOff>7</xdr:rowOff>
              </xdr:from>
              <xdr:to>
                <xdr:col>5</xdr:col>
                <xdr:colOff>69</xdr:colOff>
                <xdr:row>329</xdr:row>
                <xdr:rowOff>13</xdr:rowOff>
              </xdr:to>
            </anchor>
          </commentPr>
        </mc:Choice>
        <mc:Fallback/>
      </mc:AlternateContent>
    </comment>
    <comment ref="D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326</xdr:row>
                <xdr:rowOff>7</xdr:rowOff>
              </xdr:from>
              <xdr:to>
                <xdr:col>5</xdr:col>
                <xdr:colOff>69</xdr:colOff>
                <xdr:row>330</xdr:row>
                <xdr:rowOff>13</xdr:rowOff>
              </xdr:to>
            </anchor>
          </commentPr>
        </mc:Choice>
        <mc:Fallback/>
      </mc:AlternateContent>
    </comment>
    <comment ref="D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329</xdr:row>
                <xdr:rowOff>7</xdr:rowOff>
              </xdr:from>
              <xdr:to>
                <xdr:col>5</xdr:col>
                <xdr:colOff>69</xdr:colOff>
                <xdr:row>333</xdr:row>
                <xdr:rowOff>13</xdr:rowOff>
              </xdr:to>
            </anchor>
          </commentPr>
        </mc:Choice>
        <mc:Fallback/>
      </mc:AlternateContent>
    </comment>
    <comment ref="D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330</xdr:row>
                <xdr:rowOff>7</xdr:rowOff>
              </xdr:from>
              <xdr:to>
                <xdr:col>5</xdr:col>
                <xdr:colOff>69</xdr:colOff>
                <xdr:row>334</xdr:row>
                <xdr:rowOff>13</xdr:rowOff>
              </xdr:to>
            </anchor>
          </commentPr>
        </mc:Choice>
        <mc:Fallback/>
      </mc:AlternateContent>
    </comment>
    <comment ref="D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331</xdr:row>
                <xdr:rowOff>7</xdr:rowOff>
              </xdr:from>
              <xdr:to>
                <xdr:col>5</xdr:col>
                <xdr:colOff>69</xdr:colOff>
                <xdr:row>335</xdr:row>
                <xdr:rowOff>13</xdr:rowOff>
              </xdr:to>
            </anchor>
          </commentPr>
        </mc:Choice>
        <mc:Fallback/>
      </mc:AlternateContent>
    </comment>
    <comment ref="D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332</xdr:row>
                <xdr:rowOff>7</xdr:rowOff>
              </xdr:from>
              <xdr:to>
                <xdr:col>5</xdr:col>
                <xdr:colOff>69</xdr:colOff>
                <xdr:row>336</xdr:row>
                <xdr:rowOff>13</xdr:rowOff>
              </xdr:to>
            </anchor>
          </commentPr>
        </mc:Choice>
        <mc:Fallback/>
      </mc:AlternateContent>
    </comment>
    <comment ref="D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333</xdr:row>
                <xdr:rowOff>7</xdr:rowOff>
              </xdr:from>
              <xdr:to>
                <xdr:col>5</xdr:col>
                <xdr:colOff>69</xdr:colOff>
                <xdr:row>337</xdr:row>
                <xdr:rowOff>13</xdr:rowOff>
              </xdr:to>
            </anchor>
          </commentPr>
        </mc:Choice>
        <mc:Fallback/>
      </mc:AlternateContent>
    </comment>
    <comment ref="D17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334</xdr:row>
                <xdr:rowOff>7</xdr:rowOff>
              </xdr:from>
              <xdr:to>
                <xdr:col>5</xdr:col>
                <xdr:colOff>69</xdr:colOff>
                <xdr:row>338</xdr:row>
                <xdr:rowOff>13</xdr:rowOff>
              </xdr:to>
            </anchor>
          </commentPr>
        </mc:Choice>
        <mc:Fallback/>
      </mc:AlternateContent>
    </comment>
    <comment ref="D18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335</xdr:row>
                <xdr:rowOff>7</xdr:rowOff>
              </xdr:from>
              <xdr:to>
                <xdr:col>5</xdr:col>
                <xdr:colOff>69</xdr:colOff>
                <xdr:row>339</xdr:row>
                <xdr:rowOff>13</xdr:rowOff>
              </xdr:to>
            </anchor>
          </commentPr>
        </mc:Choice>
        <mc:Fallback/>
      </mc:AlternateContent>
    </comment>
    <comment ref="D18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336</xdr:row>
                <xdr:rowOff>7</xdr:rowOff>
              </xdr:from>
              <xdr:to>
                <xdr:col>5</xdr:col>
                <xdr:colOff>69</xdr:colOff>
                <xdr:row>340</xdr:row>
                <xdr:rowOff>13</xdr:rowOff>
              </xdr:to>
            </anchor>
          </commentPr>
        </mc:Choice>
        <mc:Fallback/>
      </mc:AlternateContent>
    </comment>
    <comment ref="D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304</xdr:row>
                <xdr:rowOff>7</xdr:rowOff>
              </xdr:from>
              <xdr:to>
                <xdr:col>5</xdr:col>
                <xdr:colOff>69</xdr:colOff>
                <xdr:row>308</xdr:row>
                <xdr:rowOff>13</xdr:rowOff>
              </xdr:to>
            </anchor>
          </commentPr>
        </mc:Choice>
        <mc:Fallback/>
      </mc:AlternateContent>
    </comment>
    <comment ref="D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305</xdr:row>
                <xdr:rowOff>7</xdr:rowOff>
              </xdr:from>
              <xdr:to>
                <xdr:col>5</xdr:col>
                <xdr:colOff>69</xdr:colOff>
                <xdr:row>309</xdr:row>
                <xdr:rowOff>13</xdr:rowOff>
              </xdr:to>
            </anchor>
          </commentPr>
        </mc:Choice>
        <mc:Fallback/>
      </mc:AlternateContent>
    </comment>
    <comment ref="D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306</xdr:row>
                <xdr:rowOff>7</xdr:rowOff>
              </xdr:from>
              <xdr:to>
                <xdr:col>5</xdr:col>
                <xdr:colOff>69</xdr:colOff>
                <xdr:row>310</xdr:row>
                <xdr:rowOff>13</xdr:rowOff>
              </xdr:to>
            </anchor>
          </commentPr>
        </mc:Choice>
        <mc:Fallback/>
      </mc:AlternateContent>
    </comment>
    <comment ref="D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69</xdr:colOff>
                <xdr:row>311</xdr:row>
                <xdr:rowOff>13</xdr:rowOff>
              </xdr:to>
            </anchor>
          </commentPr>
        </mc:Choice>
        <mc:Fallback/>
      </mc:AlternateContent>
    </comment>
    <comment ref="D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69</xdr:colOff>
                <xdr:row>312</xdr:row>
                <xdr:rowOff>13</xdr:rowOff>
              </xdr:to>
            </anchor>
          </commentPr>
        </mc:Choice>
        <mc:Fallback/>
      </mc:AlternateContent>
    </comment>
    <comment ref="D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7</xdr:rowOff>
              </xdr:from>
              <xdr:to>
                <xdr:col>5</xdr:col>
                <xdr:colOff>69</xdr:colOff>
                <xdr:row>313</xdr:row>
                <xdr:rowOff>13</xdr:rowOff>
              </xdr:to>
            </anchor>
          </commentPr>
        </mc:Choice>
        <mc:Fallback/>
      </mc:AlternateContent>
    </comment>
    <comment ref="D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310</xdr:row>
                <xdr:rowOff>7</xdr:rowOff>
              </xdr:from>
              <xdr:to>
                <xdr:col>5</xdr:col>
                <xdr:colOff>69</xdr:colOff>
                <xdr:row>314</xdr:row>
                <xdr:rowOff>13</xdr:rowOff>
              </xdr:to>
            </anchor>
          </commentPr>
        </mc:Choice>
        <mc:Fallback/>
      </mc:AlternateContent>
    </comment>
    <comment ref="D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311</xdr:row>
                <xdr:rowOff>7</xdr:rowOff>
              </xdr:from>
              <xdr:to>
                <xdr:col>5</xdr:col>
                <xdr:colOff>69</xdr:colOff>
                <xdr:row>315</xdr:row>
                <xdr:rowOff>13</xdr:rowOff>
              </xdr:to>
            </anchor>
          </commentPr>
        </mc:Choice>
        <mc:Fallback/>
      </mc:AlternateContent>
    </comment>
    <comment ref="D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7</xdr:rowOff>
              </xdr:from>
              <xdr:to>
                <xdr:col>5</xdr:col>
                <xdr:colOff>69</xdr:colOff>
                <xdr:row>316</xdr:row>
                <xdr:rowOff>13</xdr:rowOff>
              </xdr:to>
            </anchor>
          </commentPr>
        </mc:Choice>
        <mc:Fallback/>
      </mc:AlternateContent>
    </comment>
    <comment ref="D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69</xdr:colOff>
                <xdr:row>317</xdr:row>
                <xdr:rowOff>13</xdr:rowOff>
              </xdr:to>
            </anchor>
          </commentPr>
        </mc:Choice>
        <mc:Fallback/>
      </mc:AlternateContent>
    </comment>
    <comment ref="D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69</xdr:colOff>
                <xdr:row>318</xdr:row>
                <xdr:rowOff>13</xdr:rowOff>
              </xdr:to>
            </anchor>
          </commentPr>
        </mc:Choice>
        <mc:Fallback/>
      </mc:AlternateContent>
    </comment>
    <comment ref="D19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69</xdr:colOff>
                <xdr:row>319</xdr:row>
                <xdr:rowOff>13</xdr:rowOff>
              </xdr:to>
            </anchor>
          </commentPr>
        </mc:Choice>
        <mc:Fallback/>
      </mc:AlternateContent>
    </comment>
    <comment ref="D20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69</xdr:colOff>
                <xdr:row>320</xdr:row>
                <xdr:rowOff>13</xdr:rowOff>
              </xdr:to>
            </anchor>
          </commentPr>
        </mc:Choice>
        <mc:Fallback/>
      </mc:AlternateContent>
    </comment>
    <comment ref="D20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7</xdr:rowOff>
              </xdr:from>
              <xdr:to>
                <xdr:col>5</xdr:col>
                <xdr:colOff>69</xdr:colOff>
                <xdr:row>321</xdr:row>
                <xdr:rowOff>13</xdr:rowOff>
              </xdr:to>
            </anchor>
          </commentPr>
        </mc:Choice>
        <mc:Fallback/>
      </mc:AlternateContent>
    </comment>
    <comment ref="D20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318</xdr:row>
                <xdr:rowOff>7</xdr:rowOff>
              </xdr:from>
              <xdr:to>
                <xdr:col>5</xdr:col>
                <xdr:colOff>69</xdr:colOff>
                <xdr:row>322</xdr:row>
                <xdr:rowOff>13</xdr:rowOff>
              </xdr:to>
            </anchor>
          </commentPr>
        </mc:Choice>
        <mc:Fallback/>
      </mc:AlternateContent>
    </comment>
    <comment ref="D20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319</xdr:row>
                <xdr:rowOff>7</xdr:rowOff>
              </xdr:from>
              <xdr:to>
                <xdr:col>5</xdr:col>
                <xdr:colOff>69</xdr:colOff>
                <xdr:row>323</xdr:row>
                <xdr:rowOff>13</xdr:rowOff>
              </xdr:to>
            </anchor>
          </commentPr>
        </mc:Choice>
        <mc:Fallback/>
      </mc:AlternateContent>
    </comment>
    <comment ref="D20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320</xdr:row>
                <xdr:rowOff>7</xdr:rowOff>
              </xdr:from>
              <xdr:to>
                <xdr:col>5</xdr:col>
                <xdr:colOff>69</xdr:colOff>
                <xdr:row>324</xdr:row>
                <xdr:rowOff>13</xdr:rowOff>
              </xdr:to>
            </anchor>
          </commentPr>
        </mc:Choice>
        <mc:Fallback/>
      </mc:AlternateContent>
    </comment>
    <comment ref="D20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7</xdr:rowOff>
              </xdr:from>
              <xdr:to>
                <xdr:col>5</xdr:col>
                <xdr:colOff>69</xdr:colOff>
                <xdr:row>325</xdr:row>
                <xdr:rowOff>13</xdr:rowOff>
              </xdr:to>
            </anchor>
          </commentPr>
        </mc:Choice>
        <mc:Fallback/>
      </mc:AlternateContent>
    </comment>
    <comment ref="D20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322</xdr:row>
                <xdr:rowOff>7</xdr:rowOff>
              </xdr:from>
              <xdr:to>
                <xdr:col>5</xdr:col>
                <xdr:colOff>69</xdr:colOff>
                <xdr:row>326</xdr:row>
                <xdr:rowOff>13</xdr:rowOff>
              </xdr:to>
            </anchor>
          </commentPr>
        </mc:Choice>
        <mc:Fallback/>
      </mc:AlternateContent>
    </comment>
    <comment ref="D20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323</xdr:row>
                <xdr:rowOff>7</xdr:rowOff>
              </xdr:from>
              <xdr:to>
                <xdr:col>5</xdr:col>
                <xdr:colOff>69</xdr:colOff>
                <xdr:row>327</xdr:row>
                <xdr:rowOff>13</xdr:rowOff>
              </xdr:to>
            </anchor>
          </commentPr>
        </mc:Choice>
        <mc:Fallback/>
      </mc:AlternateContent>
    </comment>
    <comment ref="D20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324</xdr:row>
                <xdr:rowOff>7</xdr:rowOff>
              </xdr:from>
              <xdr:to>
                <xdr:col>5</xdr:col>
                <xdr:colOff>69</xdr:colOff>
                <xdr:row>328</xdr:row>
                <xdr:rowOff>13</xdr:rowOff>
              </xdr:to>
            </anchor>
          </commentPr>
        </mc:Choice>
        <mc:Fallback/>
      </mc:AlternateContent>
    </comment>
    <comment ref="D20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325</xdr:row>
                <xdr:rowOff>7</xdr:rowOff>
              </xdr:from>
              <xdr:to>
                <xdr:col>5</xdr:col>
                <xdr:colOff>69</xdr:colOff>
                <xdr:row>329</xdr:row>
                <xdr:rowOff>13</xdr:rowOff>
              </xdr:to>
            </anchor>
          </commentPr>
        </mc:Choice>
        <mc:Fallback/>
      </mc:AlternateContent>
    </comment>
    <comment ref="D21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326</xdr:row>
                <xdr:rowOff>7</xdr:rowOff>
              </xdr:from>
              <xdr:to>
                <xdr:col>5</xdr:col>
                <xdr:colOff>69</xdr:colOff>
                <xdr:row>330</xdr:row>
                <xdr:rowOff>13</xdr:rowOff>
              </xdr:to>
            </anchor>
          </commentPr>
        </mc:Choice>
        <mc:Fallback/>
      </mc:AlternateContent>
    </comment>
    <comment ref="D21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327</xdr:row>
                <xdr:rowOff>7</xdr:rowOff>
              </xdr:from>
              <xdr:to>
                <xdr:col>5</xdr:col>
                <xdr:colOff>69</xdr:colOff>
                <xdr:row>331</xdr:row>
                <xdr:rowOff>13</xdr:rowOff>
              </xdr:to>
            </anchor>
          </commentPr>
        </mc:Choice>
        <mc:Fallback/>
      </mc:AlternateContent>
    </comment>
    <comment ref="D21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328</xdr:row>
                <xdr:rowOff>7</xdr:rowOff>
              </xdr:from>
              <xdr:to>
                <xdr:col>5</xdr:col>
                <xdr:colOff>69</xdr:colOff>
                <xdr:row>332</xdr:row>
                <xdr:rowOff>13</xdr:rowOff>
              </xdr:to>
            </anchor>
          </commentPr>
        </mc:Choice>
        <mc:Fallback/>
      </mc:AlternateContent>
    </comment>
    <comment ref="D21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329</xdr:row>
                <xdr:rowOff>7</xdr:rowOff>
              </xdr:from>
              <xdr:to>
                <xdr:col>5</xdr:col>
                <xdr:colOff>69</xdr:colOff>
                <xdr:row>333</xdr:row>
                <xdr:rowOff>13</xdr:rowOff>
              </xdr:to>
            </anchor>
          </commentPr>
        </mc:Choice>
        <mc:Fallback/>
      </mc:AlternateContent>
    </comment>
    <comment ref="D21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330</xdr:row>
                <xdr:rowOff>7</xdr:rowOff>
              </xdr:from>
              <xdr:to>
                <xdr:col>5</xdr:col>
                <xdr:colOff>69</xdr:colOff>
                <xdr:row>334</xdr:row>
                <xdr:rowOff>13</xdr:rowOff>
              </xdr:to>
            </anchor>
          </commentPr>
        </mc:Choice>
        <mc:Fallback/>
      </mc:AlternateContent>
    </comment>
    <comment ref="D21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331</xdr:row>
                <xdr:rowOff>7</xdr:rowOff>
              </xdr:from>
              <xdr:to>
                <xdr:col>5</xdr:col>
                <xdr:colOff>69</xdr:colOff>
                <xdr:row>335</xdr:row>
                <xdr:rowOff>13</xdr:rowOff>
              </xdr:to>
            </anchor>
          </commentPr>
        </mc:Choice>
        <mc:Fallback/>
      </mc:AlternateContent>
    </comment>
    <comment ref="D21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7</xdr:rowOff>
              </xdr:from>
              <xdr:to>
                <xdr:col>5</xdr:col>
                <xdr:colOff>69</xdr:colOff>
                <xdr:row>321</xdr:row>
                <xdr:rowOff>13</xdr:rowOff>
              </xdr:to>
            </anchor>
          </commentPr>
        </mc:Choice>
        <mc:Fallback/>
      </mc:AlternateContent>
    </comment>
    <comment ref="D21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318</xdr:row>
                <xdr:rowOff>7</xdr:rowOff>
              </xdr:from>
              <xdr:to>
                <xdr:col>5</xdr:col>
                <xdr:colOff>69</xdr:colOff>
                <xdr:row>322</xdr:row>
                <xdr:rowOff>13</xdr:rowOff>
              </xdr:to>
            </anchor>
          </commentPr>
        </mc:Choice>
        <mc:Fallback/>
      </mc:AlternateContent>
    </comment>
    <comment ref="D21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319</xdr:row>
                <xdr:rowOff>7</xdr:rowOff>
              </xdr:from>
              <xdr:to>
                <xdr:col>5</xdr:col>
                <xdr:colOff>69</xdr:colOff>
                <xdr:row>323</xdr:row>
                <xdr:rowOff>13</xdr:rowOff>
              </xdr:to>
            </anchor>
          </commentPr>
        </mc:Choice>
        <mc:Fallback/>
      </mc:AlternateContent>
    </comment>
    <comment ref="D21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320</xdr:row>
                <xdr:rowOff>7</xdr:rowOff>
              </xdr:from>
              <xdr:to>
                <xdr:col>5</xdr:col>
                <xdr:colOff>69</xdr:colOff>
                <xdr:row>324</xdr:row>
                <xdr:rowOff>13</xdr:rowOff>
              </xdr:to>
            </anchor>
          </commentPr>
        </mc:Choice>
        <mc:Fallback/>
      </mc:AlternateContent>
    </comment>
    <comment ref="D22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7</xdr:rowOff>
              </xdr:from>
              <xdr:to>
                <xdr:col>5</xdr:col>
                <xdr:colOff>69</xdr:colOff>
                <xdr:row>325</xdr:row>
                <xdr:rowOff>13</xdr:rowOff>
              </xdr:to>
            </anchor>
          </commentPr>
        </mc:Choice>
        <mc:Fallback/>
      </mc:AlternateContent>
    </comment>
    <comment ref="D22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322</xdr:row>
                <xdr:rowOff>7</xdr:rowOff>
              </xdr:from>
              <xdr:to>
                <xdr:col>5</xdr:col>
                <xdr:colOff>69</xdr:colOff>
                <xdr:row>326</xdr:row>
                <xdr:rowOff>13</xdr:rowOff>
              </xdr:to>
            </anchor>
          </commentPr>
        </mc:Choice>
        <mc:Fallback/>
      </mc:AlternateContent>
    </comment>
    <comment ref="D22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323</xdr:row>
                <xdr:rowOff>7</xdr:rowOff>
              </xdr:from>
              <xdr:to>
                <xdr:col>5</xdr:col>
                <xdr:colOff>69</xdr:colOff>
                <xdr:row>327</xdr:row>
                <xdr:rowOff>13</xdr:rowOff>
              </xdr:to>
            </anchor>
          </commentPr>
        </mc:Choice>
        <mc:Fallback/>
      </mc:AlternateContent>
    </comment>
    <comment ref="D22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324</xdr:row>
                <xdr:rowOff>7</xdr:rowOff>
              </xdr:from>
              <xdr:to>
                <xdr:col>5</xdr:col>
                <xdr:colOff>69</xdr:colOff>
                <xdr:row>328</xdr:row>
                <xdr:rowOff>13</xdr:rowOff>
              </xdr:to>
            </anchor>
          </commentPr>
        </mc:Choice>
        <mc:Fallback/>
      </mc:AlternateContent>
    </comment>
    <comment ref="D22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325</xdr:row>
                <xdr:rowOff>7</xdr:rowOff>
              </xdr:from>
              <xdr:to>
                <xdr:col>5</xdr:col>
                <xdr:colOff>69</xdr:colOff>
                <xdr:row>329</xdr:row>
                <xdr:rowOff>13</xdr:rowOff>
              </xdr:to>
            </anchor>
          </commentPr>
        </mc:Choice>
        <mc:Fallback/>
      </mc:AlternateContent>
    </comment>
    <comment ref="D22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326</xdr:row>
                <xdr:rowOff>7</xdr:rowOff>
              </xdr:from>
              <xdr:to>
                <xdr:col>5</xdr:col>
                <xdr:colOff>69</xdr:colOff>
                <xdr:row>330</xdr:row>
                <xdr:rowOff>13</xdr:rowOff>
              </xdr:to>
            </anchor>
          </commentPr>
        </mc:Choice>
        <mc:Fallback/>
      </mc:AlternateContent>
    </comment>
    <comment ref="D22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327</xdr:row>
                <xdr:rowOff>7</xdr:rowOff>
              </xdr:from>
              <xdr:to>
                <xdr:col>5</xdr:col>
                <xdr:colOff>69</xdr:colOff>
                <xdr:row>331</xdr:row>
                <xdr:rowOff>13</xdr:rowOff>
              </xdr:to>
            </anchor>
          </commentPr>
        </mc:Choice>
        <mc:Fallback/>
      </mc:AlternateContent>
    </comment>
    <comment ref="D2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328</xdr:row>
                <xdr:rowOff>7</xdr:rowOff>
              </xdr:from>
              <xdr:to>
                <xdr:col>5</xdr:col>
                <xdr:colOff>69</xdr:colOff>
                <xdr:row>332</xdr:row>
                <xdr:rowOff>13</xdr:rowOff>
              </xdr:to>
            </anchor>
          </commentPr>
        </mc:Choice>
        <mc:Fallback/>
      </mc:AlternateContent>
    </comment>
    <comment ref="D2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329</xdr:row>
                <xdr:rowOff>7</xdr:rowOff>
              </xdr:from>
              <xdr:to>
                <xdr:col>5</xdr:col>
                <xdr:colOff>69</xdr:colOff>
                <xdr:row>333</xdr:row>
                <xdr:rowOff>13</xdr:rowOff>
              </xdr:to>
            </anchor>
          </commentPr>
        </mc:Choice>
        <mc:Fallback/>
      </mc:AlternateContent>
    </comment>
    <comment ref="D2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330</xdr:row>
                <xdr:rowOff>7</xdr:rowOff>
              </xdr:from>
              <xdr:to>
                <xdr:col>5</xdr:col>
                <xdr:colOff>69</xdr:colOff>
                <xdr:row>334</xdr:row>
                <xdr:rowOff>13</xdr:rowOff>
              </xdr:to>
            </anchor>
          </commentPr>
        </mc:Choice>
        <mc:Fallback/>
      </mc:AlternateContent>
    </comment>
    <comment ref="D23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331</xdr:row>
                <xdr:rowOff>7</xdr:rowOff>
              </xdr:from>
              <xdr:to>
                <xdr:col>5</xdr:col>
                <xdr:colOff>69</xdr:colOff>
                <xdr:row>335</xdr:row>
                <xdr:rowOff>13</xdr:rowOff>
              </xdr:to>
            </anchor>
          </commentPr>
        </mc:Choice>
        <mc:Fallback/>
      </mc:AlternateContent>
    </comment>
    <comment ref="D23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332</xdr:row>
                <xdr:rowOff>7</xdr:rowOff>
              </xdr:from>
              <xdr:to>
                <xdr:col>5</xdr:col>
                <xdr:colOff>69</xdr:colOff>
                <xdr:row>336</xdr:row>
                <xdr:rowOff>13</xdr:rowOff>
              </xdr:to>
            </anchor>
          </commentPr>
        </mc:Choice>
        <mc:Fallback/>
      </mc:AlternateContent>
    </comment>
    <comment ref="D23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333</xdr:row>
                <xdr:rowOff>7</xdr:rowOff>
              </xdr:from>
              <xdr:to>
                <xdr:col>5</xdr:col>
                <xdr:colOff>69</xdr:colOff>
                <xdr:row>337</xdr:row>
                <xdr:rowOff>13</xdr:rowOff>
              </xdr:to>
            </anchor>
          </commentPr>
        </mc:Choice>
        <mc:Fallback/>
      </mc:AlternateContent>
    </comment>
    <comment ref="D23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334</xdr:row>
                <xdr:rowOff>7</xdr:rowOff>
              </xdr:from>
              <xdr:to>
                <xdr:col>5</xdr:col>
                <xdr:colOff>69</xdr:colOff>
                <xdr:row>338</xdr:row>
                <xdr:rowOff>13</xdr:rowOff>
              </xdr:to>
            </anchor>
          </commentPr>
        </mc:Choice>
        <mc:Fallback/>
      </mc:AlternateContent>
    </comment>
    <comment ref="D2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335</xdr:row>
                <xdr:rowOff>7</xdr:rowOff>
              </xdr:from>
              <xdr:to>
                <xdr:col>5</xdr:col>
                <xdr:colOff>69</xdr:colOff>
                <xdr:row>339</xdr:row>
                <xdr:rowOff>13</xdr:rowOff>
              </xdr:to>
            </anchor>
          </commentPr>
        </mc:Choice>
        <mc:Fallback/>
      </mc:AlternateContent>
    </comment>
    <comment ref="D23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336</xdr:row>
                <xdr:rowOff>7</xdr:rowOff>
              </xdr:from>
              <xdr:to>
                <xdr:col>5</xdr:col>
                <xdr:colOff>69</xdr:colOff>
                <xdr:row>340</xdr:row>
                <xdr:rowOff>13</xdr:rowOff>
              </xdr:to>
            </anchor>
          </commentPr>
        </mc:Choice>
        <mc:Fallback/>
      </mc:AlternateContent>
    </comment>
    <comment ref="D23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337</xdr:row>
                <xdr:rowOff>7</xdr:rowOff>
              </xdr:from>
              <xdr:to>
                <xdr:col>5</xdr:col>
                <xdr:colOff>69</xdr:colOff>
                <xdr:row>341</xdr:row>
                <xdr:rowOff>13</xdr:rowOff>
              </xdr:to>
            </anchor>
          </commentPr>
        </mc:Choice>
        <mc:Fallback/>
      </mc:AlternateContent>
    </comment>
    <comment ref="D23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338</xdr:row>
                <xdr:rowOff>7</xdr:rowOff>
              </xdr:from>
              <xdr:to>
                <xdr:col>5</xdr:col>
                <xdr:colOff>69</xdr:colOff>
                <xdr:row>342</xdr:row>
                <xdr:rowOff>13</xdr:rowOff>
              </xdr:to>
            </anchor>
          </commentPr>
        </mc:Choice>
        <mc:Fallback/>
      </mc:AlternateContent>
    </comment>
    <comment ref="D23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339</xdr:row>
                <xdr:rowOff>7</xdr:rowOff>
              </xdr:from>
              <xdr:to>
                <xdr:col>5</xdr:col>
                <xdr:colOff>69</xdr:colOff>
                <xdr:row>343</xdr:row>
                <xdr:rowOff>13</xdr:rowOff>
              </xdr:to>
            </anchor>
          </commentPr>
        </mc:Choice>
        <mc:Fallback/>
      </mc:AlternateContent>
    </comment>
    <comment ref="D23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340</xdr:row>
                <xdr:rowOff>7</xdr:rowOff>
              </xdr:from>
              <xdr:to>
                <xdr:col>5</xdr:col>
                <xdr:colOff>69</xdr:colOff>
                <xdr:row>344</xdr:row>
                <xdr:rowOff>13</xdr:rowOff>
              </xdr:to>
            </anchor>
          </commentPr>
        </mc:Choice>
        <mc:Fallback/>
      </mc:AlternateContent>
    </comment>
    <comment ref="D24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341</xdr:row>
                <xdr:rowOff>7</xdr:rowOff>
              </xdr:from>
              <xdr:to>
                <xdr:col>5</xdr:col>
                <xdr:colOff>69</xdr:colOff>
                <xdr:row>345</xdr:row>
                <xdr:rowOff>13</xdr:rowOff>
              </xdr:to>
            </anchor>
          </commentPr>
        </mc:Choice>
        <mc:Fallback/>
      </mc:AlternateContent>
    </comment>
    <comment ref="D24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342</xdr:row>
                <xdr:rowOff>7</xdr:rowOff>
              </xdr:from>
              <xdr:to>
                <xdr:col>5</xdr:col>
                <xdr:colOff>69</xdr:colOff>
                <xdr:row>346</xdr:row>
                <xdr:rowOff>13</xdr:rowOff>
              </xdr:to>
            </anchor>
          </commentPr>
        </mc:Choice>
        <mc:Fallback/>
      </mc:AlternateContent>
    </comment>
    <comment ref="D24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343</xdr:row>
                <xdr:rowOff>7</xdr:rowOff>
              </xdr:from>
              <xdr:to>
                <xdr:col>5</xdr:col>
                <xdr:colOff>69</xdr:colOff>
                <xdr:row>347</xdr:row>
                <xdr:rowOff>13</xdr:rowOff>
              </xdr:to>
            </anchor>
          </commentPr>
        </mc:Choice>
        <mc:Fallback/>
      </mc:AlternateContent>
    </comment>
    <comment ref="E192" authorId="0">
      <text>
        <r>
          <rPr>
            <b val="true"/>
            <sz val="8"/>
            <color rgb="FF000000"/>
            <rFont val="Tahoma"/>
            <family val="0"/>
          </rPr>
          <t xml:space="preserve">msteven:
</t>
        </r>
        <r>
          <rPr>
            <sz val="8"/>
            <color rgb="FF000000"/>
            <rFont val="Tahoma"/>
            <family val="0"/>
          </rPr>
          <t xml:space="preserve">From Power MetaCheck
AR10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44</xdr:colOff>
                <xdr:row>308</xdr:row>
                <xdr:rowOff>7</xdr:rowOff>
              </xdr:from>
              <xdr:to>
                <xdr:col>6</xdr:col>
                <xdr:colOff>81</xdr:colOff>
                <xdr:row>312</xdr:row>
                <xdr:rowOff>13</xdr:rowOff>
              </xdr:to>
            </anchor>
          </commentPr>
        </mc:Choice>
        <mc:Fallback/>
      </mc:AlternateContent>
    </comment>
    <comment ref="E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 longer needed as per martha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44</xdr:colOff>
                <xdr:row>311</xdr:row>
                <xdr:rowOff>7</xdr:rowOff>
              </xdr:from>
              <xdr:to>
                <xdr:col>6</xdr:col>
                <xdr:colOff>81</xdr:colOff>
                <xdr:row>315</xdr:row>
                <xdr:rowOff>13</xdr:rowOff>
              </xdr:to>
            </anchor>
          </commentPr>
        </mc:Choice>
        <mc:Fallback/>
      </mc:AlternateContent>
    </comment>
    <comment ref="G1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Martha is this right?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8</xdr:col>
                <xdr:colOff>37</xdr:colOff>
                <xdr:row>306</xdr:row>
                <xdr:rowOff>7</xdr:rowOff>
              </xdr:from>
              <xdr:to>
                <xdr:col>10</xdr:col>
                <xdr:colOff>1</xdr:colOff>
                <xdr:row>310</xdr:row>
                <xdr:rowOff>13</xdr:rowOff>
              </xdr:to>
            </anchor>
          </commentPr>
        </mc:Choice>
        <mc:Fallback/>
      </mc:AlternateContent>
    </comment>
  </commentList>
</comments>
</file>

<file path=xl/comments1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report top page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304</xdr:row>
                <xdr:rowOff>7</xdr:rowOff>
              </xdr:from>
              <xdr:to>
                <xdr:col>5</xdr:col>
                <xdr:colOff>40</xdr:colOff>
                <xdr:row>308</xdr:row>
                <xdr:rowOff>13</xdr:rowOff>
              </xdr:to>
            </anchor>
          </commentPr>
        </mc:Choice>
        <mc:Fallback/>
      </mc:AlternateContent>
    </comment>
    <comment ref="D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318</xdr:row>
                <xdr:rowOff>7</xdr:rowOff>
              </xdr:from>
              <xdr:to>
                <xdr:col>5</xdr:col>
                <xdr:colOff>40</xdr:colOff>
                <xdr:row>322</xdr:row>
                <xdr:rowOff>13</xdr:rowOff>
              </xdr:to>
            </anchor>
          </commentPr>
        </mc:Choice>
        <mc:Fallback/>
      </mc:AlternateContent>
    </comment>
    <comment ref="D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323</xdr:row>
                <xdr:rowOff>7</xdr:rowOff>
              </xdr:from>
              <xdr:to>
                <xdr:col>5</xdr:col>
                <xdr:colOff>40</xdr:colOff>
                <xdr:row>327</xdr:row>
                <xdr:rowOff>13</xdr:rowOff>
              </xdr:to>
            </anchor>
          </commentPr>
        </mc:Choice>
        <mc:Fallback/>
      </mc:AlternateContent>
    </comment>
    <comment ref="D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324</xdr:row>
                <xdr:rowOff>7</xdr:rowOff>
              </xdr:from>
              <xdr:to>
                <xdr:col>5</xdr:col>
                <xdr:colOff>40</xdr:colOff>
                <xdr:row>328</xdr:row>
                <xdr:rowOff>13</xdr:rowOff>
              </xdr:to>
            </anchor>
          </commentPr>
        </mc:Choice>
        <mc:Fallback/>
      </mc:AlternateContent>
    </comment>
    <comment ref="D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325</xdr:row>
                <xdr:rowOff>7</xdr:rowOff>
              </xdr:from>
              <xdr:to>
                <xdr:col>5</xdr:col>
                <xdr:colOff>40</xdr:colOff>
                <xdr:row>329</xdr:row>
                <xdr:rowOff>13</xdr:rowOff>
              </xdr:to>
            </anchor>
          </commentPr>
        </mc:Choice>
        <mc:Fallback/>
      </mc:AlternateContent>
    </comment>
    <comment ref="D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326</xdr:row>
                <xdr:rowOff>7</xdr:rowOff>
              </xdr:from>
              <xdr:to>
                <xdr:col>5</xdr:col>
                <xdr:colOff>40</xdr:colOff>
                <xdr:row>330</xdr:row>
                <xdr:rowOff>13</xdr:rowOff>
              </xdr:to>
            </anchor>
          </commentPr>
        </mc:Choice>
        <mc:Fallback/>
      </mc:AlternateContent>
    </comment>
    <comment ref="D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327</xdr:row>
                <xdr:rowOff>7</xdr:rowOff>
              </xdr:from>
              <xdr:to>
                <xdr:col>5</xdr:col>
                <xdr:colOff>40</xdr:colOff>
                <xdr:row>331</xdr:row>
                <xdr:rowOff>13</xdr:rowOff>
              </xdr:to>
            </anchor>
          </commentPr>
        </mc:Choice>
        <mc:Fallback/>
      </mc:AlternateContent>
    </comment>
    <comment ref="D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330</xdr:row>
                <xdr:rowOff>7</xdr:rowOff>
              </xdr:from>
              <xdr:to>
                <xdr:col>5</xdr:col>
                <xdr:colOff>40</xdr:colOff>
                <xdr:row>334</xdr:row>
                <xdr:rowOff>13</xdr:rowOff>
              </xdr:to>
            </anchor>
          </commentPr>
        </mc:Choice>
        <mc:Fallback/>
      </mc:AlternateContent>
    </comment>
    <comment ref="D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331</xdr:row>
                <xdr:rowOff>7</xdr:rowOff>
              </xdr:from>
              <xdr:to>
                <xdr:col>5</xdr:col>
                <xdr:colOff>40</xdr:colOff>
                <xdr:row>335</xdr:row>
                <xdr:rowOff>13</xdr:rowOff>
              </xdr:to>
            </anchor>
          </commentPr>
        </mc:Choice>
        <mc:Fallback/>
      </mc:AlternateContent>
    </comment>
    <comment ref="D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332</xdr:row>
                <xdr:rowOff>7</xdr:rowOff>
              </xdr:from>
              <xdr:to>
                <xdr:col>5</xdr:col>
                <xdr:colOff>40</xdr:colOff>
                <xdr:row>336</xdr:row>
                <xdr:rowOff>13</xdr:rowOff>
              </xdr:to>
            </anchor>
          </commentPr>
        </mc:Choice>
        <mc:Fallback/>
      </mc:AlternateContent>
    </comment>
    <comment ref="D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333</xdr:row>
                <xdr:rowOff>7</xdr:rowOff>
              </xdr:from>
              <xdr:to>
                <xdr:col>5</xdr:col>
                <xdr:colOff>40</xdr:colOff>
                <xdr:row>337</xdr:row>
                <xdr:rowOff>13</xdr:rowOff>
              </xdr:to>
            </anchor>
          </commentPr>
        </mc:Choice>
        <mc:Fallback/>
      </mc:AlternateContent>
    </comment>
    <comment ref="D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334</xdr:row>
                <xdr:rowOff>7</xdr:rowOff>
              </xdr:from>
              <xdr:to>
                <xdr:col>5</xdr:col>
                <xdr:colOff>40</xdr:colOff>
                <xdr:row>338</xdr:row>
                <xdr:rowOff>13</xdr:rowOff>
              </xdr:to>
            </anchor>
          </commentPr>
        </mc:Choice>
        <mc:Fallback/>
      </mc:AlternateContent>
    </comment>
    <comment ref="D17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335</xdr:row>
                <xdr:rowOff>7</xdr:rowOff>
              </xdr:from>
              <xdr:to>
                <xdr:col>5</xdr:col>
                <xdr:colOff>40</xdr:colOff>
                <xdr:row>339</xdr:row>
                <xdr:rowOff>13</xdr:rowOff>
              </xdr:to>
            </anchor>
          </commentPr>
        </mc:Choice>
        <mc:Fallback/>
      </mc:AlternateContent>
    </comment>
    <comment ref="D18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336</xdr:row>
                <xdr:rowOff>7</xdr:rowOff>
              </xdr:from>
              <xdr:to>
                <xdr:col>5</xdr:col>
                <xdr:colOff>40</xdr:colOff>
                <xdr:row>340</xdr:row>
                <xdr:rowOff>13</xdr:rowOff>
              </xdr:to>
            </anchor>
          </commentPr>
        </mc:Choice>
        <mc:Fallback/>
      </mc:AlternateContent>
    </comment>
    <comment ref="D18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337</xdr:row>
                <xdr:rowOff>7</xdr:rowOff>
              </xdr:from>
              <xdr:to>
                <xdr:col>5</xdr:col>
                <xdr:colOff>40</xdr:colOff>
                <xdr:row>341</xdr:row>
                <xdr:rowOff>13</xdr:rowOff>
              </xdr:to>
            </anchor>
          </commentPr>
        </mc:Choice>
        <mc:Fallback/>
      </mc:AlternateContent>
    </comment>
    <comment ref="D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305</xdr:row>
                <xdr:rowOff>7</xdr:rowOff>
              </xdr:from>
              <xdr:to>
                <xdr:col>5</xdr:col>
                <xdr:colOff>40</xdr:colOff>
                <xdr:row>309</xdr:row>
                <xdr:rowOff>13</xdr:rowOff>
              </xdr:to>
            </anchor>
          </commentPr>
        </mc:Choice>
        <mc:Fallback/>
      </mc:AlternateContent>
    </comment>
    <comment ref="D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306</xdr:row>
                <xdr:rowOff>7</xdr:rowOff>
              </xdr:from>
              <xdr:to>
                <xdr:col>5</xdr:col>
                <xdr:colOff>40</xdr:colOff>
                <xdr:row>310</xdr:row>
                <xdr:rowOff>13</xdr:rowOff>
              </xdr:to>
            </anchor>
          </commentPr>
        </mc:Choice>
        <mc:Fallback/>
      </mc:AlternateContent>
    </comment>
    <comment ref="D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40</xdr:colOff>
                <xdr:row>311</xdr:row>
                <xdr:rowOff>13</xdr:rowOff>
              </xdr:to>
            </anchor>
          </commentPr>
        </mc:Choice>
        <mc:Fallback/>
      </mc:AlternateContent>
    </comment>
    <comment ref="D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40</xdr:colOff>
                <xdr:row>312</xdr:row>
                <xdr:rowOff>13</xdr:rowOff>
              </xdr:to>
            </anchor>
          </commentPr>
        </mc:Choice>
        <mc:Fallback/>
      </mc:AlternateContent>
    </comment>
    <comment ref="D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7</xdr:rowOff>
              </xdr:from>
              <xdr:to>
                <xdr:col>5</xdr:col>
                <xdr:colOff>40</xdr:colOff>
                <xdr:row>313</xdr:row>
                <xdr:rowOff>13</xdr:rowOff>
              </xdr:to>
            </anchor>
          </commentPr>
        </mc:Choice>
        <mc:Fallback/>
      </mc:AlternateContent>
    </comment>
    <comment ref="D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331</xdr:row>
                <xdr:rowOff>7</xdr:rowOff>
              </xdr:from>
              <xdr:to>
                <xdr:col>5</xdr:col>
                <xdr:colOff>40</xdr:colOff>
                <xdr:row>335</xdr:row>
                <xdr:rowOff>13</xdr:rowOff>
              </xdr:to>
            </anchor>
          </commentPr>
        </mc:Choice>
        <mc:Fallback/>
      </mc:AlternateContent>
    </comment>
    <comment ref="D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332</xdr:row>
                <xdr:rowOff>7</xdr:rowOff>
              </xdr:from>
              <xdr:to>
                <xdr:col>5</xdr:col>
                <xdr:colOff>40</xdr:colOff>
                <xdr:row>336</xdr:row>
                <xdr:rowOff>13</xdr:rowOff>
              </xdr:to>
            </anchor>
          </commentPr>
        </mc:Choice>
        <mc:Fallback/>
      </mc:AlternateContent>
    </comment>
    <comment ref="D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333</xdr:row>
                <xdr:rowOff>7</xdr:rowOff>
              </xdr:from>
              <xdr:to>
                <xdr:col>5</xdr:col>
                <xdr:colOff>40</xdr:colOff>
                <xdr:row>337</xdr:row>
                <xdr:rowOff>13</xdr:rowOff>
              </xdr:to>
            </anchor>
          </commentPr>
        </mc:Choice>
        <mc:Fallback/>
      </mc:AlternateContent>
    </comment>
    <comment ref="D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334</xdr:row>
                <xdr:rowOff>7</xdr:rowOff>
              </xdr:from>
              <xdr:to>
                <xdr:col>5</xdr:col>
                <xdr:colOff>40</xdr:colOff>
                <xdr:row>338</xdr:row>
                <xdr:rowOff>13</xdr:rowOff>
              </xdr:to>
            </anchor>
          </commentPr>
        </mc:Choice>
        <mc:Fallback/>
      </mc:AlternateContent>
    </comment>
    <comment ref="D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335</xdr:row>
                <xdr:rowOff>7</xdr:rowOff>
              </xdr:from>
              <xdr:to>
                <xdr:col>5</xdr:col>
                <xdr:colOff>40</xdr:colOff>
                <xdr:row>339</xdr:row>
                <xdr:rowOff>13</xdr:rowOff>
              </xdr:to>
            </anchor>
          </commentPr>
        </mc:Choice>
        <mc:Fallback/>
      </mc:AlternateContent>
    </comment>
    <comment ref="D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336</xdr:row>
                <xdr:rowOff>7</xdr:rowOff>
              </xdr:from>
              <xdr:to>
                <xdr:col>5</xdr:col>
                <xdr:colOff>40</xdr:colOff>
                <xdr:row>340</xdr:row>
                <xdr:rowOff>13</xdr:rowOff>
              </xdr:to>
            </anchor>
          </commentPr>
        </mc:Choice>
        <mc:Fallback/>
      </mc:AlternateContent>
    </comment>
    <comment ref="D19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337</xdr:row>
                <xdr:rowOff>7</xdr:rowOff>
              </xdr:from>
              <xdr:to>
                <xdr:col>5</xdr:col>
                <xdr:colOff>40</xdr:colOff>
                <xdr:row>341</xdr:row>
                <xdr:rowOff>13</xdr:rowOff>
              </xdr:to>
            </anchor>
          </commentPr>
        </mc:Choice>
        <mc:Fallback/>
      </mc:AlternateContent>
    </comment>
    <comment ref="D20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338</xdr:row>
                <xdr:rowOff>7</xdr:rowOff>
              </xdr:from>
              <xdr:to>
                <xdr:col>5</xdr:col>
                <xdr:colOff>40</xdr:colOff>
                <xdr:row>342</xdr:row>
                <xdr:rowOff>13</xdr:rowOff>
              </xdr:to>
            </anchor>
          </commentPr>
        </mc:Choice>
        <mc:Fallback/>
      </mc:AlternateContent>
    </comment>
    <comment ref="D20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339</xdr:row>
                <xdr:rowOff>7</xdr:rowOff>
              </xdr:from>
              <xdr:to>
                <xdr:col>5</xdr:col>
                <xdr:colOff>40</xdr:colOff>
                <xdr:row>343</xdr:row>
                <xdr:rowOff>13</xdr:rowOff>
              </xdr:to>
            </anchor>
          </commentPr>
        </mc:Choice>
        <mc:Fallback/>
      </mc:AlternateContent>
    </comment>
    <comment ref="D20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340</xdr:row>
                <xdr:rowOff>7</xdr:rowOff>
              </xdr:from>
              <xdr:to>
                <xdr:col>5</xdr:col>
                <xdr:colOff>40</xdr:colOff>
                <xdr:row>344</xdr:row>
                <xdr:rowOff>13</xdr:rowOff>
              </xdr:to>
            </anchor>
          </commentPr>
        </mc:Choice>
        <mc:Fallback/>
      </mc:AlternateContent>
    </comment>
    <comment ref="D20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341</xdr:row>
                <xdr:rowOff>7</xdr:rowOff>
              </xdr:from>
              <xdr:to>
                <xdr:col>5</xdr:col>
                <xdr:colOff>40</xdr:colOff>
                <xdr:row>345</xdr:row>
                <xdr:rowOff>13</xdr:rowOff>
              </xdr:to>
            </anchor>
          </commentPr>
        </mc:Choice>
        <mc:Fallback/>
      </mc:AlternateContent>
    </comment>
    <comment ref="D20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342</xdr:row>
                <xdr:rowOff>7</xdr:rowOff>
              </xdr:from>
              <xdr:to>
                <xdr:col>5</xdr:col>
                <xdr:colOff>40</xdr:colOff>
                <xdr:row>346</xdr:row>
                <xdr:rowOff>13</xdr:rowOff>
              </xdr:to>
            </anchor>
          </commentPr>
        </mc:Choice>
        <mc:Fallback/>
      </mc:AlternateContent>
    </comment>
    <comment ref="D20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343</xdr:row>
                <xdr:rowOff>7</xdr:rowOff>
              </xdr:from>
              <xdr:to>
                <xdr:col>5</xdr:col>
                <xdr:colOff>40</xdr:colOff>
                <xdr:row>347</xdr:row>
                <xdr:rowOff>13</xdr:rowOff>
              </xdr:to>
            </anchor>
          </commentPr>
        </mc:Choice>
        <mc:Fallback/>
      </mc:AlternateContent>
    </comment>
    <comment ref="D20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344</xdr:row>
                <xdr:rowOff>7</xdr:rowOff>
              </xdr:from>
              <xdr:to>
                <xdr:col>5</xdr:col>
                <xdr:colOff>40</xdr:colOff>
                <xdr:row>348</xdr:row>
                <xdr:rowOff>13</xdr:rowOff>
              </xdr:to>
            </anchor>
          </commentPr>
        </mc:Choice>
        <mc:Fallback/>
      </mc:AlternateContent>
    </comment>
    <comment ref="D20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345</xdr:row>
                <xdr:rowOff>7</xdr:rowOff>
              </xdr:from>
              <xdr:to>
                <xdr:col>5</xdr:col>
                <xdr:colOff>40</xdr:colOff>
                <xdr:row>349</xdr:row>
                <xdr:rowOff>13</xdr:rowOff>
              </xdr:to>
            </anchor>
          </commentPr>
        </mc:Choice>
        <mc:Fallback/>
      </mc:AlternateContent>
    </comment>
    <comment ref="D20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346</xdr:row>
                <xdr:rowOff>7</xdr:rowOff>
              </xdr:from>
              <xdr:to>
                <xdr:col>5</xdr:col>
                <xdr:colOff>40</xdr:colOff>
                <xdr:row>350</xdr:row>
                <xdr:rowOff>13</xdr:rowOff>
              </xdr:to>
            </anchor>
          </commentPr>
        </mc:Choice>
        <mc:Fallback/>
      </mc:AlternateContent>
    </comment>
    <comment ref="D20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347</xdr:row>
                <xdr:rowOff>7</xdr:rowOff>
              </xdr:from>
              <xdr:to>
                <xdr:col>5</xdr:col>
                <xdr:colOff>40</xdr:colOff>
                <xdr:row>351</xdr:row>
                <xdr:rowOff>13</xdr:rowOff>
              </xdr:to>
            </anchor>
          </commentPr>
        </mc:Choice>
        <mc:Fallback/>
      </mc:AlternateContent>
    </comment>
    <comment ref="D21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348</xdr:row>
                <xdr:rowOff>7</xdr:rowOff>
              </xdr:from>
              <xdr:to>
                <xdr:col>5</xdr:col>
                <xdr:colOff>40</xdr:colOff>
                <xdr:row>352</xdr:row>
                <xdr:rowOff>13</xdr:rowOff>
              </xdr:to>
            </anchor>
          </commentPr>
        </mc:Choice>
        <mc:Fallback/>
      </mc:AlternateContent>
    </comment>
    <comment ref="D21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349</xdr:row>
                <xdr:rowOff>7</xdr:rowOff>
              </xdr:from>
              <xdr:to>
                <xdr:col>5</xdr:col>
                <xdr:colOff>40</xdr:colOff>
                <xdr:row>353</xdr:row>
                <xdr:rowOff>13</xdr:rowOff>
              </xdr:to>
            </anchor>
          </commentPr>
        </mc:Choice>
        <mc:Fallback/>
      </mc:AlternateContent>
    </comment>
    <comment ref="D21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350</xdr:row>
                <xdr:rowOff>7</xdr:rowOff>
              </xdr:from>
              <xdr:to>
                <xdr:col>5</xdr:col>
                <xdr:colOff>40</xdr:colOff>
                <xdr:row>354</xdr:row>
                <xdr:rowOff>13</xdr:rowOff>
              </xdr:to>
            </anchor>
          </commentPr>
        </mc:Choice>
        <mc:Fallback/>
      </mc:AlternateContent>
    </comment>
    <comment ref="D21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351</xdr:row>
                <xdr:rowOff>7</xdr:rowOff>
              </xdr:from>
              <xdr:to>
                <xdr:col>5</xdr:col>
                <xdr:colOff>40</xdr:colOff>
                <xdr:row>355</xdr:row>
                <xdr:rowOff>13</xdr:rowOff>
              </xdr:to>
            </anchor>
          </commentPr>
        </mc:Choice>
        <mc:Fallback/>
      </mc:AlternateContent>
    </comment>
    <comment ref="D22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D22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40</xdr:colOff>
                <xdr:row>320</xdr:row>
                <xdr:rowOff>13</xdr:rowOff>
              </xdr:to>
            </anchor>
          </commentPr>
        </mc:Choice>
        <mc:Fallback/>
      </mc:AlternateContent>
    </comment>
    <comment ref="D22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7</xdr:rowOff>
              </xdr:from>
              <xdr:to>
                <xdr:col>5</xdr:col>
                <xdr:colOff>40</xdr:colOff>
                <xdr:row>321</xdr:row>
                <xdr:rowOff>13</xdr:rowOff>
              </xdr:to>
            </anchor>
          </commentPr>
        </mc:Choice>
        <mc:Fallback/>
      </mc:AlternateContent>
    </comment>
    <comment ref="D22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318</xdr:row>
                <xdr:rowOff>7</xdr:rowOff>
              </xdr:from>
              <xdr:to>
                <xdr:col>5</xdr:col>
                <xdr:colOff>40</xdr:colOff>
                <xdr:row>322</xdr:row>
                <xdr:rowOff>13</xdr:rowOff>
              </xdr:to>
            </anchor>
          </commentPr>
        </mc:Choice>
        <mc:Fallback/>
      </mc:AlternateContent>
    </comment>
    <comment ref="D22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319</xdr:row>
                <xdr:rowOff>7</xdr:rowOff>
              </xdr:from>
              <xdr:to>
                <xdr:col>5</xdr:col>
                <xdr:colOff>40</xdr:colOff>
                <xdr:row>323</xdr:row>
                <xdr:rowOff>13</xdr:rowOff>
              </xdr:to>
            </anchor>
          </commentPr>
        </mc:Choice>
        <mc:Fallback/>
      </mc:AlternateContent>
    </comment>
    <comment ref="D22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320</xdr:row>
                <xdr:rowOff>7</xdr:rowOff>
              </xdr:from>
              <xdr:to>
                <xdr:col>5</xdr:col>
                <xdr:colOff>40</xdr:colOff>
                <xdr:row>324</xdr:row>
                <xdr:rowOff>13</xdr:rowOff>
              </xdr:to>
            </anchor>
          </commentPr>
        </mc:Choice>
        <mc:Fallback/>
      </mc:AlternateContent>
    </comment>
    <comment ref="D22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7</xdr:rowOff>
              </xdr:from>
              <xdr:to>
                <xdr:col>5</xdr:col>
                <xdr:colOff>40</xdr:colOff>
                <xdr:row>325</xdr:row>
                <xdr:rowOff>13</xdr:rowOff>
              </xdr:to>
            </anchor>
          </commentPr>
        </mc:Choice>
        <mc:Fallback/>
      </mc:AlternateContent>
    </comment>
    <comment ref="D2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322</xdr:row>
                <xdr:rowOff>7</xdr:rowOff>
              </xdr:from>
              <xdr:to>
                <xdr:col>5</xdr:col>
                <xdr:colOff>40</xdr:colOff>
                <xdr:row>326</xdr:row>
                <xdr:rowOff>13</xdr:rowOff>
              </xdr:to>
            </anchor>
          </commentPr>
        </mc:Choice>
        <mc:Fallback/>
      </mc:AlternateContent>
    </comment>
    <comment ref="D2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323</xdr:row>
                <xdr:rowOff>7</xdr:rowOff>
              </xdr:from>
              <xdr:to>
                <xdr:col>5</xdr:col>
                <xdr:colOff>40</xdr:colOff>
                <xdr:row>327</xdr:row>
                <xdr:rowOff>13</xdr:rowOff>
              </xdr:to>
            </anchor>
          </commentPr>
        </mc:Choice>
        <mc:Fallback/>
      </mc:AlternateContent>
    </comment>
    <comment ref="D2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324</xdr:row>
                <xdr:rowOff>7</xdr:rowOff>
              </xdr:from>
              <xdr:to>
                <xdr:col>5</xdr:col>
                <xdr:colOff>40</xdr:colOff>
                <xdr:row>328</xdr:row>
                <xdr:rowOff>13</xdr:rowOff>
              </xdr:to>
            </anchor>
          </commentPr>
        </mc:Choice>
        <mc:Fallback/>
      </mc:AlternateContent>
    </comment>
    <comment ref="D23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325</xdr:row>
                <xdr:rowOff>7</xdr:rowOff>
              </xdr:from>
              <xdr:to>
                <xdr:col>5</xdr:col>
                <xdr:colOff>40</xdr:colOff>
                <xdr:row>329</xdr:row>
                <xdr:rowOff>13</xdr:rowOff>
              </xdr:to>
            </anchor>
          </commentPr>
        </mc:Choice>
        <mc:Fallback/>
      </mc:AlternateContent>
    </comment>
    <comment ref="D23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326</xdr:row>
                <xdr:rowOff>7</xdr:rowOff>
              </xdr:from>
              <xdr:to>
                <xdr:col>5</xdr:col>
                <xdr:colOff>40</xdr:colOff>
                <xdr:row>330</xdr:row>
                <xdr:rowOff>13</xdr:rowOff>
              </xdr:to>
            </anchor>
          </commentPr>
        </mc:Choice>
        <mc:Fallback/>
      </mc:AlternateContent>
    </comment>
    <comment ref="D23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327</xdr:row>
                <xdr:rowOff>7</xdr:rowOff>
              </xdr:from>
              <xdr:to>
                <xdr:col>5</xdr:col>
                <xdr:colOff>40</xdr:colOff>
                <xdr:row>331</xdr:row>
                <xdr:rowOff>13</xdr:rowOff>
              </xdr:to>
            </anchor>
          </commentPr>
        </mc:Choice>
        <mc:Fallback/>
      </mc:AlternateContent>
    </comment>
    <comment ref="D23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328</xdr:row>
                <xdr:rowOff>7</xdr:rowOff>
              </xdr:from>
              <xdr:to>
                <xdr:col>5</xdr:col>
                <xdr:colOff>40</xdr:colOff>
                <xdr:row>332</xdr:row>
                <xdr:rowOff>13</xdr:rowOff>
              </xdr:to>
            </anchor>
          </commentPr>
        </mc:Choice>
        <mc:Fallback/>
      </mc:AlternateContent>
    </comment>
    <comment ref="D2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329</xdr:row>
                <xdr:rowOff>7</xdr:rowOff>
              </xdr:from>
              <xdr:to>
                <xdr:col>5</xdr:col>
                <xdr:colOff>40</xdr:colOff>
                <xdr:row>333</xdr:row>
                <xdr:rowOff>13</xdr:rowOff>
              </xdr:to>
            </anchor>
          </commentPr>
        </mc:Choice>
        <mc:Fallback/>
      </mc:AlternateContent>
    </comment>
    <comment ref="D23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330</xdr:row>
                <xdr:rowOff>7</xdr:rowOff>
              </xdr:from>
              <xdr:to>
                <xdr:col>5</xdr:col>
                <xdr:colOff>40</xdr:colOff>
                <xdr:row>334</xdr:row>
                <xdr:rowOff>13</xdr:rowOff>
              </xdr:to>
            </anchor>
          </commentPr>
        </mc:Choice>
        <mc:Fallback/>
      </mc:AlternateContent>
    </comment>
    <comment ref="D23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331</xdr:row>
                <xdr:rowOff>7</xdr:rowOff>
              </xdr:from>
              <xdr:to>
                <xdr:col>5</xdr:col>
                <xdr:colOff>40</xdr:colOff>
                <xdr:row>335</xdr:row>
                <xdr:rowOff>13</xdr:rowOff>
              </xdr:to>
            </anchor>
          </commentPr>
        </mc:Choice>
        <mc:Fallback/>
      </mc:AlternateContent>
    </comment>
    <comment ref="D23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332</xdr:row>
                <xdr:rowOff>7</xdr:rowOff>
              </xdr:from>
              <xdr:to>
                <xdr:col>5</xdr:col>
                <xdr:colOff>40</xdr:colOff>
                <xdr:row>336</xdr:row>
                <xdr:rowOff>13</xdr:rowOff>
              </xdr:to>
            </anchor>
          </commentPr>
        </mc:Choice>
        <mc:Fallback/>
      </mc:AlternateContent>
    </comment>
    <comment ref="D23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333</xdr:row>
                <xdr:rowOff>7</xdr:rowOff>
              </xdr:from>
              <xdr:to>
                <xdr:col>5</xdr:col>
                <xdr:colOff>40</xdr:colOff>
                <xdr:row>337</xdr:row>
                <xdr:rowOff>13</xdr:rowOff>
              </xdr:to>
            </anchor>
          </commentPr>
        </mc:Choice>
        <mc:Fallback/>
      </mc:AlternateContent>
    </comment>
    <comment ref="D23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334</xdr:row>
                <xdr:rowOff>7</xdr:rowOff>
              </xdr:from>
              <xdr:to>
                <xdr:col>5</xdr:col>
                <xdr:colOff>40</xdr:colOff>
                <xdr:row>338</xdr:row>
                <xdr:rowOff>13</xdr:rowOff>
              </xdr:to>
            </anchor>
          </commentPr>
        </mc:Choice>
        <mc:Fallback/>
      </mc:AlternateContent>
    </comment>
    <comment ref="D24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335</xdr:row>
                <xdr:rowOff>7</xdr:rowOff>
              </xdr:from>
              <xdr:to>
                <xdr:col>5</xdr:col>
                <xdr:colOff>40</xdr:colOff>
                <xdr:row>339</xdr:row>
                <xdr:rowOff>13</xdr:rowOff>
              </xdr:to>
            </anchor>
          </commentPr>
        </mc:Choice>
        <mc:Fallback/>
      </mc:AlternateContent>
    </comment>
    <comment ref="D24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336</xdr:row>
                <xdr:rowOff>7</xdr:rowOff>
              </xdr:from>
              <xdr:to>
                <xdr:col>5</xdr:col>
                <xdr:colOff>40</xdr:colOff>
                <xdr:row>340</xdr:row>
                <xdr:rowOff>13</xdr:rowOff>
              </xdr:to>
            </anchor>
          </commentPr>
        </mc:Choice>
        <mc:Fallback/>
      </mc:AlternateContent>
    </comment>
    <comment ref="E192" authorId="0">
      <text>
        <r>
          <rPr>
            <b val="true"/>
            <sz val="8"/>
            <color rgb="FF000000"/>
            <rFont val="Tahoma"/>
            <family val="0"/>
          </rPr>
          <t xml:space="preserve">msteven:
</t>
        </r>
        <r>
          <rPr>
            <sz val="8"/>
            <color rgb="FF000000"/>
            <rFont val="Tahoma"/>
            <family val="0"/>
          </rPr>
          <t xml:space="preserve">From Power MetaCheck
AX10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7</xdr:rowOff>
              </xdr:from>
              <xdr:to>
                <xdr:col>6</xdr:col>
                <xdr:colOff>40</xdr:colOff>
                <xdr:row>313</xdr:row>
                <xdr:rowOff>13</xdr:rowOff>
              </xdr:to>
            </anchor>
          </commentPr>
        </mc:Choice>
        <mc:Fallback/>
      </mc:AlternateContent>
    </comment>
    <comment ref="G1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Martha is this right?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307</xdr:row>
                <xdr:rowOff>7</xdr:rowOff>
              </xdr:from>
              <xdr:to>
                <xdr:col>9</xdr:col>
                <xdr:colOff>34</xdr:colOff>
                <xdr:row>311</xdr:row>
                <xdr:rowOff>13</xdr:rowOff>
              </xdr:to>
            </anchor>
          </commentPr>
        </mc:Choice>
        <mc:Fallback/>
      </mc:AlternateContent>
    </comment>
  </commentList>
</comments>
</file>

<file path=xl/comments1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report top page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216</xdr:row>
                <xdr:rowOff>8</xdr:rowOff>
              </xdr:from>
              <xdr:to>
                <xdr:col>5</xdr:col>
                <xdr:colOff>40</xdr:colOff>
                <xdr:row>277</xdr:row>
                <xdr:rowOff>14</xdr:rowOff>
              </xdr:to>
            </anchor>
          </commentPr>
        </mc:Choice>
        <mc:Fallback/>
      </mc:AlternateContent>
    </comment>
    <comment ref="G1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Martha is this right?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276</xdr:row>
                <xdr:rowOff>8</xdr:rowOff>
              </xdr:from>
              <xdr:to>
                <xdr:col>9</xdr:col>
                <xdr:colOff>34</xdr:colOff>
                <xdr:row>280</xdr:row>
                <xdr:rowOff>14</xdr:rowOff>
              </xdr:to>
            </anchor>
          </commentPr>
        </mc:Choice>
        <mc:Fallback/>
      </mc:AlternateContent>
    </comment>
    <comment ref="G154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Origination Value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279</xdr:row>
                <xdr:rowOff>8</xdr:rowOff>
              </xdr:from>
              <xdr:to>
                <xdr:col>9</xdr:col>
                <xdr:colOff>34</xdr:colOff>
                <xdr:row>283</xdr:row>
                <xdr:rowOff>14</xdr:rowOff>
              </xdr:to>
            </anchor>
          </commentPr>
        </mc:Choice>
        <mc:Fallback/>
      </mc:AlternateContent>
    </comment>
    <comment ref="G155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Origination Value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280</xdr:row>
                <xdr:rowOff>8</xdr:rowOff>
              </xdr:from>
              <xdr:to>
                <xdr:col>9</xdr:col>
                <xdr:colOff>34</xdr:colOff>
                <xdr:row>284</xdr:row>
                <xdr:rowOff>14</xdr:rowOff>
              </xdr:to>
            </anchor>
          </commentPr>
        </mc:Choice>
        <mc:Fallback/>
      </mc:AlternateContent>
    </comment>
  </commentList>
</comments>
</file>

<file path=xl/comments1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report top page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271</xdr:row>
                <xdr:rowOff>7</xdr:rowOff>
              </xdr:from>
              <xdr:to>
                <xdr:col>5</xdr:col>
                <xdr:colOff>40</xdr:colOff>
                <xdr:row>275</xdr:row>
                <xdr:rowOff>13</xdr:rowOff>
              </xdr:to>
            </anchor>
          </commentPr>
        </mc:Choice>
        <mc:Fallback/>
      </mc:AlternateContent>
    </comment>
    <comment ref="G1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Martha is this right?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274</xdr:row>
                <xdr:rowOff>7</xdr:rowOff>
              </xdr:from>
              <xdr:to>
                <xdr:col>9</xdr:col>
                <xdr:colOff>34</xdr:colOff>
                <xdr:row>278</xdr:row>
                <xdr:rowOff>13</xdr:rowOff>
              </xdr:to>
            </anchor>
          </commentPr>
        </mc:Choice>
        <mc:Fallback/>
      </mc:AlternateContent>
    </comment>
    <comment ref="G154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Origination Value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277</xdr:row>
                <xdr:rowOff>7</xdr:rowOff>
              </xdr:from>
              <xdr:to>
                <xdr:col>9</xdr:col>
                <xdr:colOff>34</xdr:colOff>
                <xdr:row>305</xdr:row>
                <xdr:rowOff>13</xdr:rowOff>
              </xdr:to>
            </anchor>
          </commentPr>
        </mc:Choice>
        <mc:Fallback/>
      </mc:AlternateContent>
    </comment>
    <comment ref="G155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Origination Value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278</xdr:row>
                <xdr:rowOff>7</xdr:rowOff>
              </xdr:from>
              <xdr:to>
                <xdr:col>9</xdr:col>
                <xdr:colOff>34</xdr:colOff>
                <xdr:row>306</xdr:row>
                <xdr:rowOff>13</xdr:rowOff>
              </xdr:to>
            </anchor>
          </commentPr>
        </mc:Choice>
        <mc:Fallback/>
      </mc:AlternateContent>
    </comment>
  </commentList>
</comments>
</file>

<file path=xl/comments1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30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ask martha if this is okay?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40</xdr:colOff>
                <xdr:row>311</xdr:row>
                <xdr:rowOff>13</xdr:rowOff>
              </xdr:to>
            </anchor>
          </commentPr>
        </mc:Choice>
        <mc:Fallback/>
      </mc:AlternateContent>
    </comment>
    <comment ref="E5" authorId="0">
      <text>
        <r>
          <rPr>
            <b val="true"/>
            <sz val="8"/>
            <color rgb="FF000000"/>
            <rFont val="Tahoma"/>
            <family val="0"/>
          </rPr>
          <t xml:space="preserve">msteven:
</t>
        </r>
        <r>
          <rPr>
            <sz val="8"/>
            <color rgb="FF000000"/>
            <rFont val="Tahoma"/>
            <family val="0"/>
          </rPr>
          <t xml:space="preserve">Combined Maturity Gap for certificates and physical power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3</xdr:row>
                <xdr:rowOff>7</xdr:rowOff>
              </xdr:from>
              <xdr:to>
                <xdr:col>6</xdr:col>
                <xdr:colOff>40</xdr:colOff>
                <xdr:row>93</xdr:row>
                <xdr:rowOff>13</xdr:rowOff>
              </xdr:to>
            </anchor>
          </commentPr>
        </mc:Choice>
        <mc:Fallback/>
      </mc:AlternateContent>
    </comment>
    <comment ref="E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comes from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317</xdr:row>
                <xdr:rowOff>7</xdr:rowOff>
              </xdr:from>
              <xdr:to>
                <xdr:col>6</xdr:col>
                <xdr:colOff>40</xdr:colOff>
                <xdr:row>321</xdr:row>
                <xdr:rowOff>13</xdr:rowOff>
              </xdr:to>
            </anchor>
          </commentPr>
        </mc:Choice>
        <mc:Fallback/>
      </mc:AlternateContent>
    </comment>
    <comment ref="G1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back out $100,000 from what the Brazil MTM Report shows as per Martha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312</xdr:row>
                <xdr:rowOff>7</xdr:rowOff>
              </xdr:from>
              <xdr:to>
                <xdr:col>9</xdr:col>
                <xdr:colOff>34</xdr:colOff>
                <xdr:row>316</xdr:row>
                <xdr:rowOff>13</xdr:rowOff>
              </xdr:to>
            </anchor>
          </commentPr>
        </mc:Choice>
        <mc:Fallback/>
      </mc:AlternateContent>
    </comment>
    <comment ref="G1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back out $100,000 from what the Brazil MTM Report shows as per Martha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313</xdr:row>
                <xdr:rowOff>7</xdr:rowOff>
              </xdr:from>
              <xdr:to>
                <xdr:col>9</xdr:col>
                <xdr:colOff>34</xdr:colOff>
                <xdr:row>317</xdr:row>
                <xdr:rowOff>13</xdr:rowOff>
              </xdr:to>
            </anchor>
          </commentPr>
        </mc:Choice>
        <mc:Fallback/>
      </mc:AlternateContent>
    </comment>
    <comment ref="G1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back out $100,000 from what the Brazil MTM Report shows as per Martha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314</xdr:row>
                <xdr:rowOff>7</xdr:rowOff>
              </xdr:from>
              <xdr:to>
                <xdr:col>9</xdr:col>
                <xdr:colOff>34</xdr:colOff>
                <xdr:row>318</xdr:row>
                <xdr:rowOff>13</xdr:rowOff>
              </xdr:to>
            </anchor>
          </commentPr>
        </mc:Choice>
        <mc:Fallback/>
      </mc:AlternateContent>
    </comment>
  </commentList>
</comments>
</file>

<file path=xl/comments16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G1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back out $100,000 from what the Brazil MTM Report shows as per Martha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314</xdr:row>
                <xdr:rowOff>7</xdr:rowOff>
              </xdr:from>
              <xdr:to>
                <xdr:col>9</xdr:col>
                <xdr:colOff>34</xdr:colOff>
                <xdr:row>318</xdr:row>
                <xdr:rowOff>13</xdr:rowOff>
              </xdr:to>
            </anchor>
          </commentPr>
        </mc:Choice>
        <mc:Fallback/>
      </mc:AlternateContent>
    </comment>
    <comment ref="G1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back out $100,000 from what the Brazil MTM Report shows as per Martha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315</xdr:row>
                <xdr:rowOff>7</xdr:rowOff>
              </xdr:from>
              <xdr:to>
                <xdr:col>9</xdr:col>
                <xdr:colOff>34</xdr:colOff>
                <xdr:row>319</xdr:row>
                <xdr:rowOff>13</xdr:rowOff>
              </xdr:to>
            </anchor>
          </commentPr>
        </mc:Choice>
        <mc:Fallback/>
      </mc:AlternateContent>
    </comment>
    <comment ref="G1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back out $100,000 from what the Brazil MTM Report shows as per Martha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316</xdr:row>
                <xdr:rowOff>7</xdr:rowOff>
              </xdr:from>
              <xdr:to>
                <xdr:col>9</xdr:col>
                <xdr:colOff>34</xdr:colOff>
                <xdr:row>320</xdr:row>
                <xdr:rowOff>13</xdr:rowOff>
              </xdr:to>
            </anchor>
          </commentPr>
        </mc:Choice>
        <mc:Fallback/>
      </mc:AlternateContent>
    </comment>
  </commentList>
</comments>
</file>

<file path=xl/comments17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5" authorId="0">
      <text>
        <r>
          <rPr>
            <sz val="8"/>
            <color rgb="FF000000"/>
            <rFont val="Tahoma"/>
            <family val="0"/>
          </rPr>
          <t xml:space="preserve">ssmith7:
this comes from THE TOP SHEET (PORT CALC PRINT OUT)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</xdr:row>
                <xdr:rowOff>7</xdr:rowOff>
              </xdr:from>
              <xdr:to>
                <xdr:col>5</xdr:col>
                <xdr:colOff>40</xdr:colOff>
                <xdr:row>7</xdr:row>
                <xdr:rowOff>13</xdr:rowOff>
              </xdr:to>
            </anchor>
          </commentPr>
        </mc:Choice>
        <mc:Fallback/>
      </mc:AlternateContent>
    </comment>
    <comment ref="D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was 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27</xdr:row>
                <xdr:rowOff>7</xdr:rowOff>
              </xdr:from>
              <xdr:to>
                <xdr:col>5</xdr:col>
                <xdr:colOff>40</xdr:colOff>
                <xdr:row>31</xdr:row>
                <xdr:rowOff>13</xdr:rowOff>
              </xdr:to>
            </anchor>
          </commentPr>
        </mc:Choice>
        <mc:Fallback/>
      </mc:AlternateContent>
    </comment>
  </commentList>
</comments>
</file>

<file path=xl/comments18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was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84</xdr:row>
                <xdr:rowOff>7</xdr:rowOff>
              </xdr:from>
              <xdr:to>
                <xdr:col>5</xdr:col>
                <xdr:colOff>40</xdr:colOff>
                <xdr:row>88</xdr:row>
                <xdr:rowOff>13</xdr:rowOff>
              </xdr:to>
            </anchor>
          </commentPr>
        </mc:Choice>
        <mc:Fallback/>
      </mc:AlternateContent>
    </comment>
    <comment ref="E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SARA THIS # IS IN THE METACHECK; DO I JUST OVERRIDE IT W/A ZERO??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83</xdr:row>
                <xdr:rowOff>7</xdr:rowOff>
              </xdr:from>
              <xdr:to>
                <xdr:col>6</xdr:col>
                <xdr:colOff>40</xdr:colOff>
                <xdr:row>87</xdr:row>
                <xdr:rowOff>13</xdr:rowOff>
              </xdr:to>
            </anchor>
          </commentPr>
        </mc:Choice>
        <mc:Fallback/>
      </mc:AlternateContent>
    </comment>
    <comment ref="E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was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84</xdr:row>
                <xdr:rowOff>7</xdr:rowOff>
              </xdr:from>
              <xdr:to>
                <xdr:col>6</xdr:col>
                <xdr:colOff>40</xdr:colOff>
                <xdr:row>88</xdr:row>
                <xdr:rowOff>13</xdr:rowOff>
              </xdr:to>
            </anchor>
          </commentPr>
        </mc:Choice>
        <mc:Fallback/>
      </mc:AlternateContent>
    </comment>
    <comment ref="G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was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84</xdr:row>
                <xdr:rowOff>7</xdr:rowOff>
              </xdr:from>
              <xdr:to>
                <xdr:col>9</xdr:col>
                <xdr:colOff>34</xdr:colOff>
                <xdr:row>88</xdr:row>
                <xdr:rowOff>13</xdr:rowOff>
              </xdr:to>
            </anchor>
          </commentPr>
        </mc:Choice>
        <mc:Fallback/>
      </mc:AlternateContent>
    </comment>
  </commentList>
</comments>
</file>

<file path=xl/comments19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nothing to report?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83</xdr:row>
                <xdr:rowOff>7</xdr:rowOff>
              </xdr:from>
              <xdr:to>
                <xdr:col>5</xdr:col>
                <xdr:colOff>40</xdr:colOff>
                <xdr:row>87</xdr:row>
                <xdr:rowOff>13</xdr:rowOff>
              </xdr:to>
            </anchor>
          </commentPr>
        </mc:Choice>
        <mc:Fallback/>
      </mc:AlternateContent>
    </comment>
    <comment ref="D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nothing to report?
This was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84</xdr:row>
                <xdr:rowOff>7</xdr:rowOff>
              </xdr:from>
              <xdr:to>
                <xdr:col>5</xdr:col>
                <xdr:colOff>40</xdr:colOff>
                <xdr:row>88</xdr:row>
                <xdr:rowOff>13</xdr:rowOff>
              </xdr:to>
            </anchor>
          </commentPr>
        </mc:Choice>
        <mc:Fallback/>
      </mc:AlternateContent>
    </comment>
    <comment ref="G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nothing to report?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83</xdr:row>
                <xdr:rowOff>7</xdr:rowOff>
              </xdr:from>
              <xdr:to>
                <xdr:col>9</xdr:col>
                <xdr:colOff>34</xdr:colOff>
                <xdr:row>87</xdr:row>
                <xdr:rowOff>13</xdr:rowOff>
              </xdr:to>
            </anchor>
          </commentPr>
        </mc:Choice>
        <mc:Fallback/>
      </mc:AlternateContent>
    </comment>
  </commentList>
</comments>
</file>

<file path=xl/comments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E14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comes from grms check out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316</xdr:row>
                <xdr:rowOff>5</xdr:rowOff>
              </xdr:from>
              <xdr:to>
                <xdr:col>6</xdr:col>
                <xdr:colOff>40</xdr:colOff>
                <xdr:row>320</xdr:row>
                <xdr:rowOff>11</xdr:rowOff>
              </xdr:to>
            </anchor>
          </commentPr>
        </mc:Choice>
        <mc:Fallback/>
      </mc:AlternateContent>
    </comment>
    <comment ref="E148" authorId="0">
      <text>
        <r>
          <rPr>
            <b val="true"/>
            <sz val="8"/>
            <color rgb="FF000000"/>
            <rFont val="Tahoma"/>
            <family val="0"/>
          </rPr>
          <t xml:space="preserve">msteven:
</t>
        </r>
        <r>
          <rPr>
            <sz val="8"/>
            <color rgb="FF000000"/>
            <rFont val="Tahoma"/>
            <family val="0"/>
          </rPr>
          <t xml:space="preserve">Comes from Power lMetacheck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317</xdr:row>
                <xdr:rowOff>5</xdr:rowOff>
              </xdr:from>
              <xdr:to>
                <xdr:col>6</xdr:col>
                <xdr:colOff>40</xdr:colOff>
                <xdr:row>321</xdr:row>
                <xdr:rowOff>11</xdr:rowOff>
              </xdr:to>
            </anchor>
          </commentPr>
        </mc:Choice>
        <mc:Fallback/>
      </mc:AlternateContent>
    </comment>
    <comment ref="E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313</xdr:row>
                <xdr:rowOff>5</xdr:rowOff>
              </xdr:from>
              <xdr:to>
                <xdr:col>6</xdr:col>
                <xdr:colOff>40</xdr:colOff>
                <xdr:row>317</xdr:row>
                <xdr:rowOff>11</xdr:rowOff>
              </xdr:to>
            </anchor>
          </commentPr>
        </mc:Choice>
        <mc:Fallback/>
      </mc:AlternateContent>
    </comment>
    <comment ref="E1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314</xdr:row>
                <xdr:rowOff>5</xdr:rowOff>
              </xdr:from>
              <xdr:to>
                <xdr:col>6</xdr:col>
                <xdr:colOff>40</xdr:colOff>
                <xdr:row>318</xdr:row>
                <xdr:rowOff>11</xdr:rowOff>
              </xdr:to>
            </anchor>
          </commentPr>
        </mc:Choice>
        <mc:Fallback/>
      </mc:AlternateContent>
    </comment>
    <comment ref="E1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315</xdr:row>
                <xdr:rowOff>5</xdr:rowOff>
              </xdr:from>
              <xdr:to>
                <xdr:col>6</xdr:col>
                <xdr:colOff>40</xdr:colOff>
                <xdr:row>319</xdr:row>
                <xdr:rowOff>11</xdr:rowOff>
              </xdr:to>
            </anchor>
          </commentPr>
        </mc:Choice>
        <mc:Fallback/>
      </mc:AlternateContent>
    </comment>
    <comment ref="E1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316</xdr:row>
                <xdr:rowOff>5</xdr:rowOff>
              </xdr:from>
              <xdr:to>
                <xdr:col>6</xdr:col>
                <xdr:colOff>40</xdr:colOff>
                <xdr:row>320</xdr:row>
                <xdr:rowOff>11</xdr:rowOff>
              </xdr:to>
            </anchor>
          </commentPr>
        </mc:Choice>
        <mc:Fallback/>
      </mc:AlternateContent>
    </comment>
    <comment ref="E1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317</xdr:row>
                <xdr:rowOff>5</xdr:rowOff>
              </xdr:from>
              <xdr:to>
                <xdr:col>6</xdr:col>
                <xdr:colOff>40</xdr:colOff>
                <xdr:row>321</xdr:row>
                <xdr:rowOff>11</xdr:rowOff>
              </xdr:to>
            </anchor>
          </commentPr>
        </mc:Choice>
        <mc:Fallback/>
      </mc:AlternateContent>
    </comment>
    <comment ref="E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318</xdr:row>
                <xdr:rowOff>5</xdr:rowOff>
              </xdr:from>
              <xdr:to>
                <xdr:col>6</xdr:col>
                <xdr:colOff>40</xdr:colOff>
                <xdr:row>322</xdr:row>
                <xdr:rowOff>11</xdr:rowOff>
              </xdr:to>
            </anchor>
          </commentPr>
        </mc:Choice>
        <mc:Fallback/>
      </mc:AlternateContent>
    </comment>
    <comment ref="E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319</xdr:row>
                <xdr:rowOff>5</xdr:rowOff>
              </xdr:from>
              <xdr:to>
                <xdr:col>6</xdr:col>
                <xdr:colOff>40</xdr:colOff>
                <xdr:row>323</xdr:row>
                <xdr:rowOff>11</xdr:rowOff>
              </xdr:to>
            </anchor>
          </commentPr>
        </mc:Choice>
        <mc:Fallback/>
      </mc:AlternateContent>
    </comment>
    <comment ref="E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320</xdr:row>
                <xdr:rowOff>5</xdr:rowOff>
              </xdr:from>
              <xdr:to>
                <xdr:col>6</xdr:col>
                <xdr:colOff>40</xdr:colOff>
                <xdr:row>324</xdr:row>
                <xdr:rowOff>11</xdr:rowOff>
              </xdr:to>
            </anchor>
          </commentPr>
        </mc:Choice>
        <mc:Fallback/>
      </mc:AlternateContent>
    </comment>
    <comment ref="E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17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5</xdr:rowOff>
              </xdr:from>
              <xdr:to>
                <xdr:col>6</xdr:col>
                <xdr:colOff>40</xdr:colOff>
                <xdr:row>315</xdr:row>
                <xdr:rowOff>11</xdr:rowOff>
              </xdr:to>
            </anchor>
          </commentPr>
        </mc:Choice>
        <mc:Fallback/>
      </mc:AlternateContent>
    </comment>
    <comment ref="E17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312</xdr:row>
                <xdr:rowOff>5</xdr:rowOff>
              </xdr:from>
              <xdr:to>
                <xdr:col>6</xdr:col>
                <xdr:colOff>40</xdr:colOff>
                <xdr:row>316</xdr:row>
                <xdr:rowOff>11</xdr:rowOff>
              </xdr:to>
            </anchor>
          </commentPr>
        </mc:Choice>
        <mc:Fallback/>
      </mc:AlternateContent>
    </comment>
    <comment ref="E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313</xdr:row>
                <xdr:rowOff>5</xdr:rowOff>
              </xdr:from>
              <xdr:to>
                <xdr:col>6</xdr:col>
                <xdr:colOff>40</xdr:colOff>
                <xdr:row>317</xdr:row>
                <xdr:rowOff>11</xdr:rowOff>
              </xdr:to>
            </anchor>
          </commentPr>
        </mc:Choice>
        <mc:Fallback/>
      </mc:AlternateContent>
    </comment>
    <comment ref="E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314</xdr:row>
                <xdr:rowOff>5</xdr:rowOff>
              </xdr:from>
              <xdr:to>
                <xdr:col>6</xdr:col>
                <xdr:colOff>40</xdr:colOff>
                <xdr:row>318</xdr:row>
                <xdr:rowOff>11</xdr:rowOff>
              </xdr:to>
            </anchor>
          </commentPr>
        </mc:Choice>
        <mc:Fallback/>
      </mc:AlternateContent>
    </comment>
    <comment ref="E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315</xdr:row>
                <xdr:rowOff>5</xdr:rowOff>
              </xdr:from>
              <xdr:to>
                <xdr:col>6</xdr:col>
                <xdr:colOff>40</xdr:colOff>
                <xdr:row>319</xdr:row>
                <xdr:rowOff>11</xdr:rowOff>
              </xdr:to>
            </anchor>
          </commentPr>
        </mc:Choice>
        <mc:Fallback/>
      </mc:AlternateContent>
    </comment>
    <comment ref="E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316</xdr:row>
                <xdr:rowOff>5</xdr:rowOff>
              </xdr:from>
              <xdr:to>
                <xdr:col>6</xdr:col>
                <xdr:colOff>40</xdr:colOff>
                <xdr:row>320</xdr:row>
                <xdr:rowOff>11</xdr:rowOff>
              </xdr:to>
            </anchor>
          </commentPr>
        </mc:Choice>
        <mc:Fallback/>
      </mc:AlternateContent>
    </comment>
    <comment ref="E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317</xdr:row>
                <xdr:rowOff>5</xdr:rowOff>
              </xdr:from>
              <xdr:to>
                <xdr:col>6</xdr:col>
                <xdr:colOff>40</xdr:colOff>
                <xdr:row>321</xdr:row>
                <xdr:rowOff>11</xdr:rowOff>
              </xdr:to>
            </anchor>
          </commentPr>
        </mc:Choice>
        <mc:Fallback/>
      </mc:AlternateContent>
    </comment>
    <comment ref="E17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318</xdr:row>
                <xdr:rowOff>5</xdr:rowOff>
              </xdr:from>
              <xdr:to>
                <xdr:col>6</xdr:col>
                <xdr:colOff>40</xdr:colOff>
                <xdr:row>322</xdr:row>
                <xdr:rowOff>11</xdr:rowOff>
              </xdr:to>
            </anchor>
          </commentPr>
        </mc:Choice>
        <mc:Fallback/>
      </mc:AlternateContent>
    </comment>
    <comment ref="E18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319</xdr:row>
                <xdr:rowOff>5</xdr:rowOff>
              </xdr:from>
              <xdr:to>
                <xdr:col>6</xdr:col>
                <xdr:colOff>40</xdr:colOff>
                <xdr:row>323</xdr:row>
                <xdr:rowOff>11</xdr:rowOff>
              </xdr:to>
            </anchor>
          </commentPr>
        </mc:Choice>
        <mc:Fallback/>
      </mc:AlternateContent>
    </comment>
    <comment ref="E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R10 on power metacheck file as of 7/5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R10 on power metacheck file as of 7/5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R10 on power metacheck file as of 7/5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5</xdr:rowOff>
              </xdr:from>
              <xdr:to>
                <xdr:col>6</xdr:col>
                <xdr:colOff>40</xdr:colOff>
                <xdr:row>315</xdr:row>
                <xdr:rowOff>11</xdr:rowOff>
              </xdr:to>
            </anchor>
          </commentPr>
        </mc:Choice>
        <mc:Fallback/>
      </mc:AlternateContent>
    </comment>
    <comment ref="E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312</xdr:row>
                <xdr:rowOff>5</xdr:rowOff>
              </xdr:from>
              <xdr:to>
                <xdr:col>6</xdr:col>
                <xdr:colOff>40</xdr:colOff>
                <xdr:row>316</xdr:row>
                <xdr:rowOff>11</xdr:rowOff>
              </xdr:to>
            </anchor>
          </commentPr>
        </mc:Choice>
        <mc:Fallback/>
      </mc:AlternateContent>
    </comment>
    <comment ref="E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313</xdr:row>
                <xdr:rowOff>5</xdr:rowOff>
              </xdr:from>
              <xdr:to>
                <xdr:col>6</xdr:col>
                <xdr:colOff>40</xdr:colOff>
                <xdr:row>317</xdr:row>
                <xdr:rowOff>11</xdr:rowOff>
              </xdr:to>
            </anchor>
          </commentPr>
        </mc:Choice>
        <mc:Fallback/>
      </mc:AlternateContent>
    </comment>
    <comment ref="E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314</xdr:row>
                <xdr:rowOff>5</xdr:rowOff>
              </xdr:from>
              <xdr:to>
                <xdr:col>6</xdr:col>
                <xdr:colOff>40</xdr:colOff>
                <xdr:row>318</xdr:row>
                <xdr:rowOff>11</xdr:rowOff>
              </xdr:to>
            </anchor>
          </commentPr>
        </mc:Choice>
        <mc:Fallback/>
      </mc:AlternateContent>
    </comment>
    <comment ref="E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315</xdr:row>
                <xdr:rowOff>5</xdr:rowOff>
              </xdr:from>
              <xdr:to>
                <xdr:col>6</xdr:col>
                <xdr:colOff>40</xdr:colOff>
                <xdr:row>319</xdr:row>
                <xdr:rowOff>11</xdr:rowOff>
              </xdr:to>
            </anchor>
          </commentPr>
        </mc:Choice>
        <mc:Fallback/>
      </mc:AlternateContent>
    </comment>
    <comment ref="E19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316</xdr:row>
                <xdr:rowOff>5</xdr:rowOff>
              </xdr:from>
              <xdr:to>
                <xdr:col>6</xdr:col>
                <xdr:colOff>40</xdr:colOff>
                <xdr:row>320</xdr:row>
                <xdr:rowOff>11</xdr:rowOff>
              </xdr:to>
            </anchor>
          </commentPr>
        </mc:Choice>
        <mc:Fallback/>
      </mc:AlternateContent>
    </comment>
    <comment ref="E20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317</xdr:row>
                <xdr:rowOff>5</xdr:rowOff>
              </xdr:from>
              <xdr:to>
                <xdr:col>6</xdr:col>
                <xdr:colOff>40</xdr:colOff>
                <xdr:row>321</xdr:row>
                <xdr:rowOff>11</xdr:rowOff>
              </xdr:to>
            </anchor>
          </commentPr>
        </mc:Choice>
        <mc:Fallback/>
      </mc:AlternateContent>
    </comment>
    <comment ref="E20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318</xdr:row>
                <xdr:rowOff>5</xdr:rowOff>
              </xdr:from>
              <xdr:to>
                <xdr:col>6</xdr:col>
                <xdr:colOff>40</xdr:colOff>
                <xdr:row>322</xdr:row>
                <xdr:rowOff>11</xdr:rowOff>
              </xdr:to>
            </anchor>
          </commentPr>
        </mc:Choice>
        <mc:Fallback/>
      </mc:AlternateContent>
    </comment>
    <comment ref="E20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319</xdr:row>
                <xdr:rowOff>5</xdr:rowOff>
              </xdr:from>
              <xdr:to>
                <xdr:col>6</xdr:col>
                <xdr:colOff>40</xdr:colOff>
                <xdr:row>323</xdr:row>
                <xdr:rowOff>11</xdr:rowOff>
              </xdr:to>
            </anchor>
          </commentPr>
        </mc:Choice>
        <mc:Fallback/>
      </mc:AlternateContent>
    </comment>
    <comment ref="E20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320</xdr:row>
                <xdr:rowOff>5</xdr:rowOff>
              </xdr:from>
              <xdr:to>
                <xdr:col>6</xdr:col>
                <xdr:colOff>40</xdr:colOff>
                <xdr:row>324</xdr:row>
                <xdr:rowOff>11</xdr:rowOff>
              </xdr:to>
            </anchor>
          </commentPr>
        </mc:Choice>
        <mc:Fallback/>
      </mc:AlternateContent>
    </comment>
    <comment ref="E20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321</xdr:row>
                <xdr:rowOff>5</xdr:rowOff>
              </xdr:from>
              <xdr:to>
                <xdr:col>6</xdr:col>
                <xdr:colOff>40</xdr:colOff>
                <xdr:row>325</xdr:row>
                <xdr:rowOff>11</xdr:rowOff>
              </xdr:to>
            </anchor>
          </commentPr>
        </mc:Choice>
        <mc:Fallback/>
      </mc:AlternateContent>
    </comment>
    <comment ref="E20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322</xdr:row>
                <xdr:rowOff>5</xdr:rowOff>
              </xdr:from>
              <xdr:to>
                <xdr:col>6</xdr:col>
                <xdr:colOff>40</xdr:colOff>
                <xdr:row>326</xdr:row>
                <xdr:rowOff>11</xdr:rowOff>
              </xdr:to>
            </anchor>
          </commentPr>
        </mc:Choice>
        <mc:Fallback/>
      </mc:AlternateContent>
    </comment>
    <comment ref="E20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323</xdr:row>
                <xdr:rowOff>5</xdr:rowOff>
              </xdr:from>
              <xdr:to>
                <xdr:col>6</xdr:col>
                <xdr:colOff>40</xdr:colOff>
                <xdr:row>327</xdr:row>
                <xdr:rowOff>11</xdr:rowOff>
              </xdr:to>
            </anchor>
          </commentPr>
        </mc:Choice>
        <mc:Fallback/>
      </mc:AlternateContent>
    </comment>
    <comment ref="E20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324</xdr:row>
                <xdr:rowOff>5</xdr:rowOff>
              </xdr:from>
              <xdr:to>
                <xdr:col>6</xdr:col>
                <xdr:colOff>40</xdr:colOff>
                <xdr:row>328</xdr:row>
                <xdr:rowOff>11</xdr:rowOff>
              </xdr:to>
            </anchor>
          </commentPr>
        </mc:Choice>
        <mc:Fallback/>
      </mc:AlternateContent>
    </comment>
    <comment ref="E20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325</xdr:row>
                <xdr:rowOff>5</xdr:rowOff>
              </xdr:from>
              <xdr:to>
                <xdr:col>6</xdr:col>
                <xdr:colOff>40</xdr:colOff>
                <xdr:row>329</xdr:row>
                <xdr:rowOff>11</xdr:rowOff>
              </xdr:to>
            </anchor>
          </commentPr>
        </mc:Choice>
        <mc:Fallback/>
      </mc:AlternateContent>
    </comment>
    <comment ref="E20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326</xdr:row>
                <xdr:rowOff>5</xdr:rowOff>
              </xdr:from>
              <xdr:to>
                <xdr:col>6</xdr:col>
                <xdr:colOff>40</xdr:colOff>
                <xdr:row>330</xdr:row>
                <xdr:rowOff>11</xdr:rowOff>
              </xdr:to>
            </anchor>
          </commentPr>
        </mc:Choice>
        <mc:Fallback/>
      </mc:AlternateContent>
    </comment>
    <comment ref="E21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327</xdr:row>
                <xdr:rowOff>5</xdr:rowOff>
              </xdr:from>
              <xdr:to>
                <xdr:col>6</xdr:col>
                <xdr:colOff>40</xdr:colOff>
                <xdr:row>331</xdr:row>
                <xdr:rowOff>11</xdr:rowOff>
              </xdr:to>
            </anchor>
          </commentPr>
        </mc:Choice>
        <mc:Fallback/>
      </mc:AlternateContent>
    </comment>
    <comment ref="E21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328</xdr:row>
                <xdr:rowOff>5</xdr:rowOff>
              </xdr:from>
              <xdr:to>
                <xdr:col>6</xdr:col>
                <xdr:colOff>40</xdr:colOff>
                <xdr:row>332</xdr:row>
                <xdr:rowOff>11</xdr:rowOff>
              </xdr:to>
            </anchor>
          </commentPr>
        </mc:Choice>
        <mc:Fallback/>
      </mc:AlternateContent>
    </comment>
    <comment ref="E21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329</xdr:row>
                <xdr:rowOff>5</xdr:rowOff>
              </xdr:from>
              <xdr:to>
                <xdr:col>6</xdr:col>
                <xdr:colOff>40</xdr:colOff>
                <xdr:row>333</xdr:row>
                <xdr:rowOff>11</xdr:rowOff>
              </xdr:to>
            </anchor>
          </commentPr>
        </mc:Choice>
        <mc:Fallback/>
      </mc:AlternateContent>
    </comment>
    <comment ref="E21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330</xdr:row>
                <xdr:rowOff>5</xdr:rowOff>
              </xdr:from>
              <xdr:to>
                <xdr:col>6</xdr:col>
                <xdr:colOff>40</xdr:colOff>
                <xdr:row>334</xdr:row>
                <xdr:rowOff>11</xdr:rowOff>
              </xdr:to>
            </anchor>
          </commentPr>
        </mc:Choice>
        <mc:Fallback/>
      </mc:AlternateContent>
    </comment>
    <comment ref="E21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331</xdr:row>
                <xdr:rowOff>5</xdr:rowOff>
              </xdr:from>
              <xdr:to>
                <xdr:col>6</xdr:col>
                <xdr:colOff>40</xdr:colOff>
                <xdr:row>335</xdr:row>
                <xdr:rowOff>11</xdr:rowOff>
              </xdr:to>
            </anchor>
          </commentPr>
        </mc:Choice>
        <mc:Fallback/>
      </mc:AlternateContent>
    </comment>
    <comment ref="E21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332</xdr:row>
                <xdr:rowOff>5</xdr:rowOff>
              </xdr:from>
              <xdr:to>
                <xdr:col>6</xdr:col>
                <xdr:colOff>40</xdr:colOff>
                <xdr:row>336</xdr:row>
                <xdr:rowOff>11</xdr:rowOff>
              </xdr:to>
            </anchor>
          </commentPr>
        </mc:Choice>
        <mc:Fallback/>
      </mc:AlternateContent>
    </comment>
    <comment ref="E21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333</xdr:row>
                <xdr:rowOff>5</xdr:rowOff>
              </xdr:from>
              <xdr:to>
                <xdr:col>6</xdr:col>
                <xdr:colOff>40</xdr:colOff>
                <xdr:row>337</xdr:row>
                <xdr:rowOff>11</xdr:rowOff>
              </xdr:to>
            </anchor>
          </commentPr>
        </mc:Choice>
        <mc:Fallback/>
      </mc:AlternateContent>
    </comment>
    <comment ref="E21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312</xdr:row>
                <xdr:rowOff>5</xdr:rowOff>
              </xdr:from>
              <xdr:to>
                <xdr:col>6</xdr:col>
                <xdr:colOff>40</xdr:colOff>
                <xdr:row>316</xdr:row>
                <xdr:rowOff>11</xdr:rowOff>
              </xdr:to>
            </anchor>
          </commentPr>
        </mc:Choice>
        <mc:Fallback/>
      </mc:AlternateContent>
    </comment>
    <comment ref="E21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313</xdr:row>
                <xdr:rowOff>5</xdr:rowOff>
              </xdr:from>
              <xdr:to>
                <xdr:col>6</xdr:col>
                <xdr:colOff>40</xdr:colOff>
                <xdr:row>317</xdr:row>
                <xdr:rowOff>11</xdr:rowOff>
              </xdr:to>
            </anchor>
          </commentPr>
        </mc:Choice>
        <mc:Fallback/>
      </mc:AlternateContent>
    </comment>
    <comment ref="E21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314</xdr:row>
                <xdr:rowOff>5</xdr:rowOff>
              </xdr:from>
              <xdr:to>
                <xdr:col>6</xdr:col>
                <xdr:colOff>40</xdr:colOff>
                <xdr:row>318</xdr:row>
                <xdr:rowOff>11</xdr:rowOff>
              </xdr:to>
            </anchor>
          </commentPr>
        </mc:Choice>
        <mc:Fallback/>
      </mc:AlternateContent>
    </comment>
    <comment ref="E22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315</xdr:row>
                <xdr:rowOff>5</xdr:rowOff>
              </xdr:from>
              <xdr:to>
                <xdr:col>6</xdr:col>
                <xdr:colOff>40</xdr:colOff>
                <xdr:row>319</xdr:row>
                <xdr:rowOff>11</xdr:rowOff>
              </xdr:to>
            </anchor>
          </commentPr>
        </mc:Choice>
        <mc:Fallback/>
      </mc:AlternateContent>
    </comment>
    <comment ref="E22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316</xdr:row>
                <xdr:rowOff>5</xdr:rowOff>
              </xdr:from>
              <xdr:to>
                <xdr:col>6</xdr:col>
                <xdr:colOff>40</xdr:colOff>
                <xdr:row>320</xdr:row>
                <xdr:rowOff>11</xdr:rowOff>
              </xdr:to>
            </anchor>
          </commentPr>
        </mc:Choice>
        <mc:Fallback/>
      </mc:AlternateContent>
    </comment>
    <comment ref="E22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317</xdr:row>
                <xdr:rowOff>5</xdr:rowOff>
              </xdr:from>
              <xdr:to>
                <xdr:col>6</xdr:col>
                <xdr:colOff>40</xdr:colOff>
                <xdr:row>321</xdr:row>
                <xdr:rowOff>11</xdr:rowOff>
              </xdr:to>
            </anchor>
          </commentPr>
        </mc:Choice>
        <mc:Fallback/>
      </mc:AlternateContent>
    </comment>
    <comment ref="E22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318</xdr:row>
                <xdr:rowOff>5</xdr:rowOff>
              </xdr:from>
              <xdr:to>
                <xdr:col>6</xdr:col>
                <xdr:colOff>40</xdr:colOff>
                <xdr:row>322</xdr:row>
                <xdr:rowOff>11</xdr:rowOff>
              </xdr:to>
            </anchor>
          </commentPr>
        </mc:Choice>
        <mc:Fallback/>
      </mc:AlternateContent>
    </comment>
    <comment ref="E22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319</xdr:row>
                <xdr:rowOff>5</xdr:rowOff>
              </xdr:from>
              <xdr:to>
                <xdr:col>6</xdr:col>
                <xdr:colOff>40</xdr:colOff>
                <xdr:row>323</xdr:row>
                <xdr:rowOff>11</xdr:rowOff>
              </xdr:to>
            </anchor>
          </commentPr>
        </mc:Choice>
        <mc:Fallback/>
      </mc:AlternateContent>
    </comment>
    <comment ref="E22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320</xdr:row>
                <xdr:rowOff>5</xdr:rowOff>
              </xdr:from>
              <xdr:to>
                <xdr:col>6</xdr:col>
                <xdr:colOff>40</xdr:colOff>
                <xdr:row>324</xdr:row>
                <xdr:rowOff>11</xdr:rowOff>
              </xdr:to>
            </anchor>
          </commentPr>
        </mc:Choice>
        <mc:Fallback/>
      </mc:AlternateContent>
    </comment>
    <comment ref="E22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321</xdr:row>
                <xdr:rowOff>5</xdr:rowOff>
              </xdr:from>
              <xdr:to>
                <xdr:col>6</xdr:col>
                <xdr:colOff>40</xdr:colOff>
                <xdr:row>325</xdr:row>
                <xdr:rowOff>11</xdr:rowOff>
              </xdr:to>
            </anchor>
          </commentPr>
        </mc:Choice>
        <mc:Fallback/>
      </mc:AlternateContent>
    </comment>
    <comment ref="E2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322</xdr:row>
                <xdr:rowOff>5</xdr:rowOff>
              </xdr:from>
              <xdr:to>
                <xdr:col>6</xdr:col>
                <xdr:colOff>40</xdr:colOff>
                <xdr:row>326</xdr:row>
                <xdr:rowOff>11</xdr:rowOff>
              </xdr:to>
            </anchor>
          </commentPr>
        </mc:Choice>
        <mc:Fallback/>
      </mc:AlternateContent>
    </comment>
    <comment ref="E2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2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23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23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5</xdr:rowOff>
              </xdr:from>
              <xdr:to>
                <xdr:col>6</xdr:col>
                <xdr:colOff>40</xdr:colOff>
                <xdr:row>315</xdr:row>
                <xdr:rowOff>11</xdr:rowOff>
              </xdr:to>
            </anchor>
          </commentPr>
        </mc:Choice>
        <mc:Fallback/>
      </mc:AlternateContent>
    </comment>
    <comment ref="E23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312</xdr:row>
                <xdr:rowOff>5</xdr:rowOff>
              </xdr:from>
              <xdr:to>
                <xdr:col>6</xdr:col>
                <xdr:colOff>40</xdr:colOff>
                <xdr:row>316</xdr:row>
                <xdr:rowOff>11</xdr:rowOff>
              </xdr:to>
            </anchor>
          </commentPr>
        </mc:Choice>
        <mc:Fallback/>
      </mc:AlternateContent>
    </comment>
    <comment ref="E23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313</xdr:row>
                <xdr:rowOff>5</xdr:rowOff>
              </xdr:from>
              <xdr:to>
                <xdr:col>6</xdr:col>
                <xdr:colOff>40</xdr:colOff>
                <xdr:row>317</xdr:row>
                <xdr:rowOff>11</xdr:rowOff>
              </xdr:to>
            </anchor>
          </commentPr>
        </mc:Choice>
        <mc:Fallback/>
      </mc:AlternateContent>
    </comment>
    <comment ref="E2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314</xdr:row>
                <xdr:rowOff>5</xdr:rowOff>
              </xdr:from>
              <xdr:to>
                <xdr:col>6</xdr:col>
                <xdr:colOff>40</xdr:colOff>
                <xdr:row>318</xdr:row>
                <xdr:rowOff>11</xdr:rowOff>
              </xdr:to>
            </anchor>
          </commentPr>
        </mc:Choice>
        <mc:Fallback/>
      </mc:AlternateContent>
    </comment>
    <comment ref="E23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315</xdr:row>
                <xdr:rowOff>5</xdr:rowOff>
              </xdr:from>
              <xdr:to>
                <xdr:col>6</xdr:col>
                <xdr:colOff>40</xdr:colOff>
                <xdr:row>319</xdr:row>
                <xdr:rowOff>11</xdr:rowOff>
              </xdr:to>
            </anchor>
          </commentPr>
        </mc:Choice>
        <mc:Fallback/>
      </mc:AlternateContent>
    </comment>
    <comment ref="E23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316</xdr:row>
                <xdr:rowOff>5</xdr:rowOff>
              </xdr:from>
              <xdr:to>
                <xdr:col>6</xdr:col>
                <xdr:colOff>40</xdr:colOff>
                <xdr:row>320</xdr:row>
                <xdr:rowOff>11</xdr:rowOff>
              </xdr:to>
            </anchor>
          </commentPr>
        </mc:Choice>
        <mc:Fallback/>
      </mc:AlternateContent>
    </comment>
    <comment ref="E23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317</xdr:row>
                <xdr:rowOff>5</xdr:rowOff>
              </xdr:from>
              <xdr:to>
                <xdr:col>6</xdr:col>
                <xdr:colOff>40</xdr:colOff>
                <xdr:row>321</xdr:row>
                <xdr:rowOff>11</xdr:rowOff>
              </xdr:to>
            </anchor>
          </commentPr>
        </mc:Choice>
        <mc:Fallback/>
      </mc:AlternateContent>
    </comment>
    <comment ref="E23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318</xdr:row>
                <xdr:rowOff>5</xdr:rowOff>
              </xdr:from>
              <xdr:to>
                <xdr:col>6</xdr:col>
                <xdr:colOff>40</xdr:colOff>
                <xdr:row>322</xdr:row>
                <xdr:rowOff>11</xdr:rowOff>
              </xdr:to>
            </anchor>
          </commentPr>
        </mc:Choice>
        <mc:Fallback/>
      </mc:AlternateContent>
    </comment>
    <comment ref="E23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319</xdr:row>
                <xdr:rowOff>5</xdr:rowOff>
              </xdr:from>
              <xdr:to>
                <xdr:col>6</xdr:col>
                <xdr:colOff>40</xdr:colOff>
                <xdr:row>323</xdr:row>
                <xdr:rowOff>11</xdr:rowOff>
              </xdr:to>
            </anchor>
          </commentPr>
        </mc:Choice>
        <mc:Fallback/>
      </mc:AlternateContent>
    </comment>
    <comment ref="E24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320</xdr:row>
                <xdr:rowOff>5</xdr:rowOff>
              </xdr:from>
              <xdr:to>
                <xdr:col>6</xdr:col>
                <xdr:colOff>40</xdr:colOff>
                <xdr:row>324</xdr:row>
                <xdr:rowOff>11</xdr:rowOff>
              </xdr:to>
            </anchor>
          </commentPr>
        </mc:Choice>
        <mc:Fallback/>
      </mc:AlternateContent>
    </comment>
    <comment ref="E24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321</xdr:row>
                <xdr:rowOff>5</xdr:rowOff>
              </xdr:from>
              <xdr:to>
                <xdr:col>6</xdr:col>
                <xdr:colOff>40</xdr:colOff>
                <xdr:row>325</xdr:row>
                <xdr:rowOff>11</xdr:rowOff>
              </xdr:to>
            </anchor>
          </commentPr>
        </mc:Choice>
        <mc:Fallback/>
      </mc:AlternateContent>
    </comment>
    <comment ref="E24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322</xdr:row>
                <xdr:rowOff>5</xdr:rowOff>
              </xdr:from>
              <xdr:to>
                <xdr:col>6</xdr:col>
                <xdr:colOff>40</xdr:colOff>
                <xdr:row>326</xdr:row>
                <xdr:rowOff>11</xdr:rowOff>
              </xdr:to>
            </anchor>
          </commentPr>
        </mc:Choice>
        <mc:Fallback/>
      </mc:AlternateContent>
    </comment>
    <comment ref="E24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323</xdr:row>
                <xdr:rowOff>5</xdr:rowOff>
              </xdr:from>
              <xdr:to>
                <xdr:col>6</xdr:col>
                <xdr:colOff>40</xdr:colOff>
                <xdr:row>327</xdr:row>
                <xdr:rowOff>11</xdr:rowOff>
              </xdr:to>
            </anchor>
          </commentPr>
        </mc:Choice>
        <mc:Fallback/>
      </mc:AlternateContent>
    </comment>
    <comment ref="E24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324</xdr:row>
                <xdr:rowOff>5</xdr:rowOff>
              </xdr:from>
              <xdr:to>
                <xdr:col>6</xdr:col>
                <xdr:colOff>40</xdr:colOff>
                <xdr:row>328</xdr:row>
                <xdr:rowOff>11</xdr:rowOff>
              </xdr:to>
            </anchor>
          </commentPr>
        </mc:Choice>
        <mc:Fallback/>
      </mc:AlternateContent>
    </comment>
    <comment ref="E24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325</xdr:row>
                <xdr:rowOff>5</xdr:rowOff>
              </xdr:from>
              <xdr:to>
                <xdr:col>6</xdr:col>
                <xdr:colOff>40</xdr:colOff>
                <xdr:row>329</xdr:row>
                <xdr:rowOff>11</xdr:rowOff>
              </xdr:to>
            </anchor>
          </commentPr>
        </mc:Choice>
        <mc:Fallback/>
      </mc:AlternateContent>
    </comment>
    <comment ref="E24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326</xdr:row>
                <xdr:rowOff>5</xdr:rowOff>
              </xdr:from>
              <xdr:to>
                <xdr:col>6</xdr:col>
                <xdr:colOff>40</xdr:colOff>
                <xdr:row>330</xdr:row>
                <xdr:rowOff>11</xdr:rowOff>
              </xdr:to>
            </anchor>
          </commentPr>
        </mc:Choice>
        <mc:Fallback/>
      </mc:AlternateContent>
    </comment>
    <comment ref="E24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327</xdr:row>
                <xdr:rowOff>5</xdr:rowOff>
              </xdr:from>
              <xdr:to>
                <xdr:col>6</xdr:col>
                <xdr:colOff>40</xdr:colOff>
                <xdr:row>331</xdr:row>
                <xdr:rowOff>11</xdr:rowOff>
              </xdr:to>
            </anchor>
          </commentPr>
        </mc:Choice>
        <mc:Fallback/>
      </mc:AlternateContent>
    </comment>
    <comment ref="E2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328</xdr:row>
                <xdr:rowOff>5</xdr:rowOff>
              </xdr:from>
              <xdr:to>
                <xdr:col>6</xdr:col>
                <xdr:colOff>40</xdr:colOff>
                <xdr:row>332</xdr:row>
                <xdr:rowOff>11</xdr:rowOff>
              </xdr:to>
            </anchor>
          </commentPr>
        </mc:Choice>
        <mc:Fallback/>
      </mc:AlternateContent>
    </comment>
    <comment ref="E24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329</xdr:row>
                <xdr:rowOff>5</xdr:rowOff>
              </xdr:from>
              <xdr:to>
                <xdr:col>6</xdr:col>
                <xdr:colOff>40</xdr:colOff>
                <xdr:row>333</xdr:row>
                <xdr:rowOff>11</xdr:rowOff>
              </xdr:to>
            </anchor>
          </commentPr>
        </mc:Choice>
        <mc:Fallback/>
      </mc:AlternateContent>
    </comment>
    <comment ref="E2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330</xdr:row>
                <xdr:rowOff>5</xdr:rowOff>
              </xdr:from>
              <xdr:to>
                <xdr:col>6</xdr:col>
                <xdr:colOff>40</xdr:colOff>
                <xdr:row>334</xdr:row>
                <xdr:rowOff>11</xdr:rowOff>
              </xdr:to>
            </anchor>
          </commentPr>
        </mc:Choice>
        <mc:Fallback/>
      </mc:AlternateContent>
    </comment>
  </commentList>
</comments>
</file>

<file path=xl/comments20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NEED TO MAKE SURE WE ARE REPORTING CORRECTLY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83</xdr:row>
                <xdr:rowOff>7</xdr:rowOff>
              </xdr:from>
              <xdr:to>
                <xdr:col>5</xdr:col>
                <xdr:colOff>40</xdr:colOff>
                <xdr:row>87</xdr:row>
                <xdr:rowOff>13</xdr:rowOff>
              </xdr:to>
            </anchor>
          </commentPr>
        </mc:Choice>
        <mc:Fallback/>
      </mc:AlternateContent>
    </comment>
    <comment ref="D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book was not calc'd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84</xdr:row>
                <xdr:rowOff>7</xdr:rowOff>
              </xdr:from>
              <xdr:to>
                <xdr:col>5</xdr:col>
                <xdr:colOff>40</xdr:colOff>
                <xdr:row>88</xdr:row>
                <xdr:rowOff>13</xdr:rowOff>
              </xdr:to>
            </anchor>
          </commentPr>
        </mc:Choice>
        <mc:Fallback/>
      </mc:AlternateContent>
    </comment>
    <comment ref="G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NEED TO MAKE SURE WE ARE REPORTING CORRECTLY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83</xdr:row>
                <xdr:rowOff>7</xdr:rowOff>
              </xdr:from>
              <xdr:to>
                <xdr:col>9</xdr:col>
                <xdr:colOff>34</xdr:colOff>
                <xdr:row>87</xdr:row>
                <xdr:rowOff>13</xdr:rowOff>
              </xdr:to>
            </anchor>
          </commentPr>
        </mc:Choice>
        <mc:Fallback/>
      </mc:AlternateContent>
    </comment>
  </commentList>
</comments>
</file>

<file path=xl/comments2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5" authorId="0">
      <text>
        <r>
          <rPr>
            <sz val="8"/>
            <color rgb="FF000000"/>
            <rFont val="Tahoma"/>
            <family val="0"/>
          </rPr>
          <t xml:space="preserve">ssmith7:
this comes from THE TOP SHEET (PORT CALC PRINT OUT)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</xdr:row>
                <xdr:rowOff>7</xdr:rowOff>
              </xdr:from>
              <xdr:to>
                <xdr:col>5</xdr:col>
                <xdr:colOff>40</xdr:colOff>
                <xdr:row>64</xdr:row>
                <xdr:rowOff>13</xdr:rowOff>
              </xdr:to>
            </anchor>
          </commentPr>
        </mc:Choice>
        <mc:Fallback/>
      </mc:AlternateContent>
    </comment>
    <comment ref="D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was 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84</xdr:row>
                <xdr:rowOff>7</xdr:rowOff>
              </xdr:from>
              <xdr:to>
                <xdr:col>5</xdr:col>
                <xdr:colOff>40</xdr:colOff>
                <xdr:row>88</xdr:row>
                <xdr:rowOff>13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E14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comes from grms check out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316</xdr:row>
                <xdr:rowOff>5</xdr:rowOff>
              </xdr:from>
              <xdr:to>
                <xdr:col>6</xdr:col>
                <xdr:colOff>40</xdr:colOff>
                <xdr:row>320</xdr:row>
                <xdr:rowOff>11</xdr:rowOff>
              </xdr:to>
            </anchor>
          </commentPr>
        </mc:Choice>
        <mc:Fallback/>
      </mc:AlternateContent>
    </comment>
    <comment ref="E148" authorId="0">
      <text>
        <r>
          <rPr>
            <b val="true"/>
            <sz val="8"/>
            <color rgb="FF000000"/>
            <rFont val="Tahoma"/>
            <family val="0"/>
          </rPr>
          <t xml:space="preserve">msteven:
</t>
        </r>
        <r>
          <rPr>
            <sz val="8"/>
            <color rgb="FF000000"/>
            <rFont val="Tahoma"/>
            <family val="0"/>
          </rPr>
          <t xml:space="preserve">Comes from Power lMetacheck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317</xdr:row>
                <xdr:rowOff>5</xdr:rowOff>
              </xdr:from>
              <xdr:to>
                <xdr:col>6</xdr:col>
                <xdr:colOff>40</xdr:colOff>
                <xdr:row>321</xdr:row>
                <xdr:rowOff>11</xdr:rowOff>
              </xdr:to>
            </anchor>
          </commentPr>
        </mc:Choice>
        <mc:Fallback/>
      </mc:AlternateContent>
    </comment>
    <comment ref="E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313</xdr:row>
                <xdr:rowOff>5</xdr:rowOff>
              </xdr:from>
              <xdr:to>
                <xdr:col>6</xdr:col>
                <xdr:colOff>40</xdr:colOff>
                <xdr:row>317</xdr:row>
                <xdr:rowOff>11</xdr:rowOff>
              </xdr:to>
            </anchor>
          </commentPr>
        </mc:Choice>
        <mc:Fallback/>
      </mc:AlternateContent>
    </comment>
    <comment ref="E1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314</xdr:row>
                <xdr:rowOff>5</xdr:rowOff>
              </xdr:from>
              <xdr:to>
                <xdr:col>6</xdr:col>
                <xdr:colOff>40</xdr:colOff>
                <xdr:row>318</xdr:row>
                <xdr:rowOff>11</xdr:rowOff>
              </xdr:to>
            </anchor>
          </commentPr>
        </mc:Choice>
        <mc:Fallback/>
      </mc:AlternateContent>
    </comment>
    <comment ref="E1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315</xdr:row>
                <xdr:rowOff>5</xdr:rowOff>
              </xdr:from>
              <xdr:to>
                <xdr:col>6</xdr:col>
                <xdr:colOff>40</xdr:colOff>
                <xdr:row>319</xdr:row>
                <xdr:rowOff>11</xdr:rowOff>
              </xdr:to>
            </anchor>
          </commentPr>
        </mc:Choice>
        <mc:Fallback/>
      </mc:AlternateContent>
    </comment>
    <comment ref="E1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316</xdr:row>
                <xdr:rowOff>5</xdr:rowOff>
              </xdr:from>
              <xdr:to>
                <xdr:col>6</xdr:col>
                <xdr:colOff>40</xdr:colOff>
                <xdr:row>320</xdr:row>
                <xdr:rowOff>11</xdr:rowOff>
              </xdr:to>
            </anchor>
          </commentPr>
        </mc:Choice>
        <mc:Fallback/>
      </mc:AlternateContent>
    </comment>
    <comment ref="E1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317</xdr:row>
                <xdr:rowOff>5</xdr:rowOff>
              </xdr:from>
              <xdr:to>
                <xdr:col>6</xdr:col>
                <xdr:colOff>40</xdr:colOff>
                <xdr:row>321</xdr:row>
                <xdr:rowOff>11</xdr:rowOff>
              </xdr:to>
            </anchor>
          </commentPr>
        </mc:Choice>
        <mc:Fallback/>
      </mc:AlternateContent>
    </comment>
    <comment ref="E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318</xdr:row>
                <xdr:rowOff>5</xdr:rowOff>
              </xdr:from>
              <xdr:to>
                <xdr:col>6</xdr:col>
                <xdr:colOff>40</xdr:colOff>
                <xdr:row>322</xdr:row>
                <xdr:rowOff>11</xdr:rowOff>
              </xdr:to>
            </anchor>
          </commentPr>
        </mc:Choice>
        <mc:Fallback/>
      </mc:AlternateContent>
    </comment>
    <comment ref="E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319</xdr:row>
                <xdr:rowOff>5</xdr:rowOff>
              </xdr:from>
              <xdr:to>
                <xdr:col>6</xdr:col>
                <xdr:colOff>40</xdr:colOff>
                <xdr:row>323</xdr:row>
                <xdr:rowOff>11</xdr:rowOff>
              </xdr:to>
            </anchor>
          </commentPr>
        </mc:Choice>
        <mc:Fallback/>
      </mc:AlternateContent>
    </comment>
    <comment ref="E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320</xdr:row>
                <xdr:rowOff>5</xdr:rowOff>
              </xdr:from>
              <xdr:to>
                <xdr:col>6</xdr:col>
                <xdr:colOff>40</xdr:colOff>
                <xdr:row>324</xdr:row>
                <xdr:rowOff>11</xdr:rowOff>
              </xdr:to>
            </anchor>
          </commentPr>
        </mc:Choice>
        <mc:Fallback/>
      </mc:AlternateContent>
    </comment>
    <comment ref="E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17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5</xdr:rowOff>
              </xdr:from>
              <xdr:to>
                <xdr:col>6</xdr:col>
                <xdr:colOff>40</xdr:colOff>
                <xdr:row>315</xdr:row>
                <xdr:rowOff>11</xdr:rowOff>
              </xdr:to>
            </anchor>
          </commentPr>
        </mc:Choice>
        <mc:Fallback/>
      </mc:AlternateContent>
    </comment>
    <comment ref="E17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312</xdr:row>
                <xdr:rowOff>5</xdr:rowOff>
              </xdr:from>
              <xdr:to>
                <xdr:col>6</xdr:col>
                <xdr:colOff>40</xdr:colOff>
                <xdr:row>316</xdr:row>
                <xdr:rowOff>11</xdr:rowOff>
              </xdr:to>
            </anchor>
          </commentPr>
        </mc:Choice>
        <mc:Fallback/>
      </mc:AlternateContent>
    </comment>
    <comment ref="E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313</xdr:row>
                <xdr:rowOff>5</xdr:rowOff>
              </xdr:from>
              <xdr:to>
                <xdr:col>6</xdr:col>
                <xdr:colOff>40</xdr:colOff>
                <xdr:row>317</xdr:row>
                <xdr:rowOff>11</xdr:rowOff>
              </xdr:to>
            </anchor>
          </commentPr>
        </mc:Choice>
        <mc:Fallback/>
      </mc:AlternateContent>
    </comment>
    <comment ref="E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314</xdr:row>
                <xdr:rowOff>5</xdr:rowOff>
              </xdr:from>
              <xdr:to>
                <xdr:col>6</xdr:col>
                <xdr:colOff>40</xdr:colOff>
                <xdr:row>318</xdr:row>
                <xdr:rowOff>11</xdr:rowOff>
              </xdr:to>
            </anchor>
          </commentPr>
        </mc:Choice>
        <mc:Fallback/>
      </mc:AlternateContent>
    </comment>
    <comment ref="E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315</xdr:row>
                <xdr:rowOff>5</xdr:rowOff>
              </xdr:from>
              <xdr:to>
                <xdr:col>6</xdr:col>
                <xdr:colOff>40</xdr:colOff>
                <xdr:row>319</xdr:row>
                <xdr:rowOff>11</xdr:rowOff>
              </xdr:to>
            </anchor>
          </commentPr>
        </mc:Choice>
        <mc:Fallback/>
      </mc:AlternateContent>
    </comment>
    <comment ref="E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316</xdr:row>
                <xdr:rowOff>5</xdr:rowOff>
              </xdr:from>
              <xdr:to>
                <xdr:col>6</xdr:col>
                <xdr:colOff>40</xdr:colOff>
                <xdr:row>320</xdr:row>
                <xdr:rowOff>11</xdr:rowOff>
              </xdr:to>
            </anchor>
          </commentPr>
        </mc:Choice>
        <mc:Fallback/>
      </mc:AlternateContent>
    </comment>
    <comment ref="E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317</xdr:row>
                <xdr:rowOff>5</xdr:rowOff>
              </xdr:from>
              <xdr:to>
                <xdr:col>6</xdr:col>
                <xdr:colOff>40</xdr:colOff>
                <xdr:row>321</xdr:row>
                <xdr:rowOff>11</xdr:rowOff>
              </xdr:to>
            </anchor>
          </commentPr>
        </mc:Choice>
        <mc:Fallback/>
      </mc:AlternateContent>
    </comment>
    <comment ref="E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5</xdr:rowOff>
              </xdr:from>
              <xdr:to>
                <xdr:col>6</xdr:col>
                <xdr:colOff>40</xdr:colOff>
                <xdr:row>315</xdr:row>
                <xdr:rowOff>11</xdr:rowOff>
              </xdr:to>
            </anchor>
          </commentPr>
        </mc:Choice>
        <mc:Fallback/>
      </mc:AlternateContent>
    </comment>
    <comment ref="E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312</xdr:row>
                <xdr:rowOff>5</xdr:rowOff>
              </xdr:from>
              <xdr:to>
                <xdr:col>6</xdr:col>
                <xdr:colOff>40</xdr:colOff>
                <xdr:row>316</xdr:row>
                <xdr:rowOff>11</xdr:rowOff>
              </xdr:to>
            </anchor>
          </commentPr>
        </mc:Choice>
        <mc:Fallback/>
      </mc:AlternateContent>
    </comment>
    <comment ref="E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313</xdr:row>
                <xdr:rowOff>5</xdr:rowOff>
              </xdr:from>
              <xdr:to>
                <xdr:col>6</xdr:col>
                <xdr:colOff>40</xdr:colOff>
                <xdr:row>317</xdr:row>
                <xdr:rowOff>11</xdr:rowOff>
              </xdr:to>
            </anchor>
          </commentPr>
        </mc:Choice>
        <mc:Fallback/>
      </mc:AlternateContent>
    </comment>
    <comment ref="E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314</xdr:row>
                <xdr:rowOff>5</xdr:rowOff>
              </xdr:from>
              <xdr:to>
                <xdr:col>6</xdr:col>
                <xdr:colOff>40</xdr:colOff>
                <xdr:row>318</xdr:row>
                <xdr:rowOff>11</xdr:rowOff>
              </xdr:to>
            </anchor>
          </commentPr>
        </mc:Choice>
        <mc:Fallback/>
      </mc:AlternateContent>
    </comment>
    <comment ref="E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315</xdr:row>
                <xdr:rowOff>5</xdr:rowOff>
              </xdr:from>
              <xdr:to>
                <xdr:col>6</xdr:col>
                <xdr:colOff>40</xdr:colOff>
                <xdr:row>319</xdr:row>
                <xdr:rowOff>11</xdr:rowOff>
              </xdr:to>
            </anchor>
          </commentPr>
        </mc:Choice>
        <mc:Fallback/>
      </mc:AlternateContent>
    </comment>
    <comment ref="E19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316</xdr:row>
                <xdr:rowOff>5</xdr:rowOff>
              </xdr:from>
              <xdr:to>
                <xdr:col>6</xdr:col>
                <xdr:colOff>40</xdr:colOff>
                <xdr:row>320</xdr:row>
                <xdr:rowOff>11</xdr:rowOff>
              </xdr:to>
            </anchor>
          </commentPr>
        </mc:Choice>
        <mc:Fallback/>
      </mc:AlternateContent>
    </comment>
    <comment ref="E20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317</xdr:row>
                <xdr:rowOff>5</xdr:rowOff>
              </xdr:from>
              <xdr:to>
                <xdr:col>6</xdr:col>
                <xdr:colOff>40</xdr:colOff>
                <xdr:row>321</xdr:row>
                <xdr:rowOff>11</xdr:rowOff>
              </xdr:to>
            </anchor>
          </commentPr>
        </mc:Choice>
        <mc:Fallback/>
      </mc:AlternateContent>
    </comment>
    <comment ref="E20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318</xdr:row>
                <xdr:rowOff>5</xdr:rowOff>
              </xdr:from>
              <xdr:to>
                <xdr:col>6</xdr:col>
                <xdr:colOff>40</xdr:colOff>
                <xdr:row>322</xdr:row>
                <xdr:rowOff>11</xdr:rowOff>
              </xdr:to>
            </anchor>
          </commentPr>
        </mc:Choice>
        <mc:Fallback/>
      </mc:AlternateContent>
    </comment>
    <comment ref="E20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319</xdr:row>
                <xdr:rowOff>5</xdr:rowOff>
              </xdr:from>
              <xdr:to>
                <xdr:col>6</xdr:col>
                <xdr:colOff>40</xdr:colOff>
                <xdr:row>323</xdr:row>
                <xdr:rowOff>11</xdr:rowOff>
              </xdr:to>
            </anchor>
          </commentPr>
        </mc:Choice>
        <mc:Fallback/>
      </mc:AlternateContent>
    </comment>
    <comment ref="E20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320</xdr:row>
                <xdr:rowOff>5</xdr:rowOff>
              </xdr:from>
              <xdr:to>
                <xdr:col>6</xdr:col>
                <xdr:colOff>40</xdr:colOff>
                <xdr:row>324</xdr:row>
                <xdr:rowOff>11</xdr:rowOff>
              </xdr:to>
            </anchor>
          </commentPr>
        </mc:Choice>
        <mc:Fallback/>
      </mc:AlternateContent>
    </comment>
    <comment ref="E20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321</xdr:row>
                <xdr:rowOff>5</xdr:rowOff>
              </xdr:from>
              <xdr:to>
                <xdr:col>6</xdr:col>
                <xdr:colOff>40</xdr:colOff>
                <xdr:row>325</xdr:row>
                <xdr:rowOff>11</xdr:rowOff>
              </xdr:to>
            </anchor>
          </commentPr>
        </mc:Choice>
        <mc:Fallback/>
      </mc:AlternateContent>
    </comment>
    <comment ref="E20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316</xdr:row>
                <xdr:rowOff>5</xdr:rowOff>
              </xdr:from>
              <xdr:to>
                <xdr:col>6</xdr:col>
                <xdr:colOff>40</xdr:colOff>
                <xdr:row>320</xdr:row>
                <xdr:rowOff>11</xdr:rowOff>
              </xdr:to>
            </anchor>
          </commentPr>
        </mc:Choice>
        <mc:Fallback/>
      </mc:AlternateContent>
    </comment>
    <comment ref="E20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317</xdr:row>
                <xdr:rowOff>5</xdr:rowOff>
              </xdr:from>
              <xdr:to>
                <xdr:col>6</xdr:col>
                <xdr:colOff>40</xdr:colOff>
                <xdr:row>321</xdr:row>
                <xdr:rowOff>11</xdr:rowOff>
              </xdr:to>
            </anchor>
          </commentPr>
        </mc:Choice>
        <mc:Fallback/>
      </mc:AlternateContent>
    </comment>
    <comment ref="E20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318</xdr:row>
                <xdr:rowOff>5</xdr:rowOff>
              </xdr:from>
              <xdr:to>
                <xdr:col>6</xdr:col>
                <xdr:colOff>40</xdr:colOff>
                <xdr:row>322</xdr:row>
                <xdr:rowOff>11</xdr:rowOff>
              </xdr:to>
            </anchor>
          </commentPr>
        </mc:Choice>
        <mc:Fallback/>
      </mc:AlternateContent>
    </comment>
    <comment ref="E20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319</xdr:row>
                <xdr:rowOff>5</xdr:rowOff>
              </xdr:from>
              <xdr:to>
                <xdr:col>6</xdr:col>
                <xdr:colOff>40</xdr:colOff>
                <xdr:row>323</xdr:row>
                <xdr:rowOff>11</xdr:rowOff>
              </xdr:to>
            </anchor>
          </commentPr>
        </mc:Choice>
        <mc:Fallback/>
      </mc:AlternateContent>
    </comment>
    <comment ref="E21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320</xdr:row>
                <xdr:rowOff>5</xdr:rowOff>
              </xdr:from>
              <xdr:to>
                <xdr:col>6</xdr:col>
                <xdr:colOff>40</xdr:colOff>
                <xdr:row>324</xdr:row>
                <xdr:rowOff>11</xdr:rowOff>
              </xdr:to>
            </anchor>
          </commentPr>
        </mc:Choice>
        <mc:Fallback/>
      </mc:AlternateContent>
    </comment>
    <comment ref="E21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321</xdr:row>
                <xdr:rowOff>5</xdr:rowOff>
              </xdr:from>
              <xdr:to>
                <xdr:col>6</xdr:col>
                <xdr:colOff>40</xdr:colOff>
                <xdr:row>325</xdr:row>
                <xdr:rowOff>11</xdr:rowOff>
              </xdr:to>
            </anchor>
          </commentPr>
        </mc:Choice>
        <mc:Fallback/>
      </mc:AlternateContent>
    </comment>
    <comment ref="E21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322</xdr:row>
                <xdr:rowOff>5</xdr:rowOff>
              </xdr:from>
              <xdr:to>
                <xdr:col>6</xdr:col>
                <xdr:colOff>40</xdr:colOff>
                <xdr:row>326</xdr:row>
                <xdr:rowOff>11</xdr:rowOff>
              </xdr:to>
            </anchor>
          </commentPr>
        </mc:Choice>
        <mc:Fallback/>
      </mc:AlternateContent>
    </comment>
    <comment ref="E21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323</xdr:row>
                <xdr:rowOff>5</xdr:rowOff>
              </xdr:from>
              <xdr:to>
                <xdr:col>6</xdr:col>
                <xdr:colOff>40</xdr:colOff>
                <xdr:row>327</xdr:row>
                <xdr:rowOff>11</xdr:rowOff>
              </xdr:to>
            </anchor>
          </commentPr>
        </mc:Choice>
        <mc:Fallback/>
      </mc:AlternateContent>
    </comment>
    <comment ref="E21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324</xdr:row>
                <xdr:rowOff>5</xdr:rowOff>
              </xdr:from>
              <xdr:to>
                <xdr:col>6</xdr:col>
                <xdr:colOff>40</xdr:colOff>
                <xdr:row>328</xdr:row>
                <xdr:rowOff>11</xdr:rowOff>
              </xdr:to>
            </anchor>
          </commentPr>
        </mc:Choice>
        <mc:Fallback/>
      </mc:AlternateContent>
    </comment>
    <comment ref="E21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325</xdr:row>
                <xdr:rowOff>5</xdr:rowOff>
              </xdr:from>
              <xdr:to>
                <xdr:col>6</xdr:col>
                <xdr:colOff>40</xdr:colOff>
                <xdr:row>329</xdr:row>
                <xdr:rowOff>11</xdr:rowOff>
              </xdr:to>
            </anchor>
          </commentPr>
        </mc:Choice>
        <mc:Fallback/>
      </mc:AlternateContent>
    </comment>
    <comment ref="E21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326</xdr:row>
                <xdr:rowOff>5</xdr:rowOff>
              </xdr:from>
              <xdr:to>
                <xdr:col>6</xdr:col>
                <xdr:colOff>40</xdr:colOff>
                <xdr:row>330</xdr:row>
                <xdr:rowOff>11</xdr:rowOff>
              </xdr:to>
            </anchor>
          </commentPr>
        </mc:Choice>
        <mc:Fallback/>
      </mc:AlternateContent>
    </comment>
    <comment ref="E21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327</xdr:row>
                <xdr:rowOff>5</xdr:rowOff>
              </xdr:from>
              <xdr:to>
                <xdr:col>6</xdr:col>
                <xdr:colOff>40</xdr:colOff>
                <xdr:row>331</xdr:row>
                <xdr:rowOff>11</xdr:rowOff>
              </xdr:to>
            </anchor>
          </commentPr>
        </mc:Choice>
        <mc:Fallback/>
      </mc:AlternateContent>
    </comment>
    <comment ref="E21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328</xdr:row>
                <xdr:rowOff>5</xdr:rowOff>
              </xdr:from>
              <xdr:to>
                <xdr:col>6</xdr:col>
                <xdr:colOff>40</xdr:colOff>
                <xdr:row>332</xdr:row>
                <xdr:rowOff>11</xdr:rowOff>
              </xdr:to>
            </anchor>
          </commentPr>
        </mc:Choice>
        <mc:Fallback/>
      </mc:AlternateContent>
    </comment>
    <comment ref="E21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329</xdr:row>
                <xdr:rowOff>5</xdr:rowOff>
              </xdr:from>
              <xdr:to>
                <xdr:col>6</xdr:col>
                <xdr:colOff>40</xdr:colOff>
                <xdr:row>333</xdr:row>
                <xdr:rowOff>11</xdr:rowOff>
              </xdr:to>
            </anchor>
          </commentPr>
        </mc:Choice>
        <mc:Fallback/>
      </mc:AlternateContent>
    </comment>
    <comment ref="E22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330</xdr:row>
                <xdr:rowOff>5</xdr:rowOff>
              </xdr:from>
              <xdr:to>
                <xdr:col>6</xdr:col>
                <xdr:colOff>40</xdr:colOff>
                <xdr:row>334</xdr:row>
                <xdr:rowOff>11</xdr:rowOff>
              </xdr:to>
            </anchor>
          </commentPr>
        </mc:Choice>
        <mc:Fallback/>
      </mc:AlternateContent>
    </comment>
    <comment ref="E22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331</xdr:row>
                <xdr:rowOff>5</xdr:rowOff>
              </xdr:from>
              <xdr:to>
                <xdr:col>6</xdr:col>
                <xdr:colOff>40</xdr:colOff>
                <xdr:row>335</xdr:row>
                <xdr:rowOff>11</xdr:rowOff>
              </xdr:to>
            </anchor>
          </commentPr>
        </mc:Choice>
        <mc:Fallback/>
      </mc:AlternateContent>
    </comment>
    <comment ref="E22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332</xdr:row>
                <xdr:rowOff>5</xdr:rowOff>
              </xdr:from>
              <xdr:to>
                <xdr:col>6</xdr:col>
                <xdr:colOff>40</xdr:colOff>
                <xdr:row>336</xdr:row>
                <xdr:rowOff>11</xdr:rowOff>
              </xdr:to>
            </anchor>
          </commentPr>
        </mc:Choice>
        <mc:Fallback/>
      </mc:AlternateContent>
    </comment>
    <comment ref="E22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318</xdr:row>
                <xdr:rowOff>5</xdr:rowOff>
              </xdr:from>
              <xdr:to>
                <xdr:col>6</xdr:col>
                <xdr:colOff>40</xdr:colOff>
                <xdr:row>322</xdr:row>
                <xdr:rowOff>11</xdr:rowOff>
              </xdr:to>
            </anchor>
          </commentPr>
        </mc:Choice>
        <mc:Fallback/>
      </mc:AlternateContent>
    </comment>
    <comment ref="E22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319</xdr:row>
                <xdr:rowOff>5</xdr:rowOff>
              </xdr:from>
              <xdr:to>
                <xdr:col>6</xdr:col>
                <xdr:colOff>40</xdr:colOff>
                <xdr:row>323</xdr:row>
                <xdr:rowOff>11</xdr:rowOff>
              </xdr:to>
            </anchor>
          </commentPr>
        </mc:Choice>
        <mc:Fallback/>
      </mc:AlternateContent>
    </comment>
    <comment ref="E22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320</xdr:row>
                <xdr:rowOff>5</xdr:rowOff>
              </xdr:from>
              <xdr:to>
                <xdr:col>6</xdr:col>
                <xdr:colOff>40</xdr:colOff>
                <xdr:row>324</xdr:row>
                <xdr:rowOff>11</xdr:rowOff>
              </xdr:to>
            </anchor>
          </commentPr>
        </mc:Choice>
        <mc:Fallback/>
      </mc:AlternateContent>
    </comment>
    <comment ref="E22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321</xdr:row>
                <xdr:rowOff>5</xdr:rowOff>
              </xdr:from>
              <xdr:to>
                <xdr:col>6</xdr:col>
                <xdr:colOff>40</xdr:colOff>
                <xdr:row>325</xdr:row>
                <xdr:rowOff>11</xdr:rowOff>
              </xdr:to>
            </anchor>
          </commentPr>
        </mc:Choice>
        <mc:Fallback/>
      </mc:AlternateContent>
    </comment>
    <comment ref="E2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322</xdr:row>
                <xdr:rowOff>5</xdr:rowOff>
              </xdr:from>
              <xdr:to>
                <xdr:col>6</xdr:col>
                <xdr:colOff>40</xdr:colOff>
                <xdr:row>326</xdr:row>
                <xdr:rowOff>11</xdr:rowOff>
              </xdr:to>
            </anchor>
          </commentPr>
        </mc:Choice>
        <mc:Fallback/>
      </mc:AlternateContent>
    </comment>
    <comment ref="E2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323</xdr:row>
                <xdr:rowOff>5</xdr:rowOff>
              </xdr:from>
              <xdr:to>
                <xdr:col>6</xdr:col>
                <xdr:colOff>40</xdr:colOff>
                <xdr:row>327</xdr:row>
                <xdr:rowOff>11</xdr:rowOff>
              </xdr:to>
            </anchor>
          </commentPr>
        </mc:Choice>
        <mc:Fallback/>
      </mc:AlternateContent>
    </comment>
    <comment ref="E2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324</xdr:row>
                <xdr:rowOff>5</xdr:rowOff>
              </xdr:from>
              <xdr:to>
                <xdr:col>6</xdr:col>
                <xdr:colOff>40</xdr:colOff>
                <xdr:row>328</xdr:row>
                <xdr:rowOff>11</xdr:rowOff>
              </xdr:to>
            </anchor>
          </commentPr>
        </mc:Choice>
        <mc:Fallback/>
      </mc:AlternateContent>
    </comment>
    <comment ref="E23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325</xdr:row>
                <xdr:rowOff>5</xdr:rowOff>
              </xdr:from>
              <xdr:to>
                <xdr:col>6</xdr:col>
                <xdr:colOff>40</xdr:colOff>
                <xdr:row>329</xdr:row>
                <xdr:rowOff>11</xdr:rowOff>
              </xdr:to>
            </anchor>
          </commentPr>
        </mc:Choice>
        <mc:Fallback/>
      </mc:AlternateContent>
    </comment>
    <comment ref="E23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326</xdr:row>
                <xdr:rowOff>5</xdr:rowOff>
              </xdr:from>
              <xdr:to>
                <xdr:col>6</xdr:col>
                <xdr:colOff>40</xdr:colOff>
                <xdr:row>330</xdr:row>
                <xdr:rowOff>11</xdr:rowOff>
              </xdr:to>
            </anchor>
          </commentPr>
        </mc:Choice>
        <mc:Fallback/>
      </mc:AlternateContent>
    </comment>
    <comment ref="E23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327</xdr:row>
                <xdr:rowOff>5</xdr:rowOff>
              </xdr:from>
              <xdr:to>
                <xdr:col>6</xdr:col>
                <xdr:colOff>40</xdr:colOff>
                <xdr:row>331</xdr:row>
                <xdr:rowOff>11</xdr:rowOff>
              </xdr:to>
            </anchor>
          </commentPr>
        </mc:Choice>
        <mc:Fallback/>
      </mc:AlternateContent>
    </comment>
    <comment ref="E23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328</xdr:row>
                <xdr:rowOff>5</xdr:rowOff>
              </xdr:from>
              <xdr:to>
                <xdr:col>6</xdr:col>
                <xdr:colOff>40</xdr:colOff>
                <xdr:row>332</xdr:row>
                <xdr:rowOff>11</xdr:rowOff>
              </xdr:to>
            </anchor>
          </commentPr>
        </mc:Choice>
        <mc:Fallback/>
      </mc:AlternateContent>
    </comment>
    <comment ref="E2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329</xdr:row>
                <xdr:rowOff>5</xdr:rowOff>
              </xdr:from>
              <xdr:to>
                <xdr:col>6</xdr:col>
                <xdr:colOff>40</xdr:colOff>
                <xdr:row>333</xdr:row>
                <xdr:rowOff>11</xdr:rowOff>
              </xdr:to>
            </anchor>
          </commentPr>
        </mc:Choice>
        <mc:Fallback/>
      </mc:AlternateContent>
    </comment>
    <comment ref="E23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330</xdr:row>
                <xdr:rowOff>5</xdr:rowOff>
              </xdr:from>
              <xdr:to>
                <xdr:col>6</xdr:col>
                <xdr:colOff>40</xdr:colOff>
                <xdr:row>334</xdr:row>
                <xdr:rowOff>11</xdr:rowOff>
              </xdr:to>
            </anchor>
          </commentPr>
        </mc:Choice>
        <mc:Fallback/>
      </mc:AlternateContent>
    </comment>
  </commentList>
</comments>
</file>

<file path=xl/comments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COPIED FROM PRIOR DAY B/C VAR IS WRONG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275</xdr:row>
                <xdr:rowOff>7</xdr:rowOff>
              </xdr:from>
              <xdr:to>
                <xdr:col>5</xdr:col>
                <xdr:colOff>30</xdr:colOff>
                <xdr:row>301</xdr:row>
                <xdr:rowOff>13</xdr:rowOff>
              </xdr:to>
            </anchor>
          </commentPr>
        </mc:Choice>
        <mc:Fallback/>
      </mc:AlternateContent>
    </comment>
    <comment ref="I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COPIED FROM PRIOR DAY B/C VAR IS WRONG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9</xdr:col>
                <xdr:colOff>16</xdr:colOff>
                <xdr:row>275</xdr:row>
                <xdr:rowOff>7</xdr:rowOff>
              </xdr:from>
              <xdr:to>
                <xdr:col>10</xdr:col>
                <xdr:colOff>40</xdr:colOff>
                <xdr:row>301</xdr:row>
                <xdr:rowOff>13</xdr:rowOff>
              </xdr:to>
            </anchor>
          </commentPr>
        </mc:Choice>
        <mc:Fallback/>
      </mc:AlternateContent>
    </comment>
    <comment ref="K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COPIED FROM PRIOR DAY B/C VAR IS WRONG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11</xdr:col>
                <xdr:colOff>16</xdr:colOff>
                <xdr:row>275</xdr:row>
                <xdr:rowOff>7</xdr:rowOff>
              </xdr:from>
              <xdr:to>
                <xdr:col>12</xdr:col>
                <xdr:colOff>40</xdr:colOff>
                <xdr:row>301</xdr:row>
                <xdr:rowOff>13</xdr:rowOff>
              </xdr:to>
            </anchor>
          </commentPr>
        </mc:Choice>
        <mc:Fallback/>
      </mc:AlternateContent>
    </comment>
    <comment ref="N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COPIED FROM PRIOR DAY B/C VAR IS WRONG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14</xdr:col>
                <xdr:colOff>16</xdr:colOff>
                <xdr:row>275</xdr:row>
                <xdr:rowOff>7</xdr:rowOff>
              </xdr:from>
              <xdr:to>
                <xdr:col>16</xdr:col>
                <xdr:colOff>7</xdr:colOff>
                <xdr:row>301</xdr:row>
                <xdr:rowOff>13</xdr:rowOff>
              </xdr:to>
            </anchor>
          </commentPr>
        </mc:Choice>
        <mc:Fallback/>
      </mc:AlternateContent>
    </comment>
  </commentList>
</comments>
</file>

<file path=xl/comments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E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using the Arg Firm Mat Gap Risk value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321</xdr:row>
                <xdr:rowOff>7</xdr:rowOff>
              </xdr:from>
              <xdr:to>
                <xdr:col>6</xdr:col>
                <xdr:colOff>40</xdr:colOff>
                <xdr:row>325</xdr:row>
                <xdr:rowOff>13</xdr:rowOff>
              </xdr:to>
            </anchor>
          </commentPr>
        </mc:Choice>
        <mc:Fallback/>
      </mc:AlternateContent>
    </comment>
    <comment ref="E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using the Arg Firm Mat Gap Risk value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322</xdr:row>
                <xdr:rowOff>7</xdr:rowOff>
              </xdr:from>
              <xdr:to>
                <xdr:col>6</xdr:col>
                <xdr:colOff>40</xdr:colOff>
                <xdr:row>326</xdr:row>
                <xdr:rowOff>13</xdr:rowOff>
              </xdr:to>
            </anchor>
          </commentPr>
        </mc:Choice>
        <mc:Fallback/>
      </mc:AlternateContent>
    </comment>
  </commentList>
</comments>
</file>

<file path=xl/comments6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E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is this due to the unwinding of the vitra deal?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185</xdr:row>
                <xdr:rowOff>7</xdr:rowOff>
              </xdr:from>
              <xdr:to>
                <xdr:col>6</xdr:col>
                <xdr:colOff>40</xdr:colOff>
                <xdr:row>276</xdr:row>
                <xdr:rowOff>13</xdr:rowOff>
              </xdr:to>
            </anchor>
          </commentPr>
        </mc:Choice>
        <mc:Fallback/>
      </mc:AlternateContent>
    </comment>
  </commentList>
</comments>
</file>

<file path=xl/comments8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12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40</xdr:colOff>
                <xdr:row>311</xdr:row>
                <xdr:rowOff>13</xdr:rowOff>
              </xdr:to>
            </anchor>
          </commentPr>
        </mc:Choice>
        <mc:Fallback/>
      </mc:AlternateContent>
    </comment>
    <comment ref="D1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124</xdr:row>
                <xdr:rowOff>11</xdr:rowOff>
              </xdr:from>
              <xdr:to>
                <xdr:col>5</xdr:col>
                <xdr:colOff>40</xdr:colOff>
                <xdr:row>247</xdr:row>
                <xdr:rowOff>15</xdr:rowOff>
              </xdr:to>
            </anchor>
          </commentPr>
        </mc:Choice>
        <mc:Fallback/>
      </mc:AlternateContent>
    </comment>
    <comment ref="D1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155</xdr:row>
                <xdr:rowOff>11</xdr:rowOff>
              </xdr:from>
              <xdr:to>
                <xdr:col>5</xdr:col>
                <xdr:colOff>40</xdr:colOff>
                <xdr:row>275</xdr:row>
                <xdr:rowOff>16</xdr:rowOff>
              </xdr:to>
            </anchor>
          </commentPr>
        </mc:Choice>
        <mc:Fallback/>
      </mc:AlternateContent>
    </comment>
    <comment ref="D1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185</xdr:row>
                <xdr:rowOff>11</xdr:rowOff>
              </xdr:from>
              <xdr:to>
                <xdr:col>5</xdr:col>
                <xdr:colOff>40</xdr:colOff>
                <xdr:row>276</xdr:row>
                <xdr:rowOff>17</xdr:rowOff>
              </xdr:to>
            </anchor>
          </commentPr>
        </mc:Choice>
        <mc:Fallback/>
      </mc:AlternateContent>
    </comment>
    <comment ref="D13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216</xdr:row>
                <xdr:rowOff>12</xdr:rowOff>
              </xdr:from>
              <xdr:to>
                <xdr:col>5</xdr:col>
                <xdr:colOff>40</xdr:colOff>
                <xdr:row>299</xdr:row>
                <xdr:rowOff>1</xdr:rowOff>
              </xdr:to>
            </anchor>
          </commentPr>
        </mc:Choice>
        <mc:Fallback/>
      </mc:AlternateContent>
    </comment>
    <comment ref="D13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247</xdr:row>
                <xdr:rowOff>13</xdr:rowOff>
              </xdr:from>
              <xdr:to>
                <xdr:col>5</xdr:col>
                <xdr:colOff>40</xdr:colOff>
                <xdr:row>300</xdr:row>
                <xdr:rowOff>2</xdr:rowOff>
              </xdr:to>
            </anchor>
          </commentPr>
        </mc:Choice>
        <mc:Fallback/>
      </mc:AlternateContent>
    </comment>
    <comment ref="D13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275</xdr:row>
                <xdr:rowOff>14</xdr:rowOff>
              </xdr:from>
              <xdr:to>
                <xdr:col>5</xdr:col>
                <xdr:colOff>40</xdr:colOff>
                <xdr:row>301</xdr:row>
                <xdr:rowOff>3</xdr:rowOff>
              </xdr:to>
            </anchor>
          </commentPr>
        </mc:Choice>
        <mc:Fallback/>
      </mc:AlternateContent>
    </comment>
    <comment ref="D13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276</xdr:row>
                <xdr:rowOff>15</xdr:rowOff>
              </xdr:from>
              <xdr:to>
                <xdr:col>5</xdr:col>
                <xdr:colOff>40</xdr:colOff>
                <xdr:row>302</xdr:row>
                <xdr:rowOff>4</xdr:rowOff>
              </xdr:to>
            </anchor>
          </commentPr>
        </mc:Choice>
        <mc:Fallback/>
      </mc:AlternateContent>
    </comment>
    <comment ref="D1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277</xdr:row>
                <xdr:rowOff>16</xdr:rowOff>
              </xdr:from>
              <xdr:to>
                <xdr:col>5</xdr:col>
                <xdr:colOff>40</xdr:colOff>
                <xdr:row>303</xdr:row>
                <xdr:rowOff>5</xdr:rowOff>
              </xdr:to>
            </anchor>
          </commentPr>
        </mc:Choice>
        <mc:Fallback/>
      </mc:AlternateContent>
    </comment>
    <comment ref="D13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300</xdr:row>
                <xdr:rowOff>0</xdr:rowOff>
              </xdr:from>
              <xdr:to>
                <xdr:col>5</xdr:col>
                <xdr:colOff>40</xdr:colOff>
                <xdr:row>304</xdr:row>
                <xdr:rowOff>6</xdr:rowOff>
              </xdr:to>
            </anchor>
          </commentPr>
        </mc:Choice>
        <mc:Fallback/>
      </mc:AlternateContent>
    </comment>
    <comment ref="D13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301</xdr:row>
                <xdr:rowOff>1</xdr:rowOff>
              </xdr:from>
              <xdr:to>
                <xdr:col>5</xdr:col>
                <xdr:colOff>40</xdr:colOff>
                <xdr:row>305</xdr:row>
                <xdr:rowOff>7</xdr:rowOff>
              </xdr:to>
            </anchor>
          </commentPr>
        </mc:Choice>
        <mc:Fallback/>
      </mc:AlternateContent>
    </comment>
    <comment ref="D13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302</xdr:row>
                <xdr:rowOff>2</xdr:rowOff>
              </xdr:from>
              <xdr:to>
                <xdr:col>5</xdr:col>
                <xdr:colOff>40</xdr:colOff>
                <xdr:row>306</xdr:row>
                <xdr:rowOff>8</xdr:rowOff>
              </xdr:to>
            </anchor>
          </commentPr>
        </mc:Choice>
        <mc:Fallback/>
      </mc:AlternateContent>
    </comment>
    <comment ref="D13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303</xdr:row>
                <xdr:rowOff>3</xdr:rowOff>
              </xdr:from>
              <xdr:to>
                <xdr:col>5</xdr:col>
                <xdr:colOff>40</xdr:colOff>
                <xdr:row>307</xdr:row>
                <xdr:rowOff>9</xdr:rowOff>
              </xdr:to>
            </anchor>
          </commentPr>
        </mc:Choice>
        <mc:Fallback/>
      </mc:AlternateContent>
    </comment>
    <comment ref="D13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304</xdr:row>
                <xdr:rowOff>4</xdr:rowOff>
              </xdr:from>
              <xdr:to>
                <xdr:col>5</xdr:col>
                <xdr:colOff>40</xdr:colOff>
                <xdr:row>308</xdr:row>
                <xdr:rowOff>10</xdr:rowOff>
              </xdr:to>
            </anchor>
          </commentPr>
        </mc:Choice>
        <mc:Fallback/>
      </mc:AlternateContent>
    </comment>
    <comment ref="D14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305</xdr:row>
                <xdr:rowOff>5</xdr:rowOff>
              </xdr:from>
              <xdr:to>
                <xdr:col>5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D14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306</xdr:row>
                <xdr:rowOff>6</xdr:rowOff>
              </xdr:from>
              <xdr:to>
                <xdr:col>5</xdr:col>
                <xdr:colOff>40</xdr:colOff>
                <xdr:row>310</xdr:row>
                <xdr:rowOff>12</xdr:rowOff>
              </xdr:to>
            </anchor>
          </commentPr>
        </mc:Choice>
        <mc:Fallback/>
      </mc:AlternateContent>
    </comment>
    <comment ref="D14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40</xdr:colOff>
                <xdr:row>311</xdr:row>
                <xdr:rowOff>13</xdr:rowOff>
              </xdr:to>
            </anchor>
          </commentPr>
        </mc:Choice>
        <mc:Fallback/>
      </mc:AlternateContent>
    </comment>
    <comment ref="D14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8</xdr:rowOff>
              </xdr:from>
              <xdr:to>
                <xdr:col>5</xdr:col>
                <xdr:colOff>40</xdr:colOff>
                <xdr:row>312</xdr:row>
                <xdr:rowOff>14</xdr:rowOff>
              </xdr:to>
            </anchor>
          </commentPr>
        </mc:Choice>
        <mc:Fallback/>
      </mc:AlternateContent>
    </comment>
    <comment ref="D14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9</xdr:rowOff>
              </xdr:from>
              <xdr:to>
                <xdr:col>5</xdr:col>
                <xdr:colOff>40</xdr:colOff>
                <xdr:row>313</xdr:row>
                <xdr:rowOff>15</xdr:rowOff>
              </xdr:to>
            </anchor>
          </commentPr>
        </mc:Choice>
        <mc:Fallback/>
      </mc:AlternateContent>
    </comment>
    <comment ref="D14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310</xdr:row>
                <xdr:rowOff>10</xdr:rowOff>
              </xdr:from>
              <xdr:to>
                <xdr:col>5</xdr:col>
                <xdr:colOff>40</xdr:colOff>
                <xdr:row>314</xdr:row>
                <xdr:rowOff>16</xdr:rowOff>
              </xdr:to>
            </anchor>
          </commentPr>
        </mc:Choice>
        <mc:Fallback/>
      </mc:AlternateContent>
    </comment>
    <comment ref="D14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311</xdr:row>
                <xdr:rowOff>11</xdr:rowOff>
              </xdr:from>
              <xdr:to>
                <xdr:col>5</xdr:col>
                <xdr:colOff>40</xdr:colOff>
                <xdr:row>315</xdr:row>
                <xdr:rowOff>17</xdr:rowOff>
              </xdr:to>
            </anchor>
          </commentPr>
        </mc:Choice>
        <mc:Fallback/>
      </mc:AlternateContent>
    </comment>
    <comment ref="D14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12</xdr:rowOff>
              </xdr:from>
              <xdr:to>
                <xdr:col>5</xdr:col>
                <xdr:colOff>40</xdr:colOff>
                <xdr:row>317</xdr:row>
                <xdr:rowOff>1</xdr:rowOff>
              </xdr:to>
            </anchor>
          </commentPr>
        </mc:Choice>
        <mc:Fallback/>
      </mc:AlternateContent>
    </comment>
    <comment ref="D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13</xdr:rowOff>
              </xdr:from>
              <xdr:to>
                <xdr:col>5</xdr:col>
                <xdr:colOff>40</xdr:colOff>
                <xdr:row>318</xdr:row>
                <xdr:rowOff>2</xdr:rowOff>
              </xdr:to>
            </anchor>
          </commentPr>
        </mc:Choice>
        <mc:Fallback/>
      </mc:AlternateContent>
    </comment>
    <comment ref="D14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14</xdr:rowOff>
              </xdr:from>
              <xdr:to>
                <xdr:col>5</xdr:col>
                <xdr:colOff>40</xdr:colOff>
                <xdr:row>319</xdr:row>
                <xdr:rowOff>3</xdr:rowOff>
              </xdr:to>
            </anchor>
          </commentPr>
        </mc:Choice>
        <mc:Fallback/>
      </mc:AlternateContent>
    </comment>
    <comment ref="D1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15</xdr:rowOff>
              </xdr:from>
              <xdr:to>
                <xdr:col>5</xdr:col>
                <xdr:colOff>40</xdr:colOff>
                <xdr:row>320</xdr:row>
                <xdr:rowOff>4</xdr:rowOff>
              </xdr:to>
            </anchor>
          </commentPr>
        </mc:Choice>
        <mc:Fallback/>
      </mc:AlternateContent>
    </comment>
    <comment ref="D15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16</xdr:rowOff>
              </xdr:from>
              <xdr:to>
                <xdr:col>5</xdr:col>
                <xdr:colOff>40</xdr:colOff>
                <xdr:row>321</xdr:row>
                <xdr:rowOff>5</xdr:rowOff>
              </xdr:to>
            </anchor>
          </commentPr>
        </mc:Choice>
        <mc:Fallback/>
      </mc:AlternateContent>
    </comment>
    <comment ref="D15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318</xdr:row>
                <xdr:rowOff>0</xdr:rowOff>
              </xdr:from>
              <xdr:to>
                <xdr:col>5</xdr:col>
                <xdr:colOff>40</xdr:colOff>
                <xdr:row>322</xdr:row>
                <xdr:rowOff>6</xdr:rowOff>
              </xdr:to>
            </anchor>
          </commentPr>
        </mc:Choice>
        <mc:Fallback/>
      </mc:AlternateContent>
    </comment>
    <comment ref="D15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319</xdr:row>
                <xdr:rowOff>1</xdr:rowOff>
              </xdr:from>
              <xdr:to>
                <xdr:col>5</xdr:col>
                <xdr:colOff>40</xdr:colOff>
                <xdr:row>323</xdr:row>
                <xdr:rowOff>7</xdr:rowOff>
              </xdr:to>
            </anchor>
          </commentPr>
        </mc:Choice>
        <mc:Fallback/>
      </mc:AlternateContent>
    </comment>
    <comment ref="D15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320</xdr:row>
                <xdr:rowOff>2</xdr:rowOff>
              </xdr:from>
              <xdr:to>
                <xdr:col>5</xdr:col>
                <xdr:colOff>40</xdr:colOff>
                <xdr:row>324</xdr:row>
                <xdr:rowOff>8</xdr:rowOff>
              </xdr:to>
            </anchor>
          </commentPr>
        </mc:Choice>
        <mc:Fallback/>
      </mc:AlternateContent>
    </comment>
    <comment ref="D15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3</xdr:rowOff>
              </xdr:from>
              <xdr:to>
                <xdr:col>5</xdr:col>
                <xdr:colOff>40</xdr:colOff>
                <xdr:row>325</xdr:row>
                <xdr:rowOff>9</xdr:rowOff>
              </xdr:to>
            </anchor>
          </commentPr>
        </mc:Choice>
        <mc:Fallback/>
      </mc:AlternateContent>
    </comment>
    <comment ref="D15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322</xdr:row>
                <xdr:rowOff>4</xdr:rowOff>
              </xdr:from>
              <xdr:to>
                <xdr:col>5</xdr:col>
                <xdr:colOff>40</xdr:colOff>
                <xdr:row>326</xdr:row>
                <xdr:rowOff>10</xdr:rowOff>
              </xdr:to>
            </anchor>
          </commentPr>
        </mc:Choice>
        <mc:Fallback/>
      </mc:AlternateContent>
    </comment>
    <comment ref="D15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323</xdr:row>
                <xdr:rowOff>5</xdr:rowOff>
              </xdr:from>
              <xdr:to>
                <xdr:col>5</xdr:col>
                <xdr:colOff>40</xdr:colOff>
                <xdr:row>327</xdr:row>
                <xdr:rowOff>11</xdr:rowOff>
              </xdr:to>
            </anchor>
          </commentPr>
        </mc:Choice>
        <mc:Fallback/>
      </mc:AlternateContent>
    </comment>
    <comment ref="D15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324</xdr:row>
                <xdr:rowOff>6</xdr:rowOff>
              </xdr:from>
              <xdr:to>
                <xdr:col>5</xdr:col>
                <xdr:colOff>40</xdr:colOff>
                <xdr:row>328</xdr:row>
                <xdr:rowOff>12</xdr:rowOff>
              </xdr:to>
            </anchor>
          </commentPr>
        </mc:Choice>
        <mc:Fallback/>
      </mc:AlternateContent>
    </comment>
    <comment ref="D15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325</xdr:row>
                <xdr:rowOff>6</xdr:rowOff>
              </xdr:from>
              <xdr:to>
                <xdr:col>5</xdr:col>
                <xdr:colOff>40</xdr:colOff>
                <xdr:row>329</xdr:row>
                <xdr:rowOff>12</xdr:rowOff>
              </xdr:to>
            </anchor>
          </commentPr>
        </mc:Choice>
        <mc:Fallback/>
      </mc:AlternateContent>
    </comment>
    <comment ref="D16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326</xdr:row>
                <xdr:rowOff>6</xdr:rowOff>
              </xdr:from>
              <xdr:to>
                <xdr:col>5</xdr:col>
                <xdr:colOff>40</xdr:colOff>
                <xdr:row>330</xdr:row>
                <xdr:rowOff>12</xdr:rowOff>
              </xdr:to>
            </anchor>
          </commentPr>
        </mc:Choice>
        <mc:Fallback/>
      </mc:AlternateContent>
    </comment>
    <comment ref="D16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327</xdr:row>
                <xdr:rowOff>6</xdr:rowOff>
              </xdr:from>
              <xdr:to>
                <xdr:col>5</xdr:col>
                <xdr:colOff>40</xdr:colOff>
                <xdr:row>331</xdr:row>
                <xdr:rowOff>12</xdr:rowOff>
              </xdr:to>
            </anchor>
          </commentPr>
        </mc:Choice>
        <mc:Fallback/>
      </mc:AlternateContent>
    </comment>
    <comment ref="D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328</xdr:row>
                <xdr:rowOff>6</xdr:rowOff>
              </xdr:from>
              <xdr:to>
                <xdr:col>5</xdr:col>
                <xdr:colOff>40</xdr:colOff>
                <xdr:row>332</xdr:row>
                <xdr:rowOff>12</xdr:rowOff>
              </xdr:to>
            </anchor>
          </commentPr>
        </mc:Choice>
        <mc:Fallback/>
      </mc:AlternateContent>
    </comment>
    <comment ref="D1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329</xdr:row>
                <xdr:rowOff>6</xdr:rowOff>
              </xdr:from>
              <xdr:to>
                <xdr:col>5</xdr:col>
                <xdr:colOff>40</xdr:colOff>
                <xdr:row>333</xdr:row>
                <xdr:rowOff>12</xdr:rowOff>
              </xdr:to>
            </anchor>
          </commentPr>
        </mc:Choice>
        <mc:Fallback/>
      </mc:AlternateContent>
    </comment>
    <comment ref="D1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330</xdr:row>
                <xdr:rowOff>6</xdr:rowOff>
              </xdr:from>
              <xdr:to>
                <xdr:col>5</xdr:col>
                <xdr:colOff>40</xdr:colOff>
                <xdr:row>334</xdr:row>
                <xdr:rowOff>12</xdr:rowOff>
              </xdr:to>
            </anchor>
          </commentPr>
        </mc:Choice>
        <mc:Fallback/>
      </mc:AlternateContent>
    </comment>
    <comment ref="D1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331</xdr:row>
                <xdr:rowOff>6</xdr:rowOff>
              </xdr:from>
              <xdr:to>
                <xdr:col>5</xdr:col>
                <xdr:colOff>40</xdr:colOff>
                <xdr:row>335</xdr:row>
                <xdr:rowOff>12</xdr:rowOff>
              </xdr:to>
            </anchor>
          </commentPr>
        </mc:Choice>
        <mc:Fallback/>
      </mc:AlternateContent>
    </comment>
    <comment ref="D1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332</xdr:row>
                <xdr:rowOff>6</xdr:rowOff>
              </xdr:from>
              <xdr:to>
                <xdr:col>5</xdr:col>
                <xdr:colOff>40</xdr:colOff>
                <xdr:row>336</xdr:row>
                <xdr:rowOff>12</xdr:rowOff>
              </xdr:to>
            </anchor>
          </commentPr>
        </mc:Choice>
        <mc:Fallback/>
      </mc:AlternateContent>
    </comment>
    <comment ref="D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333</xdr:row>
                <xdr:rowOff>6</xdr:rowOff>
              </xdr:from>
              <xdr:to>
                <xdr:col>5</xdr:col>
                <xdr:colOff>40</xdr:colOff>
                <xdr:row>337</xdr:row>
                <xdr:rowOff>12</xdr:rowOff>
              </xdr:to>
            </anchor>
          </commentPr>
        </mc:Choice>
        <mc:Fallback/>
      </mc:AlternateContent>
    </comment>
    <comment ref="D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334</xdr:row>
                <xdr:rowOff>6</xdr:rowOff>
              </xdr:from>
              <xdr:to>
                <xdr:col>5</xdr:col>
                <xdr:colOff>40</xdr:colOff>
                <xdr:row>338</xdr:row>
                <xdr:rowOff>12</xdr:rowOff>
              </xdr:to>
            </anchor>
          </commentPr>
        </mc:Choice>
        <mc:Fallback/>
      </mc:AlternateContent>
    </comment>
    <comment ref="D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335</xdr:row>
                <xdr:rowOff>6</xdr:rowOff>
              </xdr:from>
              <xdr:to>
                <xdr:col>5</xdr:col>
                <xdr:colOff>40</xdr:colOff>
                <xdr:row>339</xdr:row>
                <xdr:rowOff>12</xdr:rowOff>
              </xdr:to>
            </anchor>
          </commentPr>
        </mc:Choice>
        <mc:Fallback/>
      </mc:AlternateContent>
    </comment>
    <comment ref="D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336</xdr:row>
                <xdr:rowOff>6</xdr:rowOff>
              </xdr:from>
              <xdr:to>
                <xdr:col>5</xdr:col>
                <xdr:colOff>40</xdr:colOff>
                <xdr:row>340</xdr:row>
                <xdr:rowOff>12</xdr:rowOff>
              </xdr:to>
            </anchor>
          </commentPr>
        </mc:Choice>
        <mc:Fallback/>
      </mc:AlternateContent>
    </comment>
    <comment ref="D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337</xdr:row>
                <xdr:rowOff>6</xdr:rowOff>
              </xdr:from>
              <xdr:to>
                <xdr:col>5</xdr:col>
                <xdr:colOff>40</xdr:colOff>
                <xdr:row>341</xdr:row>
                <xdr:rowOff>12</xdr:rowOff>
              </xdr:to>
            </anchor>
          </commentPr>
        </mc:Choice>
        <mc:Fallback/>
      </mc:AlternateContent>
    </comment>
    <comment ref="D17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338</xdr:row>
                <xdr:rowOff>6</xdr:rowOff>
              </xdr:from>
              <xdr:to>
                <xdr:col>5</xdr:col>
                <xdr:colOff>40</xdr:colOff>
                <xdr:row>342</xdr:row>
                <xdr:rowOff>12</xdr:rowOff>
              </xdr:to>
            </anchor>
          </commentPr>
        </mc:Choice>
        <mc:Fallback/>
      </mc:AlternateContent>
    </comment>
    <comment ref="D17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339</xdr:row>
                <xdr:rowOff>6</xdr:rowOff>
              </xdr:from>
              <xdr:to>
                <xdr:col>5</xdr:col>
                <xdr:colOff>40</xdr:colOff>
                <xdr:row>343</xdr:row>
                <xdr:rowOff>12</xdr:rowOff>
              </xdr:to>
            </anchor>
          </commentPr>
        </mc:Choice>
        <mc:Fallback/>
      </mc:AlternateContent>
    </comment>
    <comment ref="D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340</xdr:row>
                <xdr:rowOff>6</xdr:rowOff>
              </xdr:from>
              <xdr:to>
                <xdr:col>5</xdr:col>
                <xdr:colOff>40</xdr:colOff>
                <xdr:row>344</xdr:row>
                <xdr:rowOff>12</xdr:rowOff>
              </xdr:to>
            </anchor>
          </commentPr>
        </mc:Choice>
        <mc:Fallback/>
      </mc:AlternateContent>
    </comment>
    <comment ref="D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341</xdr:row>
                <xdr:rowOff>6</xdr:rowOff>
              </xdr:from>
              <xdr:to>
                <xdr:col>5</xdr:col>
                <xdr:colOff>40</xdr:colOff>
                <xdr:row>345</xdr:row>
                <xdr:rowOff>12</xdr:rowOff>
              </xdr:to>
            </anchor>
          </commentPr>
        </mc:Choice>
        <mc:Fallback/>
      </mc:AlternateContent>
    </comment>
    <comment ref="D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342</xdr:row>
                <xdr:rowOff>6</xdr:rowOff>
              </xdr:from>
              <xdr:to>
                <xdr:col>5</xdr:col>
                <xdr:colOff>40</xdr:colOff>
                <xdr:row>346</xdr:row>
                <xdr:rowOff>12</xdr:rowOff>
              </xdr:to>
            </anchor>
          </commentPr>
        </mc:Choice>
        <mc:Fallback/>
      </mc:AlternateContent>
    </comment>
    <comment ref="D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343</xdr:row>
                <xdr:rowOff>6</xdr:rowOff>
              </xdr:from>
              <xdr:to>
                <xdr:col>5</xdr:col>
                <xdr:colOff>40</xdr:colOff>
                <xdr:row>347</xdr:row>
                <xdr:rowOff>12</xdr:rowOff>
              </xdr:to>
            </anchor>
          </commentPr>
        </mc:Choice>
        <mc:Fallback/>
      </mc:AlternateContent>
    </comment>
    <comment ref="D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344</xdr:row>
                <xdr:rowOff>6</xdr:rowOff>
              </xdr:from>
              <xdr:to>
                <xdr:col>5</xdr:col>
                <xdr:colOff>40</xdr:colOff>
                <xdr:row>348</xdr:row>
                <xdr:rowOff>12</xdr:rowOff>
              </xdr:to>
            </anchor>
          </commentPr>
        </mc:Choice>
        <mc:Fallback/>
      </mc:AlternateContent>
    </comment>
    <comment ref="D17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345</xdr:row>
                <xdr:rowOff>6</xdr:rowOff>
              </xdr:from>
              <xdr:to>
                <xdr:col>5</xdr:col>
                <xdr:colOff>40</xdr:colOff>
                <xdr:row>349</xdr:row>
                <xdr:rowOff>12</xdr:rowOff>
              </xdr:to>
            </anchor>
          </commentPr>
        </mc:Choice>
        <mc:Fallback/>
      </mc:AlternateContent>
    </comment>
    <comment ref="D18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346</xdr:row>
                <xdr:rowOff>6</xdr:rowOff>
              </xdr:from>
              <xdr:to>
                <xdr:col>5</xdr:col>
                <xdr:colOff>40</xdr:colOff>
                <xdr:row>350</xdr:row>
                <xdr:rowOff>12</xdr:rowOff>
              </xdr:to>
            </anchor>
          </commentPr>
        </mc:Choice>
        <mc:Fallback/>
      </mc:AlternateContent>
    </comment>
    <comment ref="D18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347</xdr:row>
                <xdr:rowOff>6</xdr:rowOff>
              </xdr:from>
              <xdr:to>
                <xdr:col>5</xdr:col>
                <xdr:colOff>40</xdr:colOff>
                <xdr:row>351</xdr:row>
                <xdr:rowOff>12</xdr:rowOff>
              </xdr:to>
            </anchor>
          </commentPr>
        </mc:Choice>
        <mc:Fallback/>
      </mc:AlternateContent>
    </comment>
    <comment ref="D18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348</xdr:row>
                <xdr:rowOff>6</xdr:rowOff>
              </xdr:from>
              <xdr:to>
                <xdr:col>5</xdr:col>
                <xdr:colOff>40</xdr:colOff>
                <xdr:row>352</xdr:row>
                <xdr:rowOff>12</xdr:rowOff>
              </xdr:to>
            </anchor>
          </commentPr>
        </mc:Choice>
        <mc:Fallback/>
      </mc:AlternateContent>
    </comment>
    <comment ref="D18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349</xdr:row>
                <xdr:rowOff>6</xdr:rowOff>
              </xdr:from>
              <xdr:to>
                <xdr:col>5</xdr:col>
                <xdr:colOff>40</xdr:colOff>
                <xdr:row>353</xdr:row>
                <xdr:rowOff>12</xdr:rowOff>
              </xdr:to>
            </anchor>
          </commentPr>
        </mc:Choice>
        <mc:Fallback/>
      </mc:AlternateContent>
    </comment>
    <comment ref="D18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350</xdr:row>
                <xdr:rowOff>6</xdr:rowOff>
              </xdr:from>
              <xdr:to>
                <xdr:col>5</xdr:col>
                <xdr:colOff>40</xdr:colOff>
                <xdr:row>354</xdr:row>
                <xdr:rowOff>12</xdr:rowOff>
              </xdr:to>
            </anchor>
          </commentPr>
        </mc:Choice>
        <mc:Fallback/>
      </mc:AlternateContent>
    </comment>
    <comment ref="D1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351</xdr:row>
                <xdr:rowOff>6</xdr:rowOff>
              </xdr:from>
              <xdr:to>
                <xdr:col>5</xdr:col>
                <xdr:colOff>40</xdr:colOff>
                <xdr:row>355</xdr:row>
                <xdr:rowOff>12</xdr:rowOff>
              </xdr:to>
            </anchor>
          </commentPr>
        </mc:Choice>
        <mc:Fallback/>
      </mc:AlternateContent>
    </comment>
    <comment ref="D1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352</xdr:row>
                <xdr:rowOff>6</xdr:rowOff>
              </xdr:from>
              <xdr:to>
                <xdr:col>5</xdr:col>
                <xdr:colOff>40</xdr:colOff>
                <xdr:row>356</xdr:row>
                <xdr:rowOff>12</xdr:rowOff>
              </xdr:to>
            </anchor>
          </commentPr>
        </mc:Choice>
        <mc:Fallback/>
      </mc:AlternateContent>
    </comment>
    <comment ref="D18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353</xdr:row>
                <xdr:rowOff>6</xdr:rowOff>
              </xdr:from>
              <xdr:to>
                <xdr:col>5</xdr:col>
                <xdr:colOff>40</xdr:colOff>
                <xdr:row>357</xdr:row>
                <xdr:rowOff>12</xdr:rowOff>
              </xdr:to>
            </anchor>
          </commentPr>
        </mc:Choice>
        <mc:Fallback/>
      </mc:AlternateContent>
    </comment>
    <comment ref="D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354</xdr:row>
                <xdr:rowOff>6</xdr:rowOff>
              </xdr:from>
              <xdr:to>
                <xdr:col>5</xdr:col>
                <xdr:colOff>40</xdr:colOff>
                <xdr:row>358</xdr:row>
                <xdr:rowOff>12</xdr:rowOff>
              </xdr:to>
            </anchor>
          </commentPr>
        </mc:Choice>
        <mc:Fallback/>
      </mc:AlternateContent>
    </comment>
    <comment ref="D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355</xdr:row>
                <xdr:rowOff>6</xdr:rowOff>
              </xdr:from>
              <xdr:to>
                <xdr:col>5</xdr:col>
                <xdr:colOff>40</xdr:colOff>
                <xdr:row>359</xdr:row>
                <xdr:rowOff>12</xdr:rowOff>
              </xdr:to>
            </anchor>
          </commentPr>
        </mc:Choice>
        <mc:Fallback/>
      </mc:AlternateContent>
    </comment>
    <comment ref="D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356</xdr:row>
                <xdr:rowOff>6</xdr:rowOff>
              </xdr:from>
              <xdr:to>
                <xdr:col>5</xdr:col>
                <xdr:colOff>40</xdr:colOff>
                <xdr:row>360</xdr:row>
                <xdr:rowOff>12</xdr:rowOff>
              </xdr:to>
            </anchor>
          </commentPr>
        </mc:Choice>
        <mc:Fallback/>
      </mc:AlternateContent>
    </comment>
    <comment ref="D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357</xdr:row>
                <xdr:rowOff>6</xdr:rowOff>
              </xdr:from>
              <xdr:to>
                <xdr:col>5</xdr:col>
                <xdr:colOff>40</xdr:colOff>
                <xdr:row>361</xdr:row>
                <xdr:rowOff>12</xdr:rowOff>
              </xdr:to>
            </anchor>
          </commentPr>
        </mc:Choice>
        <mc:Fallback/>
      </mc:AlternateContent>
    </comment>
    <comment ref="D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358</xdr:row>
                <xdr:rowOff>6</xdr:rowOff>
              </xdr:from>
              <xdr:to>
                <xdr:col>5</xdr:col>
                <xdr:colOff>40</xdr:colOff>
                <xdr:row>362</xdr:row>
                <xdr:rowOff>12</xdr:rowOff>
              </xdr:to>
            </anchor>
          </commentPr>
        </mc:Choice>
        <mc:Fallback/>
      </mc:AlternateContent>
    </comment>
    <comment ref="D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359</xdr:row>
                <xdr:rowOff>6</xdr:rowOff>
              </xdr:from>
              <xdr:to>
                <xdr:col>5</xdr:col>
                <xdr:colOff>40</xdr:colOff>
                <xdr:row>363</xdr:row>
                <xdr:rowOff>12</xdr:rowOff>
              </xdr:to>
            </anchor>
          </commentPr>
        </mc:Choice>
        <mc:Fallback/>
      </mc:AlternateContent>
    </comment>
    <comment ref="D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360</xdr:row>
                <xdr:rowOff>6</xdr:rowOff>
              </xdr:from>
              <xdr:to>
                <xdr:col>5</xdr:col>
                <xdr:colOff>40</xdr:colOff>
                <xdr:row>364</xdr:row>
                <xdr:rowOff>12</xdr:rowOff>
              </xdr:to>
            </anchor>
          </commentPr>
        </mc:Choice>
        <mc:Fallback/>
      </mc:AlternateContent>
    </comment>
    <comment ref="D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361</xdr:row>
                <xdr:rowOff>6</xdr:rowOff>
              </xdr:from>
              <xdr:to>
                <xdr:col>5</xdr:col>
                <xdr:colOff>40</xdr:colOff>
                <xdr:row>365</xdr:row>
                <xdr:rowOff>12</xdr:rowOff>
              </xdr:to>
            </anchor>
          </commentPr>
        </mc:Choice>
        <mc:Fallback/>
      </mc:AlternateContent>
    </comment>
    <comment ref="D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362</xdr:row>
                <xdr:rowOff>6</xdr:rowOff>
              </xdr:from>
              <xdr:to>
                <xdr:col>5</xdr:col>
                <xdr:colOff>40</xdr:colOff>
                <xdr:row>366</xdr:row>
                <xdr:rowOff>12</xdr:rowOff>
              </xdr:to>
            </anchor>
          </commentPr>
        </mc:Choice>
        <mc:Fallback/>
      </mc:AlternateContent>
    </comment>
    <comment ref="D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363</xdr:row>
                <xdr:rowOff>6</xdr:rowOff>
              </xdr:from>
              <xdr:to>
                <xdr:col>5</xdr:col>
                <xdr:colOff>40</xdr:colOff>
                <xdr:row>367</xdr:row>
                <xdr:rowOff>12</xdr:rowOff>
              </xdr:to>
            </anchor>
          </commentPr>
        </mc:Choice>
        <mc:Fallback/>
      </mc:AlternateContent>
    </comment>
    <comment ref="D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364</xdr:row>
                <xdr:rowOff>6</xdr:rowOff>
              </xdr:from>
              <xdr:to>
                <xdr:col>5</xdr:col>
                <xdr:colOff>40</xdr:colOff>
                <xdr:row>368</xdr:row>
                <xdr:rowOff>12</xdr:rowOff>
              </xdr:to>
            </anchor>
          </commentPr>
        </mc:Choice>
        <mc:Fallback/>
      </mc:AlternateContent>
    </comment>
    <comment ref="D19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365</xdr:row>
                <xdr:rowOff>6</xdr:rowOff>
              </xdr:from>
              <xdr:to>
                <xdr:col>5</xdr:col>
                <xdr:colOff>40</xdr:colOff>
                <xdr:row>369</xdr:row>
                <xdr:rowOff>12</xdr:rowOff>
              </xdr:to>
            </anchor>
          </commentPr>
        </mc:Choice>
        <mc:Fallback/>
      </mc:AlternateContent>
    </comment>
    <comment ref="D20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366</xdr:row>
                <xdr:rowOff>6</xdr:rowOff>
              </xdr:from>
              <xdr:to>
                <xdr:col>5</xdr:col>
                <xdr:colOff>40</xdr:colOff>
                <xdr:row>370</xdr:row>
                <xdr:rowOff>12</xdr:rowOff>
              </xdr:to>
            </anchor>
          </commentPr>
        </mc:Choice>
        <mc:Fallback/>
      </mc:AlternateContent>
    </comment>
    <comment ref="D20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367</xdr:row>
                <xdr:rowOff>6</xdr:rowOff>
              </xdr:from>
              <xdr:to>
                <xdr:col>5</xdr:col>
                <xdr:colOff>40</xdr:colOff>
                <xdr:row>371</xdr:row>
                <xdr:rowOff>12</xdr:rowOff>
              </xdr:to>
            </anchor>
          </commentPr>
        </mc:Choice>
        <mc:Fallback/>
      </mc:AlternateContent>
    </comment>
    <comment ref="D20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368</xdr:row>
                <xdr:rowOff>6</xdr:rowOff>
              </xdr:from>
              <xdr:to>
                <xdr:col>5</xdr:col>
                <xdr:colOff>40</xdr:colOff>
                <xdr:row>372</xdr:row>
                <xdr:rowOff>12</xdr:rowOff>
              </xdr:to>
            </anchor>
          </commentPr>
        </mc:Choice>
        <mc:Fallback/>
      </mc:AlternateContent>
    </comment>
    <comment ref="D20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369</xdr:row>
                <xdr:rowOff>6</xdr:rowOff>
              </xdr:from>
              <xdr:to>
                <xdr:col>5</xdr:col>
                <xdr:colOff>40</xdr:colOff>
                <xdr:row>373</xdr:row>
                <xdr:rowOff>12</xdr:rowOff>
              </xdr:to>
            </anchor>
          </commentPr>
        </mc:Choice>
        <mc:Fallback/>
      </mc:AlternateContent>
    </comment>
    <comment ref="D20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370</xdr:row>
                <xdr:rowOff>6</xdr:rowOff>
              </xdr:from>
              <xdr:to>
                <xdr:col>5</xdr:col>
                <xdr:colOff>40</xdr:colOff>
                <xdr:row>374</xdr:row>
                <xdr:rowOff>12</xdr:rowOff>
              </xdr:to>
            </anchor>
          </commentPr>
        </mc:Choice>
        <mc:Fallback/>
      </mc:AlternateContent>
    </comment>
    <comment ref="D20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371</xdr:row>
                <xdr:rowOff>6</xdr:rowOff>
              </xdr:from>
              <xdr:to>
                <xdr:col>5</xdr:col>
                <xdr:colOff>40</xdr:colOff>
                <xdr:row>375</xdr:row>
                <xdr:rowOff>12</xdr:rowOff>
              </xdr:to>
            </anchor>
          </commentPr>
        </mc:Choice>
        <mc:Fallback/>
      </mc:AlternateContent>
    </comment>
    <comment ref="D20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372</xdr:row>
                <xdr:rowOff>6</xdr:rowOff>
              </xdr:from>
              <xdr:to>
                <xdr:col>5</xdr:col>
                <xdr:colOff>40</xdr:colOff>
                <xdr:row>376</xdr:row>
                <xdr:rowOff>12</xdr:rowOff>
              </xdr:to>
            </anchor>
          </commentPr>
        </mc:Choice>
        <mc:Fallback/>
      </mc:AlternateContent>
    </comment>
    <comment ref="D20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373</xdr:row>
                <xdr:rowOff>6</xdr:rowOff>
              </xdr:from>
              <xdr:to>
                <xdr:col>5</xdr:col>
                <xdr:colOff>40</xdr:colOff>
                <xdr:row>377</xdr:row>
                <xdr:rowOff>12</xdr:rowOff>
              </xdr:to>
            </anchor>
          </commentPr>
        </mc:Choice>
        <mc:Fallback/>
      </mc:AlternateContent>
    </comment>
    <comment ref="D20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374</xdr:row>
                <xdr:rowOff>6</xdr:rowOff>
              </xdr:from>
              <xdr:to>
                <xdr:col>5</xdr:col>
                <xdr:colOff>40</xdr:colOff>
                <xdr:row>378</xdr:row>
                <xdr:rowOff>12</xdr:rowOff>
              </xdr:to>
            </anchor>
          </commentPr>
        </mc:Choice>
        <mc:Fallback/>
      </mc:AlternateContent>
    </comment>
    <comment ref="D20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375</xdr:row>
                <xdr:rowOff>6</xdr:rowOff>
              </xdr:from>
              <xdr:to>
                <xdr:col>5</xdr:col>
                <xdr:colOff>40</xdr:colOff>
                <xdr:row>379</xdr:row>
                <xdr:rowOff>12</xdr:rowOff>
              </xdr:to>
            </anchor>
          </commentPr>
        </mc:Choice>
        <mc:Fallback/>
      </mc:AlternateContent>
    </comment>
    <comment ref="D21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376</xdr:row>
                <xdr:rowOff>6</xdr:rowOff>
              </xdr:from>
              <xdr:to>
                <xdr:col>5</xdr:col>
                <xdr:colOff>40</xdr:colOff>
                <xdr:row>380</xdr:row>
                <xdr:rowOff>12</xdr:rowOff>
              </xdr:to>
            </anchor>
          </commentPr>
        </mc:Choice>
        <mc:Fallback/>
      </mc:AlternateContent>
    </comment>
    <comment ref="D21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377</xdr:row>
                <xdr:rowOff>6</xdr:rowOff>
              </xdr:from>
              <xdr:to>
                <xdr:col>5</xdr:col>
                <xdr:colOff>40</xdr:colOff>
                <xdr:row>381</xdr:row>
                <xdr:rowOff>12</xdr:rowOff>
              </xdr:to>
            </anchor>
          </commentPr>
        </mc:Choice>
        <mc:Fallback/>
      </mc:AlternateContent>
    </comment>
    <comment ref="D21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378</xdr:row>
                <xdr:rowOff>6</xdr:rowOff>
              </xdr:from>
              <xdr:to>
                <xdr:col>5</xdr:col>
                <xdr:colOff>40</xdr:colOff>
                <xdr:row>382</xdr:row>
                <xdr:rowOff>12</xdr:rowOff>
              </xdr:to>
            </anchor>
          </commentPr>
        </mc:Choice>
        <mc:Fallback/>
      </mc:AlternateContent>
    </comment>
    <comment ref="D21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379</xdr:row>
                <xdr:rowOff>6</xdr:rowOff>
              </xdr:from>
              <xdr:to>
                <xdr:col>5</xdr:col>
                <xdr:colOff>40</xdr:colOff>
                <xdr:row>383</xdr:row>
                <xdr:rowOff>12</xdr:rowOff>
              </xdr:to>
            </anchor>
          </commentPr>
        </mc:Choice>
        <mc:Fallback/>
      </mc:AlternateContent>
    </comment>
    <comment ref="D21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380</xdr:row>
                <xdr:rowOff>6</xdr:rowOff>
              </xdr:from>
              <xdr:to>
                <xdr:col>5</xdr:col>
                <xdr:colOff>40</xdr:colOff>
                <xdr:row>384</xdr:row>
                <xdr:rowOff>12</xdr:rowOff>
              </xdr:to>
            </anchor>
          </commentPr>
        </mc:Choice>
        <mc:Fallback/>
      </mc:AlternateContent>
    </comment>
    <comment ref="D21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381</xdr:row>
                <xdr:rowOff>6</xdr:rowOff>
              </xdr:from>
              <xdr:to>
                <xdr:col>5</xdr:col>
                <xdr:colOff>40</xdr:colOff>
                <xdr:row>385</xdr:row>
                <xdr:rowOff>12</xdr:rowOff>
              </xdr:to>
            </anchor>
          </commentPr>
        </mc:Choice>
        <mc:Fallback/>
      </mc:AlternateContent>
    </comment>
    <comment ref="D21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382</xdr:row>
                <xdr:rowOff>6</xdr:rowOff>
              </xdr:from>
              <xdr:to>
                <xdr:col>5</xdr:col>
                <xdr:colOff>40</xdr:colOff>
                <xdr:row>386</xdr:row>
                <xdr:rowOff>12</xdr:rowOff>
              </xdr:to>
            </anchor>
          </commentPr>
        </mc:Choice>
        <mc:Fallback/>
      </mc:AlternateContent>
    </comment>
    <comment ref="D21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383</xdr:row>
                <xdr:rowOff>6</xdr:rowOff>
              </xdr:from>
              <xdr:to>
                <xdr:col>5</xdr:col>
                <xdr:colOff>40</xdr:colOff>
                <xdr:row>387</xdr:row>
                <xdr:rowOff>12</xdr:rowOff>
              </xdr:to>
            </anchor>
          </commentPr>
        </mc:Choice>
        <mc:Fallback/>
      </mc:AlternateContent>
    </comment>
    <comment ref="D21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384</xdr:row>
                <xdr:rowOff>6</xdr:rowOff>
              </xdr:from>
              <xdr:to>
                <xdr:col>5</xdr:col>
                <xdr:colOff>40</xdr:colOff>
                <xdr:row>388</xdr:row>
                <xdr:rowOff>12</xdr:rowOff>
              </xdr:to>
            </anchor>
          </commentPr>
        </mc:Choice>
        <mc:Fallback/>
      </mc:AlternateContent>
    </comment>
    <comment ref="D21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385</xdr:row>
                <xdr:rowOff>6</xdr:rowOff>
              </xdr:from>
              <xdr:to>
                <xdr:col>5</xdr:col>
                <xdr:colOff>40</xdr:colOff>
                <xdr:row>389</xdr:row>
                <xdr:rowOff>12</xdr:rowOff>
              </xdr:to>
            </anchor>
          </commentPr>
        </mc:Choice>
        <mc:Fallback/>
      </mc:AlternateContent>
    </comment>
    <comment ref="D22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386</xdr:row>
                <xdr:rowOff>6</xdr:rowOff>
              </xdr:from>
              <xdr:to>
                <xdr:col>5</xdr:col>
                <xdr:colOff>40</xdr:colOff>
                <xdr:row>390</xdr:row>
                <xdr:rowOff>12</xdr:rowOff>
              </xdr:to>
            </anchor>
          </commentPr>
        </mc:Choice>
        <mc:Fallback/>
      </mc:AlternateContent>
    </comment>
    <comment ref="D22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387</xdr:row>
                <xdr:rowOff>6</xdr:rowOff>
              </xdr:from>
              <xdr:to>
                <xdr:col>5</xdr:col>
                <xdr:colOff>40</xdr:colOff>
                <xdr:row>391</xdr:row>
                <xdr:rowOff>12</xdr:rowOff>
              </xdr:to>
            </anchor>
          </commentPr>
        </mc:Choice>
        <mc:Fallback/>
      </mc:AlternateContent>
    </comment>
    <comment ref="D22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388</xdr:row>
                <xdr:rowOff>6</xdr:rowOff>
              </xdr:from>
              <xdr:to>
                <xdr:col>5</xdr:col>
                <xdr:colOff>40</xdr:colOff>
                <xdr:row>392</xdr:row>
                <xdr:rowOff>12</xdr:rowOff>
              </xdr:to>
            </anchor>
          </commentPr>
        </mc:Choice>
        <mc:Fallback/>
      </mc:AlternateContent>
    </comment>
    <comment ref="D22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389</xdr:row>
                <xdr:rowOff>6</xdr:rowOff>
              </xdr:from>
              <xdr:to>
                <xdr:col>5</xdr:col>
                <xdr:colOff>40</xdr:colOff>
                <xdr:row>393</xdr:row>
                <xdr:rowOff>12</xdr:rowOff>
              </xdr:to>
            </anchor>
          </commentPr>
        </mc:Choice>
        <mc:Fallback/>
      </mc:AlternateContent>
    </comment>
    <comment ref="D22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390</xdr:row>
                <xdr:rowOff>6</xdr:rowOff>
              </xdr:from>
              <xdr:to>
                <xdr:col>5</xdr:col>
                <xdr:colOff>40</xdr:colOff>
                <xdr:row>394</xdr:row>
                <xdr:rowOff>12</xdr:rowOff>
              </xdr:to>
            </anchor>
          </commentPr>
        </mc:Choice>
        <mc:Fallback/>
      </mc:AlternateContent>
    </comment>
    <comment ref="D22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391</xdr:row>
                <xdr:rowOff>6</xdr:rowOff>
              </xdr:from>
              <xdr:to>
                <xdr:col>5</xdr:col>
                <xdr:colOff>40</xdr:colOff>
                <xdr:row>395</xdr:row>
                <xdr:rowOff>12</xdr:rowOff>
              </xdr:to>
            </anchor>
          </commentPr>
        </mc:Choice>
        <mc:Fallback/>
      </mc:AlternateContent>
    </comment>
    <comment ref="D22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392</xdr:row>
                <xdr:rowOff>6</xdr:rowOff>
              </xdr:from>
              <xdr:to>
                <xdr:col>5</xdr:col>
                <xdr:colOff>40</xdr:colOff>
                <xdr:row>396</xdr:row>
                <xdr:rowOff>12</xdr:rowOff>
              </xdr:to>
            </anchor>
          </commentPr>
        </mc:Choice>
        <mc:Fallback/>
      </mc:AlternateContent>
    </comment>
    <comment ref="D2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393</xdr:row>
                <xdr:rowOff>6</xdr:rowOff>
              </xdr:from>
              <xdr:to>
                <xdr:col>5</xdr:col>
                <xdr:colOff>40</xdr:colOff>
                <xdr:row>397</xdr:row>
                <xdr:rowOff>12</xdr:rowOff>
              </xdr:to>
            </anchor>
          </commentPr>
        </mc:Choice>
        <mc:Fallback/>
      </mc:AlternateContent>
    </comment>
    <comment ref="D2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394</xdr:row>
                <xdr:rowOff>6</xdr:rowOff>
              </xdr:from>
              <xdr:to>
                <xdr:col>5</xdr:col>
                <xdr:colOff>40</xdr:colOff>
                <xdr:row>398</xdr:row>
                <xdr:rowOff>12</xdr:rowOff>
              </xdr:to>
            </anchor>
          </commentPr>
        </mc:Choice>
        <mc:Fallback/>
      </mc:AlternateContent>
    </comment>
    <comment ref="D2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395</xdr:row>
                <xdr:rowOff>6</xdr:rowOff>
              </xdr:from>
              <xdr:to>
                <xdr:col>5</xdr:col>
                <xdr:colOff>40</xdr:colOff>
                <xdr:row>399</xdr:row>
                <xdr:rowOff>12</xdr:rowOff>
              </xdr:to>
            </anchor>
          </commentPr>
        </mc:Choice>
        <mc:Fallback/>
      </mc:AlternateContent>
    </comment>
    <comment ref="D23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396</xdr:row>
                <xdr:rowOff>6</xdr:rowOff>
              </xdr:from>
              <xdr:to>
                <xdr:col>5</xdr:col>
                <xdr:colOff>40</xdr:colOff>
                <xdr:row>400</xdr:row>
                <xdr:rowOff>12</xdr:rowOff>
              </xdr:to>
            </anchor>
          </commentPr>
        </mc:Choice>
        <mc:Fallback/>
      </mc:AlternateContent>
    </comment>
    <comment ref="D23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397</xdr:row>
                <xdr:rowOff>6</xdr:rowOff>
              </xdr:from>
              <xdr:to>
                <xdr:col>5</xdr:col>
                <xdr:colOff>40</xdr:colOff>
                <xdr:row>401</xdr:row>
                <xdr:rowOff>12</xdr:rowOff>
              </xdr:to>
            </anchor>
          </commentPr>
        </mc:Choice>
        <mc:Fallback/>
      </mc:AlternateContent>
    </comment>
    <comment ref="D23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398</xdr:row>
                <xdr:rowOff>6</xdr:rowOff>
              </xdr:from>
              <xdr:to>
                <xdr:col>5</xdr:col>
                <xdr:colOff>40</xdr:colOff>
                <xdr:row>402</xdr:row>
                <xdr:rowOff>12</xdr:rowOff>
              </xdr:to>
            </anchor>
          </commentPr>
        </mc:Choice>
        <mc:Fallback/>
      </mc:AlternateContent>
    </comment>
    <comment ref="D23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399</xdr:row>
                <xdr:rowOff>6</xdr:rowOff>
              </xdr:from>
              <xdr:to>
                <xdr:col>5</xdr:col>
                <xdr:colOff>40</xdr:colOff>
                <xdr:row>403</xdr:row>
                <xdr:rowOff>12</xdr:rowOff>
              </xdr:to>
            </anchor>
          </commentPr>
        </mc:Choice>
        <mc:Fallback/>
      </mc:AlternateContent>
    </comment>
    <comment ref="D2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400</xdr:row>
                <xdr:rowOff>6</xdr:rowOff>
              </xdr:from>
              <xdr:to>
                <xdr:col>5</xdr:col>
                <xdr:colOff>40</xdr:colOff>
                <xdr:row>404</xdr:row>
                <xdr:rowOff>12</xdr:rowOff>
              </xdr:to>
            </anchor>
          </commentPr>
        </mc:Choice>
        <mc:Fallback/>
      </mc:AlternateContent>
    </comment>
    <comment ref="D23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401</xdr:row>
                <xdr:rowOff>6</xdr:rowOff>
              </xdr:from>
              <xdr:to>
                <xdr:col>5</xdr:col>
                <xdr:colOff>40</xdr:colOff>
                <xdr:row>405</xdr:row>
                <xdr:rowOff>12</xdr:rowOff>
              </xdr:to>
            </anchor>
          </commentPr>
        </mc:Choice>
        <mc:Fallback/>
      </mc:AlternateContent>
    </comment>
    <comment ref="D23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402</xdr:row>
                <xdr:rowOff>6</xdr:rowOff>
              </xdr:from>
              <xdr:to>
                <xdr:col>5</xdr:col>
                <xdr:colOff>40</xdr:colOff>
                <xdr:row>406</xdr:row>
                <xdr:rowOff>12</xdr:rowOff>
              </xdr:to>
            </anchor>
          </commentPr>
        </mc:Choice>
        <mc:Fallback/>
      </mc:AlternateContent>
    </comment>
    <comment ref="D23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403</xdr:row>
                <xdr:rowOff>6</xdr:rowOff>
              </xdr:from>
              <xdr:to>
                <xdr:col>5</xdr:col>
                <xdr:colOff>40</xdr:colOff>
                <xdr:row>407</xdr:row>
                <xdr:rowOff>12</xdr:rowOff>
              </xdr:to>
            </anchor>
          </commentPr>
        </mc:Choice>
        <mc:Fallback/>
      </mc:AlternateContent>
    </comment>
    <comment ref="D23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404</xdr:row>
                <xdr:rowOff>6</xdr:rowOff>
              </xdr:from>
              <xdr:to>
                <xdr:col>5</xdr:col>
                <xdr:colOff>40</xdr:colOff>
                <xdr:row>408</xdr:row>
                <xdr:rowOff>12</xdr:rowOff>
              </xdr:to>
            </anchor>
          </commentPr>
        </mc:Choice>
        <mc:Fallback/>
      </mc:AlternateContent>
    </comment>
    <comment ref="D23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405</xdr:row>
                <xdr:rowOff>6</xdr:rowOff>
              </xdr:from>
              <xdr:to>
                <xdr:col>5</xdr:col>
                <xdr:colOff>40</xdr:colOff>
                <xdr:row>409</xdr:row>
                <xdr:rowOff>12</xdr:rowOff>
              </xdr:to>
            </anchor>
          </commentPr>
        </mc:Choice>
        <mc:Fallback/>
      </mc:AlternateContent>
    </comment>
    <comment ref="D24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406</xdr:row>
                <xdr:rowOff>6</xdr:rowOff>
              </xdr:from>
              <xdr:to>
                <xdr:col>5</xdr:col>
                <xdr:colOff>40</xdr:colOff>
                <xdr:row>410</xdr:row>
                <xdr:rowOff>12</xdr:rowOff>
              </xdr:to>
            </anchor>
          </commentPr>
        </mc:Choice>
        <mc:Fallback/>
      </mc:AlternateContent>
    </comment>
    <comment ref="D24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407</xdr:row>
                <xdr:rowOff>6</xdr:rowOff>
              </xdr:from>
              <xdr:to>
                <xdr:col>5</xdr:col>
                <xdr:colOff>40</xdr:colOff>
                <xdr:row>411</xdr:row>
                <xdr:rowOff>12</xdr:rowOff>
              </xdr:to>
            </anchor>
          </commentPr>
        </mc:Choice>
        <mc:Fallback/>
      </mc:AlternateContent>
    </comment>
    <comment ref="D24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408</xdr:row>
                <xdr:rowOff>6</xdr:rowOff>
              </xdr:from>
              <xdr:to>
                <xdr:col>5</xdr:col>
                <xdr:colOff>40</xdr:colOff>
                <xdr:row>412</xdr:row>
                <xdr:rowOff>12</xdr:rowOff>
              </xdr:to>
            </anchor>
          </commentPr>
        </mc:Choice>
        <mc:Fallback/>
      </mc:AlternateContent>
    </comment>
    <comment ref="D24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409</xdr:row>
                <xdr:rowOff>6</xdr:rowOff>
              </xdr:from>
              <xdr:to>
                <xdr:col>5</xdr:col>
                <xdr:colOff>40</xdr:colOff>
                <xdr:row>413</xdr:row>
                <xdr:rowOff>12</xdr:rowOff>
              </xdr:to>
            </anchor>
          </commentPr>
        </mc:Choice>
        <mc:Fallback/>
      </mc:AlternateContent>
    </comment>
    <comment ref="D24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410</xdr:row>
                <xdr:rowOff>6</xdr:rowOff>
              </xdr:from>
              <xdr:to>
                <xdr:col>5</xdr:col>
                <xdr:colOff>40</xdr:colOff>
                <xdr:row>414</xdr:row>
                <xdr:rowOff>12</xdr:rowOff>
              </xdr:to>
            </anchor>
          </commentPr>
        </mc:Choice>
        <mc:Fallback/>
      </mc:AlternateContent>
    </comment>
    <comment ref="D24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411</xdr:row>
                <xdr:rowOff>6</xdr:rowOff>
              </xdr:from>
              <xdr:to>
                <xdr:col>5</xdr:col>
                <xdr:colOff>40</xdr:colOff>
                <xdr:row>415</xdr:row>
                <xdr:rowOff>12</xdr:rowOff>
              </xdr:to>
            </anchor>
          </commentPr>
        </mc:Choice>
        <mc:Fallback/>
      </mc:AlternateContent>
    </comment>
    <comment ref="D24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412</xdr:row>
                <xdr:rowOff>6</xdr:rowOff>
              </xdr:from>
              <xdr:to>
                <xdr:col>5</xdr:col>
                <xdr:colOff>40</xdr:colOff>
                <xdr:row>416</xdr:row>
                <xdr:rowOff>12</xdr:rowOff>
              </xdr:to>
            </anchor>
          </commentPr>
        </mc:Choice>
        <mc:Fallback/>
      </mc:AlternateContent>
    </comment>
    <comment ref="D24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413</xdr:row>
                <xdr:rowOff>6</xdr:rowOff>
              </xdr:from>
              <xdr:to>
                <xdr:col>5</xdr:col>
                <xdr:colOff>40</xdr:colOff>
                <xdr:row>417</xdr:row>
                <xdr:rowOff>12</xdr:rowOff>
              </xdr:to>
            </anchor>
          </commentPr>
        </mc:Choice>
        <mc:Fallback/>
      </mc:AlternateContent>
    </comment>
    <comment ref="D2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414</xdr:row>
                <xdr:rowOff>6</xdr:rowOff>
              </xdr:from>
              <xdr:to>
                <xdr:col>5</xdr:col>
                <xdr:colOff>40</xdr:colOff>
                <xdr:row>418</xdr:row>
                <xdr:rowOff>12</xdr:rowOff>
              </xdr:to>
            </anchor>
          </commentPr>
        </mc:Choice>
        <mc:Fallback/>
      </mc:AlternateContent>
    </comment>
    <comment ref="D24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415</xdr:row>
                <xdr:rowOff>6</xdr:rowOff>
              </xdr:from>
              <xdr:to>
                <xdr:col>5</xdr:col>
                <xdr:colOff>40</xdr:colOff>
                <xdr:row>419</xdr:row>
                <xdr:rowOff>12</xdr:rowOff>
              </xdr:to>
            </anchor>
          </commentPr>
        </mc:Choice>
        <mc:Fallback/>
      </mc:AlternateContent>
    </comment>
    <comment ref="D2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416</xdr:row>
                <xdr:rowOff>6</xdr:rowOff>
              </xdr:from>
              <xdr:to>
                <xdr:col>5</xdr:col>
                <xdr:colOff>40</xdr:colOff>
                <xdr:row>420</xdr:row>
                <xdr:rowOff>12</xdr:rowOff>
              </xdr:to>
            </anchor>
          </commentPr>
        </mc:Choice>
        <mc:Fallback/>
      </mc:AlternateContent>
    </comment>
    <comment ref="D25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417</xdr:row>
                <xdr:rowOff>6</xdr:rowOff>
              </xdr:from>
              <xdr:to>
                <xdr:col>5</xdr:col>
                <xdr:colOff>40</xdr:colOff>
                <xdr:row>421</xdr:row>
                <xdr:rowOff>12</xdr:rowOff>
              </xdr:to>
            </anchor>
          </commentPr>
        </mc:Choice>
        <mc:Fallback/>
      </mc:AlternateContent>
    </comment>
    <comment ref="D25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418</xdr:row>
                <xdr:rowOff>6</xdr:rowOff>
              </xdr:from>
              <xdr:to>
                <xdr:col>5</xdr:col>
                <xdr:colOff>40</xdr:colOff>
                <xdr:row>422</xdr:row>
                <xdr:rowOff>12</xdr:rowOff>
              </xdr:to>
            </anchor>
          </commentPr>
        </mc:Choice>
        <mc:Fallback/>
      </mc:AlternateContent>
    </comment>
    <comment ref="D25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419</xdr:row>
                <xdr:rowOff>6</xdr:rowOff>
              </xdr:from>
              <xdr:to>
                <xdr:col>5</xdr:col>
                <xdr:colOff>40</xdr:colOff>
                <xdr:row>423</xdr:row>
                <xdr:rowOff>12</xdr:rowOff>
              </xdr:to>
            </anchor>
          </commentPr>
        </mc:Choice>
        <mc:Fallback/>
      </mc:AlternateContent>
    </comment>
    <comment ref="D25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420</xdr:row>
                <xdr:rowOff>6</xdr:rowOff>
              </xdr:from>
              <xdr:to>
                <xdr:col>5</xdr:col>
                <xdr:colOff>40</xdr:colOff>
                <xdr:row>424</xdr:row>
                <xdr:rowOff>12</xdr:rowOff>
              </xdr:to>
            </anchor>
          </commentPr>
        </mc:Choice>
        <mc:Fallback/>
      </mc:AlternateContent>
    </comment>
    <comment ref="D25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421</xdr:row>
                <xdr:rowOff>6</xdr:rowOff>
              </xdr:from>
              <xdr:to>
                <xdr:col>5</xdr:col>
                <xdr:colOff>40</xdr:colOff>
                <xdr:row>425</xdr:row>
                <xdr:rowOff>12</xdr:rowOff>
              </xdr:to>
            </anchor>
          </commentPr>
        </mc:Choice>
        <mc:Fallback/>
      </mc:AlternateContent>
    </comment>
    <comment ref="D25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422</xdr:row>
                <xdr:rowOff>6</xdr:rowOff>
              </xdr:from>
              <xdr:to>
                <xdr:col>5</xdr:col>
                <xdr:colOff>40</xdr:colOff>
                <xdr:row>426</xdr:row>
                <xdr:rowOff>12</xdr:rowOff>
              </xdr:to>
            </anchor>
          </commentPr>
        </mc:Choice>
        <mc:Fallback/>
      </mc:AlternateContent>
    </comment>
    <comment ref="D25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423</xdr:row>
                <xdr:rowOff>6</xdr:rowOff>
              </xdr:from>
              <xdr:to>
                <xdr:col>5</xdr:col>
                <xdr:colOff>40</xdr:colOff>
                <xdr:row>427</xdr:row>
                <xdr:rowOff>12</xdr:rowOff>
              </xdr:to>
            </anchor>
          </commentPr>
        </mc:Choice>
        <mc:Fallback/>
      </mc:AlternateContent>
    </comment>
    <comment ref="D25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424</xdr:row>
                <xdr:rowOff>6</xdr:rowOff>
              </xdr:from>
              <xdr:to>
                <xdr:col>5</xdr:col>
                <xdr:colOff>40</xdr:colOff>
                <xdr:row>428</xdr:row>
                <xdr:rowOff>12</xdr:rowOff>
              </xdr:to>
            </anchor>
          </commentPr>
        </mc:Choice>
        <mc:Fallback/>
      </mc:AlternateContent>
    </comment>
    <comment ref="D25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425</xdr:row>
                <xdr:rowOff>6</xdr:rowOff>
              </xdr:from>
              <xdr:to>
                <xdr:col>5</xdr:col>
                <xdr:colOff>40</xdr:colOff>
                <xdr:row>429</xdr:row>
                <xdr:rowOff>12</xdr:rowOff>
              </xdr:to>
            </anchor>
          </commentPr>
        </mc:Choice>
        <mc:Fallback/>
      </mc:AlternateContent>
    </comment>
    <comment ref="D26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426</xdr:row>
                <xdr:rowOff>6</xdr:rowOff>
              </xdr:from>
              <xdr:to>
                <xdr:col>5</xdr:col>
                <xdr:colOff>40</xdr:colOff>
                <xdr:row>430</xdr:row>
                <xdr:rowOff>12</xdr:rowOff>
              </xdr:to>
            </anchor>
          </commentPr>
        </mc:Choice>
        <mc:Fallback/>
      </mc:AlternateContent>
    </comment>
    <comment ref="D26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427</xdr:row>
                <xdr:rowOff>6</xdr:rowOff>
              </xdr:from>
              <xdr:to>
                <xdr:col>5</xdr:col>
                <xdr:colOff>40</xdr:colOff>
                <xdr:row>431</xdr:row>
                <xdr:rowOff>12</xdr:rowOff>
              </xdr:to>
            </anchor>
          </commentPr>
        </mc:Choice>
        <mc:Fallback/>
      </mc:AlternateContent>
    </comment>
    <comment ref="D2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428</xdr:row>
                <xdr:rowOff>6</xdr:rowOff>
              </xdr:from>
              <xdr:to>
                <xdr:col>5</xdr:col>
                <xdr:colOff>40</xdr:colOff>
                <xdr:row>432</xdr:row>
                <xdr:rowOff>12</xdr:rowOff>
              </xdr:to>
            </anchor>
          </commentPr>
        </mc:Choice>
        <mc:Fallback/>
      </mc:AlternateContent>
    </comment>
    <comment ref="D2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429</xdr:row>
                <xdr:rowOff>6</xdr:rowOff>
              </xdr:from>
              <xdr:to>
                <xdr:col>5</xdr:col>
                <xdr:colOff>40</xdr:colOff>
                <xdr:row>433</xdr:row>
                <xdr:rowOff>12</xdr:rowOff>
              </xdr:to>
            </anchor>
          </commentPr>
        </mc:Choice>
        <mc:Fallback/>
      </mc:AlternateContent>
    </comment>
    <comment ref="D2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430</xdr:row>
                <xdr:rowOff>6</xdr:rowOff>
              </xdr:from>
              <xdr:to>
                <xdr:col>5</xdr:col>
                <xdr:colOff>40</xdr:colOff>
                <xdr:row>434</xdr:row>
                <xdr:rowOff>12</xdr:rowOff>
              </xdr:to>
            </anchor>
          </commentPr>
        </mc:Choice>
        <mc:Fallback/>
      </mc:AlternateContent>
    </comment>
    <comment ref="D2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431</xdr:row>
                <xdr:rowOff>6</xdr:rowOff>
              </xdr:from>
              <xdr:to>
                <xdr:col>5</xdr:col>
                <xdr:colOff>40</xdr:colOff>
                <xdr:row>435</xdr:row>
                <xdr:rowOff>12</xdr:rowOff>
              </xdr:to>
            </anchor>
          </commentPr>
        </mc:Choice>
        <mc:Fallback/>
      </mc:AlternateContent>
    </comment>
    <comment ref="D2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432</xdr:row>
                <xdr:rowOff>6</xdr:rowOff>
              </xdr:from>
              <xdr:to>
                <xdr:col>5</xdr:col>
                <xdr:colOff>40</xdr:colOff>
                <xdr:row>436</xdr:row>
                <xdr:rowOff>12</xdr:rowOff>
              </xdr:to>
            </anchor>
          </commentPr>
        </mc:Choice>
        <mc:Fallback/>
      </mc:AlternateContent>
    </comment>
    <comment ref="D2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433</xdr:row>
                <xdr:rowOff>6</xdr:rowOff>
              </xdr:from>
              <xdr:to>
                <xdr:col>5</xdr:col>
                <xdr:colOff>40</xdr:colOff>
                <xdr:row>437</xdr:row>
                <xdr:rowOff>12</xdr:rowOff>
              </xdr:to>
            </anchor>
          </commentPr>
        </mc:Choice>
        <mc:Fallback/>
      </mc:AlternateContent>
    </comment>
    <comment ref="D2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434</xdr:row>
                <xdr:rowOff>6</xdr:rowOff>
              </xdr:from>
              <xdr:to>
                <xdr:col>5</xdr:col>
                <xdr:colOff>40</xdr:colOff>
                <xdr:row>438</xdr:row>
                <xdr:rowOff>12</xdr:rowOff>
              </xdr:to>
            </anchor>
          </commentPr>
        </mc:Choice>
        <mc:Fallback/>
      </mc:AlternateContent>
    </comment>
    <comment ref="D2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435</xdr:row>
                <xdr:rowOff>6</xdr:rowOff>
              </xdr:from>
              <xdr:to>
                <xdr:col>5</xdr:col>
                <xdr:colOff>40</xdr:colOff>
                <xdr:row>439</xdr:row>
                <xdr:rowOff>12</xdr:rowOff>
              </xdr:to>
            </anchor>
          </commentPr>
        </mc:Choice>
        <mc:Fallback/>
      </mc:AlternateContent>
    </comment>
    <comment ref="D2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436</xdr:row>
                <xdr:rowOff>6</xdr:rowOff>
              </xdr:from>
              <xdr:to>
                <xdr:col>5</xdr:col>
                <xdr:colOff>40</xdr:colOff>
                <xdr:row>440</xdr:row>
                <xdr:rowOff>12</xdr:rowOff>
              </xdr:to>
            </anchor>
          </commentPr>
        </mc:Choice>
        <mc:Fallback/>
      </mc:AlternateContent>
    </comment>
    <comment ref="D2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437</xdr:row>
                <xdr:rowOff>6</xdr:rowOff>
              </xdr:from>
              <xdr:to>
                <xdr:col>5</xdr:col>
                <xdr:colOff>40</xdr:colOff>
                <xdr:row>441</xdr:row>
                <xdr:rowOff>12</xdr:rowOff>
              </xdr:to>
            </anchor>
          </commentPr>
        </mc:Choice>
        <mc:Fallback/>
      </mc:AlternateContent>
    </comment>
    <comment ref="G36" authorId="0">
      <text>
        <r>
          <rPr>
            <b val="true"/>
            <sz val="8"/>
            <color rgb="FF000000"/>
            <rFont val="Tahoma"/>
            <family val="0"/>
          </rPr>
          <t xml:space="preserve">privera:TGS Demand Charge moved to Arg Gas Transport for reporting purposes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4</xdr:row>
                <xdr:rowOff>7</xdr:rowOff>
              </xdr:from>
              <xdr:to>
                <xdr:col>9</xdr:col>
                <xdr:colOff>34</xdr:colOff>
                <xdr:row>94</xdr:row>
                <xdr:rowOff>15</xdr:rowOff>
              </xdr:to>
            </anchor>
          </commentPr>
        </mc:Choice>
        <mc:Fallback/>
      </mc:AlternateContent>
    </comment>
    <comment ref="G64" authorId="0">
      <text>
        <r>
          <rPr>
            <b val="true"/>
            <sz val="8"/>
            <color rgb="FF000000"/>
            <rFont val="Tahoma"/>
            <family val="0"/>
          </rPr>
          <t xml:space="preserve">privera:TGS Demand Charge moved to Arg Gas Transport for reporting purposes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35</xdr:row>
                <xdr:rowOff>7</xdr:rowOff>
              </xdr:from>
              <xdr:to>
                <xdr:col>9</xdr:col>
                <xdr:colOff>34</xdr:colOff>
                <xdr:row>124</xdr:row>
                <xdr:rowOff>15</xdr:rowOff>
              </xdr:to>
            </anchor>
          </commentPr>
        </mc:Choice>
        <mc:Fallback/>
      </mc:AlternateContent>
    </comment>
    <comment ref="G94" authorId="0">
      <text>
        <r>
          <rPr>
            <b val="true"/>
            <sz val="8"/>
            <color rgb="FF000000"/>
            <rFont val="Tahoma"/>
            <family val="0"/>
          </rPr>
          <t xml:space="preserve">privera:TGS Demand Charge moved to Arg Gas Transport for reporting purposes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63</xdr:row>
                <xdr:rowOff>7</xdr:rowOff>
              </xdr:from>
              <xdr:to>
                <xdr:col>9</xdr:col>
                <xdr:colOff>34</xdr:colOff>
                <xdr:row>155</xdr:row>
                <xdr:rowOff>14</xdr:rowOff>
              </xdr:to>
            </anchor>
          </commentPr>
        </mc:Choice>
        <mc:Fallback/>
      </mc:AlternateContent>
    </comment>
  </commentList>
</comments>
</file>

<file path=xl/comments9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154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EZE Curve - ECE -  Modesta PPA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303</xdr:row>
                <xdr:rowOff>7</xdr:rowOff>
              </xdr:from>
              <xdr:to>
                <xdr:col>5</xdr:col>
                <xdr:colOff>40</xdr:colOff>
                <xdr:row>307</xdr:row>
                <xdr:rowOff>13</xdr:rowOff>
              </xdr:to>
            </anchor>
          </commentPr>
        </mc:Choice>
        <mc:Fallback/>
      </mc:AlternateContent>
    </comment>
    <comment ref="D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311</xdr:row>
                <xdr:rowOff>7</xdr:rowOff>
              </xdr:from>
              <xdr:to>
                <xdr:col>5</xdr:col>
                <xdr:colOff>40</xdr:colOff>
                <xdr:row>315</xdr:row>
                <xdr:rowOff>13</xdr:rowOff>
              </xdr:to>
            </anchor>
          </commentPr>
        </mc:Choice>
        <mc:Fallback/>
      </mc:AlternateContent>
    </comment>
    <comment ref="D1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7</xdr:rowOff>
              </xdr:from>
              <xdr:to>
                <xdr:col>5</xdr:col>
                <xdr:colOff>40</xdr:colOff>
                <xdr:row>316</xdr:row>
                <xdr:rowOff>13</xdr:rowOff>
              </xdr:to>
            </anchor>
          </commentPr>
        </mc:Choice>
        <mc:Fallback/>
      </mc:AlternateContent>
    </comment>
    <comment ref="D1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40</xdr:colOff>
                <xdr:row>317</xdr:row>
                <xdr:rowOff>13</xdr:rowOff>
              </xdr:to>
            </anchor>
          </commentPr>
        </mc:Choice>
        <mc:Fallback/>
      </mc:AlternateContent>
    </comment>
    <comment ref="D1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40</xdr:colOff>
                <xdr:row>318</xdr:row>
                <xdr:rowOff>13</xdr:rowOff>
              </xdr:to>
            </anchor>
          </commentPr>
        </mc:Choice>
        <mc:Fallback/>
      </mc:AlternateContent>
    </comment>
    <comment ref="D1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D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40</xdr:colOff>
                <xdr:row>320</xdr:row>
                <xdr:rowOff>13</xdr:rowOff>
              </xdr:to>
            </anchor>
          </commentPr>
        </mc:Choice>
        <mc:Fallback/>
      </mc:AlternateContent>
    </comment>
    <comment ref="D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7</xdr:rowOff>
              </xdr:from>
              <xdr:to>
                <xdr:col>5</xdr:col>
                <xdr:colOff>40</xdr:colOff>
                <xdr:row>321</xdr:row>
                <xdr:rowOff>13</xdr:rowOff>
              </xdr:to>
            </anchor>
          </commentPr>
        </mc:Choice>
        <mc:Fallback/>
      </mc:AlternateContent>
    </comment>
    <comment ref="D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318</xdr:row>
                <xdr:rowOff>7</xdr:rowOff>
              </xdr:from>
              <xdr:to>
                <xdr:col>5</xdr:col>
                <xdr:colOff>40</xdr:colOff>
                <xdr:row>322</xdr:row>
                <xdr:rowOff>13</xdr:rowOff>
              </xdr:to>
            </anchor>
          </commentPr>
        </mc:Choice>
        <mc:Fallback/>
      </mc:AlternateContent>
    </comment>
    <comment ref="D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319</xdr:row>
                <xdr:rowOff>7</xdr:rowOff>
              </xdr:from>
              <xdr:to>
                <xdr:col>5</xdr:col>
                <xdr:colOff>40</xdr:colOff>
                <xdr:row>323</xdr:row>
                <xdr:rowOff>13</xdr:rowOff>
              </xdr:to>
            </anchor>
          </commentPr>
        </mc:Choice>
        <mc:Fallback/>
      </mc:AlternateContent>
    </comment>
    <comment ref="D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320</xdr:row>
                <xdr:rowOff>7</xdr:rowOff>
              </xdr:from>
              <xdr:to>
                <xdr:col>5</xdr:col>
                <xdr:colOff>40</xdr:colOff>
                <xdr:row>324</xdr:row>
                <xdr:rowOff>13</xdr:rowOff>
              </xdr:to>
            </anchor>
          </commentPr>
        </mc:Choice>
        <mc:Fallback/>
      </mc:AlternateContent>
    </comment>
    <comment ref="D17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7</xdr:rowOff>
              </xdr:from>
              <xdr:to>
                <xdr:col>5</xdr:col>
                <xdr:colOff>40</xdr:colOff>
                <xdr:row>325</xdr:row>
                <xdr:rowOff>13</xdr:rowOff>
              </xdr:to>
            </anchor>
          </commentPr>
        </mc:Choice>
        <mc:Fallback/>
      </mc:AlternateContent>
    </comment>
    <comment ref="D17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322</xdr:row>
                <xdr:rowOff>7</xdr:rowOff>
              </xdr:from>
              <xdr:to>
                <xdr:col>5</xdr:col>
                <xdr:colOff>40</xdr:colOff>
                <xdr:row>326</xdr:row>
                <xdr:rowOff>13</xdr:rowOff>
              </xdr:to>
            </anchor>
          </commentPr>
        </mc:Choice>
        <mc:Fallback/>
      </mc:AlternateContent>
    </comment>
    <comment ref="D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323</xdr:row>
                <xdr:rowOff>7</xdr:rowOff>
              </xdr:from>
              <xdr:to>
                <xdr:col>5</xdr:col>
                <xdr:colOff>40</xdr:colOff>
                <xdr:row>327</xdr:row>
                <xdr:rowOff>13</xdr:rowOff>
              </xdr:to>
            </anchor>
          </commentPr>
        </mc:Choice>
        <mc:Fallback/>
      </mc:AlternateContent>
    </comment>
    <comment ref="D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324</xdr:row>
                <xdr:rowOff>7</xdr:rowOff>
              </xdr:from>
              <xdr:to>
                <xdr:col>5</xdr:col>
                <xdr:colOff>40</xdr:colOff>
                <xdr:row>328</xdr:row>
                <xdr:rowOff>13</xdr:rowOff>
              </xdr:to>
            </anchor>
          </commentPr>
        </mc:Choice>
        <mc:Fallback/>
      </mc:AlternateContent>
    </comment>
    <comment ref="D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325</xdr:row>
                <xdr:rowOff>7</xdr:rowOff>
              </xdr:from>
              <xdr:to>
                <xdr:col>5</xdr:col>
                <xdr:colOff>40</xdr:colOff>
                <xdr:row>329</xdr:row>
                <xdr:rowOff>13</xdr:rowOff>
              </xdr:to>
            </anchor>
          </commentPr>
        </mc:Choice>
        <mc:Fallback/>
      </mc:AlternateContent>
    </comment>
    <comment ref="D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326</xdr:row>
                <xdr:rowOff>7</xdr:rowOff>
              </xdr:from>
              <xdr:to>
                <xdr:col>5</xdr:col>
                <xdr:colOff>40</xdr:colOff>
                <xdr:row>330</xdr:row>
                <xdr:rowOff>13</xdr:rowOff>
              </xdr:to>
            </anchor>
          </commentPr>
        </mc:Choice>
        <mc:Fallback/>
      </mc:AlternateContent>
    </comment>
    <comment ref="D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327</xdr:row>
                <xdr:rowOff>7</xdr:rowOff>
              </xdr:from>
              <xdr:to>
                <xdr:col>5</xdr:col>
                <xdr:colOff>40</xdr:colOff>
                <xdr:row>331</xdr:row>
                <xdr:rowOff>13</xdr:rowOff>
              </xdr:to>
            </anchor>
          </commentPr>
        </mc:Choice>
        <mc:Fallback/>
      </mc:AlternateContent>
    </comment>
    <comment ref="D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325</xdr:row>
                <xdr:rowOff>7</xdr:rowOff>
              </xdr:from>
              <xdr:to>
                <xdr:col>5</xdr:col>
                <xdr:colOff>40</xdr:colOff>
                <xdr:row>329</xdr:row>
                <xdr:rowOff>13</xdr:rowOff>
              </xdr:to>
            </anchor>
          </commentPr>
        </mc:Choice>
        <mc:Fallback/>
      </mc:AlternateContent>
    </comment>
    <comment ref="D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326</xdr:row>
                <xdr:rowOff>7</xdr:rowOff>
              </xdr:from>
              <xdr:to>
                <xdr:col>5</xdr:col>
                <xdr:colOff>40</xdr:colOff>
                <xdr:row>330</xdr:row>
                <xdr:rowOff>13</xdr:rowOff>
              </xdr:to>
            </anchor>
          </commentPr>
        </mc:Choice>
        <mc:Fallback/>
      </mc:AlternateContent>
    </comment>
    <comment ref="D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327</xdr:row>
                <xdr:rowOff>7</xdr:rowOff>
              </xdr:from>
              <xdr:to>
                <xdr:col>5</xdr:col>
                <xdr:colOff>40</xdr:colOff>
                <xdr:row>331</xdr:row>
                <xdr:rowOff>13</xdr:rowOff>
              </xdr:to>
            </anchor>
          </commentPr>
        </mc:Choice>
        <mc:Fallback/>
      </mc:AlternateContent>
    </comment>
    <comment ref="D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277</xdr:row>
                <xdr:rowOff>7</xdr:rowOff>
              </xdr:from>
              <xdr:to>
                <xdr:col>5</xdr:col>
                <xdr:colOff>40</xdr:colOff>
                <xdr:row>306</xdr:row>
                <xdr:rowOff>13</xdr:rowOff>
              </xdr:to>
            </anchor>
          </commentPr>
        </mc:Choice>
        <mc:Fallback/>
      </mc:AlternateContent>
    </comment>
    <comment ref="D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303</xdr:row>
                <xdr:rowOff>7</xdr:rowOff>
              </xdr:from>
              <xdr:to>
                <xdr:col>5</xdr:col>
                <xdr:colOff>40</xdr:colOff>
                <xdr:row>307</xdr:row>
                <xdr:rowOff>13</xdr:rowOff>
              </xdr:to>
            </anchor>
          </commentPr>
        </mc:Choice>
        <mc:Fallback/>
      </mc:AlternateContent>
    </comment>
    <comment ref="D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304</xdr:row>
                <xdr:rowOff>7</xdr:rowOff>
              </xdr:from>
              <xdr:to>
                <xdr:col>5</xdr:col>
                <xdr:colOff>40</xdr:colOff>
                <xdr:row>308</xdr:row>
                <xdr:rowOff>13</xdr:rowOff>
              </xdr:to>
            </anchor>
          </commentPr>
        </mc:Choice>
        <mc:Fallback/>
      </mc:AlternateContent>
    </comment>
    <comment ref="D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305</xdr:row>
                <xdr:rowOff>7</xdr:rowOff>
              </xdr:from>
              <xdr:to>
                <xdr:col>5</xdr:col>
                <xdr:colOff>40</xdr:colOff>
                <xdr:row>309</xdr:row>
                <xdr:rowOff>13</xdr:rowOff>
              </xdr:to>
            </anchor>
          </commentPr>
        </mc:Choice>
        <mc:Fallback/>
      </mc:AlternateContent>
    </comment>
    <comment ref="D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306</xdr:row>
                <xdr:rowOff>7</xdr:rowOff>
              </xdr:from>
              <xdr:to>
                <xdr:col>5</xdr:col>
                <xdr:colOff>40</xdr:colOff>
                <xdr:row>310</xdr:row>
                <xdr:rowOff>13</xdr:rowOff>
              </xdr:to>
            </anchor>
          </commentPr>
        </mc:Choice>
        <mc:Fallback/>
      </mc:AlternateContent>
    </comment>
    <comment ref="D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40</xdr:colOff>
                <xdr:row>311</xdr:row>
                <xdr:rowOff>13</xdr:rowOff>
              </xdr:to>
            </anchor>
          </commentPr>
        </mc:Choice>
        <mc:Fallback/>
      </mc:AlternateContent>
    </comment>
    <comment ref="D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40</xdr:colOff>
                <xdr:row>312</xdr:row>
                <xdr:rowOff>13</xdr:rowOff>
              </xdr:to>
            </anchor>
          </commentPr>
        </mc:Choice>
        <mc:Fallback/>
      </mc:AlternateContent>
    </comment>
    <comment ref="D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7</xdr:rowOff>
              </xdr:from>
              <xdr:to>
                <xdr:col>5</xdr:col>
                <xdr:colOff>40</xdr:colOff>
                <xdr:row>313</xdr:row>
                <xdr:rowOff>13</xdr:rowOff>
              </xdr:to>
            </anchor>
          </commentPr>
        </mc:Choice>
        <mc:Fallback/>
      </mc:AlternateContent>
    </comment>
    <comment ref="D19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310</xdr:row>
                <xdr:rowOff>7</xdr:rowOff>
              </xdr:from>
              <xdr:to>
                <xdr:col>5</xdr:col>
                <xdr:colOff>40</xdr:colOff>
                <xdr:row>314</xdr:row>
                <xdr:rowOff>13</xdr:rowOff>
              </xdr:to>
            </anchor>
          </commentPr>
        </mc:Choice>
        <mc:Fallback/>
      </mc:AlternateContent>
    </comment>
    <comment ref="D20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311</xdr:row>
                <xdr:rowOff>7</xdr:rowOff>
              </xdr:from>
              <xdr:to>
                <xdr:col>5</xdr:col>
                <xdr:colOff>40</xdr:colOff>
                <xdr:row>315</xdr:row>
                <xdr:rowOff>13</xdr:rowOff>
              </xdr:to>
            </anchor>
          </commentPr>
        </mc:Choice>
        <mc:Fallback/>
      </mc:AlternateContent>
    </comment>
    <comment ref="D20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7</xdr:rowOff>
              </xdr:from>
              <xdr:to>
                <xdr:col>5</xdr:col>
                <xdr:colOff>40</xdr:colOff>
                <xdr:row>316</xdr:row>
                <xdr:rowOff>13</xdr:rowOff>
              </xdr:to>
            </anchor>
          </commentPr>
        </mc:Choice>
        <mc:Fallback/>
      </mc:AlternateContent>
    </comment>
    <comment ref="D20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40</xdr:colOff>
                <xdr:row>317</xdr:row>
                <xdr:rowOff>13</xdr:rowOff>
              </xdr:to>
            </anchor>
          </commentPr>
        </mc:Choice>
        <mc:Fallback/>
      </mc:AlternateContent>
    </comment>
    <comment ref="D20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40</xdr:colOff>
                <xdr:row>318</xdr:row>
                <xdr:rowOff>13</xdr:rowOff>
              </xdr:to>
            </anchor>
          </commentPr>
        </mc:Choice>
        <mc:Fallback/>
      </mc:AlternateContent>
    </comment>
    <comment ref="D20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D20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40</xdr:colOff>
                <xdr:row>320</xdr:row>
                <xdr:rowOff>13</xdr:rowOff>
              </xdr:to>
            </anchor>
          </commentPr>
        </mc:Choice>
        <mc:Fallback/>
      </mc:AlternateContent>
    </comment>
    <comment ref="D20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7</xdr:rowOff>
              </xdr:from>
              <xdr:to>
                <xdr:col>5</xdr:col>
                <xdr:colOff>40</xdr:colOff>
                <xdr:row>321</xdr:row>
                <xdr:rowOff>13</xdr:rowOff>
              </xdr:to>
            </anchor>
          </commentPr>
        </mc:Choice>
        <mc:Fallback/>
      </mc:AlternateContent>
    </comment>
    <comment ref="D20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318</xdr:row>
                <xdr:rowOff>7</xdr:rowOff>
              </xdr:from>
              <xdr:to>
                <xdr:col>5</xdr:col>
                <xdr:colOff>40</xdr:colOff>
                <xdr:row>322</xdr:row>
                <xdr:rowOff>13</xdr:rowOff>
              </xdr:to>
            </anchor>
          </commentPr>
        </mc:Choice>
        <mc:Fallback/>
      </mc:AlternateContent>
    </comment>
    <comment ref="D20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319</xdr:row>
                <xdr:rowOff>7</xdr:rowOff>
              </xdr:from>
              <xdr:to>
                <xdr:col>5</xdr:col>
                <xdr:colOff>40</xdr:colOff>
                <xdr:row>323</xdr:row>
                <xdr:rowOff>13</xdr:rowOff>
              </xdr:to>
            </anchor>
          </commentPr>
        </mc:Choice>
        <mc:Fallback/>
      </mc:AlternateContent>
    </comment>
    <comment ref="D20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320</xdr:row>
                <xdr:rowOff>7</xdr:rowOff>
              </xdr:from>
              <xdr:to>
                <xdr:col>5</xdr:col>
                <xdr:colOff>40</xdr:colOff>
                <xdr:row>324</xdr:row>
                <xdr:rowOff>13</xdr:rowOff>
              </xdr:to>
            </anchor>
          </commentPr>
        </mc:Choice>
        <mc:Fallback/>
      </mc:AlternateContent>
    </comment>
    <comment ref="D21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7</xdr:rowOff>
              </xdr:from>
              <xdr:to>
                <xdr:col>5</xdr:col>
                <xdr:colOff>40</xdr:colOff>
                <xdr:row>325</xdr:row>
                <xdr:rowOff>13</xdr:rowOff>
              </xdr:to>
            </anchor>
          </commentPr>
        </mc:Choice>
        <mc:Fallback/>
      </mc:AlternateContent>
    </comment>
    <comment ref="D21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322</xdr:row>
                <xdr:rowOff>7</xdr:rowOff>
              </xdr:from>
              <xdr:to>
                <xdr:col>5</xdr:col>
                <xdr:colOff>40</xdr:colOff>
                <xdr:row>326</xdr:row>
                <xdr:rowOff>13</xdr:rowOff>
              </xdr:to>
            </anchor>
          </commentPr>
        </mc:Choice>
        <mc:Fallback/>
      </mc:AlternateContent>
    </comment>
    <comment ref="D21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323</xdr:row>
                <xdr:rowOff>7</xdr:rowOff>
              </xdr:from>
              <xdr:to>
                <xdr:col>5</xdr:col>
                <xdr:colOff>40</xdr:colOff>
                <xdr:row>327</xdr:row>
                <xdr:rowOff>13</xdr:rowOff>
              </xdr:to>
            </anchor>
          </commentPr>
        </mc:Choice>
        <mc:Fallback/>
      </mc:AlternateContent>
    </comment>
    <comment ref="D21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324</xdr:row>
                <xdr:rowOff>7</xdr:rowOff>
              </xdr:from>
              <xdr:to>
                <xdr:col>5</xdr:col>
                <xdr:colOff>40</xdr:colOff>
                <xdr:row>328</xdr:row>
                <xdr:rowOff>13</xdr:rowOff>
              </xdr:to>
            </anchor>
          </commentPr>
        </mc:Choice>
        <mc:Fallback/>
      </mc:AlternateContent>
    </comment>
    <comment ref="D21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325</xdr:row>
                <xdr:rowOff>7</xdr:rowOff>
              </xdr:from>
              <xdr:to>
                <xdr:col>5</xdr:col>
                <xdr:colOff>40</xdr:colOff>
                <xdr:row>329</xdr:row>
                <xdr:rowOff>13</xdr:rowOff>
              </xdr:to>
            </anchor>
          </commentPr>
        </mc:Choice>
        <mc:Fallback/>
      </mc:AlternateContent>
    </comment>
    <comment ref="D21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7</xdr:rowOff>
              </xdr:from>
              <xdr:to>
                <xdr:col>5</xdr:col>
                <xdr:colOff>40</xdr:colOff>
                <xdr:row>316</xdr:row>
                <xdr:rowOff>13</xdr:rowOff>
              </xdr:to>
            </anchor>
          </commentPr>
        </mc:Choice>
        <mc:Fallback/>
      </mc:AlternateContent>
    </comment>
    <comment ref="D21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40</xdr:colOff>
                <xdr:row>317</xdr:row>
                <xdr:rowOff>13</xdr:rowOff>
              </xdr:to>
            </anchor>
          </commentPr>
        </mc:Choice>
        <mc:Fallback/>
      </mc:AlternateContent>
    </comment>
    <comment ref="D21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40</xdr:colOff>
                <xdr:row>318</xdr:row>
                <xdr:rowOff>13</xdr:rowOff>
              </xdr:to>
            </anchor>
          </commentPr>
        </mc:Choice>
        <mc:Fallback/>
      </mc:AlternateContent>
    </comment>
    <comment ref="D21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D22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40</xdr:colOff>
                <xdr:row>320</xdr:row>
                <xdr:rowOff>13</xdr:rowOff>
              </xdr:to>
            </anchor>
          </commentPr>
        </mc:Choice>
        <mc:Fallback/>
      </mc:AlternateContent>
    </comment>
    <comment ref="D22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7</xdr:rowOff>
              </xdr:from>
              <xdr:to>
                <xdr:col>5</xdr:col>
                <xdr:colOff>40</xdr:colOff>
                <xdr:row>321</xdr:row>
                <xdr:rowOff>13</xdr:rowOff>
              </xdr:to>
            </anchor>
          </commentPr>
        </mc:Choice>
        <mc:Fallback/>
      </mc:AlternateContent>
    </comment>
    <comment ref="D22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318</xdr:row>
                <xdr:rowOff>7</xdr:rowOff>
              </xdr:from>
              <xdr:to>
                <xdr:col>5</xdr:col>
                <xdr:colOff>40</xdr:colOff>
                <xdr:row>322</xdr:row>
                <xdr:rowOff>13</xdr:rowOff>
              </xdr:to>
            </anchor>
          </commentPr>
        </mc:Choice>
        <mc:Fallback/>
      </mc:AlternateContent>
    </comment>
    <comment ref="D22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319</xdr:row>
                <xdr:rowOff>7</xdr:rowOff>
              </xdr:from>
              <xdr:to>
                <xdr:col>5</xdr:col>
                <xdr:colOff>40</xdr:colOff>
                <xdr:row>323</xdr:row>
                <xdr:rowOff>13</xdr:rowOff>
              </xdr:to>
            </anchor>
          </commentPr>
        </mc:Choice>
        <mc:Fallback/>
      </mc:AlternateContent>
    </comment>
    <comment ref="D237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EZE Curve
EZE Power Trading Position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318</xdr:row>
                <xdr:rowOff>7</xdr:rowOff>
              </xdr:from>
              <xdr:to>
                <xdr:col>5</xdr:col>
                <xdr:colOff>40</xdr:colOff>
                <xdr:row>322</xdr:row>
                <xdr:rowOff>13</xdr:rowOff>
              </xdr:to>
            </anchor>
          </commentPr>
        </mc:Choice>
        <mc:Fallback/>
      </mc:AlternateContent>
    </comment>
    <comment ref="E142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Get from GRMS checkout.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7</xdr:rowOff>
              </xdr:from>
              <xdr:to>
                <xdr:col>6</xdr:col>
                <xdr:colOff>40</xdr:colOff>
                <xdr:row>313</xdr:row>
                <xdr:rowOff>13</xdr:rowOff>
              </xdr:to>
            </anchor>
          </commentPr>
        </mc:Choice>
        <mc:Fallback/>
      </mc:AlternateContent>
    </comment>
    <comment ref="E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comes from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315</xdr:row>
                <xdr:rowOff>7</xdr:rowOff>
              </xdr:from>
              <xdr:to>
                <xdr:col>6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E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7</xdr:rowOff>
              </xdr:from>
              <xdr:to>
                <xdr:col>6</xdr:col>
                <xdr:colOff>40</xdr:colOff>
                <xdr:row>315</xdr:row>
                <xdr:rowOff>13</xdr:rowOff>
              </xdr:to>
            </anchor>
          </commentPr>
        </mc:Choice>
        <mc:Fallback/>
      </mc:AlternateContent>
    </comment>
    <comment ref="E1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312</xdr:row>
                <xdr:rowOff>7</xdr:rowOff>
              </xdr:from>
              <xdr:to>
                <xdr:col>6</xdr:col>
                <xdr:colOff>40</xdr:colOff>
                <xdr:row>316</xdr:row>
                <xdr:rowOff>13</xdr:rowOff>
              </xdr:to>
            </anchor>
          </commentPr>
        </mc:Choice>
        <mc:Fallback/>
      </mc:AlternateContent>
    </comment>
    <comment ref="E1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313</xdr:row>
                <xdr:rowOff>7</xdr:rowOff>
              </xdr:from>
              <xdr:to>
                <xdr:col>6</xdr:col>
                <xdr:colOff>40</xdr:colOff>
                <xdr:row>317</xdr:row>
                <xdr:rowOff>13</xdr:rowOff>
              </xdr:to>
            </anchor>
          </commentPr>
        </mc:Choice>
        <mc:Fallback/>
      </mc:AlternateContent>
    </comment>
    <comment ref="E1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314</xdr:row>
                <xdr:rowOff>7</xdr:rowOff>
              </xdr:from>
              <xdr:to>
                <xdr:col>6</xdr:col>
                <xdr:colOff>40</xdr:colOff>
                <xdr:row>318</xdr:row>
                <xdr:rowOff>13</xdr:rowOff>
              </xdr:to>
            </anchor>
          </commentPr>
        </mc:Choice>
        <mc:Fallback/>
      </mc:AlternateContent>
    </comment>
    <comment ref="E1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315</xdr:row>
                <xdr:rowOff>7</xdr:rowOff>
              </xdr:from>
              <xdr:to>
                <xdr:col>6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E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316</xdr:row>
                <xdr:rowOff>7</xdr:rowOff>
              </xdr:from>
              <xdr:to>
                <xdr:col>6</xdr:col>
                <xdr:colOff>40</xdr:colOff>
                <xdr:row>320</xdr:row>
                <xdr:rowOff>13</xdr:rowOff>
              </xdr:to>
            </anchor>
          </commentPr>
        </mc:Choice>
        <mc:Fallback/>
      </mc:AlternateContent>
    </comment>
    <comment ref="E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317</xdr:row>
                <xdr:rowOff>7</xdr:rowOff>
              </xdr:from>
              <xdr:to>
                <xdr:col>6</xdr:col>
                <xdr:colOff>40</xdr:colOff>
                <xdr:row>321</xdr:row>
                <xdr:rowOff>13</xdr:rowOff>
              </xdr:to>
            </anchor>
          </commentPr>
        </mc:Choice>
        <mc:Fallback/>
      </mc:AlternateContent>
    </comment>
    <comment ref="E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318</xdr:row>
                <xdr:rowOff>7</xdr:rowOff>
              </xdr:from>
              <xdr:to>
                <xdr:col>6</xdr:col>
                <xdr:colOff>40</xdr:colOff>
                <xdr:row>322</xdr:row>
                <xdr:rowOff>13</xdr:rowOff>
              </xdr:to>
            </anchor>
          </commentPr>
        </mc:Choice>
        <mc:Fallback/>
      </mc:AlternateContent>
    </comment>
    <comment ref="E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319</xdr:row>
                <xdr:rowOff>7</xdr:rowOff>
              </xdr:from>
              <xdr:to>
                <xdr:col>6</xdr:col>
                <xdr:colOff>40</xdr:colOff>
                <xdr:row>323</xdr:row>
                <xdr:rowOff>13</xdr:rowOff>
              </xdr:to>
            </anchor>
          </commentPr>
        </mc:Choice>
        <mc:Fallback/>
      </mc:AlternateContent>
    </comment>
    <comment ref="E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320</xdr:row>
                <xdr:rowOff>7</xdr:rowOff>
              </xdr:from>
              <xdr:to>
                <xdr:col>6</xdr:col>
                <xdr:colOff>40</xdr:colOff>
                <xdr:row>324</xdr:row>
                <xdr:rowOff>13</xdr:rowOff>
              </xdr:to>
            </anchor>
          </commentPr>
        </mc:Choice>
        <mc:Fallback/>
      </mc:AlternateContent>
    </comment>
    <comment ref="E17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321</xdr:row>
                <xdr:rowOff>7</xdr:rowOff>
              </xdr:from>
              <xdr:to>
                <xdr:col>6</xdr:col>
                <xdr:colOff>40</xdr:colOff>
                <xdr:row>325</xdr:row>
                <xdr:rowOff>13</xdr:rowOff>
              </xdr:to>
            </anchor>
          </commentPr>
        </mc:Choice>
        <mc:Fallback/>
      </mc:AlternateContent>
    </comment>
    <comment ref="E17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322</xdr:row>
                <xdr:rowOff>7</xdr:rowOff>
              </xdr:from>
              <xdr:to>
                <xdr:col>6</xdr:col>
                <xdr:colOff>40</xdr:colOff>
                <xdr:row>326</xdr:row>
                <xdr:rowOff>13</xdr:rowOff>
              </xdr:to>
            </anchor>
          </commentPr>
        </mc:Choice>
        <mc:Fallback/>
      </mc:AlternateContent>
    </comment>
    <comment ref="E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323</xdr:row>
                <xdr:rowOff>7</xdr:rowOff>
              </xdr:from>
              <xdr:to>
                <xdr:col>6</xdr:col>
                <xdr:colOff>40</xdr:colOff>
                <xdr:row>327</xdr:row>
                <xdr:rowOff>13</xdr:rowOff>
              </xdr:to>
            </anchor>
          </commentPr>
        </mc:Choice>
        <mc:Fallback/>
      </mc:AlternateContent>
    </comment>
    <comment ref="E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324</xdr:row>
                <xdr:rowOff>7</xdr:rowOff>
              </xdr:from>
              <xdr:to>
                <xdr:col>6</xdr:col>
                <xdr:colOff>40</xdr:colOff>
                <xdr:row>328</xdr:row>
                <xdr:rowOff>13</xdr:rowOff>
              </xdr:to>
            </anchor>
          </commentPr>
        </mc:Choice>
        <mc:Fallback/>
      </mc:AlternateContent>
    </comment>
    <comment ref="E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325</xdr:row>
                <xdr:rowOff>7</xdr:rowOff>
              </xdr:from>
              <xdr:to>
                <xdr:col>6</xdr:col>
                <xdr:colOff>40</xdr:colOff>
                <xdr:row>329</xdr:row>
                <xdr:rowOff>13</xdr:rowOff>
              </xdr:to>
            </anchor>
          </commentPr>
        </mc:Choice>
        <mc:Fallback/>
      </mc:AlternateContent>
    </comment>
    <comment ref="E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326</xdr:row>
                <xdr:rowOff>7</xdr:rowOff>
              </xdr:from>
              <xdr:to>
                <xdr:col>6</xdr:col>
                <xdr:colOff>40</xdr:colOff>
                <xdr:row>330</xdr:row>
                <xdr:rowOff>13</xdr:rowOff>
              </xdr:to>
            </anchor>
          </commentPr>
        </mc:Choice>
        <mc:Fallback/>
      </mc:AlternateContent>
    </comment>
    <comment ref="E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327</xdr:row>
                <xdr:rowOff>7</xdr:rowOff>
              </xdr:from>
              <xdr:to>
                <xdr:col>6</xdr:col>
                <xdr:colOff>40</xdr:colOff>
                <xdr:row>331</xdr:row>
                <xdr:rowOff>13</xdr:rowOff>
              </xdr:to>
            </anchor>
          </commentPr>
        </mc:Choice>
        <mc:Fallback/>
      </mc:AlternateContent>
    </comment>
    <comment ref="E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325</xdr:row>
                <xdr:rowOff>7</xdr:rowOff>
              </xdr:from>
              <xdr:to>
                <xdr:col>6</xdr:col>
                <xdr:colOff>40</xdr:colOff>
                <xdr:row>329</xdr:row>
                <xdr:rowOff>13</xdr:rowOff>
              </xdr:to>
            </anchor>
          </commentPr>
        </mc:Choice>
        <mc:Fallback/>
      </mc:AlternateContent>
    </comment>
    <comment ref="E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326</xdr:row>
                <xdr:rowOff>7</xdr:rowOff>
              </xdr:from>
              <xdr:to>
                <xdr:col>6</xdr:col>
                <xdr:colOff>40</xdr:colOff>
                <xdr:row>330</xdr:row>
                <xdr:rowOff>13</xdr:rowOff>
              </xdr:to>
            </anchor>
          </commentPr>
        </mc:Choice>
        <mc:Fallback/>
      </mc:AlternateContent>
    </comment>
    <comment ref="E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327</xdr:row>
                <xdr:rowOff>7</xdr:rowOff>
              </xdr:from>
              <xdr:to>
                <xdr:col>6</xdr:col>
                <xdr:colOff>40</xdr:colOff>
                <xdr:row>331</xdr:row>
                <xdr:rowOff>13</xdr:rowOff>
              </xdr:to>
            </anchor>
          </commentPr>
        </mc:Choice>
        <mc:Fallback/>
      </mc:AlternateContent>
    </comment>
    <comment ref="E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Af10 cell on power metacheck file as of 7/5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328</xdr:row>
                <xdr:rowOff>7</xdr:rowOff>
              </xdr:from>
              <xdr:to>
                <xdr:col>6</xdr:col>
                <xdr:colOff>40</xdr:colOff>
                <xdr:row>332</xdr:row>
                <xdr:rowOff>13</xdr:rowOff>
              </xdr:to>
            </anchor>
          </commentPr>
        </mc:Choice>
        <mc:Fallback/>
      </mc:AlternateContent>
    </comment>
    <comment ref="E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AL10 cell on power metacheck file as of 7/5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7</xdr:rowOff>
              </xdr:from>
              <xdr:to>
                <xdr:col>6</xdr:col>
                <xdr:colOff>40</xdr:colOff>
                <xdr:row>307</xdr:row>
                <xdr:rowOff>13</xdr:rowOff>
              </xdr:to>
            </anchor>
          </commentPr>
        </mc:Choice>
        <mc:Fallback/>
      </mc:AlternateContent>
    </comment>
    <comment ref="E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 longer needed as per martha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7</xdr:rowOff>
              </xdr:from>
              <xdr:to>
                <xdr:col>6</xdr:col>
                <xdr:colOff>40</xdr:colOff>
                <xdr:row>308</xdr:row>
                <xdr:rowOff>13</xdr:rowOff>
              </xdr:to>
            </anchor>
          </commentPr>
        </mc:Choice>
        <mc:Fallback/>
      </mc:AlternateContent>
    </comment>
    <comment ref="E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 longer needed as per martha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7</xdr:rowOff>
              </xdr:from>
              <xdr:to>
                <xdr:col>6</xdr:col>
                <xdr:colOff>40</xdr:colOff>
                <xdr:row>309</xdr:row>
                <xdr:rowOff>13</xdr:rowOff>
              </xdr:to>
            </anchor>
          </commentPr>
        </mc:Choice>
        <mc:Fallback/>
      </mc:AlternateContent>
    </comment>
    <comment ref="E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 longer needed as per martha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7</xdr:rowOff>
              </xdr:from>
              <xdr:to>
                <xdr:col>6</xdr:col>
                <xdr:colOff>40</xdr:colOff>
                <xdr:row>310</xdr:row>
                <xdr:rowOff>13</xdr:rowOff>
              </xdr:to>
            </anchor>
          </commentPr>
        </mc:Choice>
        <mc:Fallback/>
      </mc:AlternateContent>
    </comment>
    <comment ref="G1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Martha is this right?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276</xdr:row>
                <xdr:rowOff>7</xdr:rowOff>
              </xdr:from>
              <xdr:to>
                <xdr:col>9</xdr:col>
                <xdr:colOff>34</xdr:colOff>
                <xdr:row>305</xdr:row>
                <xdr:rowOff>13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<sst xmlns="http://schemas.openxmlformats.org/spreadsheetml/2006/main" count="674" uniqueCount="96">
  <si>
    <t xml:space="preserve">Show</t>
  </si>
  <si>
    <t xml:space="preserve">y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</si>
  <si>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</si>
  <si>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</t>
  </si>
  <si>
    <t xml:space="preserve">DAILY POSITION REPORT</t>
  </si>
  <si>
    <t xml:space="preserve">Position</t>
  </si>
  <si>
    <t xml:space="preserve">Maturity / Gap Risk</t>
  </si>
  <si>
    <t xml:space="preserve">Value-at-Risk</t>
  </si>
  <si>
    <t xml:space="preserve"> P&amp;L ($000)</t>
  </si>
  <si>
    <t xml:space="preserve">Business Unit - Commodity Group</t>
  </si>
  <si>
    <t xml:space="preserve">Net Open</t>
  </si>
  <si>
    <t xml:space="preserve">Limit</t>
  </si>
  <si>
    <t xml:space="preserve">Sensitivity</t>
  </si>
  <si>
    <t xml:space="preserve">1-Day</t>
  </si>
  <si>
    <t xml:space="preserve">Today</t>
  </si>
  <si>
    <t xml:space="preserve">5 Day Rolling</t>
  </si>
  <si>
    <t xml:space="preserve">MTD</t>
  </si>
  <si>
    <t xml:space="preserve">QTD</t>
  </si>
  <si>
    <t xml:space="preserve">YTD</t>
  </si>
  <si>
    <t xml:space="preserve">ENRON SOUTH AMERICA</t>
  </si>
  <si>
    <t xml:space="preserve">           MODESTO MARANZANA PLANT</t>
  </si>
  <si>
    <t xml:space="preserve"> </t>
  </si>
  <si>
    <t xml:space="preserve">           MM PLANT MANAGER</t>
  </si>
  <si>
    <t xml:space="preserve">SOUTH AMERICA TRADING</t>
  </si>
  <si>
    <t xml:space="preserve">           SA GAS TRADING</t>
  </si>
  <si>
    <t xml:space="preserve">35.0 Bcf</t>
  </si>
  <si>
    <t xml:space="preserve">20.0 Bcf</t>
  </si>
  <si>
    <t xml:space="preserve">           SA POWER TRADING</t>
  </si>
  <si>
    <t xml:space="preserve">3.5 Mil MWH</t>
  </si>
  <si>
    <t xml:space="preserve">2.0 Mil MWH</t>
  </si>
  <si>
    <t xml:space="preserve">           CUIABA HISTORICAL</t>
  </si>
  <si>
    <t xml:space="preserve">SA GAS TRADING</t>
  </si>
  <si>
    <t xml:space="preserve">       ARGENTINA</t>
  </si>
  <si>
    <t xml:space="preserve">            GAS TRADING</t>
  </si>
  <si>
    <t xml:space="preserve">n</t>
  </si>
  <si>
    <t xml:space="preserve">                Intramonth</t>
  </si>
  <si>
    <t xml:space="preserve">                Firm</t>
  </si>
  <si>
    <t xml:space="preserve">            TRANSPORT</t>
  </si>
  <si>
    <t xml:space="preserve">           CREDIT</t>
  </si>
  <si>
    <t xml:space="preserve">SA POWER TRADING</t>
  </si>
  <si>
    <t xml:space="preserve">            POWER TRADING</t>
  </si>
  <si>
    <t xml:space="preserve">                Ezezia Power Trading</t>
  </si>
  <si>
    <t xml:space="preserve">                Rio Cuarto Power Trading</t>
  </si>
  <si>
    <t xml:space="preserve">            MODESTO MARANZANA POWER</t>
  </si>
  <si>
    <t xml:space="preserve">   </t>
  </si>
  <si>
    <t xml:space="preserve">            FIN'L POWER TRADING WITH ENA</t>
  </si>
  <si>
    <t xml:space="preserve">       BRAZIL/BOLIVIA</t>
  </si>
  <si>
    <t xml:space="preserve">            PHYSICAL POWER TRADING</t>
  </si>
  <si>
    <t xml:space="preserve">            POWER CERTIFICATE TRADING</t>
  </si>
  <si>
    <t xml:space="preserve">            ELETROBOLT</t>
  </si>
  <si>
    <t xml:space="preserve">CUIABA HISTORICAL </t>
  </si>
  <si>
    <t xml:space="preserve">           CRUDE</t>
  </si>
  <si>
    <t xml:space="preserve">           GAS</t>
  </si>
  <si>
    <t xml:space="preserve">                GNS</t>
  </si>
  <si>
    <t xml:space="preserve">                SC</t>
  </si>
  <si>
    <t xml:space="preserve">               TBS</t>
  </si>
  <si>
    <t xml:space="preserve">               TBS Crude</t>
  </si>
  <si>
    <t xml:space="preserve">(In MWH)</t>
  </si>
  <si>
    <t xml:space="preserve">(Whole Dollars)</t>
  </si>
  <si>
    <t xml:space="preserve">(In Million MWH)</t>
  </si>
  <si>
    <t xml:space="preserve">(In Thousand Dollars)</t>
  </si>
  <si>
    <t xml:space="preserve">Date</t>
  </si>
  <si>
    <t xml:space="preserve">Day</t>
  </si>
  <si>
    <t xml:space="preserve">Net Open Position</t>
  </si>
  <si>
    <t xml:space="preserve">Maturity Gap</t>
  </si>
  <si>
    <t xml:space="preserve">Value at Risk</t>
  </si>
  <si>
    <t xml:space="preserve">MTD P&amp;L</t>
  </si>
  <si>
    <t xml:space="preserve">MTD (Calc)</t>
  </si>
  <si>
    <t xml:space="preserve">Daily P&amp;L</t>
  </si>
  <si>
    <t xml:space="preserve">Date Range</t>
  </si>
  <si>
    <t xml:space="preserve">5 Day P&amp;L</t>
  </si>
  <si>
    <t xml:space="preserve">QTD P&amp;L</t>
  </si>
  <si>
    <t xml:space="preserve">YTD P&amp;L</t>
  </si>
  <si>
    <t xml:space="preserve">BOL/BRAZ-POWER</t>
  </si>
  <si>
    <t xml:space="preserve">BOL/BRAZ-LIQUID</t>
  </si>
  <si>
    <t xml:space="preserve">BOL/BRAZ-GAS</t>
  </si>
  <si>
    <t xml:space="preserve">ARG-POWER</t>
  </si>
  <si>
    <t xml:space="preserve">ARG-GAS</t>
  </si>
  <si>
    <t xml:space="preserve">SC-BOL/BRAZ</t>
  </si>
  <si>
    <t xml:space="preserve">SC-ARG</t>
  </si>
  <si>
    <t xml:space="preserve">SC-POWER</t>
  </si>
  <si>
    <t xml:space="preserve">SC-LIQUIDS</t>
  </si>
  <si>
    <t xml:space="preserve">SC-GAS</t>
  </si>
  <si>
    <t xml:space="preserve">SOUTHERN-CONE</t>
  </si>
  <si>
    <t xml:space="preserve">(In MMBtu)</t>
  </si>
  <si>
    <t xml:space="preserve">(In Million MMBtu)</t>
  </si>
  <si>
    <t xml:space="preserve">(In BBLs)</t>
  </si>
  <si>
    <t xml:space="preserve">(In Million BBLs)</t>
  </si>
  <si>
    <t xml:space="preserve">Day of Week</t>
  </si>
  <si>
    <t xml:space="preserve">M</t>
  </si>
  <si>
    <t xml:space="preserve">T</t>
  </si>
  <si>
    <t xml:space="preserve">W</t>
  </si>
  <si>
    <t xml:space="preserve">Th</t>
  </si>
  <si>
    <t xml:space="preserve">F</t>
  </si>
  <si>
    <t xml:space="preserve">Sa</t>
  </si>
  <si>
    <t xml:space="preserve">Su</t>
  </si>
</sst>
</file>

<file path=xl/styles.xml><?xml version="1.0" encoding="utf-8"?>
<styleSheet xmlns="http://schemas.openxmlformats.org/spreadsheetml/2006/main">
  <numFmts count="42">
    <numFmt numFmtId="164" formatCode="General"/>
    <numFmt numFmtId="165" formatCode="#,##0.0_);[RED]\(#,##0.0\)"/>
    <numFmt numFmtId="166" formatCode="[$-409]#,##0.00_);[RED]\(#,##0.00\)"/>
    <numFmt numFmtId="167" formatCode="#,##0.000_);[RED]\(#,##0.000\)"/>
    <numFmt numFmtId="168" formatCode="#,##0.0000_);[RED]\(#,##0.0000\)"/>
    <numFmt numFmtId="169" formatCode="#,##0.00000000_);[RED]\(#,##0.00000000\)"/>
    <numFmt numFmtId="170" formatCode="0"/>
    <numFmt numFmtId="171" formatCode="yyyy\-mmm\-dd"/>
    <numFmt numFmtId="172" formatCode="yyyy\-mmm"/>
    <numFmt numFmtId="173" formatCode="yy\-mm\-dd"/>
    <numFmt numFmtId="174" formatCode="yyyy"/>
    <numFmt numFmtId="175" formatCode="0.0%\ ;[RED]\(0.0%\)"/>
    <numFmt numFmtId="176" formatCode="0.00%\ ;[RED]\(0.00%\)"/>
    <numFmt numFmtId="177" formatCode="0.0000%"/>
    <numFmt numFmtId="178" formatCode="#,##0_);\(#,##0\);\-"/>
    <numFmt numFmtId="179" formatCode="[$-409]h:mm"/>
    <numFmt numFmtId="180" formatCode="[$-409]h:mm:ss"/>
    <numFmt numFmtId="181" formatCode="#,##0.0000"/>
    <numFmt numFmtId="182" formatCode="#,##0_);[RED]\(#,##0\);;"/>
    <numFmt numFmtId="183" formatCode="[$-409]#,##0_);[RED]\(#,##0\)"/>
    <numFmt numFmtId="184" formatCode="_(* #,##0.00_);_(* \(#,##0.00\);_(* \-??_);_(@_)"/>
    <numFmt numFmtId="185" formatCode="[$-409]m/d/yyyy"/>
    <numFmt numFmtId="186" formatCode="_(* #,##0_);_(* \(#,##0\);_(* \-??_);_(@_)"/>
    <numFmt numFmtId="187" formatCode="[$-409]d\-mmm"/>
    <numFmt numFmtId="188" formatCode="&quot;As of &quot;mmmm\ dd&quot;, &quot;yyyy"/>
    <numFmt numFmtId="189" formatCode="[$-409]#,##0_);\(#,##0\)"/>
    <numFmt numFmtId="190" formatCode="#,##0.0_);\(#,##0.0\)"/>
    <numFmt numFmtId="191" formatCode="_(\$* #,##0.00_);_(\$* \(#,##0.00\);_(\$* \-??_);_(@_)"/>
    <numFmt numFmtId="192" formatCode="\$#,##0_);[RED]&quot;($&quot;#,##0\)"/>
    <numFmt numFmtId="193" formatCode="\$#,##0_);&quot;($&quot;#,##0\)"/>
    <numFmt numFmtId="194" formatCode="\$#,##0.0_);[RED]&quot;($&quot;#,##0.0\)"/>
    <numFmt numFmtId="195" formatCode="[$-409]#,##0.00_);\(#,##0.00\)"/>
    <numFmt numFmtId="196" formatCode="\$#,##0.000_);&quot;($&quot;#,##0.000\)"/>
    <numFmt numFmtId="197" formatCode="#,##0.000_);\(#,##0.000\)"/>
    <numFmt numFmtId="198" formatCode="#,##0.0000_);\(#,##0.0000\)"/>
    <numFmt numFmtId="199" formatCode="mm/dd/yy"/>
    <numFmt numFmtId="200" formatCode="_(* #,##0.000_);_(* \(#,##0.000\);_(* \-??_);_(@_)"/>
    <numFmt numFmtId="201" formatCode="[$-409]d\-mmm\-yy"/>
    <numFmt numFmtId="202" formatCode="_(* #,##0.0000_);_(* \(#,##0.0000\);_(* \-??_);_(@_)"/>
    <numFmt numFmtId="203" formatCode="_(* #,##0.0_);_(* \(#,##0.0\);_(* \-??_);_(@_)"/>
    <numFmt numFmtId="204" formatCode="0.000"/>
    <numFmt numFmtId="205" formatCode="_(* #,##0.000_);_(* \(#,##0.000\);_(* \-???_);_(@_)"/>
  </numFmts>
  <fonts count="45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color rgb="FFFF00FF"/>
      <name val="Times New Roman"/>
      <family val="1"/>
    </font>
    <font>
      <i val="true"/>
      <sz val="9"/>
      <name val="Times New Roman"/>
      <family val="1"/>
    </font>
    <font>
      <sz val="10"/>
      <name val="Times New Roman"/>
      <family val="1"/>
    </font>
    <font>
      <sz val="10"/>
      <color rgb="FF0000FF"/>
      <name val="Times New Roman"/>
      <family val="1"/>
    </font>
    <font>
      <sz val="12"/>
      <name val="Times New Roman"/>
      <family val="1"/>
    </font>
    <font>
      <sz val="14"/>
      <name val="Times New Roman"/>
      <family val="1"/>
    </font>
    <font>
      <sz val="16"/>
      <name val="Times New Roman"/>
      <family val="1"/>
    </font>
    <font>
      <i val="true"/>
      <sz val="10"/>
      <color rgb="FF0000FF"/>
      <name val="Times New Roman"/>
      <family val="1"/>
    </font>
    <font>
      <sz val="10"/>
      <color rgb="FFFF0000"/>
      <name val="Times New Roman"/>
      <family val="1"/>
    </font>
    <font>
      <i val="true"/>
      <sz val="9"/>
      <color rgb="FF99CC00"/>
      <name val="Times New Roman"/>
      <family val="1"/>
    </font>
    <font>
      <b val="true"/>
      <sz val="10"/>
      <name val="Times New Roman"/>
      <family val="1"/>
    </font>
    <font>
      <sz val="10"/>
      <color rgb="FF808080"/>
      <name val="Times New Roman"/>
      <family val="1"/>
    </font>
    <font>
      <b val="true"/>
      <sz val="10"/>
      <color rgb="FF000000"/>
      <name val="Times New Roman"/>
      <family val="1"/>
    </font>
    <font>
      <sz val="20"/>
      <name val="Times New Roman"/>
      <family val="1"/>
    </font>
    <font>
      <b val="true"/>
      <sz val="20"/>
      <name val="Times New Roman"/>
      <family val="1"/>
    </font>
    <font>
      <b val="true"/>
      <sz val="24"/>
      <name val="Times New Roman"/>
      <family val="1"/>
    </font>
    <font>
      <b val="true"/>
      <sz val="36"/>
      <color rgb="FFFF0000"/>
      <name val="Times New Roman"/>
      <family val="1"/>
    </font>
    <font>
      <sz val="36"/>
      <color rgb="FFFF0000"/>
      <name val="Times New Roman"/>
      <family val="1"/>
    </font>
    <font>
      <sz val="24"/>
      <name val="Arial"/>
      <family val="2"/>
    </font>
    <font>
      <b val="true"/>
      <i val="true"/>
      <sz val="24"/>
      <name val="Times New Roman"/>
      <family val="1"/>
    </font>
    <font>
      <b val="true"/>
      <i val="true"/>
      <sz val="12"/>
      <name val="Times New Roman"/>
      <family val="1"/>
    </font>
    <font>
      <b val="true"/>
      <sz val="14"/>
      <name val="Times New Roman"/>
      <family val="0"/>
    </font>
    <font>
      <sz val="14"/>
      <name val="Arial"/>
      <family val="0"/>
    </font>
    <font>
      <b val="true"/>
      <sz val="24"/>
      <color rgb="FF000080"/>
      <name val="Times New Roman"/>
      <family val="1"/>
    </font>
    <font>
      <b val="true"/>
      <sz val="12"/>
      <color rgb="FF000000"/>
      <name val="Times New Roman"/>
      <family val="0"/>
    </font>
    <font>
      <b val="true"/>
      <sz val="20"/>
      <color rgb="FF000000"/>
      <name val="Times New Roman"/>
      <family val="1"/>
    </font>
    <font>
      <b val="true"/>
      <sz val="22"/>
      <color rgb="FF000000"/>
      <name val="Times New Roman"/>
      <family val="1"/>
    </font>
    <font>
      <b val="true"/>
      <i val="true"/>
      <sz val="16"/>
      <name val="Times New Roman"/>
      <family val="0"/>
    </font>
    <font>
      <sz val="16"/>
      <color rgb="FF000000"/>
      <name val="Times New Roman"/>
      <family val="1"/>
    </font>
    <font>
      <sz val="20"/>
      <color rgb="FF000000"/>
      <name val="Times New Roman"/>
      <family val="1"/>
    </font>
    <font>
      <sz val="14"/>
      <color rgb="FF000000"/>
      <name val="Times New Roman"/>
      <family val="0"/>
    </font>
    <font>
      <sz val="18"/>
      <color rgb="FF000000"/>
      <name val="Times New Roman"/>
      <family val="1"/>
    </font>
    <font>
      <b val="true"/>
      <i val="true"/>
      <sz val="16"/>
      <color rgb="FF000080"/>
      <name val="Times New Roman"/>
      <family val="1"/>
    </font>
    <font>
      <i val="true"/>
      <sz val="12"/>
      <color rgb="FF000000"/>
      <name val="Times New Roman"/>
      <family val="1"/>
    </font>
    <font>
      <b val="true"/>
      <i val="true"/>
      <sz val="20"/>
      <name val="Times New Roman"/>
      <family val="1"/>
    </font>
    <font>
      <b val="true"/>
      <i val="true"/>
      <sz val="16"/>
      <name val="Times New Roman"/>
      <family val="1"/>
    </font>
    <font>
      <b val="true"/>
      <sz val="16"/>
      <color rgb="FF000000"/>
      <name val="Times New Roman"/>
      <family val="1"/>
    </font>
    <font>
      <u val="single"/>
      <sz val="10"/>
      <name val="Times New Roman"/>
      <family val="1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sz val="10"/>
      <name val="Times New Roman"/>
      <family val="0"/>
    </font>
  </fonts>
  <fills count="20">
    <fill>
      <patternFill patternType="none"/>
    </fill>
    <fill>
      <patternFill patternType="gray125"/>
    </fill>
    <fill>
      <patternFill patternType="solid">
        <fgColor rgb="FF993300"/>
        <bgColor rgb="FF993366"/>
      </patternFill>
    </fill>
    <fill>
      <patternFill patternType="solid">
        <fgColor rgb="FFFFFF8F"/>
        <bgColor rgb="FFFFFF99"/>
      </patternFill>
    </fill>
    <fill>
      <patternFill patternType="solid">
        <fgColor rgb="FFC0C0C0"/>
        <bgColor rgb="FFCCCCFF"/>
      </patternFill>
    </fill>
    <fill>
      <patternFill patternType="solid">
        <fgColor rgb="FF003300"/>
        <bgColor rgb="FF333300"/>
      </patternFill>
    </fill>
    <fill>
      <patternFill patternType="solid">
        <fgColor rgb="FFCCCCFF"/>
        <bgColor rgb="FFE3E3E3"/>
      </patternFill>
    </fill>
    <fill>
      <patternFill patternType="solid">
        <fgColor rgb="FF99BF99"/>
        <bgColor rgb="FFC0C0C0"/>
      </patternFill>
    </fill>
    <fill>
      <patternFill patternType="solid">
        <fgColor rgb="FF00FF00"/>
        <bgColor rgb="FF33CCCC"/>
      </patternFill>
    </fill>
    <fill>
      <patternFill patternType="solid">
        <fgColor rgb="FFFF0000"/>
        <bgColor rgb="FF993300"/>
      </patternFill>
    </fill>
    <fill>
      <patternFill patternType="solid">
        <fgColor rgb="FF333300"/>
        <bgColor rgb="FF333333"/>
      </patternFill>
    </fill>
    <fill>
      <patternFill patternType="solid">
        <fgColor rgb="FFCCFFCC"/>
        <bgColor rgb="FFCCFFFF"/>
      </patternFill>
    </fill>
    <fill>
      <patternFill patternType="solid">
        <fgColor rgb="FFFFFFFF"/>
        <bgColor rgb="FFCCFFFF"/>
      </patternFill>
    </fill>
    <fill>
      <patternFill patternType="solid">
        <fgColor rgb="FFFFFF99"/>
        <bgColor rgb="FFFFFF8F"/>
      </patternFill>
    </fill>
    <fill>
      <patternFill patternType="solid">
        <fgColor rgb="FFE3E3E3"/>
        <bgColor rgb="FFCCCCFF"/>
      </patternFill>
    </fill>
    <fill>
      <patternFill patternType="solid">
        <fgColor rgb="FFFFFF00"/>
        <bgColor rgb="FFFFFF00"/>
      </patternFill>
    </fill>
    <fill>
      <patternFill patternType="solid">
        <fgColor rgb="FFCC99FF"/>
        <bgColor rgb="FF9999FF"/>
      </patternFill>
    </fill>
    <fill>
      <patternFill patternType="solid">
        <fgColor rgb="FFFF99CC"/>
        <bgColor rgb="FFFF8080"/>
      </patternFill>
    </fill>
    <fill>
      <patternFill patternType="solid">
        <fgColor rgb="FF00FFFF"/>
        <bgColor rgb="FF00FFFF"/>
      </patternFill>
    </fill>
    <fill>
      <patternFill patternType="solid">
        <fgColor rgb="FF00CCFF"/>
        <bgColor rgb="FF33CCCC"/>
      </patternFill>
    </fill>
  </fills>
  <borders count="10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</borders>
  <cellStyleXfs count="69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91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70" fontId="0" fillId="0" borderId="0" applyFont="true" applyBorder="false" applyAlignment="true" applyProtection="false">
      <alignment horizontal="left" vertical="top" textRotation="0" wrapText="false" indent="0" shrinkToFit="false"/>
    </xf>
    <xf numFmtId="164" fontId="0" fillId="0" borderId="1" applyFont="true" applyBorder="true" applyAlignment="false" applyProtection="false"/>
    <xf numFmtId="164" fontId="4" fillId="0" borderId="0" applyFont="true" applyBorder="false" applyAlignment="false" applyProtection="false"/>
    <xf numFmtId="164" fontId="5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4" fontId="0" fillId="2" borderId="0" applyFont="true" applyBorder="false" applyAlignment="false" applyProtection="false"/>
    <xf numFmtId="164" fontId="6" fillId="3" borderId="0" applyFont="true" applyBorder="false" applyAlignment="false" applyProtection="true">
      <protection locked="false" hidden="false"/>
    </xf>
    <xf numFmtId="164" fontId="7" fillId="0" borderId="0" applyFont="true" applyBorder="false" applyAlignment="false" applyProtection="false"/>
    <xf numFmtId="164" fontId="0" fillId="4" borderId="0" applyFont="true" applyBorder="false" applyAlignment="false" applyProtection="false"/>
    <xf numFmtId="164" fontId="8" fillId="0" borderId="0" applyFont="true" applyBorder="false" applyAlignment="false" applyProtection="false"/>
    <xf numFmtId="164" fontId="9" fillId="0" borderId="0" applyFont="true" applyBorder="false" applyAlignment="false" applyProtection="false"/>
    <xf numFmtId="164" fontId="10" fillId="0" borderId="0" applyFont="true" applyBorder="false" applyAlignment="false" applyProtection="false"/>
    <xf numFmtId="164" fontId="0" fillId="4" borderId="0" applyFont="true" applyBorder="false" applyAlignment="false" applyProtection="false"/>
    <xf numFmtId="164" fontId="0" fillId="5" borderId="0" applyFont="true" applyBorder="false" applyAlignment="false" applyProtection="false"/>
    <xf numFmtId="164" fontId="0" fillId="6" borderId="0" applyFont="true" applyBorder="false" applyAlignment="false" applyProtection="false"/>
    <xf numFmtId="164" fontId="11" fillId="0" borderId="0" applyFont="true" applyBorder="false" applyAlignment="false" applyProtection="false"/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7" borderId="0" applyFont="true" applyBorder="false" applyAlignment="false" applyProtection="false"/>
    <xf numFmtId="164" fontId="0" fillId="8" borderId="0" applyFont="true" applyBorder="false" applyAlignment="false" applyProtection="false"/>
    <xf numFmtId="164" fontId="0" fillId="9" borderId="0" applyFont="true" applyBorder="false" applyAlignment="false" applyProtection="false"/>
    <xf numFmtId="175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64" fontId="12" fillId="0" borderId="0" applyFont="true" applyBorder="false" applyAlignment="false" applyProtection="false"/>
    <xf numFmtId="164" fontId="0" fillId="10" borderId="0" applyFont="true" applyBorder="false" applyAlignment="false" applyProtection="false"/>
    <xf numFmtId="178" fontId="13" fillId="11" borderId="0" applyFont="true" applyBorder="false" applyAlignment="false" applyProtection="false"/>
    <xf numFmtId="164" fontId="0" fillId="4" borderId="0" applyFont="true" applyBorder="false" applyAlignment="false" applyProtection="false"/>
    <xf numFmtId="164" fontId="0" fillId="0" borderId="2" applyFont="true" applyBorder="true" applyAlignment="false" applyProtection="true">
      <protection locked="true" hidden="false"/>
    </xf>
    <xf numFmtId="179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64" fontId="14" fillId="0" borderId="0" applyFont="true" applyBorder="false" applyAlignment="true" applyProtection="false">
      <alignment horizontal="general" vertical="top" textRotation="0" wrapText="true" indent="0" shrinkToFit="false"/>
    </xf>
    <xf numFmtId="164" fontId="0" fillId="0" borderId="3" applyFont="true" applyBorder="true" applyAlignment="false" applyProtection="true">
      <protection locked="true" hidden="false"/>
    </xf>
    <xf numFmtId="164" fontId="15" fillId="0" borderId="0" applyFont="true" applyBorder="false" applyAlignment="false" applyProtection="false"/>
    <xf numFmtId="164" fontId="0" fillId="4" borderId="0" applyFont="true" applyBorder="false" applyAlignment="false" applyProtection="false"/>
    <xf numFmtId="164" fontId="16" fillId="8" borderId="0" applyFont="true" applyBorder="false" applyAlignment="false" applyProtection="false"/>
    <xf numFmtId="164" fontId="0" fillId="0" borderId="0" applyFont="true" applyBorder="false" applyAlignment="true" applyProtection="false">
      <alignment horizontal="general" vertical="top" textRotation="0" wrapText="true" indent="0" shrinkToFit="false"/>
    </xf>
    <xf numFmtId="181" fontId="0" fillId="0" borderId="0" applyFont="true" applyBorder="false" applyAlignment="false" applyProtection="false"/>
    <xf numFmtId="170" fontId="0" fillId="0" borderId="0" applyFont="true" applyBorder="false" applyAlignment="true" applyProtection="false">
      <alignment horizontal="right" vertical="top" textRotation="0" wrapText="false" indent="0" shrinkToFit="false"/>
    </xf>
    <xf numFmtId="182" fontId="0" fillId="0" borderId="0" applyFont="true" applyBorder="false" applyAlignment="false" applyProtection="false"/>
    <xf numFmtId="183" fontId="0" fillId="0" borderId="0" applyFont="true" applyBorder="false" applyAlignment="false" applyProtection="false"/>
  </cellStyleXfs>
  <cellXfs count="156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12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8" fillId="12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4" fontId="18" fillId="12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1" fillId="12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4" fontId="8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45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5" fontId="8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8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8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6" fontId="22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45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8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23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6" fontId="0" fillId="0" borderId="0" xfId="45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88" fontId="24" fillId="0" borderId="0" xfId="45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5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12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0" xfId="45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25" fillId="0" borderId="4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5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6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7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9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27" fillId="0" borderId="1" xfId="45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8" fillId="12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2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8" fillId="12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2" fontId="29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3" fontId="28" fillId="0" borderId="0" xfId="45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3" fontId="30" fillId="4" borderId="1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3" fontId="30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31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2" borderId="0" xfId="4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32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1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17" fillId="12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4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2" fontId="33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4" fontId="34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3" fontId="35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5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0" fillId="0" borderId="0" xfId="4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17" fillId="12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35" fillId="0" borderId="1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5" fillId="0" borderId="1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36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2" fontId="29" fillId="0" borderId="1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7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9" fontId="9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6" fillId="13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32" fillId="0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18" fillId="0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18" fillId="0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2" fontId="33" fillId="0" borderId="1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5" fontId="32" fillId="0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27" fillId="13" borderId="1" xfId="45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8" fillId="0" borderId="1" xfId="45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4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45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83" fontId="30" fillId="14" borderId="1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31" fillId="0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3" fontId="1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17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1" fillId="15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5" borderId="0" xfId="4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32" fillId="15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17" fillId="15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17" fillId="15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2" fontId="33" fillId="15" borderId="1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4" fontId="34" fillId="15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5" fillId="15" borderId="1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5" fillId="15" borderId="5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0" fillId="15" borderId="0" xfId="4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30" fillId="15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5" fillId="15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39" fillId="0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35" fillId="0" borderId="5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39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2" borderId="0" xfId="4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40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6" fontId="17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6" fontId="35" fillId="12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3" fontId="0" fillId="0" borderId="0" xfId="4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9" fontId="17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32" fillId="15" borderId="8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32" fillId="15" borderId="9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9" fillId="0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3" fontId="17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5" fontId="32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9" fillId="15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7" fontId="32" fillId="15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18" fillId="15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5" fontId="32" fillId="15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2" fontId="29" fillId="15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3" fontId="17" fillId="15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8" fontId="32" fillId="15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9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1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6" fillId="15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0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1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6" fillId="16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0" fontId="6" fillId="16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6" fontId="6" fillId="17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6" fontId="6" fillId="15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" fillId="13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0" fontId="6" fillId="4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9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1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1" fillId="1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6" fontId="41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6" fontId="41" fillId="15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0" fontId="41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2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0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3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5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6" fillId="18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6" fillId="1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9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</cellXfs>
  <cellStyles count="55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1dp" xfId="20"/>
    <cellStyle name="2dp" xfId="21"/>
    <cellStyle name="3dp" xfId="22"/>
    <cellStyle name="4dp" xfId="23"/>
    <cellStyle name="8dp" xfId="24"/>
    <cellStyle name="a/c" xfId="25"/>
    <cellStyle name="Borders" xfId="26"/>
    <cellStyle name="Changed" xfId="27"/>
    <cellStyle name="Check" xfId="28"/>
    <cellStyle name="Colourless" xfId="29"/>
    <cellStyle name="Date-day" xfId="30"/>
    <cellStyle name="Date-month" xfId="31"/>
    <cellStyle name="Date-short" xfId="32"/>
    <cellStyle name="Date-year" xfId="33"/>
    <cellStyle name="Day" xfId="34"/>
    <cellStyle name="Entry" xfId="35"/>
    <cellStyle name="Gas" xfId="36"/>
    <cellStyle name="Grey" xfId="37"/>
    <cellStyle name="Large12" xfId="38"/>
    <cellStyle name="Large14" xfId="39"/>
    <cellStyle name="Large16" xfId="40"/>
    <cellStyle name="Link in" xfId="41"/>
    <cellStyle name="Link out" xfId="42"/>
    <cellStyle name="MTD" xfId="43"/>
    <cellStyle name="New" xfId="44"/>
    <cellStyle name="Normal_New Summary" xfId="45"/>
    <cellStyle name="Not_yet_active" xfId="46"/>
    <cellStyle name="Output" xfId="47"/>
    <cellStyle name="Outstanding" xfId="48"/>
    <cellStyle name="Percent1" xfId="49"/>
    <cellStyle name="Percent2" xfId="50"/>
    <cellStyle name="Percent4" xfId="51"/>
    <cellStyle name="Power" xfId="52"/>
    <cellStyle name="Quarters" xfId="53"/>
    <cellStyle name="SBZero" xfId="54"/>
    <cellStyle name="Shaded" xfId="55"/>
    <cellStyle name="sum" xfId="56"/>
    <cellStyle name="Time-minutes" xfId="57"/>
    <cellStyle name="Time-seconds" xfId="58"/>
    <cellStyle name="Title" xfId="59"/>
    <cellStyle name="total" xfId="60"/>
    <cellStyle name="Transportation" xfId="61"/>
    <cellStyle name="USD_day_analysis" xfId="62"/>
    <cellStyle name="Warning 1" xfId="63"/>
    <cellStyle name="Wrapped" xfId="64"/>
    <cellStyle name="xrate" xfId="65"/>
    <cellStyle name="year" xfId="66"/>
    <cellStyle name="Zero suppress" xfId="67"/>
    <cellStyle name="zpatchnumbers" xfId="68"/>
  </cellStyles>
  <dxfs count="9">
    <dxf>
      <fill>
        <patternFill patternType="solid"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99"/>
          <bgColor rgb="FF000000"/>
        </patternFill>
      </fill>
    </dxf>
    <dxf>
      <fill>
        <patternFill patternType="solid">
          <fgColor rgb="FF000080"/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C0C0C0"/>
          <bgColor rgb="FF000000"/>
        </patternFill>
      </fill>
    </dxf>
    <dxf>
      <fill>
        <patternFill patternType="solid">
          <fgColor rgb="FFE3E3E3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8F"/>
      <rgbColor rgb="FFE3E3E3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9BF99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worksheet" Target="worksheets/sheet17.xml"/><Relationship Id="rId20" Type="http://schemas.openxmlformats.org/officeDocument/2006/relationships/worksheet" Target="worksheets/sheet18.xml"/><Relationship Id="rId21" Type="http://schemas.openxmlformats.org/officeDocument/2006/relationships/worksheet" Target="worksheets/sheet19.xml"/><Relationship Id="rId22" Type="http://schemas.openxmlformats.org/officeDocument/2006/relationships/worksheet" Target="worksheets/sheet20.xml"/><Relationship Id="rId23" Type="http://schemas.openxmlformats.org/officeDocument/2006/relationships/worksheet" Target="worksheets/sheet21.xml"/><Relationship Id="rId24" Type="http://schemas.openxmlformats.org/officeDocument/2006/relationships/worksheet" Target="worksheets/sheet22.xml"/><Relationship Id="rId25" Type="http://schemas.openxmlformats.org/officeDocument/2006/relationships/externalLink" Target="externalLinks/externalLink1.xml"/><Relationship Id="rId26" Type="http://schemas.openxmlformats.org/officeDocument/2006/relationships/externalLink" Target="externalLinks/externalLink2.xml"/><Relationship Id="rId27" Type="http://schemas.openxmlformats.org/officeDocument/2006/relationships/externalLink" Target="externalLinks/externalLink3.xml"/><Relationship Id="rId28" Type="http://schemas.openxmlformats.org/officeDocument/2006/relationships/externalLink" Target="externalLinks/externalLink4.xml"/><Relationship Id="rId29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wmf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</xdr:col>
      <xdr:colOff>0</xdr:colOff>
      <xdr:row>8</xdr:row>
      <xdr:rowOff>0</xdr:rowOff>
    </xdr:from>
    <xdr:to>
      <xdr:col>4</xdr:col>
      <xdr:colOff>1912680</xdr:colOff>
      <xdr:row>9</xdr:row>
      <xdr:rowOff>333360</xdr:rowOff>
    </xdr:to>
    <xdr:sp>
      <xdr:nvSpPr>
        <xdr:cNvPr id="0" name="Rectangle 1"/>
        <xdr:cNvSpPr/>
      </xdr:nvSpPr>
      <xdr:spPr>
        <a:xfrm>
          <a:off x="5888880" y="3086280"/>
          <a:ext cx="3191040" cy="552240"/>
        </a:xfrm>
        <a:prstGeom prst="rect">
          <a:avLst/>
        </a:prstGeom>
        <a:noFill/>
        <a:ln w="9360">
          <a:solidFill>
            <a:srgbClr val="000000"/>
          </a:solidFill>
          <a:miter/>
        </a:ln>
        <a:effectLst>
          <a:outerShdw dist="17819" dir="2700000" blurRad="0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6</xdr:col>
      <xdr:colOff>0</xdr:colOff>
      <xdr:row>8</xdr:row>
      <xdr:rowOff>0</xdr:rowOff>
    </xdr:from>
    <xdr:to>
      <xdr:col>7</xdr:col>
      <xdr:colOff>1953000</xdr:colOff>
      <xdr:row>9</xdr:row>
      <xdr:rowOff>333360</xdr:rowOff>
    </xdr:to>
    <xdr:sp>
      <xdr:nvSpPr>
        <xdr:cNvPr id="1" name="Rectangle 2"/>
        <xdr:cNvSpPr/>
      </xdr:nvSpPr>
      <xdr:spPr>
        <a:xfrm>
          <a:off x="9189720" y="3086280"/>
          <a:ext cx="3210840" cy="552240"/>
        </a:xfrm>
        <a:prstGeom prst="rect">
          <a:avLst/>
        </a:prstGeom>
        <a:noFill/>
        <a:ln w="9360">
          <a:solidFill>
            <a:srgbClr val="000000"/>
          </a:solidFill>
          <a:miter/>
        </a:ln>
        <a:effectLst>
          <a:outerShdw dist="17819" dir="2700000" blurRad="0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9</xdr:col>
      <xdr:colOff>0</xdr:colOff>
      <xdr:row>8</xdr:row>
      <xdr:rowOff>0</xdr:rowOff>
    </xdr:from>
    <xdr:to>
      <xdr:col>12</xdr:col>
      <xdr:colOff>720</xdr:colOff>
      <xdr:row>9</xdr:row>
      <xdr:rowOff>333360</xdr:rowOff>
    </xdr:to>
    <xdr:sp>
      <xdr:nvSpPr>
        <xdr:cNvPr id="2" name="Rectangle 9"/>
        <xdr:cNvSpPr/>
      </xdr:nvSpPr>
      <xdr:spPr>
        <a:xfrm>
          <a:off x="12621240" y="3086280"/>
          <a:ext cx="2797200" cy="552240"/>
        </a:xfrm>
        <a:prstGeom prst="rect">
          <a:avLst/>
        </a:prstGeom>
        <a:noFill/>
        <a:ln w="9360">
          <a:solidFill>
            <a:srgbClr val="000000"/>
          </a:solidFill>
          <a:miter/>
        </a:ln>
        <a:effectLst>
          <a:outerShdw dist="17819" dir="2700000" blurRad="0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</xdr:col>
      <xdr:colOff>69480</xdr:colOff>
      <xdr:row>1</xdr:row>
      <xdr:rowOff>66960</xdr:rowOff>
    </xdr:from>
    <xdr:to>
      <xdr:col>1</xdr:col>
      <xdr:colOff>2422800</xdr:colOff>
      <xdr:row>5</xdr:row>
      <xdr:rowOff>505080</xdr:rowOff>
    </xdr:to>
    <xdr:pic>
      <xdr:nvPicPr>
        <xdr:cNvPr id="3" name="Picture 66" descr=""/>
        <xdr:cNvPicPr/>
      </xdr:nvPicPr>
      <xdr:blipFill>
        <a:blip r:embed="rId1"/>
        <a:stretch/>
      </xdr:blipFill>
      <xdr:spPr>
        <a:xfrm>
          <a:off x="713520" y="267120"/>
          <a:ext cx="2353320" cy="23047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18</xdr:col>
      <xdr:colOff>0</xdr:colOff>
      <xdr:row>31</xdr:row>
      <xdr:rowOff>0</xdr:rowOff>
    </xdr:from>
    <xdr:to>
      <xdr:col>18</xdr:col>
      <xdr:colOff>1440</xdr:colOff>
      <xdr:row>31</xdr:row>
      <xdr:rowOff>316800</xdr:rowOff>
    </xdr:to>
    <xdr:sp>
      <xdr:nvSpPr>
        <xdr:cNvPr id="4" name="Rectangle 47"/>
        <xdr:cNvSpPr/>
      </xdr:nvSpPr>
      <xdr:spPr>
        <a:xfrm>
          <a:off x="24505920" y="9032400"/>
          <a:ext cx="1440" cy="316800"/>
        </a:xfrm>
        <a:prstGeom prst="rect">
          <a:avLst/>
        </a:prstGeom>
        <a:noFill/>
        <a:ln w="9360">
          <a:solidFill>
            <a:srgbClr val="000000"/>
          </a:solidFill>
          <a:miter/>
        </a:ln>
        <a:effectLst>
          <a:outerShdw dist="17819" dir="2700000" blurRad="0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</xdr:sp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ERMS/erms_adm/D_POS/1999/Oct-99/nonaffl/Var%20Matrix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ERMS/erms_adm/Enron%20International/Trading%20Operations/VAR/2000%20Arg%20Gas/0700/0714%20SC%20Gas%20VAR%20charts.xls" TargetMode="External"/>
</Relationships>
</file>

<file path=xl/externalLinks/_rels/externalLink3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ERMS/erms_adm/FIRMTRAD/2000/0300/Control/Efpb0300.xls" TargetMode="External"/>
</Relationships>
</file>

<file path=xl/externalLinks/_rels/externalLink4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WINDOWS/Temporary%20Internet%20Files/Content.IE5/M1CLITGF/used%20last%20032201%20-%20South%20America%202001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/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/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Orig Sched "/>
      <sheetName val="Report"/>
      <sheetName val="Roll-1 GO"/>
      <sheetName val="Roll-1"/>
      <sheetName val="Roll-2"/>
      <sheetName val="Roll-2 GO"/>
      <sheetName val="Roll-3"/>
      <sheetName val="Roll-3 GO"/>
      <sheetName val="Roll-4"/>
      <sheetName val="Roll-4 GO"/>
      <sheetName val="Roll-5"/>
      <sheetName val="Roll-5 GO"/>
      <sheetName val="Roll-6"/>
      <sheetName val="Roll-7"/>
      <sheetName val="Roll-7 kc"/>
      <sheetName val="Roll-8"/>
      <sheetName val="Error_help"/>
      <sheetName val="Module1"/>
      <sheetName val="Orig Summary"/>
      <sheetName val="Module2"/>
      <sheetName val="lo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RAC V@r Total"/>
      <sheetName val="SC Total Power"/>
      <sheetName val="SC Total Gas"/>
      <sheetName val="ARG Gas Firm"/>
      <sheetName val="ARG Gas IM"/>
      <sheetName val="ARG Power"/>
      <sheetName val="BRA Power"/>
      <sheetName val="GNS Bolv Gas MTM"/>
      <sheetName val="SC Gas MTM"/>
      <sheetName val="SC Gas ACC"/>
      <sheetName val="TBS Gas MTM"/>
      <sheetName val="TBS Gas ACC"/>
      <sheetName val="TBS Gas AFF"/>
      <sheetName val="TBS CRD MTM"/>
      <sheetName val="TBS CRD ACC"/>
      <sheetName val="TBS CRD AFF"/>
      <sheetName val="CRD SPRD MTM"/>
      <sheetName val="Master Data"/>
      <sheetName val="SC Gas Summary"/>
      <sheetName val="SC Gas Graph Detail"/>
    </sheetNames>
    <sheetDataSet>
      <sheetData sheetId="0">
        <row r="8">
          <cell r="B8">
            <v>36972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A2">
            <v>0</v>
          </cell>
          <cell r="B2" t="str">
            <v>M</v>
          </cell>
        </row>
        <row r="3">
          <cell r="A3">
            <v>1</v>
          </cell>
          <cell r="B3" t="str">
            <v>T</v>
          </cell>
        </row>
        <row r="4">
          <cell r="A4">
            <v>2</v>
          </cell>
          <cell r="B4" t="str">
            <v>W</v>
          </cell>
        </row>
        <row r="5">
          <cell r="A5">
            <v>3</v>
          </cell>
          <cell r="B5" t="str">
            <v>Th</v>
          </cell>
        </row>
        <row r="6">
          <cell r="A6">
            <v>4</v>
          </cell>
          <cell r="B6" t="str">
            <v>F</v>
          </cell>
        </row>
        <row r="7">
          <cell r="A7">
            <v>5</v>
          </cell>
          <cell r="B7" t="str">
            <v>Sa</v>
          </cell>
        </row>
        <row r="8">
          <cell r="A8">
            <v>6</v>
          </cell>
          <cell r="B8" t="str">
            <v>Su</v>
          </cell>
        </row>
      </sheetData>
      <sheetData sheetId="19"/>
      <sheetData sheetId="20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comments" Target="../comments10.xml"/><Relationship Id="rId2" Type="http://schemas.openxmlformats.org/officeDocument/2006/relationships/vmlDrawing" Target="../drawings/vmlDrawing8.vml"/>
</Relationships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comments" Target="../comments11.xml"/><Relationship Id="rId2" Type="http://schemas.openxmlformats.org/officeDocument/2006/relationships/vmlDrawing" Target="../drawings/vmlDrawing9.v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comments" Target="../comments12.xml"/><Relationship Id="rId2" Type="http://schemas.openxmlformats.org/officeDocument/2006/relationships/vmlDrawing" Target="../drawings/vmlDrawing10.vml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comments" Target="../comments13.xml"/><Relationship Id="rId2" Type="http://schemas.openxmlformats.org/officeDocument/2006/relationships/vmlDrawing" Target="../drawings/vmlDrawing11.v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comments" Target="../comments14.xml"/><Relationship Id="rId2" Type="http://schemas.openxmlformats.org/officeDocument/2006/relationships/vmlDrawing" Target="../drawings/vmlDrawing12.vml"/>
</Relationships>
</file>

<file path=xl/worksheets/_rels/sheet16.xml.rels><?xml version="1.0" encoding="UTF-8"?>
<Relationships xmlns="http://schemas.openxmlformats.org/package/2006/relationships"><Relationship Id="rId1" Type="http://schemas.openxmlformats.org/officeDocument/2006/relationships/comments" Target="../comments16.xml"/><Relationship Id="rId2" Type="http://schemas.openxmlformats.org/officeDocument/2006/relationships/vmlDrawing" Target="../drawings/vmlDrawing13.vml"/>
</Relationships>
</file>

<file path=xl/worksheets/_rels/sheet17.xml.rels><?xml version="1.0" encoding="UTF-8"?>
<Relationships xmlns="http://schemas.openxmlformats.org/package/2006/relationships"><Relationship Id="rId1" Type="http://schemas.openxmlformats.org/officeDocument/2006/relationships/comments" Target="../comments17.xml"/><Relationship Id="rId2" Type="http://schemas.openxmlformats.org/officeDocument/2006/relationships/vmlDrawing" Target="../drawings/vmlDrawing14.vml"/>
</Relationships>
</file>

<file path=xl/worksheets/_rels/sheet18.xml.rels><?xml version="1.0" encoding="UTF-8"?>
<Relationships xmlns="http://schemas.openxmlformats.org/package/2006/relationships"><Relationship Id="rId1" Type="http://schemas.openxmlformats.org/officeDocument/2006/relationships/comments" Target="../comments18.xml"/><Relationship Id="rId2" Type="http://schemas.openxmlformats.org/officeDocument/2006/relationships/vmlDrawing" Target="../drawings/vmlDrawing15.vml"/>
</Relationships>
</file>

<file path=xl/worksheets/_rels/sheet19.xml.rels><?xml version="1.0" encoding="UTF-8"?>
<Relationships xmlns="http://schemas.openxmlformats.org/package/2006/relationships"><Relationship Id="rId1" Type="http://schemas.openxmlformats.org/officeDocument/2006/relationships/comments" Target="../comments19.xml"/><Relationship Id="rId2" Type="http://schemas.openxmlformats.org/officeDocument/2006/relationships/vmlDrawing" Target="../drawings/vmlDrawing16.v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vmlDrawing" Target="../drawings/vmlDrawing1.vml"/>
</Relationships>
</file>

<file path=xl/worksheets/_rels/sheet20.xml.rels><?xml version="1.0" encoding="UTF-8"?>
<Relationships xmlns="http://schemas.openxmlformats.org/package/2006/relationships"><Relationship Id="rId1" Type="http://schemas.openxmlformats.org/officeDocument/2006/relationships/comments" Target="../comments20.xml"/><Relationship Id="rId2" Type="http://schemas.openxmlformats.org/officeDocument/2006/relationships/vmlDrawing" Target="../drawings/vmlDrawing17.vml"/>
</Relationships>
</file>

<file path=xl/worksheets/_rels/sheet21.xml.rels><?xml version="1.0" encoding="UTF-8"?>
<Relationships xmlns="http://schemas.openxmlformats.org/package/2006/relationships"><Relationship Id="rId1" Type="http://schemas.openxmlformats.org/officeDocument/2006/relationships/comments" Target="../comments21.xml"/><Relationship Id="rId2" Type="http://schemas.openxmlformats.org/officeDocument/2006/relationships/vmlDrawing" Target="../drawings/vmlDrawing18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vmlDrawing" Target="../drawings/vmlDrawing2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vmlDrawing" Target="../drawings/vmlDrawing3.v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vmlDrawing" Target="../drawings/vmlDrawing4.v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vmlDrawing" Target="../drawings/vmlDrawing5.v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comments" Target="../comments8.xml"/><Relationship Id="rId2" Type="http://schemas.openxmlformats.org/officeDocument/2006/relationships/vmlDrawing" Target="../drawings/vmlDrawing6.v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comments" Target="../comments9.xml"/><Relationship Id="rId2" Type="http://schemas.openxmlformats.org/officeDocument/2006/relationships/vmlDrawing" Target="../drawings/vmlDrawing7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true">
    <pageSetUpPr fitToPage="true"/>
  </sheetPr>
  <dimension ref="A1:IW63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5.75" customHeight="true" zeroHeight="false" outlineLevelRow="0" outlineLevelCol="0"/>
  <cols>
    <col collapsed="false" customWidth="false" hidden="false" outlineLevel="0" max="1" min="1" style="1" width="9.14"/>
    <col collapsed="false" customWidth="true" hidden="false" outlineLevel="0" max="2" min="2" style="2" width="72.28"/>
    <col collapsed="false" customWidth="true" hidden="false" outlineLevel="0" max="3" min="3" style="3" width="2.13"/>
    <col collapsed="false" customWidth="true" hidden="false" outlineLevel="0" max="4" min="4" style="2" width="18.14"/>
    <col collapsed="false" customWidth="true" hidden="false" outlineLevel="0" max="5" min="5" style="2" width="27.14"/>
    <col collapsed="false" customWidth="true" hidden="false" outlineLevel="0" max="6" min="6" style="3" width="1.56"/>
    <col collapsed="false" customWidth="true" hidden="false" outlineLevel="0" max="7" min="7" style="2" width="17.85"/>
    <col collapsed="false" customWidth="true" hidden="false" outlineLevel="0" max="8" min="8" style="2" width="27.7"/>
    <col collapsed="false" customWidth="true" hidden="false" outlineLevel="0" max="9" min="9" style="2" width="3.14"/>
    <col collapsed="false" customWidth="true" hidden="false" outlineLevel="0" max="10" min="10" style="2" width="19.7"/>
    <col collapsed="false" customWidth="true" hidden="false" outlineLevel="0" max="11" min="11" style="2" width="1.41"/>
    <col collapsed="false" customWidth="true" hidden="false" outlineLevel="0" max="12" min="12" style="1" width="18.56"/>
    <col collapsed="false" customWidth="true" hidden="false" outlineLevel="0" max="13" min="13" style="3" width="8.85"/>
    <col collapsed="false" customWidth="true" hidden="false" outlineLevel="0" max="14" min="14" style="1" width="36.99"/>
    <col collapsed="false" customWidth="true" hidden="false" outlineLevel="0" max="15" min="15" style="1" width="20.41"/>
    <col collapsed="false" customWidth="true" hidden="false" outlineLevel="0" max="16" min="16" style="1" width="20.56"/>
    <col collapsed="false" customWidth="true" hidden="false" outlineLevel="0" max="17" min="17" style="1" width="19.85"/>
    <col collapsed="false" customWidth="true" hidden="false" outlineLevel="0" max="18" min="18" style="1" width="22.28"/>
    <col collapsed="false" customWidth="true" hidden="false" outlineLevel="0" max="19" min="19" style="2" width="18.56"/>
    <col collapsed="false" customWidth="true" hidden="false" outlineLevel="0" max="20" min="20" style="2" width="21.99"/>
    <col collapsed="false" customWidth="true" hidden="false" outlineLevel="0" max="21" min="21" style="2" width="16.7"/>
    <col collapsed="false" customWidth="true" hidden="false" outlineLevel="0" max="24" min="22" style="2" width="14.41"/>
    <col collapsed="false" customWidth="false" hidden="false" outlineLevel="0" max="257" min="25" style="2" width="9.14"/>
  </cols>
  <sheetData>
    <row r="1" customFormat="false" ht="15.75" hidden="false" customHeight="false" outlineLevel="0" collapsed="false">
      <c r="A1" s="1" t="s">
        <v>0</v>
      </c>
    </row>
    <row r="2" customFormat="false" ht="27" hidden="false" customHeight="true" outlineLevel="0" collapsed="false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</row>
    <row r="3" customFormat="false" ht="26.25" hidden="false" customHeight="false" outlineLevel="0" collapsed="false">
      <c r="A3" s="4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7"/>
      <c r="O3" s="5"/>
      <c r="P3" s="5"/>
      <c r="Q3" s="5"/>
      <c r="R3" s="5"/>
    </row>
    <row r="4" customFormat="false" ht="72.75" hidden="false" customHeight="true" outlineLevel="0" collapsed="false">
      <c r="A4" s="4" t="s">
        <v>1</v>
      </c>
      <c r="B4" s="0"/>
      <c r="H4" s="8"/>
      <c r="J4" s="9" t="s">
        <v>2</v>
      </c>
      <c r="M4" s="10"/>
      <c r="N4" s="11"/>
      <c r="O4" s="1" t="s">
        <v>3</v>
      </c>
      <c r="R4" s="12" t="s">
        <v>4</v>
      </c>
      <c r="S4" s="6"/>
      <c r="T4" s="13"/>
    </row>
    <row r="5" customFormat="false" ht="21" hidden="false" customHeight="true" outlineLevel="0" collapsed="false">
      <c r="A5" s="4" t="s">
        <v>1</v>
      </c>
      <c r="R5" s="12"/>
      <c r="S5" s="14"/>
      <c r="T5" s="13"/>
    </row>
    <row r="6" customFormat="false" ht="39.75" hidden="false" customHeight="true" outlineLevel="0" collapsed="false">
      <c r="A6" s="4" t="s">
        <v>1</v>
      </c>
      <c r="B6" s="0"/>
      <c r="L6" s="15"/>
      <c r="N6" s="16"/>
      <c r="O6" s="17"/>
    </row>
    <row r="7" customFormat="false" ht="17.25" hidden="false" customHeight="true" outlineLevel="0" collapsed="false">
      <c r="A7" s="4" t="s">
        <v>1</v>
      </c>
      <c r="B7" s="18"/>
      <c r="N7" s="16"/>
      <c r="O7" s="17"/>
      <c r="T7" s="14"/>
    </row>
    <row r="8" customFormat="false" ht="23.25" hidden="false" customHeight="true" outlineLevel="0" collapsed="false">
      <c r="A8" s="4" t="s">
        <v>1</v>
      </c>
      <c r="B8" s="19" t="n">
        <v>37196</v>
      </c>
      <c r="N8" s="20"/>
      <c r="O8" s="17"/>
      <c r="P8" s="17"/>
      <c r="Q8" s="17"/>
      <c r="R8" s="17"/>
    </row>
    <row r="9" customFormat="false" ht="17.25" hidden="false" customHeight="true" outlineLevel="0" collapsed="false">
      <c r="A9" s="4" t="s">
        <v>1</v>
      </c>
      <c r="B9" s="21"/>
      <c r="D9" s="22" t="s">
        <v>5</v>
      </c>
      <c r="E9" s="22"/>
      <c r="F9" s="23"/>
      <c r="G9" s="22" t="s">
        <v>6</v>
      </c>
      <c r="H9" s="22"/>
      <c r="I9" s="24"/>
      <c r="J9" s="25" t="s">
        <v>7</v>
      </c>
      <c r="K9" s="25"/>
      <c r="L9" s="25"/>
      <c r="N9" s="22" t="s">
        <v>8</v>
      </c>
      <c r="O9" s="22"/>
      <c r="P9" s="22"/>
      <c r="Q9" s="22"/>
      <c r="R9" s="22"/>
      <c r="T9" s="26"/>
      <c r="U9" s="26"/>
      <c r="V9" s="26"/>
      <c r="W9" s="26"/>
      <c r="X9" s="26"/>
      <c r="Y9" s="27"/>
    </row>
    <row r="10" customFormat="false" ht="26.25" hidden="false" customHeight="false" outlineLevel="0" collapsed="false">
      <c r="A10" s="4" t="s">
        <v>1</v>
      </c>
      <c r="B10" s="22" t="s">
        <v>9</v>
      </c>
      <c r="C10" s="23"/>
      <c r="D10" s="28" t="s">
        <v>10</v>
      </c>
      <c r="E10" s="29" t="s">
        <v>11</v>
      </c>
      <c r="F10" s="23"/>
      <c r="G10" s="28" t="s">
        <v>12</v>
      </c>
      <c r="H10" s="29" t="s">
        <v>11</v>
      </c>
      <c r="I10" s="30"/>
      <c r="J10" s="31" t="s">
        <v>13</v>
      </c>
      <c r="K10" s="32"/>
      <c r="L10" s="33" t="s">
        <v>11</v>
      </c>
      <c r="M10" s="23"/>
      <c r="N10" s="29" t="s">
        <v>14</v>
      </c>
      <c r="O10" s="29" t="s">
        <v>15</v>
      </c>
      <c r="P10" s="34" t="s">
        <v>16</v>
      </c>
      <c r="Q10" s="34" t="s">
        <v>17</v>
      </c>
      <c r="R10" s="34" t="s">
        <v>18</v>
      </c>
      <c r="S10" s="35"/>
      <c r="T10" s="36"/>
      <c r="U10" s="37"/>
      <c r="V10" s="37"/>
      <c r="W10" s="37"/>
      <c r="X10" s="37"/>
      <c r="Y10" s="38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  <c r="IW10" s="35"/>
    </row>
    <row r="11" customFormat="false" ht="12.75" hidden="false" customHeight="true" outlineLevel="0" collapsed="false">
      <c r="A11" s="4" t="s">
        <v>1</v>
      </c>
      <c r="B11" s="39"/>
      <c r="D11" s="40"/>
      <c r="E11" s="40"/>
      <c r="L11" s="39"/>
      <c r="N11" s="39"/>
      <c r="O11" s="39"/>
      <c r="P11" s="39"/>
      <c r="Q11" s="39"/>
      <c r="R11" s="39"/>
      <c r="T11" s="40"/>
      <c r="U11" s="40"/>
      <c r="V11" s="40"/>
      <c r="W11" s="40"/>
      <c r="X11" s="40"/>
      <c r="Y11" s="27"/>
    </row>
    <row r="12" customFormat="false" ht="29.25" hidden="false" customHeight="true" outlineLevel="0" collapsed="false">
      <c r="A12" s="4" t="s">
        <v>1</v>
      </c>
      <c r="B12" s="41" t="s">
        <v>19</v>
      </c>
      <c r="C12" s="42"/>
      <c r="D12" s="43"/>
      <c r="E12" s="44"/>
      <c r="F12" s="45"/>
      <c r="G12" s="43"/>
      <c r="H12" s="44"/>
      <c r="I12" s="44"/>
      <c r="J12" s="46"/>
      <c r="K12" s="44"/>
      <c r="L12" s="47"/>
      <c r="M12" s="45"/>
      <c r="N12" s="48" t="n">
        <f aca="false">SUM(N14+N15+N20)</f>
        <v>2950.95475663184</v>
      </c>
      <c r="O12" s="48" t="n">
        <f aca="false">SUM(O14+O15+O20)</f>
        <v>3099.40815444675</v>
      </c>
      <c r="P12" s="48" t="n">
        <f aca="false">SUM(P14+P15+P20)</f>
        <v>2950.95475663184</v>
      </c>
      <c r="Q12" s="48" t="n">
        <f aca="false">SUM(Q14+Q15+Q20)</f>
        <v>2346.71679443483</v>
      </c>
      <c r="R12" s="48" t="n">
        <f aca="false">SUM(R14+R15+R20)</f>
        <v>23752.6752876786</v>
      </c>
      <c r="S12" s="27"/>
      <c r="T12" s="49"/>
      <c r="U12" s="49"/>
      <c r="V12" s="49"/>
      <c r="W12" s="49"/>
      <c r="X12" s="49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</row>
    <row r="13" customFormat="false" ht="9.75" hidden="false" customHeight="true" outlineLevel="0" collapsed="false">
      <c r="A13" s="4" t="s">
        <v>1</v>
      </c>
      <c r="B13" s="50"/>
      <c r="C13" s="51"/>
      <c r="D13" s="52"/>
      <c r="E13" s="53"/>
      <c r="F13" s="54"/>
      <c r="G13" s="52"/>
      <c r="H13" s="53"/>
      <c r="I13" s="55"/>
      <c r="J13" s="56"/>
      <c r="K13" s="55"/>
      <c r="L13" s="53"/>
      <c r="M13" s="57"/>
      <c r="N13" s="58"/>
      <c r="O13" s="59"/>
      <c r="P13" s="59"/>
      <c r="Q13" s="59"/>
      <c r="R13" s="59"/>
      <c r="S13" s="55"/>
      <c r="T13" s="47"/>
      <c r="U13" s="47"/>
      <c r="V13" s="47"/>
      <c r="W13" s="47"/>
      <c r="X13" s="47"/>
      <c r="Y13" s="60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  <c r="BZ13" s="55"/>
      <c r="CA13" s="55"/>
      <c r="CB13" s="55"/>
      <c r="CC13" s="55"/>
      <c r="CD13" s="55"/>
      <c r="CE13" s="55"/>
      <c r="CF13" s="55"/>
      <c r="CG13" s="55"/>
      <c r="CH13" s="55"/>
      <c r="CI13" s="55"/>
      <c r="CJ13" s="55"/>
      <c r="CK13" s="55"/>
      <c r="CL13" s="55"/>
      <c r="CM13" s="55"/>
      <c r="CN13" s="55"/>
      <c r="CO13" s="55"/>
      <c r="CP13" s="55"/>
      <c r="CQ13" s="55"/>
      <c r="CR13" s="55"/>
      <c r="CS13" s="55"/>
      <c r="CT13" s="55"/>
      <c r="CU13" s="55"/>
      <c r="CV13" s="55"/>
      <c r="CW13" s="55"/>
      <c r="CX13" s="55"/>
      <c r="CY13" s="55"/>
      <c r="CZ13" s="55"/>
      <c r="DA13" s="55"/>
      <c r="DB13" s="55"/>
      <c r="DC13" s="55"/>
      <c r="DD13" s="55"/>
      <c r="DE13" s="55"/>
      <c r="DF13" s="55"/>
      <c r="DG13" s="55"/>
      <c r="DH13" s="55"/>
      <c r="DI13" s="55"/>
      <c r="DJ13" s="55"/>
      <c r="DK13" s="55"/>
      <c r="DL13" s="55"/>
      <c r="DM13" s="55"/>
      <c r="DN13" s="55"/>
      <c r="DO13" s="55"/>
      <c r="DP13" s="55"/>
      <c r="DQ13" s="55"/>
      <c r="DR13" s="55"/>
      <c r="DS13" s="55"/>
      <c r="DT13" s="55"/>
      <c r="DU13" s="55"/>
      <c r="DV13" s="55"/>
      <c r="DW13" s="55"/>
      <c r="DX13" s="55"/>
      <c r="DY13" s="55"/>
      <c r="DZ13" s="55"/>
      <c r="EA13" s="55"/>
      <c r="EB13" s="55"/>
      <c r="EC13" s="55"/>
      <c r="ED13" s="55"/>
      <c r="EE13" s="55"/>
      <c r="EF13" s="55"/>
      <c r="EG13" s="55"/>
      <c r="EH13" s="55"/>
      <c r="EI13" s="55"/>
      <c r="EJ13" s="55"/>
      <c r="EK13" s="55"/>
      <c r="EL13" s="55"/>
      <c r="EM13" s="55"/>
      <c r="EN13" s="55"/>
      <c r="EO13" s="55"/>
      <c r="EP13" s="55"/>
      <c r="EQ13" s="55"/>
      <c r="ER13" s="55"/>
      <c r="ES13" s="55"/>
      <c r="ET13" s="55"/>
      <c r="EU13" s="55"/>
      <c r="EV13" s="55"/>
      <c r="EW13" s="55"/>
      <c r="EX13" s="55"/>
      <c r="EY13" s="55"/>
      <c r="EZ13" s="55"/>
      <c r="FA13" s="55"/>
      <c r="FB13" s="55"/>
      <c r="FC13" s="55"/>
      <c r="FD13" s="55"/>
      <c r="FE13" s="55"/>
      <c r="FF13" s="55"/>
      <c r="FG13" s="55"/>
      <c r="FH13" s="55"/>
      <c r="FI13" s="55"/>
      <c r="FJ13" s="55"/>
      <c r="FK13" s="55"/>
      <c r="FL13" s="55"/>
      <c r="FM13" s="55"/>
      <c r="FN13" s="55"/>
      <c r="FO13" s="55"/>
      <c r="FP13" s="55"/>
      <c r="FQ13" s="55"/>
      <c r="FR13" s="55"/>
      <c r="FS13" s="55"/>
      <c r="FT13" s="55"/>
      <c r="FU13" s="55"/>
      <c r="FV13" s="55"/>
      <c r="FW13" s="55"/>
      <c r="FX13" s="55"/>
      <c r="FY13" s="55"/>
      <c r="FZ13" s="55"/>
      <c r="GA13" s="55"/>
      <c r="GB13" s="55"/>
      <c r="GC13" s="55"/>
      <c r="GD13" s="55"/>
      <c r="GE13" s="55"/>
      <c r="GF13" s="55"/>
      <c r="GG13" s="55"/>
      <c r="GH13" s="55"/>
      <c r="GI13" s="55"/>
      <c r="GJ13" s="55"/>
      <c r="GK13" s="55"/>
      <c r="GL13" s="55"/>
      <c r="GM13" s="55"/>
      <c r="GN13" s="55"/>
      <c r="GO13" s="55"/>
      <c r="GP13" s="55"/>
      <c r="GQ13" s="55"/>
      <c r="GR13" s="55"/>
      <c r="GS13" s="55"/>
      <c r="GT13" s="55"/>
      <c r="GU13" s="55"/>
      <c r="GV13" s="55"/>
      <c r="GW13" s="55"/>
      <c r="GX13" s="55"/>
      <c r="GY13" s="55"/>
      <c r="GZ13" s="55"/>
      <c r="HA13" s="55"/>
      <c r="HB13" s="55"/>
      <c r="HC13" s="55"/>
      <c r="HD13" s="55"/>
      <c r="HE13" s="55"/>
      <c r="HF13" s="55"/>
      <c r="HG13" s="55"/>
      <c r="HH13" s="55"/>
      <c r="HI13" s="55"/>
      <c r="HJ13" s="55"/>
      <c r="HK13" s="55"/>
      <c r="HL13" s="55"/>
      <c r="HM13" s="55"/>
      <c r="HN13" s="55"/>
      <c r="HO13" s="55"/>
      <c r="HP13" s="55"/>
      <c r="HQ13" s="55"/>
      <c r="HR13" s="55"/>
      <c r="HS13" s="55"/>
      <c r="HT13" s="55"/>
      <c r="HU13" s="55"/>
      <c r="HV13" s="55"/>
      <c r="HW13" s="55"/>
      <c r="HX13" s="55"/>
      <c r="HY13" s="55"/>
      <c r="HZ13" s="55"/>
      <c r="IA13" s="55"/>
      <c r="IB13" s="55"/>
      <c r="IC13" s="55"/>
      <c r="ID13" s="55"/>
      <c r="IE13" s="55"/>
      <c r="IF13" s="55"/>
      <c r="IG13" s="55"/>
      <c r="IH13" s="55"/>
      <c r="II13" s="55"/>
      <c r="IJ13" s="55"/>
      <c r="IK13" s="55"/>
      <c r="IL13" s="55"/>
      <c r="IM13" s="55"/>
      <c r="IN13" s="55"/>
      <c r="IO13" s="55"/>
      <c r="IP13" s="55"/>
      <c r="IQ13" s="55"/>
      <c r="IR13" s="55"/>
      <c r="IS13" s="55"/>
      <c r="IT13" s="55"/>
      <c r="IU13" s="55"/>
      <c r="IV13" s="55"/>
      <c r="IW13" s="55"/>
    </row>
    <row r="14" customFormat="false" ht="24.75" hidden="false" customHeight="true" outlineLevel="0" collapsed="false">
      <c r="A14" s="4" t="s">
        <v>1</v>
      </c>
      <c r="B14" s="61" t="s">
        <v>20</v>
      </c>
      <c r="C14" s="51"/>
      <c r="D14" s="52" t="s">
        <v>21</v>
      </c>
      <c r="E14" s="53" t="s">
        <v>21</v>
      </c>
      <c r="F14" s="62" t="s">
        <v>21</v>
      </c>
      <c r="G14" s="52" t="s">
        <v>21</v>
      </c>
      <c r="H14" s="53" t="s">
        <v>21</v>
      </c>
      <c r="I14" s="63" t="s">
        <v>21</v>
      </c>
      <c r="J14" s="56" t="s">
        <v>21</v>
      </c>
      <c r="K14" s="63" t="s">
        <v>21</v>
      </c>
      <c r="L14" s="53" t="s">
        <v>21</v>
      </c>
      <c r="M14" s="57"/>
      <c r="N14" s="64" t="n">
        <f aca="false">INDEX('MM PLANT'!$A$6:$W$500,MATCH(Summary!$B$8,'MM PLANT'!$A$6:$A$500,0),19)</f>
        <v>0</v>
      </c>
      <c r="O14" s="65" t="n">
        <f aca="false">'MM PLANT'!T$3</f>
        <v>0</v>
      </c>
      <c r="P14" s="65" t="n">
        <f aca="false">INDEX('MM PLANT'!$A$6:$W$500,MATCH(Summary!$B$8,'MM PLANT'!$A$6:$A$500,0),21)</f>
        <v>0</v>
      </c>
      <c r="Q14" s="65" t="n">
        <f aca="false">INDEX('MM PLANT'!$A$6:$W$500,MATCH(Summary!$B$8,'MM PLANT'!$A$6:$A$500,0),22)</f>
        <v>-125.504</v>
      </c>
      <c r="R14" s="65" t="n">
        <f aca="false">INDEX('MM PLANT'!$A$6:$W$500,MATCH(Summary!$B$8,'MM PLANT'!$A$6:$A$500,0),23)</f>
        <v>-2346.87675281252</v>
      </c>
      <c r="S14" s="55"/>
      <c r="T14" s="59"/>
      <c r="U14" s="59"/>
      <c r="V14" s="59"/>
      <c r="W14" s="59"/>
      <c r="X14" s="59"/>
      <c r="Y14" s="60"/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  <c r="BU14" s="55"/>
      <c r="BV14" s="55"/>
      <c r="BW14" s="55"/>
      <c r="BX14" s="55"/>
      <c r="BY14" s="55"/>
      <c r="BZ14" s="55"/>
      <c r="CA14" s="55"/>
      <c r="CB14" s="55"/>
      <c r="CC14" s="55"/>
      <c r="CD14" s="55"/>
      <c r="CE14" s="55"/>
      <c r="CF14" s="55"/>
      <c r="CG14" s="55"/>
      <c r="CH14" s="55"/>
      <c r="CI14" s="55"/>
      <c r="CJ14" s="55"/>
      <c r="CK14" s="55"/>
      <c r="CL14" s="55"/>
      <c r="CM14" s="55"/>
      <c r="CN14" s="55"/>
      <c r="CO14" s="55"/>
      <c r="CP14" s="55"/>
      <c r="CQ14" s="55"/>
      <c r="CR14" s="55"/>
      <c r="CS14" s="55"/>
      <c r="CT14" s="55"/>
      <c r="CU14" s="55"/>
      <c r="CV14" s="55"/>
      <c r="CW14" s="55"/>
      <c r="CX14" s="55"/>
      <c r="CY14" s="55"/>
      <c r="CZ14" s="55"/>
      <c r="DA14" s="55"/>
      <c r="DB14" s="55"/>
      <c r="DC14" s="55"/>
      <c r="DD14" s="55"/>
      <c r="DE14" s="55"/>
      <c r="DF14" s="55"/>
      <c r="DG14" s="55"/>
      <c r="DH14" s="55"/>
      <c r="DI14" s="55"/>
      <c r="DJ14" s="55"/>
      <c r="DK14" s="55"/>
      <c r="DL14" s="55"/>
      <c r="DM14" s="55"/>
      <c r="DN14" s="55"/>
      <c r="DO14" s="55"/>
      <c r="DP14" s="55"/>
      <c r="DQ14" s="55"/>
      <c r="DR14" s="55"/>
      <c r="DS14" s="55"/>
      <c r="DT14" s="55"/>
      <c r="DU14" s="55"/>
      <c r="DV14" s="55"/>
      <c r="DW14" s="55"/>
      <c r="DX14" s="55"/>
      <c r="DY14" s="55"/>
      <c r="DZ14" s="55"/>
      <c r="EA14" s="55"/>
      <c r="EB14" s="55"/>
      <c r="EC14" s="55"/>
      <c r="ED14" s="55"/>
      <c r="EE14" s="55"/>
      <c r="EF14" s="55"/>
      <c r="EG14" s="55"/>
      <c r="EH14" s="55"/>
      <c r="EI14" s="55"/>
      <c r="EJ14" s="55"/>
      <c r="EK14" s="55"/>
      <c r="EL14" s="55"/>
      <c r="EM14" s="55"/>
      <c r="EN14" s="55"/>
      <c r="EO14" s="55"/>
      <c r="EP14" s="55"/>
      <c r="EQ14" s="55"/>
      <c r="ER14" s="55"/>
      <c r="ES14" s="55"/>
      <c r="ET14" s="55"/>
      <c r="EU14" s="55"/>
      <c r="EV14" s="55"/>
      <c r="EW14" s="55"/>
      <c r="EX14" s="55"/>
      <c r="EY14" s="55"/>
      <c r="EZ14" s="55"/>
      <c r="FA14" s="55"/>
      <c r="FB14" s="55"/>
      <c r="FC14" s="55"/>
      <c r="FD14" s="55"/>
      <c r="FE14" s="55"/>
      <c r="FF14" s="55"/>
      <c r="FG14" s="55"/>
      <c r="FH14" s="55"/>
      <c r="FI14" s="55"/>
      <c r="FJ14" s="55"/>
      <c r="FK14" s="55"/>
      <c r="FL14" s="55"/>
      <c r="FM14" s="55"/>
      <c r="FN14" s="55"/>
      <c r="FO14" s="55"/>
      <c r="FP14" s="55"/>
      <c r="FQ14" s="55"/>
      <c r="FR14" s="55"/>
      <c r="FS14" s="55"/>
      <c r="FT14" s="55"/>
      <c r="FU14" s="55"/>
      <c r="FV14" s="55"/>
      <c r="FW14" s="55"/>
      <c r="FX14" s="55"/>
      <c r="FY14" s="55"/>
      <c r="FZ14" s="55"/>
      <c r="GA14" s="55"/>
      <c r="GB14" s="55"/>
      <c r="GC14" s="55"/>
      <c r="GD14" s="55"/>
      <c r="GE14" s="55"/>
      <c r="GF14" s="55"/>
      <c r="GG14" s="55"/>
      <c r="GH14" s="55"/>
      <c r="GI14" s="55"/>
      <c r="GJ14" s="55"/>
      <c r="GK14" s="55"/>
      <c r="GL14" s="55"/>
      <c r="GM14" s="55"/>
      <c r="GN14" s="55"/>
      <c r="GO14" s="55"/>
      <c r="GP14" s="55"/>
      <c r="GQ14" s="55"/>
      <c r="GR14" s="55"/>
      <c r="GS14" s="55"/>
      <c r="GT14" s="55"/>
      <c r="GU14" s="55"/>
      <c r="GV14" s="55"/>
      <c r="GW14" s="55"/>
      <c r="GX14" s="55"/>
      <c r="GY14" s="55"/>
      <c r="GZ14" s="55"/>
      <c r="HA14" s="55"/>
      <c r="HB14" s="55"/>
      <c r="HC14" s="55"/>
      <c r="HD14" s="55"/>
      <c r="HE14" s="55"/>
      <c r="HF14" s="55"/>
      <c r="HG14" s="55"/>
      <c r="HH14" s="55"/>
      <c r="HI14" s="55"/>
      <c r="HJ14" s="55"/>
      <c r="HK14" s="55"/>
      <c r="HL14" s="55"/>
      <c r="HM14" s="55"/>
      <c r="HN14" s="55"/>
      <c r="HO14" s="55"/>
      <c r="HP14" s="55"/>
      <c r="HQ14" s="55"/>
      <c r="HR14" s="55"/>
      <c r="HS14" s="55"/>
      <c r="HT14" s="55"/>
      <c r="HU14" s="55"/>
      <c r="HV14" s="55"/>
      <c r="HW14" s="55"/>
      <c r="HX14" s="55"/>
      <c r="HY14" s="55"/>
      <c r="HZ14" s="55"/>
      <c r="IA14" s="55"/>
      <c r="IB14" s="55"/>
      <c r="IC14" s="55"/>
      <c r="ID14" s="55"/>
      <c r="IE14" s="55"/>
      <c r="IF14" s="55"/>
      <c r="IG14" s="55"/>
      <c r="IH14" s="55"/>
      <c r="II14" s="55"/>
      <c r="IJ14" s="55"/>
      <c r="IK14" s="55"/>
      <c r="IL14" s="55"/>
      <c r="IM14" s="55"/>
      <c r="IN14" s="55"/>
      <c r="IO14" s="55"/>
      <c r="IP14" s="55"/>
      <c r="IQ14" s="55"/>
      <c r="IR14" s="55"/>
      <c r="IS14" s="55"/>
      <c r="IT14" s="55"/>
      <c r="IU14" s="55"/>
      <c r="IV14" s="55"/>
      <c r="IW14" s="55"/>
    </row>
    <row r="15" customFormat="false" ht="24.75" hidden="false" customHeight="true" outlineLevel="0" collapsed="false">
      <c r="A15" s="4" t="s">
        <v>1</v>
      </c>
      <c r="B15" s="61" t="s">
        <v>22</v>
      </c>
      <c r="C15" s="51"/>
      <c r="D15" s="52"/>
      <c r="E15" s="53"/>
      <c r="F15" s="54"/>
      <c r="G15" s="52"/>
      <c r="H15" s="53"/>
      <c r="I15" s="55"/>
      <c r="J15" s="56"/>
      <c r="K15" s="55"/>
      <c r="L15" s="53"/>
      <c r="M15" s="57"/>
      <c r="N15" s="65" t="n">
        <f aca="false">INDEX('Plant Manager'!$A$6:$W$500,MATCH(Summary!$B$8,'Plant Manager'!$A$6:$A$500,0),19)</f>
        <v>0</v>
      </c>
      <c r="O15" s="65" t="n">
        <f aca="false">'Plant Manager'!T$3</f>
        <v>0</v>
      </c>
      <c r="P15" s="65" t="n">
        <f aca="false">INDEX('Plant Manager'!$A$6:$W$500,MATCH(Summary!$B$8,'Plant Manager'!$A$6:$A$500,0),21)</f>
        <v>0</v>
      </c>
      <c r="Q15" s="65" t="n">
        <f aca="false">INDEX('Plant Manager'!$A$6:$W$500,MATCH(Summary!$B$8,'Plant Manager'!$A$6:$A$500,0),22)</f>
        <v>-52.86763</v>
      </c>
      <c r="R15" s="65" t="n">
        <f aca="false">INDEX('Plant Manager'!$A$6:$W$500,MATCH(Summary!$B$8,'Plant Manager'!$A$6:$A$500,0),23)</f>
        <v>-90.09428</v>
      </c>
      <c r="S15" s="55"/>
      <c r="T15" s="59"/>
      <c r="U15" s="59"/>
      <c r="V15" s="59"/>
      <c r="W15" s="59"/>
      <c r="X15" s="59"/>
      <c r="Y15" s="60"/>
      <c r="Z15" s="55"/>
      <c r="AA15" s="55"/>
      <c r="AB15" s="55"/>
      <c r="AC15" s="55"/>
      <c r="AD15" s="55"/>
      <c r="AE15" s="55"/>
      <c r="AF15" s="55"/>
      <c r="AG15" s="55"/>
      <c r="AH15" s="55"/>
      <c r="AI15" s="55"/>
      <c r="AJ15" s="55"/>
      <c r="AK15" s="55"/>
      <c r="AL15" s="55"/>
      <c r="AM15" s="55"/>
      <c r="AN15" s="55"/>
      <c r="AO15" s="55"/>
      <c r="AP15" s="55"/>
      <c r="AQ15" s="55"/>
      <c r="AR15" s="55"/>
      <c r="AS15" s="55"/>
      <c r="AT15" s="55"/>
      <c r="AU15" s="55"/>
      <c r="AV15" s="55"/>
      <c r="AW15" s="55"/>
      <c r="AX15" s="55"/>
      <c r="AY15" s="55"/>
      <c r="AZ15" s="55"/>
      <c r="BA15" s="55"/>
      <c r="BB15" s="55"/>
      <c r="BC15" s="55"/>
      <c r="BD15" s="55"/>
      <c r="BE15" s="55"/>
      <c r="BF15" s="55"/>
      <c r="BG15" s="55"/>
      <c r="BH15" s="55"/>
      <c r="BI15" s="55"/>
      <c r="BJ15" s="55"/>
      <c r="BK15" s="55"/>
      <c r="BL15" s="55"/>
      <c r="BM15" s="55"/>
      <c r="BN15" s="55"/>
      <c r="BO15" s="55"/>
      <c r="BP15" s="55"/>
      <c r="BQ15" s="55"/>
      <c r="BR15" s="55"/>
      <c r="BS15" s="55"/>
      <c r="BT15" s="55"/>
      <c r="BU15" s="55"/>
      <c r="BV15" s="55"/>
      <c r="BW15" s="55"/>
      <c r="BX15" s="55"/>
      <c r="BY15" s="55"/>
      <c r="BZ15" s="55"/>
      <c r="CA15" s="55"/>
      <c r="CB15" s="55"/>
      <c r="CC15" s="55"/>
      <c r="CD15" s="55"/>
      <c r="CE15" s="55"/>
      <c r="CF15" s="55"/>
      <c r="CG15" s="55"/>
      <c r="CH15" s="55"/>
      <c r="CI15" s="55"/>
      <c r="CJ15" s="55"/>
      <c r="CK15" s="55"/>
      <c r="CL15" s="55"/>
      <c r="CM15" s="55"/>
      <c r="CN15" s="55"/>
      <c r="CO15" s="55"/>
      <c r="CP15" s="55"/>
      <c r="CQ15" s="55"/>
      <c r="CR15" s="55"/>
      <c r="CS15" s="55"/>
      <c r="CT15" s="55"/>
      <c r="CU15" s="55"/>
      <c r="CV15" s="55"/>
      <c r="CW15" s="55"/>
      <c r="CX15" s="55"/>
      <c r="CY15" s="55"/>
      <c r="CZ15" s="55"/>
      <c r="DA15" s="55"/>
      <c r="DB15" s="55"/>
      <c r="DC15" s="55"/>
      <c r="DD15" s="55"/>
      <c r="DE15" s="55"/>
      <c r="DF15" s="55"/>
      <c r="DG15" s="55"/>
      <c r="DH15" s="55"/>
      <c r="DI15" s="55"/>
      <c r="DJ15" s="55"/>
      <c r="DK15" s="55"/>
      <c r="DL15" s="55"/>
      <c r="DM15" s="55"/>
      <c r="DN15" s="55"/>
      <c r="DO15" s="55"/>
      <c r="DP15" s="55"/>
      <c r="DQ15" s="55"/>
      <c r="DR15" s="55"/>
      <c r="DS15" s="55"/>
      <c r="DT15" s="55"/>
      <c r="DU15" s="55"/>
      <c r="DV15" s="55"/>
      <c r="DW15" s="55"/>
      <c r="DX15" s="55"/>
      <c r="DY15" s="55"/>
      <c r="DZ15" s="55"/>
      <c r="EA15" s="55"/>
      <c r="EB15" s="55"/>
      <c r="EC15" s="55"/>
      <c r="ED15" s="55"/>
      <c r="EE15" s="55"/>
      <c r="EF15" s="55"/>
      <c r="EG15" s="55"/>
      <c r="EH15" s="55"/>
      <c r="EI15" s="55"/>
      <c r="EJ15" s="55"/>
      <c r="EK15" s="55"/>
      <c r="EL15" s="55"/>
      <c r="EM15" s="55"/>
      <c r="EN15" s="55"/>
      <c r="EO15" s="55"/>
      <c r="EP15" s="55"/>
      <c r="EQ15" s="55"/>
      <c r="ER15" s="55"/>
      <c r="ES15" s="55"/>
      <c r="ET15" s="55"/>
      <c r="EU15" s="55"/>
      <c r="EV15" s="55"/>
      <c r="EW15" s="55"/>
      <c r="EX15" s="55"/>
      <c r="EY15" s="55"/>
      <c r="EZ15" s="55"/>
      <c r="FA15" s="55"/>
      <c r="FB15" s="55"/>
      <c r="FC15" s="55"/>
      <c r="FD15" s="55"/>
      <c r="FE15" s="55"/>
      <c r="FF15" s="55"/>
      <c r="FG15" s="55"/>
      <c r="FH15" s="55"/>
      <c r="FI15" s="55"/>
      <c r="FJ15" s="55"/>
      <c r="FK15" s="55"/>
      <c r="FL15" s="55"/>
      <c r="FM15" s="55"/>
      <c r="FN15" s="55"/>
      <c r="FO15" s="55"/>
      <c r="FP15" s="55"/>
      <c r="FQ15" s="55"/>
      <c r="FR15" s="55"/>
      <c r="FS15" s="55"/>
      <c r="FT15" s="55"/>
      <c r="FU15" s="55"/>
      <c r="FV15" s="55"/>
      <c r="FW15" s="55"/>
      <c r="FX15" s="55"/>
      <c r="FY15" s="55"/>
      <c r="FZ15" s="55"/>
      <c r="GA15" s="55"/>
      <c r="GB15" s="55"/>
      <c r="GC15" s="55"/>
      <c r="GD15" s="55"/>
      <c r="GE15" s="55"/>
      <c r="GF15" s="55"/>
      <c r="GG15" s="55"/>
      <c r="GH15" s="55"/>
      <c r="GI15" s="55"/>
      <c r="GJ15" s="55"/>
      <c r="GK15" s="55"/>
      <c r="GL15" s="55"/>
      <c r="GM15" s="55"/>
      <c r="GN15" s="55"/>
      <c r="GO15" s="55"/>
      <c r="GP15" s="55"/>
      <c r="GQ15" s="55"/>
      <c r="GR15" s="55"/>
      <c r="GS15" s="55"/>
      <c r="GT15" s="55"/>
      <c r="GU15" s="55"/>
      <c r="GV15" s="55"/>
      <c r="GW15" s="55"/>
      <c r="GX15" s="55"/>
      <c r="GY15" s="55"/>
      <c r="GZ15" s="55"/>
      <c r="HA15" s="55"/>
      <c r="HB15" s="55"/>
      <c r="HC15" s="55"/>
      <c r="HD15" s="55"/>
      <c r="HE15" s="55"/>
      <c r="HF15" s="55"/>
      <c r="HG15" s="55"/>
      <c r="HH15" s="55"/>
      <c r="HI15" s="55"/>
      <c r="HJ15" s="55"/>
      <c r="HK15" s="55"/>
      <c r="HL15" s="55"/>
      <c r="HM15" s="55"/>
      <c r="HN15" s="55"/>
      <c r="HO15" s="55"/>
      <c r="HP15" s="55"/>
      <c r="HQ15" s="55"/>
      <c r="HR15" s="55"/>
      <c r="HS15" s="55"/>
      <c r="HT15" s="55"/>
      <c r="HU15" s="55"/>
      <c r="HV15" s="55"/>
      <c r="HW15" s="55"/>
      <c r="HX15" s="55"/>
      <c r="HY15" s="55"/>
      <c r="HZ15" s="55"/>
      <c r="IA15" s="55"/>
      <c r="IB15" s="55"/>
      <c r="IC15" s="55"/>
      <c r="ID15" s="55"/>
      <c r="IE15" s="55"/>
      <c r="IF15" s="55"/>
      <c r="IG15" s="55"/>
      <c r="IH15" s="55"/>
      <c r="II15" s="55"/>
      <c r="IJ15" s="55"/>
      <c r="IK15" s="55"/>
      <c r="IL15" s="55"/>
      <c r="IM15" s="55"/>
      <c r="IN15" s="55"/>
      <c r="IO15" s="55"/>
      <c r="IP15" s="55"/>
      <c r="IQ15" s="55"/>
      <c r="IR15" s="55"/>
      <c r="IS15" s="55"/>
      <c r="IT15" s="55"/>
      <c r="IU15" s="55"/>
      <c r="IV15" s="55"/>
      <c r="IW15" s="55"/>
    </row>
    <row r="16" customFormat="false" ht="24.75" hidden="false" customHeight="true" outlineLevel="0" collapsed="false">
      <c r="A16" s="4" t="s">
        <v>1</v>
      </c>
      <c r="B16" s="66"/>
      <c r="C16" s="51"/>
      <c r="D16" s="52"/>
      <c r="E16" s="53"/>
      <c r="F16" s="54"/>
      <c r="G16" s="52"/>
      <c r="H16" s="53"/>
      <c r="I16" s="55"/>
      <c r="J16" s="56"/>
      <c r="K16" s="55"/>
      <c r="L16" s="53"/>
      <c r="M16" s="57"/>
      <c r="N16" s="59"/>
      <c r="O16" s="59"/>
      <c r="P16" s="59"/>
      <c r="Q16" s="59"/>
      <c r="R16" s="59"/>
      <c r="S16" s="55"/>
      <c r="T16" s="59"/>
      <c r="U16" s="59"/>
      <c r="V16" s="59"/>
      <c r="W16" s="59"/>
      <c r="X16" s="59"/>
      <c r="Y16" s="60"/>
      <c r="Z16" s="55"/>
      <c r="AA16" s="5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T16" s="55"/>
      <c r="AU16" s="55"/>
      <c r="AV16" s="55"/>
      <c r="AW16" s="55"/>
      <c r="AX16" s="55"/>
      <c r="AY16" s="55"/>
      <c r="AZ16" s="55"/>
      <c r="BA16" s="55"/>
      <c r="BB16" s="55"/>
      <c r="BC16" s="55"/>
      <c r="BD16" s="55"/>
      <c r="BE16" s="55"/>
      <c r="BF16" s="55"/>
      <c r="BG16" s="55"/>
      <c r="BH16" s="55"/>
      <c r="BI16" s="55"/>
      <c r="BJ16" s="55"/>
      <c r="BK16" s="55"/>
      <c r="BL16" s="55"/>
      <c r="BM16" s="55"/>
      <c r="BN16" s="55"/>
      <c r="BO16" s="55"/>
      <c r="BP16" s="55"/>
      <c r="BQ16" s="55"/>
      <c r="BR16" s="55"/>
      <c r="BS16" s="55"/>
      <c r="BT16" s="55"/>
      <c r="BU16" s="55"/>
      <c r="BV16" s="55"/>
      <c r="BW16" s="55"/>
      <c r="BX16" s="55"/>
      <c r="BY16" s="55"/>
      <c r="BZ16" s="55"/>
      <c r="CA16" s="55"/>
      <c r="CB16" s="55"/>
      <c r="CC16" s="55"/>
      <c r="CD16" s="55"/>
      <c r="CE16" s="55"/>
      <c r="CF16" s="55"/>
      <c r="CG16" s="55"/>
      <c r="CH16" s="55"/>
      <c r="CI16" s="55"/>
      <c r="CJ16" s="55"/>
      <c r="CK16" s="55"/>
      <c r="CL16" s="55"/>
      <c r="CM16" s="55"/>
      <c r="CN16" s="55"/>
      <c r="CO16" s="55"/>
      <c r="CP16" s="55"/>
      <c r="CQ16" s="55"/>
      <c r="CR16" s="55"/>
      <c r="CS16" s="55"/>
      <c r="CT16" s="55"/>
      <c r="CU16" s="55"/>
      <c r="CV16" s="55"/>
      <c r="CW16" s="55"/>
      <c r="CX16" s="55"/>
      <c r="CY16" s="55"/>
      <c r="CZ16" s="55"/>
      <c r="DA16" s="55"/>
      <c r="DB16" s="55"/>
      <c r="DC16" s="55"/>
      <c r="DD16" s="55"/>
      <c r="DE16" s="55"/>
      <c r="DF16" s="55"/>
      <c r="DG16" s="55"/>
      <c r="DH16" s="55"/>
      <c r="DI16" s="55"/>
      <c r="DJ16" s="55"/>
      <c r="DK16" s="55"/>
      <c r="DL16" s="55"/>
      <c r="DM16" s="55"/>
      <c r="DN16" s="55"/>
      <c r="DO16" s="55"/>
      <c r="DP16" s="55"/>
      <c r="DQ16" s="55"/>
      <c r="DR16" s="55"/>
      <c r="DS16" s="55"/>
      <c r="DT16" s="55"/>
      <c r="DU16" s="55"/>
      <c r="DV16" s="55"/>
      <c r="DW16" s="55"/>
      <c r="DX16" s="55"/>
      <c r="DY16" s="55"/>
      <c r="DZ16" s="55"/>
      <c r="EA16" s="55"/>
      <c r="EB16" s="55"/>
      <c r="EC16" s="55"/>
      <c r="ED16" s="55"/>
      <c r="EE16" s="55"/>
      <c r="EF16" s="55"/>
      <c r="EG16" s="55"/>
      <c r="EH16" s="55"/>
      <c r="EI16" s="55"/>
      <c r="EJ16" s="55"/>
      <c r="EK16" s="55"/>
      <c r="EL16" s="55"/>
      <c r="EM16" s="55"/>
      <c r="EN16" s="55"/>
      <c r="EO16" s="55"/>
      <c r="EP16" s="55"/>
      <c r="EQ16" s="55"/>
      <c r="ER16" s="55"/>
      <c r="ES16" s="55"/>
      <c r="ET16" s="55"/>
      <c r="EU16" s="55"/>
      <c r="EV16" s="55"/>
      <c r="EW16" s="55"/>
      <c r="EX16" s="55"/>
      <c r="EY16" s="55"/>
      <c r="EZ16" s="55"/>
      <c r="FA16" s="55"/>
      <c r="FB16" s="55"/>
      <c r="FC16" s="55"/>
      <c r="FD16" s="55"/>
      <c r="FE16" s="55"/>
      <c r="FF16" s="55"/>
      <c r="FG16" s="55"/>
      <c r="FH16" s="55"/>
      <c r="FI16" s="55"/>
      <c r="FJ16" s="55"/>
      <c r="FK16" s="55"/>
      <c r="FL16" s="55"/>
      <c r="FM16" s="55"/>
      <c r="FN16" s="55"/>
      <c r="FO16" s="55"/>
      <c r="FP16" s="55"/>
      <c r="FQ16" s="55"/>
      <c r="FR16" s="55"/>
      <c r="FS16" s="55"/>
      <c r="FT16" s="55"/>
      <c r="FU16" s="55"/>
      <c r="FV16" s="55"/>
      <c r="FW16" s="55"/>
      <c r="FX16" s="55"/>
      <c r="FY16" s="55"/>
      <c r="FZ16" s="55"/>
      <c r="GA16" s="55"/>
      <c r="GB16" s="55"/>
      <c r="GC16" s="55"/>
      <c r="GD16" s="55"/>
      <c r="GE16" s="55"/>
      <c r="GF16" s="55"/>
      <c r="GG16" s="55"/>
      <c r="GH16" s="55"/>
      <c r="GI16" s="55"/>
      <c r="GJ16" s="55"/>
      <c r="GK16" s="55"/>
      <c r="GL16" s="55"/>
      <c r="GM16" s="55"/>
      <c r="GN16" s="55"/>
      <c r="GO16" s="55"/>
      <c r="GP16" s="55"/>
      <c r="GQ16" s="55"/>
      <c r="GR16" s="55"/>
      <c r="GS16" s="55"/>
      <c r="GT16" s="55"/>
      <c r="GU16" s="55"/>
      <c r="GV16" s="55"/>
      <c r="GW16" s="55"/>
      <c r="GX16" s="55"/>
      <c r="GY16" s="55"/>
      <c r="GZ16" s="55"/>
      <c r="HA16" s="55"/>
      <c r="HB16" s="55"/>
      <c r="HC16" s="55"/>
      <c r="HD16" s="55"/>
      <c r="HE16" s="55"/>
      <c r="HF16" s="55"/>
      <c r="HG16" s="55"/>
      <c r="HH16" s="55"/>
      <c r="HI16" s="55"/>
      <c r="HJ16" s="55"/>
      <c r="HK16" s="55"/>
      <c r="HL16" s="55"/>
      <c r="HM16" s="55"/>
      <c r="HN16" s="55"/>
      <c r="HO16" s="55"/>
      <c r="HP16" s="55"/>
      <c r="HQ16" s="55"/>
      <c r="HR16" s="55"/>
      <c r="HS16" s="55"/>
      <c r="HT16" s="55"/>
      <c r="HU16" s="55"/>
      <c r="HV16" s="55"/>
      <c r="HW16" s="55"/>
      <c r="HX16" s="55"/>
      <c r="HY16" s="55"/>
      <c r="HZ16" s="55"/>
      <c r="IA16" s="55"/>
      <c r="IB16" s="55"/>
      <c r="IC16" s="55"/>
      <c r="ID16" s="55"/>
      <c r="IE16" s="55"/>
      <c r="IF16" s="55"/>
      <c r="IG16" s="55"/>
      <c r="IH16" s="55"/>
      <c r="II16" s="55"/>
      <c r="IJ16" s="55"/>
      <c r="IK16" s="55"/>
      <c r="IL16" s="55"/>
      <c r="IM16" s="55"/>
      <c r="IN16" s="55"/>
      <c r="IO16" s="55"/>
      <c r="IP16" s="55"/>
      <c r="IQ16" s="55"/>
      <c r="IR16" s="55"/>
      <c r="IS16" s="55"/>
      <c r="IT16" s="55"/>
      <c r="IU16" s="55"/>
      <c r="IV16" s="55"/>
      <c r="IW16" s="55"/>
    </row>
    <row r="17" customFormat="false" ht="24.75" hidden="false" customHeight="true" outlineLevel="0" collapsed="false">
      <c r="A17" s="4" t="s">
        <v>1</v>
      </c>
      <c r="B17" s="66"/>
      <c r="C17" s="51"/>
      <c r="D17" s="52"/>
      <c r="E17" s="53"/>
      <c r="F17" s="54"/>
      <c r="G17" s="52"/>
      <c r="H17" s="53"/>
      <c r="I17" s="55"/>
      <c r="J17" s="56"/>
      <c r="K17" s="55"/>
      <c r="L17" s="53"/>
      <c r="M17" s="57"/>
      <c r="N17" s="59"/>
      <c r="O17" s="59"/>
      <c r="P17" s="59"/>
      <c r="Q17" s="59"/>
      <c r="R17" s="59"/>
      <c r="S17" s="55"/>
      <c r="T17" s="59"/>
      <c r="U17" s="59"/>
      <c r="V17" s="59"/>
      <c r="W17" s="59"/>
      <c r="X17" s="59"/>
      <c r="Y17" s="60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55"/>
      <c r="BO17" s="55"/>
      <c r="BP17" s="55"/>
      <c r="BQ17" s="55"/>
      <c r="BR17" s="55"/>
      <c r="BS17" s="55"/>
      <c r="BT17" s="55"/>
      <c r="BU17" s="55"/>
      <c r="BV17" s="55"/>
      <c r="BW17" s="55"/>
      <c r="BX17" s="55"/>
      <c r="BY17" s="55"/>
      <c r="BZ17" s="55"/>
      <c r="CA17" s="55"/>
      <c r="CB17" s="55"/>
      <c r="CC17" s="55"/>
      <c r="CD17" s="55"/>
      <c r="CE17" s="55"/>
      <c r="CF17" s="55"/>
      <c r="CG17" s="55"/>
      <c r="CH17" s="55"/>
      <c r="CI17" s="55"/>
      <c r="CJ17" s="55"/>
      <c r="CK17" s="55"/>
      <c r="CL17" s="55"/>
      <c r="CM17" s="55"/>
      <c r="CN17" s="55"/>
      <c r="CO17" s="55"/>
      <c r="CP17" s="55"/>
      <c r="CQ17" s="55"/>
      <c r="CR17" s="55"/>
      <c r="CS17" s="55"/>
      <c r="CT17" s="55"/>
      <c r="CU17" s="55"/>
      <c r="CV17" s="55"/>
      <c r="CW17" s="55"/>
      <c r="CX17" s="55"/>
      <c r="CY17" s="55"/>
      <c r="CZ17" s="55"/>
      <c r="DA17" s="55"/>
      <c r="DB17" s="55"/>
      <c r="DC17" s="55"/>
      <c r="DD17" s="55"/>
      <c r="DE17" s="55"/>
      <c r="DF17" s="55"/>
      <c r="DG17" s="55"/>
      <c r="DH17" s="55"/>
      <c r="DI17" s="55"/>
      <c r="DJ17" s="55"/>
      <c r="DK17" s="55"/>
      <c r="DL17" s="55"/>
      <c r="DM17" s="55"/>
      <c r="DN17" s="55"/>
      <c r="DO17" s="55"/>
      <c r="DP17" s="55"/>
      <c r="DQ17" s="55"/>
      <c r="DR17" s="55"/>
      <c r="DS17" s="55"/>
      <c r="DT17" s="55"/>
      <c r="DU17" s="55"/>
      <c r="DV17" s="55"/>
      <c r="DW17" s="55"/>
      <c r="DX17" s="55"/>
      <c r="DY17" s="55"/>
      <c r="DZ17" s="55"/>
      <c r="EA17" s="55"/>
      <c r="EB17" s="55"/>
      <c r="EC17" s="55"/>
      <c r="ED17" s="55"/>
      <c r="EE17" s="55"/>
      <c r="EF17" s="55"/>
      <c r="EG17" s="55"/>
      <c r="EH17" s="55"/>
      <c r="EI17" s="55"/>
      <c r="EJ17" s="55"/>
      <c r="EK17" s="55"/>
      <c r="EL17" s="55"/>
      <c r="EM17" s="55"/>
      <c r="EN17" s="55"/>
      <c r="EO17" s="55"/>
      <c r="EP17" s="55"/>
      <c r="EQ17" s="55"/>
      <c r="ER17" s="55"/>
      <c r="ES17" s="55"/>
      <c r="ET17" s="55"/>
      <c r="EU17" s="55"/>
      <c r="EV17" s="55"/>
      <c r="EW17" s="55"/>
      <c r="EX17" s="55"/>
      <c r="EY17" s="55"/>
      <c r="EZ17" s="55"/>
      <c r="FA17" s="55"/>
      <c r="FB17" s="55"/>
      <c r="FC17" s="55"/>
      <c r="FD17" s="55"/>
      <c r="FE17" s="55"/>
      <c r="FF17" s="55"/>
      <c r="FG17" s="55"/>
      <c r="FH17" s="55"/>
      <c r="FI17" s="55"/>
      <c r="FJ17" s="55"/>
      <c r="FK17" s="55"/>
      <c r="FL17" s="55"/>
      <c r="FM17" s="55"/>
      <c r="FN17" s="55"/>
      <c r="FO17" s="55"/>
      <c r="FP17" s="55"/>
      <c r="FQ17" s="55"/>
      <c r="FR17" s="55"/>
      <c r="FS17" s="55"/>
      <c r="FT17" s="55"/>
      <c r="FU17" s="55"/>
      <c r="FV17" s="55"/>
      <c r="FW17" s="55"/>
      <c r="FX17" s="55"/>
      <c r="FY17" s="55"/>
      <c r="FZ17" s="55"/>
      <c r="GA17" s="55"/>
      <c r="GB17" s="55"/>
      <c r="GC17" s="55"/>
      <c r="GD17" s="55"/>
      <c r="GE17" s="55"/>
      <c r="GF17" s="55"/>
      <c r="GG17" s="55"/>
      <c r="GH17" s="55"/>
      <c r="GI17" s="55"/>
      <c r="GJ17" s="55"/>
      <c r="GK17" s="55"/>
      <c r="GL17" s="55"/>
      <c r="GM17" s="55"/>
      <c r="GN17" s="55"/>
      <c r="GO17" s="55"/>
      <c r="GP17" s="55"/>
      <c r="GQ17" s="55"/>
      <c r="GR17" s="55"/>
      <c r="GS17" s="55"/>
      <c r="GT17" s="55"/>
      <c r="GU17" s="55"/>
      <c r="GV17" s="55"/>
      <c r="GW17" s="55"/>
      <c r="GX17" s="55"/>
      <c r="GY17" s="55"/>
      <c r="GZ17" s="55"/>
      <c r="HA17" s="55"/>
      <c r="HB17" s="55"/>
      <c r="HC17" s="55"/>
      <c r="HD17" s="55"/>
      <c r="HE17" s="55"/>
      <c r="HF17" s="55"/>
      <c r="HG17" s="55"/>
      <c r="HH17" s="55"/>
      <c r="HI17" s="55"/>
      <c r="HJ17" s="55"/>
      <c r="HK17" s="55"/>
      <c r="HL17" s="55"/>
      <c r="HM17" s="55"/>
      <c r="HN17" s="55"/>
      <c r="HO17" s="55"/>
      <c r="HP17" s="55"/>
      <c r="HQ17" s="55"/>
      <c r="HR17" s="55"/>
      <c r="HS17" s="55"/>
      <c r="HT17" s="55"/>
      <c r="HU17" s="55"/>
      <c r="HV17" s="55"/>
      <c r="HW17" s="55"/>
      <c r="HX17" s="55"/>
      <c r="HY17" s="55"/>
      <c r="HZ17" s="55"/>
      <c r="IA17" s="55"/>
      <c r="IB17" s="55"/>
      <c r="IC17" s="55"/>
      <c r="ID17" s="55"/>
      <c r="IE17" s="55"/>
      <c r="IF17" s="55"/>
      <c r="IG17" s="55"/>
      <c r="IH17" s="55"/>
      <c r="II17" s="55"/>
      <c r="IJ17" s="55"/>
      <c r="IK17" s="55"/>
      <c r="IL17" s="55"/>
      <c r="IM17" s="55"/>
      <c r="IN17" s="55"/>
      <c r="IO17" s="55"/>
      <c r="IP17" s="55"/>
      <c r="IQ17" s="55"/>
      <c r="IR17" s="55"/>
      <c r="IS17" s="55"/>
      <c r="IT17" s="55"/>
      <c r="IU17" s="55"/>
      <c r="IV17" s="55"/>
      <c r="IW17" s="55"/>
    </row>
    <row r="18" customFormat="false" ht="24.75" hidden="false" customHeight="true" outlineLevel="0" collapsed="false">
      <c r="A18" s="4" t="s">
        <v>1</v>
      </c>
      <c r="B18" s="66"/>
      <c r="C18" s="51"/>
      <c r="D18" s="52"/>
      <c r="E18" s="53"/>
      <c r="F18" s="54"/>
      <c r="G18" s="52"/>
      <c r="H18" s="53"/>
      <c r="I18" s="55"/>
      <c r="J18" s="56"/>
      <c r="K18" s="55"/>
      <c r="L18" s="53"/>
      <c r="M18" s="57"/>
      <c r="N18" s="59"/>
      <c r="O18" s="59"/>
      <c r="P18" s="59"/>
      <c r="Q18" s="59"/>
      <c r="R18" s="59"/>
      <c r="S18" s="55"/>
      <c r="T18" s="59"/>
      <c r="U18" s="59"/>
      <c r="V18" s="59"/>
      <c r="W18" s="59"/>
      <c r="X18" s="59"/>
      <c r="Y18" s="60"/>
      <c r="Z18" s="55"/>
      <c r="AA18" s="5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5"/>
      <c r="BB18" s="55"/>
      <c r="BC18" s="55"/>
      <c r="BD18" s="55"/>
      <c r="BE18" s="55"/>
      <c r="BF18" s="55"/>
      <c r="BG18" s="55"/>
      <c r="BH18" s="55"/>
      <c r="BI18" s="55"/>
      <c r="BJ18" s="55"/>
      <c r="BK18" s="55"/>
      <c r="BL18" s="55"/>
      <c r="BM18" s="55"/>
      <c r="BN18" s="55"/>
      <c r="BO18" s="55"/>
      <c r="BP18" s="55"/>
      <c r="BQ18" s="55"/>
      <c r="BR18" s="55"/>
      <c r="BS18" s="55"/>
      <c r="BT18" s="55"/>
      <c r="BU18" s="55"/>
      <c r="BV18" s="55"/>
      <c r="BW18" s="55"/>
      <c r="BX18" s="55"/>
      <c r="BY18" s="55"/>
      <c r="BZ18" s="55"/>
      <c r="CA18" s="55"/>
      <c r="CB18" s="55"/>
      <c r="CC18" s="55"/>
      <c r="CD18" s="55"/>
      <c r="CE18" s="55"/>
      <c r="CF18" s="55"/>
      <c r="CG18" s="55"/>
      <c r="CH18" s="55"/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5"/>
      <c r="DC18" s="55"/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5"/>
      <c r="DU18" s="55"/>
      <c r="DV18" s="55"/>
      <c r="DW18" s="55"/>
      <c r="DX18" s="55"/>
      <c r="DY18" s="55"/>
      <c r="DZ18" s="55"/>
      <c r="EA18" s="55"/>
      <c r="EB18" s="55"/>
      <c r="EC18" s="55"/>
      <c r="ED18" s="55"/>
      <c r="EE18" s="55"/>
      <c r="EF18" s="55"/>
      <c r="EG18" s="55"/>
      <c r="EH18" s="55"/>
      <c r="EI18" s="55"/>
      <c r="EJ18" s="55"/>
      <c r="EK18" s="55"/>
      <c r="EL18" s="55"/>
      <c r="EM18" s="55"/>
      <c r="EN18" s="55"/>
      <c r="EO18" s="55"/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5"/>
      <c r="FF18" s="55"/>
      <c r="FG18" s="55"/>
      <c r="FH18" s="55"/>
      <c r="FI18" s="55"/>
      <c r="FJ18" s="55"/>
      <c r="FK18" s="55"/>
      <c r="FL18" s="55"/>
      <c r="FM18" s="55"/>
      <c r="FN18" s="55"/>
      <c r="FO18" s="55"/>
      <c r="FP18" s="55"/>
      <c r="FQ18" s="55"/>
      <c r="FR18" s="55"/>
      <c r="FS18" s="55"/>
      <c r="FT18" s="55"/>
      <c r="FU18" s="55"/>
      <c r="FV18" s="55"/>
      <c r="FW18" s="55"/>
      <c r="FX18" s="55"/>
      <c r="FY18" s="55"/>
      <c r="FZ18" s="55"/>
      <c r="GA18" s="55"/>
      <c r="GB18" s="55"/>
      <c r="GC18" s="55"/>
      <c r="GD18" s="55"/>
      <c r="GE18" s="55"/>
      <c r="GF18" s="55"/>
      <c r="GG18" s="55"/>
      <c r="GH18" s="55"/>
      <c r="GI18" s="55"/>
      <c r="GJ18" s="55"/>
      <c r="GK18" s="55"/>
      <c r="GL18" s="55"/>
      <c r="GM18" s="55"/>
      <c r="GN18" s="55"/>
      <c r="GO18" s="55"/>
      <c r="GP18" s="55"/>
      <c r="GQ18" s="55"/>
      <c r="GR18" s="55"/>
      <c r="GS18" s="55"/>
      <c r="GT18" s="55"/>
      <c r="GU18" s="55"/>
      <c r="GV18" s="55"/>
      <c r="GW18" s="55"/>
      <c r="GX18" s="55"/>
      <c r="GY18" s="55"/>
      <c r="GZ18" s="55"/>
      <c r="HA18" s="55"/>
      <c r="HB18" s="55"/>
      <c r="HC18" s="55"/>
      <c r="HD18" s="55"/>
      <c r="HE18" s="55"/>
      <c r="HF18" s="55"/>
      <c r="HG18" s="55"/>
      <c r="HH18" s="55"/>
      <c r="HI18" s="55"/>
      <c r="HJ18" s="55"/>
      <c r="HK18" s="55"/>
      <c r="HL18" s="55"/>
      <c r="HM18" s="55"/>
      <c r="HN18" s="55"/>
      <c r="HO18" s="55"/>
      <c r="HP18" s="55"/>
      <c r="HQ18" s="55"/>
      <c r="HR18" s="55"/>
      <c r="HS18" s="55"/>
      <c r="HT18" s="55"/>
      <c r="HU18" s="55"/>
      <c r="HV18" s="55"/>
      <c r="HW18" s="55"/>
      <c r="HX18" s="55"/>
      <c r="HY18" s="55"/>
      <c r="HZ18" s="55"/>
      <c r="IA18" s="55"/>
      <c r="IB18" s="55"/>
      <c r="IC18" s="55"/>
      <c r="ID18" s="55"/>
      <c r="IE18" s="55"/>
      <c r="IF18" s="55"/>
      <c r="IG18" s="55"/>
      <c r="IH18" s="55"/>
      <c r="II18" s="55"/>
      <c r="IJ18" s="55"/>
      <c r="IK18" s="55"/>
      <c r="IL18" s="55"/>
      <c r="IM18" s="55"/>
      <c r="IN18" s="55"/>
      <c r="IO18" s="55"/>
      <c r="IP18" s="55"/>
      <c r="IQ18" s="55"/>
      <c r="IR18" s="55"/>
      <c r="IS18" s="55"/>
      <c r="IT18" s="55"/>
      <c r="IU18" s="55"/>
      <c r="IV18" s="55"/>
      <c r="IW18" s="55"/>
    </row>
    <row r="19" customFormat="false" ht="24.75" hidden="false" customHeight="true" outlineLevel="0" collapsed="false">
      <c r="A19" s="4" t="s">
        <v>1</v>
      </c>
      <c r="B19" s="66"/>
      <c r="C19" s="51"/>
      <c r="D19" s="52"/>
      <c r="E19" s="53"/>
      <c r="F19" s="54"/>
      <c r="G19" s="52"/>
      <c r="H19" s="53"/>
      <c r="I19" s="55"/>
      <c r="J19" s="56"/>
      <c r="K19" s="55"/>
      <c r="L19" s="53"/>
      <c r="M19" s="57"/>
      <c r="N19" s="59"/>
      <c r="O19" s="59"/>
      <c r="P19" s="59"/>
      <c r="Q19" s="59"/>
      <c r="R19" s="59"/>
      <c r="S19" s="55"/>
      <c r="T19" s="59"/>
      <c r="U19" s="59"/>
      <c r="V19" s="59"/>
      <c r="W19" s="59"/>
      <c r="X19" s="59"/>
      <c r="Y19" s="60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5"/>
      <c r="DC19" s="55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5"/>
      <c r="DU19" s="55"/>
      <c r="DV19" s="55"/>
      <c r="DW19" s="55"/>
      <c r="DX19" s="55"/>
      <c r="DY19" s="55"/>
      <c r="DZ19" s="55"/>
      <c r="EA19" s="55"/>
      <c r="EB19" s="55"/>
      <c r="EC19" s="55"/>
      <c r="ED19" s="55"/>
      <c r="EE19" s="55"/>
      <c r="EF19" s="55"/>
      <c r="EG19" s="55"/>
      <c r="EH19" s="55"/>
      <c r="EI19" s="55"/>
      <c r="EJ19" s="55"/>
      <c r="EK19" s="55"/>
      <c r="EL19" s="55"/>
      <c r="EM19" s="55"/>
      <c r="EN19" s="55"/>
      <c r="EO19" s="55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5"/>
      <c r="FF19" s="55"/>
      <c r="FG19" s="55"/>
      <c r="FH19" s="55"/>
      <c r="FI19" s="55"/>
      <c r="FJ19" s="55"/>
      <c r="FK19" s="55"/>
      <c r="FL19" s="55"/>
      <c r="FM19" s="55"/>
      <c r="FN19" s="55"/>
      <c r="FO19" s="55"/>
      <c r="FP19" s="55"/>
      <c r="FQ19" s="55"/>
      <c r="FR19" s="55"/>
      <c r="FS19" s="55"/>
      <c r="FT19" s="55"/>
      <c r="FU19" s="55"/>
      <c r="FV19" s="55"/>
      <c r="FW19" s="55"/>
      <c r="FX19" s="55"/>
      <c r="FY19" s="55"/>
      <c r="FZ19" s="55"/>
      <c r="GA19" s="55"/>
      <c r="GB19" s="55"/>
      <c r="GC19" s="55"/>
      <c r="GD19" s="55"/>
      <c r="GE19" s="55"/>
      <c r="GF19" s="55"/>
      <c r="GG19" s="55"/>
      <c r="GH19" s="55"/>
      <c r="GI19" s="55"/>
      <c r="GJ19" s="55"/>
      <c r="GK19" s="55"/>
      <c r="GL19" s="55"/>
      <c r="GM19" s="55"/>
      <c r="GN19" s="55"/>
      <c r="GO19" s="55"/>
      <c r="GP19" s="55"/>
      <c r="GQ19" s="55"/>
      <c r="GR19" s="55"/>
      <c r="GS19" s="55"/>
      <c r="GT19" s="55"/>
      <c r="GU19" s="55"/>
      <c r="GV19" s="55"/>
      <c r="GW19" s="55"/>
      <c r="GX19" s="55"/>
      <c r="GY19" s="55"/>
      <c r="GZ19" s="55"/>
      <c r="HA19" s="55"/>
      <c r="HB19" s="55"/>
      <c r="HC19" s="55"/>
      <c r="HD19" s="55"/>
      <c r="HE19" s="55"/>
      <c r="HF19" s="55"/>
      <c r="HG19" s="55"/>
      <c r="HH19" s="55"/>
      <c r="HI19" s="55"/>
      <c r="HJ19" s="55"/>
      <c r="HK19" s="55"/>
      <c r="HL19" s="55"/>
      <c r="HM19" s="55"/>
      <c r="HN19" s="55"/>
      <c r="HO19" s="55"/>
      <c r="HP19" s="55"/>
      <c r="HQ19" s="55"/>
      <c r="HR19" s="55"/>
      <c r="HS19" s="55"/>
      <c r="HT19" s="55"/>
      <c r="HU19" s="55"/>
      <c r="HV19" s="55"/>
      <c r="HW19" s="55"/>
      <c r="HX19" s="55"/>
      <c r="HY19" s="55"/>
      <c r="HZ19" s="55"/>
      <c r="IA19" s="55"/>
      <c r="IB19" s="55"/>
      <c r="IC19" s="55"/>
      <c r="ID19" s="55"/>
      <c r="IE19" s="55"/>
      <c r="IF19" s="55"/>
      <c r="IG19" s="55"/>
      <c r="IH19" s="55"/>
      <c r="II19" s="55"/>
      <c r="IJ19" s="55"/>
      <c r="IK19" s="55"/>
      <c r="IL19" s="55"/>
      <c r="IM19" s="55"/>
      <c r="IN19" s="55"/>
      <c r="IO19" s="55"/>
      <c r="IP19" s="55"/>
      <c r="IQ19" s="55"/>
      <c r="IR19" s="55"/>
      <c r="IS19" s="55"/>
      <c r="IT19" s="55"/>
      <c r="IU19" s="55"/>
      <c r="IV19" s="55"/>
      <c r="IW19" s="55"/>
    </row>
    <row r="20" customFormat="false" ht="24.75" hidden="false" customHeight="true" outlineLevel="0" collapsed="false">
      <c r="A20" s="4" t="s">
        <v>1</v>
      </c>
      <c r="B20" s="41" t="s">
        <v>23</v>
      </c>
      <c r="C20" s="51"/>
      <c r="D20" s="52"/>
      <c r="E20" s="53"/>
      <c r="F20" s="54"/>
      <c r="G20" s="52"/>
      <c r="H20" s="53"/>
      <c r="I20" s="55"/>
      <c r="J20" s="67" t="n">
        <f aca="false">INDEX('RAC V@r Total'!$A$6:$Z$500,MATCH(Summary!$B$8,'RAC V@r Total'!$A$6:$A$500,0),26)</f>
        <v>376.10441</v>
      </c>
      <c r="K20" s="55"/>
      <c r="L20" s="53"/>
      <c r="M20" s="57"/>
      <c r="N20" s="48" t="n">
        <f aca="false">SUBTOTAL(9,N22:N24)</f>
        <v>2950.95475663184</v>
      </c>
      <c r="O20" s="48" t="n">
        <f aca="false">SUBTOTAL(9,O22:O24)</f>
        <v>3099.40815444675</v>
      </c>
      <c r="P20" s="48" t="n">
        <f aca="false">SUBTOTAL(9,P22:P24)</f>
        <v>2950.95475663184</v>
      </c>
      <c r="Q20" s="48" t="n">
        <f aca="false">SUBTOTAL(9,Q22:Q24)</f>
        <v>2525.08842443483</v>
      </c>
      <c r="R20" s="48" t="n">
        <f aca="false">SUBTOTAL(9,R22:R24)</f>
        <v>26189.6463204911</v>
      </c>
      <c r="S20" s="68" t="n">
        <f aca="false">R20-R26-R39-R55</f>
        <v>0</v>
      </c>
      <c r="T20" s="55"/>
      <c r="U20" s="59"/>
      <c r="V20" s="59"/>
      <c r="W20" s="59"/>
      <c r="X20" s="59"/>
      <c r="Y20" s="60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55"/>
      <c r="BX20" s="55"/>
      <c r="BY20" s="55"/>
      <c r="BZ20" s="55"/>
      <c r="CA20" s="55"/>
      <c r="CB20" s="55"/>
      <c r="CC20" s="55"/>
      <c r="CD20" s="55"/>
      <c r="CE20" s="55"/>
      <c r="CF20" s="55"/>
      <c r="CG20" s="55"/>
      <c r="CH20" s="55"/>
      <c r="CI20" s="55"/>
      <c r="CJ20" s="55"/>
      <c r="CK20" s="55"/>
      <c r="CL20" s="55"/>
      <c r="CM20" s="55"/>
      <c r="CN20" s="55"/>
      <c r="CO20" s="55"/>
      <c r="CP20" s="55"/>
      <c r="CQ20" s="55"/>
      <c r="CR20" s="55"/>
      <c r="CS20" s="55"/>
      <c r="CT20" s="55"/>
      <c r="CU20" s="55"/>
      <c r="CV20" s="55"/>
      <c r="CW20" s="55"/>
      <c r="CX20" s="55"/>
      <c r="CY20" s="55"/>
      <c r="CZ20" s="55"/>
      <c r="DA20" s="55"/>
      <c r="DB20" s="55"/>
      <c r="DC20" s="55"/>
      <c r="DD20" s="55"/>
      <c r="DE20" s="55"/>
      <c r="DF20" s="55"/>
      <c r="DG20" s="55"/>
      <c r="DH20" s="55"/>
      <c r="DI20" s="55"/>
      <c r="DJ20" s="55"/>
      <c r="DK20" s="55"/>
      <c r="DL20" s="55"/>
      <c r="DM20" s="55"/>
      <c r="DN20" s="55"/>
      <c r="DO20" s="55"/>
      <c r="DP20" s="55"/>
      <c r="DQ20" s="55"/>
      <c r="DR20" s="55"/>
      <c r="DS20" s="55"/>
      <c r="DT20" s="55"/>
      <c r="DU20" s="55"/>
      <c r="DV20" s="55"/>
      <c r="DW20" s="55"/>
      <c r="DX20" s="55"/>
      <c r="DY20" s="55"/>
      <c r="DZ20" s="55"/>
      <c r="EA20" s="55"/>
      <c r="EB20" s="55"/>
      <c r="EC20" s="55"/>
      <c r="ED20" s="55"/>
      <c r="EE20" s="55"/>
      <c r="EF20" s="55"/>
      <c r="EG20" s="55"/>
      <c r="EH20" s="55"/>
      <c r="EI20" s="55"/>
      <c r="EJ20" s="55"/>
      <c r="EK20" s="55"/>
      <c r="EL20" s="55"/>
      <c r="EM20" s="55"/>
      <c r="EN20" s="55"/>
      <c r="EO20" s="55"/>
      <c r="EP20" s="55"/>
      <c r="EQ20" s="55"/>
      <c r="ER20" s="55"/>
      <c r="ES20" s="55"/>
      <c r="ET20" s="55"/>
      <c r="EU20" s="55"/>
      <c r="EV20" s="55"/>
      <c r="EW20" s="55"/>
      <c r="EX20" s="55"/>
      <c r="EY20" s="55"/>
      <c r="EZ20" s="55"/>
      <c r="FA20" s="55"/>
      <c r="FB20" s="55"/>
      <c r="FC20" s="55"/>
      <c r="FD20" s="55"/>
      <c r="FE20" s="55"/>
      <c r="FF20" s="55"/>
      <c r="FG20" s="55"/>
      <c r="FH20" s="55"/>
      <c r="FI20" s="55"/>
      <c r="FJ20" s="55"/>
      <c r="FK20" s="55"/>
      <c r="FL20" s="55"/>
      <c r="FM20" s="55"/>
      <c r="FN20" s="55"/>
      <c r="FO20" s="55"/>
      <c r="FP20" s="55"/>
      <c r="FQ20" s="55"/>
      <c r="FR20" s="55"/>
      <c r="FS20" s="55"/>
      <c r="FT20" s="55"/>
      <c r="FU20" s="55"/>
      <c r="FV20" s="55"/>
      <c r="FW20" s="55"/>
      <c r="FX20" s="55"/>
      <c r="FY20" s="55"/>
      <c r="FZ20" s="55"/>
      <c r="GA20" s="55"/>
      <c r="GB20" s="55"/>
      <c r="GC20" s="55"/>
      <c r="GD20" s="55"/>
      <c r="GE20" s="55"/>
      <c r="GF20" s="55"/>
      <c r="GG20" s="55"/>
      <c r="GH20" s="55"/>
      <c r="GI20" s="55"/>
      <c r="GJ20" s="55"/>
      <c r="GK20" s="55"/>
      <c r="GL20" s="55"/>
      <c r="GM20" s="55"/>
      <c r="GN20" s="55"/>
      <c r="GO20" s="55"/>
      <c r="GP20" s="55"/>
      <c r="GQ20" s="55"/>
      <c r="GR20" s="55"/>
      <c r="GS20" s="55"/>
      <c r="GT20" s="55"/>
      <c r="GU20" s="55"/>
      <c r="GV20" s="55"/>
      <c r="GW20" s="55"/>
      <c r="GX20" s="55"/>
      <c r="GY20" s="55"/>
      <c r="GZ20" s="55"/>
      <c r="HA20" s="55"/>
      <c r="HB20" s="55"/>
      <c r="HC20" s="55"/>
      <c r="HD20" s="55"/>
      <c r="HE20" s="55"/>
      <c r="HF20" s="55"/>
      <c r="HG20" s="55"/>
      <c r="HH20" s="55"/>
      <c r="HI20" s="55"/>
      <c r="HJ20" s="55"/>
      <c r="HK20" s="55"/>
      <c r="HL20" s="55"/>
      <c r="HM20" s="55"/>
      <c r="HN20" s="55"/>
      <c r="HO20" s="55"/>
      <c r="HP20" s="55"/>
      <c r="HQ20" s="55"/>
      <c r="HR20" s="55"/>
      <c r="HS20" s="55"/>
      <c r="HT20" s="55"/>
      <c r="HU20" s="55"/>
      <c r="HV20" s="55"/>
      <c r="HW20" s="55"/>
      <c r="HX20" s="55"/>
      <c r="HY20" s="55"/>
      <c r="HZ20" s="55"/>
      <c r="IA20" s="55"/>
      <c r="IB20" s="55"/>
      <c r="IC20" s="55"/>
      <c r="ID20" s="55"/>
      <c r="IE20" s="55"/>
      <c r="IF20" s="55"/>
      <c r="IG20" s="55"/>
      <c r="IH20" s="55"/>
      <c r="II20" s="55"/>
      <c r="IJ20" s="55"/>
      <c r="IK20" s="55"/>
      <c r="IL20" s="55"/>
      <c r="IM20" s="55"/>
      <c r="IN20" s="55"/>
      <c r="IO20" s="55"/>
      <c r="IP20" s="55"/>
      <c r="IQ20" s="55"/>
      <c r="IR20" s="55"/>
      <c r="IS20" s="55"/>
      <c r="IT20" s="55"/>
      <c r="IU20" s="55"/>
      <c r="IV20" s="55"/>
      <c r="IW20" s="55"/>
    </row>
    <row r="21" customFormat="false" ht="8.25" hidden="false" customHeight="true" outlineLevel="0" collapsed="false">
      <c r="A21" s="4" t="s">
        <v>1</v>
      </c>
      <c r="B21" s="69"/>
      <c r="C21" s="42"/>
      <c r="D21" s="43"/>
      <c r="E21" s="44"/>
      <c r="F21" s="45"/>
      <c r="G21" s="43"/>
      <c r="H21" s="44"/>
      <c r="I21" s="44"/>
      <c r="J21" s="44"/>
      <c r="K21" s="44"/>
      <c r="L21" s="47"/>
      <c r="M21" s="45"/>
      <c r="N21" s="47"/>
      <c r="O21" s="47"/>
      <c r="P21" s="47"/>
      <c r="Q21" s="47"/>
      <c r="R21" s="47"/>
      <c r="S21" s="27"/>
      <c r="T21" s="47"/>
      <c r="U21" s="47"/>
      <c r="V21" s="47"/>
      <c r="W21" s="47"/>
      <c r="X21" s="4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</row>
    <row r="22" customFormat="false" ht="24.75" hidden="false" customHeight="true" outlineLevel="0" collapsed="false">
      <c r="A22" s="4" t="s">
        <v>1</v>
      </c>
      <c r="B22" s="70" t="s">
        <v>24</v>
      </c>
      <c r="C22" s="51"/>
      <c r="D22" s="71" t="n">
        <f aca="false">D29+D32+D34</f>
        <v>-17.2881460489341</v>
      </c>
      <c r="E22" s="72" t="s">
        <v>25</v>
      </c>
      <c r="F22" s="54"/>
      <c r="G22" s="71" t="n">
        <f aca="false">G29+G32</f>
        <v>4.55235298136646</v>
      </c>
      <c r="H22" s="73" t="s">
        <v>26</v>
      </c>
      <c r="I22" s="55"/>
      <c r="J22" s="74" t="n">
        <f aca="false">J26</f>
        <v>68.30746</v>
      </c>
      <c r="K22" s="55"/>
      <c r="L22" s="73" t="n">
        <v>2000</v>
      </c>
      <c r="M22" s="57"/>
      <c r="N22" s="65" t="n">
        <f aca="false">N29+N32</f>
        <v>-18.967</v>
      </c>
      <c r="O22" s="65" t="n">
        <f aca="false">O29+O32</f>
        <v>-20.487</v>
      </c>
      <c r="P22" s="65" t="n">
        <f aca="false">P29+P32</f>
        <v>-18.967</v>
      </c>
      <c r="Q22" s="65" t="n">
        <f aca="false">Q29+Q32</f>
        <v>-67.286</v>
      </c>
      <c r="R22" s="65" t="n">
        <f aca="false">R29+R32</f>
        <v>-472.43156</v>
      </c>
      <c r="S22" s="55"/>
      <c r="T22" s="49"/>
      <c r="U22" s="49"/>
      <c r="V22" s="49"/>
      <c r="W22" s="49"/>
      <c r="X22" s="49"/>
      <c r="Y22" s="60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55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5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55"/>
      <c r="DD22" s="55"/>
      <c r="DE22" s="55"/>
      <c r="DF22" s="55"/>
      <c r="DG22" s="55"/>
      <c r="DH22" s="55"/>
      <c r="DI22" s="55"/>
      <c r="DJ22" s="55"/>
      <c r="DK22" s="55"/>
      <c r="DL22" s="55"/>
      <c r="DM22" s="55"/>
      <c r="DN22" s="55"/>
      <c r="DO22" s="55"/>
      <c r="DP22" s="55"/>
      <c r="DQ22" s="55"/>
      <c r="DR22" s="55"/>
      <c r="DS22" s="55"/>
      <c r="DT22" s="55"/>
      <c r="DU22" s="55"/>
      <c r="DV22" s="55"/>
      <c r="DW22" s="55"/>
      <c r="DX22" s="55"/>
      <c r="DY22" s="55"/>
      <c r="DZ22" s="55"/>
      <c r="EA22" s="55"/>
      <c r="EB22" s="55"/>
      <c r="EC22" s="55"/>
      <c r="ED22" s="55"/>
      <c r="EE22" s="55"/>
      <c r="EF22" s="55"/>
      <c r="EG22" s="55"/>
      <c r="EH22" s="55"/>
      <c r="EI22" s="55"/>
      <c r="EJ22" s="55"/>
      <c r="EK22" s="55"/>
      <c r="EL22" s="55"/>
      <c r="EM22" s="55"/>
      <c r="EN22" s="55"/>
      <c r="EO22" s="55"/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  <c r="FF22" s="55"/>
      <c r="FG22" s="55"/>
      <c r="FH22" s="55"/>
      <c r="FI22" s="55"/>
      <c r="FJ22" s="55"/>
      <c r="FK22" s="55"/>
      <c r="FL22" s="55"/>
      <c r="FM22" s="55"/>
      <c r="FN22" s="55"/>
      <c r="FO22" s="55"/>
      <c r="FP22" s="55"/>
      <c r="FQ22" s="55"/>
      <c r="FR22" s="55"/>
      <c r="FS22" s="55"/>
      <c r="FT22" s="55"/>
      <c r="FU22" s="55"/>
      <c r="FV22" s="55"/>
      <c r="FW22" s="55"/>
      <c r="FX22" s="55"/>
      <c r="FY22" s="55"/>
      <c r="FZ22" s="55"/>
      <c r="GA22" s="55"/>
      <c r="GB22" s="55"/>
      <c r="GC22" s="55"/>
      <c r="GD22" s="55"/>
      <c r="GE22" s="55"/>
      <c r="GF22" s="55"/>
      <c r="GG22" s="55"/>
      <c r="GH22" s="55"/>
      <c r="GI22" s="55"/>
      <c r="GJ22" s="55"/>
      <c r="GK22" s="55"/>
      <c r="GL22" s="55"/>
      <c r="GM22" s="55"/>
      <c r="GN22" s="55"/>
      <c r="GO22" s="55"/>
      <c r="GP22" s="55"/>
      <c r="GQ22" s="55"/>
      <c r="GR22" s="55"/>
      <c r="GS22" s="55"/>
      <c r="GT22" s="55"/>
      <c r="GU22" s="55"/>
      <c r="GV22" s="55"/>
      <c r="GW22" s="55"/>
      <c r="GX22" s="55"/>
      <c r="GY22" s="55"/>
      <c r="GZ22" s="55"/>
      <c r="HA22" s="55"/>
      <c r="HB22" s="55"/>
      <c r="HC22" s="55"/>
      <c r="HD22" s="55"/>
      <c r="HE22" s="55"/>
      <c r="HF22" s="55"/>
      <c r="HG22" s="55"/>
      <c r="HH22" s="55"/>
      <c r="HI22" s="55"/>
      <c r="HJ22" s="55"/>
      <c r="HK22" s="55"/>
      <c r="HL22" s="55"/>
      <c r="HM22" s="55"/>
      <c r="HN22" s="55"/>
      <c r="HO22" s="55"/>
      <c r="HP22" s="55"/>
      <c r="HQ22" s="55"/>
      <c r="HR22" s="55"/>
      <c r="HS22" s="55"/>
      <c r="HT22" s="55"/>
      <c r="HU22" s="55"/>
      <c r="HV22" s="55"/>
      <c r="HW22" s="55"/>
      <c r="HX22" s="55"/>
      <c r="HY22" s="55"/>
      <c r="HZ22" s="55"/>
      <c r="IA22" s="55"/>
      <c r="IB22" s="55"/>
      <c r="IC22" s="55"/>
      <c r="ID22" s="55"/>
      <c r="IE22" s="55"/>
      <c r="IF22" s="55"/>
      <c r="IG22" s="55"/>
      <c r="IH22" s="55"/>
      <c r="II22" s="55"/>
      <c r="IJ22" s="55"/>
      <c r="IK22" s="55"/>
      <c r="IL22" s="55"/>
      <c r="IM22" s="55"/>
      <c r="IN22" s="55"/>
      <c r="IO22" s="55"/>
      <c r="IP22" s="55"/>
      <c r="IQ22" s="55"/>
      <c r="IR22" s="55"/>
      <c r="IS22" s="55"/>
      <c r="IT22" s="55"/>
      <c r="IU22" s="55"/>
      <c r="IV22" s="55"/>
      <c r="IW22" s="55"/>
    </row>
    <row r="23" customFormat="false" ht="24.75" hidden="false" customHeight="true" outlineLevel="0" collapsed="false">
      <c r="A23" s="4" t="s">
        <v>1</v>
      </c>
      <c r="B23" s="70" t="s">
        <v>27</v>
      </c>
      <c r="C23" s="51"/>
      <c r="D23" s="71" t="n">
        <f aca="false">D42+D45+D49+D51</f>
        <v>1.73818441863534</v>
      </c>
      <c r="E23" s="73" t="s">
        <v>28</v>
      </c>
      <c r="F23" s="54"/>
      <c r="G23" s="75" t="n">
        <f aca="false">INDEX('SC Total Power'!$A$6:$W$500,MATCH(Summary!$B$8,'SC Total Power'!$A$6:$A$500,0),17)</f>
        <v>0.470594157650487</v>
      </c>
      <c r="H23" s="73" t="s">
        <v>29</v>
      </c>
      <c r="I23" s="55"/>
      <c r="J23" s="74" t="n">
        <f aca="false">J39</f>
        <v>370.4959535</v>
      </c>
      <c r="K23" s="55"/>
      <c r="L23" s="73" t="n">
        <v>5000</v>
      </c>
      <c r="M23" s="57"/>
      <c r="N23" s="65" t="n">
        <f aca="false">N39</f>
        <v>2969.92175663184</v>
      </c>
      <c r="O23" s="65" t="n">
        <f aca="false">O39</f>
        <v>3119.89515444675</v>
      </c>
      <c r="P23" s="65" t="n">
        <f aca="false">P39</f>
        <v>2969.92175663184</v>
      </c>
      <c r="Q23" s="65" t="n">
        <f aca="false">Q39</f>
        <v>2592.37442443483</v>
      </c>
      <c r="R23" s="65" t="n">
        <f aca="false">R39</f>
        <v>27101.0648804911</v>
      </c>
      <c r="S23" s="55"/>
      <c r="T23" s="49"/>
      <c r="U23" s="49"/>
      <c r="V23" s="49"/>
      <c r="W23" s="49"/>
      <c r="X23" s="49"/>
      <c r="Y23" s="60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55"/>
      <c r="DV23" s="55"/>
      <c r="DW23" s="55"/>
      <c r="DX23" s="55"/>
      <c r="DY23" s="55"/>
      <c r="DZ23" s="55"/>
      <c r="EA23" s="55"/>
      <c r="EB23" s="55"/>
      <c r="EC23" s="55"/>
      <c r="ED23" s="55"/>
      <c r="EE23" s="55"/>
      <c r="EF23" s="55"/>
      <c r="EG23" s="55"/>
      <c r="EH23" s="55"/>
      <c r="EI23" s="55"/>
      <c r="EJ23" s="55"/>
      <c r="EK23" s="55"/>
      <c r="EL23" s="55"/>
      <c r="EM23" s="55"/>
      <c r="EN23" s="55"/>
      <c r="EO23" s="55"/>
      <c r="EP23" s="55"/>
      <c r="EQ23" s="55"/>
      <c r="ER23" s="55"/>
      <c r="ES23" s="55"/>
      <c r="ET23" s="55"/>
      <c r="EU23" s="55"/>
      <c r="EV23" s="55"/>
      <c r="EW23" s="55"/>
      <c r="EX23" s="55"/>
      <c r="EY23" s="55"/>
      <c r="EZ23" s="55"/>
      <c r="FA23" s="55"/>
      <c r="FB23" s="55"/>
      <c r="FC23" s="55"/>
      <c r="FD23" s="55"/>
      <c r="FE23" s="55"/>
      <c r="FF23" s="55"/>
      <c r="FG23" s="55"/>
      <c r="FH23" s="55"/>
      <c r="FI23" s="55"/>
      <c r="FJ23" s="55"/>
      <c r="FK23" s="55"/>
      <c r="FL23" s="55"/>
      <c r="FM23" s="55"/>
      <c r="FN23" s="55"/>
      <c r="FO23" s="55"/>
      <c r="FP23" s="55"/>
      <c r="FQ23" s="55"/>
      <c r="FR23" s="55"/>
      <c r="FS23" s="55"/>
      <c r="FT23" s="55"/>
      <c r="FU23" s="55"/>
      <c r="FV23" s="55"/>
      <c r="FW23" s="55"/>
      <c r="FX23" s="55"/>
      <c r="FY23" s="55"/>
      <c r="FZ23" s="55"/>
      <c r="GA23" s="55"/>
      <c r="GB23" s="55"/>
      <c r="GC23" s="55"/>
      <c r="GD23" s="55"/>
      <c r="GE23" s="55"/>
      <c r="GF23" s="55"/>
      <c r="GG23" s="55"/>
      <c r="GH23" s="55"/>
      <c r="GI23" s="55"/>
      <c r="GJ23" s="55"/>
      <c r="GK23" s="55"/>
      <c r="GL23" s="55"/>
      <c r="GM23" s="55"/>
      <c r="GN23" s="55"/>
      <c r="GO23" s="55"/>
      <c r="GP23" s="55"/>
      <c r="GQ23" s="55"/>
      <c r="GR23" s="55"/>
      <c r="GS23" s="55"/>
      <c r="GT23" s="55"/>
      <c r="GU23" s="55"/>
      <c r="GV23" s="55"/>
      <c r="GW23" s="55"/>
      <c r="GX23" s="55"/>
      <c r="GY23" s="55"/>
      <c r="GZ23" s="55"/>
      <c r="HA23" s="55"/>
      <c r="HB23" s="55"/>
      <c r="HC23" s="55"/>
      <c r="HD23" s="55"/>
      <c r="HE23" s="55"/>
      <c r="HF23" s="55"/>
      <c r="HG23" s="55"/>
      <c r="HH23" s="55"/>
      <c r="HI23" s="55"/>
      <c r="HJ23" s="55"/>
      <c r="HK23" s="55"/>
      <c r="HL23" s="55"/>
      <c r="HM23" s="55"/>
      <c r="HN23" s="55"/>
      <c r="HO23" s="55"/>
      <c r="HP23" s="55"/>
      <c r="HQ23" s="55"/>
      <c r="HR23" s="55"/>
      <c r="HS23" s="55"/>
      <c r="HT23" s="55"/>
      <c r="HU23" s="55"/>
      <c r="HV23" s="55"/>
      <c r="HW23" s="55"/>
      <c r="HX23" s="55"/>
      <c r="HY23" s="55"/>
      <c r="HZ23" s="55"/>
      <c r="IA23" s="55"/>
      <c r="IB23" s="55"/>
      <c r="IC23" s="55"/>
      <c r="ID23" s="55"/>
      <c r="IE23" s="55"/>
      <c r="IF23" s="55"/>
      <c r="IG23" s="55"/>
      <c r="IH23" s="55"/>
      <c r="II23" s="55"/>
      <c r="IJ23" s="55"/>
      <c r="IK23" s="55"/>
      <c r="IL23" s="55"/>
      <c r="IM23" s="55"/>
      <c r="IN23" s="55"/>
      <c r="IO23" s="55"/>
      <c r="IP23" s="55"/>
      <c r="IQ23" s="55"/>
      <c r="IR23" s="55"/>
      <c r="IS23" s="55"/>
      <c r="IT23" s="55"/>
      <c r="IU23" s="55"/>
      <c r="IV23" s="55"/>
      <c r="IW23" s="55"/>
    </row>
    <row r="24" customFormat="false" ht="24.75" hidden="false" customHeight="true" outlineLevel="0" collapsed="false">
      <c r="A24" s="4" t="s">
        <v>1</v>
      </c>
      <c r="B24" s="70" t="s">
        <v>30</v>
      </c>
      <c r="C24" s="51"/>
      <c r="D24" s="52"/>
      <c r="E24" s="53"/>
      <c r="F24" s="62"/>
      <c r="G24" s="52"/>
      <c r="H24" s="53"/>
      <c r="I24" s="63"/>
      <c r="J24" s="56"/>
      <c r="K24" s="63"/>
      <c r="L24" s="53"/>
      <c r="M24" s="57"/>
      <c r="N24" s="65" t="n">
        <f aca="false">N55</f>
        <v>0</v>
      </c>
      <c r="O24" s="65" t="n">
        <f aca="false">O55</f>
        <v>0</v>
      </c>
      <c r="P24" s="65" t="n">
        <f aca="false">P55</f>
        <v>0</v>
      </c>
      <c r="Q24" s="65" t="n">
        <f aca="false">Q55</f>
        <v>0</v>
      </c>
      <c r="R24" s="65" t="n">
        <f aca="false">R55</f>
        <v>-438.987</v>
      </c>
      <c r="S24" s="55"/>
      <c r="T24" s="49"/>
      <c r="U24" s="49"/>
      <c r="V24" s="49"/>
      <c r="W24" s="49"/>
      <c r="X24" s="49"/>
      <c r="Y24" s="60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  <c r="FF24" s="55"/>
      <c r="FG24" s="55"/>
      <c r="FH24" s="55"/>
      <c r="FI24" s="55"/>
      <c r="FJ24" s="55"/>
      <c r="FK24" s="55"/>
      <c r="FL24" s="55"/>
      <c r="FM24" s="55"/>
      <c r="FN24" s="55"/>
      <c r="FO24" s="55"/>
      <c r="FP24" s="55"/>
      <c r="FQ24" s="55"/>
      <c r="FR24" s="55"/>
      <c r="FS24" s="55"/>
      <c r="FT24" s="55"/>
      <c r="FU24" s="55"/>
      <c r="FV24" s="55"/>
      <c r="FW24" s="55"/>
      <c r="FX24" s="55"/>
      <c r="FY24" s="55"/>
      <c r="FZ24" s="55"/>
      <c r="GA24" s="55"/>
      <c r="GB24" s="55"/>
      <c r="GC24" s="55"/>
      <c r="GD24" s="55"/>
      <c r="GE24" s="55"/>
      <c r="GF24" s="55"/>
      <c r="GG24" s="55"/>
      <c r="GH24" s="55"/>
      <c r="GI24" s="55"/>
      <c r="GJ24" s="55"/>
      <c r="GK24" s="55"/>
      <c r="GL24" s="55"/>
      <c r="GM24" s="55"/>
      <c r="GN24" s="55"/>
      <c r="GO24" s="55"/>
      <c r="GP24" s="55"/>
      <c r="GQ24" s="55"/>
      <c r="GR24" s="55"/>
      <c r="GS24" s="55"/>
      <c r="GT24" s="55"/>
      <c r="GU24" s="55"/>
      <c r="GV24" s="55"/>
      <c r="GW24" s="55"/>
      <c r="GX24" s="55"/>
      <c r="GY24" s="55"/>
      <c r="GZ24" s="55"/>
      <c r="HA24" s="55"/>
      <c r="HB24" s="55"/>
      <c r="HC24" s="55"/>
      <c r="HD24" s="55"/>
      <c r="HE24" s="55"/>
      <c r="HF24" s="55"/>
      <c r="HG24" s="55"/>
      <c r="HH24" s="55"/>
      <c r="HI24" s="55"/>
      <c r="HJ24" s="55"/>
      <c r="HK24" s="55"/>
      <c r="HL24" s="55"/>
      <c r="HM24" s="55"/>
      <c r="HN24" s="55"/>
      <c r="HO24" s="55"/>
      <c r="HP24" s="55"/>
      <c r="HQ24" s="55"/>
      <c r="HR24" s="55"/>
      <c r="HS24" s="55"/>
      <c r="HT24" s="55"/>
      <c r="HU24" s="55"/>
      <c r="HV24" s="55"/>
      <c r="HW24" s="55"/>
      <c r="HX24" s="55"/>
      <c r="HY24" s="55"/>
      <c r="HZ24" s="55"/>
      <c r="IA24" s="55"/>
      <c r="IB24" s="55"/>
      <c r="IC24" s="55"/>
      <c r="ID24" s="55"/>
      <c r="IE24" s="55"/>
      <c r="IF24" s="55"/>
      <c r="IG24" s="55"/>
      <c r="IH24" s="55"/>
      <c r="II24" s="55"/>
      <c r="IJ24" s="55"/>
      <c r="IK24" s="55"/>
      <c r="IL24" s="55"/>
      <c r="IM24" s="55"/>
      <c r="IN24" s="55"/>
      <c r="IO24" s="55"/>
      <c r="IP24" s="55"/>
      <c r="IQ24" s="55"/>
      <c r="IR24" s="55"/>
      <c r="IS24" s="55"/>
      <c r="IT24" s="55"/>
      <c r="IU24" s="55"/>
      <c r="IV24" s="55"/>
      <c r="IW24" s="55"/>
    </row>
    <row r="25" customFormat="false" ht="24.75" hidden="false" customHeight="true" outlineLevel="0" collapsed="false">
      <c r="A25" s="4" t="s">
        <v>1</v>
      </c>
      <c r="B25" s="50"/>
      <c r="C25" s="51"/>
      <c r="D25" s="52"/>
      <c r="E25" s="53"/>
      <c r="F25" s="54"/>
      <c r="G25" s="52"/>
      <c r="H25" s="53"/>
      <c r="I25" s="55"/>
      <c r="J25" s="56"/>
      <c r="K25" s="55"/>
      <c r="L25" s="53"/>
      <c r="M25" s="57"/>
      <c r="N25" s="59"/>
      <c r="O25" s="59"/>
      <c r="P25" s="59"/>
      <c r="Q25" s="59"/>
      <c r="R25" s="59"/>
      <c r="S25" s="55"/>
      <c r="T25" s="49"/>
      <c r="U25" s="49"/>
      <c r="V25" s="49"/>
      <c r="W25" s="49"/>
      <c r="X25" s="49"/>
      <c r="Y25" s="60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  <c r="FF25" s="55"/>
      <c r="FG25" s="55"/>
      <c r="FH25" s="55"/>
      <c r="FI25" s="55"/>
      <c r="FJ25" s="55"/>
      <c r="FK25" s="55"/>
      <c r="FL25" s="55"/>
      <c r="FM25" s="55"/>
      <c r="FN25" s="55"/>
      <c r="FO25" s="55"/>
      <c r="FP25" s="55"/>
      <c r="FQ25" s="55"/>
      <c r="FR25" s="55"/>
      <c r="FS25" s="55"/>
      <c r="FT25" s="55"/>
      <c r="FU25" s="55"/>
      <c r="FV25" s="55"/>
      <c r="FW25" s="55"/>
      <c r="FX25" s="55"/>
      <c r="FY25" s="55"/>
      <c r="FZ25" s="55"/>
      <c r="GA25" s="55"/>
      <c r="GB25" s="55"/>
      <c r="GC25" s="55"/>
      <c r="GD25" s="55"/>
      <c r="GE25" s="55"/>
      <c r="GF25" s="55"/>
      <c r="GG25" s="55"/>
      <c r="GH25" s="55"/>
      <c r="GI25" s="55"/>
      <c r="GJ25" s="55"/>
      <c r="GK25" s="55"/>
      <c r="GL25" s="55"/>
      <c r="GM25" s="55"/>
      <c r="GN25" s="55"/>
      <c r="GO25" s="55"/>
      <c r="GP25" s="55"/>
      <c r="GQ25" s="55"/>
      <c r="GR25" s="55"/>
      <c r="GS25" s="55"/>
      <c r="GT25" s="55"/>
      <c r="GU25" s="55"/>
      <c r="GV25" s="55"/>
      <c r="GW25" s="55"/>
      <c r="GX25" s="55"/>
      <c r="GY25" s="55"/>
      <c r="GZ25" s="55"/>
      <c r="HA25" s="55"/>
      <c r="HB25" s="55"/>
      <c r="HC25" s="55"/>
      <c r="HD25" s="55"/>
      <c r="HE25" s="55"/>
      <c r="HF25" s="55"/>
      <c r="HG25" s="55"/>
      <c r="HH25" s="55"/>
      <c r="HI25" s="55"/>
      <c r="HJ25" s="55"/>
      <c r="HK25" s="55"/>
      <c r="HL25" s="55"/>
      <c r="HM25" s="55"/>
      <c r="HN25" s="55"/>
      <c r="HO25" s="55"/>
      <c r="HP25" s="55"/>
      <c r="HQ25" s="55"/>
      <c r="HR25" s="55"/>
      <c r="HS25" s="55"/>
      <c r="HT25" s="55"/>
      <c r="HU25" s="55"/>
      <c r="HV25" s="55"/>
      <c r="HW25" s="55"/>
      <c r="HX25" s="55"/>
      <c r="HY25" s="55"/>
      <c r="HZ25" s="55"/>
      <c r="IA25" s="55"/>
      <c r="IB25" s="55"/>
      <c r="IC25" s="55"/>
      <c r="ID25" s="55"/>
      <c r="IE25" s="55"/>
      <c r="IF25" s="55"/>
      <c r="IG25" s="55"/>
      <c r="IH25" s="55"/>
      <c r="II25" s="55"/>
      <c r="IJ25" s="55"/>
      <c r="IK25" s="55"/>
      <c r="IL25" s="55"/>
      <c r="IM25" s="55"/>
      <c r="IN25" s="55"/>
      <c r="IO25" s="55"/>
      <c r="IP25" s="55"/>
      <c r="IQ25" s="55"/>
      <c r="IR25" s="55"/>
      <c r="IS25" s="55"/>
      <c r="IT25" s="55"/>
      <c r="IU25" s="55"/>
      <c r="IV25" s="55"/>
      <c r="IW25" s="55"/>
    </row>
    <row r="26" customFormat="false" ht="29.25" hidden="false" customHeight="true" outlineLevel="0" collapsed="false">
      <c r="A26" s="4" t="s">
        <v>1</v>
      </c>
      <c r="B26" s="76" t="s">
        <v>31</v>
      </c>
      <c r="C26" s="42"/>
      <c r="D26" s="43"/>
      <c r="E26" s="44"/>
      <c r="F26" s="45"/>
      <c r="G26" s="43"/>
      <c r="H26" s="44"/>
      <c r="I26" s="44"/>
      <c r="J26" s="67" t="n">
        <f aca="false">J28</f>
        <v>68.30746</v>
      </c>
      <c r="K26" s="44"/>
      <c r="L26" s="47"/>
      <c r="M26" s="45"/>
      <c r="N26" s="48" t="n">
        <f aca="false">SUM(N28)</f>
        <v>-18.967</v>
      </c>
      <c r="O26" s="48" t="n">
        <f aca="false">SUM(O28)</f>
        <v>-20.487</v>
      </c>
      <c r="P26" s="48" t="n">
        <f aca="false">SUM(P28)</f>
        <v>-18.967</v>
      </c>
      <c r="Q26" s="48" t="n">
        <f aca="false">SUM(Q28)</f>
        <v>-67.286</v>
      </c>
      <c r="R26" s="48" t="n">
        <f aca="false">SUM(R28)</f>
        <v>-472.43156</v>
      </c>
      <c r="S26" s="27"/>
      <c r="T26" s="49"/>
      <c r="U26" s="49"/>
      <c r="V26" s="49"/>
      <c r="W26" s="49"/>
      <c r="X26" s="49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</row>
    <row r="27" customFormat="false" ht="8.25" hidden="false" customHeight="true" outlineLevel="0" collapsed="false">
      <c r="A27" s="4" t="s">
        <v>1</v>
      </c>
      <c r="B27" s="69"/>
      <c r="C27" s="42"/>
      <c r="D27" s="43"/>
      <c r="E27" s="44"/>
      <c r="F27" s="45"/>
      <c r="G27" s="43"/>
      <c r="H27" s="44"/>
      <c r="I27" s="44"/>
      <c r="J27" s="44"/>
      <c r="K27" s="44"/>
      <c r="L27" s="47"/>
      <c r="M27" s="45"/>
      <c r="N27" s="47"/>
      <c r="O27" s="47"/>
      <c r="P27" s="47"/>
      <c r="Q27" s="47"/>
      <c r="R27" s="47"/>
      <c r="S27" s="27"/>
      <c r="T27" s="59"/>
      <c r="U27" s="59"/>
      <c r="V27" s="59"/>
      <c r="W27" s="59"/>
      <c r="X27" s="59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</row>
    <row r="28" customFormat="false" ht="30" hidden="false" customHeight="true" outlineLevel="0" collapsed="false">
      <c r="A28" s="4" t="s">
        <v>1</v>
      </c>
      <c r="B28" s="77" t="s">
        <v>32</v>
      </c>
      <c r="C28" s="51"/>
      <c r="D28" s="55"/>
      <c r="E28" s="55"/>
      <c r="F28" s="51"/>
      <c r="G28" s="78"/>
      <c r="H28" s="55"/>
      <c r="I28" s="55"/>
      <c r="J28" s="67" t="n">
        <f aca="false">J29</f>
        <v>68.30746</v>
      </c>
      <c r="K28" s="55"/>
      <c r="L28" s="79"/>
      <c r="M28" s="51"/>
      <c r="N28" s="80" t="n">
        <f aca="false">SUM(+N29+N32+N34)</f>
        <v>-18.967</v>
      </c>
      <c r="O28" s="80" t="n">
        <f aca="false">SUM(+O29+O32+O34)</f>
        <v>-20.487</v>
      </c>
      <c r="P28" s="80" t="n">
        <f aca="false">SUM(+P29+P32+P34)</f>
        <v>-18.967</v>
      </c>
      <c r="Q28" s="80" t="n">
        <f aca="false">SUM(+Q29+Q32+Q34)</f>
        <v>-67.286</v>
      </c>
      <c r="R28" s="80" t="n">
        <f aca="false">SUM(+R29+R32+R34)</f>
        <v>-472.43156</v>
      </c>
      <c r="S28" s="55"/>
      <c r="T28" s="59"/>
      <c r="U28" s="59"/>
      <c r="V28" s="59"/>
      <c r="W28" s="59"/>
      <c r="X28" s="59"/>
      <c r="Y28" s="60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  <c r="FF28" s="55"/>
      <c r="FG28" s="55"/>
      <c r="FH28" s="55"/>
      <c r="FI28" s="55"/>
      <c r="FJ28" s="55"/>
      <c r="FK28" s="55"/>
      <c r="FL28" s="55"/>
      <c r="FM28" s="55"/>
      <c r="FN28" s="55"/>
      <c r="FO28" s="55"/>
      <c r="FP28" s="55"/>
      <c r="FQ28" s="55"/>
      <c r="FR28" s="55"/>
      <c r="FS28" s="55"/>
      <c r="FT28" s="55"/>
      <c r="FU28" s="55"/>
      <c r="FV28" s="55"/>
      <c r="FW28" s="55"/>
      <c r="FX28" s="55"/>
      <c r="FY28" s="55"/>
      <c r="FZ28" s="55"/>
      <c r="GA28" s="55"/>
      <c r="GB28" s="55"/>
      <c r="GC28" s="55"/>
      <c r="GD28" s="55"/>
      <c r="GE28" s="55"/>
      <c r="GF28" s="55"/>
      <c r="GG28" s="55"/>
      <c r="GH28" s="55"/>
      <c r="GI28" s="55"/>
      <c r="GJ28" s="55"/>
      <c r="GK28" s="55"/>
      <c r="GL28" s="55"/>
      <c r="GM28" s="55"/>
      <c r="GN28" s="55"/>
      <c r="GO28" s="55"/>
      <c r="GP28" s="55"/>
      <c r="GQ28" s="55"/>
      <c r="GR28" s="55"/>
      <c r="GS28" s="55"/>
      <c r="GT28" s="55"/>
      <c r="GU28" s="55"/>
      <c r="GV28" s="55"/>
      <c r="GW28" s="55"/>
      <c r="GX28" s="55"/>
      <c r="GY28" s="55"/>
      <c r="GZ28" s="55"/>
      <c r="HA28" s="55"/>
      <c r="HB28" s="55"/>
      <c r="HC28" s="55"/>
      <c r="HD28" s="55"/>
      <c r="HE28" s="55"/>
      <c r="HF28" s="55"/>
      <c r="HG28" s="55"/>
      <c r="HH28" s="55"/>
      <c r="HI28" s="55"/>
      <c r="HJ28" s="55"/>
      <c r="HK28" s="55"/>
      <c r="HL28" s="55"/>
      <c r="HM28" s="55"/>
      <c r="HN28" s="55"/>
      <c r="HO28" s="55"/>
      <c r="HP28" s="55"/>
      <c r="HQ28" s="55"/>
      <c r="HR28" s="55"/>
      <c r="HS28" s="55"/>
      <c r="HT28" s="55"/>
      <c r="HU28" s="55"/>
      <c r="HV28" s="55"/>
      <c r="HW28" s="55"/>
      <c r="HX28" s="55"/>
      <c r="HY28" s="55"/>
      <c r="HZ28" s="55"/>
      <c r="IA28" s="55"/>
      <c r="IB28" s="55"/>
      <c r="IC28" s="55"/>
      <c r="ID28" s="55"/>
      <c r="IE28" s="55"/>
      <c r="IF28" s="55"/>
      <c r="IG28" s="55"/>
      <c r="IH28" s="55"/>
      <c r="II28" s="55"/>
      <c r="IJ28" s="55"/>
      <c r="IK28" s="55"/>
      <c r="IL28" s="55"/>
      <c r="IM28" s="55"/>
      <c r="IN28" s="55"/>
      <c r="IO28" s="55"/>
      <c r="IP28" s="55"/>
      <c r="IQ28" s="55"/>
      <c r="IR28" s="55"/>
      <c r="IS28" s="55"/>
      <c r="IT28" s="55"/>
      <c r="IU28" s="55"/>
      <c r="IV28" s="55"/>
      <c r="IW28" s="55"/>
    </row>
    <row r="29" customFormat="false" ht="24.95" hidden="false" customHeight="true" outlineLevel="0" collapsed="false">
      <c r="A29" s="4" t="s">
        <v>1</v>
      </c>
      <c r="B29" s="81" t="s">
        <v>33</v>
      </c>
      <c r="C29" s="51" t="s">
        <v>21</v>
      </c>
      <c r="D29" s="71" t="n">
        <f aca="false">SUM(D30:D31)</f>
        <v>-17.2881460489341</v>
      </c>
      <c r="E29" s="82"/>
      <c r="F29" s="54" t="s">
        <v>21</v>
      </c>
      <c r="G29" s="71" t="n">
        <f aca="false">SUM(G30:G31)</f>
        <v>4.55235298136646</v>
      </c>
      <c r="H29" s="53"/>
      <c r="I29" s="55" t="s">
        <v>21</v>
      </c>
      <c r="J29" s="67" t="n">
        <f aca="false">INDEX('RAC V@r Total'!$A$6:$Z$500,MATCH(Summary!$B$8,'RAC V@r Total'!$A$6:$A$500,0),20)</f>
        <v>68.30746</v>
      </c>
      <c r="K29" s="55"/>
      <c r="L29" s="83"/>
      <c r="M29" s="57"/>
      <c r="N29" s="65" t="n">
        <f aca="false">SUM(N30:N31)</f>
        <v>-18.968</v>
      </c>
      <c r="O29" s="65" t="n">
        <f aca="false">SUM(O30:O31)</f>
        <v>-20.49</v>
      </c>
      <c r="P29" s="65" t="n">
        <f aca="false">SUM(P30:P31)</f>
        <v>-18.968</v>
      </c>
      <c r="Q29" s="65" t="n">
        <f aca="false">SUM(Q30:Q31)</f>
        <v>47.432</v>
      </c>
      <c r="R29" s="65" t="n">
        <f aca="false">SUM(R30:R31)</f>
        <v>1176.35444</v>
      </c>
      <c r="S29" s="55"/>
      <c r="T29" s="59"/>
      <c r="U29" s="59"/>
      <c r="V29" s="59"/>
      <c r="W29" s="59"/>
      <c r="X29" s="59"/>
      <c r="Y29" s="60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  <c r="FF29" s="55"/>
      <c r="FG29" s="55"/>
      <c r="FH29" s="55"/>
      <c r="FI29" s="55"/>
      <c r="FJ29" s="55"/>
      <c r="FK29" s="55"/>
      <c r="FL29" s="55"/>
      <c r="FM29" s="55"/>
      <c r="FN29" s="55"/>
      <c r="FO29" s="55"/>
      <c r="FP29" s="55"/>
      <c r="FQ29" s="55"/>
      <c r="FR29" s="55"/>
      <c r="FS29" s="55"/>
      <c r="FT29" s="55"/>
      <c r="FU29" s="55"/>
      <c r="FV29" s="55"/>
      <c r="FW29" s="55"/>
      <c r="FX29" s="55"/>
      <c r="FY29" s="55"/>
      <c r="FZ29" s="55"/>
      <c r="GA29" s="55"/>
      <c r="GB29" s="55"/>
      <c r="GC29" s="55"/>
      <c r="GD29" s="55"/>
      <c r="GE29" s="55"/>
      <c r="GF29" s="55"/>
      <c r="GG29" s="55"/>
      <c r="GH29" s="55"/>
      <c r="GI29" s="55"/>
      <c r="GJ29" s="55"/>
      <c r="GK29" s="55"/>
      <c r="GL29" s="55"/>
      <c r="GM29" s="55"/>
      <c r="GN29" s="55"/>
      <c r="GO29" s="55"/>
      <c r="GP29" s="55"/>
      <c r="GQ29" s="55"/>
      <c r="GR29" s="55"/>
      <c r="GS29" s="55"/>
      <c r="GT29" s="55"/>
      <c r="GU29" s="55"/>
      <c r="GV29" s="55"/>
      <c r="GW29" s="55"/>
      <c r="GX29" s="55"/>
      <c r="GY29" s="55"/>
      <c r="GZ29" s="55"/>
      <c r="HA29" s="55"/>
      <c r="HB29" s="55"/>
      <c r="HC29" s="55"/>
      <c r="HD29" s="55"/>
      <c r="HE29" s="55"/>
      <c r="HF29" s="55"/>
      <c r="HG29" s="55"/>
      <c r="HH29" s="55"/>
      <c r="HI29" s="55"/>
      <c r="HJ29" s="55"/>
      <c r="HK29" s="55"/>
      <c r="HL29" s="55"/>
      <c r="HM29" s="55"/>
      <c r="HN29" s="55"/>
      <c r="HO29" s="55"/>
      <c r="HP29" s="55"/>
      <c r="HQ29" s="55"/>
      <c r="HR29" s="55"/>
      <c r="HS29" s="55"/>
      <c r="HT29" s="55"/>
      <c r="HU29" s="55"/>
      <c r="HV29" s="55"/>
      <c r="HW29" s="55"/>
      <c r="HX29" s="55"/>
      <c r="HY29" s="55"/>
      <c r="HZ29" s="55"/>
      <c r="IA29" s="55"/>
      <c r="IB29" s="55"/>
      <c r="IC29" s="55"/>
      <c r="ID29" s="55"/>
      <c r="IE29" s="55"/>
      <c r="IF29" s="55"/>
      <c r="IG29" s="55"/>
      <c r="IH29" s="55"/>
      <c r="II29" s="55"/>
      <c r="IJ29" s="55"/>
      <c r="IK29" s="55"/>
      <c r="IL29" s="55"/>
      <c r="IM29" s="55"/>
      <c r="IN29" s="55"/>
      <c r="IO29" s="55"/>
      <c r="IP29" s="55"/>
      <c r="IQ29" s="55"/>
      <c r="IR29" s="55"/>
      <c r="IS29" s="55"/>
      <c r="IT29" s="55"/>
      <c r="IU29" s="55"/>
      <c r="IV29" s="55"/>
      <c r="IW29" s="55"/>
    </row>
    <row r="30" customFormat="false" ht="27.75" hidden="true" customHeight="true" outlineLevel="0" collapsed="false">
      <c r="A30" s="4" t="s">
        <v>34</v>
      </c>
      <c r="B30" s="84" t="s">
        <v>35</v>
      </c>
      <c r="C30" s="85"/>
      <c r="D30" s="86" t="n">
        <f aca="false">INDEX('ARG Gas IM'!$A$6:$W$500,MATCH(Summary!$B$8,'ARG Gas IM'!$A$6:$A$500,0),16)</f>
        <v>0.006245901</v>
      </c>
      <c r="E30" s="87"/>
      <c r="F30" s="88"/>
      <c r="G30" s="86" t="n">
        <f aca="false">INDEX('ARG Gas IM'!$A$6:$W$500,MATCH(Summary!$B$8,'ARG Gas IM'!$A$6:$A$500,0),17)</f>
        <v>0</v>
      </c>
      <c r="H30" s="87"/>
      <c r="I30" s="85"/>
      <c r="J30" s="89"/>
      <c r="K30" s="85"/>
      <c r="L30" s="87"/>
      <c r="M30" s="90"/>
      <c r="N30" s="91" t="n">
        <f aca="false">INDEX('ARG Gas IM'!$A$6:$W$500,MATCH(Summary!$B$8,'ARG Gas IM'!$A$6:$A$500,0),19)-N34</f>
        <v>-18.968</v>
      </c>
      <c r="O30" s="91" t="n">
        <f aca="false">'ARG Gas IM'!T3-O34</f>
        <v>-20.486</v>
      </c>
      <c r="P30" s="91" t="n">
        <f aca="false">INDEX('ARG Gas IM'!$A$6:$W$500,MATCH(Summary!$B$8,'ARG Gas IM'!$A$6:$A$500,0),21)-P34</f>
        <v>-18.968</v>
      </c>
      <c r="Q30" s="91" t="n">
        <f aca="false">INDEX('ARG Gas IM'!$A$6:$W$500,MATCH(Summary!$B$8,'ARG Gas IM'!$A$6:$A$500,0),22)-Q34</f>
        <v>-71.262</v>
      </c>
      <c r="R30" s="92" t="n">
        <f aca="false">INDEX('ARG Gas IM'!$A$6:$W$500,MATCH(Summary!$B$8,'ARG Gas IM'!$A$6:$A$500,0),23)-R34</f>
        <v>-535.27456</v>
      </c>
      <c r="S30" s="93"/>
      <c r="T30" s="94"/>
      <c r="U30" s="94"/>
      <c r="V30" s="94"/>
      <c r="W30" s="94"/>
      <c r="X30" s="94"/>
      <c r="Y30" s="93"/>
      <c r="Z30" s="93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5"/>
      <c r="GM30" s="85"/>
      <c r="GN30" s="85"/>
      <c r="GO30" s="85"/>
      <c r="GP30" s="85"/>
      <c r="GQ30" s="85"/>
      <c r="GR30" s="85"/>
      <c r="GS30" s="85"/>
      <c r="GT30" s="85"/>
      <c r="GU30" s="85"/>
      <c r="GV30" s="85"/>
      <c r="GW30" s="85"/>
      <c r="GX30" s="85"/>
      <c r="GY30" s="85"/>
      <c r="GZ30" s="85"/>
      <c r="HA30" s="85"/>
      <c r="HB30" s="85"/>
      <c r="HC30" s="85"/>
      <c r="HD30" s="85"/>
      <c r="HE30" s="85"/>
      <c r="HF30" s="85"/>
      <c r="HG30" s="85"/>
      <c r="HH30" s="85"/>
      <c r="HI30" s="85"/>
      <c r="HJ30" s="85"/>
      <c r="HK30" s="85"/>
      <c r="HL30" s="85"/>
      <c r="HM30" s="85"/>
      <c r="HN30" s="85"/>
      <c r="HO30" s="85"/>
      <c r="HP30" s="85"/>
      <c r="HQ30" s="85"/>
      <c r="HR30" s="85"/>
      <c r="HS30" s="85"/>
      <c r="HT30" s="85"/>
      <c r="HU30" s="85"/>
      <c r="HV30" s="85"/>
      <c r="HW30" s="85"/>
      <c r="HX30" s="85"/>
      <c r="HY30" s="85"/>
      <c r="HZ30" s="85"/>
      <c r="IA30" s="85"/>
      <c r="IB30" s="85"/>
      <c r="IC30" s="85"/>
      <c r="ID30" s="85"/>
      <c r="IE30" s="85"/>
      <c r="IF30" s="85"/>
      <c r="IG30" s="85"/>
      <c r="IH30" s="85"/>
      <c r="II30" s="85"/>
      <c r="IJ30" s="85"/>
      <c r="IK30" s="85"/>
      <c r="IL30" s="85"/>
      <c r="IM30" s="85"/>
      <c r="IN30" s="85"/>
      <c r="IO30" s="85"/>
      <c r="IP30" s="85"/>
      <c r="IQ30" s="85"/>
      <c r="IR30" s="85"/>
      <c r="IS30" s="85"/>
      <c r="IT30" s="85"/>
      <c r="IU30" s="85"/>
      <c r="IV30" s="85"/>
      <c r="IW30" s="85"/>
    </row>
    <row r="31" customFormat="false" ht="26.25" hidden="true" customHeight="true" outlineLevel="0" collapsed="false">
      <c r="A31" s="4" t="s">
        <v>34</v>
      </c>
      <c r="B31" s="84" t="s">
        <v>36</v>
      </c>
      <c r="C31" s="85"/>
      <c r="D31" s="86" t="n">
        <f aca="false">INDEX('ARG Gas Firm'!$A$6:$W$500,MATCH(Summary!$B$8,'ARG Gas Firm'!$A$6:$A$500,0),16)</f>
        <v>-17.2943919499341</v>
      </c>
      <c r="E31" s="87"/>
      <c r="F31" s="88"/>
      <c r="G31" s="86" t="n">
        <f aca="false">INDEX('ARG Gas Firm'!$A$6:$W$500,MATCH(Summary!$B$8,'ARG Gas Firm'!$A$6:$A$500,0),17)</f>
        <v>4.55235298136646</v>
      </c>
      <c r="H31" s="87"/>
      <c r="I31" s="85"/>
      <c r="J31" s="89"/>
      <c r="K31" s="85"/>
      <c r="L31" s="87"/>
      <c r="M31" s="90"/>
      <c r="N31" s="91" t="n">
        <f aca="false">INDEX('ARG Gas Firm'!$A$6:$W$500,MATCH(Summary!$B$8,'ARG Gas Firm'!$A$6:$A$500,0),19)</f>
        <v>0</v>
      </c>
      <c r="O31" s="91" t="n">
        <f aca="false">'ARG Gas Firm'!T$3</f>
        <v>-0.004</v>
      </c>
      <c r="P31" s="91" t="n">
        <f aca="false">INDEX('ARG Gas Firm'!$A$6:$W$500,MATCH(Summary!$B$8,'ARG Gas Firm'!$A$6:$A$500,0),21)</f>
        <v>0</v>
      </c>
      <c r="Q31" s="91" t="n">
        <f aca="false">INDEX('ARG Gas Firm'!$A$6:$W$500,MATCH(Summary!$B$8,'ARG Gas Firm'!$A$6:$A$500,0),22)</f>
        <v>118.694</v>
      </c>
      <c r="R31" s="92" t="n">
        <f aca="false">INDEX('ARG Gas Firm'!$A$6:$W$500,MATCH(Summary!$B$8,'ARG Gas Firm'!$A$6:$A$500,0),23)</f>
        <v>1711.629</v>
      </c>
      <c r="S31" s="93"/>
      <c r="T31" s="95"/>
      <c r="U31" s="95"/>
      <c r="V31" s="95"/>
      <c r="W31" s="95"/>
      <c r="X31" s="95"/>
      <c r="Y31" s="93"/>
      <c r="Z31" s="93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5"/>
      <c r="GM31" s="85"/>
      <c r="GN31" s="85"/>
      <c r="GO31" s="85"/>
      <c r="GP31" s="85"/>
      <c r="GQ31" s="85"/>
      <c r="GR31" s="85"/>
      <c r="GS31" s="85"/>
      <c r="GT31" s="85"/>
      <c r="GU31" s="85"/>
      <c r="GV31" s="85"/>
      <c r="GW31" s="85"/>
      <c r="GX31" s="85"/>
      <c r="GY31" s="85"/>
      <c r="GZ31" s="85"/>
      <c r="HA31" s="85"/>
      <c r="HB31" s="85"/>
      <c r="HC31" s="85"/>
      <c r="HD31" s="85"/>
      <c r="HE31" s="85"/>
      <c r="HF31" s="85"/>
      <c r="HG31" s="85"/>
      <c r="HH31" s="85"/>
      <c r="HI31" s="85"/>
      <c r="HJ31" s="85"/>
      <c r="HK31" s="85"/>
      <c r="HL31" s="85"/>
      <c r="HM31" s="85"/>
      <c r="HN31" s="85"/>
      <c r="HO31" s="85"/>
      <c r="HP31" s="85"/>
      <c r="HQ31" s="85"/>
      <c r="HR31" s="85"/>
      <c r="HS31" s="85"/>
      <c r="HT31" s="85"/>
      <c r="HU31" s="85"/>
      <c r="HV31" s="85"/>
      <c r="HW31" s="85"/>
      <c r="HX31" s="85"/>
      <c r="HY31" s="85"/>
      <c r="HZ31" s="85"/>
      <c r="IA31" s="85"/>
      <c r="IB31" s="85"/>
      <c r="IC31" s="85"/>
      <c r="ID31" s="85"/>
      <c r="IE31" s="85"/>
      <c r="IF31" s="85"/>
      <c r="IG31" s="85"/>
      <c r="IH31" s="85"/>
      <c r="II31" s="85"/>
      <c r="IJ31" s="85"/>
      <c r="IK31" s="85"/>
      <c r="IL31" s="85"/>
      <c r="IM31" s="85"/>
      <c r="IN31" s="85"/>
      <c r="IO31" s="85"/>
      <c r="IP31" s="85"/>
      <c r="IQ31" s="85"/>
      <c r="IR31" s="85"/>
      <c r="IS31" s="85"/>
      <c r="IT31" s="85"/>
      <c r="IU31" s="85"/>
      <c r="IV31" s="85"/>
      <c r="IW31" s="85"/>
    </row>
    <row r="32" customFormat="false" ht="24.95" hidden="false" customHeight="true" outlineLevel="0" collapsed="false">
      <c r="A32" s="4" t="s">
        <v>1</v>
      </c>
      <c r="B32" s="96" t="s">
        <v>37</v>
      </c>
      <c r="C32" s="51"/>
      <c r="D32" s="52"/>
      <c r="E32" s="83"/>
      <c r="F32" s="62"/>
      <c r="G32" s="52"/>
      <c r="H32" s="83"/>
      <c r="I32" s="63"/>
      <c r="J32" s="56"/>
      <c r="K32" s="55"/>
      <c r="L32" s="83"/>
      <c r="M32" s="57"/>
      <c r="N32" s="65" t="n">
        <f aca="false">INDEX('ARG Gas Transport'!$A$6:$W$500,MATCH(Summary!$B$8,'ARG Gas Transport'!$A$6:$A$500,0),19)</f>
        <v>0.001</v>
      </c>
      <c r="O32" s="65" t="n">
        <f aca="false">'ARG Gas Transport'!T$3</f>
        <v>0.003</v>
      </c>
      <c r="P32" s="65" t="n">
        <f aca="false">INDEX('ARG Gas Transport'!$A$6:$W$500,MATCH(Summary!$B$8,'ARG Gas IM'!$A$6:$A$500,0),21)</f>
        <v>0.001</v>
      </c>
      <c r="Q32" s="65" t="n">
        <f aca="false">INDEX('ARG Gas Transport'!$A$6:$W$500,MATCH(Summary!$B$8,'ARG Gas Transport'!$A$6:$A$500,0),22)</f>
        <v>-114.718</v>
      </c>
      <c r="R32" s="97" t="n">
        <f aca="false">INDEX('ARG Gas Transport'!$A$6:$W$500,MATCH(Summary!$B$8,'ARG Gas Transport'!$A$6:$A$500,0),23)</f>
        <v>-1648.786</v>
      </c>
      <c r="S32" s="63"/>
      <c r="T32" s="59"/>
      <c r="U32" s="59"/>
      <c r="V32" s="59"/>
      <c r="W32" s="59"/>
      <c r="X32" s="59"/>
      <c r="Y32" s="60"/>
      <c r="Z32" s="63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  <c r="FF32" s="55"/>
      <c r="FG32" s="55"/>
      <c r="FH32" s="55"/>
      <c r="FI32" s="55"/>
      <c r="FJ32" s="55"/>
      <c r="FK32" s="55"/>
      <c r="FL32" s="55"/>
      <c r="FM32" s="55"/>
      <c r="FN32" s="55"/>
      <c r="FO32" s="55"/>
      <c r="FP32" s="55"/>
      <c r="FQ32" s="55"/>
      <c r="FR32" s="55"/>
      <c r="FS32" s="55"/>
      <c r="FT32" s="55"/>
      <c r="FU32" s="55"/>
      <c r="FV32" s="55"/>
      <c r="FW32" s="55"/>
      <c r="FX32" s="55"/>
      <c r="FY32" s="55"/>
      <c r="FZ32" s="55"/>
      <c r="GA32" s="55"/>
      <c r="GB32" s="55"/>
      <c r="GC32" s="55"/>
      <c r="GD32" s="55"/>
      <c r="GE32" s="55"/>
      <c r="GF32" s="55"/>
      <c r="GG32" s="55"/>
      <c r="GH32" s="55"/>
      <c r="GI32" s="55"/>
      <c r="GJ32" s="55"/>
      <c r="GK32" s="55"/>
      <c r="GL32" s="55"/>
      <c r="GM32" s="55"/>
      <c r="GN32" s="55"/>
      <c r="GO32" s="55"/>
      <c r="GP32" s="55"/>
      <c r="GQ32" s="55"/>
      <c r="GR32" s="55"/>
      <c r="GS32" s="55"/>
      <c r="GT32" s="55"/>
      <c r="GU32" s="55"/>
      <c r="GV32" s="55"/>
      <c r="GW32" s="55"/>
      <c r="GX32" s="55"/>
      <c r="GY32" s="55"/>
      <c r="GZ32" s="55"/>
      <c r="HA32" s="55"/>
      <c r="HB32" s="55"/>
      <c r="HC32" s="55"/>
      <c r="HD32" s="55"/>
      <c r="HE32" s="55"/>
      <c r="HF32" s="55"/>
      <c r="HG32" s="55"/>
      <c r="HH32" s="55"/>
      <c r="HI32" s="55"/>
      <c r="HJ32" s="55"/>
      <c r="HK32" s="55"/>
      <c r="HL32" s="55"/>
      <c r="HM32" s="55"/>
      <c r="HN32" s="55"/>
      <c r="HO32" s="55"/>
      <c r="HP32" s="55"/>
      <c r="HQ32" s="55"/>
      <c r="HR32" s="55"/>
      <c r="HS32" s="55"/>
      <c r="HT32" s="55"/>
      <c r="HU32" s="55"/>
      <c r="HV32" s="55"/>
      <c r="HW32" s="55"/>
      <c r="HX32" s="55"/>
      <c r="HY32" s="55"/>
      <c r="HZ32" s="55"/>
      <c r="IA32" s="55"/>
      <c r="IB32" s="55"/>
      <c r="IC32" s="55"/>
      <c r="ID32" s="55"/>
      <c r="IE32" s="55"/>
      <c r="IF32" s="55"/>
      <c r="IG32" s="55"/>
      <c r="IH32" s="55"/>
      <c r="II32" s="55"/>
      <c r="IJ32" s="55"/>
      <c r="IK32" s="55"/>
      <c r="IL32" s="55"/>
      <c r="IM32" s="55"/>
      <c r="IN32" s="55"/>
      <c r="IO32" s="55"/>
      <c r="IP32" s="55"/>
      <c r="IQ32" s="55"/>
      <c r="IR32" s="55"/>
      <c r="IS32" s="55"/>
      <c r="IT32" s="55"/>
      <c r="IU32" s="55"/>
      <c r="IV32" s="55"/>
      <c r="IW32" s="55"/>
    </row>
    <row r="33" customFormat="false" ht="8.25" hidden="false" customHeight="true" outlineLevel="0" collapsed="false">
      <c r="A33" s="4" t="s">
        <v>1</v>
      </c>
      <c r="B33" s="69"/>
      <c r="C33" s="42"/>
      <c r="D33" s="43"/>
      <c r="E33" s="44"/>
      <c r="F33" s="45"/>
      <c r="G33" s="43"/>
      <c r="H33" s="44"/>
      <c r="I33" s="44"/>
      <c r="J33" s="44"/>
      <c r="K33" s="44"/>
      <c r="L33" s="47"/>
      <c r="M33" s="45"/>
      <c r="N33" s="47"/>
      <c r="O33" s="47"/>
      <c r="P33" s="47"/>
      <c r="Q33" s="47"/>
      <c r="R33" s="47"/>
      <c r="S33" s="27"/>
      <c r="T33" s="49"/>
      <c r="U33" s="49"/>
      <c r="V33" s="49"/>
      <c r="W33" s="49"/>
      <c r="X33" s="49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</row>
    <row r="34" customFormat="false" ht="24.75" hidden="false" customHeight="true" outlineLevel="0" collapsed="false">
      <c r="A34" s="4" t="s">
        <v>1</v>
      </c>
      <c r="B34" s="81" t="s">
        <v>38</v>
      </c>
      <c r="C34" s="78"/>
      <c r="D34" s="52"/>
      <c r="E34" s="53"/>
      <c r="F34" s="62"/>
      <c r="G34" s="52"/>
      <c r="H34" s="53"/>
      <c r="I34" s="63"/>
      <c r="J34" s="56"/>
      <c r="K34" s="55" t="s">
        <v>21</v>
      </c>
      <c r="L34" s="82"/>
      <c r="M34" s="57"/>
      <c r="N34" s="65" t="n">
        <v>0</v>
      </c>
      <c r="O34" s="65" t="n">
        <v>0</v>
      </c>
      <c r="P34" s="65" t="n">
        <f aca="false">SUM(P35:P36)</f>
        <v>0</v>
      </c>
      <c r="Q34" s="65" t="n">
        <f aca="false">SUM(Q35:Q36)</f>
        <v>0</v>
      </c>
      <c r="R34" s="65" t="n">
        <f aca="false">SUM(R35:R36)</f>
        <v>0</v>
      </c>
      <c r="S34" s="60"/>
      <c r="T34" s="59"/>
      <c r="U34" s="59"/>
      <c r="V34" s="59"/>
      <c r="W34" s="59"/>
      <c r="X34" s="59"/>
      <c r="Y34" s="60"/>
      <c r="Z34" s="60"/>
      <c r="AA34" s="78"/>
      <c r="AB34" s="78"/>
      <c r="AC34" s="78"/>
      <c r="AD34" s="78"/>
      <c r="AE34" s="78"/>
      <c r="AF34" s="78"/>
      <c r="AG34" s="78"/>
      <c r="AH34" s="78"/>
      <c r="AI34" s="78"/>
      <c r="AJ34" s="85"/>
      <c r="AK34" s="85"/>
      <c r="AL34" s="85"/>
      <c r="AM34" s="85"/>
      <c r="AN34" s="85"/>
      <c r="AO34" s="85"/>
      <c r="AP34" s="85"/>
      <c r="AQ34" s="85"/>
      <c r="AR34" s="85"/>
      <c r="AS34" s="85"/>
      <c r="AT34" s="85"/>
      <c r="AU34" s="85"/>
      <c r="AV34" s="85"/>
      <c r="AW34" s="85"/>
      <c r="AX34" s="85"/>
      <c r="AY34" s="85"/>
      <c r="AZ34" s="85"/>
      <c r="BA34" s="85"/>
      <c r="BB34" s="85"/>
      <c r="BC34" s="85"/>
      <c r="BD34" s="85"/>
      <c r="BE34" s="85"/>
      <c r="BF34" s="85"/>
      <c r="BG34" s="85"/>
      <c r="BH34" s="85"/>
      <c r="BI34" s="85"/>
      <c r="BJ34" s="85"/>
      <c r="BK34" s="85"/>
      <c r="BL34" s="85"/>
      <c r="BM34" s="85"/>
      <c r="BN34" s="85"/>
      <c r="BO34" s="85"/>
      <c r="BP34" s="85"/>
      <c r="BQ34" s="85"/>
      <c r="BR34" s="85"/>
      <c r="BS34" s="85"/>
      <c r="BT34" s="85"/>
      <c r="BU34" s="85"/>
      <c r="BV34" s="85"/>
      <c r="BW34" s="85"/>
      <c r="BX34" s="85"/>
      <c r="BY34" s="85"/>
      <c r="BZ34" s="85"/>
      <c r="CA34" s="85"/>
      <c r="CB34" s="85"/>
      <c r="CC34" s="85"/>
      <c r="CD34" s="85"/>
      <c r="CE34" s="85"/>
      <c r="CF34" s="85"/>
      <c r="CG34" s="85"/>
      <c r="CH34" s="85"/>
      <c r="CI34" s="85"/>
      <c r="CJ34" s="85"/>
      <c r="CK34" s="85"/>
      <c r="CL34" s="85"/>
      <c r="CM34" s="85"/>
      <c r="CN34" s="85"/>
      <c r="CO34" s="85"/>
      <c r="CP34" s="85"/>
      <c r="CQ34" s="85"/>
      <c r="CR34" s="85"/>
      <c r="CS34" s="85"/>
      <c r="CT34" s="85"/>
      <c r="CU34" s="85"/>
      <c r="CV34" s="85"/>
      <c r="CW34" s="85"/>
      <c r="CX34" s="85"/>
      <c r="CY34" s="85"/>
      <c r="CZ34" s="85"/>
      <c r="DA34" s="85"/>
      <c r="DB34" s="85"/>
      <c r="DC34" s="85"/>
      <c r="DD34" s="85"/>
      <c r="DE34" s="85"/>
      <c r="DF34" s="85"/>
      <c r="DG34" s="85"/>
      <c r="DH34" s="85"/>
      <c r="DI34" s="85"/>
      <c r="DJ34" s="85"/>
      <c r="DK34" s="85"/>
      <c r="DL34" s="85"/>
      <c r="DM34" s="85"/>
      <c r="DN34" s="85"/>
      <c r="DO34" s="85"/>
      <c r="DP34" s="85"/>
      <c r="DQ34" s="85"/>
      <c r="DR34" s="85"/>
      <c r="DS34" s="85"/>
      <c r="DT34" s="85"/>
      <c r="DU34" s="85"/>
      <c r="DV34" s="85"/>
      <c r="DW34" s="85"/>
      <c r="DX34" s="85"/>
      <c r="DY34" s="85"/>
      <c r="DZ34" s="85"/>
      <c r="EA34" s="85"/>
      <c r="EB34" s="85"/>
      <c r="EC34" s="85"/>
      <c r="ED34" s="85"/>
      <c r="EE34" s="85"/>
      <c r="EF34" s="85"/>
      <c r="EG34" s="85"/>
      <c r="EH34" s="85"/>
      <c r="EI34" s="85"/>
      <c r="EJ34" s="85"/>
      <c r="EK34" s="85"/>
      <c r="EL34" s="85"/>
      <c r="EM34" s="85"/>
      <c r="EN34" s="85"/>
      <c r="EO34" s="85"/>
      <c r="EP34" s="85"/>
      <c r="EQ34" s="85"/>
      <c r="ER34" s="85"/>
      <c r="ES34" s="85"/>
      <c r="ET34" s="85"/>
      <c r="EU34" s="85"/>
      <c r="EV34" s="85"/>
      <c r="EW34" s="85"/>
      <c r="EX34" s="85"/>
      <c r="EY34" s="85"/>
      <c r="EZ34" s="85"/>
      <c r="FA34" s="85"/>
      <c r="FB34" s="85"/>
      <c r="FC34" s="85"/>
      <c r="FD34" s="85"/>
      <c r="FE34" s="85"/>
      <c r="FF34" s="85"/>
      <c r="FG34" s="85"/>
      <c r="FH34" s="85"/>
      <c r="FI34" s="85"/>
      <c r="FJ34" s="85"/>
      <c r="FK34" s="85"/>
      <c r="FL34" s="85"/>
      <c r="FM34" s="85"/>
      <c r="FN34" s="85"/>
      <c r="FO34" s="85"/>
      <c r="FP34" s="85"/>
      <c r="FQ34" s="85"/>
      <c r="FR34" s="85"/>
      <c r="FS34" s="85"/>
      <c r="FT34" s="85"/>
      <c r="FU34" s="85"/>
      <c r="FV34" s="85"/>
      <c r="FW34" s="85"/>
      <c r="FX34" s="85"/>
      <c r="FY34" s="85"/>
      <c r="FZ34" s="85"/>
      <c r="GA34" s="85"/>
      <c r="GB34" s="85"/>
      <c r="GC34" s="85"/>
      <c r="GD34" s="85"/>
      <c r="GE34" s="85"/>
      <c r="GF34" s="85"/>
      <c r="GG34" s="85"/>
      <c r="GH34" s="85"/>
      <c r="GI34" s="85"/>
      <c r="GJ34" s="85"/>
      <c r="GK34" s="85"/>
      <c r="GL34" s="85"/>
      <c r="GM34" s="85"/>
      <c r="GN34" s="85"/>
      <c r="GO34" s="85"/>
      <c r="GP34" s="85"/>
      <c r="GQ34" s="85"/>
      <c r="GR34" s="85"/>
      <c r="GS34" s="85"/>
      <c r="GT34" s="85"/>
      <c r="GU34" s="85"/>
      <c r="GV34" s="85"/>
      <c r="GW34" s="85"/>
      <c r="GX34" s="85"/>
      <c r="GY34" s="85"/>
      <c r="GZ34" s="85"/>
      <c r="HA34" s="85"/>
      <c r="HB34" s="85"/>
      <c r="HC34" s="85"/>
      <c r="HD34" s="85"/>
      <c r="HE34" s="85"/>
      <c r="HF34" s="85"/>
      <c r="HG34" s="85"/>
      <c r="HH34" s="85"/>
      <c r="HI34" s="85"/>
      <c r="HJ34" s="85"/>
      <c r="HK34" s="85"/>
      <c r="HL34" s="85"/>
      <c r="HM34" s="85"/>
      <c r="HN34" s="85"/>
      <c r="HO34" s="85"/>
      <c r="HP34" s="85"/>
      <c r="HQ34" s="85"/>
      <c r="HR34" s="85"/>
      <c r="HS34" s="85"/>
      <c r="HT34" s="85"/>
      <c r="HU34" s="85"/>
      <c r="HV34" s="85"/>
      <c r="HW34" s="85"/>
      <c r="HX34" s="85"/>
      <c r="HY34" s="85"/>
      <c r="HZ34" s="85"/>
      <c r="IA34" s="85"/>
      <c r="IB34" s="85"/>
      <c r="IC34" s="85"/>
      <c r="ID34" s="85"/>
      <c r="IE34" s="85"/>
      <c r="IF34" s="85"/>
      <c r="IG34" s="85"/>
      <c r="IH34" s="85"/>
      <c r="II34" s="85"/>
      <c r="IJ34" s="85"/>
      <c r="IK34" s="85"/>
      <c r="IL34" s="85"/>
      <c r="IM34" s="85"/>
      <c r="IN34" s="85"/>
      <c r="IO34" s="85"/>
      <c r="IP34" s="85"/>
      <c r="IQ34" s="85"/>
      <c r="IR34" s="85"/>
      <c r="IS34" s="85"/>
      <c r="IT34" s="85"/>
      <c r="IU34" s="85"/>
      <c r="IV34" s="85"/>
      <c r="IW34" s="85"/>
    </row>
    <row r="35" customFormat="false" ht="21.75" hidden="true" customHeight="true" outlineLevel="0" collapsed="false">
      <c r="A35" s="4" t="s">
        <v>34</v>
      </c>
      <c r="B35" s="84"/>
      <c r="C35" s="85"/>
      <c r="D35" s="86" t="s">
        <v>21</v>
      </c>
      <c r="E35" s="87"/>
      <c r="F35" s="88"/>
      <c r="G35" s="86" t="s">
        <v>21</v>
      </c>
      <c r="H35" s="87"/>
      <c r="I35" s="85"/>
      <c r="J35" s="89" t="s">
        <v>21</v>
      </c>
      <c r="K35" s="85"/>
      <c r="L35" s="87"/>
      <c r="M35" s="90"/>
      <c r="N35" s="91" t="n">
        <v>0</v>
      </c>
      <c r="O35" s="91" t="n">
        <v>0</v>
      </c>
      <c r="P35" s="91" t="n">
        <v>0</v>
      </c>
      <c r="Q35" s="91" t="n">
        <v>0</v>
      </c>
      <c r="R35" s="92" t="n">
        <v>0</v>
      </c>
      <c r="S35" s="93"/>
      <c r="T35" s="95"/>
      <c r="U35" s="95"/>
      <c r="V35" s="95"/>
      <c r="W35" s="95"/>
      <c r="X35" s="95"/>
      <c r="Y35" s="93"/>
      <c r="Z35" s="93"/>
      <c r="AA35" s="85"/>
      <c r="AB35" s="85"/>
      <c r="AC35" s="85"/>
      <c r="AD35" s="85"/>
      <c r="AE35" s="85"/>
      <c r="AF35" s="85"/>
      <c r="AG35" s="85"/>
      <c r="AH35" s="85"/>
      <c r="AI35" s="85"/>
      <c r="AJ35" s="85"/>
      <c r="AK35" s="85"/>
      <c r="AL35" s="85"/>
      <c r="AM35" s="85"/>
      <c r="AN35" s="85"/>
      <c r="AO35" s="85"/>
      <c r="AP35" s="85"/>
      <c r="AQ35" s="85"/>
      <c r="AR35" s="85"/>
      <c r="AS35" s="85"/>
      <c r="AT35" s="85"/>
      <c r="AU35" s="85"/>
      <c r="AV35" s="85"/>
      <c r="AW35" s="85"/>
      <c r="AX35" s="85"/>
      <c r="AY35" s="85"/>
      <c r="AZ35" s="85"/>
      <c r="BA35" s="85"/>
      <c r="BB35" s="85"/>
      <c r="BC35" s="85"/>
      <c r="BD35" s="85"/>
      <c r="BE35" s="85"/>
      <c r="BF35" s="85"/>
      <c r="BG35" s="85"/>
      <c r="BH35" s="85"/>
      <c r="BI35" s="85"/>
      <c r="BJ35" s="85"/>
      <c r="BK35" s="85"/>
      <c r="BL35" s="85"/>
      <c r="BM35" s="85"/>
      <c r="BN35" s="85"/>
      <c r="BO35" s="85"/>
      <c r="BP35" s="85"/>
      <c r="BQ35" s="85"/>
      <c r="BR35" s="85"/>
      <c r="BS35" s="85"/>
      <c r="BT35" s="85"/>
      <c r="BU35" s="85"/>
      <c r="BV35" s="85"/>
      <c r="BW35" s="85"/>
      <c r="BX35" s="85"/>
      <c r="BY35" s="85"/>
      <c r="BZ35" s="85"/>
      <c r="CA35" s="85"/>
      <c r="CB35" s="85"/>
      <c r="CC35" s="85"/>
      <c r="CD35" s="85"/>
      <c r="CE35" s="85"/>
      <c r="CF35" s="85"/>
      <c r="CG35" s="85"/>
      <c r="CH35" s="85"/>
      <c r="CI35" s="85"/>
      <c r="CJ35" s="85"/>
      <c r="CK35" s="85"/>
      <c r="CL35" s="85"/>
      <c r="CM35" s="85"/>
      <c r="CN35" s="85"/>
      <c r="CO35" s="85"/>
      <c r="CP35" s="85"/>
      <c r="CQ35" s="85"/>
      <c r="CR35" s="85"/>
      <c r="CS35" s="85"/>
      <c r="CT35" s="85"/>
      <c r="CU35" s="85"/>
      <c r="CV35" s="85"/>
      <c r="CW35" s="85"/>
      <c r="CX35" s="85"/>
      <c r="CY35" s="85"/>
      <c r="CZ35" s="85"/>
      <c r="DA35" s="85"/>
      <c r="DB35" s="85"/>
      <c r="DC35" s="85"/>
      <c r="DD35" s="85"/>
      <c r="DE35" s="85"/>
      <c r="DF35" s="85"/>
      <c r="DG35" s="85"/>
      <c r="DH35" s="85"/>
      <c r="DI35" s="85"/>
      <c r="DJ35" s="85"/>
      <c r="DK35" s="85"/>
      <c r="DL35" s="85"/>
      <c r="DM35" s="85"/>
      <c r="DN35" s="85"/>
      <c r="DO35" s="85"/>
      <c r="DP35" s="85"/>
      <c r="DQ35" s="85"/>
      <c r="DR35" s="85"/>
      <c r="DS35" s="85"/>
      <c r="DT35" s="85"/>
      <c r="DU35" s="85"/>
      <c r="DV35" s="85"/>
      <c r="DW35" s="85"/>
      <c r="DX35" s="85"/>
      <c r="DY35" s="85"/>
      <c r="DZ35" s="85"/>
      <c r="EA35" s="85"/>
      <c r="EB35" s="85"/>
      <c r="EC35" s="85"/>
      <c r="ED35" s="85"/>
      <c r="EE35" s="85"/>
      <c r="EF35" s="85"/>
      <c r="EG35" s="85"/>
      <c r="EH35" s="85"/>
      <c r="EI35" s="85"/>
      <c r="EJ35" s="85"/>
      <c r="EK35" s="85"/>
      <c r="EL35" s="85"/>
      <c r="EM35" s="85"/>
      <c r="EN35" s="85"/>
      <c r="EO35" s="85"/>
      <c r="EP35" s="85"/>
      <c r="EQ35" s="85"/>
      <c r="ER35" s="85"/>
      <c r="ES35" s="85"/>
      <c r="ET35" s="85"/>
      <c r="EU35" s="85"/>
      <c r="EV35" s="85"/>
      <c r="EW35" s="85"/>
      <c r="EX35" s="85"/>
      <c r="EY35" s="85"/>
      <c r="EZ35" s="85"/>
      <c r="FA35" s="85"/>
      <c r="FB35" s="85"/>
      <c r="FC35" s="85"/>
      <c r="FD35" s="85"/>
      <c r="FE35" s="85"/>
      <c r="FF35" s="85"/>
      <c r="FG35" s="85"/>
      <c r="FH35" s="85"/>
      <c r="FI35" s="85"/>
      <c r="FJ35" s="85"/>
      <c r="FK35" s="85"/>
      <c r="FL35" s="85"/>
      <c r="FM35" s="85"/>
      <c r="FN35" s="85"/>
      <c r="FO35" s="85"/>
      <c r="FP35" s="85"/>
      <c r="FQ35" s="85"/>
      <c r="FR35" s="85"/>
      <c r="FS35" s="85"/>
      <c r="FT35" s="85"/>
      <c r="FU35" s="85"/>
      <c r="FV35" s="85"/>
      <c r="FW35" s="85"/>
      <c r="FX35" s="85"/>
      <c r="FY35" s="85"/>
      <c r="FZ35" s="85"/>
      <c r="GA35" s="85"/>
      <c r="GB35" s="85"/>
      <c r="GC35" s="85"/>
      <c r="GD35" s="85"/>
      <c r="GE35" s="85"/>
      <c r="GF35" s="85"/>
      <c r="GG35" s="85"/>
      <c r="GH35" s="85"/>
      <c r="GI35" s="85"/>
      <c r="GJ35" s="85"/>
      <c r="GK35" s="85"/>
      <c r="GL35" s="85"/>
      <c r="GM35" s="85"/>
      <c r="GN35" s="85"/>
      <c r="GO35" s="85"/>
      <c r="GP35" s="85"/>
      <c r="GQ35" s="85"/>
      <c r="GR35" s="85"/>
      <c r="GS35" s="85"/>
      <c r="GT35" s="85"/>
      <c r="GU35" s="85"/>
      <c r="GV35" s="85"/>
      <c r="GW35" s="85"/>
      <c r="GX35" s="85"/>
      <c r="GY35" s="85"/>
      <c r="GZ35" s="85"/>
      <c r="HA35" s="85"/>
      <c r="HB35" s="85"/>
      <c r="HC35" s="85"/>
      <c r="HD35" s="85"/>
      <c r="HE35" s="85"/>
      <c r="HF35" s="85"/>
      <c r="HG35" s="85"/>
      <c r="HH35" s="85"/>
      <c r="HI35" s="85"/>
      <c r="HJ35" s="85"/>
      <c r="HK35" s="85"/>
      <c r="HL35" s="85"/>
      <c r="HM35" s="85"/>
      <c r="HN35" s="85"/>
      <c r="HO35" s="85"/>
      <c r="HP35" s="85"/>
      <c r="HQ35" s="85"/>
      <c r="HR35" s="85"/>
      <c r="HS35" s="85"/>
      <c r="HT35" s="85"/>
      <c r="HU35" s="85"/>
      <c r="HV35" s="85"/>
      <c r="HW35" s="85"/>
      <c r="HX35" s="85"/>
      <c r="HY35" s="85"/>
      <c r="HZ35" s="85"/>
      <c r="IA35" s="85"/>
      <c r="IB35" s="85"/>
      <c r="IC35" s="85"/>
      <c r="ID35" s="85"/>
      <c r="IE35" s="85"/>
      <c r="IF35" s="85"/>
      <c r="IG35" s="85"/>
      <c r="IH35" s="85"/>
      <c r="II35" s="85"/>
      <c r="IJ35" s="85"/>
      <c r="IK35" s="85"/>
      <c r="IL35" s="85"/>
      <c r="IM35" s="85"/>
      <c r="IN35" s="85"/>
      <c r="IO35" s="85"/>
      <c r="IP35" s="85"/>
      <c r="IQ35" s="85"/>
      <c r="IR35" s="85"/>
      <c r="IS35" s="85"/>
      <c r="IT35" s="85"/>
      <c r="IU35" s="85"/>
      <c r="IV35" s="85"/>
      <c r="IW35" s="85"/>
    </row>
    <row r="36" customFormat="false" ht="21.75" hidden="true" customHeight="true" outlineLevel="0" collapsed="false">
      <c r="A36" s="4" t="s">
        <v>34</v>
      </c>
      <c r="B36" s="84"/>
      <c r="C36" s="85"/>
      <c r="D36" s="86" t="s">
        <v>21</v>
      </c>
      <c r="E36" s="87"/>
      <c r="F36" s="88"/>
      <c r="G36" s="86" t="s">
        <v>21</v>
      </c>
      <c r="H36" s="87"/>
      <c r="I36" s="85"/>
      <c r="J36" s="89" t="s">
        <v>21</v>
      </c>
      <c r="K36" s="85"/>
      <c r="L36" s="87"/>
      <c r="M36" s="90"/>
      <c r="N36" s="91" t="n">
        <v>0</v>
      </c>
      <c r="O36" s="91" t="n">
        <v>0</v>
      </c>
      <c r="P36" s="91" t="n">
        <v>0</v>
      </c>
      <c r="Q36" s="91" t="n">
        <v>0</v>
      </c>
      <c r="R36" s="92" t="n">
        <v>0</v>
      </c>
      <c r="S36" s="93"/>
      <c r="T36" s="93"/>
      <c r="U36" s="93"/>
      <c r="V36" s="93"/>
      <c r="W36" s="93"/>
      <c r="X36" s="93"/>
      <c r="Y36" s="93"/>
      <c r="Z36" s="93"/>
      <c r="AA36" s="85"/>
      <c r="AB36" s="85"/>
      <c r="AC36" s="85"/>
      <c r="AD36" s="85"/>
      <c r="AE36" s="85"/>
      <c r="AF36" s="85"/>
      <c r="AG36" s="85"/>
      <c r="AH36" s="85"/>
      <c r="AI36" s="85"/>
      <c r="AJ36" s="85"/>
      <c r="AK36" s="85"/>
      <c r="AL36" s="85"/>
      <c r="AM36" s="85"/>
      <c r="AN36" s="85"/>
      <c r="AO36" s="85"/>
      <c r="AP36" s="85"/>
      <c r="AQ36" s="85"/>
      <c r="AR36" s="85"/>
      <c r="AS36" s="85"/>
      <c r="AT36" s="85"/>
      <c r="AU36" s="85"/>
      <c r="AV36" s="85"/>
      <c r="AW36" s="85"/>
      <c r="AX36" s="85"/>
      <c r="AY36" s="85"/>
      <c r="AZ36" s="85"/>
      <c r="BA36" s="85"/>
      <c r="BB36" s="85"/>
      <c r="BC36" s="85"/>
      <c r="BD36" s="85"/>
      <c r="BE36" s="85"/>
      <c r="BF36" s="85"/>
      <c r="BG36" s="85"/>
      <c r="BH36" s="85"/>
      <c r="BI36" s="85"/>
      <c r="BJ36" s="85"/>
      <c r="BK36" s="85"/>
      <c r="BL36" s="85"/>
      <c r="BM36" s="85"/>
      <c r="BN36" s="85"/>
      <c r="BO36" s="85"/>
      <c r="BP36" s="85"/>
      <c r="BQ36" s="85"/>
      <c r="BR36" s="85"/>
      <c r="BS36" s="85"/>
      <c r="BT36" s="85"/>
      <c r="BU36" s="85"/>
      <c r="BV36" s="85"/>
      <c r="BW36" s="85"/>
      <c r="BX36" s="85"/>
      <c r="BY36" s="85"/>
      <c r="BZ36" s="85"/>
      <c r="CA36" s="85"/>
      <c r="CB36" s="85"/>
      <c r="CC36" s="85"/>
      <c r="CD36" s="85"/>
      <c r="CE36" s="85"/>
      <c r="CF36" s="85"/>
      <c r="CG36" s="85"/>
      <c r="CH36" s="85"/>
      <c r="CI36" s="85"/>
      <c r="CJ36" s="85"/>
      <c r="CK36" s="85"/>
      <c r="CL36" s="85"/>
      <c r="CM36" s="85"/>
      <c r="CN36" s="85"/>
      <c r="CO36" s="85"/>
      <c r="CP36" s="85"/>
      <c r="CQ36" s="85"/>
      <c r="CR36" s="85"/>
      <c r="CS36" s="85"/>
      <c r="CT36" s="85"/>
      <c r="CU36" s="85"/>
      <c r="CV36" s="85"/>
      <c r="CW36" s="85"/>
      <c r="CX36" s="85"/>
      <c r="CY36" s="85"/>
      <c r="CZ36" s="85"/>
      <c r="DA36" s="85"/>
      <c r="DB36" s="85"/>
      <c r="DC36" s="85"/>
      <c r="DD36" s="85"/>
      <c r="DE36" s="85"/>
      <c r="DF36" s="85"/>
      <c r="DG36" s="85"/>
      <c r="DH36" s="85"/>
      <c r="DI36" s="85"/>
      <c r="DJ36" s="85"/>
      <c r="DK36" s="85"/>
      <c r="DL36" s="85"/>
      <c r="DM36" s="85"/>
      <c r="DN36" s="85"/>
      <c r="DO36" s="85"/>
      <c r="DP36" s="85"/>
      <c r="DQ36" s="85"/>
      <c r="DR36" s="85"/>
      <c r="DS36" s="85"/>
      <c r="DT36" s="85"/>
      <c r="DU36" s="85"/>
      <c r="DV36" s="85"/>
      <c r="DW36" s="85"/>
      <c r="DX36" s="85"/>
      <c r="DY36" s="85"/>
      <c r="DZ36" s="85"/>
      <c r="EA36" s="85"/>
      <c r="EB36" s="85"/>
      <c r="EC36" s="85"/>
      <c r="ED36" s="85"/>
      <c r="EE36" s="85"/>
      <c r="EF36" s="85"/>
      <c r="EG36" s="85"/>
      <c r="EH36" s="85"/>
      <c r="EI36" s="85"/>
      <c r="EJ36" s="85"/>
      <c r="EK36" s="85"/>
      <c r="EL36" s="85"/>
      <c r="EM36" s="85"/>
      <c r="EN36" s="85"/>
      <c r="EO36" s="85"/>
      <c r="EP36" s="85"/>
      <c r="EQ36" s="85"/>
      <c r="ER36" s="85"/>
      <c r="ES36" s="85"/>
      <c r="ET36" s="85"/>
      <c r="EU36" s="85"/>
      <c r="EV36" s="85"/>
      <c r="EW36" s="85"/>
      <c r="EX36" s="85"/>
      <c r="EY36" s="85"/>
      <c r="EZ36" s="85"/>
      <c r="FA36" s="85"/>
      <c r="FB36" s="85"/>
      <c r="FC36" s="85"/>
      <c r="FD36" s="85"/>
      <c r="FE36" s="85"/>
      <c r="FF36" s="85"/>
      <c r="FG36" s="85"/>
      <c r="FH36" s="85"/>
      <c r="FI36" s="85"/>
      <c r="FJ36" s="85"/>
      <c r="FK36" s="85"/>
      <c r="FL36" s="85"/>
      <c r="FM36" s="85"/>
      <c r="FN36" s="85"/>
      <c r="FO36" s="85"/>
      <c r="FP36" s="85"/>
      <c r="FQ36" s="85"/>
      <c r="FR36" s="85"/>
      <c r="FS36" s="85"/>
      <c r="FT36" s="85"/>
      <c r="FU36" s="85"/>
      <c r="FV36" s="85"/>
      <c r="FW36" s="85"/>
      <c r="FX36" s="85"/>
      <c r="FY36" s="85"/>
      <c r="FZ36" s="85"/>
      <c r="GA36" s="85"/>
      <c r="GB36" s="85"/>
      <c r="GC36" s="85"/>
      <c r="GD36" s="85"/>
      <c r="GE36" s="85"/>
      <c r="GF36" s="85"/>
      <c r="GG36" s="85"/>
      <c r="GH36" s="85"/>
      <c r="GI36" s="85"/>
      <c r="GJ36" s="85"/>
      <c r="GK36" s="85"/>
      <c r="GL36" s="85"/>
      <c r="GM36" s="85"/>
      <c r="GN36" s="85"/>
      <c r="GO36" s="85"/>
      <c r="GP36" s="85"/>
      <c r="GQ36" s="85"/>
      <c r="GR36" s="85"/>
      <c r="GS36" s="85"/>
      <c r="GT36" s="85"/>
      <c r="GU36" s="85"/>
      <c r="GV36" s="85"/>
      <c r="GW36" s="85"/>
      <c r="GX36" s="85"/>
      <c r="GY36" s="85"/>
      <c r="GZ36" s="85"/>
      <c r="HA36" s="85"/>
      <c r="HB36" s="85"/>
      <c r="HC36" s="85"/>
      <c r="HD36" s="85"/>
      <c r="HE36" s="85"/>
      <c r="HF36" s="85"/>
      <c r="HG36" s="85"/>
      <c r="HH36" s="85"/>
      <c r="HI36" s="85"/>
      <c r="HJ36" s="85"/>
      <c r="HK36" s="85"/>
      <c r="HL36" s="85"/>
      <c r="HM36" s="85"/>
      <c r="HN36" s="85"/>
      <c r="HO36" s="85"/>
      <c r="HP36" s="85"/>
      <c r="HQ36" s="85"/>
      <c r="HR36" s="85"/>
      <c r="HS36" s="85"/>
      <c r="HT36" s="85"/>
      <c r="HU36" s="85"/>
      <c r="HV36" s="85"/>
      <c r="HW36" s="85"/>
      <c r="HX36" s="85"/>
      <c r="HY36" s="85"/>
      <c r="HZ36" s="85"/>
      <c r="IA36" s="85"/>
      <c r="IB36" s="85"/>
      <c r="IC36" s="85"/>
      <c r="ID36" s="85"/>
      <c r="IE36" s="85"/>
      <c r="IF36" s="85"/>
      <c r="IG36" s="85"/>
      <c r="IH36" s="85"/>
      <c r="II36" s="85"/>
      <c r="IJ36" s="85"/>
      <c r="IK36" s="85"/>
      <c r="IL36" s="85"/>
      <c r="IM36" s="85"/>
      <c r="IN36" s="85"/>
      <c r="IO36" s="85"/>
      <c r="IP36" s="85"/>
      <c r="IQ36" s="85"/>
      <c r="IR36" s="85"/>
      <c r="IS36" s="85"/>
      <c r="IT36" s="85"/>
      <c r="IU36" s="85"/>
      <c r="IV36" s="85"/>
      <c r="IW36" s="85"/>
    </row>
    <row r="37" customFormat="false" ht="21.75" hidden="false" customHeight="true" outlineLevel="0" collapsed="false">
      <c r="A37" s="4" t="s">
        <v>1</v>
      </c>
      <c r="B37" s="98"/>
      <c r="C37" s="99"/>
      <c r="D37" s="100"/>
      <c r="E37" s="101"/>
      <c r="F37" s="62"/>
      <c r="G37" s="60"/>
      <c r="H37" s="83"/>
      <c r="I37" s="63"/>
      <c r="J37" s="46"/>
      <c r="K37" s="63"/>
      <c r="L37" s="83"/>
      <c r="M37" s="57"/>
      <c r="N37" s="59"/>
      <c r="O37" s="102"/>
      <c r="P37" s="102"/>
      <c r="Q37" s="59"/>
      <c r="R37" s="59"/>
      <c r="S37" s="63"/>
      <c r="T37" s="60"/>
      <c r="U37" s="60"/>
      <c r="V37" s="60"/>
      <c r="W37" s="60"/>
      <c r="X37" s="60"/>
      <c r="Y37" s="60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  <c r="EO37" s="63"/>
      <c r="EP37" s="63"/>
      <c r="EQ37" s="63"/>
      <c r="ER37" s="63"/>
      <c r="ES37" s="63"/>
      <c r="ET37" s="63"/>
      <c r="EU37" s="63"/>
      <c r="EV37" s="63"/>
      <c r="EW37" s="63"/>
      <c r="EX37" s="63"/>
      <c r="EY37" s="63"/>
      <c r="EZ37" s="63"/>
      <c r="FA37" s="63"/>
      <c r="FB37" s="63"/>
      <c r="FC37" s="63"/>
      <c r="FD37" s="63"/>
      <c r="FE37" s="63"/>
      <c r="FF37" s="63"/>
      <c r="FG37" s="63"/>
      <c r="FH37" s="63"/>
      <c r="FI37" s="63"/>
      <c r="FJ37" s="63"/>
      <c r="FK37" s="63"/>
      <c r="FL37" s="63"/>
      <c r="FM37" s="63"/>
      <c r="FN37" s="63"/>
      <c r="FO37" s="63"/>
      <c r="FP37" s="63"/>
      <c r="FQ37" s="63"/>
      <c r="FR37" s="63"/>
      <c r="FS37" s="63"/>
      <c r="FT37" s="63"/>
      <c r="FU37" s="63"/>
      <c r="FV37" s="63"/>
      <c r="FW37" s="63"/>
      <c r="FX37" s="63"/>
      <c r="FY37" s="63"/>
      <c r="FZ37" s="63"/>
      <c r="GA37" s="63"/>
      <c r="GB37" s="63"/>
      <c r="GC37" s="63"/>
      <c r="GD37" s="63"/>
      <c r="GE37" s="63"/>
      <c r="GF37" s="63"/>
      <c r="GG37" s="63"/>
      <c r="GH37" s="63"/>
      <c r="GI37" s="63"/>
      <c r="GJ37" s="63"/>
      <c r="GK37" s="63"/>
      <c r="GL37" s="63"/>
      <c r="GM37" s="63"/>
      <c r="GN37" s="63"/>
      <c r="GO37" s="63"/>
      <c r="GP37" s="63"/>
      <c r="GQ37" s="63"/>
      <c r="GR37" s="63"/>
      <c r="GS37" s="63"/>
      <c r="GT37" s="63"/>
      <c r="GU37" s="63"/>
      <c r="GV37" s="63"/>
      <c r="GW37" s="63"/>
      <c r="GX37" s="63"/>
      <c r="GY37" s="63"/>
      <c r="GZ37" s="63"/>
      <c r="HA37" s="63"/>
      <c r="HB37" s="63"/>
      <c r="HC37" s="63"/>
      <c r="HD37" s="63"/>
      <c r="HE37" s="63"/>
      <c r="HF37" s="63"/>
      <c r="HG37" s="63"/>
      <c r="HH37" s="63"/>
      <c r="HI37" s="63"/>
      <c r="HJ37" s="63"/>
      <c r="HK37" s="63"/>
      <c r="HL37" s="63"/>
      <c r="HM37" s="63"/>
      <c r="HN37" s="63"/>
      <c r="HO37" s="63"/>
      <c r="HP37" s="63"/>
      <c r="HQ37" s="63"/>
      <c r="HR37" s="63"/>
      <c r="HS37" s="63"/>
      <c r="HT37" s="63"/>
      <c r="HU37" s="63"/>
      <c r="HV37" s="63"/>
      <c r="HW37" s="63"/>
      <c r="HX37" s="63"/>
      <c r="HY37" s="63"/>
      <c r="HZ37" s="63"/>
      <c r="IA37" s="63"/>
      <c r="IB37" s="63"/>
      <c r="IC37" s="63"/>
      <c r="ID37" s="63"/>
      <c r="IE37" s="63"/>
      <c r="IF37" s="63"/>
      <c r="IG37" s="63"/>
      <c r="IH37" s="63"/>
      <c r="II37" s="63"/>
      <c r="IJ37" s="63"/>
      <c r="IK37" s="63"/>
      <c r="IL37" s="63"/>
      <c r="IM37" s="63"/>
      <c r="IN37" s="63"/>
      <c r="IO37" s="63"/>
      <c r="IP37" s="63"/>
      <c r="IQ37" s="63"/>
      <c r="IR37" s="63"/>
      <c r="IS37" s="63"/>
      <c r="IT37" s="63"/>
      <c r="IU37" s="63"/>
      <c r="IV37" s="63"/>
      <c r="IW37" s="63"/>
    </row>
    <row r="38" customFormat="false" ht="21.75" hidden="true" customHeight="true" outlineLevel="0" collapsed="false">
      <c r="A38" s="4"/>
      <c r="B38" s="98"/>
      <c r="C38" s="99"/>
      <c r="D38" s="100"/>
      <c r="E38" s="83"/>
      <c r="F38" s="62"/>
      <c r="G38" s="60"/>
      <c r="H38" s="83"/>
      <c r="I38" s="63"/>
      <c r="J38" s="46"/>
      <c r="K38" s="63"/>
      <c r="L38" s="83"/>
      <c r="M38" s="57"/>
      <c r="N38" s="59"/>
      <c r="O38" s="102"/>
      <c r="P38" s="102"/>
      <c r="Q38" s="59"/>
      <c r="R38" s="59"/>
      <c r="S38" s="63"/>
      <c r="T38" s="60"/>
      <c r="U38" s="60"/>
      <c r="V38" s="60"/>
      <c r="W38" s="60"/>
      <c r="X38" s="60"/>
      <c r="Y38" s="60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  <c r="DZ38" s="63"/>
      <c r="EA38" s="63"/>
      <c r="EB38" s="63"/>
      <c r="EC38" s="63"/>
      <c r="ED38" s="63"/>
      <c r="EE38" s="63"/>
      <c r="EF38" s="63"/>
      <c r="EG38" s="63"/>
      <c r="EH38" s="63"/>
      <c r="EI38" s="63"/>
      <c r="EJ38" s="63"/>
      <c r="EK38" s="63"/>
      <c r="EL38" s="63"/>
      <c r="EM38" s="63"/>
      <c r="EN38" s="63"/>
      <c r="EO38" s="63"/>
      <c r="EP38" s="63"/>
      <c r="EQ38" s="63"/>
      <c r="ER38" s="63"/>
      <c r="ES38" s="63"/>
      <c r="ET38" s="63"/>
      <c r="EU38" s="63"/>
      <c r="EV38" s="63"/>
      <c r="EW38" s="63"/>
      <c r="EX38" s="63"/>
      <c r="EY38" s="63"/>
      <c r="EZ38" s="63"/>
      <c r="FA38" s="63"/>
      <c r="FB38" s="63"/>
      <c r="FC38" s="63"/>
      <c r="FD38" s="63"/>
      <c r="FE38" s="63"/>
      <c r="FF38" s="63"/>
      <c r="FG38" s="63"/>
      <c r="FH38" s="63"/>
      <c r="FI38" s="63"/>
      <c r="FJ38" s="63"/>
      <c r="FK38" s="63"/>
      <c r="FL38" s="63"/>
      <c r="FM38" s="63"/>
      <c r="FN38" s="63"/>
      <c r="FO38" s="63"/>
      <c r="FP38" s="63"/>
      <c r="FQ38" s="63"/>
      <c r="FR38" s="63"/>
      <c r="FS38" s="63"/>
      <c r="FT38" s="63"/>
      <c r="FU38" s="63"/>
      <c r="FV38" s="63"/>
      <c r="FW38" s="63"/>
      <c r="FX38" s="63"/>
      <c r="FY38" s="63"/>
      <c r="FZ38" s="63"/>
      <c r="GA38" s="63"/>
      <c r="GB38" s="63"/>
      <c r="GC38" s="63"/>
      <c r="GD38" s="63"/>
      <c r="GE38" s="63"/>
      <c r="GF38" s="63"/>
      <c r="GG38" s="63"/>
      <c r="GH38" s="63"/>
      <c r="GI38" s="63"/>
      <c r="GJ38" s="63"/>
      <c r="GK38" s="63"/>
      <c r="GL38" s="63"/>
      <c r="GM38" s="63"/>
      <c r="GN38" s="63"/>
      <c r="GO38" s="63"/>
      <c r="GP38" s="63"/>
      <c r="GQ38" s="63"/>
      <c r="GR38" s="63"/>
      <c r="GS38" s="63"/>
      <c r="GT38" s="63"/>
      <c r="GU38" s="63"/>
      <c r="GV38" s="63"/>
      <c r="GW38" s="63"/>
      <c r="GX38" s="63"/>
      <c r="GY38" s="63"/>
      <c r="GZ38" s="63"/>
      <c r="HA38" s="63"/>
      <c r="HB38" s="63"/>
      <c r="HC38" s="63"/>
      <c r="HD38" s="63"/>
      <c r="HE38" s="63"/>
      <c r="HF38" s="63"/>
      <c r="HG38" s="63"/>
      <c r="HH38" s="63"/>
      <c r="HI38" s="63"/>
      <c r="HJ38" s="63"/>
      <c r="HK38" s="63"/>
      <c r="HL38" s="63"/>
      <c r="HM38" s="63"/>
      <c r="HN38" s="63"/>
      <c r="HO38" s="63"/>
      <c r="HP38" s="63"/>
      <c r="HQ38" s="63"/>
      <c r="HR38" s="63"/>
      <c r="HS38" s="63"/>
      <c r="HT38" s="63"/>
      <c r="HU38" s="63"/>
      <c r="HV38" s="63"/>
      <c r="HW38" s="63"/>
      <c r="HX38" s="63"/>
      <c r="HY38" s="63"/>
      <c r="HZ38" s="63"/>
      <c r="IA38" s="63"/>
      <c r="IB38" s="63"/>
      <c r="IC38" s="63"/>
      <c r="ID38" s="63"/>
      <c r="IE38" s="63"/>
      <c r="IF38" s="63"/>
      <c r="IG38" s="63"/>
      <c r="IH38" s="63"/>
      <c r="II38" s="63"/>
      <c r="IJ38" s="63"/>
      <c r="IK38" s="63"/>
      <c r="IL38" s="63"/>
      <c r="IM38" s="63"/>
      <c r="IN38" s="63"/>
      <c r="IO38" s="63"/>
      <c r="IP38" s="63"/>
      <c r="IQ38" s="63"/>
      <c r="IR38" s="63"/>
      <c r="IS38" s="63"/>
      <c r="IT38" s="63"/>
      <c r="IU38" s="63"/>
      <c r="IV38" s="63"/>
      <c r="IW38" s="63"/>
    </row>
    <row r="39" customFormat="false" ht="29.25" hidden="false" customHeight="true" outlineLevel="0" collapsed="false">
      <c r="A39" s="4" t="s">
        <v>1</v>
      </c>
      <c r="B39" s="76" t="s">
        <v>39</v>
      </c>
      <c r="C39" s="42"/>
      <c r="D39" s="43"/>
      <c r="E39" s="44"/>
      <c r="F39" s="45"/>
      <c r="G39" s="43"/>
      <c r="H39" s="44"/>
      <c r="I39" s="44"/>
      <c r="J39" s="67" t="n">
        <f aca="false">INDEX('RAC V@r Total'!$A$6:$Z$500,MATCH(Summary!$B$8,'RAC V@r Total'!$A$6:$A$500,0),23)</f>
        <v>370.4959535</v>
      </c>
      <c r="K39" s="44"/>
      <c r="L39" s="47"/>
      <c r="M39" s="45"/>
      <c r="N39" s="48" t="n">
        <f aca="false">N41+N48</f>
        <v>2969.92175663184</v>
      </c>
      <c r="O39" s="48" t="n">
        <f aca="false">O41+O48</f>
        <v>3119.89515444675</v>
      </c>
      <c r="P39" s="48" t="n">
        <f aca="false">P41+P48</f>
        <v>2969.92175663184</v>
      </c>
      <c r="Q39" s="48" t="n">
        <f aca="false">Q41+Q48</f>
        <v>2592.37442443483</v>
      </c>
      <c r="R39" s="48" t="n">
        <f aca="false">R41+R48</f>
        <v>27101.0648804911</v>
      </c>
      <c r="S39" s="27"/>
      <c r="T39" s="49"/>
      <c r="U39" s="49"/>
      <c r="V39" s="49"/>
      <c r="W39" s="49"/>
      <c r="X39" s="49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</row>
    <row r="40" customFormat="false" ht="8.25" hidden="false" customHeight="true" outlineLevel="0" collapsed="false">
      <c r="A40" s="4" t="s">
        <v>1</v>
      </c>
      <c r="B40" s="69"/>
      <c r="C40" s="42"/>
      <c r="D40" s="43"/>
      <c r="E40" s="44"/>
      <c r="F40" s="45"/>
      <c r="G40" s="43"/>
      <c r="H40" s="44"/>
      <c r="I40" s="44"/>
      <c r="J40" s="44"/>
      <c r="K40" s="44"/>
      <c r="L40" s="47"/>
      <c r="M40" s="45"/>
      <c r="N40" s="47"/>
      <c r="O40" s="47"/>
      <c r="P40" s="47"/>
      <c r="Q40" s="47"/>
      <c r="R40" s="47"/>
      <c r="S40" s="27"/>
      <c r="T40" s="59"/>
      <c r="U40" s="59"/>
      <c r="V40" s="59"/>
      <c r="W40" s="59"/>
      <c r="X40" s="59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</row>
    <row r="41" customFormat="false" ht="30" hidden="false" customHeight="true" outlineLevel="0" collapsed="false">
      <c r="A41" s="4" t="s">
        <v>1</v>
      </c>
      <c r="B41" s="77" t="s">
        <v>32</v>
      </c>
      <c r="C41" s="51"/>
      <c r="D41" s="71" t="n">
        <f aca="false">D42+D45</f>
        <v>1.73818441863534</v>
      </c>
      <c r="E41" s="53"/>
      <c r="F41" s="51"/>
      <c r="G41" s="75" t="n">
        <f aca="false">INDEX('Arg Total Power'!$A$6:$W$500,MATCH(Summary!$B$8,'Arg Total Power'!$A$6:$A$500,0),17)</f>
        <v>0.424569202671919</v>
      </c>
      <c r="H41" s="82"/>
      <c r="I41" s="55"/>
      <c r="J41" s="67" t="n">
        <f aca="false">INDEX('RAC V@r Total'!$A$6:$Z$500,MATCH(Summary!$B$8,'RAC V@r Total'!$A$6:$A$500,0),19)</f>
        <v>437.62497</v>
      </c>
      <c r="K41" s="55"/>
      <c r="L41" s="79"/>
      <c r="M41" s="51"/>
      <c r="N41" s="80" t="n">
        <f aca="false">N42+N45</f>
        <v>-3.441</v>
      </c>
      <c r="O41" s="80" t="n">
        <f aca="false">O42+O45</f>
        <v>92.899</v>
      </c>
      <c r="P41" s="80" t="n">
        <f aca="false">P42+P45</f>
        <v>-3.441</v>
      </c>
      <c r="Q41" s="80" t="n">
        <f aca="false">Q42+Q45</f>
        <v>346.44</v>
      </c>
      <c r="R41" s="80" t="n">
        <f aca="false">R42+R45+R46</f>
        <v>2168.5687604178</v>
      </c>
      <c r="S41" s="103"/>
      <c r="T41" s="59"/>
      <c r="U41" s="59"/>
      <c r="V41" s="59"/>
      <c r="W41" s="59"/>
      <c r="X41" s="59"/>
      <c r="Y41" s="60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5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55"/>
      <c r="CA41" s="55"/>
      <c r="CB41" s="55"/>
      <c r="CC41" s="55"/>
      <c r="CD41" s="55"/>
      <c r="CE41" s="55"/>
      <c r="CF41" s="55"/>
      <c r="CG41" s="55"/>
      <c r="CH41" s="55"/>
      <c r="CI41" s="55"/>
      <c r="CJ41" s="55"/>
      <c r="CK41" s="55"/>
      <c r="CL41" s="55"/>
      <c r="CM41" s="55"/>
      <c r="CN41" s="55"/>
      <c r="CO41" s="55"/>
      <c r="CP41" s="55"/>
      <c r="CQ41" s="55"/>
      <c r="CR41" s="55"/>
      <c r="CS41" s="55"/>
      <c r="CT41" s="55"/>
      <c r="CU41" s="55"/>
      <c r="CV41" s="55"/>
      <c r="CW41" s="55"/>
      <c r="CX41" s="55"/>
      <c r="CY41" s="55"/>
      <c r="CZ41" s="55"/>
      <c r="DA41" s="55"/>
      <c r="DB41" s="55"/>
      <c r="DC41" s="55"/>
      <c r="DD41" s="55"/>
      <c r="DE41" s="55"/>
      <c r="DF41" s="55"/>
      <c r="DG41" s="55"/>
      <c r="DH41" s="55"/>
      <c r="DI41" s="55"/>
      <c r="DJ41" s="55"/>
      <c r="DK41" s="55"/>
      <c r="DL41" s="55"/>
      <c r="DM41" s="55"/>
      <c r="DN41" s="55"/>
      <c r="DO41" s="55"/>
      <c r="DP41" s="55"/>
      <c r="DQ41" s="55"/>
      <c r="DR41" s="55"/>
      <c r="DS41" s="55"/>
      <c r="DT41" s="55"/>
      <c r="DU41" s="55"/>
      <c r="DV41" s="55"/>
      <c r="DW41" s="55"/>
      <c r="DX41" s="55"/>
      <c r="DY41" s="55"/>
      <c r="DZ41" s="55"/>
      <c r="EA41" s="55"/>
      <c r="EB41" s="55"/>
      <c r="EC41" s="55"/>
      <c r="ED41" s="55"/>
      <c r="EE41" s="55"/>
      <c r="EF41" s="55"/>
      <c r="EG41" s="55"/>
      <c r="EH41" s="55"/>
      <c r="EI41" s="55"/>
      <c r="EJ41" s="55"/>
      <c r="EK41" s="55"/>
      <c r="EL41" s="55"/>
      <c r="EM41" s="55"/>
      <c r="EN41" s="55"/>
      <c r="EO41" s="55"/>
      <c r="EP41" s="55"/>
      <c r="EQ41" s="55"/>
      <c r="ER41" s="55"/>
      <c r="ES41" s="55"/>
      <c r="ET41" s="55"/>
      <c r="EU41" s="55"/>
      <c r="EV41" s="55"/>
      <c r="EW41" s="55"/>
      <c r="EX41" s="55"/>
      <c r="EY41" s="55"/>
      <c r="EZ41" s="55"/>
      <c r="FA41" s="55"/>
      <c r="FB41" s="55"/>
      <c r="FC41" s="55"/>
      <c r="FD41" s="55"/>
      <c r="FE41" s="55"/>
      <c r="FF41" s="55"/>
      <c r="FG41" s="55"/>
      <c r="FH41" s="55"/>
      <c r="FI41" s="55"/>
      <c r="FJ41" s="55"/>
      <c r="FK41" s="55"/>
      <c r="FL41" s="55"/>
      <c r="FM41" s="55"/>
      <c r="FN41" s="55"/>
      <c r="FO41" s="55"/>
      <c r="FP41" s="55"/>
      <c r="FQ41" s="55"/>
      <c r="FR41" s="55"/>
      <c r="FS41" s="55"/>
      <c r="FT41" s="55"/>
      <c r="FU41" s="55"/>
      <c r="FV41" s="55"/>
      <c r="FW41" s="55"/>
      <c r="FX41" s="55"/>
      <c r="FY41" s="55"/>
      <c r="FZ41" s="55"/>
      <c r="GA41" s="55"/>
      <c r="GB41" s="55"/>
      <c r="GC41" s="55"/>
      <c r="GD41" s="55"/>
      <c r="GE41" s="55"/>
      <c r="GF41" s="55"/>
      <c r="GG41" s="55"/>
      <c r="GH41" s="55"/>
      <c r="GI41" s="55"/>
      <c r="GJ41" s="55"/>
      <c r="GK41" s="55"/>
      <c r="GL41" s="55"/>
      <c r="GM41" s="55"/>
      <c r="GN41" s="55"/>
      <c r="GO41" s="55"/>
      <c r="GP41" s="55"/>
      <c r="GQ41" s="55"/>
      <c r="GR41" s="55"/>
      <c r="GS41" s="55"/>
      <c r="GT41" s="55"/>
      <c r="GU41" s="55"/>
      <c r="GV41" s="55"/>
      <c r="GW41" s="55"/>
      <c r="GX41" s="55"/>
      <c r="GY41" s="55"/>
      <c r="GZ41" s="55"/>
      <c r="HA41" s="55"/>
      <c r="HB41" s="55"/>
      <c r="HC41" s="55"/>
      <c r="HD41" s="55"/>
      <c r="HE41" s="55"/>
      <c r="HF41" s="55"/>
      <c r="HG41" s="55"/>
      <c r="HH41" s="55"/>
      <c r="HI41" s="55"/>
      <c r="HJ41" s="55"/>
      <c r="HK41" s="55"/>
      <c r="HL41" s="55"/>
      <c r="HM41" s="55"/>
      <c r="HN41" s="55"/>
      <c r="HO41" s="55"/>
      <c r="HP41" s="55"/>
      <c r="HQ41" s="55"/>
      <c r="HR41" s="55"/>
      <c r="HS41" s="55"/>
      <c r="HT41" s="55"/>
      <c r="HU41" s="55"/>
      <c r="HV41" s="55"/>
      <c r="HW41" s="55"/>
      <c r="HX41" s="55"/>
      <c r="HY41" s="55"/>
      <c r="HZ41" s="55"/>
      <c r="IA41" s="55"/>
      <c r="IB41" s="55"/>
      <c r="IC41" s="55"/>
      <c r="ID41" s="55"/>
      <c r="IE41" s="55"/>
      <c r="IF41" s="55"/>
      <c r="IG41" s="55"/>
      <c r="IH41" s="55"/>
      <c r="II41" s="55"/>
      <c r="IJ41" s="55"/>
      <c r="IK41" s="55"/>
      <c r="IL41" s="55"/>
      <c r="IM41" s="55"/>
      <c r="IN41" s="55"/>
      <c r="IO41" s="55"/>
      <c r="IP41" s="55"/>
      <c r="IQ41" s="55"/>
      <c r="IR41" s="55"/>
      <c r="IS41" s="55"/>
      <c r="IT41" s="55"/>
      <c r="IU41" s="55"/>
      <c r="IV41" s="55"/>
      <c r="IW41" s="55"/>
    </row>
    <row r="42" customFormat="false" ht="26.25" hidden="false" customHeight="false" outlineLevel="0" collapsed="false">
      <c r="A42" s="4" t="s">
        <v>1</v>
      </c>
      <c r="B42" s="96" t="s">
        <v>40</v>
      </c>
      <c r="C42" s="51"/>
      <c r="D42" s="71" t="n">
        <f aca="false">D43+D44</f>
        <v>-0.20457011608835</v>
      </c>
      <c r="E42" s="53"/>
      <c r="F42" s="104"/>
      <c r="G42" s="52"/>
      <c r="H42" s="82"/>
      <c r="I42" s="55"/>
      <c r="J42" s="46"/>
      <c r="K42" s="55"/>
      <c r="L42" s="83"/>
      <c r="M42" s="57"/>
      <c r="N42" s="65" t="n">
        <f aca="false">N43+N44</f>
        <v>1.058</v>
      </c>
      <c r="O42" s="65" t="n">
        <f aca="false">O43+O44</f>
        <v>-15.1</v>
      </c>
      <c r="P42" s="65" t="n">
        <f aca="false">P43+P44</f>
        <v>1.058</v>
      </c>
      <c r="Q42" s="65" t="n">
        <f aca="false">Q43+Q44</f>
        <v>116.911</v>
      </c>
      <c r="R42" s="65" t="n">
        <f aca="false">R43+R44</f>
        <v>1918.0787004178</v>
      </c>
      <c r="S42" s="55"/>
      <c r="T42" s="59"/>
      <c r="U42" s="59"/>
      <c r="V42" s="59"/>
      <c r="W42" s="59"/>
      <c r="X42" s="59"/>
      <c r="Y42" s="60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  <c r="BJ42" s="55"/>
      <c r="BK42" s="55"/>
      <c r="BL42" s="55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55"/>
      <c r="CA42" s="55"/>
      <c r="CB42" s="55"/>
      <c r="CC42" s="55"/>
      <c r="CD42" s="55"/>
      <c r="CE42" s="55"/>
      <c r="CF42" s="55"/>
      <c r="CG42" s="55"/>
      <c r="CH42" s="55"/>
      <c r="CI42" s="55"/>
      <c r="CJ42" s="55"/>
      <c r="CK42" s="55"/>
      <c r="CL42" s="55"/>
      <c r="CM42" s="55"/>
      <c r="CN42" s="55"/>
      <c r="CO42" s="55"/>
      <c r="CP42" s="55"/>
      <c r="CQ42" s="55"/>
      <c r="CR42" s="55"/>
      <c r="CS42" s="55"/>
      <c r="CT42" s="55"/>
      <c r="CU42" s="55"/>
      <c r="CV42" s="55"/>
      <c r="CW42" s="55"/>
      <c r="CX42" s="55"/>
      <c r="CY42" s="55"/>
      <c r="CZ42" s="55"/>
      <c r="DA42" s="55"/>
      <c r="DB42" s="55"/>
      <c r="DC42" s="55"/>
      <c r="DD42" s="55"/>
      <c r="DE42" s="55"/>
      <c r="DF42" s="55"/>
      <c r="DG42" s="55"/>
      <c r="DH42" s="55"/>
      <c r="DI42" s="55"/>
      <c r="DJ42" s="55"/>
      <c r="DK42" s="55"/>
      <c r="DL42" s="55"/>
      <c r="DM42" s="55"/>
      <c r="DN42" s="55"/>
      <c r="DO42" s="55"/>
      <c r="DP42" s="55"/>
      <c r="DQ42" s="55"/>
      <c r="DR42" s="55"/>
      <c r="DS42" s="55"/>
      <c r="DT42" s="55"/>
      <c r="DU42" s="55"/>
      <c r="DV42" s="55"/>
      <c r="DW42" s="55"/>
      <c r="DX42" s="55"/>
      <c r="DY42" s="55"/>
      <c r="DZ42" s="55"/>
      <c r="EA42" s="55"/>
      <c r="EB42" s="55"/>
      <c r="EC42" s="55"/>
      <c r="ED42" s="55"/>
      <c r="EE42" s="55"/>
      <c r="EF42" s="55"/>
      <c r="EG42" s="55"/>
      <c r="EH42" s="55"/>
      <c r="EI42" s="55"/>
      <c r="EJ42" s="55"/>
      <c r="EK42" s="55"/>
      <c r="EL42" s="55"/>
      <c r="EM42" s="55"/>
      <c r="EN42" s="55"/>
      <c r="EO42" s="55"/>
      <c r="EP42" s="55"/>
      <c r="EQ42" s="55"/>
      <c r="ER42" s="55"/>
      <c r="ES42" s="55"/>
      <c r="ET42" s="55"/>
      <c r="EU42" s="55"/>
      <c r="EV42" s="55"/>
      <c r="EW42" s="55"/>
      <c r="EX42" s="55"/>
      <c r="EY42" s="55"/>
      <c r="EZ42" s="55"/>
      <c r="FA42" s="55"/>
      <c r="FB42" s="55"/>
      <c r="FC42" s="55"/>
      <c r="FD42" s="55"/>
      <c r="FE42" s="55"/>
      <c r="FF42" s="55"/>
      <c r="FG42" s="55"/>
      <c r="FH42" s="55"/>
      <c r="FI42" s="55"/>
      <c r="FJ42" s="55"/>
      <c r="FK42" s="55"/>
      <c r="FL42" s="55"/>
      <c r="FM42" s="55"/>
      <c r="FN42" s="55"/>
      <c r="FO42" s="55"/>
      <c r="FP42" s="55"/>
      <c r="FQ42" s="55"/>
      <c r="FR42" s="55"/>
      <c r="FS42" s="55"/>
      <c r="FT42" s="55"/>
      <c r="FU42" s="55"/>
      <c r="FV42" s="55"/>
      <c r="FW42" s="55"/>
      <c r="FX42" s="55"/>
      <c r="FY42" s="55"/>
      <c r="FZ42" s="55"/>
      <c r="GA42" s="55"/>
      <c r="GB42" s="55"/>
      <c r="GC42" s="55"/>
      <c r="GD42" s="55"/>
      <c r="GE42" s="55"/>
      <c r="GF42" s="55"/>
      <c r="GG42" s="55"/>
      <c r="GH42" s="55"/>
      <c r="GI42" s="55"/>
      <c r="GJ42" s="55"/>
      <c r="GK42" s="55"/>
      <c r="GL42" s="55"/>
      <c r="GM42" s="55"/>
      <c r="GN42" s="55"/>
      <c r="GO42" s="55"/>
      <c r="GP42" s="55"/>
      <c r="GQ42" s="55"/>
      <c r="GR42" s="55"/>
      <c r="GS42" s="55"/>
      <c r="GT42" s="55"/>
      <c r="GU42" s="55"/>
      <c r="GV42" s="55"/>
      <c r="GW42" s="55"/>
      <c r="GX42" s="55"/>
      <c r="GY42" s="55"/>
      <c r="GZ42" s="55"/>
      <c r="HA42" s="55"/>
      <c r="HB42" s="55"/>
      <c r="HC42" s="55"/>
      <c r="HD42" s="55"/>
      <c r="HE42" s="55"/>
      <c r="HF42" s="55"/>
      <c r="HG42" s="55"/>
      <c r="HH42" s="55"/>
      <c r="HI42" s="55"/>
      <c r="HJ42" s="55"/>
      <c r="HK42" s="55"/>
      <c r="HL42" s="55"/>
      <c r="HM42" s="55"/>
      <c r="HN42" s="55"/>
      <c r="HO42" s="55"/>
      <c r="HP42" s="55"/>
      <c r="HQ42" s="55"/>
      <c r="HR42" s="55"/>
      <c r="HS42" s="55"/>
      <c r="HT42" s="55"/>
      <c r="HU42" s="55"/>
      <c r="HV42" s="55"/>
      <c r="HW42" s="55"/>
      <c r="HX42" s="55"/>
      <c r="HY42" s="55"/>
      <c r="HZ42" s="55"/>
      <c r="IA42" s="55"/>
      <c r="IB42" s="55"/>
      <c r="IC42" s="55"/>
      <c r="ID42" s="55"/>
      <c r="IE42" s="55"/>
      <c r="IF42" s="55"/>
      <c r="IG42" s="55"/>
      <c r="IH42" s="55"/>
      <c r="II42" s="55"/>
      <c r="IJ42" s="55"/>
      <c r="IK42" s="55"/>
      <c r="IL42" s="55"/>
      <c r="IM42" s="55"/>
      <c r="IN42" s="55"/>
      <c r="IO42" s="55"/>
      <c r="IP42" s="55"/>
      <c r="IQ42" s="55"/>
      <c r="IR42" s="55"/>
      <c r="IS42" s="55"/>
      <c r="IT42" s="55"/>
      <c r="IU42" s="55"/>
      <c r="IV42" s="55"/>
      <c r="IW42" s="55"/>
    </row>
    <row r="43" customFormat="false" ht="27.75" hidden="true" customHeight="false" outlineLevel="0" collapsed="false">
      <c r="A43" s="4" t="s">
        <v>34</v>
      </c>
      <c r="B43" s="84" t="s">
        <v>41</v>
      </c>
      <c r="C43" s="85"/>
      <c r="D43" s="86" t="n">
        <f aca="false">INDEX('EZE Power Trading'!$A$6:$W$500,MATCH(Summary!$B$8,'EZE Power Trading'!$A$6:$A$500,0),16)</f>
        <v>-0.150189406735585</v>
      </c>
      <c r="E43" s="87"/>
      <c r="F43" s="88"/>
      <c r="G43" s="105" t="n">
        <f aca="false">INDEX('EZE Power Trading'!$A$6:$W$500,MATCH(Summary!$B$8,'EZE Power Trading'!$A$6:$A$500,0),17)</f>
        <v>0</v>
      </c>
      <c r="H43" s="87"/>
      <c r="I43" s="85"/>
      <c r="J43" s="89"/>
      <c r="K43" s="85"/>
      <c r="L43" s="87"/>
      <c r="M43" s="90"/>
      <c r="N43" s="91" t="n">
        <f aca="false">INDEX('EZE Power Trading'!$A$6:$W$500,MATCH(Summary!$B$8,'EZE Power Trading'!$A$6:$A$500,0),19)</f>
        <v>0.971</v>
      </c>
      <c r="O43" s="91" t="n">
        <f aca="false">'EZE Power Trading'!T$3</f>
        <v>-18.786</v>
      </c>
      <c r="P43" s="91" t="n">
        <f aca="false">INDEX('EZE Power Trading'!$A$6:$W$500,MATCH(Summary!$B$8,'EZE Power Trading'!$A$6:$A$500,0),21)</f>
        <v>0.971</v>
      </c>
      <c r="Q43" s="91" t="n">
        <f aca="false">INDEX('EZE Power Trading'!$A$6:$W$500,MATCH(Summary!$B$8,'EZE Power Trading'!$A$6:$A$500,0),22)</f>
        <v>16.867</v>
      </c>
      <c r="R43" s="92" t="n">
        <f aca="false">(INDEX('EZE Power Trading'!$A$6:$W$500,MATCH(Summary!$B$8,'EZE Power Trading'!$A$6:$A$500,0),23))-R46</f>
        <v>747.611830417803</v>
      </c>
      <c r="S43" s="93"/>
      <c r="T43" s="94"/>
      <c r="U43" s="94"/>
      <c r="V43" s="94"/>
      <c r="W43" s="94"/>
      <c r="X43" s="94"/>
      <c r="Y43" s="93"/>
      <c r="Z43" s="93"/>
      <c r="AA43" s="85"/>
      <c r="AB43" s="85"/>
      <c r="AC43" s="85"/>
      <c r="AD43" s="85"/>
      <c r="AE43" s="85"/>
      <c r="AF43" s="85"/>
      <c r="AG43" s="85"/>
      <c r="AH43" s="85"/>
      <c r="AI43" s="85"/>
      <c r="AJ43" s="85"/>
      <c r="AK43" s="85"/>
      <c r="AL43" s="85"/>
      <c r="AM43" s="85"/>
      <c r="AN43" s="85"/>
      <c r="AO43" s="85"/>
      <c r="AP43" s="85"/>
      <c r="AQ43" s="85"/>
      <c r="AR43" s="85"/>
      <c r="AS43" s="85"/>
      <c r="AT43" s="85"/>
      <c r="AU43" s="85"/>
      <c r="AV43" s="85"/>
      <c r="AW43" s="85"/>
      <c r="AX43" s="85"/>
      <c r="AY43" s="85"/>
      <c r="AZ43" s="85"/>
      <c r="BA43" s="85"/>
      <c r="BB43" s="85"/>
      <c r="BC43" s="85"/>
      <c r="BD43" s="85"/>
      <c r="BE43" s="85"/>
      <c r="BF43" s="85"/>
      <c r="BG43" s="85"/>
      <c r="BH43" s="85"/>
      <c r="BI43" s="85"/>
      <c r="BJ43" s="85"/>
      <c r="BK43" s="85"/>
      <c r="BL43" s="85"/>
      <c r="BM43" s="85"/>
      <c r="BN43" s="85"/>
      <c r="BO43" s="85"/>
      <c r="BP43" s="85"/>
      <c r="BQ43" s="85"/>
      <c r="BR43" s="85"/>
      <c r="BS43" s="85"/>
      <c r="BT43" s="85"/>
      <c r="BU43" s="85"/>
      <c r="BV43" s="85"/>
      <c r="BW43" s="85"/>
      <c r="BX43" s="85"/>
      <c r="BY43" s="85"/>
      <c r="BZ43" s="85"/>
      <c r="CA43" s="85"/>
      <c r="CB43" s="85"/>
      <c r="CC43" s="85"/>
      <c r="CD43" s="85"/>
      <c r="CE43" s="85"/>
      <c r="CF43" s="85"/>
      <c r="CG43" s="85"/>
      <c r="CH43" s="85"/>
      <c r="CI43" s="85"/>
      <c r="CJ43" s="85"/>
      <c r="CK43" s="85"/>
      <c r="CL43" s="85"/>
      <c r="CM43" s="85"/>
      <c r="CN43" s="85"/>
      <c r="CO43" s="85"/>
      <c r="CP43" s="85"/>
      <c r="CQ43" s="85"/>
      <c r="CR43" s="85"/>
      <c r="CS43" s="85"/>
      <c r="CT43" s="85"/>
      <c r="CU43" s="85"/>
      <c r="CV43" s="85"/>
      <c r="CW43" s="85"/>
      <c r="CX43" s="85"/>
      <c r="CY43" s="85"/>
      <c r="CZ43" s="85"/>
      <c r="DA43" s="85"/>
      <c r="DB43" s="85"/>
      <c r="DC43" s="85"/>
      <c r="DD43" s="85"/>
      <c r="DE43" s="85"/>
      <c r="DF43" s="85"/>
      <c r="DG43" s="85"/>
      <c r="DH43" s="85"/>
      <c r="DI43" s="85"/>
      <c r="DJ43" s="85"/>
      <c r="DK43" s="85"/>
      <c r="DL43" s="85"/>
      <c r="DM43" s="85"/>
      <c r="DN43" s="85"/>
      <c r="DO43" s="85"/>
      <c r="DP43" s="85"/>
      <c r="DQ43" s="85"/>
      <c r="DR43" s="85"/>
      <c r="DS43" s="85"/>
      <c r="DT43" s="85"/>
      <c r="DU43" s="85"/>
      <c r="DV43" s="85"/>
      <c r="DW43" s="85"/>
      <c r="DX43" s="85"/>
      <c r="DY43" s="85"/>
      <c r="DZ43" s="85"/>
      <c r="EA43" s="85"/>
      <c r="EB43" s="85"/>
      <c r="EC43" s="85"/>
      <c r="ED43" s="85"/>
      <c r="EE43" s="85"/>
      <c r="EF43" s="85"/>
      <c r="EG43" s="85"/>
      <c r="EH43" s="85"/>
      <c r="EI43" s="85"/>
      <c r="EJ43" s="85"/>
      <c r="EK43" s="85"/>
      <c r="EL43" s="85"/>
      <c r="EM43" s="85"/>
      <c r="EN43" s="85"/>
      <c r="EO43" s="85"/>
      <c r="EP43" s="85"/>
      <c r="EQ43" s="85"/>
      <c r="ER43" s="85"/>
      <c r="ES43" s="85"/>
      <c r="ET43" s="85"/>
      <c r="EU43" s="85"/>
      <c r="EV43" s="85"/>
      <c r="EW43" s="85"/>
      <c r="EX43" s="85"/>
      <c r="EY43" s="85"/>
      <c r="EZ43" s="85"/>
      <c r="FA43" s="85"/>
      <c r="FB43" s="85"/>
      <c r="FC43" s="85"/>
      <c r="FD43" s="85"/>
      <c r="FE43" s="85"/>
      <c r="FF43" s="85"/>
      <c r="FG43" s="85"/>
      <c r="FH43" s="85"/>
      <c r="FI43" s="85"/>
      <c r="FJ43" s="85"/>
      <c r="FK43" s="85"/>
      <c r="FL43" s="85"/>
      <c r="FM43" s="85"/>
      <c r="FN43" s="85"/>
      <c r="FO43" s="85"/>
      <c r="FP43" s="85"/>
      <c r="FQ43" s="85"/>
      <c r="FR43" s="85"/>
      <c r="FS43" s="85"/>
      <c r="FT43" s="85"/>
      <c r="FU43" s="85"/>
      <c r="FV43" s="85"/>
      <c r="FW43" s="85"/>
      <c r="FX43" s="85"/>
      <c r="FY43" s="85"/>
      <c r="FZ43" s="85"/>
      <c r="GA43" s="85"/>
      <c r="GB43" s="85"/>
      <c r="GC43" s="85"/>
      <c r="GD43" s="85"/>
      <c r="GE43" s="85"/>
      <c r="GF43" s="85"/>
      <c r="GG43" s="85"/>
      <c r="GH43" s="85"/>
      <c r="GI43" s="85"/>
      <c r="GJ43" s="85"/>
      <c r="GK43" s="85"/>
      <c r="GL43" s="85"/>
      <c r="GM43" s="85"/>
      <c r="GN43" s="85"/>
      <c r="GO43" s="85"/>
      <c r="GP43" s="85"/>
      <c r="GQ43" s="85"/>
      <c r="GR43" s="85"/>
      <c r="GS43" s="85"/>
      <c r="GT43" s="85"/>
      <c r="GU43" s="85"/>
      <c r="GV43" s="85"/>
      <c r="GW43" s="85"/>
      <c r="GX43" s="85"/>
      <c r="GY43" s="85"/>
      <c r="GZ43" s="85"/>
      <c r="HA43" s="85"/>
      <c r="HB43" s="85"/>
      <c r="HC43" s="85"/>
      <c r="HD43" s="85"/>
      <c r="HE43" s="85"/>
      <c r="HF43" s="85"/>
      <c r="HG43" s="85"/>
      <c r="HH43" s="85"/>
      <c r="HI43" s="85"/>
      <c r="HJ43" s="85"/>
      <c r="HK43" s="85"/>
      <c r="HL43" s="85"/>
      <c r="HM43" s="85"/>
      <c r="HN43" s="85"/>
      <c r="HO43" s="85"/>
      <c r="HP43" s="85"/>
      <c r="HQ43" s="85"/>
      <c r="HR43" s="85"/>
      <c r="HS43" s="85"/>
      <c r="HT43" s="85"/>
      <c r="HU43" s="85"/>
      <c r="HV43" s="85"/>
      <c r="HW43" s="85"/>
      <c r="HX43" s="85"/>
      <c r="HY43" s="85"/>
      <c r="HZ43" s="85"/>
      <c r="IA43" s="85"/>
      <c r="IB43" s="85"/>
      <c r="IC43" s="85"/>
      <c r="ID43" s="85"/>
      <c r="IE43" s="85"/>
      <c r="IF43" s="85"/>
      <c r="IG43" s="85"/>
      <c r="IH43" s="85"/>
      <c r="II43" s="85"/>
      <c r="IJ43" s="85"/>
      <c r="IK43" s="85"/>
      <c r="IL43" s="85"/>
      <c r="IM43" s="85"/>
      <c r="IN43" s="85"/>
      <c r="IO43" s="85"/>
      <c r="IP43" s="85"/>
      <c r="IQ43" s="85"/>
      <c r="IR43" s="85"/>
      <c r="IS43" s="85"/>
      <c r="IT43" s="85"/>
      <c r="IU43" s="85"/>
      <c r="IV43" s="85"/>
      <c r="IW43" s="85"/>
    </row>
    <row r="44" customFormat="false" ht="26.25" hidden="true" customHeight="false" outlineLevel="0" collapsed="false">
      <c r="A44" s="4" t="s">
        <v>34</v>
      </c>
      <c r="B44" s="84" t="s">
        <v>42</v>
      </c>
      <c r="C44" s="85"/>
      <c r="D44" s="86" t="n">
        <f aca="false">INDEX('Rio Cuarto Power Trading'!$A$6:$W$500,MATCH(Summary!$B$8,'Rio Cuarto Power Trading'!$A$6:$A$500,0),16)</f>
        <v>-0.0543807093527648</v>
      </c>
      <c r="E44" s="87"/>
      <c r="F44" s="88"/>
      <c r="G44" s="106" t="n">
        <f aca="false">INDEX('Rio Cuarto Power Trading'!$A$6:$W$500,MATCH(Summary!$B$8,'Rio Cuarto Power Trading'!$A$6:$A$500,0),17)</f>
        <v>0</v>
      </c>
      <c r="H44" s="87"/>
      <c r="I44" s="85"/>
      <c r="J44" s="89"/>
      <c r="K44" s="85"/>
      <c r="L44" s="87"/>
      <c r="M44" s="90"/>
      <c r="N44" s="91" t="n">
        <f aca="false">INDEX('Rio Cuarto Power Trading'!$A$6:$W$500,MATCH(Summary!$B$8,'Rio Cuarto Power Trading'!$A$6:$A$500,0),19)</f>
        <v>0.087</v>
      </c>
      <c r="O44" s="91" t="n">
        <f aca="false">'Rio Cuarto Power Trading'!T$3</f>
        <v>3.68600000000001</v>
      </c>
      <c r="P44" s="91" t="n">
        <f aca="false">INDEX('Rio Cuarto Power Trading'!$A$6:$W$500,MATCH(Summary!$B$8,'Rio Cuarto Power Trading'!$A$6:$A$500,0),21)</f>
        <v>0.087</v>
      </c>
      <c r="Q44" s="91" t="n">
        <f aca="false">INDEX('Rio Cuarto Power Trading'!$A$6:$W$500,MATCH(Summary!$B$8,'Rio Cuarto Power Trading'!$A$6:$A$500,0),22)</f>
        <v>100.044</v>
      </c>
      <c r="R44" s="92" t="n">
        <f aca="false">INDEX('Rio Cuarto Power Trading'!$A$6:$W$500,MATCH(Summary!$B$8,'Rio Cuarto Power Trading'!$A$6:$A$500,0),23)</f>
        <v>1170.46687</v>
      </c>
      <c r="S44" s="93"/>
      <c r="T44" s="95"/>
      <c r="U44" s="95"/>
      <c r="V44" s="95"/>
      <c r="W44" s="95"/>
      <c r="X44" s="95"/>
      <c r="Y44" s="93"/>
      <c r="Z44" s="93"/>
      <c r="AA44" s="85"/>
      <c r="AB44" s="85"/>
      <c r="AC44" s="85"/>
      <c r="AD44" s="85"/>
      <c r="AE44" s="85"/>
      <c r="AF44" s="85"/>
      <c r="AG44" s="85"/>
      <c r="AH44" s="85"/>
      <c r="AI44" s="85"/>
      <c r="AJ44" s="85"/>
      <c r="AK44" s="85"/>
      <c r="AL44" s="85"/>
      <c r="AM44" s="85"/>
      <c r="AN44" s="85"/>
      <c r="AO44" s="85"/>
      <c r="AP44" s="85"/>
      <c r="AQ44" s="85"/>
      <c r="AR44" s="85"/>
      <c r="AS44" s="85"/>
      <c r="AT44" s="85"/>
      <c r="AU44" s="85"/>
      <c r="AV44" s="85"/>
      <c r="AW44" s="85"/>
      <c r="AX44" s="85"/>
      <c r="AY44" s="85"/>
      <c r="AZ44" s="85"/>
      <c r="BA44" s="85"/>
      <c r="BB44" s="85"/>
      <c r="BC44" s="85"/>
      <c r="BD44" s="85"/>
      <c r="BE44" s="85"/>
      <c r="BF44" s="85"/>
      <c r="BG44" s="85"/>
      <c r="BH44" s="85"/>
      <c r="BI44" s="85"/>
      <c r="BJ44" s="85"/>
      <c r="BK44" s="85"/>
      <c r="BL44" s="85"/>
      <c r="BM44" s="85"/>
      <c r="BN44" s="85"/>
      <c r="BO44" s="85"/>
      <c r="BP44" s="85"/>
      <c r="BQ44" s="85"/>
      <c r="BR44" s="85"/>
      <c r="BS44" s="85"/>
      <c r="BT44" s="85"/>
      <c r="BU44" s="85"/>
      <c r="BV44" s="85"/>
      <c r="BW44" s="85"/>
      <c r="BX44" s="85"/>
      <c r="BY44" s="85"/>
      <c r="BZ44" s="85"/>
      <c r="CA44" s="85"/>
      <c r="CB44" s="85"/>
      <c r="CC44" s="85"/>
      <c r="CD44" s="85"/>
      <c r="CE44" s="85"/>
      <c r="CF44" s="85"/>
      <c r="CG44" s="85"/>
      <c r="CH44" s="85"/>
      <c r="CI44" s="85"/>
      <c r="CJ44" s="85"/>
      <c r="CK44" s="85"/>
      <c r="CL44" s="85"/>
      <c r="CM44" s="85"/>
      <c r="CN44" s="85"/>
      <c r="CO44" s="85"/>
      <c r="CP44" s="85"/>
      <c r="CQ44" s="85"/>
      <c r="CR44" s="85"/>
      <c r="CS44" s="85"/>
      <c r="CT44" s="85"/>
      <c r="CU44" s="85"/>
      <c r="CV44" s="85"/>
      <c r="CW44" s="85"/>
      <c r="CX44" s="85"/>
      <c r="CY44" s="85"/>
      <c r="CZ44" s="85"/>
      <c r="DA44" s="85"/>
      <c r="DB44" s="85"/>
      <c r="DC44" s="85"/>
      <c r="DD44" s="85"/>
      <c r="DE44" s="85"/>
      <c r="DF44" s="85"/>
      <c r="DG44" s="85"/>
      <c r="DH44" s="85"/>
      <c r="DI44" s="85"/>
      <c r="DJ44" s="85"/>
      <c r="DK44" s="85"/>
      <c r="DL44" s="85"/>
      <c r="DM44" s="85"/>
      <c r="DN44" s="85"/>
      <c r="DO44" s="85"/>
      <c r="DP44" s="85"/>
      <c r="DQ44" s="85"/>
      <c r="DR44" s="85"/>
      <c r="DS44" s="85"/>
      <c r="DT44" s="85"/>
      <c r="DU44" s="85"/>
      <c r="DV44" s="85"/>
      <c r="DW44" s="85"/>
      <c r="DX44" s="85"/>
      <c r="DY44" s="85"/>
      <c r="DZ44" s="85"/>
      <c r="EA44" s="85"/>
      <c r="EB44" s="85"/>
      <c r="EC44" s="85"/>
      <c r="ED44" s="85"/>
      <c r="EE44" s="85"/>
      <c r="EF44" s="85"/>
      <c r="EG44" s="85"/>
      <c r="EH44" s="85"/>
      <c r="EI44" s="85"/>
      <c r="EJ44" s="85"/>
      <c r="EK44" s="85"/>
      <c r="EL44" s="85"/>
      <c r="EM44" s="85"/>
      <c r="EN44" s="85"/>
      <c r="EO44" s="85"/>
      <c r="EP44" s="85"/>
      <c r="EQ44" s="85"/>
      <c r="ER44" s="85"/>
      <c r="ES44" s="85"/>
      <c r="ET44" s="85"/>
      <c r="EU44" s="85"/>
      <c r="EV44" s="85"/>
      <c r="EW44" s="85"/>
      <c r="EX44" s="85"/>
      <c r="EY44" s="85"/>
      <c r="EZ44" s="85"/>
      <c r="FA44" s="85"/>
      <c r="FB44" s="85"/>
      <c r="FC44" s="85"/>
      <c r="FD44" s="85"/>
      <c r="FE44" s="85"/>
      <c r="FF44" s="85"/>
      <c r="FG44" s="85"/>
      <c r="FH44" s="85"/>
      <c r="FI44" s="85"/>
      <c r="FJ44" s="85"/>
      <c r="FK44" s="85"/>
      <c r="FL44" s="85"/>
      <c r="FM44" s="85"/>
      <c r="FN44" s="85"/>
      <c r="FO44" s="85"/>
      <c r="FP44" s="85"/>
      <c r="FQ44" s="85"/>
      <c r="FR44" s="85"/>
      <c r="FS44" s="85"/>
      <c r="FT44" s="85"/>
      <c r="FU44" s="85"/>
      <c r="FV44" s="85"/>
      <c r="FW44" s="85"/>
      <c r="FX44" s="85"/>
      <c r="FY44" s="85"/>
      <c r="FZ44" s="85"/>
      <c r="GA44" s="85"/>
      <c r="GB44" s="85"/>
      <c r="GC44" s="85"/>
      <c r="GD44" s="85"/>
      <c r="GE44" s="85"/>
      <c r="GF44" s="85"/>
      <c r="GG44" s="85"/>
      <c r="GH44" s="85"/>
      <c r="GI44" s="85"/>
      <c r="GJ44" s="85"/>
      <c r="GK44" s="85"/>
      <c r="GL44" s="85"/>
      <c r="GM44" s="85"/>
      <c r="GN44" s="85"/>
      <c r="GO44" s="85"/>
      <c r="GP44" s="85"/>
      <c r="GQ44" s="85"/>
      <c r="GR44" s="85"/>
      <c r="GS44" s="85"/>
      <c r="GT44" s="85"/>
      <c r="GU44" s="85"/>
      <c r="GV44" s="85"/>
      <c r="GW44" s="85"/>
      <c r="GX44" s="85"/>
      <c r="GY44" s="85"/>
      <c r="GZ44" s="85"/>
      <c r="HA44" s="85"/>
      <c r="HB44" s="85"/>
      <c r="HC44" s="85"/>
      <c r="HD44" s="85"/>
      <c r="HE44" s="85"/>
      <c r="HF44" s="85"/>
      <c r="HG44" s="85"/>
      <c r="HH44" s="85"/>
      <c r="HI44" s="85"/>
      <c r="HJ44" s="85"/>
      <c r="HK44" s="85"/>
      <c r="HL44" s="85"/>
      <c r="HM44" s="85"/>
      <c r="HN44" s="85"/>
      <c r="HO44" s="85"/>
      <c r="HP44" s="85"/>
      <c r="HQ44" s="85"/>
      <c r="HR44" s="85"/>
      <c r="HS44" s="85"/>
      <c r="HT44" s="85"/>
      <c r="HU44" s="85"/>
      <c r="HV44" s="85"/>
      <c r="HW44" s="85"/>
      <c r="HX44" s="85"/>
      <c r="HY44" s="85"/>
      <c r="HZ44" s="85"/>
      <c r="IA44" s="85"/>
      <c r="IB44" s="85"/>
      <c r="IC44" s="85"/>
      <c r="ID44" s="85"/>
      <c r="IE44" s="85"/>
      <c r="IF44" s="85"/>
      <c r="IG44" s="85"/>
      <c r="IH44" s="85"/>
      <c r="II44" s="85"/>
      <c r="IJ44" s="85"/>
      <c r="IK44" s="85"/>
      <c r="IL44" s="85"/>
      <c r="IM44" s="85"/>
      <c r="IN44" s="85"/>
      <c r="IO44" s="85"/>
      <c r="IP44" s="85"/>
      <c r="IQ44" s="85"/>
      <c r="IR44" s="85"/>
      <c r="IS44" s="85"/>
      <c r="IT44" s="85"/>
      <c r="IU44" s="85"/>
      <c r="IV44" s="85"/>
      <c r="IW44" s="85"/>
    </row>
    <row r="45" customFormat="false" ht="26.25" hidden="false" customHeight="false" outlineLevel="0" collapsed="false">
      <c r="A45" s="107" t="s">
        <v>1</v>
      </c>
      <c r="B45" s="108" t="s">
        <v>43</v>
      </c>
      <c r="C45" s="109" t="s">
        <v>44</v>
      </c>
      <c r="D45" s="71" t="n">
        <f aca="false">+(INDEX('Modesto Maranzana Power'!$A$6:$W$500,MATCH(Summary!$B$8,'Modesto Maranzana Power'!$A$6:$A$500,0),16))</f>
        <v>1.94275453472369</v>
      </c>
      <c r="E45" s="110"/>
      <c r="F45" s="104"/>
      <c r="G45" s="52"/>
      <c r="H45" s="110"/>
      <c r="I45" s="78"/>
      <c r="J45" s="46"/>
      <c r="K45" s="78"/>
      <c r="L45" s="110"/>
      <c r="M45" s="57"/>
      <c r="N45" s="65" t="n">
        <f aca="false">INDEX('Modesto Maranzana Power'!$A$6:$W$500,MATCH(Summary!$B$8,'Modesto Maranzana Power'!$A$6:$A$500,0),19)</f>
        <v>-4.499</v>
      </c>
      <c r="O45" s="65" t="n">
        <f aca="false">'Modesto Maranzana Power'!T$3</f>
        <v>107.999</v>
      </c>
      <c r="P45" s="65" t="n">
        <f aca="false">INDEX('Modesto Maranzana Power'!$A$6:$W$500,MATCH(Summary!$B$8,'Modesto Maranzana Power'!$A$6:$A$500,0),21)</f>
        <v>-4.499</v>
      </c>
      <c r="Q45" s="65" t="n">
        <f aca="false">INDEX('Modesto Maranzana Power'!$A$6:$W$500,MATCH(Summary!$B$8,'Modesto Maranzana Power'!$A$6:$A$500,0),22)</f>
        <v>229.529</v>
      </c>
      <c r="R45" s="65" t="n">
        <f aca="false">INDEX('Modesto Maranzana Power'!$A$6:$W$500,MATCH(Summary!$B$8,'Modesto Maranzana Power'!$A$6:$A$500,0),23)</f>
        <v>15.77495</v>
      </c>
      <c r="S45" s="78"/>
      <c r="T45" s="47"/>
      <c r="U45" s="47"/>
      <c r="V45" s="47"/>
      <c r="W45" s="47"/>
      <c r="X45" s="47"/>
      <c r="Y45" s="60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U45" s="78"/>
      <c r="AV45" s="78"/>
      <c r="AW45" s="78"/>
      <c r="AX45" s="78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  <c r="BN45" s="78"/>
      <c r="BO45" s="78"/>
      <c r="BP45" s="78"/>
      <c r="BQ45" s="78"/>
      <c r="BR45" s="78"/>
      <c r="BS45" s="78"/>
      <c r="BT45" s="78"/>
      <c r="BU45" s="78"/>
      <c r="BV45" s="78"/>
      <c r="BW45" s="78"/>
      <c r="BX45" s="78"/>
      <c r="BY45" s="78"/>
      <c r="BZ45" s="78"/>
      <c r="CA45" s="78"/>
      <c r="CB45" s="78"/>
      <c r="CC45" s="78"/>
      <c r="CD45" s="78"/>
      <c r="CE45" s="78"/>
      <c r="CF45" s="78"/>
      <c r="CG45" s="78"/>
      <c r="CH45" s="78"/>
      <c r="CI45" s="78"/>
      <c r="CJ45" s="78"/>
      <c r="CK45" s="78"/>
      <c r="CL45" s="78"/>
      <c r="CM45" s="78"/>
      <c r="CN45" s="78"/>
      <c r="CO45" s="78"/>
      <c r="CP45" s="78"/>
      <c r="CQ45" s="78"/>
      <c r="CR45" s="78"/>
      <c r="CS45" s="78"/>
      <c r="CT45" s="78"/>
      <c r="CU45" s="78"/>
      <c r="CV45" s="78"/>
      <c r="CW45" s="78"/>
      <c r="CX45" s="78"/>
      <c r="CY45" s="78"/>
      <c r="CZ45" s="78"/>
      <c r="DA45" s="78"/>
      <c r="DB45" s="78"/>
      <c r="DC45" s="78"/>
      <c r="DD45" s="78"/>
      <c r="DE45" s="78"/>
      <c r="DF45" s="78"/>
      <c r="DG45" s="78"/>
      <c r="DH45" s="78"/>
      <c r="DI45" s="78"/>
      <c r="DJ45" s="78"/>
      <c r="DK45" s="78"/>
      <c r="DL45" s="78"/>
      <c r="DM45" s="78"/>
      <c r="DN45" s="78"/>
      <c r="DO45" s="78"/>
      <c r="DP45" s="78"/>
      <c r="DQ45" s="78"/>
      <c r="DR45" s="78"/>
      <c r="DS45" s="78"/>
      <c r="DT45" s="78"/>
      <c r="DU45" s="78"/>
      <c r="DV45" s="78"/>
      <c r="DW45" s="78"/>
      <c r="DX45" s="78"/>
      <c r="DY45" s="78"/>
      <c r="DZ45" s="78"/>
      <c r="EA45" s="78"/>
      <c r="EB45" s="78"/>
      <c r="EC45" s="78"/>
      <c r="ED45" s="78"/>
      <c r="EE45" s="78"/>
      <c r="EF45" s="78"/>
      <c r="EG45" s="78"/>
      <c r="EH45" s="78"/>
      <c r="EI45" s="78"/>
      <c r="EJ45" s="78"/>
      <c r="EK45" s="78"/>
      <c r="EL45" s="78"/>
      <c r="EM45" s="78"/>
      <c r="EN45" s="78"/>
      <c r="EO45" s="78"/>
      <c r="EP45" s="78"/>
      <c r="EQ45" s="78"/>
      <c r="ER45" s="78"/>
      <c r="ES45" s="78"/>
      <c r="ET45" s="78"/>
      <c r="EU45" s="78"/>
      <c r="EV45" s="78"/>
      <c r="EW45" s="78"/>
      <c r="EX45" s="78"/>
      <c r="EY45" s="78"/>
      <c r="EZ45" s="78"/>
      <c r="FA45" s="78"/>
      <c r="FB45" s="78"/>
      <c r="FC45" s="78"/>
      <c r="FD45" s="78"/>
      <c r="FE45" s="78"/>
      <c r="FF45" s="78"/>
      <c r="FG45" s="78"/>
      <c r="FH45" s="78"/>
      <c r="FI45" s="78"/>
      <c r="FJ45" s="78"/>
      <c r="FK45" s="78"/>
      <c r="FL45" s="78"/>
      <c r="FM45" s="78"/>
      <c r="FN45" s="78"/>
      <c r="FO45" s="78"/>
      <c r="FP45" s="78"/>
      <c r="FQ45" s="78"/>
      <c r="FR45" s="78"/>
      <c r="FS45" s="78"/>
      <c r="FT45" s="78"/>
      <c r="FU45" s="78"/>
      <c r="FV45" s="78"/>
      <c r="FW45" s="78"/>
      <c r="FX45" s="78"/>
      <c r="FY45" s="78"/>
      <c r="FZ45" s="78"/>
      <c r="GA45" s="78"/>
      <c r="GB45" s="78"/>
      <c r="GC45" s="78"/>
      <c r="GD45" s="78"/>
      <c r="GE45" s="78"/>
      <c r="GF45" s="78"/>
      <c r="GG45" s="78"/>
      <c r="GH45" s="78"/>
      <c r="GI45" s="78"/>
      <c r="GJ45" s="78"/>
      <c r="GK45" s="78"/>
      <c r="GL45" s="78"/>
      <c r="GM45" s="78"/>
      <c r="GN45" s="78"/>
      <c r="GO45" s="78"/>
      <c r="GP45" s="78"/>
      <c r="GQ45" s="78"/>
      <c r="GR45" s="78"/>
      <c r="GS45" s="78"/>
      <c r="GT45" s="78"/>
      <c r="GU45" s="78"/>
      <c r="GV45" s="78"/>
      <c r="GW45" s="78"/>
      <c r="GX45" s="78"/>
      <c r="GY45" s="78"/>
      <c r="GZ45" s="78"/>
      <c r="HA45" s="78"/>
      <c r="HB45" s="78"/>
      <c r="HC45" s="78"/>
      <c r="HD45" s="78"/>
      <c r="HE45" s="78"/>
      <c r="HF45" s="78"/>
      <c r="HG45" s="78"/>
      <c r="HH45" s="78"/>
      <c r="HI45" s="78"/>
      <c r="HJ45" s="78"/>
      <c r="HK45" s="78"/>
      <c r="HL45" s="78"/>
      <c r="HM45" s="78"/>
      <c r="HN45" s="78"/>
      <c r="HO45" s="78"/>
      <c r="HP45" s="78"/>
      <c r="HQ45" s="78"/>
      <c r="HR45" s="78"/>
      <c r="HS45" s="78"/>
      <c r="HT45" s="78"/>
      <c r="HU45" s="78"/>
      <c r="HV45" s="78"/>
      <c r="HW45" s="78"/>
      <c r="HX45" s="78"/>
      <c r="HY45" s="78"/>
      <c r="HZ45" s="78"/>
      <c r="IA45" s="78"/>
      <c r="IB45" s="78"/>
      <c r="IC45" s="78"/>
      <c r="ID45" s="78"/>
      <c r="IE45" s="78"/>
      <c r="IF45" s="78"/>
      <c r="IG45" s="78"/>
      <c r="IH45" s="78"/>
      <c r="II45" s="78"/>
      <c r="IJ45" s="78"/>
      <c r="IK45" s="78"/>
      <c r="IL45" s="78"/>
      <c r="IM45" s="78"/>
      <c r="IN45" s="78"/>
      <c r="IO45" s="78"/>
      <c r="IP45" s="78"/>
      <c r="IQ45" s="78"/>
      <c r="IR45" s="78"/>
      <c r="IS45" s="78"/>
      <c r="IT45" s="78"/>
      <c r="IU45" s="78"/>
      <c r="IV45" s="78"/>
      <c r="IW45" s="78"/>
    </row>
    <row r="46" customFormat="false" ht="24.75" hidden="false" customHeight="true" outlineLevel="0" collapsed="false">
      <c r="A46" s="107" t="s">
        <v>1</v>
      </c>
      <c r="B46" s="108" t="s">
        <v>45</v>
      </c>
      <c r="C46" s="109"/>
      <c r="D46" s="52"/>
      <c r="E46" s="110"/>
      <c r="F46" s="104"/>
      <c r="G46" s="52"/>
      <c r="H46" s="110"/>
      <c r="I46" s="78"/>
      <c r="J46" s="46"/>
      <c r="K46" s="78"/>
      <c r="L46" s="110"/>
      <c r="M46" s="57"/>
      <c r="N46" s="65" t="n">
        <v>0</v>
      </c>
      <c r="O46" s="65" t="n">
        <v>0</v>
      </c>
      <c r="P46" s="65" t="n">
        <v>0</v>
      </c>
      <c r="Q46" s="65" t="n">
        <v>0</v>
      </c>
      <c r="R46" s="65" t="n">
        <f aca="false">234715.11/1000</f>
        <v>234.71511</v>
      </c>
      <c r="S46" s="78"/>
      <c r="T46" s="47"/>
      <c r="U46" s="47"/>
      <c r="V46" s="47"/>
      <c r="W46" s="47"/>
      <c r="X46" s="47"/>
      <c r="Y46" s="60"/>
      <c r="Z46" s="78"/>
      <c r="AA46" s="78"/>
      <c r="AB46" s="78"/>
      <c r="AC46" s="78"/>
      <c r="AD46" s="78"/>
      <c r="AE46" s="78"/>
      <c r="AF46" s="78"/>
      <c r="AG46" s="78"/>
      <c r="AH46" s="78"/>
      <c r="AI46" s="78"/>
      <c r="AJ46" s="78"/>
      <c r="AK46" s="78"/>
      <c r="AL46" s="78"/>
      <c r="AM46" s="78"/>
      <c r="AN46" s="78"/>
      <c r="AO46" s="78"/>
      <c r="AP46" s="78"/>
      <c r="AQ46" s="78"/>
      <c r="AR46" s="78"/>
      <c r="AS46" s="78"/>
      <c r="AT46" s="78"/>
      <c r="AU46" s="78"/>
      <c r="AV46" s="78"/>
      <c r="AW46" s="78"/>
      <c r="AX46" s="78"/>
      <c r="AY46" s="78"/>
      <c r="AZ46" s="78"/>
      <c r="BA46" s="78"/>
      <c r="BB46" s="78"/>
      <c r="BC46" s="78"/>
      <c r="BD46" s="78"/>
      <c r="BE46" s="78"/>
      <c r="BF46" s="78"/>
      <c r="BG46" s="78"/>
      <c r="BH46" s="78"/>
      <c r="BI46" s="78"/>
      <c r="BJ46" s="78"/>
      <c r="BK46" s="78"/>
      <c r="BL46" s="78"/>
      <c r="BM46" s="78"/>
      <c r="BN46" s="78"/>
      <c r="BO46" s="78"/>
      <c r="BP46" s="78"/>
      <c r="BQ46" s="78"/>
      <c r="BR46" s="78"/>
      <c r="BS46" s="78"/>
      <c r="BT46" s="78"/>
      <c r="BU46" s="78"/>
      <c r="BV46" s="78"/>
      <c r="BW46" s="78"/>
      <c r="BX46" s="78"/>
      <c r="BY46" s="78"/>
      <c r="BZ46" s="78"/>
      <c r="CA46" s="78"/>
      <c r="CB46" s="78"/>
      <c r="CC46" s="78"/>
      <c r="CD46" s="78"/>
      <c r="CE46" s="78"/>
      <c r="CF46" s="78"/>
      <c r="CG46" s="78"/>
      <c r="CH46" s="78"/>
      <c r="CI46" s="78"/>
      <c r="CJ46" s="78"/>
      <c r="CK46" s="78"/>
      <c r="CL46" s="78"/>
      <c r="CM46" s="78"/>
      <c r="CN46" s="78"/>
      <c r="CO46" s="78"/>
      <c r="CP46" s="78"/>
      <c r="CQ46" s="78"/>
      <c r="CR46" s="78"/>
      <c r="CS46" s="78"/>
      <c r="CT46" s="78"/>
      <c r="CU46" s="78"/>
      <c r="CV46" s="78"/>
      <c r="CW46" s="78"/>
      <c r="CX46" s="78"/>
      <c r="CY46" s="78"/>
      <c r="CZ46" s="78"/>
      <c r="DA46" s="78"/>
      <c r="DB46" s="78"/>
      <c r="DC46" s="78"/>
      <c r="DD46" s="78"/>
      <c r="DE46" s="78"/>
      <c r="DF46" s="78"/>
      <c r="DG46" s="78"/>
      <c r="DH46" s="78"/>
      <c r="DI46" s="78"/>
      <c r="DJ46" s="78"/>
      <c r="DK46" s="78"/>
      <c r="DL46" s="78"/>
      <c r="DM46" s="78"/>
      <c r="DN46" s="78"/>
      <c r="DO46" s="78"/>
      <c r="DP46" s="78"/>
      <c r="DQ46" s="78"/>
      <c r="DR46" s="78"/>
      <c r="DS46" s="78"/>
      <c r="DT46" s="78"/>
      <c r="DU46" s="78"/>
      <c r="DV46" s="78"/>
      <c r="DW46" s="78"/>
      <c r="DX46" s="78"/>
      <c r="DY46" s="78"/>
      <c r="DZ46" s="78"/>
      <c r="EA46" s="78"/>
      <c r="EB46" s="78"/>
      <c r="EC46" s="78"/>
      <c r="ED46" s="78"/>
      <c r="EE46" s="78"/>
      <c r="EF46" s="78"/>
      <c r="EG46" s="78"/>
      <c r="EH46" s="78"/>
      <c r="EI46" s="78"/>
      <c r="EJ46" s="78"/>
      <c r="EK46" s="78"/>
      <c r="EL46" s="78"/>
      <c r="EM46" s="78"/>
      <c r="EN46" s="78"/>
      <c r="EO46" s="78"/>
      <c r="EP46" s="78"/>
      <c r="EQ46" s="78"/>
      <c r="ER46" s="78"/>
      <c r="ES46" s="78"/>
      <c r="ET46" s="78"/>
      <c r="EU46" s="78"/>
      <c r="EV46" s="78"/>
      <c r="EW46" s="78"/>
      <c r="EX46" s="78"/>
      <c r="EY46" s="78"/>
      <c r="EZ46" s="78"/>
      <c r="FA46" s="78"/>
      <c r="FB46" s="78"/>
      <c r="FC46" s="78"/>
      <c r="FD46" s="78"/>
      <c r="FE46" s="78"/>
      <c r="FF46" s="78"/>
      <c r="FG46" s="78"/>
      <c r="FH46" s="78"/>
      <c r="FI46" s="78"/>
      <c r="FJ46" s="78"/>
      <c r="FK46" s="78"/>
      <c r="FL46" s="78"/>
      <c r="FM46" s="78"/>
      <c r="FN46" s="78"/>
      <c r="FO46" s="78"/>
      <c r="FP46" s="78"/>
      <c r="FQ46" s="78"/>
      <c r="FR46" s="78"/>
      <c r="FS46" s="78"/>
      <c r="FT46" s="78"/>
      <c r="FU46" s="78"/>
      <c r="FV46" s="78"/>
      <c r="FW46" s="78"/>
      <c r="FX46" s="78"/>
      <c r="FY46" s="78"/>
      <c r="FZ46" s="78"/>
      <c r="GA46" s="78"/>
      <c r="GB46" s="78"/>
      <c r="GC46" s="78"/>
      <c r="GD46" s="78"/>
      <c r="GE46" s="78"/>
      <c r="GF46" s="78"/>
      <c r="GG46" s="78"/>
      <c r="GH46" s="78"/>
      <c r="GI46" s="78"/>
      <c r="GJ46" s="78"/>
      <c r="GK46" s="78"/>
      <c r="GL46" s="78"/>
      <c r="GM46" s="78"/>
      <c r="GN46" s="78"/>
      <c r="GO46" s="78"/>
      <c r="GP46" s="78"/>
      <c r="GQ46" s="78"/>
      <c r="GR46" s="78"/>
      <c r="GS46" s="78"/>
      <c r="GT46" s="78"/>
      <c r="GU46" s="78"/>
      <c r="GV46" s="78"/>
      <c r="GW46" s="78"/>
      <c r="GX46" s="78"/>
      <c r="GY46" s="78"/>
      <c r="GZ46" s="78"/>
      <c r="HA46" s="78"/>
      <c r="HB46" s="78"/>
      <c r="HC46" s="78"/>
      <c r="HD46" s="78"/>
      <c r="HE46" s="78"/>
      <c r="HF46" s="78"/>
      <c r="HG46" s="78"/>
      <c r="HH46" s="78"/>
      <c r="HI46" s="78"/>
      <c r="HJ46" s="78"/>
      <c r="HK46" s="78"/>
      <c r="HL46" s="78"/>
      <c r="HM46" s="78"/>
      <c r="HN46" s="78"/>
      <c r="HO46" s="78"/>
      <c r="HP46" s="78"/>
      <c r="HQ46" s="78"/>
      <c r="HR46" s="78"/>
      <c r="HS46" s="78"/>
      <c r="HT46" s="78"/>
      <c r="HU46" s="78"/>
      <c r="HV46" s="78"/>
      <c r="HW46" s="78"/>
      <c r="HX46" s="78"/>
      <c r="HY46" s="78"/>
      <c r="HZ46" s="78"/>
      <c r="IA46" s="78"/>
      <c r="IB46" s="78"/>
      <c r="IC46" s="78"/>
      <c r="ID46" s="78"/>
      <c r="IE46" s="78"/>
      <c r="IF46" s="78"/>
      <c r="IG46" s="78"/>
      <c r="IH46" s="78"/>
      <c r="II46" s="78"/>
      <c r="IJ46" s="78"/>
      <c r="IK46" s="78"/>
      <c r="IL46" s="78"/>
      <c r="IM46" s="78"/>
      <c r="IN46" s="78"/>
      <c r="IO46" s="78"/>
      <c r="IP46" s="78"/>
      <c r="IQ46" s="78"/>
      <c r="IR46" s="78"/>
      <c r="IS46" s="78"/>
      <c r="IT46" s="78"/>
      <c r="IU46" s="78"/>
      <c r="IV46" s="78"/>
      <c r="IW46" s="78"/>
    </row>
    <row r="47" customFormat="false" ht="10.5" hidden="false" customHeight="true" outlineLevel="0" collapsed="false">
      <c r="A47" s="4" t="s">
        <v>1</v>
      </c>
      <c r="B47" s="98"/>
      <c r="C47" s="99"/>
      <c r="D47" s="100"/>
      <c r="E47" s="83"/>
      <c r="F47" s="62"/>
      <c r="G47" s="60"/>
      <c r="H47" s="83"/>
      <c r="I47" s="63"/>
      <c r="J47" s="46"/>
      <c r="K47" s="63"/>
      <c r="L47" s="83"/>
      <c r="M47" s="57"/>
      <c r="N47" s="59"/>
      <c r="O47" s="102"/>
      <c r="P47" s="102"/>
      <c r="Q47" s="59"/>
      <c r="R47" s="59"/>
      <c r="S47" s="63"/>
      <c r="T47" s="60"/>
      <c r="U47" s="60"/>
      <c r="V47" s="60"/>
      <c r="W47" s="60"/>
      <c r="X47" s="60"/>
      <c r="Y47" s="60"/>
      <c r="Z47" s="63"/>
      <c r="AA47" s="63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63"/>
      <c r="BE47" s="63"/>
      <c r="BF47" s="63"/>
      <c r="BG47" s="63"/>
      <c r="BH47" s="63"/>
      <c r="BI47" s="63"/>
      <c r="BJ47" s="63"/>
      <c r="BK47" s="63"/>
      <c r="BL47" s="63"/>
      <c r="BM47" s="63"/>
      <c r="BN47" s="63"/>
      <c r="BO47" s="63"/>
      <c r="BP47" s="63"/>
      <c r="BQ47" s="63"/>
      <c r="BR47" s="63"/>
      <c r="BS47" s="63"/>
      <c r="BT47" s="63"/>
      <c r="BU47" s="63"/>
      <c r="BV47" s="63"/>
      <c r="BW47" s="63"/>
      <c r="BX47" s="63"/>
      <c r="BY47" s="63"/>
      <c r="BZ47" s="63"/>
      <c r="CA47" s="63"/>
      <c r="CB47" s="63"/>
      <c r="CC47" s="63"/>
      <c r="CD47" s="63"/>
      <c r="CE47" s="63"/>
      <c r="CF47" s="63"/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  <c r="DZ47" s="63"/>
      <c r="EA47" s="63"/>
      <c r="EB47" s="63"/>
      <c r="EC47" s="63"/>
      <c r="ED47" s="63"/>
      <c r="EE47" s="63"/>
      <c r="EF47" s="63"/>
      <c r="EG47" s="63"/>
      <c r="EH47" s="63"/>
      <c r="EI47" s="63"/>
      <c r="EJ47" s="63"/>
      <c r="EK47" s="63"/>
      <c r="EL47" s="63"/>
      <c r="EM47" s="63"/>
      <c r="EN47" s="63"/>
      <c r="EO47" s="63"/>
      <c r="EP47" s="63"/>
      <c r="EQ47" s="63"/>
      <c r="ER47" s="63"/>
      <c r="ES47" s="63"/>
      <c r="ET47" s="63"/>
      <c r="EU47" s="63"/>
      <c r="EV47" s="63"/>
      <c r="EW47" s="63"/>
      <c r="EX47" s="63"/>
      <c r="EY47" s="63"/>
      <c r="EZ47" s="63"/>
      <c r="FA47" s="63"/>
      <c r="FB47" s="63"/>
      <c r="FC47" s="63"/>
      <c r="FD47" s="63"/>
      <c r="FE47" s="63"/>
      <c r="FF47" s="63"/>
      <c r="FG47" s="63"/>
      <c r="FH47" s="63"/>
      <c r="FI47" s="63"/>
      <c r="FJ47" s="63"/>
      <c r="FK47" s="63"/>
      <c r="FL47" s="63"/>
      <c r="FM47" s="63"/>
      <c r="FN47" s="63"/>
      <c r="FO47" s="63"/>
      <c r="FP47" s="63"/>
      <c r="FQ47" s="63"/>
      <c r="FR47" s="63"/>
      <c r="FS47" s="63"/>
      <c r="FT47" s="63"/>
      <c r="FU47" s="63"/>
      <c r="FV47" s="63"/>
      <c r="FW47" s="63"/>
      <c r="FX47" s="63"/>
      <c r="FY47" s="63"/>
      <c r="FZ47" s="63"/>
      <c r="GA47" s="63"/>
      <c r="GB47" s="63"/>
      <c r="GC47" s="63"/>
      <c r="GD47" s="63"/>
      <c r="GE47" s="63"/>
      <c r="GF47" s="63"/>
      <c r="GG47" s="63"/>
      <c r="GH47" s="63"/>
      <c r="GI47" s="63"/>
      <c r="GJ47" s="63"/>
      <c r="GK47" s="63"/>
      <c r="GL47" s="63"/>
      <c r="GM47" s="63"/>
      <c r="GN47" s="63"/>
      <c r="GO47" s="63"/>
      <c r="GP47" s="63"/>
      <c r="GQ47" s="63"/>
      <c r="GR47" s="63"/>
      <c r="GS47" s="63"/>
      <c r="GT47" s="63"/>
      <c r="GU47" s="63"/>
      <c r="GV47" s="63"/>
      <c r="GW47" s="63"/>
      <c r="GX47" s="63"/>
      <c r="GY47" s="63"/>
      <c r="GZ47" s="63"/>
      <c r="HA47" s="63"/>
      <c r="HB47" s="63"/>
      <c r="HC47" s="63"/>
      <c r="HD47" s="63"/>
      <c r="HE47" s="63"/>
      <c r="HF47" s="63"/>
      <c r="HG47" s="63"/>
      <c r="HH47" s="63"/>
      <c r="HI47" s="63"/>
      <c r="HJ47" s="63"/>
      <c r="HK47" s="63"/>
      <c r="HL47" s="63"/>
      <c r="HM47" s="63"/>
      <c r="HN47" s="63"/>
      <c r="HO47" s="63"/>
      <c r="HP47" s="63"/>
      <c r="HQ47" s="63"/>
      <c r="HR47" s="63"/>
      <c r="HS47" s="63"/>
      <c r="HT47" s="63"/>
      <c r="HU47" s="63"/>
      <c r="HV47" s="63"/>
      <c r="HW47" s="63"/>
      <c r="HX47" s="63"/>
      <c r="HY47" s="63"/>
      <c r="HZ47" s="63"/>
      <c r="IA47" s="63"/>
      <c r="IB47" s="63"/>
      <c r="IC47" s="63"/>
      <c r="ID47" s="63"/>
      <c r="IE47" s="63"/>
      <c r="IF47" s="63"/>
      <c r="IG47" s="63"/>
      <c r="IH47" s="63"/>
      <c r="II47" s="63"/>
      <c r="IJ47" s="63"/>
      <c r="IK47" s="63"/>
      <c r="IL47" s="63"/>
      <c r="IM47" s="63"/>
      <c r="IN47" s="63"/>
      <c r="IO47" s="63"/>
      <c r="IP47" s="63"/>
      <c r="IQ47" s="63"/>
      <c r="IR47" s="63"/>
      <c r="IS47" s="63"/>
      <c r="IT47" s="63"/>
      <c r="IU47" s="63"/>
      <c r="IV47" s="63"/>
      <c r="IW47" s="63"/>
    </row>
    <row r="48" customFormat="false" ht="30" hidden="false" customHeight="true" outlineLevel="0" collapsed="false">
      <c r="A48" s="4" t="s">
        <v>1</v>
      </c>
      <c r="B48" s="77" t="s">
        <v>46</v>
      </c>
      <c r="C48" s="99"/>
      <c r="D48" s="75" t="n">
        <f aca="false">D51+D50+D52</f>
        <v>0.0912732072023077</v>
      </c>
      <c r="E48" s="83"/>
      <c r="F48" s="62"/>
      <c r="G48" s="75" t="n">
        <f aca="false">INDEX('BRA Power'!$A$6:$W$500,MATCH(Summary!$B$8,'BRA Power'!$A$6:$A$500,0),17)</f>
        <v>0.0718414518937157</v>
      </c>
      <c r="H48" s="83"/>
      <c r="I48" s="63"/>
      <c r="J48" s="67" t="n">
        <f aca="false">INDEX('RAC V@r Total'!$A$6:$Z$500,MATCH(Summary!$B$8,'RAC V@r Total'!$A$6:$A$500,0),16)</f>
        <v>77.82898</v>
      </c>
      <c r="K48" s="63"/>
      <c r="L48" s="83"/>
      <c r="M48" s="57"/>
      <c r="N48" s="80" t="n">
        <f aca="false">N49+N53</f>
        <v>2973.36275663184</v>
      </c>
      <c r="O48" s="80" t="n">
        <f aca="false">O49+O53</f>
        <v>3026.99615444675</v>
      </c>
      <c r="P48" s="80" t="n">
        <f aca="false">P49+P53</f>
        <v>2973.36275663184</v>
      </c>
      <c r="Q48" s="80" t="n">
        <f aca="false">Q49+Q53</f>
        <v>2245.93442443483</v>
      </c>
      <c r="R48" s="80" t="n">
        <f aca="false">R49+R53</f>
        <v>24932.4961200733</v>
      </c>
      <c r="S48" s="60"/>
      <c r="T48" s="60"/>
      <c r="U48" s="60"/>
      <c r="V48" s="60"/>
      <c r="W48" s="60"/>
      <c r="X48" s="60"/>
      <c r="Y48" s="60"/>
      <c r="Z48" s="63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  <c r="BC48" s="63"/>
      <c r="BD48" s="63"/>
      <c r="BE48" s="63"/>
      <c r="BF48" s="63"/>
      <c r="BG48" s="63"/>
      <c r="BH48" s="63"/>
      <c r="BI48" s="63"/>
      <c r="BJ48" s="63"/>
      <c r="BK48" s="63"/>
      <c r="BL48" s="63"/>
      <c r="BM48" s="63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  <c r="GY48" s="63"/>
      <c r="GZ48" s="63"/>
      <c r="HA48" s="63"/>
      <c r="HB48" s="63"/>
      <c r="HC48" s="63"/>
      <c r="HD48" s="63"/>
      <c r="HE48" s="63"/>
      <c r="HF48" s="63"/>
      <c r="HG48" s="63"/>
      <c r="HH48" s="63"/>
      <c r="HI48" s="63"/>
      <c r="HJ48" s="63"/>
      <c r="HK48" s="63"/>
      <c r="HL48" s="63"/>
      <c r="HM48" s="63"/>
      <c r="HN48" s="63"/>
      <c r="HO48" s="63"/>
      <c r="HP48" s="63"/>
      <c r="HQ48" s="63"/>
      <c r="HR48" s="63"/>
      <c r="HS48" s="63"/>
      <c r="HT48" s="63"/>
      <c r="HU48" s="63"/>
      <c r="HV48" s="63"/>
      <c r="HW48" s="63"/>
      <c r="HX48" s="63"/>
      <c r="HY48" s="63"/>
      <c r="HZ48" s="63"/>
      <c r="IA48" s="63"/>
      <c r="IB48" s="63"/>
      <c r="IC48" s="63"/>
      <c r="ID48" s="63"/>
      <c r="IE48" s="63"/>
      <c r="IF48" s="63"/>
      <c r="IG48" s="63"/>
      <c r="IH48" s="63"/>
      <c r="II48" s="63"/>
      <c r="IJ48" s="63"/>
      <c r="IK48" s="63"/>
      <c r="IL48" s="63"/>
      <c r="IM48" s="63"/>
      <c r="IN48" s="63"/>
      <c r="IO48" s="63"/>
      <c r="IP48" s="63"/>
      <c r="IQ48" s="63"/>
      <c r="IR48" s="63"/>
      <c r="IS48" s="63"/>
      <c r="IT48" s="63"/>
      <c r="IU48" s="63"/>
      <c r="IV48" s="63"/>
      <c r="IW48" s="63"/>
    </row>
    <row r="49" customFormat="false" ht="24.95" hidden="false" customHeight="true" outlineLevel="0" collapsed="false">
      <c r="A49" s="4" t="s">
        <v>1</v>
      </c>
      <c r="B49" s="96" t="s">
        <v>40</v>
      </c>
      <c r="C49" s="51"/>
      <c r="D49" s="111"/>
      <c r="E49" s="82"/>
      <c r="F49" s="54"/>
      <c r="G49" s="111"/>
      <c r="H49" s="82"/>
      <c r="I49" s="55"/>
      <c r="J49" s="46"/>
      <c r="K49" s="55"/>
      <c r="L49" s="83"/>
      <c r="M49" s="57"/>
      <c r="N49" s="65" t="n">
        <f aca="false">N50+N51</f>
        <v>2973.36275663184</v>
      </c>
      <c r="O49" s="65" t="n">
        <f aca="false">O50+O51</f>
        <v>3026.99615444675</v>
      </c>
      <c r="P49" s="65" t="n">
        <f aca="false">P50+P51</f>
        <v>2973.36275663184</v>
      </c>
      <c r="Q49" s="65" t="n">
        <f aca="false">Q50+Q51</f>
        <v>2245.93442443483</v>
      </c>
      <c r="R49" s="65" t="n">
        <f aca="false">R50+R51</f>
        <v>6313.90408189152</v>
      </c>
      <c r="S49" s="78"/>
      <c r="T49" s="60"/>
      <c r="U49" s="60"/>
      <c r="V49" s="60"/>
      <c r="W49" s="60"/>
      <c r="X49" s="60"/>
      <c r="Y49" s="60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55"/>
      <c r="BN49" s="55"/>
      <c r="BO49" s="55"/>
      <c r="BP49" s="55"/>
      <c r="BQ49" s="55"/>
      <c r="BR49" s="55"/>
      <c r="BS49" s="55"/>
      <c r="BT49" s="55"/>
      <c r="BU49" s="55"/>
      <c r="BV49" s="55"/>
      <c r="BW49" s="55"/>
      <c r="BX49" s="55"/>
      <c r="BY49" s="55"/>
      <c r="BZ49" s="55"/>
      <c r="CA49" s="55"/>
      <c r="CB49" s="55"/>
      <c r="CC49" s="55"/>
      <c r="CD49" s="55"/>
      <c r="CE49" s="55"/>
      <c r="CF49" s="55"/>
      <c r="CG49" s="55"/>
      <c r="CH49" s="55"/>
      <c r="CI49" s="55"/>
      <c r="CJ49" s="55"/>
      <c r="CK49" s="55"/>
      <c r="CL49" s="55"/>
      <c r="CM49" s="55"/>
      <c r="CN49" s="55"/>
      <c r="CO49" s="55"/>
      <c r="CP49" s="55"/>
      <c r="CQ49" s="55"/>
      <c r="CR49" s="55"/>
      <c r="CS49" s="55"/>
      <c r="CT49" s="55"/>
      <c r="CU49" s="55"/>
      <c r="CV49" s="55"/>
      <c r="CW49" s="55"/>
      <c r="CX49" s="55"/>
      <c r="CY49" s="55"/>
      <c r="CZ49" s="55"/>
      <c r="DA49" s="55"/>
      <c r="DB49" s="55"/>
      <c r="DC49" s="55"/>
      <c r="DD49" s="55"/>
      <c r="DE49" s="55"/>
      <c r="DF49" s="55"/>
      <c r="DG49" s="55"/>
      <c r="DH49" s="55"/>
      <c r="DI49" s="55"/>
      <c r="DJ49" s="55"/>
      <c r="DK49" s="55"/>
      <c r="DL49" s="55"/>
      <c r="DM49" s="55"/>
      <c r="DN49" s="55"/>
      <c r="DO49" s="55"/>
      <c r="DP49" s="55"/>
      <c r="DQ49" s="55"/>
      <c r="DR49" s="55"/>
      <c r="DS49" s="55"/>
      <c r="DT49" s="55"/>
      <c r="DU49" s="55"/>
      <c r="DV49" s="55"/>
      <c r="DW49" s="55"/>
      <c r="DX49" s="55"/>
      <c r="DY49" s="55"/>
      <c r="DZ49" s="55"/>
      <c r="EA49" s="55"/>
      <c r="EB49" s="55"/>
      <c r="EC49" s="55"/>
      <c r="ED49" s="55"/>
      <c r="EE49" s="55"/>
      <c r="EF49" s="55"/>
      <c r="EG49" s="55"/>
      <c r="EH49" s="55"/>
      <c r="EI49" s="55"/>
      <c r="EJ49" s="55"/>
      <c r="EK49" s="55"/>
      <c r="EL49" s="55"/>
      <c r="EM49" s="55"/>
      <c r="EN49" s="55"/>
      <c r="EO49" s="55"/>
      <c r="EP49" s="55"/>
      <c r="EQ49" s="55"/>
      <c r="ER49" s="55"/>
      <c r="ES49" s="55"/>
      <c r="ET49" s="55"/>
      <c r="EU49" s="55"/>
      <c r="EV49" s="55"/>
      <c r="EW49" s="55"/>
      <c r="EX49" s="55"/>
      <c r="EY49" s="55"/>
      <c r="EZ49" s="55"/>
      <c r="FA49" s="55"/>
      <c r="FB49" s="55"/>
      <c r="FC49" s="55"/>
      <c r="FD49" s="55"/>
      <c r="FE49" s="55"/>
      <c r="FF49" s="55"/>
      <c r="FG49" s="55"/>
      <c r="FH49" s="55"/>
      <c r="FI49" s="55"/>
      <c r="FJ49" s="55"/>
      <c r="FK49" s="55"/>
      <c r="FL49" s="55"/>
      <c r="FM49" s="55"/>
      <c r="FN49" s="55"/>
      <c r="FO49" s="55"/>
      <c r="FP49" s="55"/>
      <c r="FQ49" s="55"/>
      <c r="FR49" s="55"/>
      <c r="FS49" s="55"/>
      <c r="FT49" s="55"/>
      <c r="FU49" s="55"/>
      <c r="FV49" s="55"/>
      <c r="FW49" s="55"/>
      <c r="FX49" s="55"/>
      <c r="FY49" s="55"/>
      <c r="FZ49" s="55"/>
      <c r="GA49" s="55"/>
      <c r="GB49" s="55"/>
      <c r="GC49" s="55"/>
      <c r="GD49" s="55"/>
      <c r="GE49" s="55"/>
      <c r="GF49" s="55"/>
      <c r="GG49" s="55"/>
      <c r="GH49" s="55"/>
      <c r="GI49" s="55"/>
      <c r="GJ49" s="55"/>
      <c r="GK49" s="55"/>
      <c r="GL49" s="55"/>
      <c r="GM49" s="55"/>
      <c r="GN49" s="55"/>
      <c r="GO49" s="55"/>
      <c r="GP49" s="55"/>
      <c r="GQ49" s="55"/>
      <c r="GR49" s="55"/>
      <c r="GS49" s="55"/>
      <c r="GT49" s="55"/>
      <c r="GU49" s="55"/>
      <c r="GV49" s="55"/>
      <c r="GW49" s="55"/>
      <c r="GX49" s="55"/>
      <c r="GY49" s="55"/>
      <c r="GZ49" s="55"/>
      <c r="HA49" s="55"/>
      <c r="HB49" s="55"/>
      <c r="HC49" s="55"/>
      <c r="HD49" s="55"/>
      <c r="HE49" s="55"/>
      <c r="HF49" s="55"/>
      <c r="HG49" s="55"/>
      <c r="HH49" s="55"/>
      <c r="HI49" s="55"/>
      <c r="HJ49" s="55"/>
      <c r="HK49" s="55"/>
      <c r="HL49" s="55"/>
      <c r="HM49" s="55"/>
      <c r="HN49" s="55"/>
      <c r="HO49" s="55"/>
      <c r="HP49" s="55"/>
      <c r="HQ49" s="55"/>
      <c r="HR49" s="55"/>
      <c r="HS49" s="55"/>
      <c r="HT49" s="55"/>
      <c r="HU49" s="55"/>
      <c r="HV49" s="55"/>
      <c r="HW49" s="55"/>
      <c r="HX49" s="55"/>
      <c r="HY49" s="55"/>
      <c r="HZ49" s="55"/>
      <c r="IA49" s="55"/>
      <c r="IB49" s="55"/>
      <c r="IC49" s="55"/>
      <c r="ID49" s="55"/>
      <c r="IE49" s="55"/>
      <c r="IF49" s="55"/>
      <c r="IG49" s="55"/>
      <c r="IH49" s="55"/>
      <c r="II49" s="55"/>
      <c r="IJ49" s="55"/>
      <c r="IK49" s="55"/>
      <c r="IL49" s="55"/>
      <c r="IM49" s="55"/>
      <c r="IN49" s="55"/>
      <c r="IO49" s="55"/>
      <c r="IP49" s="55"/>
      <c r="IQ49" s="55"/>
      <c r="IR49" s="55"/>
      <c r="IS49" s="55"/>
      <c r="IT49" s="55"/>
      <c r="IU49" s="55"/>
      <c r="IV49" s="55"/>
      <c r="IW49" s="55"/>
    </row>
    <row r="50" customFormat="false" ht="24.95" hidden="true" customHeight="true" outlineLevel="0" collapsed="false">
      <c r="A50" s="107" t="s">
        <v>34</v>
      </c>
      <c r="B50" s="112" t="s">
        <v>47</v>
      </c>
      <c r="C50" s="85"/>
      <c r="D50" s="113" t="n">
        <f aca="false">INDEX('BRA Power'!$A$6:$W$500,MATCH(Summary!$B$8,'BRA Power'!$A$6:$A$500,0),16)</f>
        <v>0.0912732072023077</v>
      </c>
      <c r="E50" s="114"/>
      <c r="F50" s="88"/>
      <c r="G50" s="115"/>
      <c r="H50" s="114"/>
      <c r="I50" s="85"/>
      <c r="J50" s="116"/>
      <c r="K50" s="85"/>
      <c r="L50" s="117"/>
      <c r="M50" s="90"/>
      <c r="N50" s="91" t="n">
        <f aca="false">INDEX('BRA Power'!$A$6:$W$500,MATCH(Summary!$B$8,'BRA Power'!$A$6:$A$500,0),19)</f>
        <v>2974.06789663184</v>
      </c>
      <c r="O50" s="91" t="n">
        <f aca="false">'BRA Power'!T$3</f>
        <v>4561.74386152938</v>
      </c>
      <c r="P50" s="91" t="n">
        <f aca="false">INDEX('BRA Power'!$A$6:$W$500,MATCH(Summary!$B$8,'BRA Power'!$A$6:$A$500,0),21)</f>
        <v>2974.06789663184</v>
      </c>
      <c r="Q50" s="91" t="n">
        <f aca="false">INDEX('BRA Power'!$A$6:$W$500,MATCH(Summary!$B$8,'BRA Power'!$A$6:$A$500,0),22)</f>
        <v>3770.30586747257</v>
      </c>
      <c r="R50" s="91" t="n">
        <f aca="false">(INDEX('BRA Power'!$A$6:$W$500,MATCH(Summary!$B$8,'BRA Power'!$A$6:$A$500,0),23))-R53</f>
        <v>7823.2581123204</v>
      </c>
      <c r="S50" s="85"/>
      <c r="T50" s="93"/>
      <c r="U50" s="93"/>
      <c r="V50" s="93"/>
      <c r="W50" s="93"/>
      <c r="X50" s="93"/>
      <c r="Y50" s="93"/>
      <c r="Z50" s="85"/>
      <c r="AA50" s="85"/>
      <c r="AB50" s="85"/>
      <c r="AC50" s="85"/>
      <c r="AD50" s="85"/>
      <c r="AE50" s="85"/>
      <c r="AF50" s="85"/>
      <c r="AG50" s="85"/>
      <c r="AH50" s="85"/>
      <c r="AI50" s="85"/>
      <c r="AJ50" s="85"/>
      <c r="AK50" s="85"/>
      <c r="AL50" s="85"/>
      <c r="AM50" s="85"/>
      <c r="AN50" s="85"/>
      <c r="AO50" s="85"/>
      <c r="AP50" s="85"/>
      <c r="AQ50" s="85"/>
      <c r="AR50" s="85"/>
      <c r="AS50" s="85"/>
      <c r="AT50" s="85"/>
      <c r="AU50" s="85"/>
      <c r="AV50" s="85"/>
      <c r="AW50" s="85"/>
      <c r="AX50" s="85"/>
      <c r="AY50" s="85"/>
      <c r="AZ50" s="85"/>
      <c r="BA50" s="85"/>
      <c r="BB50" s="85"/>
      <c r="BC50" s="85"/>
      <c r="BD50" s="85"/>
      <c r="BE50" s="85"/>
      <c r="BF50" s="85"/>
      <c r="BG50" s="85"/>
      <c r="BH50" s="85"/>
      <c r="BI50" s="85"/>
      <c r="BJ50" s="85"/>
      <c r="BK50" s="85"/>
      <c r="BL50" s="85"/>
      <c r="BM50" s="85"/>
      <c r="BN50" s="85"/>
      <c r="BO50" s="85"/>
      <c r="BP50" s="85"/>
      <c r="BQ50" s="85"/>
      <c r="BR50" s="85"/>
      <c r="BS50" s="85"/>
      <c r="BT50" s="85"/>
      <c r="BU50" s="85"/>
      <c r="BV50" s="85"/>
      <c r="BW50" s="85"/>
      <c r="BX50" s="85"/>
      <c r="BY50" s="85"/>
      <c r="BZ50" s="85"/>
      <c r="CA50" s="85"/>
      <c r="CB50" s="85"/>
      <c r="CC50" s="85"/>
      <c r="CD50" s="85"/>
      <c r="CE50" s="85"/>
      <c r="CF50" s="85"/>
      <c r="CG50" s="85"/>
      <c r="CH50" s="85"/>
      <c r="CI50" s="85"/>
      <c r="CJ50" s="85"/>
      <c r="CK50" s="85"/>
      <c r="CL50" s="85"/>
      <c r="CM50" s="85"/>
      <c r="CN50" s="85"/>
      <c r="CO50" s="85"/>
      <c r="CP50" s="85"/>
      <c r="CQ50" s="85"/>
      <c r="CR50" s="85"/>
      <c r="CS50" s="85"/>
      <c r="CT50" s="85"/>
      <c r="CU50" s="85"/>
      <c r="CV50" s="85"/>
      <c r="CW50" s="85"/>
      <c r="CX50" s="85"/>
      <c r="CY50" s="85"/>
      <c r="CZ50" s="85"/>
      <c r="DA50" s="85"/>
      <c r="DB50" s="85"/>
      <c r="DC50" s="85"/>
      <c r="DD50" s="85"/>
      <c r="DE50" s="85"/>
      <c r="DF50" s="85"/>
      <c r="DG50" s="85"/>
      <c r="DH50" s="85"/>
      <c r="DI50" s="85"/>
      <c r="DJ50" s="85"/>
      <c r="DK50" s="85"/>
      <c r="DL50" s="85"/>
      <c r="DM50" s="85"/>
      <c r="DN50" s="85"/>
      <c r="DO50" s="85"/>
      <c r="DP50" s="85"/>
      <c r="DQ50" s="85"/>
      <c r="DR50" s="85"/>
      <c r="DS50" s="85"/>
      <c r="DT50" s="85"/>
      <c r="DU50" s="85"/>
      <c r="DV50" s="85"/>
      <c r="DW50" s="85"/>
      <c r="DX50" s="85"/>
      <c r="DY50" s="85"/>
      <c r="DZ50" s="85"/>
      <c r="EA50" s="85"/>
      <c r="EB50" s="85"/>
      <c r="EC50" s="85"/>
      <c r="ED50" s="85"/>
      <c r="EE50" s="85"/>
      <c r="EF50" s="85"/>
      <c r="EG50" s="85"/>
      <c r="EH50" s="85"/>
      <c r="EI50" s="85"/>
      <c r="EJ50" s="85"/>
      <c r="EK50" s="85"/>
      <c r="EL50" s="85"/>
      <c r="EM50" s="85"/>
      <c r="EN50" s="85"/>
      <c r="EO50" s="85"/>
      <c r="EP50" s="85"/>
      <c r="EQ50" s="85"/>
      <c r="ER50" s="85"/>
      <c r="ES50" s="85"/>
      <c r="ET50" s="85"/>
      <c r="EU50" s="85"/>
      <c r="EV50" s="85"/>
      <c r="EW50" s="85"/>
      <c r="EX50" s="85"/>
      <c r="EY50" s="85"/>
      <c r="EZ50" s="85"/>
      <c r="FA50" s="85"/>
      <c r="FB50" s="85"/>
      <c r="FC50" s="85"/>
      <c r="FD50" s="85"/>
      <c r="FE50" s="85"/>
      <c r="FF50" s="85"/>
      <c r="FG50" s="85"/>
      <c r="FH50" s="85"/>
      <c r="FI50" s="85"/>
      <c r="FJ50" s="85"/>
      <c r="FK50" s="85"/>
      <c r="FL50" s="85"/>
      <c r="FM50" s="85"/>
      <c r="FN50" s="85"/>
      <c r="FO50" s="85"/>
      <c r="FP50" s="85"/>
      <c r="FQ50" s="85"/>
      <c r="FR50" s="85"/>
      <c r="FS50" s="85"/>
      <c r="FT50" s="85"/>
      <c r="FU50" s="85"/>
      <c r="FV50" s="85"/>
      <c r="FW50" s="85"/>
      <c r="FX50" s="85"/>
      <c r="FY50" s="85"/>
      <c r="FZ50" s="85"/>
      <c r="GA50" s="85"/>
      <c r="GB50" s="85"/>
      <c r="GC50" s="85"/>
      <c r="GD50" s="85"/>
      <c r="GE50" s="85"/>
      <c r="GF50" s="85"/>
      <c r="GG50" s="85"/>
      <c r="GH50" s="85"/>
      <c r="GI50" s="85"/>
      <c r="GJ50" s="85"/>
      <c r="GK50" s="85"/>
      <c r="GL50" s="85"/>
      <c r="GM50" s="85"/>
      <c r="GN50" s="85"/>
      <c r="GO50" s="85"/>
      <c r="GP50" s="85"/>
      <c r="GQ50" s="85"/>
      <c r="GR50" s="85"/>
      <c r="GS50" s="85"/>
      <c r="GT50" s="85"/>
      <c r="GU50" s="85"/>
      <c r="GV50" s="85"/>
      <c r="GW50" s="85"/>
      <c r="GX50" s="85"/>
      <c r="GY50" s="85"/>
      <c r="GZ50" s="85"/>
      <c r="HA50" s="85"/>
      <c r="HB50" s="85"/>
      <c r="HC50" s="85"/>
      <c r="HD50" s="85"/>
      <c r="HE50" s="85"/>
      <c r="HF50" s="85"/>
      <c r="HG50" s="85"/>
      <c r="HH50" s="85"/>
      <c r="HI50" s="85"/>
      <c r="HJ50" s="85"/>
      <c r="HK50" s="85"/>
      <c r="HL50" s="85"/>
      <c r="HM50" s="85"/>
      <c r="HN50" s="85"/>
      <c r="HO50" s="85"/>
      <c r="HP50" s="85"/>
      <c r="HQ50" s="85"/>
      <c r="HR50" s="85"/>
      <c r="HS50" s="85"/>
      <c r="HT50" s="85"/>
      <c r="HU50" s="85"/>
      <c r="HV50" s="85"/>
      <c r="HW50" s="85"/>
      <c r="HX50" s="85"/>
      <c r="HY50" s="85"/>
      <c r="HZ50" s="85"/>
      <c r="IA50" s="85"/>
      <c r="IB50" s="85"/>
      <c r="IC50" s="85"/>
      <c r="ID50" s="85"/>
      <c r="IE50" s="85"/>
      <c r="IF50" s="85"/>
      <c r="IG50" s="85"/>
      <c r="IH50" s="85"/>
      <c r="II50" s="85"/>
      <c r="IJ50" s="85"/>
      <c r="IK50" s="85"/>
      <c r="IL50" s="85"/>
      <c r="IM50" s="85"/>
      <c r="IN50" s="85"/>
      <c r="IO50" s="85"/>
      <c r="IP50" s="85"/>
      <c r="IQ50" s="85"/>
      <c r="IR50" s="85"/>
      <c r="IS50" s="85"/>
      <c r="IT50" s="85"/>
      <c r="IU50" s="85"/>
      <c r="IV50" s="85"/>
      <c r="IW50" s="85"/>
    </row>
    <row r="51" customFormat="false" ht="24.95" hidden="true" customHeight="true" outlineLevel="0" collapsed="false">
      <c r="A51" s="107" t="s">
        <v>34</v>
      </c>
      <c r="B51" s="112" t="s">
        <v>48</v>
      </c>
      <c r="C51" s="85"/>
      <c r="D51" s="113" t="n">
        <f aca="false">INDEX('BRA PWR Certificates'!$A$6:$W$500,MATCH(Summary!$B$8,'BRA Power'!$A$6:$A$500,0),16)</f>
        <v>0</v>
      </c>
      <c r="E51" s="114"/>
      <c r="F51" s="88"/>
      <c r="G51" s="118"/>
      <c r="H51" s="114"/>
      <c r="I51" s="85"/>
      <c r="J51" s="116"/>
      <c r="K51" s="85"/>
      <c r="L51" s="117"/>
      <c r="M51" s="90"/>
      <c r="N51" s="91" t="n">
        <f aca="false">INDEX('BRA PWR Certificates'!$A$6:$W$500,MATCH(Summary!$B$8,'BRA PWR Certificates'!$A$6:$A$500,0),19)</f>
        <v>-0.70514</v>
      </c>
      <c r="O51" s="91" t="n">
        <f aca="false">'BRA PWR Certificates'!T$3</f>
        <v>-1534.74770708263</v>
      </c>
      <c r="P51" s="91" t="n">
        <f aca="false">INDEX('BRA PWR Certificates'!$A$6:$W$500,MATCH(Summary!$B$8,'BRA PWR Certificates'!$A$6:$A$500,0),21)</f>
        <v>-0.70514</v>
      </c>
      <c r="Q51" s="91" t="n">
        <f aca="false">INDEX('BRA PWR Certificates'!$A$6:$W$500,MATCH(Summary!$B$8,'BRA PWR Certificates'!$A$6:$A$500,0),22)</f>
        <v>-1524.37144303775</v>
      </c>
      <c r="R51" s="91" t="n">
        <f aca="false">(INDEX('BRA PWR Certificates'!$A$6:$W$500,MATCH(Summary!$B$8,'BRA PWR Certificates'!$A$6:$A$500,0),23))</f>
        <v>-1509.35403042888</v>
      </c>
      <c r="S51" s="85"/>
      <c r="T51" s="93"/>
      <c r="U51" s="93"/>
      <c r="V51" s="93"/>
      <c r="W51" s="93"/>
      <c r="X51" s="93"/>
      <c r="Y51" s="93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85"/>
      <c r="AR51" s="85"/>
      <c r="AS51" s="85"/>
      <c r="AT51" s="85"/>
      <c r="AU51" s="85"/>
      <c r="AV51" s="85"/>
      <c r="AW51" s="85"/>
      <c r="AX51" s="85"/>
      <c r="AY51" s="85"/>
      <c r="AZ51" s="85"/>
      <c r="BA51" s="85"/>
      <c r="BB51" s="85"/>
      <c r="BC51" s="85"/>
      <c r="BD51" s="85"/>
      <c r="BE51" s="85"/>
      <c r="BF51" s="85"/>
      <c r="BG51" s="85"/>
      <c r="BH51" s="85"/>
      <c r="BI51" s="85"/>
      <c r="BJ51" s="85"/>
      <c r="BK51" s="85"/>
      <c r="BL51" s="85"/>
      <c r="BM51" s="85"/>
      <c r="BN51" s="85"/>
      <c r="BO51" s="85"/>
      <c r="BP51" s="85"/>
      <c r="BQ51" s="85"/>
      <c r="BR51" s="85"/>
      <c r="BS51" s="85"/>
      <c r="BT51" s="85"/>
      <c r="BU51" s="85"/>
      <c r="BV51" s="85"/>
      <c r="BW51" s="85"/>
      <c r="BX51" s="85"/>
      <c r="BY51" s="85"/>
      <c r="BZ51" s="85"/>
      <c r="CA51" s="85"/>
      <c r="CB51" s="85"/>
      <c r="CC51" s="85"/>
      <c r="CD51" s="85"/>
      <c r="CE51" s="85"/>
      <c r="CF51" s="85"/>
      <c r="CG51" s="85"/>
      <c r="CH51" s="85"/>
      <c r="CI51" s="85"/>
      <c r="CJ51" s="85"/>
      <c r="CK51" s="85"/>
      <c r="CL51" s="85"/>
      <c r="CM51" s="85"/>
      <c r="CN51" s="85"/>
      <c r="CO51" s="85"/>
      <c r="CP51" s="85"/>
      <c r="CQ51" s="85"/>
      <c r="CR51" s="85"/>
      <c r="CS51" s="85"/>
      <c r="CT51" s="85"/>
      <c r="CU51" s="85"/>
      <c r="CV51" s="85"/>
      <c r="CW51" s="85"/>
      <c r="CX51" s="85"/>
      <c r="CY51" s="85"/>
      <c r="CZ51" s="85"/>
      <c r="DA51" s="85"/>
      <c r="DB51" s="85"/>
      <c r="DC51" s="85"/>
      <c r="DD51" s="85"/>
      <c r="DE51" s="85"/>
      <c r="DF51" s="85"/>
      <c r="DG51" s="85"/>
      <c r="DH51" s="85"/>
      <c r="DI51" s="85"/>
      <c r="DJ51" s="85"/>
      <c r="DK51" s="85"/>
      <c r="DL51" s="85"/>
      <c r="DM51" s="85"/>
      <c r="DN51" s="85"/>
      <c r="DO51" s="85"/>
      <c r="DP51" s="85"/>
      <c r="DQ51" s="85"/>
      <c r="DR51" s="85"/>
      <c r="DS51" s="85"/>
      <c r="DT51" s="85"/>
      <c r="DU51" s="85"/>
      <c r="DV51" s="85"/>
      <c r="DW51" s="85"/>
      <c r="DX51" s="85"/>
      <c r="DY51" s="85"/>
      <c r="DZ51" s="85"/>
      <c r="EA51" s="85"/>
      <c r="EB51" s="85"/>
      <c r="EC51" s="85"/>
      <c r="ED51" s="85"/>
      <c r="EE51" s="85"/>
      <c r="EF51" s="85"/>
      <c r="EG51" s="85"/>
      <c r="EH51" s="85"/>
      <c r="EI51" s="85"/>
      <c r="EJ51" s="85"/>
      <c r="EK51" s="85"/>
      <c r="EL51" s="85"/>
      <c r="EM51" s="85"/>
      <c r="EN51" s="85"/>
      <c r="EO51" s="85"/>
      <c r="EP51" s="85"/>
      <c r="EQ51" s="85"/>
      <c r="ER51" s="85"/>
      <c r="ES51" s="85"/>
      <c r="ET51" s="85"/>
      <c r="EU51" s="85"/>
      <c r="EV51" s="85"/>
      <c r="EW51" s="85"/>
      <c r="EX51" s="85"/>
      <c r="EY51" s="85"/>
      <c r="EZ51" s="85"/>
      <c r="FA51" s="85"/>
      <c r="FB51" s="85"/>
      <c r="FC51" s="85"/>
      <c r="FD51" s="85"/>
      <c r="FE51" s="85"/>
      <c r="FF51" s="85"/>
      <c r="FG51" s="85"/>
      <c r="FH51" s="85"/>
      <c r="FI51" s="85"/>
      <c r="FJ51" s="85"/>
      <c r="FK51" s="85"/>
      <c r="FL51" s="85"/>
      <c r="FM51" s="85"/>
      <c r="FN51" s="85"/>
      <c r="FO51" s="85"/>
      <c r="FP51" s="85"/>
      <c r="FQ51" s="85"/>
      <c r="FR51" s="85"/>
      <c r="FS51" s="85"/>
      <c r="FT51" s="85"/>
      <c r="FU51" s="85"/>
      <c r="FV51" s="85"/>
      <c r="FW51" s="85"/>
      <c r="FX51" s="85"/>
      <c r="FY51" s="85"/>
      <c r="FZ51" s="85"/>
      <c r="GA51" s="85"/>
      <c r="GB51" s="85"/>
      <c r="GC51" s="85"/>
      <c r="GD51" s="85"/>
      <c r="GE51" s="85"/>
      <c r="GF51" s="85"/>
      <c r="GG51" s="85"/>
      <c r="GH51" s="85"/>
      <c r="GI51" s="85"/>
      <c r="GJ51" s="85"/>
      <c r="GK51" s="85"/>
      <c r="GL51" s="85"/>
      <c r="GM51" s="85"/>
      <c r="GN51" s="85"/>
      <c r="GO51" s="85"/>
      <c r="GP51" s="85"/>
      <c r="GQ51" s="85"/>
      <c r="GR51" s="85"/>
      <c r="GS51" s="85"/>
      <c r="GT51" s="85"/>
      <c r="GU51" s="85"/>
      <c r="GV51" s="85"/>
      <c r="GW51" s="85"/>
      <c r="GX51" s="85"/>
      <c r="GY51" s="85"/>
      <c r="GZ51" s="85"/>
      <c r="HA51" s="85"/>
      <c r="HB51" s="85"/>
      <c r="HC51" s="85"/>
      <c r="HD51" s="85"/>
      <c r="HE51" s="85"/>
      <c r="HF51" s="85"/>
      <c r="HG51" s="85"/>
      <c r="HH51" s="85"/>
      <c r="HI51" s="85"/>
      <c r="HJ51" s="85"/>
      <c r="HK51" s="85"/>
      <c r="HL51" s="85"/>
      <c r="HM51" s="85"/>
      <c r="HN51" s="85"/>
      <c r="HO51" s="85"/>
      <c r="HP51" s="85"/>
      <c r="HQ51" s="85"/>
      <c r="HR51" s="85"/>
      <c r="HS51" s="85"/>
      <c r="HT51" s="85"/>
      <c r="HU51" s="85"/>
      <c r="HV51" s="85"/>
      <c r="HW51" s="85"/>
      <c r="HX51" s="85"/>
      <c r="HY51" s="85"/>
      <c r="HZ51" s="85"/>
      <c r="IA51" s="85"/>
      <c r="IB51" s="85"/>
      <c r="IC51" s="85"/>
      <c r="ID51" s="85"/>
      <c r="IE51" s="85"/>
      <c r="IF51" s="85"/>
      <c r="IG51" s="85"/>
      <c r="IH51" s="85"/>
      <c r="II51" s="85"/>
      <c r="IJ51" s="85"/>
      <c r="IK51" s="85"/>
      <c r="IL51" s="85"/>
      <c r="IM51" s="85"/>
      <c r="IN51" s="85"/>
      <c r="IO51" s="85"/>
      <c r="IP51" s="85"/>
      <c r="IQ51" s="85"/>
      <c r="IR51" s="85"/>
      <c r="IS51" s="85"/>
      <c r="IT51" s="85"/>
      <c r="IU51" s="85"/>
      <c r="IV51" s="85"/>
      <c r="IW51" s="85"/>
    </row>
    <row r="52" customFormat="false" ht="24.95" hidden="false" customHeight="true" outlineLevel="0" collapsed="false">
      <c r="A52" s="4" t="s">
        <v>1</v>
      </c>
      <c r="B52" s="96" t="s">
        <v>49</v>
      </c>
      <c r="C52" s="51"/>
      <c r="D52" s="75" t="n">
        <f aca="false">INDEX(ELETROBOLT!$A$6:$W$500,MATCH(Summary!$B$8,ELETROBOLT!$A$6:$A$500,0),16)</f>
        <v>0</v>
      </c>
      <c r="E52" s="82"/>
      <c r="F52" s="54"/>
      <c r="G52" s="111"/>
      <c r="H52" s="82"/>
      <c r="I52" s="55"/>
      <c r="J52" s="46"/>
      <c r="K52" s="55"/>
      <c r="L52" s="83"/>
      <c r="M52" s="57"/>
      <c r="N52" s="65" t="n">
        <f aca="false">INDEX(ELETROBOLT!$A$6:$W$500,MATCH(Summary!$B$8,ELETROBOLT!$A$6:$A$500,0),19)</f>
        <v>0</v>
      </c>
      <c r="O52" s="65" t="n">
        <f aca="false">ELETROBOLT!T$3</f>
        <v>0</v>
      </c>
      <c r="P52" s="65" t="n">
        <f aca="false">INDEX(ELETROBOLT!$A$6:$W$500,MATCH(Summary!$B$8,ELETROBOLT!$A$6:$A$500,0),21)</f>
        <v>0</v>
      </c>
      <c r="Q52" s="65" t="n">
        <f aca="false">INDEX(ELETROBOLT!$A$6:$W$500,MATCH(Summary!$B$8,ELETROBOLT!$A$6:$A$500,0),22)</f>
        <v>0</v>
      </c>
      <c r="R52" s="65" t="n">
        <f aca="false">(INDEX(ELETROBOLT!$A$6:$W$500,MATCH(Summary!$B$8,ELETROBOLT!$A$6:$A$500,0),23))</f>
        <v>0</v>
      </c>
      <c r="S52" s="78"/>
      <c r="T52" s="60"/>
      <c r="U52" s="60"/>
      <c r="V52" s="60"/>
      <c r="W52" s="60"/>
      <c r="X52" s="60"/>
      <c r="Y52" s="60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55"/>
      <c r="BN52" s="55"/>
      <c r="BO52" s="55"/>
      <c r="BP52" s="55"/>
      <c r="BQ52" s="55"/>
      <c r="BR52" s="55"/>
      <c r="BS52" s="55"/>
      <c r="BT52" s="55"/>
      <c r="BU52" s="55"/>
      <c r="BV52" s="55"/>
      <c r="BW52" s="55"/>
      <c r="BX52" s="55"/>
      <c r="BY52" s="55"/>
      <c r="BZ52" s="55"/>
      <c r="CA52" s="55"/>
      <c r="CB52" s="55"/>
      <c r="CC52" s="55"/>
      <c r="CD52" s="55"/>
      <c r="CE52" s="55"/>
      <c r="CF52" s="55"/>
      <c r="CG52" s="55"/>
      <c r="CH52" s="55"/>
      <c r="CI52" s="55"/>
      <c r="CJ52" s="55"/>
      <c r="CK52" s="55"/>
      <c r="CL52" s="55"/>
      <c r="CM52" s="55"/>
      <c r="CN52" s="55"/>
      <c r="CO52" s="55"/>
      <c r="CP52" s="55"/>
      <c r="CQ52" s="55"/>
      <c r="CR52" s="55"/>
      <c r="CS52" s="55"/>
      <c r="CT52" s="55"/>
      <c r="CU52" s="55"/>
      <c r="CV52" s="55"/>
      <c r="CW52" s="55"/>
      <c r="CX52" s="55"/>
      <c r="CY52" s="55"/>
      <c r="CZ52" s="55"/>
      <c r="DA52" s="55"/>
      <c r="DB52" s="55"/>
      <c r="DC52" s="55"/>
      <c r="DD52" s="55"/>
      <c r="DE52" s="55"/>
      <c r="DF52" s="55"/>
      <c r="DG52" s="55"/>
      <c r="DH52" s="55"/>
      <c r="DI52" s="55"/>
      <c r="DJ52" s="55"/>
      <c r="DK52" s="55"/>
      <c r="DL52" s="55"/>
      <c r="DM52" s="55"/>
      <c r="DN52" s="55"/>
      <c r="DO52" s="55"/>
      <c r="DP52" s="55"/>
      <c r="DQ52" s="55"/>
      <c r="DR52" s="55"/>
      <c r="DS52" s="55"/>
      <c r="DT52" s="55"/>
      <c r="DU52" s="55"/>
      <c r="DV52" s="55"/>
      <c r="DW52" s="55"/>
      <c r="DX52" s="55"/>
      <c r="DY52" s="55"/>
      <c r="DZ52" s="55"/>
      <c r="EA52" s="55"/>
      <c r="EB52" s="55"/>
      <c r="EC52" s="55"/>
      <c r="ED52" s="55"/>
      <c r="EE52" s="55"/>
      <c r="EF52" s="55"/>
      <c r="EG52" s="55"/>
      <c r="EH52" s="55"/>
      <c r="EI52" s="55"/>
      <c r="EJ52" s="55"/>
      <c r="EK52" s="55"/>
      <c r="EL52" s="55"/>
      <c r="EM52" s="55"/>
      <c r="EN52" s="55"/>
      <c r="EO52" s="55"/>
      <c r="EP52" s="55"/>
      <c r="EQ52" s="55"/>
      <c r="ER52" s="55"/>
      <c r="ES52" s="55"/>
      <c r="ET52" s="55"/>
      <c r="EU52" s="55"/>
      <c r="EV52" s="55"/>
      <c r="EW52" s="55"/>
      <c r="EX52" s="55"/>
      <c r="EY52" s="55"/>
      <c r="EZ52" s="55"/>
      <c r="FA52" s="55"/>
      <c r="FB52" s="55"/>
      <c r="FC52" s="55"/>
      <c r="FD52" s="55"/>
      <c r="FE52" s="55"/>
      <c r="FF52" s="55"/>
      <c r="FG52" s="55"/>
      <c r="FH52" s="55"/>
      <c r="FI52" s="55"/>
      <c r="FJ52" s="55"/>
      <c r="FK52" s="55"/>
      <c r="FL52" s="55"/>
      <c r="FM52" s="55"/>
      <c r="FN52" s="55"/>
      <c r="FO52" s="55"/>
      <c r="FP52" s="55"/>
      <c r="FQ52" s="55"/>
      <c r="FR52" s="55"/>
      <c r="FS52" s="55"/>
      <c r="FT52" s="55"/>
      <c r="FU52" s="55"/>
      <c r="FV52" s="55"/>
      <c r="FW52" s="55"/>
      <c r="FX52" s="55"/>
      <c r="FY52" s="55"/>
      <c r="FZ52" s="55"/>
      <c r="GA52" s="55"/>
      <c r="GB52" s="55"/>
      <c r="GC52" s="55"/>
      <c r="GD52" s="55"/>
      <c r="GE52" s="55"/>
      <c r="GF52" s="55"/>
      <c r="GG52" s="55"/>
      <c r="GH52" s="55"/>
      <c r="GI52" s="55"/>
      <c r="GJ52" s="55"/>
      <c r="GK52" s="55"/>
      <c r="GL52" s="55"/>
      <c r="GM52" s="55"/>
      <c r="GN52" s="55"/>
      <c r="GO52" s="55"/>
      <c r="GP52" s="55"/>
      <c r="GQ52" s="55"/>
      <c r="GR52" s="55"/>
      <c r="GS52" s="55"/>
      <c r="GT52" s="55"/>
      <c r="GU52" s="55"/>
      <c r="GV52" s="55"/>
      <c r="GW52" s="55"/>
      <c r="GX52" s="55"/>
      <c r="GY52" s="55"/>
      <c r="GZ52" s="55"/>
      <c r="HA52" s="55"/>
      <c r="HB52" s="55"/>
      <c r="HC52" s="55"/>
      <c r="HD52" s="55"/>
      <c r="HE52" s="55"/>
      <c r="HF52" s="55"/>
      <c r="HG52" s="55"/>
      <c r="HH52" s="55"/>
      <c r="HI52" s="55"/>
      <c r="HJ52" s="55"/>
      <c r="HK52" s="55"/>
      <c r="HL52" s="55"/>
      <c r="HM52" s="55"/>
      <c r="HN52" s="55"/>
      <c r="HO52" s="55"/>
      <c r="HP52" s="55"/>
      <c r="HQ52" s="55"/>
      <c r="HR52" s="55"/>
      <c r="HS52" s="55"/>
      <c r="HT52" s="55"/>
      <c r="HU52" s="55"/>
      <c r="HV52" s="55"/>
      <c r="HW52" s="55"/>
      <c r="HX52" s="55"/>
      <c r="HY52" s="55"/>
      <c r="HZ52" s="55"/>
      <c r="IA52" s="55"/>
      <c r="IB52" s="55"/>
      <c r="IC52" s="55"/>
      <c r="ID52" s="55"/>
      <c r="IE52" s="55"/>
      <c r="IF52" s="55"/>
      <c r="IG52" s="55"/>
      <c r="IH52" s="55"/>
      <c r="II52" s="55"/>
      <c r="IJ52" s="55"/>
      <c r="IK52" s="55"/>
      <c r="IL52" s="55"/>
      <c r="IM52" s="55"/>
      <c r="IN52" s="55"/>
      <c r="IO52" s="55"/>
      <c r="IP52" s="55"/>
      <c r="IQ52" s="55"/>
      <c r="IR52" s="55"/>
      <c r="IS52" s="55"/>
      <c r="IT52" s="55"/>
      <c r="IU52" s="55"/>
      <c r="IV52" s="55"/>
      <c r="IW52" s="55"/>
    </row>
    <row r="53" customFormat="false" ht="24.95" hidden="false" customHeight="true" outlineLevel="0" collapsed="false">
      <c r="A53" s="4" t="s">
        <v>1</v>
      </c>
      <c r="B53" s="96" t="s">
        <v>45</v>
      </c>
      <c r="C53" s="51"/>
      <c r="D53" s="52"/>
      <c r="E53" s="82"/>
      <c r="F53" s="54"/>
      <c r="G53" s="111"/>
      <c r="H53" s="82"/>
      <c r="I53" s="55"/>
      <c r="J53" s="46"/>
      <c r="K53" s="55"/>
      <c r="L53" s="83"/>
      <c r="M53" s="57"/>
      <c r="N53" s="65" t="n">
        <v>0</v>
      </c>
      <c r="O53" s="65" t="n">
        <v>0</v>
      </c>
      <c r="P53" s="65" t="n">
        <v>0</v>
      </c>
      <c r="Q53" s="65" t="n">
        <v>0</v>
      </c>
      <c r="R53" s="65" t="n">
        <f aca="false">18618592.0381818/1000</f>
        <v>18618.5920381818</v>
      </c>
      <c r="S53" s="78"/>
      <c r="T53" s="60"/>
      <c r="U53" s="60"/>
      <c r="V53" s="60"/>
      <c r="W53" s="60"/>
      <c r="X53" s="60"/>
      <c r="Y53" s="60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  <c r="BN53" s="55"/>
      <c r="BO53" s="55"/>
      <c r="BP53" s="55"/>
      <c r="BQ53" s="55"/>
      <c r="BR53" s="55"/>
      <c r="BS53" s="55"/>
      <c r="BT53" s="55"/>
      <c r="BU53" s="55"/>
      <c r="BV53" s="55"/>
      <c r="BW53" s="55"/>
      <c r="BX53" s="55"/>
      <c r="BY53" s="55"/>
      <c r="BZ53" s="55"/>
      <c r="CA53" s="55"/>
      <c r="CB53" s="55"/>
      <c r="CC53" s="55"/>
      <c r="CD53" s="55"/>
      <c r="CE53" s="55"/>
      <c r="CF53" s="55"/>
      <c r="CG53" s="55"/>
      <c r="CH53" s="55"/>
      <c r="CI53" s="55"/>
      <c r="CJ53" s="55"/>
      <c r="CK53" s="55"/>
      <c r="CL53" s="55"/>
      <c r="CM53" s="55"/>
      <c r="CN53" s="55"/>
      <c r="CO53" s="55"/>
      <c r="CP53" s="55"/>
      <c r="CQ53" s="55"/>
      <c r="CR53" s="55"/>
      <c r="CS53" s="55"/>
      <c r="CT53" s="55"/>
      <c r="CU53" s="55"/>
      <c r="CV53" s="55"/>
      <c r="CW53" s="55"/>
      <c r="CX53" s="55"/>
      <c r="CY53" s="55"/>
      <c r="CZ53" s="55"/>
      <c r="DA53" s="55"/>
      <c r="DB53" s="55"/>
      <c r="DC53" s="55"/>
      <c r="DD53" s="55"/>
      <c r="DE53" s="55"/>
      <c r="DF53" s="55"/>
      <c r="DG53" s="55"/>
      <c r="DH53" s="55"/>
      <c r="DI53" s="55"/>
      <c r="DJ53" s="55"/>
      <c r="DK53" s="55"/>
      <c r="DL53" s="55"/>
      <c r="DM53" s="55"/>
      <c r="DN53" s="55"/>
      <c r="DO53" s="55"/>
      <c r="DP53" s="55"/>
      <c r="DQ53" s="55"/>
      <c r="DR53" s="55"/>
      <c r="DS53" s="55"/>
      <c r="DT53" s="55"/>
      <c r="DU53" s="55"/>
      <c r="DV53" s="55"/>
      <c r="DW53" s="55"/>
      <c r="DX53" s="55"/>
      <c r="DY53" s="55"/>
      <c r="DZ53" s="55"/>
      <c r="EA53" s="55"/>
      <c r="EB53" s="55"/>
      <c r="EC53" s="55"/>
      <c r="ED53" s="55"/>
      <c r="EE53" s="55"/>
      <c r="EF53" s="55"/>
      <c r="EG53" s="55"/>
      <c r="EH53" s="55"/>
      <c r="EI53" s="55"/>
      <c r="EJ53" s="55"/>
      <c r="EK53" s="55"/>
      <c r="EL53" s="55"/>
      <c r="EM53" s="55"/>
      <c r="EN53" s="55"/>
      <c r="EO53" s="55"/>
      <c r="EP53" s="55"/>
      <c r="EQ53" s="55"/>
      <c r="ER53" s="55"/>
      <c r="ES53" s="55"/>
      <c r="ET53" s="55"/>
      <c r="EU53" s="55"/>
      <c r="EV53" s="55"/>
      <c r="EW53" s="55"/>
      <c r="EX53" s="55"/>
      <c r="EY53" s="55"/>
      <c r="EZ53" s="55"/>
      <c r="FA53" s="55"/>
      <c r="FB53" s="55"/>
      <c r="FC53" s="55"/>
      <c r="FD53" s="55"/>
      <c r="FE53" s="55"/>
      <c r="FF53" s="55"/>
      <c r="FG53" s="55"/>
      <c r="FH53" s="55"/>
      <c r="FI53" s="55"/>
      <c r="FJ53" s="55"/>
      <c r="FK53" s="55"/>
      <c r="FL53" s="55"/>
      <c r="FM53" s="55"/>
      <c r="FN53" s="55"/>
      <c r="FO53" s="55"/>
      <c r="FP53" s="55"/>
      <c r="FQ53" s="55"/>
      <c r="FR53" s="55"/>
      <c r="FS53" s="55"/>
      <c r="FT53" s="55"/>
      <c r="FU53" s="55"/>
      <c r="FV53" s="55"/>
      <c r="FW53" s="55"/>
      <c r="FX53" s="55"/>
      <c r="FY53" s="55"/>
      <c r="FZ53" s="55"/>
      <c r="GA53" s="55"/>
      <c r="GB53" s="55"/>
      <c r="GC53" s="55"/>
      <c r="GD53" s="55"/>
      <c r="GE53" s="55"/>
      <c r="GF53" s="55"/>
      <c r="GG53" s="55"/>
      <c r="GH53" s="55"/>
      <c r="GI53" s="55"/>
      <c r="GJ53" s="55"/>
      <c r="GK53" s="55"/>
      <c r="GL53" s="55"/>
      <c r="GM53" s="55"/>
      <c r="GN53" s="55"/>
      <c r="GO53" s="55"/>
      <c r="GP53" s="55"/>
      <c r="GQ53" s="55"/>
      <c r="GR53" s="55"/>
      <c r="GS53" s="55"/>
      <c r="GT53" s="55"/>
      <c r="GU53" s="55"/>
      <c r="GV53" s="55"/>
      <c r="GW53" s="55"/>
      <c r="GX53" s="55"/>
      <c r="GY53" s="55"/>
      <c r="GZ53" s="55"/>
      <c r="HA53" s="55"/>
      <c r="HB53" s="55"/>
      <c r="HC53" s="55"/>
      <c r="HD53" s="55"/>
      <c r="HE53" s="55"/>
      <c r="HF53" s="55"/>
      <c r="HG53" s="55"/>
      <c r="HH53" s="55"/>
      <c r="HI53" s="55"/>
      <c r="HJ53" s="55"/>
      <c r="HK53" s="55"/>
      <c r="HL53" s="55"/>
      <c r="HM53" s="55"/>
      <c r="HN53" s="55"/>
      <c r="HO53" s="55"/>
      <c r="HP53" s="55"/>
      <c r="HQ53" s="55"/>
      <c r="HR53" s="55"/>
      <c r="HS53" s="55"/>
      <c r="HT53" s="55"/>
      <c r="HU53" s="55"/>
      <c r="HV53" s="55"/>
      <c r="HW53" s="55"/>
      <c r="HX53" s="55"/>
      <c r="HY53" s="55"/>
      <c r="HZ53" s="55"/>
      <c r="IA53" s="55"/>
      <c r="IB53" s="55"/>
      <c r="IC53" s="55"/>
      <c r="ID53" s="55"/>
      <c r="IE53" s="55"/>
      <c r="IF53" s="55"/>
      <c r="IG53" s="55"/>
      <c r="IH53" s="55"/>
      <c r="II53" s="55"/>
      <c r="IJ53" s="55"/>
      <c r="IK53" s="55"/>
      <c r="IL53" s="55"/>
      <c r="IM53" s="55"/>
      <c r="IN53" s="55"/>
      <c r="IO53" s="55"/>
      <c r="IP53" s="55"/>
      <c r="IQ53" s="55"/>
      <c r="IR53" s="55"/>
      <c r="IS53" s="55"/>
      <c r="IT53" s="55"/>
      <c r="IU53" s="55"/>
      <c r="IV53" s="55"/>
      <c r="IW53" s="55"/>
    </row>
    <row r="54" customFormat="false" ht="21.75" hidden="false" customHeight="true" outlineLevel="0" collapsed="false">
      <c r="A54" s="4" t="s">
        <v>1</v>
      </c>
      <c r="B54" s="98"/>
      <c r="C54" s="99"/>
      <c r="D54" s="100"/>
      <c r="E54" s="83"/>
      <c r="F54" s="62"/>
      <c r="G54" s="60"/>
      <c r="H54" s="83"/>
      <c r="I54" s="63"/>
      <c r="J54" s="46"/>
      <c r="K54" s="63"/>
      <c r="L54" s="83"/>
      <c r="M54" s="57"/>
      <c r="N54" s="59"/>
      <c r="O54" s="102"/>
      <c r="P54" s="102"/>
      <c r="Q54" s="59"/>
      <c r="R54" s="59"/>
      <c r="S54" s="60"/>
      <c r="T54" s="60"/>
      <c r="U54" s="60"/>
      <c r="V54" s="60"/>
      <c r="W54" s="60"/>
      <c r="X54" s="60"/>
      <c r="Y54" s="60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63"/>
      <c r="AP54" s="63"/>
      <c r="AQ54" s="63"/>
      <c r="AR54" s="63"/>
      <c r="AS54" s="63"/>
      <c r="AT54" s="63"/>
      <c r="AU54" s="63"/>
      <c r="AV54" s="63"/>
      <c r="AW54" s="63"/>
      <c r="AX54" s="63"/>
      <c r="AY54" s="63"/>
      <c r="AZ54" s="63"/>
      <c r="BA54" s="63"/>
      <c r="BB54" s="63"/>
      <c r="BC54" s="63"/>
      <c r="BD54" s="63"/>
      <c r="BE54" s="63"/>
      <c r="BF54" s="63"/>
      <c r="BG54" s="63"/>
      <c r="BH54" s="63"/>
      <c r="BI54" s="63"/>
      <c r="BJ54" s="63"/>
      <c r="BK54" s="63"/>
      <c r="BL54" s="63"/>
      <c r="BM54" s="63"/>
      <c r="BN54" s="63"/>
      <c r="BO54" s="63"/>
      <c r="BP54" s="63"/>
      <c r="BQ54" s="63"/>
      <c r="BR54" s="63"/>
      <c r="BS54" s="63"/>
      <c r="BT54" s="63"/>
      <c r="BU54" s="63"/>
      <c r="BV54" s="63"/>
      <c r="BW54" s="63"/>
      <c r="BX54" s="63"/>
      <c r="BY54" s="63"/>
      <c r="BZ54" s="63"/>
      <c r="CA54" s="63"/>
      <c r="CB54" s="63"/>
      <c r="CC54" s="63"/>
      <c r="CD54" s="63"/>
      <c r="CE54" s="63"/>
      <c r="CF54" s="63"/>
      <c r="CG54" s="63"/>
      <c r="CH54" s="63"/>
      <c r="CI54" s="63"/>
      <c r="CJ54" s="63"/>
      <c r="CK54" s="63"/>
      <c r="CL54" s="63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  <c r="DZ54" s="63"/>
      <c r="EA54" s="63"/>
      <c r="EB54" s="63"/>
      <c r="EC54" s="63"/>
      <c r="ED54" s="63"/>
      <c r="EE54" s="63"/>
      <c r="EF54" s="63"/>
      <c r="EG54" s="63"/>
      <c r="EH54" s="63"/>
      <c r="EI54" s="63"/>
      <c r="EJ54" s="63"/>
      <c r="EK54" s="63"/>
      <c r="EL54" s="63"/>
      <c r="EM54" s="63"/>
      <c r="EN54" s="63"/>
      <c r="EO54" s="63"/>
      <c r="EP54" s="63"/>
      <c r="EQ54" s="63"/>
      <c r="ER54" s="63"/>
      <c r="ES54" s="63"/>
      <c r="ET54" s="63"/>
      <c r="EU54" s="63"/>
      <c r="EV54" s="63"/>
      <c r="EW54" s="63"/>
      <c r="EX54" s="63"/>
      <c r="EY54" s="63"/>
      <c r="EZ54" s="63"/>
      <c r="FA54" s="63"/>
      <c r="FB54" s="63"/>
      <c r="FC54" s="63"/>
      <c r="FD54" s="63"/>
      <c r="FE54" s="63"/>
      <c r="FF54" s="63"/>
      <c r="FG54" s="63"/>
      <c r="FH54" s="63"/>
      <c r="FI54" s="63"/>
      <c r="FJ54" s="63"/>
      <c r="FK54" s="63"/>
      <c r="FL54" s="63"/>
      <c r="FM54" s="63"/>
      <c r="FN54" s="63"/>
      <c r="FO54" s="63"/>
      <c r="FP54" s="63"/>
      <c r="FQ54" s="63"/>
      <c r="FR54" s="63"/>
      <c r="FS54" s="63"/>
      <c r="FT54" s="63"/>
      <c r="FU54" s="63"/>
      <c r="FV54" s="63"/>
      <c r="FW54" s="63"/>
      <c r="FX54" s="63"/>
      <c r="FY54" s="63"/>
      <c r="FZ54" s="63"/>
      <c r="GA54" s="63"/>
      <c r="GB54" s="63"/>
      <c r="GC54" s="63"/>
      <c r="GD54" s="63"/>
      <c r="GE54" s="63"/>
      <c r="GF54" s="63"/>
      <c r="GG54" s="63"/>
      <c r="GH54" s="63"/>
      <c r="GI54" s="63"/>
      <c r="GJ54" s="63"/>
      <c r="GK54" s="63"/>
      <c r="GL54" s="63"/>
      <c r="GM54" s="63"/>
      <c r="GN54" s="63"/>
      <c r="GO54" s="63"/>
      <c r="GP54" s="63"/>
      <c r="GQ54" s="63"/>
      <c r="GR54" s="63"/>
      <c r="GS54" s="63"/>
      <c r="GT54" s="63"/>
      <c r="GU54" s="63"/>
      <c r="GV54" s="63"/>
      <c r="GW54" s="63"/>
      <c r="GX54" s="63"/>
      <c r="GY54" s="63"/>
      <c r="GZ54" s="63"/>
      <c r="HA54" s="63"/>
      <c r="HB54" s="63"/>
      <c r="HC54" s="63"/>
      <c r="HD54" s="63"/>
      <c r="HE54" s="63"/>
      <c r="HF54" s="63"/>
      <c r="HG54" s="63"/>
      <c r="HH54" s="63"/>
      <c r="HI54" s="63"/>
      <c r="HJ54" s="63"/>
      <c r="HK54" s="63"/>
      <c r="HL54" s="63"/>
      <c r="HM54" s="63"/>
      <c r="HN54" s="63"/>
      <c r="HO54" s="63"/>
      <c r="HP54" s="63"/>
      <c r="HQ54" s="63"/>
      <c r="HR54" s="63"/>
      <c r="HS54" s="63"/>
      <c r="HT54" s="63"/>
      <c r="HU54" s="63"/>
      <c r="HV54" s="63"/>
      <c r="HW54" s="63"/>
      <c r="HX54" s="63"/>
      <c r="HY54" s="63"/>
      <c r="HZ54" s="63"/>
      <c r="IA54" s="63"/>
      <c r="IB54" s="63"/>
      <c r="IC54" s="63"/>
      <c r="ID54" s="63"/>
      <c r="IE54" s="63"/>
      <c r="IF54" s="63"/>
      <c r="IG54" s="63"/>
      <c r="IH54" s="63"/>
      <c r="II54" s="63"/>
      <c r="IJ54" s="63"/>
      <c r="IK54" s="63"/>
      <c r="IL54" s="63"/>
      <c r="IM54" s="63"/>
      <c r="IN54" s="63"/>
      <c r="IO54" s="63"/>
      <c r="IP54" s="63"/>
      <c r="IQ54" s="63"/>
      <c r="IR54" s="63"/>
      <c r="IS54" s="63"/>
      <c r="IT54" s="63"/>
      <c r="IU54" s="63"/>
      <c r="IV54" s="63"/>
      <c r="IW54" s="63"/>
    </row>
    <row r="55" customFormat="false" ht="30" hidden="false" customHeight="true" outlineLevel="0" collapsed="false">
      <c r="A55" s="4" t="s">
        <v>1</v>
      </c>
      <c r="B55" s="76" t="s">
        <v>50</v>
      </c>
      <c r="C55" s="99"/>
      <c r="D55" s="100"/>
      <c r="E55" s="83"/>
      <c r="F55" s="62"/>
      <c r="G55" s="60"/>
      <c r="H55" s="83"/>
      <c r="I55" s="63"/>
      <c r="J55" s="46"/>
      <c r="K55" s="63"/>
      <c r="L55" s="83"/>
      <c r="M55" s="57"/>
      <c r="N55" s="48" t="n">
        <f aca="false">SUM(N56:N57)</f>
        <v>0</v>
      </c>
      <c r="O55" s="48" t="n">
        <f aca="false">SUM(O56:O57)</f>
        <v>0</v>
      </c>
      <c r="P55" s="48" t="n">
        <f aca="false">SUM(P56:P57)</f>
        <v>0</v>
      </c>
      <c r="Q55" s="48" t="n">
        <f aca="false">SUM(Q56:Q57)</f>
        <v>0</v>
      </c>
      <c r="R55" s="48" t="n">
        <f aca="false">SUM(R56:R57)</f>
        <v>-438.987</v>
      </c>
      <c r="S55" s="60"/>
      <c r="T55" s="63"/>
      <c r="U55" s="63"/>
      <c r="V55" s="63"/>
      <c r="W55" s="63"/>
      <c r="X55" s="63"/>
      <c r="Y55" s="63"/>
      <c r="Z55" s="63"/>
      <c r="AA55" s="63"/>
      <c r="AB55" s="63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63"/>
      <c r="BD55" s="63"/>
      <c r="BE55" s="63"/>
      <c r="BF55" s="63"/>
      <c r="BG55" s="63"/>
      <c r="BH55" s="63"/>
      <c r="BI55" s="63"/>
      <c r="BJ55" s="63"/>
      <c r="BK55" s="63"/>
      <c r="BL55" s="63"/>
      <c r="BM55" s="63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  <c r="GY55" s="63"/>
      <c r="GZ55" s="63"/>
      <c r="HA55" s="63"/>
      <c r="HB55" s="63"/>
      <c r="HC55" s="63"/>
      <c r="HD55" s="63"/>
      <c r="HE55" s="63"/>
      <c r="HF55" s="63"/>
      <c r="HG55" s="63"/>
      <c r="HH55" s="63"/>
      <c r="HI55" s="63"/>
      <c r="HJ55" s="63"/>
      <c r="HK55" s="63"/>
      <c r="HL55" s="63"/>
      <c r="HM55" s="63"/>
      <c r="HN55" s="63"/>
      <c r="HO55" s="63"/>
      <c r="HP55" s="63"/>
      <c r="HQ55" s="63"/>
      <c r="HR55" s="63"/>
      <c r="HS55" s="63"/>
      <c r="HT55" s="63"/>
      <c r="HU55" s="63"/>
      <c r="HV55" s="63"/>
      <c r="HW55" s="63"/>
      <c r="HX55" s="63"/>
      <c r="HY55" s="63"/>
      <c r="HZ55" s="63"/>
      <c r="IA55" s="63"/>
      <c r="IB55" s="63"/>
      <c r="IC55" s="63"/>
      <c r="ID55" s="63"/>
      <c r="IE55" s="63"/>
      <c r="IF55" s="63"/>
      <c r="IG55" s="63"/>
      <c r="IH55" s="63"/>
      <c r="II55" s="63"/>
      <c r="IJ55" s="63"/>
      <c r="IK55" s="63"/>
      <c r="IL55" s="63"/>
      <c r="IM55" s="63"/>
      <c r="IN55" s="63"/>
      <c r="IO55" s="63"/>
      <c r="IP55" s="63"/>
      <c r="IQ55" s="63"/>
      <c r="IR55" s="63"/>
      <c r="IS55" s="63"/>
      <c r="IT55" s="63"/>
      <c r="IU55" s="63"/>
      <c r="IV55" s="63"/>
      <c r="IW55" s="63"/>
    </row>
    <row r="56" customFormat="false" ht="24.75" hidden="false" customHeight="true" outlineLevel="0" collapsed="false">
      <c r="A56" s="4" t="s">
        <v>1</v>
      </c>
      <c r="B56" s="81" t="s">
        <v>51</v>
      </c>
      <c r="C56" s="78"/>
      <c r="D56" s="52"/>
      <c r="E56" s="53"/>
      <c r="F56" s="62"/>
      <c r="G56" s="52"/>
      <c r="H56" s="53"/>
      <c r="I56" s="63"/>
      <c r="J56" s="56"/>
      <c r="K56" s="55" t="s">
        <v>21</v>
      </c>
      <c r="L56" s="82"/>
      <c r="M56" s="57"/>
      <c r="N56" s="65" t="n">
        <f aca="false">N61</f>
        <v>0</v>
      </c>
      <c r="O56" s="65" t="n">
        <f aca="false">O61</f>
        <v>0</v>
      </c>
      <c r="P56" s="65" t="n">
        <f aca="false">P61</f>
        <v>0</v>
      </c>
      <c r="Q56" s="65" t="n">
        <f aca="false">Q61</f>
        <v>0</v>
      </c>
      <c r="R56" s="65" t="n">
        <f aca="false">R61</f>
        <v>-1376.857</v>
      </c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78"/>
      <c r="AF56" s="78"/>
      <c r="AG56" s="78"/>
      <c r="AH56" s="78"/>
      <c r="AI56" s="78"/>
      <c r="AJ56" s="85"/>
      <c r="AK56" s="85"/>
      <c r="AL56" s="85"/>
      <c r="AM56" s="85"/>
      <c r="AN56" s="85"/>
      <c r="AO56" s="85"/>
      <c r="AP56" s="85"/>
      <c r="AQ56" s="85"/>
      <c r="AR56" s="85"/>
      <c r="AS56" s="85"/>
      <c r="AT56" s="85"/>
      <c r="AU56" s="85"/>
      <c r="AV56" s="85"/>
      <c r="AW56" s="85"/>
      <c r="AX56" s="85"/>
      <c r="AY56" s="85"/>
      <c r="AZ56" s="85"/>
      <c r="BA56" s="85"/>
      <c r="BB56" s="85"/>
      <c r="BC56" s="85"/>
      <c r="BD56" s="85"/>
      <c r="BE56" s="85"/>
      <c r="BF56" s="85"/>
      <c r="BG56" s="85"/>
      <c r="BH56" s="85"/>
      <c r="BI56" s="85"/>
      <c r="BJ56" s="85"/>
      <c r="BK56" s="85"/>
      <c r="BL56" s="85"/>
      <c r="BM56" s="85"/>
      <c r="BN56" s="85"/>
      <c r="BO56" s="85"/>
      <c r="BP56" s="85"/>
      <c r="BQ56" s="85"/>
      <c r="BR56" s="85"/>
      <c r="BS56" s="85"/>
      <c r="BT56" s="85"/>
      <c r="BU56" s="85"/>
      <c r="BV56" s="85"/>
      <c r="BW56" s="85"/>
      <c r="BX56" s="85"/>
      <c r="BY56" s="85"/>
      <c r="BZ56" s="85"/>
      <c r="CA56" s="85"/>
      <c r="CB56" s="85"/>
      <c r="CC56" s="85"/>
      <c r="CD56" s="85"/>
      <c r="CE56" s="85"/>
      <c r="CF56" s="85"/>
      <c r="CG56" s="85"/>
      <c r="CH56" s="85"/>
      <c r="CI56" s="85"/>
      <c r="CJ56" s="85"/>
      <c r="CK56" s="85"/>
      <c r="CL56" s="85"/>
      <c r="CM56" s="85"/>
      <c r="CN56" s="85"/>
      <c r="CO56" s="85"/>
      <c r="CP56" s="85"/>
      <c r="CQ56" s="85"/>
      <c r="CR56" s="85"/>
      <c r="CS56" s="85"/>
      <c r="CT56" s="85"/>
      <c r="CU56" s="85"/>
      <c r="CV56" s="85"/>
      <c r="CW56" s="85"/>
      <c r="CX56" s="85"/>
      <c r="CY56" s="85"/>
      <c r="CZ56" s="85"/>
      <c r="DA56" s="85"/>
      <c r="DB56" s="85"/>
      <c r="DC56" s="85"/>
      <c r="DD56" s="85"/>
      <c r="DE56" s="85"/>
      <c r="DF56" s="85"/>
      <c r="DG56" s="85"/>
      <c r="DH56" s="85"/>
      <c r="DI56" s="85"/>
      <c r="DJ56" s="85"/>
      <c r="DK56" s="85"/>
      <c r="DL56" s="85"/>
      <c r="DM56" s="85"/>
      <c r="DN56" s="85"/>
      <c r="DO56" s="85"/>
      <c r="DP56" s="85"/>
      <c r="DQ56" s="85"/>
      <c r="DR56" s="85"/>
      <c r="DS56" s="85"/>
      <c r="DT56" s="85"/>
      <c r="DU56" s="85"/>
      <c r="DV56" s="85"/>
      <c r="DW56" s="85"/>
      <c r="DX56" s="85"/>
      <c r="DY56" s="85"/>
      <c r="DZ56" s="85"/>
      <c r="EA56" s="85"/>
      <c r="EB56" s="85"/>
      <c r="EC56" s="85"/>
      <c r="ED56" s="85"/>
      <c r="EE56" s="85"/>
      <c r="EF56" s="85"/>
      <c r="EG56" s="85"/>
      <c r="EH56" s="85"/>
      <c r="EI56" s="85"/>
      <c r="EJ56" s="85"/>
      <c r="EK56" s="85"/>
      <c r="EL56" s="85"/>
      <c r="EM56" s="85"/>
      <c r="EN56" s="85"/>
      <c r="EO56" s="85"/>
      <c r="EP56" s="85"/>
      <c r="EQ56" s="85"/>
      <c r="ER56" s="85"/>
      <c r="ES56" s="85"/>
      <c r="ET56" s="85"/>
      <c r="EU56" s="85"/>
      <c r="EV56" s="85"/>
      <c r="EW56" s="85"/>
      <c r="EX56" s="85"/>
      <c r="EY56" s="85"/>
      <c r="EZ56" s="85"/>
      <c r="FA56" s="85"/>
      <c r="FB56" s="85"/>
      <c r="FC56" s="85"/>
      <c r="FD56" s="85"/>
      <c r="FE56" s="85"/>
      <c r="FF56" s="85"/>
      <c r="FG56" s="85"/>
      <c r="FH56" s="85"/>
      <c r="FI56" s="85"/>
      <c r="FJ56" s="85"/>
      <c r="FK56" s="85"/>
      <c r="FL56" s="85"/>
      <c r="FM56" s="85"/>
      <c r="FN56" s="85"/>
      <c r="FO56" s="85"/>
      <c r="FP56" s="85"/>
      <c r="FQ56" s="85"/>
      <c r="FR56" s="85"/>
      <c r="FS56" s="85"/>
      <c r="FT56" s="85"/>
      <c r="FU56" s="85"/>
      <c r="FV56" s="85"/>
      <c r="FW56" s="85"/>
      <c r="FX56" s="85"/>
      <c r="FY56" s="85"/>
      <c r="FZ56" s="85"/>
      <c r="GA56" s="85"/>
      <c r="GB56" s="85"/>
      <c r="GC56" s="85"/>
      <c r="GD56" s="85"/>
      <c r="GE56" s="85"/>
      <c r="GF56" s="85"/>
      <c r="GG56" s="85"/>
      <c r="GH56" s="85"/>
      <c r="GI56" s="85"/>
      <c r="GJ56" s="85"/>
      <c r="GK56" s="85"/>
      <c r="GL56" s="85"/>
      <c r="GM56" s="85"/>
      <c r="GN56" s="85"/>
      <c r="GO56" s="85"/>
      <c r="GP56" s="85"/>
      <c r="GQ56" s="85"/>
      <c r="GR56" s="85"/>
      <c r="GS56" s="85"/>
      <c r="GT56" s="85"/>
      <c r="GU56" s="85"/>
      <c r="GV56" s="85"/>
      <c r="GW56" s="85"/>
      <c r="GX56" s="85"/>
      <c r="GY56" s="85"/>
      <c r="GZ56" s="85"/>
      <c r="HA56" s="85"/>
      <c r="HB56" s="85"/>
      <c r="HC56" s="85"/>
      <c r="HD56" s="85"/>
      <c r="HE56" s="85"/>
      <c r="HF56" s="85"/>
      <c r="HG56" s="85"/>
      <c r="HH56" s="85"/>
      <c r="HI56" s="85"/>
      <c r="HJ56" s="85"/>
      <c r="HK56" s="85"/>
      <c r="HL56" s="85"/>
      <c r="HM56" s="85"/>
      <c r="HN56" s="85"/>
      <c r="HO56" s="85"/>
      <c r="HP56" s="85"/>
      <c r="HQ56" s="85"/>
      <c r="HR56" s="85"/>
      <c r="HS56" s="85"/>
      <c r="HT56" s="85"/>
      <c r="HU56" s="85"/>
      <c r="HV56" s="85"/>
      <c r="HW56" s="85"/>
      <c r="HX56" s="85"/>
      <c r="HY56" s="85"/>
      <c r="HZ56" s="85"/>
      <c r="IA56" s="85"/>
      <c r="IB56" s="85"/>
      <c r="IC56" s="85"/>
      <c r="ID56" s="85"/>
      <c r="IE56" s="85"/>
      <c r="IF56" s="85"/>
      <c r="IG56" s="85"/>
      <c r="IH56" s="85"/>
      <c r="II56" s="85"/>
      <c r="IJ56" s="85"/>
      <c r="IK56" s="85"/>
      <c r="IL56" s="85"/>
      <c r="IM56" s="85"/>
      <c r="IN56" s="85"/>
      <c r="IO56" s="85"/>
      <c r="IP56" s="85"/>
      <c r="IQ56" s="85"/>
      <c r="IR56" s="85"/>
      <c r="IS56" s="85"/>
      <c r="IT56" s="85"/>
      <c r="IU56" s="85"/>
      <c r="IV56" s="85"/>
      <c r="IW56" s="85"/>
    </row>
    <row r="57" customFormat="false" ht="24" hidden="false" customHeight="true" outlineLevel="0" collapsed="false">
      <c r="A57" s="4" t="s">
        <v>1</v>
      </c>
      <c r="B57" s="81" t="s">
        <v>52</v>
      </c>
      <c r="C57" s="78"/>
      <c r="D57" s="52"/>
      <c r="E57" s="53"/>
      <c r="F57" s="62"/>
      <c r="G57" s="52"/>
      <c r="H57" s="53"/>
      <c r="I57" s="63"/>
      <c r="J57" s="56"/>
      <c r="K57" s="55" t="s">
        <v>21</v>
      </c>
      <c r="L57" s="82"/>
      <c r="M57" s="57"/>
      <c r="N57" s="65" t="n">
        <f aca="false">SUM(N58:N60)</f>
        <v>0</v>
      </c>
      <c r="O57" s="65" t="n">
        <f aca="false">SUM(O58:O60)</f>
        <v>0</v>
      </c>
      <c r="P57" s="65" t="n">
        <f aca="false">SUM(P58:P60)</f>
        <v>0</v>
      </c>
      <c r="Q57" s="65" t="n">
        <f aca="false">SUM(Q58:Q60)</f>
        <v>0</v>
      </c>
      <c r="R57" s="65" t="n">
        <f aca="false">SUM(R58:R60)</f>
        <v>937.87</v>
      </c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  <c r="AD57" s="78"/>
      <c r="AE57" s="78"/>
      <c r="AF57" s="78"/>
      <c r="AG57" s="78"/>
      <c r="AH57" s="78"/>
      <c r="AI57" s="78"/>
      <c r="AJ57" s="85"/>
      <c r="AK57" s="85"/>
      <c r="AL57" s="85"/>
      <c r="AM57" s="85"/>
      <c r="AN57" s="85"/>
      <c r="AO57" s="85"/>
      <c r="AP57" s="85"/>
      <c r="AQ57" s="85"/>
      <c r="AR57" s="85"/>
      <c r="AS57" s="85"/>
      <c r="AT57" s="85"/>
      <c r="AU57" s="85"/>
      <c r="AV57" s="85"/>
      <c r="AW57" s="85"/>
      <c r="AX57" s="85"/>
      <c r="AY57" s="85"/>
      <c r="AZ57" s="85"/>
      <c r="BA57" s="85"/>
      <c r="BB57" s="85"/>
      <c r="BC57" s="85"/>
      <c r="BD57" s="85"/>
      <c r="BE57" s="85"/>
      <c r="BF57" s="85"/>
      <c r="BG57" s="85"/>
      <c r="BH57" s="85"/>
      <c r="BI57" s="85"/>
      <c r="BJ57" s="85"/>
      <c r="BK57" s="85"/>
      <c r="BL57" s="85"/>
      <c r="BM57" s="85"/>
      <c r="BN57" s="85"/>
      <c r="BO57" s="85"/>
      <c r="BP57" s="85"/>
      <c r="BQ57" s="85"/>
      <c r="BR57" s="85"/>
      <c r="BS57" s="85"/>
      <c r="BT57" s="85"/>
      <c r="BU57" s="85"/>
      <c r="BV57" s="85"/>
      <c r="BW57" s="85"/>
      <c r="BX57" s="85"/>
      <c r="BY57" s="85"/>
      <c r="BZ57" s="85"/>
      <c r="CA57" s="85"/>
      <c r="CB57" s="85"/>
      <c r="CC57" s="85"/>
      <c r="CD57" s="85"/>
      <c r="CE57" s="85"/>
      <c r="CF57" s="85"/>
      <c r="CG57" s="85"/>
      <c r="CH57" s="85"/>
      <c r="CI57" s="85"/>
      <c r="CJ57" s="85"/>
      <c r="CK57" s="85"/>
      <c r="CL57" s="85"/>
      <c r="CM57" s="85"/>
      <c r="CN57" s="85"/>
      <c r="CO57" s="85"/>
      <c r="CP57" s="85"/>
      <c r="CQ57" s="85"/>
      <c r="CR57" s="85"/>
      <c r="CS57" s="85"/>
      <c r="CT57" s="85"/>
      <c r="CU57" s="85"/>
      <c r="CV57" s="85"/>
      <c r="CW57" s="85"/>
      <c r="CX57" s="85"/>
      <c r="CY57" s="85"/>
      <c r="CZ57" s="85"/>
      <c r="DA57" s="85"/>
      <c r="DB57" s="85"/>
      <c r="DC57" s="85"/>
      <c r="DD57" s="85"/>
      <c r="DE57" s="85"/>
      <c r="DF57" s="85"/>
      <c r="DG57" s="85"/>
      <c r="DH57" s="85"/>
      <c r="DI57" s="85"/>
      <c r="DJ57" s="85"/>
      <c r="DK57" s="85"/>
      <c r="DL57" s="85"/>
      <c r="DM57" s="85"/>
      <c r="DN57" s="85"/>
      <c r="DO57" s="85"/>
      <c r="DP57" s="85"/>
      <c r="DQ57" s="85"/>
      <c r="DR57" s="85"/>
      <c r="DS57" s="85"/>
      <c r="DT57" s="85"/>
      <c r="DU57" s="85"/>
      <c r="DV57" s="85"/>
      <c r="DW57" s="85"/>
      <c r="DX57" s="85"/>
      <c r="DY57" s="85"/>
      <c r="DZ57" s="85"/>
      <c r="EA57" s="85"/>
      <c r="EB57" s="85"/>
      <c r="EC57" s="85"/>
      <c r="ED57" s="85"/>
      <c r="EE57" s="85"/>
      <c r="EF57" s="85"/>
      <c r="EG57" s="85"/>
      <c r="EH57" s="85"/>
      <c r="EI57" s="85"/>
      <c r="EJ57" s="85"/>
      <c r="EK57" s="85"/>
      <c r="EL57" s="85"/>
      <c r="EM57" s="85"/>
      <c r="EN57" s="85"/>
      <c r="EO57" s="85"/>
      <c r="EP57" s="85"/>
      <c r="EQ57" s="85"/>
      <c r="ER57" s="85"/>
      <c r="ES57" s="85"/>
      <c r="ET57" s="85"/>
      <c r="EU57" s="85"/>
      <c r="EV57" s="85"/>
      <c r="EW57" s="85"/>
      <c r="EX57" s="85"/>
      <c r="EY57" s="85"/>
      <c r="EZ57" s="85"/>
      <c r="FA57" s="85"/>
      <c r="FB57" s="85"/>
      <c r="FC57" s="85"/>
      <c r="FD57" s="85"/>
      <c r="FE57" s="85"/>
      <c r="FF57" s="85"/>
      <c r="FG57" s="85"/>
      <c r="FH57" s="85"/>
      <c r="FI57" s="85"/>
      <c r="FJ57" s="85"/>
      <c r="FK57" s="85"/>
      <c r="FL57" s="85"/>
      <c r="FM57" s="85"/>
      <c r="FN57" s="85"/>
      <c r="FO57" s="85"/>
      <c r="FP57" s="85"/>
      <c r="FQ57" s="85"/>
      <c r="FR57" s="85"/>
      <c r="FS57" s="85"/>
      <c r="FT57" s="85"/>
      <c r="FU57" s="85"/>
      <c r="FV57" s="85"/>
      <c r="FW57" s="85"/>
      <c r="FX57" s="85"/>
      <c r="FY57" s="85"/>
      <c r="FZ57" s="85"/>
      <c r="GA57" s="85"/>
      <c r="GB57" s="85"/>
      <c r="GC57" s="85"/>
      <c r="GD57" s="85"/>
      <c r="GE57" s="85"/>
      <c r="GF57" s="85"/>
      <c r="GG57" s="85"/>
      <c r="GH57" s="85"/>
      <c r="GI57" s="85"/>
      <c r="GJ57" s="85"/>
      <c r="GK57" s="85"/>
      <c r="GL57" s="85"/>
      <c r="GM57" s="85"/>
      <c r="GN57" s="85"/>
      <c r="GO57" s="85"/>
      <c r="GP57" s="85"/>
      <c r="GQ57" s="85"/>
      <c r="GR57" s="85"/>
      <c r="GS57" s="85"/>
      <c r="GT57" s="85"/>
      <c r="GU57" s="85"/>
      <c r="GV57" s="85"/>
      <c r="GW57" s="85"/>
      <c r="GX57" s="85"/>
      <c r="GY57" s="85"/>
      <c r="GZ57" s="85"/>
      <c r="HA57" s="85"/>
      <c r="HB57" s="85"/>
      <c r="HC57" s="85"/>
      <c r="HD57" s="85"/>
      <c r="HE57" s="85"/>
      <c r="HF57" s="85"/>
      <c r="HG57" s="85"/>
      <c r="HH57" s="85"/>
      <c r="HI57" s="85"/>
      <c r="HJ57" s="85"/>
      <c r="HK57" s="85"/>
      <c r="HL57" s="85"/>
      <c r="HM57" s="85"/>
      <c r="HN57" s="85"/>
      <c r="HO57" s="85"/>
      <c r="HP57" s="85"/>
      <c r="HQ57" s="85"/>
      <c r="HR57" s="85"/>
      <c r="HS57" s="85"/>
      <c r="HT57" s="85"/>
      <c r="HU57" s="85"/>
      <c r="HV57" s="85"/>
      <c r="HW57" s="85"/>
      <c r="HX57" s="85"/>
      <c r="HY57" s="85"/>
      <c r="HZ57" s="85"/>
      <c r="IA57" s="85"/>
      <c r="IB57" s="85"/>
      <c r="IC57" s="85"/>
      <c r="ID57" s="85"/>
      <c r="IE57" s="85"/>
      <c r="IF57" s="85"/>
      <c r="IG57" s="85"/>
      <c r="IH57" s="85"/>
      <c r="II57" s="85"/>
      <c r="IJ57" s="85"/>
      <c r="IK57" s="85"/>
      <c r="IL57" s="85"/>
      <c r="IM57" s="85"/>
      <c r="IN57" s="85"/>
      <c r="IO57" s="85"/>
      <c r="IP57" s="85"/>
      <c r="IQ57" s="85"/>
      <c r="IR57" s="85"/>
      <c r="IS57" s="85"/>
      <c r="IT57" s="85"/>
      <c r="IU57" s="85"/>
      <c r="IV57" s="85"/>
      <c r="IW57" s="85"/>
    </row>
    <row r="58" customFormat="false" ht="21.75" hidden="true" customHeight="true" outlineLevel="0" collapsed="false">
      <c r="A58" s="4" t="s">
        <v>34</v>
      </c>
      <c r="B58" s="84" t="s">
        <v>53</v>
      </c>
      <c r="C58" s="85"/>
      <c r="D58" s="86" t="n">
        <v>0</v>
      </c>
      <c r="E58" s="87"/>
      <c r="F58" s="88"/>
      <c r="G58" s="86" t="n">
        <f aca="false">INDEX('ARG Gas IM'!$A$6:$W$500,MATCH(Summary!$B$8,'ARG Gas IM'!$A$6:$A$500,0),17)</f>
        <v>0</v>
      </c>
      <c r="H58" s="87"/>
      <c r="I58" s="85"/>
      <c r="J58" s="89" t="n">
        <f aca="false">INDEX('ARG Gas IM'!$A$6:$W$500,MATCH(Summary!$B$8,'ARG Gas IM'!$A$6:$A$500,0),18)</f>
        <v>0</v>
      </c>
      <c r="K58" s="85"/>
      <c r="L58" s="87"/>
      <c r="M58" s="90"/>
      <c r="N58" s="91" t="n">
        <f aca="false">INDEX('GNS Bolv Gas MTM'!$A$6:$W$500,MATCH(Summary!$B$8,'GNS Bolv Gas MTM'!$A$6:$A$500,0),19)</f>
        <v>0</v>
      </c>
      <c r="O58" s="91" t="n">
        <f aca="false">'GNS Bolv Gas MTM'!T$3</f>
        <v>0</v>
      </c>
      <c r="P58" s="91" t="n">
        <f aca="false">INDEX('GNS Bolv Gas MTM'!$A$6:$W$500,MATCH(Summary!$B$8,'GNS Bolv Gas MTM'!$A$6:$A$500,0),21)</f>
        <v>0</v>
      </c>
      <c r="Q58" s="91" t="n">
        <f aca="false">INDEX('GNS Bolv Gas MTM'!$A$6:$W$500,MATCH(Summary!$B$8,'GNS Bolv Gas MTM'!$A$6:$A$500,0),22)</f>
        <v>0</v>
      </c>
      <c r="R58" s="91" t="n">
        <f aca="false">INDEX('GNS Bolv Gas MTM'!$A$6:$W$500,MATCH(Summary!$B$8,'GNS Bolv Gas MTM'!$A$6:$A$500,0),23)</f>
        <v>-37.239</v>
      </c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5"/>
      <c r="AF58" s="85"/>
      <c r="AG58" s="85"/>
      <c r="AH58" s="85"/>
      <c r="AI58" s="85"/>
      <c r="AJ58" s="85"/>
      <c r="AK58" s="85"/>
      <c r="AL58" s="85"/>
      <c r="AM58" s="85"/>
      <c r="AN58" s="85"/>
      <c r="AO58" s="85"/>
      <c r="AP58" s="85"/>
      <c r="AQ58" s="85"/>
      <c r="AR58" s="85"/>
      <c r="AS58" s="85"/>
      <c r="AT58" s="85"/>
      <c r="AU58" s="85"/>
      <c r="AV58" s="85"/>
      <c r="AW58" s="85"/>
      <c r="AX58" s="85"/>
      <c r="AY58" s="85"/>
      <c r="AZ58" s="85"/>
      <c r="BA58" s="85"/>
      <c r="BB58" s="85"/>
      <c r="BC58" s="85"/>
      <c r="BD58" s="85"/>
      <c r="BE58" s="85"/>
      <c r="BF58" s="85"/>
      <c r="BG58" s="85"/>
      <c r="BH58" s="85"/>
      <c r="BI58" s="85"/>
      <c r="BJ58" s="85"/>
      <c r="BK58" s="85"/>
      <c r="BL58" s="85"/>
      <c r="BM58" s="85"/>
      <c r="BN58" s="85"/>
      <c r="BO58" s="85"/>
      <c r="BP58" s="85"/>
      <c r="BQ58" s="85"/>
      <c r="BR58" s="85"/>
      <c r="BS58" s="85"/>
      <c r="BT58" s="85"/>
      <c r="BU58" s="85"/>
      <c r="BV58" s="85"/>
      <c r="BW58" s="85"/>
      <c r="BX58" s="85"/>
      <c r="BY58" s="85"/>
      <c r="BZ58" s="85"/>
      <c r="CA58" s="85"/>
      <c r="CB58" s="85"/>
      <c r="CC58" s="85"/>
      <c r="CD58" s="85"/>
      <c r="CE58" s="85"/>
      <c r="CF58" s="85"/>
      <c r="CG58" s="85"/>
      <c r="CH58" s="85"/>
      <c r="CI58" s="85"/>
      <c r="CJ58" s="85"/>
      <c r="CK58" s="85"/>
      <c r="CL58" s="85"/>
      <c r="CM58" s="85"/>
      <c r="CN58" s="85"/>
      <c r="CO58" s="85"/>
      <c r="CP58" s="85"/>
      <c r="CQ58" s="85"/>
      <c r="CR58" s="85"/>
      <c r="CS58" s="85"/>
      <c r="CT58" s="85"/>
      <c r="CU58" s="85"/>
      <c r="CV58" s="85"/>
      <c r="CW58" s="85"/>
      <c r="CX58" s="85"/>
      <c r="CY58" s="85"/>
      <c r="CZ58" s="85"/>
      <c r="DA58" s="85"/>
      <c r="DB58" s="85"/>
      <c r="DC58" s="85"/>
      <c r="DD58" s="85"/>
      <c r="DE58" s="85"/>
      <c r="DF58" s="85"/>
      <c r="DG58" s="85"/>
      <c r="DH58" s="85"/>
      <c r="DI58" s="85"/>
      <c r="DJ58" s="85"/>
      <c r="DK58" s="85"/>
      <c r="DL58" s="85"/>
      <c r="DM58" s="85"/>
      <c r="DN58" s="85"/>
      <c r="DO58" s="85"/>
      <c r="DP58" s="85"/>
      <c r="DQ58" s="85"/>
      <c r="DR58" s="85"/>
      <c r="DS58" s="85"/>
      <c r="DT58" s="85"/>
      <c r="DU58" s="85"/>
      <c r="DV58" s="85"/>
      <c r="DW58" s="85"/>
      <c r="DX58" s="85"/>
      <c r="DY58" s="85"/>
      <c r="DZ58" s="85"/>
      <c r="EA58" s="85"/>
      <c r="EB58" s="85"/>
      <c r="EC58" s="85"/>
      <c r="ED58" s="85"/>
      <c r="EE58" s="85"/>
      <c r="EF58" s="85"/>
      <c r="EG58" s="85"/>
      <c r="EH58" s="85"/>
      <c r="EI58" s="85"/>
      <c r="EJ58" s="85"/>
      <c r="EK58" s="85"/>
      <c r="EL58" s="85"/>
      <c r="EM58" s="85"/>
      <c r="EN58" s="85"/>
      <c r="EO58" s="85"/>
      <c r="EP58" s="85"/>
      <c r="EQ58" s="85"/>
      <c r="ER58" s="85"/>
      <c r="ES58" s="85"/>
      <c r="ET58" s="85"/>
      <c r="EU58" s="85"/>
      <c r="EV58" s="85"/>
      <c r="EW58" s="85"/>
      <c r="EX58" s="85"/>
      <c r="EY58" s="85"/>
      <c r="EZ58" s="85"/>
      <c r="FA58" s="85"/>
      <c r="FB58" s="85"/>
      <c r="FC58" s="85"/>
      <c r="FD58" s="85"/>
      <c r="FE58" s="85"/>
      <c r="FF58" s="85"/>
      <c r="FG58" s="85"/>
      <c r="FH58" s="85"/>
      <c r="FI58" s="85"/>
      <c r="FJ58" s="85"/>
      <c r="FK58" s="85"/>
      <c r="FL58" s="85"/>
      <c r="FM58" s="85"/>
      <c r="FN58" s="85"/>
      <c r="FO58" s="85"/>
      <c r="FP58" s="85"/>
      <c r="FQ58" s="85"/>
      <c r="FR58" s="85"/>
      <c r="FS58" s="85"/>
      <c r="FT58" s="85"/>
      <c r="FU58" s="85"/>
      <c r="FV58" s="85"/>
      <c r="FW58" s="85"/>
      <c r="FX58" s="85"/>
      <c r="FY58" s="85"/>
      <c r="FZ58" s="85"/>
      <c r="GA58" s="85"/>
      <c r="GB58" s="85"/>
      <c r="GC58" s="85"/>
      <c r="GD58" s="85"/>
      <c r="GE58" s="85"/>
      <c r="GF58" s="85"/>
      <c r="GG58" s="85"/>
      <c r="GH58" s="85"/>
      <c r="GI58" s="85"/>
      <c r="GJ58" s="85"/>
      <c r="GK58" s="85"/>
      <c r="GL58" s="85"/>
      <c r="GM58" s="85"/>
      <c r="GN58" s="85"/>
      <c r="GO58" s="85"/>
      <c r="GP58" s="85"/>
      <c r="GQ58" s="85"/>
      <c r="GR58" s="85"/>
      <c r="GS58" s="85"/>
      <c r="GT58" s="85"/>
      <c r="GU58" s="85"/>
      <c r="GV58" s="85"/>
      <c r="GW58" s="85"/>
      <c r="GX58" s="85"/>
      <c r="GY58" s="85"/>
      <c r="GZ58" s="85"/>
      <c r="HA58" s="85"/>
      <c r="HB58" s="85"/>
      <c r="HC58" s="85"/>
      <c r="HD58" s="85"/>
      <c r="HE58" s="85"/>
      <c r="HF58" s="85"/>
      <c r="HG58" s="85"/>
      <c r="HH58" s="85"/>
      <c r="HI58" s="85"/>
      <c r="HJ58" s="85"/>
      <c r="HK58" s="85"/>
      <c r="HL58" s="85"/>
      <c r="HM58" s="85"/>
      <c r="HN58" s="85"/>
      <c r="HO58" s="85"/>
      <c r="HP58" s="85"/>
      <c r="HQ58" s="85"/>
      <c r="HR58" s="85"/>
      <c r="HS58" s="85"/>
      <c r="HT58" s="85"/>
      <c r="HU58" s="85"/>
      <c r="HV58" s="85"/>
      <c r="HW58" s="85"/>
      <c r="HX58" s="85"/>
      <c r="HY58" s="85"/>
      <c r="HZ58" s="85"/>
      <c r="IA58" s="85"/>
      <c r="IB58" s="85"/>
      <c r="IC58" s="85"/>
      <c r="ID58" s="85"/>
      <c r="IE58" s="85"/>
      <c r="IF58" s="85"/>
      <c r="IG58" s="85"/>
      <c r="IH58" s="85"/>
      <c r="II58" s="85"/>
      <c r="IJ58" s="85"/>
      <c r="IK58" s="85"/>
      <c r="IL58" s="85"/>
      <c r="IM58" s="85"/>
      <c r="IN58" s="85"/>
      <c r="IO58" s="85"/>
      <c r="IP58" s="85"/>
      <c r="IQ58" s="85"/>
      <c r="IR58" s="85"/>
      <c r="IS58" s="85"/>
      <c r="IT58" s="85"/>
      <c r="IU58" s="85"/>
      <c r="IV58" s="85"/>
      <c r="IW58" s="85"/>
    </row>
    <row r="59" customFormat="false" ht="21.75" hidden="true" customHeight="true" outlineLevel="0" collapsed="false">
      <c r="A59" s="4" t="s">
        <v>34</v>
      </c>
      <c r="B59" s="84" t="s">
        <v>54</v>
      </c>
      <c r="C59" s="85"/>
      <c r="D59" s="86" t="n">
        <v>0</v>
      </c>
      <c r="E59" s="87"/>
      <c r="F59" s="88"/>
      <c r="G59" s="86" t="n">
        <f aca="false">INDEX('ARG Gas IM'!$A$6:$W$500,MATCH(Summary!$B$8,'ARG Gas IM'!$A$6:$A$500,0),17)</f>
        <v>0</v>
      </c>
      <c r="H59" s="87"/>
      <c r="I59" s="85"/>
      <c r="J59" s="89" t="n">
        <f aca="false">INDEX('ARG Gas IM'!$A$6:$W$500,MATCH(Summary!$B$8,'ARG Gas IM'!$A$6:$A$500,0),18)</f>
        <v>0</v>
      </c>
      <c r="K59" s="85"/>
      <c r="L59" s="87"/>
      <c r="M59" s="90"/>
      <c r="N59" s="91" t="n">
        <f aca="false">INDEX('SC Gas MTM'!$A$6:$W$500,MATCH(Summary!$B$8,'SC Gas MTM'!$A$6:$A$500,0),19)</f>
        <v>0</v>
      </c>
      <c r="O59" s="91" t="n">
        <f aca="false">'SC Gas MTM'!T$3</f>
        <v>0</v>
      </c>
      <c r="P59" s="91" t="n">
        <f aca="false">INDEX('SC Gas MTM'!$A$6:$W$500,MATCH(Summary!$B$8,'SC Gas MTM'!$A$6:$A$500,0),21)</f>
        <v>0</v>
      </c>
      <c r="Q59" s="91" t="n">
        <f aca="false">INDEX('SC Gas MTM'!$A$6:$W$500,MATCH(Summary!$B$8,'SC Gas MTM'!$A$6:$A$500,0),22)</f>
        <v>0</v>
      </c>
      <c r="R59" s="91" t="n">
        <f aca="false">INDEX('SC Gas MTM'!$A$6:$W$500,MATCH(Summary!$B$8,'SC Gas MTM'!$A$6:$A$500,0),23)</f>
        <v>1197.025</v>
      </c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85"/>
      <c r="AE59" s="85"/>
      <c r="AF59" s="85"/>
      <c r="AG59" s="85"/>
      <c r="AH59" s="85"/>
      <c r="AI59" s="85"/>
      <c r="AJ59" s="85"/>
      <c r="AK59" s="85"/>
      <c r="AL59" s="85"/>
      <c r="AM59" s="85"/>
      <c r="AN59" s="85"/>
      <c r="AO59" s="85"/>
      <c r="AP59" s="85"/>
      <c r="AQ59" s="85"/>
      <c r="AR59" s="85"/>
      <c r="AS59" s="85"/>
      <c r="AT59" s="85"/>
      <c r="AU59" s="85"/>
      <c r="AV59" s="85"/>
      <c r="AW59" s="85"/>
      <c r="AX59" s="85"/>
      <c r="AY59" s="85"/>
      <c r="AZ59" s="85"/>
      <c r="BA59" s="85"/>
      <c r="BB59" s="85"/>
      <c r="BC59" s="85"/>
      <c r="BD59" s="85"/>
      <c r="BE59" s="85"/>
      <c r="BF59" s="85"/>
      <c r="BG59" s="85"/>
      <c r="BH59" s="85"/>
      <c r="BI59" s="85"/>
      <c r="BJ59" s="85"/>
      <c r="BK59" s="85"/>
      <c r="BL59" s="85"/>
      <c r="BM59" s="85"/>
      <c r="BN59" s="85"/>
      <c r="BO59" s="85"/>
      <c r="BP59" s="85"/>
      <c r="BQ59" s="85"/>
      <c r="BR59" s="85"/>
      <c r="BS59" s="85"/>
      <c r="BT59" s="85"/>
      <c r="BU59" s="85"/>
      <c r="BV59" s="85"/>
      <c r="BW59" s="85"/>
      <c r="BX59" s="85"/>
      <c r="BY59" s="85"/>
      <c r="BZ59" s="85"/>
      <c r="CA59" s="85"/>
      <c r="CB59" s="85"/>
      <c r="CC59" s="85"/>
      <c r="CD59" s="85"/>
      <c r="CE59" s="85"/>
      <c r="CF59" s="85"/>
      <c r="CG59" s="85"/>
      <c r="CH59" s="85"/>
      <c r="CI59" s="85"/>
      <c r="CJ59" s="85"/>
      <c r="CK59" s="85"/>
      <c r="CL59" s="85"/>
      <c r="CM59" s="85"/>
      <c r="CN59" s="85"/>
      <c r="CO59" s="85"/>
      <c r="CP59" s="85"/>
      <c r="CQ59" s="85"/>
      <c r="CR59" s="85"/>
      <c r="CS59" s="85"/>
      <c r="CT59" s="85"/>
      <c r="CU59" s="85"/>
      <c r="CV59" s="85"/>
      <c r="CW59" s="85"/>
      <c r="CX59" s="85"/>
      <c r="CY59" s="85"/>
      <c r="CZ59" s="85"/>
      <c r="DA59" s="85"/>
      <c r="DB59" s="85"/>
      <c r="DC59" s="85"/>
      <c r="DD59" s="85"/>
      <c r="DE59" s="85"/>
      <c r="DF59" s="85"/>
      <c r="DG59" s="85"/>
      <c r="DH59" s="85"/>
      <c r="DI59" s="85"/>
      <c r="DJ59" s="85"/>
      <c r="DK59" s="85"/>
      <c r="DL59" s="85"/>
      <c r="DM59" s="85"/>
      <c r="DN59" s="85"/>
      <c r="DO59" s="85"/>
      <c r="DP59" s="85"/>
      <c r="DQ59" s="85"/>
      <c r="DR59" s="85"/>
      <c r="DS59" s="85"/>
      <c r="DT59" s="85"/>
      <c r="DU59" s="85"/>
      <c r="DV59" s="85"/>
      <c r="DW59" s="85"/>
      <c r="DX59" s="85"/>
      <c r="DY59" s="85"/>
      <c r="DZ59" s="85"/>
      <c r="EA59" s="85"/>
      <c r="EB59" s="85"/>
      <c r="EC59" s="85"/>
      <c r="ED59" s="85"/>
      <c r="EE59" s="85"/>
      <c r="EF59" s="85"/>
      <c r="EG59" s="85"/>
      <c r="EH59" s="85"/>
      <c r="EI59" s="85"/>
      <c r="EJ59" s="85"/>
      <c r="EK59" s="85"/>
      <c r="EL59" s="85"/>
      <c r="EM59" s="85"/>
      <c r="EN59" s="85"/>
      <c r="EO59" s="85"/>
      <c r="EP59" s="85"/>
      <c r="EQ59" s="85"/>
      <c r="ER59" s="85"/>
      <c r="ES59" s="85"/>
      <c r="ET59" s="85"/>
      <c r="EU59" s="85"/>
      <c r="EV59" s="85"/>
      <c r="EW59" s="85"/>
      <c r="EX59" s="85"/>
      <c r="EY59" s="85"/>
      <c r="EZ59" s="85"/>
      <c r="FA59" s="85"/>
      <c r="FB59" s="85"/>
      <c r="FC59" s="85"/>
      <c r="FD59" s="85"/>
      <c r="FE59" s="85"/>
      <c r="FF59" s="85"/>
      <c r="FG59" s="85"/>
      <c r="FH59" s="85"/>
      <c r="FI59" s="85"/>
      <c r="FJ59" s="85"/>
      <c r="FK59" s="85"/>
      <c r="FL59" s="85"/>
      <c r="FM59" s="85"/>
      <c r="FN59" s="85"/>
      <c r="FO59" s="85"/>
      <c r="FP59" s="85"/>
      <c r="FQ59" s="85"/>
      <c r="FR59" s="85"/>
      <c r="FS59" s="85"/>
      <c r="FT59" s="85"/>
      <c r="FU59" s="85"/>
      <c r="FV59" s="85"/>
      <c r="FW59" s="85"/>
      <c r="FX59" s="85"/>
      <c r="FY59" s="85"/>
      <c r="FZ59" s="85"/>
      <c r="GA59" s="85"/>
      <c r="GB59" s="85"/>
      <c r="GC59" s="85"/>
      <c r="GD59" s="85"/>
      <c r="GE59" s="85"/>
      <c r="GF59" s="85"/>
      <c r="GG59" s="85"/>
      <c r="GH59" s="85"/>
      <c r="GI59" s="85"/>
      <c r="GJ59" s="85"/>
      <c r="GK59" s="85"/>
      <c r="GL59" s="85"/>
      <c r="GM59" s="85"/>
      <c r="GN59" s="85"/>
      <c r="GO59" s="85"/>
      <c r="GP59" s="85"/>
      <c r="GQ59" s="85"/>
      <c r="GR59" s="85"/>
      <c r="GS59" s="85"/>
      <c r="GT59" s="85"/>
      <c r="GU59" s="85"/>
      <c r="GV59" s="85"/>
      <c r="GW59" s="85"/>
      <c r="GX59" s="85"/>
      <c r="GY59" s="85"/>
      <c r="GZ59" s="85"/>
      <c r="HA59" s="85"/>
      <c r="HB59" s="85"/>
      <c r="HC59" s="85"/>
      <c r="HD59" s="85"/>
      <c r="HE59" s="85"/>
      <c r="HF59" s="85"/>
      <c r="HG59" s="85"/>
      <c r="HH59" s="85"/>
      <c r="HI59" s="85"/>
      <c r="HJ59" s="85"/>
      <c r="HK59" s="85"/>
      <c r="HL59" s="85"/>
      <c r="HM59" s="85"/>
      <c r="HN59" s="85"/>
      <c r="HO59" s="85"/>
      <c r="HP59" s="85"/>
      <c r="HQ59" s="85"/>
      <c r="HR59" s="85"/>
      <c r="HS59" s="85"/>
      <c r="HT59" s="85"/>
      <c r="HU59" s="85"/>
      <c r="HV59" s="85"/>
      <c r="HW59" s="85"/>
      <c r="HX59" s="85"/>
      <c r="HY59" s="85"/>
      <c r="HZ59" s="85"/>
      <c r="IA59" s="85"/>
      <c r="IB59" s="85"/>
      <c r="IC59" s="85"/>
      <c r="ID59" s="85"/>
      <c r="IE59" s="85"/>
      <c r="IF59" s="85"/>
      <c r="IG59" s="85"/>
      <c r="IH59" s="85"/>
      <c r="II59" s="85"/>
      <c r="IJ59" s="85"/>
      <c r="IK59" s="85"/>
      <c r="IL59" s="85"/>
      <c r="IM59" s="85"/>
      <c r="IN59" s="85"/>
      <c r="IO59" s="85"/>
      <c r="IP59" s="85"/>
      <c r="IQ59" s="85"/>
      <c r="IR59" s="85"/>
      <c r="IS59" s="85"/>
      <c r="IT59" s="85"/>
      <c r="IU59" s="85"/>
      <c r="IV59" s="85"/>
      <c r="IW59" s="85"/>
    </row>
    <row r="60" customFormat="false" ht="21.75" hidden="true" customHeight="true" outlineLevel="0" collapsed="false">
      <c r="A60" s="4" t="s">
        <v>34</v>
      </c>
      <c r="B60" s="84" t="s">
        <v>55</v>
      </c>
      <c r="C60" s="85"/>
      <c r="D60" s="86" t="n">
        <v>0</v>
      </c>
      <c r="E60" s="87"/>
      <c r="F60" s="88"/>
      <c r="G60" s="86" t="n">
        <f aca="false">INDEX('ARG Gas IM'!$A$6:$W$500,MATCH(Summary!$B$8,'ARG Gas IM'!$A$6:$A$500,0),17)</f>
        <v>0</v>
      </c>
      <c r="H60" s="87"/>
      <c r="I60" s="85"/>
      <c r="J60" s="89" t="n">
        <f aca="false">INDEX('ARG Gas IM'!$A$6:$W$500,MATCH(Summary!$B$8,'ARG Gas IM'!$A$6:$A$500,0),18)</f>
        <v>0</v>
      </c>
      <c r="K60" s="85"/>
      <c r="L60" s="87"/>
      <c r="M60" s="90"/>
      <c r="N60" s="91" t="n">
        <f aca="false">INDEX('TBS Gas MTM'!$A$6:$W$500,MATCH(Summary!$B$8,'TBS Gas MTM'!$A$6:$A$500,0),19)</f>
        <v>0</v>
      </c>
      <c r="O60" s="91" t="n">
        <f aca="false">'TBS Gas MTM'!T$3</f>
        <v>0</v>
      </c>
      <c r="P60" s="91" t="n">
        <f aca="false">INDEX('TBS Gas MTM'!$A$6:$W$500,MATCH(Summary!$B$8,'TBS Gas MTM'!$A$6:$A$500,0),21)</f>
        <v>0</v>
      </c>
      <c r="Q60" s="91" t="n">
        <f aca="false">INDEX('TBS Gas MTM'!$A$6:$W$500,MATCH(Summary!$B$8,'TBS Gas MTM'!$A$6:$A$500,0),22)</f>
        <v>0</v>
      </c>
      <c r="R60" s="91" t="n">
        <f aca="false">INDEX('TBS Gas MTM'!$A$6:$W$500,MATCH(Summary!$B$8,'TBS Gas MTM'!$A$6:$A$500,0),23)</f>
        <v>-221.916</v>
      </c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  <c r="AD60" s="85"/>
      <c r="AE60" s="85"/>
      <c r="AF60" s="85"/>
      <c r="AG60" s="85"/>
      <c r="AH60" s="85"/>
      <c r="AI60" s="85"/>
      <c r="AJ60" s="85"/>
      <c r="AK60" s="85"/>
      <c r="AL60" s="85"/>
      <c r="AM60" s="85"/>
      <c r="AN60" s="85"/>
      <c r="AO60" s="85"/>
      <c r="AP60" s="85"/>
      <c r="AQ60" s="85"/>
      <c r="AR60" s="85"/>
      <c r="AS60" s="85"/>
      <c r="AT60" s="85"/>
      <c r="AU60" s="85"/>
      <c r="AV60" s="85"/>
      <c r="AW60" s="85"/>
      <c r="AX60" s="85"/>
      <c r="AY60" s="85"/>
      <c r="AZ60" s="85"/>
      <c r="BA60" s="85"/>
      <c r="BB60" s="85"/>
      <c r="BC60" s="85"/>
      <c r="BD60" s="85"/>
      <c r="BE60" s="85"/>
      <c r="BF60" s="85"/>
      <c r="BG60" s="85"/>
      <c r="BH60" s="85"/>
      <c r="BI60" s="85"/>
      <c r="BJ60" s="85"/>
      <c r="BK60" s="85"/>
      <c r="BL60" s="85"/>
      <c r="BM60" s="85"/>
      <c r="BN60" s="85"/>
      <c r="BO60" s="85"/>
      <c r="BP60" s="85"/>
      <c r="BQ60" s="85"/>
      <c r="BR60" s="85"/>
      <c r="BS60" s="85"/>
      <c r="BT60" s="85"/>
      <c r="BU60" s="85"/>
      <c r="BV60" s="85"/>
      <c r="BW60" s="85"/>
      <c r="BX60" s="85"/>
      <c r="BY60" s="85"/>
      <c r="BZ60" s="85"/>
      <c r="CA60" s="85"/>
      <c r="CB60" s="85"/>
      <c r="CC60" s="85"/>
      <c r="CD60" s="85"/>
      <c r="CE60" s="85"/>
      <c r="CF60" s="85"/>
      <c r="CG60" s="85"/>
      <c r="CH60" s="85"/>
      <c r="CI60" s="85"/>
      <c r="CJ60" s="85"/>
      <c r="CK60" s="85"/>
      <c r="CL60" s="85"/>
      <c r="CM60" s="85"/>
      <c r="CN60" s="85"/>
      <c r="CO60" s="85"/>
      <c r="CP60" s="85"/>
      <c r="CQ60" s="85"/>
      <c r="CR60" s="85"/>
      <c r="CS60" s="85"/>
      <c r="CT60" s="85"/>
      <c r="CU60" s="85"/>
      <c r="CV60" s="85"/>
      <c r="CW60" s="85"/>
      <c r="CX60" s="85"/>
      <c r="CY60" s="85"/>
      <c r="CZ60" s="85"/>
      <c r="DA60" s="85"/>
      <c r="DB60" s="85"/>
      <c r="DC60" s="85"/>
      <c r="DD60" s="85"/>
      <c r="DE60" s="85"/>
      <c r="DF60" s="85"/>
      <c r="DG60" s="85"/>
      <c r="DH60" s="85"/>
      <c r="DI60" s="85"/>
      <c r="DJ60" s="85"/>
      <c r="DK60" s="85"/>
      <c r="DL60" s="85"/>
      <c r="DM60" s="85"/>
      <c r="DN60" s="85"/>
      <c r="DO60" s="85"/>
      <c r="DP60" s="85"/>
      <c r="DQ60" s="85"/>
      <c r="DR60" s="85"/>
      <c r="DS60" s="85"/>
      <c r="DT60" s="85"/>
      <c r="DU60" s="85"/>
      <c r="DV60" s="85"/>
      <c r="DW60" s="85"/>
      <c r="DX60" s="85"/>
      <c r="DY60" s="85"/>
      <c r="DZ60" s="85"/>
      <c r="EA60" s="85"/>
      <c r="EB60" s="85"/>
      <c r="EC60" s="85"/>
      <c r="ED60" s="85"/>
      <c r="EE60" s="85"/>
      <c r="EF60" s="85"/>
      <c r="EG60" s="85"/>
      <c r="EH60" s="85"/>
      <c r="EI60" s="85"/>
      <c r="EJ60" s="85"/>
      <c r="EK60" s="85"/>
      <c r="EL60" s="85"/>
      <c r="EM60" s="85"/>
      <c r="EN60" s="85"/>
      <c r="EO60" s="85"/>
      <c r="EP60" s="85"/>
      <c r="EQ60" s="85"/>
      <c r="ER60" s="85"/>
      <c r="ES60" s="85"/>
      <c r="ET60" s="85"/>
      <c r="EU60" s="85"/>
      <c r="EV60" s="85"/>
      <c r="EW60" s="85"/>
      <c r="EX60" s="85"/>
      <c r="EY60" s="85"/>
      <c r="EZ60" s="85"/>
      <c r="FA60" s="85"/>
      <c r="FB60" s="85"/>
      <c r="FC60" s="85"/>
      <c r="FD60" s="85"/>
      <c r="FE60" s="85"/>
      <c r="FF60" s="85"/>
      <c r="FG60" s="85"/>
      <c r="FH60" s="85"/>
      <c r="FI60" s="85"/>
      <c r="FJ60" s="85"/>
      <c r="FK60" s="85"/>
      <c r="FL60" s="85"/>
      <c r="FM60" s="85"/>
      <c r="FN60" s="85"/>
      <c r="FO60" s="85"/>
      <c r="FP60" s="85"/>
      <c r="FQ60" s="85"/>
      <c r="FR60" s="85"/>
      <c r="FS60" s="85"/>
      <c r="FT60" s="85"/>
      <c r="FU60" s="85"/>
      <c r="FV60" s="85"/>
      <c r="FW60" s="85"/>
      <c r="FX60" s="85"/>
      <c r="FY60" s="85"/>
      <c r="FZ60" s="85"/>
      <c r="GA60" s="85"/>
      <c r="GB60" s="85"/>
      <c r="GC60" s="85"/>
      <c r="GD60" s="85"/>
      <c r="GE60" s="85"/>
      <c r="GF60" s="85"/>
      <c r="GG60" s="85"/>
      <c r="GH60" s="85"/>
      <c r="GI60" s="85"/>
      <c r="GJ60" s="85"/>
      <c r="GK60" s="85"/>
      <c r="GL60" s="85"/>
      <c r="GM60" s="85"/>
      <c r="GN60" s="85"/>
      <c r="GO60" s="85"/>
      <c r="GP60" s="85"/>
      <c r="GQ60" s="85"/>
      <c r="GR60" s="85"/>
      <c r="GS60" s="85"/>
      <c r="GT60" s="85"/>
      <c r="GU60" s="85"/>
      <c r="GV60" s="85"/>
      <c r="GW60" s="85"/>
      <c r="GX60" s="85"/>
      <c r="GY60" s="85"/>
      <c r="GZ60" s="85"/>
      <c r="HA60" s="85"/>
      <c r="HB60" s="85"/>
      <c r="HC60" s="85"/>
      <c r="HD60" s="85"/>
      <c r="HE60" s="85"/>
      <c r="HF60" s="85"/>
      <c r="HG60" s="85"/>
      <c r="HH60" s="85"/>
      <c r="HI60" s="85"/>
      <c r="HJ60" s="85"/>
      <c r="HK60" s="85"/>
      <c r="HL60" s="85"/>
      <c r="HM60" s="85"/>
      <c r="HN60" s="85"/>
      <c r="HO60" s="85"/>
      <c r="HP60" s="85"/>
      <c r="HQ60" s="85"/>
      <c r="HR60" s="85"/>
      <c r="HS60" s="85"/>
      <c r="HT60" s="85"/>
      <c r="HU60" s="85"/>
      <c r="HV60" s="85"/>
      <c r="HW60" s="85"/>
      <c r="HX60" s="85"/>
      <c r="HY60" s="85"/>
      <c r="HZ60" s="85"/>
      <c r="IA60" s="85"/>
      <c r="IB60" s="85"/>
      <c r="IC60" s="85"/>
      <c r="ID60" s="85"/>
      <c r="IE60" s="85"/>
      <c r="IF60" s="85"/>
      <c r="IG60" s="85"/>
      <c r="IH60" s="85"/>
      <c r="II60" s="85"/>
      <c r="IJ60" s="85"/>
      <c r="IK60" s="85"/>
      <c r="IL60" s="85"/>
      <c r="IM60" s="85"/>
      <c r="IN60" s="85"/>
      <c r="IO60" s="85"/>
      <c r="IP60" s="85"/>
      <c r="IQ60" s="85"/>
      <c r="IR60" s="85"/>
      <c r="IS60" s="85"/>
      <c r="IT60" s="85"/>
      <c r="IU60" s="85"/>
      <c r="IV60" s="85"/>
      <c r="IW60" s="85"/>
    </row>
    <row r="61" customFormat="false" ht="21.75" hidden="true" customHeight="true" outlineLevel="0" collapsed="false">
      <c r="A61" s="4" t="s">
        <v>34</v>
      </c>
      <c r="B61" s="84" t="s">
        <v>56</v>
      </c>
      <c r="C61" s="85"/>
      <c r="D61" s="86" t="n">
        <v>0</v>
      </c>
      <c r="E61" s="87"/>
      <c r="F61" s="88"/>
      <c r="G61" s="86" t="n">
        <f aca="false">INDEX('ARG Gas IM'!$A$6:$W$500,MATCH(Summary!$B$8,'ARG Gas IM'!$A$6:$A$500,0),17)</f>
        <v>0</v>
      </c>
      <c r="H61" s="87"/>
      <c r="I61" s="85"/>
      <c r="J61" s="89" t="n">
        <f aca="false">INDEX('ARG Gas IM'!$A$6:$W$500,MATCH(Summary!$B$8,'ARG Gas IM'!$A$6:$A$500,0),18)</f>
        <v>0</v>
      </c>
      <c r="K61" s="85"/>
      <c r="L61" s="87"/>
      <c r="M61" s="90"/>
      <c r="N61" s="91" t="n">
        <f aca="false">INDEX('TBS CRD MTM'!$A$6:$W$500,MATCH(Summary!$B$8,'TBS CRD MTM'!$A$6:$A$500,0),19)</f>
        <v>0</v>
      </c>
      <c r="O61" s="91" t="n">
        <f aca="false">'TBS CRD MTM'!T$3</f>
        <v>0</v>
      </c>
      <c r="P61" s="91" t="n">
        <f aca="false">INDEX('TBS CRD MTM'!$A$6:$W$500,MATCH(Summary!$B$8,'TBS CRD MTM'!$A$6:$A$500,0),21)</f>
        <v>0</v>
      </c>
      <c r="Q61" s="91" t="n">
        <f aca="false">INDEX('TBS CRD MTM'!$A$6:$W$500,MATCH(Summary!$B$8,'TBS CRD MTM'!$A$6:$A$500,0),22)</f>
        <v>0</v>
      </c>
      <c r="R61" s="91" t="n">
        <f aca="false">INDEX('TBS CRD MTM'!$A$6:$W$500,MATCH(Summary!$B$8,'TBS CRD MTM'!$A$6:$A$500,0),23)</f>
        <v>-1376.857</v>
      </c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  <c r="AD61" s="85"/>
      <c r="AE61" s="85"/>
      <c r="AF61" s="85"/>
      <c r="AG61" s="85"/>
      <c r="AH61" s="85"/>
      <c r="AI61" s="85"/>
      <c r="AJ61" s="85"/>
      <c r="AK61" s="85"/>
      <c r="AL61" s="85"/>
      <c r="AM61" s="85"/>
      <c r="AN61" s="85"/>
      <c r="AO61" s="85"/>
      <c r="AP61" s="85"/>
      <c r="AQ61" s="85"/>
      <c r="AR61" s="85"/>
      <c r="AS61" s="85"/>
      <c r="AT61" s="85"/>
      <c r="AU61" s="85"/>
      <c r="AV61" s="85"/>
      <c r="AW61" s="85"/>
      <c r="AX61" s="85"/>
      <c r="AY61" s="85"/>
      <c r="AZ61" s="85"/>
      <c r="BA61" s="85"/>
      <c r="BB61" s="85"/>
      <c r="BC61" s="85"/>
      <c r="BD61" s="85"/>
      <c r="BE61" s="85"/>
      <c r="BF61" s="85"/>
      <c r="BG61" s="85"/>
      <c r="BH61" s="85"/>
      <c r="BI61" s="85"/>
      <c r="BJ61" s="85"/>
      <c r="BK61" s="85"/>
      <c r="BL61" s="85"/>
      <c r="BM61" s="85"/>
      <c r="BN61" s="85"/>
      <c r="BO61" s="85"/>
      <c r="BP61" s="85"/>
      <c r="BQ61" s="85"/>
      <c r="BR61" s="85"/>
      <c r="BS61" s="85"/>
      <c r="BT61" s="85"/>
      <c r="BU61" s="85"/>
      <c r="BV61" s="85"/>
      <c r="BW61" s="85"/>
      <c r="BX61" s="85"/>
      <c r="BY61" s="85"/>
      <c r="BZ61" s="85"/>
      <c r="CA61" s="85"/>
      <c r="CB61" s="85"/>
      <c r="CC61" s="85"/>
      <c r="CD61" s="85"/>
      <c r="CE61" s="85"/>
      <c r="CF61" s="85"/>
      <c r="CG61" s="85"/>
      <c r="CH61" s="85"/>
      <c r="CI61" s="85"/>
      <c r="CJ61" s="85"/>
      <c r="CK61" s="85"/>
      <c r="CL61" s="85"/>
      <c r="CM61" s="85"/>
      <c r="CN61" s="85"/>
      <c r="CO61" s="85"/>
      <c r="CP61" s="85"/>
      <c r="CQ61" s="85"/>
      <c r="CR61" s="85"/>
      <c r="CS61" s="85"/>
      <c r="CT61" s="85"/>
      <c r="CU61" s="85"/>
      <c r="CV61" s="85"/>
      <c r="CW61" s="85"/>
      <c r="CX61" s="85"/>
      <c r="CY61" s="85"/>
      <c r="CZ61" s="85"/>
      <c r="DA61" s="85"/>
      <c r="DB61" s="85"/>
      <c r="DC61" s="85"/>
      <c r="DD61" s="85"/>
      <c r="DE61" s="85"/>
      <c r="DF61" s="85"/>
      <c r="DG61" s="85"/>
      <c r="DH61" s="85"/>
      <c r="DI61" s="85"/>
      <c r="DJ61" s="85"/>
      <c r="DK61" s="85"/>
      <c r="DL61" s="85"/>
      <c r="DM61" s="85"/>
      <c r="DN61" s="85"/>
      <c r="DO61" s="85"/>
      <c r="DP61" s="85"/>
      <c r="DQ61" s="85"/>
      <c r="DR61" s="85"/>
      <c r="DS61" s="85"/>
      <c r="DT61" s="85"/>
      <c r="DU61" s="85"/>
      <c r="DV61" s="85"/>
      <c r="DW61" s="85"/>
      <c r="DX61" s="85"/>
      <c r="DY61" s="85"/>
      <c r="DZ61" s="85"/>
      <c r="EA61" s="85"/>
      <c r="EB61" s="85"/>
      <c r="EC61" s="85"/>
      <c r="ED61" s="85"/>
      <c r="EE61" s="85"/>
      <c r="EF61" s="85"/>
      <c r="EG61" s="85"/>
      <c r="EH61" s="85"/>
      <c r="EI61" s="85"/>
      <c r="EJ61" s="85"/>
      <c r="EK61" s="85"/>
      <c r="EL61" s="85"/>
      <c r="EM61" s="85"/>
      <c r="EN61" s="85"/>
      <c r="EO61" s="85"/>
      <c r="EP61" s="85"/>
      <c r="EQ61" s="85"/>
      <c r="ER61" s="85"/>
      <c r="ES61" s="85"/>
      <c r="ET61" s="85"/>
      <c r="EU61" s="85"/>
      <c r="EV61" s="85"/>
      <c r="EW61" s="85"/>
      <c r="EX61" s="85"/>
      <c r="EY61" s="85"/>
      <c r="EZ61" s="85"/>
      <c r="FA61" s="85"/>
      <c r="FB61" s="85"/>
      <c r="FC61" s="85"/>
      <c r="FD61" s="85"/>
      <c r="FE61" s="85"/>
      <c r="FF61" s="85"/>
      <c r="FG61" s="85"/>
      <c r="FH61" s="85"/>
      <c r="FI61" s="85"/>
      <c r="FJ61" s="85"/>
      <c r="FK61" s="85"/>
      <c r="FL61" s="85"/>
      <c r="FM61" s="85"/>
      <c r="FN61" s="85"/>
      <c r="FO61" s="85"/>
      <c r="FP61" s="85"/>
      <c r="FQ61" s="85"/>
      <c r="FR61" s="85"/>
      <c r="FS61" s="85"/>
      <c r="FT61" s="85"/>
      <c r="FU61" s="85"/>
      <c r="FV61" s="85"/>
      <c r="FW61" s="85"/>
      <c r="FX61" s="85"/>
      <c r="FY61" s="85"/>
      <c r="FZ61" s="85"/>
      <c r="GA61" s="85"/>
      <c r="GB61" s="85"/>
      <c r="GC61" s="85"/>
      <c r="GD61" s="85"/>
      <c r="GE61" s="85"/>
      <c r="GF61" s="85"/>
      <c r="GG61" s="85"/>
      <c r="GH61" s="85"/>
      <c r="GI61" s="85"/>
      <c r="GJ61" s="85"/>
      <c r="GK61" s="85"/>
      <c r="GL61" s="85"/>
      <c r="GM61" s="85"/>
      <c r="GN61" s="85"/>
      <c r="GO61" s="85"/>
      <c r="GP61" s="85"/>
      <c r="GQ61" s="85"/>
      <c r="GR61" s="85"/>
      <c r="GS61" s="85"/>
      <c r="GT61" s="85"/>
      <c r="GU61" s="85"/>
      <c r="GV61" s="85"/>
      <c r="GW61" s="85"/>
      <c r="GX61" s="85"/>
      <c r="GY61" s="85"/>
      <c r="GZ61" s="85"/>
      <c r="HA61" s="85"/>
      <c r="HB61" s="85"/>
      <c r="HC61" s="85"/>
      <c r="HD61" s="85"/>
      <c r="HE61" s="85"/>
      <c r="HF61" s="85"/>
      <c r="HG61" s="85"/>
      <c r="HH61" s="85"/>
      <c r="HI61" s="85"/>
      <c r="HJ61" s="85"/>
      <c r="HK61" s="85"/>
      <c r="HL61" s="85"/>
      <c r="HM61" s="85"/>
      <c r="HN61" s="85"/>
      <c r="HO61" s="85"/>
      <c r="HP61" s="85"/>
      <c r="HQ61" s="85"/>
      <c r="HR61" s="85"/>
      <c r="HS61" s="85"/>
      <c r="HT61" s="85"/>
      <c r="HU61" s="85"/>
      <c r="HV61" s="85"/>
      <c r="HW61" s="85"/>
      <c r="HX61" s="85"/>
      <c r="HY61" s="85"/>
      <c r="HZ61" s="85"/>
      <c r="IA61" s="85"/>
      <c r="IB61" s="85"/>
      <c r="IC61" s="85"/>
      <c r="ID61" s="85"/>
      <c r="IE61" s="85"/>
      <c r="IF61" s="85"/>
      <c r="IG61" s="85"/>
      <c r="IH61" s="85"/>
      <c r="II61" s="85"/>
      <c r="IJ61" s="85"/>
      <c r="IK61" s="85"/>
      <c r="IL61" s="85"/>
      <c r="IM61" s="85"/>
      <c r="IN61" s="85"/>
      <c r="IO61" s="85"/>
      <c r="IP61" s="85"/>
      <c r="IQ61" s="85"/>
      <c r="IR61" s="85"/>
      <c r="IS61" s="85"/>
      <c r="IT61" s="85"/>
      <c r="IU61" s="85"/>
      <c r="IV61" s="85"/>
      <c r="IW61" s="85"/>
    </row>
    <row r="62" customFormat="false" ht="15.75" hidden="false" customHeight="false" outlineLevel="0" collapsed="false">
      <c r="D62" s="119"/>
      <c r="E62" s="119"/>
      <c r="F62" s="42"/>
      <c r="G62" s="119"/>
      <c r="H62" s="119"/>
      <c r="I62" s="119"/>
      <c r="J62" s="119"/>
    </row>
    <row r="63" customFormat="false" ht="15.75" hidden="false" customHeight="false" outlineLevel="0" collapsed="false">
      <c r="D63" s="119"/>
      <c r="E63" s="119"/>
      <c r="F63" s="42"/>
      <c r="G63" s="119"/>
      <c r="H63" s="119"/>
      <c r="I63" s="119"/>
      <c r="J63" s="119"/>
    </row>
  </sheetData>
  <autoFilter ref="A1:T61">
    <filterColumn colId="0">
      <filters>
        <filter val="y"/>
      </filters>
    </filterColumn>
  </autoFilter>
  <mergeCells count="4">
    <mergeCell ref="D9:E9"/>
    <mergeCell ref="G9:H9"/>
    <mergeCell ref="J9:L9"/>
    <mergeCell ref="N9:R9"/>
  </mergeCells>
  <printOptions headings="false" gridLines="false" gridLinesSet="true" horizontalCentered="true" verticalCentered="false"/>
  <pageMargins left="0.259722222222222" right="0.140277777777778" top="0.6" bottom="0.640277777777778" header="0.6" footer="0.3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&amp;C&amp;"Times New Roman,Bold"&amp;20CONFIDENTIAL AND PROPRIETARY
DO NOT COPY</oddHeader>
    <oddFooter>&amp;C&amp;"Times New Roman,Bold"&amp;20CONFIDENTIAL AND PROPRIETARY
DO NOT COPY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8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310" activeCellId="0" sqref="D310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20" width="7.28"/>
    <col collapsed="false" customWidth="true" hidden="false" outlineLevel="0" max="2" min="2" style="121" width="4.14"/>
    <col collapsed="false" customWidth="true" hidden="false" outlineLevel="0" max="3" min="3" style="122" width="2.7"/>
    <col collapsed="false" customWidth="true" hidden="false" outlineLevel="0" max="4" min="4" style="121" width="14.99"/>
    <col collapsed="false" customWidth="true" hidden="false" outlineLevel="0" max="5" min="5" style="121" width="11.13"/>
    <col collapsed="false" customWidth="true" hidden="false" outlineLevel="0" max="6" min="6" style="121" width="13.28"/>
    <col collapsed="false" customWidth="true" hidden="false" outlineLevel="0" max="7" min="7" style="121" width="14.99"/>
    <col collapsed="false" customWidth="true" hidden="false" outlineLevel="0" max="8" min="8" style="122" width="2.7"/>
    <col collapsed="false" customWidth="true" hidden="false" outlineLevel="0" max="9" min="9" style="123" width="13.14"/>
    <col collapsed="false" customWidth="true" hidden="false" outlineLevel="0" max="10" min="10" style="124" width="9.99"/>
    <col collapsed="false" customWidth="true" hidden="false" outlineLevel="0" max="11" min="11" style="124" width="10.99"/>
    <col collapsed="false" customWidth="true" hidden="false" outlineLevel="0" max="12" min="12" style="124" width="13.14"/>
    <col collapsed="false" customWidth="true" hidden="false" outlineLevel="0" max="13" min="13" style="124" width="9.7"/>
    <col collapsed="false" customWidth="true" hidden="false" outlineLevel="0" max="14" min="14" style="124" width="13.14"/>
    <col collapsed="false" customWidth="true" hidden="false" outlineLevel="0" max="15" min="15" style="125" width="2.7"/>
    <col collapsed="false" customWidth="true" hidden="false" outlineLevel="0" max="18" min="16" style="121" width="16.13"/>
    <col collapsed="false" customWidth="true" hidden="false" outlineLevel="0" max="23" min="19" style="126" width="12.7"/>
    <col collapsed="false" customWidth="false" hidden="false" outlineLevel="0" max="257" min="24" style="121" width="9.14"/>
  </cols>
  <sheetData>
    <row r="1" customFormat="false" ht="12.75" hidden="false" customHeight="false" outlineLevel="0" collapsed="false">
      <c r="A1" s="127" t="n">
        <v>1</v>
      </c>
      <c r="B1" s="121" t="n">
        <f aca="false">+A1+1</f>
        <v>2</v>
      </c>
      <c r="C1" s="122" t="n">
        <f aca="false">+B1+1</f>
        <v>3</v>
      </c>
      <c r="D1" s="121" t="n">
        <f aca="false">+C1+1</f>
        <v>4</v>
      </c>
      <c r="E1" s="121" t="n">
        <f aca="false">+D1+1</f>
        <v>5</v>
      </c>
      <c r="F1" s="121" t="n">
        <f aca="false">+E1+1</f>
        <v>6</v>
      </c>
      <c r="G1" s="121" t="n">
        <f aca="false">+F1+1</f>
        <v>7</v>
      </c>
      <c r="H1" s="122" t="n">
        <f aca="false">+G1+1</f>
        <v>8</v>
      </c>
      <c r="I1" s="123" t="n">
        <f aca="false">+H1+1</f>
        <v>9</v>
      </c>
      <c r="J1" s="124" t="n">
        <f aca="false">+I1+1</f>
        <v>10</v>
      </c>
      <c r="K1" s="124" t="n">
        <f aca="false">+J1+1</f>
        <v>11</v>
      </c>
      <c r="L1" s="124" t="n">
        <f aca="false">+K1+1</f>
        <v>12</v>
      </c>
      <c r="M1" s="124" t="n">
        <f aca="false">+L1+1</f>
        <v>13</v>
      </c>
      <c r="N1" s="124" t="n">
        <f aca="false">+M1+1</f>
        <v>14</v>
      </c>
      <c r="O1" s="125" t="n">
        <f aca="false">+N1+1</f>
        <v>15</v>
      </c>
      <c r="P1" s="121" t="n">
        <f aca="false">+O1+1</f>
        <v>16</v>
      </c>
      <c r="Q1" s="121" t="n">
        <f aca="false">+P1+1</f>
        <v>17</v>
      </c>
      <c r="R1" s="121" t="n">
        <f aca="false">+Q1+1</f>
        <v>18</v>
      </c>
      <c r="S1" s="121" t="n">
        <f aca="false">+R1+1</f>
        <v>19</v>
      </c>
      <c r="T1" s="121" t="n">
        <f aca="false">+S1+1</f>
        <v>20</v>
      </c>
      <c r="U1" s="121" t="n">
        <f aca="false">+T1+1</f>
        <v>21</v>
      </c>
      <c r="V1" s="121" t="n">
        <f aca="false">+U1+1</f>
        <v>22</v>
      </c>
      <c r="W1" s="121" t="n">
        <f aca="false">+V1+1</f>
        <v>23</v>
      </c>
    </row>
    <row r="2" customFormat="false" ht="12.75" hidden="false" customHeight="false" outlineLevel="0" collapsed="false">
      <c r="K2" s="128" t="n">
        <f aca="false">WORKDAY(K3,-4)</f>
        <v>37190</v>
      </c>
    </row>
    <row r="3" customFormat="false" ht="12.75" hidden="false" customHeight="false" outlineLevel="0" collapsed="false">
      <c r="I3" s="146"/>
      <c r="K3" s="128" t="n">
        <f aca="false">Summary!B8</f>
        <v>37196</v>
      </c>
      <c r="L3" s="129" t="n">
        <f aca="false">SUM(L6:L371)</f>
        <v>3686</v>
      </c>
      <c r="P3" s="124" t="n">
        <v>1000000</v>
      </c>
      <c r="Q3" s="124"/>
      <c r="R3" s="124" t="n">
        <v>1000</v>
      </c>
      <c r="S3" s="121"/>
      <c r="T3" s="130" t="n">
        <f aca="false">SUM(T6:T371)</f>
        <v>3.68600000000001</v>
      </c>
    </row>
    <row r="4" customFormat="false" ht="12.75" hidden="false" customHeight="false" outlineLevel="0" collapsed="false">
      <c r="D4" s="131" t="s">
        <v>57</v>
      </c>
      <c r="E4" s="131" t="s">
        <v>57</v>
      </c>
      <c r="F4" s="131" t="s">
        <v>58</v>
      </c>
      <c r="G4" s="131" t="s">
        <v>58</v>
      </c>
      <c r="I4" s="132" t="s">
        <v>58</v>
      </c>
      <c r="J4" s="132"/>
      <c r="K4" s="132"/>
      <c r="L4" s="132"/>
      <c r="M4" s="132"/>
      <c r="N4" s="132"/>
      <c r="O4" s="133"/>
      <c r="P4" s="134" t="s">
        <v>59</v>
      </c>
      <c r="Q4" s="134"/>
      <c r="R4" s="135" t="s">
        <v>60</v>
      </c>
      <c r="S4" s="135"/>
      <c r="T4" s="135"/>
      <c r="U4" s="135"/>
      <c r="V4" s="135"/>
      <c r="W4" s="135"/>
    </row>
    <row r="5" customFormat="false" ht="12.75" hidden="false" customHeight="false" outlineLevel="0" collapsed="false">
      <c r="A5" s="136" t="s">
        <v>61</v>
      </c>
      <c r="B5" s="131" t="s">
        <v>62</v>
      </c>
      <c r="C5" s="137"/>
      <c r="D5" s="138" t="s">
        <v>63</v>
      </c>
      <c r="E5" s="138" t="s">
        <v>64</v>
      </c>
      <c r="F5" s="138" t="s">
        <v>65</v>
      </c>
      <c r="G5" s="138" t="s">
        <v>66</v>
      </c>
      <c r="H5" s="139"/>
      <c r="I5" s="138" t="s">
        <v>67</v>
      </c>
      <c r="J5" s="140" t="s">
        <v>68</v>
      </c>
      <c r="K5" s="140" t="s">
        <v>69</v>
      </c>
      <c r="L5" s="140" t="s">
        <v>70</v>
      </c>
      <c r="M5" s="140" t="s">
        <v>71</v>
      </c>
      <c r="N5" s="140" t="s">
        <v>72</v>
      </c>
      <c r="O5" s="141"/>
      <c r="P5" s="138" t="s">
        <v>63</v>
      </c>
      <c r="Q5" s="138" t="s">
        <v>64</v>
      </c>
      <c r="R5" s="138" t="s">
        <v>65</v>
      </c>
      <c r="S5" s="142" t="s">
        <v>68</v>
      </c>
      <c r="T5" s="140" t="s">
        <v>70</v>
      </c>
      <c r="U5" s="142" t="s">
        <v>66</v>
      </c>
      <c r="V5" s="142" t="s">
        <v>71</v>
      </c>
      <c r="W5" s="142" t="s">
        <v>72</v>
      </c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1"/>
      <c r="AW5" s="131"/>
      <c r="AX5" s="131"/>
      <c r="AY5" s="131"/>
      <c r="AZ5" s="131"/>
      <c r="BA5" s="131"/>
      <c r="BB5" s="131"/>
      <c r="BC5" s="131"/>
      <c r="BD5" s="131"/>
      <c r="BE5" s="131"/>
      <c r="BF5" s="131"/>
      <c r="BG5" s="131"/>
      <c r="BH5" s="131"/>
      <c r="BI5" s="131"/>
      <c r="BJ5" s="131"/>
      <c r="BK5" s="131"/>
      <c r="BL5" s="131"/>
      <c r="BM5" s="131"/>
      <c r="BN5" s="131"/>
      <c r="BO5" s="131"/>
      <c r="BP5" s="131"/>
      <c r="BQ5" s="131"/>
      <c r="BR5" s="131"/>
      <c r="BS5" s="131"/>
      <c r="BT5" s="131"/>
      <c r="BU5" s="131"/>
      <c r="BV5" s="131"/>
      <c r="BW5" s="131"/>
      <c r="BX5" s="131"/>
      <c r="BY5" s="131"/>
      <c r="BZ5" s="131"/>
      <c r="CA5" s="131"/>
      <c r="CB5" s="131"/>
      <c r="CC5" s="131"/>
      <c r="CD5" s="131"/>
      <c r="CE5" s="131"/>
      <c r="CF5" s="131"/>
      <c r="CG5" s="131"/>
      <c r="CH5" s="131"/>
      <c r="CI5" s="131"/>
      <c r="CJ5" s="131"/>
      <c r="CK5" s="131"/>
      <c r="CL5" s="131"/>
      <c r="CM5" s="131"/>
      <c r="CN5" s="131"/>
      <c r="CO5" s="131"/>
      <c r="CP5" s="131"/>
      <c r="CQ5" s="131"/>
      <c r="CR5" s="131"/>
      <c r="CS5" s="131"/>
      <c r="CT5" s="131"/>
      <c r="CU5" s="131"/>
      <c r="CV5" s="131"/>
      <c r="CW5" s="131"/>
      <c r="CX5" s="131"/>
      <c r="CY5" s="131"/>
      <c r="CZ5" s="131"/>
      <c r="DA5" s="131"/>
      <c r="DB5" s="131"/>
      <c r="DC5" s="131"/>
      <c r="DD5" s="131"/>
      <c r="DE5" s="131"/>
      <c r="DF5" s="131"/>
      <c r="DG5" s="131"/>
      <c r="DH5" s="131"/>
      <c r="DI5" s="131"/>
      <c r="DJ5" s="131"/>
      <c r="DK5" s="131"/>
      <c r="DL5" s="131"/>
      <c r="DM5" s="131"/>
      <c r="DN5" s="131"/>
      <c r="DO5" s="131"/>
      <c r="DP5" s="131"/>
      <c r="DQ5" s="131"/>
      <c r="DR5" s="131"/>
      <c r="DS5" s="131"/>
      <c r="DT5" s="131"/>
      <c r="DU5" s="131"/>
      <c r="DV5" s="131"/>
      <c r="DW5" s="131"/>
      <c r="DX5" s="131"/>
      <c r="DY5" s="131"/>
      <c r="DZ5" s="131"/>
      <c r="EA5" s="131"/>
      <c r="EB5" s="131"/>
      <c r="EC5" s="131"/>
      <c r="ED5" s="131"/>
      <c r="EE5" s="131"/>
      <c r="EF5" s="131"/>
      <c r="EG5" s="131"/>
      <c r="EH5" s="131"/>
      <c r="EI5" s="131"/>
      <c r="EJ5" s="131"/>
      <c r="EK5" s="131"/>
      <c r="EL5" s="131"/>
      <c r="EM5" s="131"/>
      <c r="EN5" s="131"/>
      <c r="EO5" s="131"/>
      <c r="EP5" s="131"/>
      <c r="EQ5" s="131"/>
      <c r="ER5" s="131"/>
      <c r="ES5" s="131"/>
      <c r="ET5" s="131"/>
      <c r="EU5" s="131"/>
      <c r="EV5" s="131"/>
      <c r="EW5" s="131"/>
      <c r="EX5" s="131"/>
      <c r="EY5" s="131"/>
      <c r="EZ5" s="131"/>
      <c r="FA5" s="131"/>
      <c r="FB5" s="131"/>
      <c r="FC5" s="131"/>
      <c r="FD5" s="131"/>
      <c r="FE5" s="131"/>
      <c r="FF5" s="131"/>
      <c r="FG5" s="131"/>
      <c r="FH5" s="131"/>
      <c r="FI5" s="131"/>
      <c r="FJ5" s="131"/>
      <c r="FK5" s="131"/>
      <c r="FL5" s="131"/>
      <c r="FM5" s="131"/>
      <c r="FN5" s="131"/>
      <c r="FO5" s="131"/>
      <c r="FP5" s="131"/>
      <c r="FQ5" s="131"/>
      <c r="FR5" s="131"/>
      <c r="FS5" s="131"/>
      <c r="FT5" s="131"/>
      <c r="FU5" s="131"/>
      <c r="FV5" s="131"/>
      <c r="FW5" s="131"/>
      <c r="FX5" s="131"/>
      <c r="FY5" s="131"/>
      <c r="FZ5" s="131"/>
      <c r="GA5" s="131"/>
      <c r="GB5" s="131"/>
      <c r="GC5" s="131"/>
      <c r="GD5" s="131"/>
      <c r="GE5" s="131"/>
      <c r="GF5" s="131"/>
      <c r="GG5" s="131"/>
      <c r="GH5" s="131"/>
      <c r="GI5" s="131"/>
      <c r="GJ5" s="131"/>
      <c r="GK5" s="131"/>
      <c r="GL5" s="131"/>
      <c r="GM5" s="131"/>
      <c r="GN5" s="131"/>
      <c r="GO5" s="131"/>
      <c r="GP5" s="131"/>
      <c r="GQ5" s="131"/>
      <c r="GR5" s="131"/>
      <c r="GS5" s="131"/>
      <c r="GT5" s="131"/>
      <c r="GU5" s="131"/>
      <c r="GV5" s="131"/>
      <c r="GW5" s="131"/>
      <c r="GX5" s="131"/>
      <c r="GY5" s="131"/>
      <c r="GZ5" s="131"/>
      <c r="HA5" s="131"/>
      <c r="HB5" s="131"/>
      <c r="HC5" s="131"/>
      <c r="HD5" s="131"/>
      <c r="HE5" s="131"/>
      <c r="HF5" s="131"/>
      <c r="HG5" s="131"/>
      <c r="HH5" s="131"/>
      <c r="HI5" s="131"/>
      <c r="HJ5" s="131"/>
      <c r="HK5" s="131"/>
      <c r="HL5" s="131"/>
      <c r="HM5" s="131"/>
      <c r="HN5" s="131"/>
      <c r="HO5" s="131"/>
      <c r="HP5" s="131"/>
      <c r="HQ5" s="131"/>
      <c r="HR5" s="131"/>
      <c r="HS5" s="131"/>
      <c r="HT5" s="131"/>
      <c r="HU5" s="131"/>
      <c r="HV5" s="131"/>
      <c r="HW5" s="131"/>
      <c r="HX5" s="131"/>
      <c r="HY5" s="131"/>
      <c r="HZ5" s="131"/>
      <c r="IA5" s="131"/>
      <c r="IB5" s="131"/>
      <c r="IC5" s="131"/>
      <c r="ID5" s="131"/>
      <c r="IE5" s="131"/>
      <c r="IF5" s="131"/>
      <c r="IG5" s="131"/>
      <c r="IH5" s="131"/>
      <c r="II5" s="131"/>
      <c r="IJ5" s="131"/>
      <c r="IK5" s="131"/>
      <c r="IL5" s="131"/>
      <c r="IM5" s="131"/>
      <c r="IN5" s="131"/>
      <c r="IO5" s="131"/>
      <c r="IP5" s="131"/>
      <c r="IQ5" s="131"/>
      <c r="IR5" s="131"/>
      <c r="IS5" s="131"/>
      <c r="IT5" s="131"/>
      <c r="IU5" s="131"/>
      <c r="IV5" s="131"/>
      <c r="IW5" s="131"/>
    </row>
    <row r="6" customFormat="false" ht="12.75" hidden="true" customHeight="false" outlineLevel="0" collapsed="false">
      <c r="A6" s="120" t="n">
        <v>36892</v>
      </c>
      <c r="B6" s="131" t="str">
        <f aca="false">INDEX('Master Data'!$A$2:$B$8,MATCH(WEEKDAY('Rio Cuarto Power Trading'!A6,3),'Master Data'!$A$2:$A$8,0),2)</f>
        <v>M</v>
      </c>
      <c r="D6" s="124" t="n">
        <v>0</v>
      </c>
      <c r="E6" s="124" t="n">
        <v>0</v>
      </c>
      <c r="F6" s="124" t="n">
        <v>0</v>
      </c>
      <c r="G6" s="124" t="n">
        <v>0</v>
      </c>
      <c r="I6" s="124" t="n">
        <f aca="false">G6</f>
        <v>0</v>
      </c>
      <c r="J6" s="124" t="n">
        <f aca="false">I6</f>
        <v>0</v>
      </c>
      <c r="K6" s="124" t="n">
        <f aca="false">IF(WEEKDAY(A6,3)&gt;4,0,(IF(A6&lt;K$2,0,IF(A6&lt;=K$3,1,0))))</f>
        <v>0</v>
      </c>
      <c r="L6" s="124" t="n">
        <f aca="false">J6*K6</f>
        <v>0</v>
      </c>
      <c r="M6" s="124" t="n">
        <f aca="false">SUM(J$6:J6)</f>
        <v>0</v>
      </c>
      <c r="N6" s="124" t="n">
        <f aca="false">SUM(J$6:J6)</f>
        <v>0</v>
      </c>
      <c r="P6" s="124" t="n">
        <f aca="false">D6/P$3</f>
        <v>0</v>
      </c>
      <c r="Q6" s="124" t="n">
        <f aca="false">E6/P$3</f>
        <v>0</v>
      </c>
      <c r="R6" s="124" t="n">
        <f aca="false">F6/R$3</f>
        <v>0</v>
      </c>
      <c r="S6" s="126" t="n">
        <f aca="false">J6/$R$3</f>
        <v>0</v>
      </c>
      <c r="T6" s="126" t="n">
        <f aca="false">L6/$R$3</f>
        <v>0</v>
      </c>
      <c r="U6" s="126" t="n">
        <f aca="false">I6/$R$3</f>
        <v>0</v>
      </c>
      <c r="V6" s="126" t="n">
        <f aca="false">M6/$R$3</f>
        <v>0</v>
      </c>
      <c r="W6" s="126" t="n">
        <f aca="false">N6/$R$3</f>
        <v>0</v>
      </c>
    </row>
    <row r="7" customFormat="false" ht="12.75" hidden="true" customHeight="false" outlineLevel="0" collapsed="false">
      <c r="A7" s="120" t="n">
        <f aca="false">A6+1</f>
        <v>36893</v>
      </c>
      <c r="B7" s="131" t="str">
        <f aca="false">INDEX('Master Data'!$A$2:$B$8,MATCH(WEEKDAY('Rio Cuarto Power Trading'!A7,3),'Master Data'!$A$2:$A$8,0),2)</f>
        <v>T</v>
      </c>
      <c r="D7" s="124" t="n">
        <v>0</v>
      </c>
      <c r="E7" s="124" t="n">
        <v>0</v>
      </c>
      <c r="F7" s="124" t="n">
        <v>0</v>
      </c>
      <c r="G7" s="124" t="n">
        <v>0</v>
      </c>
      <c r="I7" s="124" t="n">
        <f aca="false">IF(MONTH($A7)=MONTH($A6),IF(G7=0,I6,G7),0)</f>
        <v>0</v>
      </c>
      <c r="J7" s="124" t="n">
        <f aca="false">IF(MONTH($A7)=MONTH($A6),SUM(I7-I6),I7)</f>
        <v>0</v>
      </c>
      <c r="K7" s="124" t="n">
        <f aca="false">IF(WEEKDAY(A7,3)&gt;4,0,(IF(A7&lt;K$2,0,IF(A7&lt;=K$3,1,0))))</f>
        <v>0</v>
      </c>
      <c r="L7" s="124" t="n">
        <f aca="false">J7*K7</f>
        <v>0</v>
      </c>
      <c r="M7" s="124" t="n">
        <f aca="false">SUM(J$6:J7)</f>
        <v>0</v>
      </c>
      <c r="N7" s="124" t="n">
        <f aca="false">SUM(J$6:J7)</f>
        <v>0</v>
      </c>
      <c r="P7" s="124" t="n">
        <f aca="false">D7/P$3</f>
        <v>0</v>
      </c>
      <c r="Q7" s="124" t="n">
        <f aca="false">E7/P$3</f>
        <v>0</v>
      </c>
      <c r="R7" s="124" t="n">
        <f aca="false">F7/R$3</f>
        <v>0</v>
      </c>
      <c r="S7" s="126" t="n">
        <f aca="false">J7/$R$3</f>
        <v>0</v>
      </c>
      <c r="T7" s="126" t="n">
        <f aca="false">L7/$R$3</f>
        <v>0</v>
      </c>
      <c r="U7" s="126" t="n">
        <f aca="false">I7/$R$3</f>
        <v>0</v>
      </c>
      <c r="V7" s="126" t="n">
        <f aca="false">M7/$R$3</f>
        <v>0</v>
      </c>
      <c r="W7" s="126" t="n">
        <f aca="false">N7/$R$3</f>
        <v>0</v>
      </c>
    </row>
    <row r="8" customFormat="false" ht="12.75" hidden="true" customHeight="false" outlineLevel="0" collapsed="false">
      <c r="A8" s="120" t="n">
        <f aca="false">A7+1</f>
        <v>36894</v>
      </c>
      <c r="B8" s="131" t="str">
        <f aca="false">INDEX('Master Data'!$A$2:$B$8,MATCH(WEEKDAY('Rio Cuarto Power Trading'!A8,3),'Master Data'!$A$2:$A$8,0),2)</f>
        <v>W</v>
      </c>
      <c r="D8" s="124" t="n">
        <v>0</v>
      </c>
      <c r="E8" s="124" t="n">
        <v>0</v>
      </c>
      <c r="F8" s="124" t="n">
        <v>0</v>
      </c>
      <c r="G8" s="124" t="n">
        <v>0</v>
      </c>
      <c r="I8" s="124" t="n">
        <f aca="false">IF(MONTH($A8)=MONTH($A7),IF(G8=0,I7,G8),0)</f>
        <v>0</v>
      </c>
      <c r="J8" s="124" t="n">
        <f aca="false">IF(MONTH($A8)=MONTH($A7),SUM(I8-I7),I8)</f>
        <v>0</v>
      </c>
      <c r="K8" s="124" t="n">
        <f aca="false">IF(WEEKDAY(A8,3)&gt;4,0,(IF(A8&lt;K$2,0,IF(A8&lt;=K$3,1,0))))</f>
        <v>0</v>
      </c>
      <c r="L8" s="124" t="n">
        <f aca="false">J8*K8</f>
        <v>0</v>
      </c>
      <c r="M8" s="124" t="n">
        <f aca="false">SUM(J$6:J8)</f>
        <v>0</v>
      </c>
      <c r="N8" s="124" t="n">
        <f aca="false">SUM(J$6:J8)</f>
        <v>0</v>
      </c>
      <c r="P8" s="124" t="n">
        <f aca="false">D8/P$3</f>
        <v>0</v>
      </c>
      <c r="Q8" s="124" t="n">
        <f aca="false">E8/P$3</f>
        <v>0</v>
      </c>
      <c r="R8" s="124" t="n">
        <f aca="false">F8/R$3</f>
        <v>0</v>
      </c>
      <c r="S8" s="126" t="n">
        <f aca="false">J8/$R$3</f>
        <v>0</v>
      </c>
      <c r="T8" s="126" t="n">
        <f aca="false">L8/$R$3</f>
        <v>0</v>
      </c>
      <c r="U8" s="126" t="n">
        <f aca="false">I8/$R$3</f>
        <v>0</v>
      </c>
      <c r="V8" s="126" t="n">
        <f aca="false">M8/$R$3</f>
        <v>0</v>
      </c>
      <c r="W8" s="126" t="n">
        <f aca="false">N8/$R$3</f>
        <v>0</v>
      </c>
    </row>
    <row r="9" customFormat="false" ht="12.75" hidden="true" customHeight="false" outlineLevel="0" collapsed="false">
      <c r="A9" s="120" t="n">
        <f aca="false">A8+1</f>
        <v>36895</v>
      </c>
      <c r="B9" s="131" t="str">
        <f aca="false">INDEX('Master Data'!$A$2:$B$8,MATCH(WEEKDAY('Rio Cuarto Power Trading'!A9,3),'Master Data'!$A$2:$A$8,0),2)</f>
        <v>Th</v>
      </c>
      <c r="D9" s="124" t="n">
        <v>0</v>
      </c>
      <c r="E9" s="124" t="n">
        <v>0</v>
      </c>
      <c r="F9" s="124" t="n">
        <v>0</v>
      </c>
      <c r="G9" s="124" t="n">
        <v>0</v>
      </c>
      <c r="I9" s="124" t="n">
        <f aca="false">IF(MONTH($A9)=MONTH($A8),IF(G9=0,I8,G9),0)</f>
        <v>0</v>
      </c>
      <c r="J9" s="124" t="n">
        <f aca="false">IF(MONTH($A9)=MONTH($A8),SUM(I9-I8),I9)</f>
        <v>0</v>
      </c>
      <c r="K9" s="124" t="n">
        <f aca="false">IF(WEEKDAY(A9,3)&gt;4,0,(IF(A9&lt;K$2,0,IF(A9&lt;=K$3,1,0))))</f>
        <v>0</v>
      </c>
      <c r="L9" s="124" t="n">
        <f aca="false">J9*K9</f>
        <v>0</v>
      </c>
      <c r="M9" s="124" t="n">
        <f aca="false">SUM(J$6:J9)</f>
        <v>0</v>
      </c>
      <c r="N9" s="124" t="n">
        <f aca="false">SUM(J$6:J9)</f>
        <v>0</v>
      </c>
      <c r="P9" s="124" t="n">
        <f aca="false">D9/P$3</f>
        <v>0</v>
      </c>
      <c r="Q9" s="124" t="n">
        <f aca="false">E9/P$3</f>
        <v>0</v>
      </c>
      <c r="R9" s="124" t="n">
        <f aca="false">F9/R$3</f>
        <v>0</v>
      </c>
      <c r="S9" s="126" t="n">
        <f aca="false">J9/$R$3</f>
        <v>0</v>
      </c>
      <c r="T9" s="126" t="n">
        <f aca="false">L9/$R$3</f>
        <v>0</v>
      </c>
      <c r="U9" s="126" t="n">
        <f aca="false">I9/$R$3</f>
        <v>0</v>
      </c>
      <c r="V9" s="126" t="n">
        <f aca="false">M9/$R$3</f>
        <v>0</v>
      </c>
      <c r="W9" s="126" t="n">
        <f aca="false">N9/$R$3</f>
        <v>0</v>
      </c>
    </row>
    <row r="10" customFormat="false" ht="12.75" hidden="true" customHeight="false" outlineLevel="0" collapsed="false">
      <c r="A10" s="120" t="n">
        <f aca="false">A9+1</f>
        <v>36896</v>
      </c>
      <c r="B10" s="131" t="str">
        <f aca="false">INDEX('Master Data'!$A$2:$B$8,MATCH(WEEKDAY('Rio Cuarto Power Trading'!A10,3),'Master Data'!$A$2:$A$8,0),2)</f>
        <v>F</v>
      </c>
      <c r="D10" s="124" t="n">
        <v>0</v>
      </c>
      <c r="E10" s="124" t="n">
        <v>0</v>
      </c>
      <c r="F10" s="124" t="n">
        <v>0</v>
      </c>
      <c r="G10" s="124" t="n">
        <v>0</v>
      </c>
      <c r="I10" s="124" t="n">
        <f aca="false">IF(MONTH($A10)=MONTH($A9),IF(G10=0,I9,G10),0)</f>
        <v>0</v>
      </c>
      <c r="J10" s="124" t="n">
        <f aca="false">IF(MONTH($A10)=MONTH($A9),SUM(I10-I9),I10)</f>
        <v>0</v>
      </c>
      <c r="K10" s="124" t="n">
        <f aca="false">IF(WEEKDAY(A10,3)&gt;4,0,(IF(A10&lt;K$2,0,IF(A10&lt;=K$3,1,0))))</f>
        <v>0</v>
      </c>
      <c r="L10" s="124" t="n">
        <f aca="false">J10*K10</f>
        <v>0</v>
      </c>
      <c r="M10" s="124" t="n">
        <f aca="false">SUM(J$6:J10)</f>
        <v>0</v>
      </c>
      <c r="N10" s="124" t="n">
        <f aca="false">SUM(J$6:J10)</f>
        <v>0</v>
      </c>
      <c r="P10" s="124" t="n">
        <f aca="false">D10/P$3</f>
        <v>0</v>
      </c>
      <c r="Q10" s="124" t="n">
        <f aca="false">E10/P$3</f>
        <v>0</v>
      </c>
      <c r="R10" s="124" t="n">
        <f aca="false">F10/R$3</f>
        <v>0</v>
      </c>
      <c r="S10" s="126" t="n">
        <f aca="false">J10/$R$3</f>
        <v>0</v>
      </c>
      <c r="T10" s="126" t="n">
        <f aca="false">L10/$R$3</f>
        <v>0</v>
      </c>
      <c r="U10" s="126" t="n">
        <f aca="false">I10/$R$3</f>
        <v>0</v>
      </c>
      <c r="V10" s="126" t="n">
        <f aca="false">M10/$R$3</f>
        <v>0</v>
      </c>
      <c r="W10" s="126" t="n">
        <f aca="false">N10/$R$3</f>
        <v>0</v>
      </c>
    </row>
    <row r="11" customFormat="false" ht="12.75" hidden="true" customHeight="false" outlineLevel="0" collapsed="false">
      <c r="A11" s="120" t="n">
        <f aca="false">A10+1</f>
        <v>36897</v>
      </c>
      <c r="B11" s="131" t="str">
        <f aca="false">INDEX('Master Data'!$A$2:$B$8,MATCH(WEEKDAY('Rio Cuarto Power Trading'!A11,3),'Master Data'!$A$2:$A$8,0),2)</f>
        <v>Sa</v>
      </c>
      <c r="D11" s="124" t="n">
        <v>0</v>
      </c>
      <c r="E11" s="124" t="n">
        <v>0</v>
      </c>
      <c r="F11" s="124" t="n">
        <v>0</v>
      </c>
      <c r="G11" s="124" t="n">
        <v>0</v>
      </c>
      <c r="I11" s="124" t="n">
        <f aca="false">IF(MONTH($A11)=MONTH($A10),IF(G11=0,I10,G11),0)</f>
        <v>0</v>
      </c>
      <c r="J11" s="124" t="n">
        <f aca="false">IF(MONTH($A11)=MONTH($A10),SUM(I11-I10),I11)</f>
        <v>0</v>
      </c>
      <c r="K11" s="124" t="n">
        <f aca="false">IF(WEEKDAY(A11,3)&gt;4,0,(IF(A11&lt;K$2,0,IF(A11&lt;=K$3,1,0))))</f>
        <v>0</v>
      </c>
      <c r="L11" s="124" t="n">
        <f aca="false">J11*K11</f>
        <v>0</v>
      </c>
      <c r="M11" s="124" t="n">
        <f aca="false">SUM(J$6:J11)</f>
        <v>0</v>
      </c>
      <c r="N11" s="124" t="n">
        <f aca="false">SUM(J$6:J11)</f>
        <v>0</v>
      </c>
      <c r="P11" s="124" t="n">
        <f aca="false">D11/P$3</f>
        <v>0</v>
      </c>
      <c r="Q11" s="124" t="n">
        <f aca="false">E11/P$3</f>
        <v>0</v>
      </c>
      <c r="R11" s="124" t="n">
        <f aca="false">F11/R$3</f>
        <v>0</v>
      </c>
      <c r="S11" s="126" t="n">
        <f aca="false">J11/$R$3</f>
        <v>0</v>
      </c>
      <c r="T11" s="126" t="n">
        <f aca="false">L11/$R$3</f>
        <v>0</v>
      </c>
      <c r="U11" s="126" t="n">
        <f aca="false">I11/$R$3</f>
        <v>0</v>
      </c>
      <c r="V11" s="126" t="n">
        <f aca="false">M11/$R$3</f>
        <v>0</v>
      </c>
      <c r="W11" s="126" t="n">
        <f aca="false">N11/$R$3</f>
        <v>0</v>
      </c>
    </row>
    <row r="12" customFormat="false" ht="12.75" hidden="true" customHeight="false" outlineLevel="0" collapsed="false">
      <c r="A12" s="120" t="n">
        <f aca="false">A11+1</f>
        <v>36898</v>
      </c>
      <c r="B12" s="131" t="str">
        <f aca="false">INDEX('Master Data'!$A$2:$B$8,MATCH(WEEKDAY('Rio Cuarto Power Trading'!A12,3),'Master Data'!$A$2:$A$8,0),2)</f>
        <v>Su</v>
      </c>
      <c r="D12" s="124" t="n">
        <v>0</v>
      </c>
      <c r="E12" s="124" t="n">
        <v>0</v>
      </c>
      <c r="F12" s="124" t="n">
        <v>0</v>
      </c>
      <c r="G12" s="124" t="n">
        <v>0</v>
      </c>
      <c r="I12" s="124" t="n">
        <f aca="false">IF(MONTH($A12)=MONTH($A11),IF(G12=0,I11,G12),0)</f>
        <v>0</v>
      </c>
      <c r="J12" s="124" t="n">
        <f aca="false">IF(MONTH($A12)=MONTH($A11),SUM(I12-I11),I12)</f>
        <v>0</v>
      </c>
      <c r="K12" s="124" t="n">
        <f aca="false">IF(WEEKDAY(A12,3)&gt;4,0,(IF(A12&lt;K$2,0,IF(A12&lt;=K$3,1,0))))</f>
        <v>0</v>
      </c>
      <c r="L12" s="124" t="n">
        <f aca="false">J12*K12</f>
        <v>0</v>
      </c>
      <c r="M12" s="124" t="n">
        <f aca="false">SUM(J$6:J12)</f>
        <v>0</v>
      </c>
      <c r="N12" s="124" t="n">
        <f aca="false">SUM(J$6:J12)</f>
        <v>0</v>
      </c>
      <c r="P12" s="124" t="n">
        <f aca="false">D12/P$3</f>
        <v>0</v>
      </c>
      <c r="Q12" s="124" t="n">
        <f aca="false">E12/P$3</f>
        <v>0</v>
      </c>
      <c r="R12" s="124" t="n">
        <f aca="false">F12/R$3</f>
        <v>0</v>
      </c>
      <c r="S12" s="126" t="n">
        <f aca="false">J12/$R$3</f>
        <v>0</v>
      </c>
      <c r="T12" s="126" t="n">
        <f aca="false">L12/$R$3</f>
        <v>0</v>
      </c>
      <c r="U12" s="126" t="n">
        <f aca="false">I12/$R$3</f>
        <v>0</v>
      </c>
      <c r="V12" s="126" t="n">
        <f aca="false">M12/$R$3</f>
        <v>0</v>
      </c>
      <c r="W12" s="126" t="n">
        <f aca="false">N12/$R$3</f>
        <v>0</v>
      </c>
    </row>
    <row r="13" customFormat="false" ht="12.75" hidden="true" customHeight="false" outlineLevel="0" collapsed="false">
      <c r="A13" s="120" t="n">
        <f aca="false">A12+1</f>
        <v>36899</v>
      </c>
      <c r="B13" s="131" t="str">
        <f aca="false">INDEX('Master Data'!$A$2:$B$8,MATCH(WEEKDAY('Rio Cuarto Power Trading'!A13,3),'Master Data'!$A$2:$A$8,0),2)</f>
        <v>M</v>
      </c>
      <c r="D13" s="124" t="n">
        <v>0</v>
      </c>
      <c r="E13" s="124" t="n">
        <v>0</v>
      </c>
      <c r="F13" s="124" t="n">
        <v>0</v>
      </c>
      <c r="G13" s="124" t="n">
        <v>0</v>
      </c>
      <c r="I13" s="124" t="n">
        <f aca="false">IF(MONTH($A13)=MONTH($A12),IF(G13=0,I12,G13),0)</f>
        <v>0</v>
      </c>
      <c r="J13" s="124" t="n">
        <f aca="false">IF(MONTH($A13)=MONTH($A12),SUM(I13-I12),I13)</f>
        <v>0</v>
      </c>
      <c r="K13" s="124" t="n">
        <f aca="false">IF(WEEKDAY(A13,3)&gt;4,0,(IF(A13&lt;K$2,0,IF(A13&lt;=K$3,1,0))))</f>
        <v>0</v>
      </c>
      <c r="L13" s="124" t="n">
        <f aca="false">J13*K13</f>
        <v>0</v>
      </c>
      <c r="M13" s="124" t="n">
        <f aca="false">SUM(J$6:J13)</f>
        <v>0</v>
      </c>
      <c r="N13" s="124" t="n">
        <f aca="false">SUM(J$6:J13)</f>
        <v>0</v>
      </c>
      <c r="P13" s="124" t="n">
        <f aca="false">D13/P$3</f>
        <v>0</v>
      </c>
      <c r="Q13" s="124" t="n">
        <f aca="false">E13/P$3</f>
        <v>0</v>
      </c>
      <c r="R13" s="124" t="n">
        <f aca="false">F13/R$3</f>
        <v>0</v>
      </c>
      <c r="S13" s="126" t="n">
        <f aca="false">J13/$R$3</f>
        <v>0</v>
      </c>
      <c r="T13" s="126" t="n">
        <f aca="false">L13/$R$3</f>
        <v>0</v>
      </c>
      <c r="U13" s="126" t="n">
        <f aca="false">I13/$R$3</f>
        <v>0</v>
      </c>
      <c r="V13" s="126" t="n">
        <f aca="false">M13/$R$3</f>
        <v>0</v>
      </c>
      <c r="W13" s="126" t="n">
        <f aca="false">N13/$R$3</f>
        <v>0</v>
      </c>
    </row>
    <row r="14" customFormat="false" ht="12.75" hidden="true" customHeight="false" outlineLevel="0" collapsed="false">
      <c r="A14" s="120" t="n">
        <f aca="false">A13+1</f>
        <v>36900</v>
      </c>
      <c r="B14" s="131" t="str">
        <f aca="false">INDEX('Master Data'!$A$2:$B$8,MATCH(WEEKDAY('Rio Cuarto Power Trading'!A14,3),'Master Data'!$A$2:$A$8,0),2)</f>
        <v>T</v>
      </c>
      <c r="D14" s="124" t="n">
        <v>0</v>
      </c>
      <c r="E14" s="124" t="n">
        <v>0</v>
      </c>
      <c r="F14" s="124" t="n">
        <v>0</v>
      </c>
      <c r="G14" s="124" t="n">
        <v>0</v>
      </c>
      <c r="I14" s="124" t="n">
        <f aca="false">IF(MONTH($A14)=MONTH($A13),IF(G14=0,I13,G14),0)</f>
        <v>0</v>
      </c>
      <c r="J14" s="124" t="n">
        <f aca="false">IF(MONTH($A14)=MONTH($A13),SUM(I14-I13),I14)</f>
        <v>0</v>
      </c>
      <c r="K14" s="124" t="n">
        <f aca="false">IF(WEEKDAY(A14,3)&gt;4,0,(IF(A14&lt;K$2,0,IF(A14&lt;=K$3,1,0))))</f>
        <v>0</v>
      </c>
      <c r="L14" s="124" t="n">
        <f aca="false">J14*K14</f>
        <v>0</v>
      </c>
      <c r="M14" s="124" t="n">
        <f aca="false">SUM(J$6:J14)</f>
        <v>0</v>
      </c>
      <c r="N14" s="124" t="n">
        <f aca="false">SUM(J$6:J14)</f>
        <v>0</v>
      </c>
      <c r="P14" s="124" t="n">
        <f aca="false">D14/P$3</f>
        <v>0</v>
      </c>
      <c r="Q14" s="124" t="n">
        <f aca="false">E14/P$3</f>
        <v>0</v>
      </c>
      <c r="R14" s="124" t="n">
        <f aca="false">F14/R$3</f>
        <v>0</v>
      </c>
      <c r="S14" s="126" t="n">
        <f aca="false">J14/$R$3</f>
        <v>0</v>
      </c>
      <c r="T14" s="126" t="n">
        <f aca="false">L14/$R$3</f>
        <v>0</v>
      </c>
      <c r="U14" s="126" t="n">
        <f aca="false">I14/$R$3</f>
        <v>0</v>
      </c>
      <c r="V14" s="126" t="n">
        <f aca="false">M14/$R$3</f>
        <v>0</v>
      </c>
      <c r="W14" s="126" t="n">
        <f aca="false">N14/$R$3</f>
        <v>0</v>
      </c>
    </row>
    <row r="15" customFormat="false" ht="12.75" hidden="true" customHeight="false" outlineLevel="0" collapsed="false">
      <c r="A15" s="120" t="n">
        <f aca="false">A14+1</f>
        <v>36901</v>
      </c>
      <c r="B15" s="131" t="str">
        <f aca="false">INDEX('Master Data'!$A$2:$B$8,MATCH(WEEKDAY('Rio Cuarto Power Trading'!A15,3),'Master Data'!$A$2:$A$8,0),2)</f>
        <v>W</v>
      </c>
      <c r="D15" s="124" t="n">
        <v>0</v>
      </c>
      <c r="E15" s="124" t="n">
        <v>0</v>
      </c>
      <c r="F15" s="124" t="n">
        <v>0</v>
      </c>
      <c r="G15" s="124" t="n">
        <v>0</v>
      </c>
      <c r="I15" s="124" t="n">
        <f aca="false">IF(MONTH($A15)=MONTH($A14),IF(G15=0,I14,G15),0)</f>
        <v>0</v>
      </c>
      <c r="J15" s="124" t="n">
        <f aca="false">IF(MONTH($A15)=MONTH($A14),SUM(I15-I14),I15)</f>
        <v>0</v>
      </c>
      <c r="K15" s="124" t="n">
        <f aca="false">IF(WEEKDAY(A15,3)&gt;4,0,(IF(A15&lt;K$2,0,IF(A15&lt;=K$3,1,0))))</f>
        <v>0</v>
      </c>
      <c r="L15" s="124" t="n">
        <f aca="false">J15*K15</f>
        <v>0</v>
      </c>
      <c r="M15" s="124" t="n">
        <f aca="false">SUM(J$6:J15)</f>
        <v>0</v>
      </c>
      <c r="N15" s="124" t="n">
        <f aca="false">SUM(J$6:J15)</f>
        <v>0</v>
      </c>
      <c r="P15" s="124" t="n">
        <f aca="false">D15/P$3</f>
        <v>0</v>
      </c>
      <c r="Q15" s="124" t="n">
        <f aca="false">E15/P$3</f>
        <v>0</v>
      </c>
      <c r="R15" s="124" t="n">
        <f aca="false">F15/R$3</f>
        <v>0</v>
      </c>
      <c r="S15" s="126" t="n">
        <f aca="false">J15/$R$3</f>
        <v>0</v>
      </c>
      <c r="T15" s="126" t="n">
        <f aca="false">L15/$R$3</f>
        <v>0</v>
      </c>
      <c r="U15" s="126" t="n">
        <f aca="false">I15/$R$3</f>
        <v>0</v>
      </c>
      <c r="V15" s="126" t="n">
        <f aca="false">M15/$R$3</f>
        <v>0</v>
      </c>
      <c r="W15" s="126" t="n">
        <f aca="false">N15/$R$3</f>
        <v>0</v>
      </c>
    </row>
    <row r="16" customFormat="false" ht="12.75" hidden="true" customHeight="false" outlineLevel="0" collapsed="false">
      <c r="A16" s="120" t="n">
        <f aca="false">A15+1</f>
        <v>36902</v>
      </c>
      <c r="B16" s="131" t="str">
        <f aca="false">INDEX('Master Data'!$A$2:$B$8,MATCH(WEEKDAY('Rio Cuarto Power Trading'!A16,3),'Master Data'!$A$2:$A$8,0),2)</f>
        <v>Th</v>
      </c>
      <c r="D16" s="124" t="n">
        <v>0</v>
      </c>
      <c r="E16" s="124" t="n">
        <v>0</v>
      </c>
      <c r="F16" s="124" t="n">
        <v>0</v>
      </c>
      <c r="G16" s="124" t="n">
        <v>0</v>
      </c>
      <c r="I16" s="124" t="n">
        <f aca="false">IF(MONTH($A16)=MONTH($A15),IF(G16=0,I15,G16),0)</f>
        <v>0</v>
      </c>
      <c r="J16" s="124" t="n">
        <f aca="false">IF(MONTH($A16)=MONTH($A15),SUM(I16-I15),I16)</f>
        <v>0</v>
      </c>
      <c r="K16" s="124" t="n">
        <f aca="false">IF(WEEKDAY(A16,3)&gt;4,0,(IF(A16&lt;K$2,0,IF(A16&lt;=K$3,1,0))))</f>
        <v>0</v>
      </c>
      <c r="L16" s="124" t="n">
        <f aca="false">J16*K16</f>
        <v>0</v>
      </c>
      <c r="M16" s="124" t="n">
        <f aca="false">SUM(J$6:J16)</f>
        <v>0</v>
      </c>
      <c r="N16" s="124" t="n">
        <f aca="false">SUM(J$6:J16)</f>
        <v>0</v>
      </c>
      <c r="P16" s="124" t="n">
        <f aca="false">D16/P$3</f>
        <v>0</v>
      </c>
      <c r="Q16" s="124" t="n">
        <f aca="false">E16/P$3</f>
        <v>0</v>
      </c>
      <c r="R16" s="124" t="n">
        <f aca="false">F16/R$3</f>
        <v>0</v>
      </c>
      <c r="S16" s="126" t="n">
        <f aca="false">J16/$R$3</f>
        <v>0</v>
      </c>
      <c r="T16" s="126" t="n">
        <f aca="false">L16/$R$3</f>
        <v>0</v>
      </c>
      <c r="U16" s="126" t="n">
        <f aca="false">I16/$R$3</f>
        <v>0</v>
      </c>
      <c r="V16" s="126" t="n">
        <f aca="false">M16/$R$3</f>
        <v>0</v>
      </c>
      <c r="W16" s="126" t="n">
        <f aca="false">N16/$R$3</f>
        <v>0</v>
      </c>
    </row>
    <row r="17" customFormat="false" ht="12.75" hidden="true" customHeight="false" outlineLevel="0" collapsed="false">
      <c r="A17" s="120" t="n">
        <f aca="false">A16+1</f>
        <v>36903</v>
      </c>
      <c r="B17" s="131" t="str">
        <f aca="false">INDEX('Master Data'!$A$2:$B$8,MATCH(WEEKDAY('Rio Cuarto Power Trading'!A17,3),'Master Data'!$A$2:$A$8,0),2)</f>
        <v>F</v>
      </c>
      <c r="D17" s="124" t="n">
        <v>0</v>
      </c>
      <c r="E17" s="124" t="n">
        <v>0</v>
      </c>
      <c r="F17" s="124" t="n">
        <v>0</v>
      </c>
      <c r="G17" s="124" t="n">
        <v>0</v>
      </c>
      <c r="I17" s="124" t="n">
        <f aca="false">IF(MONTH($A17)=MONTH($A16),IF(G17=0,I16,G17),0)</f>
        <v>0</v>
      </c>
      <c r="J17" s="124" t="n">
        <f aca="false">IF(MONTH($A17)=MONTH($A16),SUM(I17-I16),I17)</f>
        <v>0</v>
      </c>
      <c r="K17" s="124" t="n">
        <f aca="false">IF(WEEKDAY(A17,3)&gt;4,0,(IF(A17&lt;K$2,0,IF(A17&lt;=K$3,1,0))))</f>
        <v>0</v>
      </c>
      <c r="L17" s="124" t="n">
        <f aca="false">J17*K17</f>
        <v>0</v>
      </c>
      <c r="M17" s="124" t="n">
        <f aca="false">SUM(J$6:J17)</f>
        <v>0</v>
      </c>
      <c r="N17" s="124" t="n">
        <f aca="false">SUM(J$6:J17)</f>
        <v>0</v>
      </c>
      <c r="P17" s="124" t="n">
        <f aca="false">D17/P$3</f>
        <v>0</v>
      </c>
      <c r="Q17" s="124" t="n">
        <f aca="false">E17/P$3</f>
        <v>0</v>
      </c>
      <c r="R17" s="124" t="n">
        <f aca="false">F17/R$3</f>
        <v>0</v>
      </c>
      <c r="S17" s="126" t="n">
        <f aca="false">J17/$R$3</f>
        <v>0</v>
      </c>
      <c r="T17" s="126" t="n">
        <f aca="false">L17/$R$3</f>
        <v>0</v>
      </c>
      <c r="U17" s="126" t="n">
        <f aca="false">I17/$R$3</f>
        <v>0</v>
      </c>
      <c r="V17" s="126" t="n">
        <f aca="false">M17/$R$3</f>
        <v>0</v>
      </c>
      <c r="W17" s="126" t="n">
        <f aca="false">N17/$R$3</f>
        <v>0</v>
      </c>
    </row>
    <row r="18" customFormat="false" ht="12.75" hidden="true" customHeight="false" outlineLevel="0" collapsed="false">
      <c r="A18" s="120" t="n">
        <f aca="false">A17+1</f>
        <v>36904</v>
      </c>
      <c r="B18" s="131" t="str">
        <f aca="false">INDEX('Master Data'!$A$2:$B$8,MATCH(WEEKDAY('Rio Cuarto Power Trading'!A18,3),'Master Data'!$A$2:$A$8,0),2)</f>
        <v>Sa</v>
      </c>
      <c r="D18" s="124" t="n">
        <v>0</v>
      </c>
      <c r="E18" s="124" t="n">
        <v>0</v>
      </c>
      <c r="F18" s="124" t="n">
        <v>0</v>
      </c>
      <c r="G18" s="124" t="n">
        <v>0</v>
      </c>
      <c r="I18" s="124" t="n">
        <f aca="false">IF(MONTH($A18)=MONTH($A17),IF(G18=0,I17,G18),0)</f>
        <v>0</v>
      </c>
      <c r="J18" s="124" t="n">
        <f aca="false">IF(MONTH($A18)=MONTH($A17),SUM(I18-I17),I18)</f>
        <v>0</v>
      </c>
      <c r="K18" s="124" t="n">
        <f aca="false">IF(WEEKDAY(A18,3)&gt;4,0,(IF(A18&lt;K$2,0,IF(A18&lt;=K$3,1,0))))</f>
        <v>0</v>
      </c>
      <c r="L18" s="124" t="n">
        <f aca="false">J18*K18</f>
        <v>0</v>
      </c>
      <c r="M18" s="124" t="n">
        <f aca="false">SUM(J$6:J18)</f>
        <v>0</v>
      </c>
      <c r="N18" s="124" t="n">
        <f aca="false">SUM(J$6:J18)</f>
        <v>0</v>
      </c>
      <c r="P18" s="124" t="n">
        <f aca="false">D18/P$3</f>
        <v>0</v>
      </c>
      <c r="Q18" s="124" t="n">
        <f aca="false">E18/P$3</f>
        <v>0</v>
      </c>
      <c r="R18" s="124" t="n">
        <f aca="false">F18/R$3</f>
        <v>0</v>
      </c>
      <c r="S18" s="126" t="n">
        <f aca="false">J18/$R$3</f>
        <v>0</v>
      </c>
      <c r="T18" s="126" t="n">
        <f aca="false">L18/$R$3</f>
        <v>0</v>
      </c>
      <c r="U18" s="126" t="n">
        <f aca="false">I18/$R$3</f>
        <v>0</v>
      </c>
      <c r="V18" s="126" t="n">
        <f aca="false">M18/$R$3</f>
        <v>0</v>
      </c>
      <c r="W18" s="126" t="n">
        <f aca="false">N18/$R$3</f>
        <v>0</v>
      </c>
    </row>
    <row r="19" customFormat="false" ht="12.75" hidden="true" customHeight="false" outlineLevel="0" collapsed="false">
      <c r="A19" s="120" t="n">
        <f aca="false">A18+1</f>
        <v>36905</v>
      </c>
      <c r="B19" s="131" t="str">
        <f aca="false">INDEX('Master Data'!$A$2:$B$8,MATCH(WEEKDAY('Rio Cuarto Power Trading'!A19,3),'Master Data'!$A$2:$A$8,0),2)</f>
        <v>Su</v>
      </c>
      <c r="D19" s="124" t="n">
        <v>0</v>
      </c>
      <c r="E19" s="124" t="n">
        <v>0</v>
      </c>
      <c r="F19" s="124" t="n">
        <v>0</v>
      </c>
      <c r="G19" s="124" t="n">
        <v>0</v>
      </c>
      <c r="I19" s="124" t="n">
        <f aca="false">IF(MONTH($A19)=MONTH($A18),IF(G19=0,I18,G19),0)</f>
        <v>0</v>
      </c>
      <c r="J19" s="124" t="n">
        <f aca="false">IF(MONTH($A19)=MONTH($A18),SUM(I19-I18),I19)</f>
        <v>0</v>
      </c>
      <c r="K19" s="124" t="n">
        <f aca="false">IF(WEEKDAY(A19,3)&gt;4,0,(IF(A19&lt;K$2,0,IF(A19&lt;=K$3,1,0))))</f>
        <v>0</v>
      </c>
      <c r="L19" s="124" t="n">
        <f aca="false">J19*K19</f>
        <v>0</v>
      </c>
      <c r="M19" s="124" t="n">
        <f aca="false">SUM(J$6:J19)</f>
        <v>0</v>
      </c>
      <c r="N19" s="124" t="n">
        <f aca="false">SUM(J$6:J19)</f>
        <v>0</v>
      </c>
      <c r="P19" s="124" t="n">
        <f aca="false">D19/P$3</f>
        <v>0</v>
      </c>
      <c r="Q19" s="124" t="n">
        <f aca="false">E19/P$3</f>
        <v>0</v>
      </c>
      <c r="R19" s="124" t="n">
        <f aca="false">F19/R$3</f>
        <v>0</v>
      </c>
      <c r="S19" s="126" t="n">
        <f aca="false">J19/$R$3</f>
        <v>0</v>
      </c>
      <c r="T19" s="126" t="n">
        <f aca="false">L19/$R$3</f>
        <v>0</v>
      </c>
      <c r="U19" s="126" t="n">
        <f aca="false">I19/$R$3</f>
        <v>0</v>
      </c>
      <c r="V19" s="126" t="n">
        <f aca="false">M19/$R$3</f>
        <v>0</v>
      </c>
      <c r="W19" s="126" t="n">
        <f aca="false">N19/$R$3</f>
        <v>0</v>
      </c>
    </row>
    <row r="20" customFormat="false" ht="12.75" hidden="true" customHeight="false" outlineLevel="0" collapsed="false">
      <c r="A20" s="120" t="n">
        <f aca="false">A19+1</f>
        <v>36906</v>
      </c>
      <c r="B20" s="131" t="str">
        <f aca="false">INDEX('Master Data'!$A$2:$B$8,MATCH(WEEKDAY('Rio Cuarto Power Trading'!A20,3),'Master Data'!$A$2:$A$8,0),2)</f>
        <v>M</v>
      </c>
      <c r="D20" s="124" t="n">
        <v>0</v>
      </c>
      <c r="E20" s="124" t="n">
        <v>0</v>
      </c>
      <c r="F20" s="124" t="n">
        <v>0</v>
      </c>
      <c r="G20" s="124" t="n">
        <v>0</v>
      </c>
      <c r="I20" s="124" t="n">
        <f aca="false">IF(MONTH($A20)=MONTH($A19),IF(G20=0,I19,G20),0)</f>
        <v>0</v>
      </c>
      <c r="J20" s="124" t="n">
        <f aca="false">IF(MONTH($A20)=MONTH($A19),SUM(I20-I19),I20)</f>
        <v>0</v>
      </c>
      <c r="K20" s="124" t="n">
        <f aca="false">IF(WEEKDAY(A20,3)&gt;4,0,(IF(A20&lt;K$2,0,IF(A20&lt;=K$3,1,0))))</f>
        <v>0</v>
      </c>
      <c r="L20" s="124" t="n">
        <f aca="false">J20*K20</f>
        <v>0</v>
      </c>
      <c r="M20" s="124" t="n">
        <f aca="false">SUM(J$6:J20)</f>
        <v>0</v>
      </c>
      <c r="N20" s="124" t="n">
        <f aca="false">SUM(J$6:J20)</f>
        <v>0</v>
      </c>
      <c r="P20" s="124" t="n">
        <f aca="false">D20/P$3</f>
        <v>0</v>
      </c>
      <c r="Q20" s="124" t="n">
        <f aca="false">E20/P$3</f>
        <v>0</v>
      </c>
      <c r="R20" s="124" t="n">
        <f aca="false">F20/R$3</f>
        <v>0</v>
      </c>
      <c r="S20" s="126" t="n">
        <f aca="false">J20/$R$3</f>
        <v>0</v>
      </c>
      <c r="T20" s="126" t="n">
        <f aca="false">L20/$R$3</f>
        <v>0</v>
      </c>
      <c r="U20" s="126" t="n">
        <f aca="false">I20/$R$3</f>
        <v>0</v>
      </c>
      <c r="V20" s="126" t="n">
        <f aca="false">M20/$R$3</f>
        <v>0</v>
      </c>
      <c r="W20" s="126" t="n">
        <f aca="false">N20/$R$3</f>
        <v>0</v>
      </c>
    </row>
    <row r="21" customFormat="false" ht="12.75" hidden="true" customHeight="false" outlineLevel="0" collapsed="false">
      <c r="A21" s="120" t="n">
        <f aca="false">A20+1</f>
        <v>36907</v>
      </c>
      <c r="B21" s="131" t="str">
        <f aca="false">INDEX('Master Data'!$A$2:$B$8,MATCH(WEEKDAY('Rio Cuarto Power Trading'!A21,3),'Master Data'!$A$2:$A$8,0),2)</f>
        <v>T</v>
      </c>
      <c r="D21" s="124" t="n">
        <v>0</v>
      </c>
      <c r="E21" s="124" t="n">
        <v>0</v>
      </c>
      <c r="F21" s="124" t="n">
        <v>0</v>
      </c>
      <c r="G21" s="124" t="n">
        <v>0</v>
      </c>
      <c r="I21" s="124" t="n">
        <f aca="false">IF(MONTH($A21)=MONTH($A20),IF(G21=0,I20,G21),0)</f>
        <v>0</v>
      </c>
      <c r="J21" s="124" t="n">
        <f aca="false">IF(MONTH($A21)=MONTH($A20),SUM(I21-I20),I21)</f>
        <v>0</v>
      </c>
      <c r="K21" s="124" t="n">
        <f aca="false">IF(WEEKDAY(A21,3)&gt;4,0,(IF(A21&lt;K$2,0,IF(A21&lt;=K$3,1,0))))</f>
        <v>0</v>
      </c>
      <c r="L21" s="124" t="n">
        <f aca="false">J21*K21</f>
        <v>0</v>
      </c>
      <c r="M21" s="124" t="n">
        <f aca="false">SUM(J$6:J21)</f>
        <v>0</v>
      </c>
      <c r="N21" s="124" t="n">
        <f aca="false">SUM(J$6:J21)</f>
        <v>0</v>
      </c>
      <c r="P21" s="124" t="n">
        <f aca="false">D21/P$3</f>
        <v>0</v>
      </c>
      <c r="Q21" s="124" t="n">
        <f aca="false">E21/P$3</f>
        <v>0</v>
      </c>
      <c r="R21" s="124" t="n">
        <f aca="false">F21/R$3</f>
        <v>0</v>
      </c>
      <c r="S21" s="126" t="n">
        <f aca="false">J21/$R$3</f>
        <v>0</v>
      </c>
      <c r="T21" s="126" t="n">
        <f aca="false">L21/$R$3</f>
        <v>0</v>
      </c>
      <c r="U21" s="126" t="n">
        <f aca="false">I21/$R$3</f>
        <v>0</v>
      </c>
      <c r="V21" s="126" t="n">
        <f aca="false">M21/$R$3</f>
        <v>0</v>
      </c>
      <c r="W21" s="126" t="n">
        <f aca="false">N21/$R$3</f>
        <v>0</v>
      </c>
    </row>
    <row r="22" customFormat="false" ht="12.75" hidden="true" customHeight="false" outlineLevel="0" collapsed="false">
      <c r="A22" s="120" t="n">
        <f aca="false">A21+1</f>
        <v>36908</v>
      </c>
      <c r="B22" s="131" t="str">
        <f aca="false">INDEX('Master Data'!$A$2:$B$8,MATCH(WEEKDAY('Rio Cuarto Power Trading'!A22,3),'Master Data'!$A$2:$A$8,0),2)</f>
        <v>W</v>
      </c>
      <c r="D22" s="124" t="n">
        <v>0</v>
      </c>
      <c r="E22" s="124" t="n">
        <v>0</v>
      </c>
      <c r="F22" s="124" t="n">
        <v>0</v>
      </c>
      <c r="G22" s="124" t="n">
        <v>0</v>
      </c>
      <c r="I22" s="124" t="n">
        <f aca="false">IF(MONTH($A22)=MONTH($A21),IF(G22=0,I21,G22),0)</f>
        <v>0</v>
      </c>
      <c r="J22" s="124" t="n">
        <f aca="false">IF(MONTH($A22)=MONTH($A21),SUM(I22-I21),I22)</f>
        <v>0</v>
      </c>
      <c r="K22" s="124" t="n">
        <f aca="false">IF(WEEKDAY(A22,3)&gt;4,0,(IF(A22&lt;K$2,0,IF(A22&lt;=K$3,1,0))))</f>
        <v>0</v>
      </c>
      <c r="L22" s="124" t="n">
        <f aca="false">J22*K22</f>
        <v>0</v>
      </c>
      <c r="M22" s="124" t="n">
        <f aca="false">SUM(J$6:J22)</f>
        <v>0</v>
      </c>
      <c r="N22" s="124" t="n">
        <f aca="false">SUM(J$6:J22)</f>
        <v>0</v>
      </c>
      <c r="P22" s="124" t="n">
        <f aca="false">D22/P$3</f>
        <v>0</v>
      </c>
      <c r="Q22" s="124" t="n">
        <f aca="false">E22/P$3</f>
        <v>0</v>
      </c>
      <c r="R22" s="124" t="n">
        <f aca="false">F22/R$3</f>
        <v>0</v>
      </c>
      <c r="S22" s="126" t="n">
        <f aca="false">J22/$R$3</f>
        <v>0</v>
      </c>
      <c r="T22" s="126" t="n">
        <f aca="false">L22/$R$3</f>
        <v>0</v>
      </c>
      <c r="U22" s="126" t="n">
        <f aca="false">I22/$R$3</f>
        <v>0</v>
      </c>
      <c r="V22" s="126" t="n">
        <f aca="false">M22/$R$3</f>
        <v>0</v>
      </c>
      <c r="W22" s="126" t="n">
        <f aca="false">N22/$R$3</f>
        <v>0</v>
      </c>
    </row>
    <row r="23" customFormat="false" ht="12.75" hidden="true" customHeight="false" outlineLevel="0" collapsed="false">
      <c r="A23" s="120" t="n">
        <f aca="false">A22+1</f>
        <v>36909</v>
      </c>
      <c r="B23" s="131" t="str">
        <f aca="false">INDEX('Master Data'!$A$2:$B$8,MATCH(WEEKDAY('Rio Cuarto Power Trading'!A23,3),'Master Data'!$A$2:$A$8,0),2)</f>
        <v>Th</v>
      </c>
      <c r="D23" s="124" t="n">
        <v>0</v>
      </c>
      <c r="E23" s="124" t="n">
        <v>0</v>
      </c>
      <c r="F23" s="124" t="n">
        <v>0</v>
      </c>
      <c r="G23" s="124" t="n">
        <v>0</v>
      </c>
      <c r="I23" s="124" t="n">
        <f aca="false">IF(MONTH($A23)=MONTH($A22),IF(G23=0,I22,G23),0)</f>
        <v>0</v>
      </c>
      <c r="J23" s="124" t="n">
        <f aca="false">IF(MONTH($A23)=MONTH($A22),SUM(I23-I22),I23)</f>
        <v>0</v>
      </c>
      <c r="K23" s="124" t="n">
        <f aca="false">IF(WEEKDAY(A23,3)&gt;4,0,(IF(A23&lt;K$2,0,IF(A23&lt;=K$3,1,0))))</f>
        <v>0</v>
      </c>
      <c r="L23" s="124" t="n">
        <f aca="false">J23*K23</f>
        <v>0</v>
      </c>
      <c r="M23" s="124" t="n">
        <f aca="false">SUM(J$6:J23)</f>
        <v>0</v>
      </c>
      <c r="N23" s="124" t="n">
        <f aca="false">SUM(J$6:J23)</f>
        <v>0</v>
      </c>
      <c r="P23" s="124" t="n">
        <f aca="false">D23/P$3</f>
        <v>0</v>
      </c>
      <c r="Q23" s="124" t="n">
        <f aca="false">E23/P$3</f>
        <v>0</v>
      </c>
      <c r="R23" s="124" t="n">
        <f aca="false">F23/R$3</f>
        <v>0</v>
      </c>
      <c r="S23" s="126" t="n">
        <f aca="false">J23/$R$3</f>
        <v>0</v>
      </c>
      <c r="T23" s="126" t="n">
        <f aca="false">L23/$R$3</f>
        <v>0</v>
      </c>
      <c r="U23" s="126" t="n">
        <f aca="false">I23/$R$3</f>
        <v>0</v>
      </c>
      <c r="V23" s="126" t="n">
        <f aca="false">M23/$R$3</f>
        <v>0</v>
      </c>
      <c r="W23" s="126" t="n">
        <f aca="false">N23/$R$3</f>
        <v>0</v>
      </c>
    </row>
    <row r="24" customFormat="false" ht="12.75" hidden="true" customHeight="false" outlineLevel="0" collapsed="false">
      <c r="A24" s="120" t="n">
        <f aca="false">A23+1</f>
        <v>36910</v>
      </c>
      <c r="B24" s="131" t="str">
        <f aca="false">INDEX('Master Data'!$A$2:$B$8,MATCH(WEEKDAY('Rio Cuarto Power Trading'!A24,3),'Master Data'!$A$2:$A$8,0),2)</f>
        <v>F</v>
      </c>
      <c r="D24" s="124" t="n">
        <v>0</v>
      </c>
      <c r="E24" s="124" t="n">
        <v>0</v>
      </c>
      <c r="F24" s="124" t="n">
        <v>0</v>
      </c>
      <c r="G24" s="124" t="n">
        <v>0</v>
      </c>
      <c r="I24" s="124" t="n">
        <f aca="false">IF(MONTH($A24)=MONTH($A23),IF(G24=0,I23,G24),0)</f>
        <v>0</v>
      </c>
      <c r="J24" s="124" t="n">
        <f aca="false">IF(MONTH($A24)=MONTH($A23),SUM(I24-I23),I24)</f>
        <v>0</v>
      </c>
      <c r="K24" s="124" t="n">
        <f aca="false">IF(WEEKDAY(A24,3)&gt;4,0,(IF(A24&lt;K$2,0,IF(A24&lt;=K$3,1,0))))</f>
        <v>0</v>
      </c>
      <c r="L24" s="124" t="n">
        <f aca="false">J24*K24</f>
        <v>0</v>
      </c>
      <c r="M24" s="124" t="n">
        <f aca="false">SUM(J$6:J24)</f>
        <v>0</v>
      </c>
      <c r="N24" s="124" t="n">
        <f aca="false">SUM(J$6:J24)</f>
        <v>0</v>
      </c>
      <c r="P24" s="124" t="n">
        <f aca="false">D24/P$3</f>
        <v>0</v>
      </c>
      <c r="Q24" s="124" t="n">
        <f aca="false">E24/P$3</f>
        <v>0</v>
      </c>
      <c r="R24" s="124" t="n">
        <f aca="false">F24/R$3</f>
        <v>0</v>
      </c>
      <c r="S24" s="126" t="n">
        <f aca="false">J24/$R$3</f>
        <v>0</v>
      </c>
      <c r="T24" s="126" t="n">
        <f aca="false">L24/$R$3</f>
        <v>0</v>
      </c>
      <c r="U24" s="126" t="n">
        <f aca="false">I24/$R$3</f>
        <v>0</v>
      </c>
      <c r="V24" s="126" t="n">
        <f aca="false">M24/$R$3</f>
        <v>0</v>
      </c>
      <c r="W24" s="126" t="n">
        <f aca="false">N24/$R$3</f>
        <v>0</v>
      </c>
    </row>
    <row r="25" customFormat="false" ht="12.75" hidden="true" customHeight="false" outlineLevel="0" collapsed="false">
      <c r="A25" s="120" t="n">
        <f aca="false">A24+1</f>
        <v>36911</v>
      </c>
      <c r="B25" s="131" t="str">
        <f aca="false">INDEX('Master Data'!$A$2:$B$8,MATCH(WEEKDAY('Rio Cuarto Power Trading'!A25,3),'Master Data'!$A$2:$A$8,0),2)</f>
        <v>Sa</v>
      </c>
      <c r="D25" s="124" t="n">
        <v>0</v>
      </c>
      <c r="E25" s="124" t="n">
        <v>0</v>
      </c>
      <c r="F25" s="124" t="n">
        <v>0</v>
      </c>
      <c r="G25" s="124" t="n">
        <v>0</v>
      </c>
      <c r="I25" s="124" t="n">
        <f aca="false">IF(MONTH($A25)=MONTH($A24),IF(G25=0,I24,G25),0)</f>
        <v>0</v>
      </c>
      <c r="J25" s="124" t="n">
        <f aca="false">IF(MONTH($A25)=MONTH($A24),SUM(I25-I24),I25)</f>
        <v>0</v>
      </c>
      <c r="K25" s="124" t="n">
        <f aca="false">IF(WEEKDAY(A25,3)&gt;4,0,(IF(A25&lt;K$2,0,IF(A25&lt;=K$3,1,0))))</f>
        <v>0</v>
      </c>
      <c r="L25" s="124" t="n">
        <f aca="false">J25*K25</f>
        <v>0</v>
      </c>
      <c r="M25" s="124" t="n">
        <f aca="false">SUM(J$6:J25)</f>
        <v>0</v>
      </c>
      <c r="N25" s="124" t="n">
        <f aca="false">SUM(J$6:J25)</f>
        <v>0</v>
      </c>
      <c r="P25" s="124" t="n">
        <f aca="false">D25/P$3</f>
        <v>0</v>
      </c>
      <c r="Q25" s="124" t="n">
        <f aca="false">E25/P$3</f>
        <v>0</v>
      </c>
      <c r="R25" s="124" t="n">
        <f aca="false">F25/R$3</f>
        <v>0</v>
      </c>
      <c r="S25" s="126" t="n">
        <f aca="false">J25/$R$3</f>
        <v>0</v>
      </c>
      <c r="T25" s="126" t="n">
        <f aca="false">L25/$R$3</f>
        <v>0</v>
      </c>
      <c r="U25" s="126" t="n">
        <f aca="false">I25/$R$3</f>
        <v>0</v>
      </c>
      <c r="V25" s="126" t="n">
        <f aca="false">M25/$R$3</f>
        <v>0</v>
      </c>
      <c r="W25" s="126" t="n">
        <f aca="false">N25/$R$3</f>
        <v>0</v>
      </c>
    </row>
    <row r="26" customFormat="false" ht="12.75" hidden="true" customHeight="false" outlineLevel="0" collapsed="false">
      <c r="A26" s="120" t="n">
        <f aca="false">A25+1</f>
        <v>36912</v>
      </c>
      <c r="B26" s="131" t="str">
        <f aca="false">INDEX('Master Data'!$A$2:$B$8,MATCH(WEEKDAY('Rio Cuarto Power Trading'!A26,3),'Master Data'!$A$2:$A$8,0),2)</f>
        <v>Su</v>
      </c>
      <c r="D26" s="124" t="n">
        <v>0</v>
      </c>
      <c r="E26" s="124" t="n">
        <v>0</v>
      </c>
      <c r="F26" s="124" t="n">
        <v>0</v>
      </c>
      <c r="G26" s="124" t="n">
        <v>0</v>
      </c>
      <c r="I26" s="124" t="n">
        <f aca="false">IF(MONTH($A26)=MONTH($A25),IF(G26=0,I25,G26),0)</f>
        <v>0</v>
      </c>
      <c r="J26" s="124" t="n">
        <f aca="false">IF(MONTH($A26)=MONTH($A25),SUM(I26-I25),I26)</f>
        <v>0</v>
      </c>
      <c r="K26" s="124" t="n">
        <f aca="false">IF(WEEKDAY(A26,3)&gt;4,0,(IF(A26&lt;K$2,0,IF(A26&lt;=K$3,1,0))))</f>
        <v>0</v>
      </c>
      <c r="L26" s="124" t="n">
        <f aca="false">J26*K26</f>
        <v>0</v>
      </c>
      <c r="M26" s="124" t="n">
        <f aca="false">SUM(J$6:J26)</f>
        <v>0</v>
      </c>
      <c r="N26" s="124" t="n">
        <f aca="false">SUM(J$6:J26)</f>
        <v>0</v>
      </c>
      <c r="P26" s="124" t="n">
        <f aca="false">D26/P$3</f>
        <v>0</v>
      </c>
      <c r="Q26" s="124" t="n">
        <f aca="false">E26/P$3</f>
        <v>0</v>
      </c>
      <c r="R26" s="124" t="n">
        <f aca="false">F26/R$3</f>
        <v>0</v>
      </c>
      <c r="S26" s="126" t="n">
        <f aca="false">J26/$R$3</f>
        <v>0</v>
      </c>
      <c r="T26" s="126" t="n">
        <f aca="false">L26/$R$3</f>
        <v>0</v>
      </c>
      <c r="U26" s="126" t="n">
        <f aca="false">I26/$R$3</f>
        <v>0</v>
      </c>
      <c r="V26" s="126" t="n">
        <f aca="false">M26/$R$3</f>
        <v>0</v>
      </c>
      <c r="W26" s="126" t="n">
        <f aca="false">N26/$R$3</f>
        <v>0</v>
      </c>
    </row>
    <row r="27" customFormat="false" ht="12.75" hidden="true" customHeight="false" outlineLevel="0" collapsed="false">
      <c r="A27" s="120" t="n">
        <f aca="false">A26+1</f>
        <v>36913</v>
      </c>
      <c r="B27" s="131" t="str">
        <f aca="false">INDEX('Master Data'!$A$2:$B$8,MATCH(WEEKDAY('Rio Cuarto Power Trading'!A27,3),'Master Data'!$A$2:$A$8,0),2)</f>
        <v>M</v>
      </c>
      <c r="D27" s="124" t="n">
        <v>0</v>
      </c>
      <c r="E27" s="124" t="n">
        <v>0</v>
      </c>
      <c r="F27" s="124" t="n">
        <v>0</v>
      </c>
      <c r="G27" s="124" t="n">
        <v>0</v>
      </c>
      <c r="I27" s="124" t="n">
        <f aca="false">IF(MONTH($A27)=MONTH($A26),IF(G27=0,I26,G27),0)</f>
        <v>0</v>
      </c>
      <c r="J27" s="124" t="n">
        <f aca="false">IF(MONTH($A27)=MONTH($A26),SUM(I27-I26),I27)</f>
        <v>0</v>
      </c>
      <c r="K27" s="124" t="n">
        <f aca="false">IF(WEEKDAY(A27,3)&gt;4,0,(IF(A27&lt;K$2,0,IF(A27&lt;=K$3,1,0))))</f>
        <v>0</v>
      </c>
      <c r="L27" s="124" t="n">
        <f aca="false">J27*K27</f>
        <v>0</v>
      </c>
      <c r="M27" s="124" t="n">
        <f aca="false">SUM(J$6:J27)</f>
        <v>0</v>
      </c>
      <c r="N27" s="124" t="n">
        <f aca="false">SUM(J$6:J27)</f>
        <v>0</v>
      </c>
      <c r="P27" s="124" t="n">
        <f aca="false">D27/P$3</f>
        <v>0</v>
      </c>
      <c r="Q27" s="124" t="n">
        <f aca="false">E27/P$3</f>
        <v>0</v>
      </c>
      <c r="R27" s="124" t="n">
        <f aca="false">F27/R$3</f>
        <v>0</v>
      </c>
      <c r="S27" s="126" t="n">
        <f aca="false">J27/$R$3</f>
        <v>0</v>
      </c>
      <c r="T27" s="126" t="n">
        <f aca="false">L27/$R$3</f>
        <v>0</v>
      </c>
      <c r="U27" s="126" t="n">
        <f aca="false">I27/$R$3</f>
        <v>0</v>
      </c>
      <c r="V27" s="126" t="n">
        <f aca="false">M27/$R$3</f>
        <v>0</v>
      </c>
      <c r="W27" s="126" t="n">
        <f aca="false">N27/$R$3</f>
        <v>0</v>
      </c>
    </row>
    <row r="28" customFormat="false" ht="12.75" hidden="true" customHeight="false" outlineLevel="0" collapsed="false">
      <c r="A28" s="120" t="n">
        <f aca="false">A27+1</f>
        <v>36914</v>
      </c>
      <c r="B28" s="131" t="str">
        <f aca="false">INDEX('Master Data'!$A$2:$B$8,MATCH(WEEKDAY('Rio Cuarto Power Trading'!A28,3),'Master Data'!$A$2:$A$8,0),2)</f>
        <v>T</v>
      </c>
      <c r="D28" s="124" t="n">
        <v>0</v>
      </c>
      <c r="E28" s="124" t="n">
        <v>0</v>
      </c>
      <c r="F28" s="124" t="n">
        <v>0</v>
      </c>
      <c r="G28" s="124" t="n">
        <v>0</v>
      </c>
      <c r="I28" s="124" t="n">
        <f aca="false">IF(MONTH($A28)=MONTH($A27),IF(G28=0,I27,G28),0)</f>
        <v>0</v>
      </c>
      <c r="J28" s="124" t="n">
        <f aca="false">IF(MONTH($A28)=MONTH($A27),SUM(I28-I27),I28)</f>
        <v>0</v>
      </c>
      <c r="K28" s="124" t="n">
        <f aca="false">IF(WEEKDAY(A28,3)&gt;4,0,(IF(A28&lt;K$2,0,IF(A28&lt;=K$3,1,0))))</f>
        <v>0</v>
      </c>
      <c r="L28" s="124" t="n">
        <f aca="false">J28*K28</f>
        <v>0</v>
      </c>
      <c r="M28" s="124" t="n">
        <f aca="false">SUM(J$6:J28)</f>
        <v>0</v>
      </c>
      <c r="N28" s="124" t="n">
        <f aca="false">SUM(J$6:J28)</f>
        <v>0</v>
      </c>
      <c r="P28" s="124" t="n">
        <f aca="false">D28/P$3</f>
        <v>0</v>
      </c>
      <c r="Q28" s="124" t="n">
        <f aca="false">E28/P$3</f>
        <v>0</v>
      </c>
      <c r="R28" s="124" t="n">
        <f aca="false">F28/R$3</f>
        <v>0</v>
      </c>
      <c r="S28" s="126" t="n">
        <f aca="false">J28/$R$3</f>
        <v>0</v>
      </c>
      <c r="T28" s="126" t="n">
        <f aca="false">L28/$R$3</f>
        <v>0</v>
      </c>
      <c r="U28" s="126" t="n">
        <f aca="false">I28/$R$3</f>
        <v>0</v>
      </c>
      <c r="V28" s="126" t="n">
        <f aca="false">M28/$R$3</f>
        <v>0</v>
      </c>
      <c r="W28" s="126" t="n">
        <f aca="false">N28/$R$3</f>
        <v>0</v>
      </c>
    </row>
    <row r="29" customFormat="false" ht="12.75" hidden="true" customHeight="false" outlineLevel="0" collapsed="false">
      <c r="A29" s="120" t="n">
        <f aca="false">A28+1</f>
        <v>36915</v>
      </c>
      <c r="B29" s="131" t="str">
        <f aca="false">INDEX('Master Data'!$A$2:$B$8,MATCH(WEEKDAY('Rio Cuarto Power Trading'!A29,3),'Master Data'!$A$2:$A$8,0),2)</f>
        <v>W</v>
      </c>
      <c r="D29" s="124" t="n">
        <v>0</v>
      </c>
      <c r="E29" s="124" t="n">
        <v>0</v>
      </c>
      <c r="F29" s="124" t="n">
        <v>0</v>
      </c>
      <c r="G29" s="124" t="n">
        <v>0</v>
      </c>
      <c r="I29" s="124" t="n">
        <f aca="false">IF(MONTH($A29)=MONTH($A28),IF(G29=0,I28,G29),0)</f>
        <v>0</v>
      </c>
      <c r="J29" s="124" t="n">
        <f aca="false">IF(MONTH($A29)=MONTH($A28),SUM(I29-I28),I29)</f>
        <v>0</v>
      </c>
      <c r="K29" s="124" t="n">
        <f aca="false">IF(WEEKDAY(A29,3)&gt;4,0,(IF(A29&lt;K$2,0,IF(A29&lt;=K$3,1,0))))</f>
        <v>0</v>
      </c>
      <c r="L29" s="124" t="n">
        <f aca="false">J29*K29</f>
        <v>0</v>
      </c>
      <c r="M29" s="124" t="n">
        <f aca="false">SUM(J$6:J29)</f>
        <v>0</v>
      </c>
      <c r="N29" s="124" t="n">
        <f aca="false">SUM(J$6:J29)</f>
        <v>0</v>
      </c>
      <c r="P29" s="124" t="n">
        <f aca="false">D29/P$3</f>
        <v>0</v>
      </c>
      <c r="Q29" s="124" t="n">
        <f aca="false">E29/P$3</f>
        <v>0</v>
      </c>
      <c r="R29" s="124" t="n">
        <f aca="false">F29/R$3</f>
        <v>0</v>
      </c>
      <c r="S29" s="126" t="n">
        <f aca="false">J29/$R$3</f>
        <v>0</v>
      </c>
      <c r="T29" s="126" t="n">
        <f aca="false">L29/$R$3</f>
        <v>0</v>
      </c>
      <c r="U29" s="126" t="n">
        <f aca="false">I29/$R$3</f>
        <v>0</v>
      </c>
      <c r="V29" s="126" t="n">
        <f aca="false">M29/$R$3</f>
        <v>0</v>
      </c>
      <c r="W29" s="126" t="n">
        <f aca="false">N29/$R$3</f>
        <v>0</v>
      </c>
    </row>
    <row r="30" customFormat="false" ht="12.75" hidden="true" customHeight="false" outlineLevel="0" collapsed="false">
      <c r="A30" s="120" t="n">
        <f aca="false">A29+1</f>
        <v>36916</v>
      </c>
      <c r="B30" s="131" t="str">
        <f aca="false">INDEX('Master Data'!$A$2:$B$8,MATCH(WEEKDAY('Rio Cuarto Power Trading'!A30,3),'Master Data'!$A$2:$A$8,0),2)</f>
        <v>Th</v>
      </c>
      <c r="D30" s="124" t="n">
        <v>0</v>
      </c>
      <c r="E30" s="124" t="n">
        <v>0</v>
      </c>
      <c r="F30" s="124" t="n">
        <v>0</v>
      </c>
      <c r="G30" s="124" t="n">
        <v>0</v>
      </c>
      <c r="I30" s="124" t="n">
        <f aca="false">IF(MONTH($A30)=MONTH($A29),IF(G30=0,I29,G30),0)</f>
        <v>0</v>
      </c>
      <c r="J30" s="124" t="n">
        <f aca="false">IF(MONTH($A30)=MONTH($A29),SUM(I30-I29),I30)</f>
        <v>0</v>
      </c>
      <c r="K30" s="124" t="n">
        <f aca="false">IF(WEEKDAY(A30,3)&gt;4,0,(IF(A30&lt;K$2,0,IF(A30&lt;=K$3,1,0))))</f>
        <v>0</v>
      </c>
      <c r="L30" s="124" t="n">
        <f aca="false">J30*K30</f>
        <v>0</v>
      </c>
      <c r="M30" s="124" t="n">
        <f aca="false">SUM(J$6:J30)</f>
        <v>0</v>
      </c>
      <c r="N30" s="124" t="n">
        <f aca="false">SUM(J$6:J30)</f>
        <v>0</v>
      </c>
      <c r="P30" s="124" t="n">
        <f aca="false">D30/P$3</f>
        <v>0</v>
      </c>
      <c r="Q30" s="124" t="n">
        <f aca="false">E30/P$3</f>
        <v>0</v>
      </c>
      <c r="R30" s="124" t="n">
        <f aca="false">F30/R$3</f>
        <v>0</v>
      </c>
      <c r="S30" s="126" t="n">
        <f aca="false">J30/$R$3</f>
        <v>0</v>
      </c>
      <c r="T30" s="126" t="n">
        <f aca="false">L30/$R$3</f>
        <v>0</v>
      </c>
      <c r="U30" s="126" t="n">
        <f aca="false">I30/$R$3</f>
        <v>0</v>
      </c>
      <c r="V30" s="126" t="n">
        <f aca="false">M30/$R$3</f>
        <v>0</v>
      </c>
      <c r="W30" s="126" t="n">
        <f aca="false">N30/$R$3</f>
        <v>0</v>
      </c>
    </row>
    <row r="31" customFormat="false" ht="12.75" hidden="true" customHeight="false" outlineLevel="0" collapsed="false">
      <c r="A31" s="120" t="n">
        <f aca="false">A30+1</f>
        <v>36917</v>
      </c>
      <c r="B31" s="131" t="str">
        <f aca="false">INDEX('Master Data'!$A$2:$B$8,MATCH(WEEKDAY('Rio Cuarto Power Trading'!A31,3),'Master Data'!$A$2:$A$8,0),2)</f>
        <v>F</v>
      </c>
      <c r="D31" s="124" t="n">
        <v>0</v>
      </c>
      <c r="E31" s="124" t="n">
        <v>0</v>
      </c>
      <c r="F31" s="124" t="n">
        <v>0</v>
      </c>
      <c r="G31" s="124" t="n">
        <v>0</v>
      </c>
      <c r="I31" s="124" t="n">
        <f aca="false">IF(MONTH($A31)=MONTH($A30),IF(G31=0,I30,G31),0)</f>
        <v>0</v>
      </c>
      <c r="J31" s="124" t="n">
        <f aca="false">IF(MONTH($A31)=MONTH($A30),SUM(I31-I30),I31)</f>
        <v>0</v>
      </c>
      <c r="K31" s="124" t="n">
        <f aca="false">IF(WEEKDAY(A31,3)&gt;4,0,(IF(A31&lt;K$2,0,IF(A31&lt;=K$3,1,0))))</f>
        <v>0</v>
      </c>
      <c r="L31" s="124" t="n">
        <f aca="false">J31*K31</f>
        <v>0</v>
      </c>
      <c r="M31" s="124" t="n">
        <f aca="false">SUM(J$6:J31)</f>
        <v>0</v>
      </c>
      <c r="N31" s="124" t="n">
        <f aca="false">SUM(J$6:J31)</f>
        <v>0</v>
      </c>
      <c r="P31" s="124" t="n">
        <f aca="false">D31/P$3</f>
        <v>0</v>
      </c>
      <c r="Q31" s="124" t="n">
        <f aca="false">E31/P$3</f>
        <v>0</v>
      </c>
      <c r="R31" s="124" t="n">
        <f aca="false">F31/R$3</f>
        <v>0</v>
      </c>
      <c r="S31" s="126" t="n">
        <f aca="false">J31/$R$3</f>
        <v>0</v>
      </c>
      <c r="T31" s="126" t="n">
        <f aca="false">L31/$R$3</f>
        <v>0</v>
      </c>
      <c r="U31" s="126" t="n">
        <f aca="false">I31/$R$3</f>
        <v>0</v>
      </c>
      <c r="V31" s="126" t="n">
        <f aca="false">M31/$R$3</f>
        <v>0</v>
      </c>
      <c r="W31" s="126" t="n">
        <f aca="false">N31/$R$3</f>
        <v>0</v>
      </c>
    </row>
    <row r="32" customFormat="false" ht="12.75" hidden="true" customHeight="false" outlineLevel="0" collapsed="false">
      <c r="A32" s="120" t="n">
        <f aca="false">A31+1</f>
        <v>36918</v>
      </c>
      <c r="B32" s="131" t="str">
        <f aca="false">INDEX('Master Data'!$A$2:$B$8,MATCH(WEEKDAY('Rio Cuarto Power Trading'!A32,3),'Master Data'!$A$2:$A$8,0),2)</f>
        <v>Sa</v>
      </c>
      <c r="D32" s="124" t="n">
        <v>0</v>
      </c>
      <c r="E32" s="124" t="n">
        <v>0</v>
      </c>
      <c r="F32" s="124" t="n">
        <v>0</v>
      </c>
      <c r="G32" s="124" t="n">
        <v>0</v>
      </c>
      <c r="I32" s="124" t="n">
        <f aca="false">IF(MONTH($A32)=MONTH($A31),IF(G32=0,I31,G32),0)</f>
        <v>0</v>
      </c>
      <c r="J32" s="124" t="n">
        <f aca="false">IF(MONTH($A32)=MONTH($A31),SUM(I32-I31),I32)</f>
        <v>0</v>
      </c>
      <c r="K32" s="124" t="n">
        <f aca="false">IF(WEEKDAY(A32,3)&gt;4,0,(IF(A32&lt;K$2,0,IF(A32&lt;=K$3,1,0))))</f>
        <v>0</v>
      </c>
      <c r="L32" s="124" t="n">
        <f aca="false">J32*K32</f>
        <v>0</v>
      </c>
      <c r="M32" s="124" t="n">
        <f aca="false">SUM(J$6:J32)</f>
        <v>0</v>
      </c>
      <c r="N32" s="124" t="n">
        <f aca="false">SUM(J$6:J32)</f>
        <v>0</v>
      </c>
      <c r="P32" s="124" t="n">
        <f aca="false">D32/P$3</f>
        <v>0</v>
      </c>
      <c r="Q32" s="124" t="n">
        <f aca="false">E32/P$3</f>
        <v>0</v>
      </c>
      <c r="R32" s="124" t="n">
        <f aca="false">F32/R$3</f>
        <v>0</v>
      </c>
      <c r="S32" s="126" t="n">
        <f aca="false">J32/$R$3</f>
        <v>0</v>
      </c>
      <c r="T32" s="126" t="n">
        <f aca="false">L32/$R$3</f>
        <v>0</v>
      </c>
      <c r="U32" s="126" t="n">
        <f aca="false">I32/$R$3</f>
        <v>0</v>
      </c>
      <c r="V32" s="126" t="n">
        <f aca="false">M32/$R$3</f>
        <v>0</v>
      </c>
      <c r="W32" s="126" t="n">
        <f aca="false">N32/$R$3</f>
        <v>0</v>
      </c>
    </row>
    <row r="33" customFormat="false" ht="12.75" hidden="true" customHeight="false" outlineLevel="0" collapsed="false">
      <c r="A33" s="120" t="n">
        <f aca="false">A32+1</f>
        <v>36919</v>
      </c>
      <c r="B33" s="131" t="str">
        <f aca="false">INDEX('Master Data'!$A$2:$B$8,MATCH(WEEKDAY('Rio Cuarto Power Trading'!A33,3),'Master Data'!$A$2:$A$8,0),2)</f>
        <v>Su</v>
      </c>
      <c r="D33" s="124" t="n">
        <v>0</v>
      </c>
      <c r="E33" s="124" t="n">
        <v>0</v>
      </c>
      <c r="F33" s="124" t="n">
        <v>0</v>
      </c>
      <c r="G33" s="124" t="n">
        <v>0</v>
      </c>
      <c r="I33" s="124" t="n">
        <f aca="false">IF(MONTH($A33)=MONTH($A32),IF(G33=0,I32,G33),0)</f>
        <v>0</v>
      </c>
      <c r="J33" s="124" t="n">
        <f aca="false">IF(MONTH($A33)=MONTH($A32),SUM(I33-I32),I33)</f>
        <v>0</v>
      </c>
      <c r="K33" s="124" t="n">
        <f aca="false">IF(WEEKDAY(A33,3)&gt;4,0,(IF(A33&lt;K$2,0,IF(A33&lt;=K$3,1,0))))</f>
        <v>0</v>
      </c>
      <c r="L33" s="124" t="n">
        <f aca="false">J33*K33</f>
        <v>0</v>
      </c>
      <c r="M33" s="124" t="n">
        <f aca="false">SUM(J$6:J33)</f>
        <v>0</v>
      </c>
      <c r="N33" s="124" t="n">
        <f aca="false">SUM(J$6:J33)</f>
        <v>0</v>
      </c>
      <c r="P33" s="124" t="n">
        <f aca="false">D33/P$3</f>
        <v>0</v>
      </c>
      <c r="Q33" s="124" t="n">
        <f aca="false">E33/P$3</f>
        <v>0</v>
      </c>
      <c r="R33" s="124" t="n">
        <f aca="false">F33/R$3</f>
        <v>0</v>
      </c>
      <c r="S33" s="126" t="n">
        <f aca="false">J33/$R$3</f>
        <v>0</v>
      </c>
      <c r="T33" s="126" t="n">
        <f aca="false">L33/$R$3</f>
        <v>0</v>
      </c>
      <c r="U33" s="126" t="n">
        <f aca="false">I33/$R$3</f>
        <v>0</v>
      </c>
      <c r="V33" s="126" t="n">
        <f aca="false">M33/$R$3</f>
        <v>0</v>
      </c>
      <c r="W33" s="126" t="n">
        <f aca="false">N33/$R$3</f>
        <v>0</v>
      </c>
    </row>
    <row r="34" customFormat="false" ht="12.75" hidden="true" customHeight="false" outlineLevel="0" collapsed="false">
      <c r="A34" s="120" t="n">
        <f aca="false">A33+1</f>
        <v>36920</v>
      </c>
      <c r="B34" s="131" t="str">
        <f aca="false">INDEX('Master Data'!$A$2:$B$8,MATCH(WEEKDAY('Rio Cuarto Power Trading'!A34,3),'Master Data'!$A$2:$A$8,0),2)</f>
        <v>M</v>
      </c>
      <c r="D34" s="124" t="n">
        <v>0</v>
      </c>
      <c r="E34" s="124" t="n">
        <v>0</v>
      </c>
      <c r="F34" s="124" t="n">
        <v>0</v>
      </c>
      <c r="G34" s="124" t="n">
        <v>0</v>
      </c>
      <c r="I34" s="124" t="n">
        <f aca="false">IF(MONTH($A34)=MONTH($A33),IF(G34=0,I33,G34),0)</f>
        <v>0</v>
      </c>
      <c r="J34" s="124" t="n">
        <f aca="false">IF(MONTH($A34)=MONTH($A33),SUM(I34-I33),I34)</f>
        <v>0</v>
      </c>
      <c r="K34" s="124" t="n">
        <f aca="false">IF(WEEKDAY(A34,3)&gt;4,0,(IF(A34&lt;K$2,0,IF(A34&lt;=K$3,1,0))))</f>
        <v>0</v>
      </c>
      <c r="L34" s="124" t="n">
        <f aca="false">J34*K34</f>
        <v>0</v>
      </c>
      <c r="M34" s="124" t="n">
        <f aca="false">SUM(J$6:J34)</f>
        <v>0</v>
      </c>
      <c r="N34" s="124" t="n">
        <f aca="false">SUM(J$6:J34)</f>
        <v>0</v>
      </c>
      <c r="P34" s="124" t="n">
        <f aca="false">D34/P$3</f>
        <v>0</v>
      </c>
      <c r="Q34" s="124" t="n">
        <f aca="false">E34/P$3</f>
        <v>0</v>
      </c>
      <c r="R34" s="124" t="n">
        <f aca="false">F34/R$3</f>
        <v>0</v>
      </c>
      <c r="S34" s="126" t="n">
        <f aca="false">J34/$R$3</f>
        <v>0</v>
      </c>
      <c r="T34" s="126" t="n">
        <f aca="false">L34/$R$3</f>
        <v>0</v>
      </c>
      <c r="U34" s="126" t="n">
        <f aca="false">I34/$R$3</f>
        <v>0</v>
      </c>
      <c r="V34" s="126" t="n">
        <f aca="false">M34/$R$3</f>
        <v>0</v>
      </c>
      <c r="W34" s="126" t="n">
        <f aca="false">N34/$R$3</f>
        <v>0</v>
      </c>
    </row>
    <row r="35" customFormat="false" ht="12.75" hidden="true" customHeight="false" outlineLevel="0" collapsed="false">
      <c r="A35" s="120" t="n">
        <f aca="false">A34+1</f>
        <v>36921</v>
      </c>
      <c r="B35" s="131" t="str">
        <f aca="false">INDEX('Master Data'!$A$2:$B$8,MATCH(WEEKDAY('Rio Cuarto Power Trading'!A35,3),'Master Data'!$A$2:$A$8,0),2)</f>
        <v>T</v>
      </c>
      <c r="D35" s="124" t="n">
        <v>0</v>
      </c>
      <c r="E35" s="124" t="n">
        <v>0</v>
      </c>
      <c r="F35" s="124" t="n">
        <v>0</v>
      </c>
      <c r="G35" s="124" t="n">
        <v>0</v>
      </c>
      <c r="I35" s="124" t="n">
        <f aca="false">IF(MONTH($A35)=MONTH($A34),IF(G35=0,I34,G35),0)</f>
        <v>0</v>
      </c>
      <c r="J35" s="124" t="n">
        <f aca="false">IF(MONTH($A35)=MONTH($A34),SUM(I35-I34),I35)</f>
        <v>0</v>
      </c>
      <c r="K35" s="124" t="n">
        <f aca="false">IF(WEEKDAY(A35,3)&gt;4,0,(IF(A35&lt;K$2,0,IF(A35&lt;=K$3,1,0))))</f>
        <v>0</v>
      </c>
      <c r="L35" s="124" t="n">
        <f aca="false">J35*K35</f>
        <v>0</v>
      </c>
      <c r="M35" s="124" t="n">
        <f aca="false">SUM(J$6:J35)</f>
        <v>0</v>
      </c>
      <c r="N35" s="124" t="n">
        <f aca="false">SUM(J$6:J35)</f>
        <v>0</v>
      </c>
      <c r="P35" s="124" t="n">
        <f aca="false">D35/P$3</f>
        <v>0</v>
      </c>
      <c r="Q35" s="124" t="n">
        <f aca="false">E35/P$3</f>
        <v>0</v>
      </c>
      <c r="R35" s="124" t="n">
        <f aca="false">F35/R$3</f>
        <v>0</v>
      </c>
      <c r="S35" s="126" t="n">
        <f aca="false">J35/$R$3</f>
        <v>0</v>
      </c>
      <c r="T35" s="126" t="n">
        <f aca="false">L35/$R$3</f>
        <v>0</v>
      </c>
      <c r="U35" s="126" t="n">
        <f aca="false">I35/$R$3</f>
        <v>0</v>
      </c>
      <c r="V35" s="126" t="n">
        <f aca="false">M35/$R$3</f>
        <v>0</v>
      </c>
      <c r="W35" s="126" t="n">
        <f aca="false">N35/$R$3</f>
        <v>0</v>
      </c>
    </row>
    <row r="36" customFormat="false" ht="12.75" hidden="true" customHeight="false" outlineLevel="0" collapsed="false">
      <c r="A36" s="120" t="n">
        <f aca="false">A35+1</f>
        <v>36922</v>
      </c>
      <c r="B36" s="131" t="str">
        <f aca="false">INDEX('Master Data'!$A$2:$B$8,MATCH(WEEKDAY('Rio Cuarto Power Trading'!A36,3),'Master Data'!$A$2:$A$8,0),2)</f>
        <v>W</v>
      </c>
      <c r="D36" s="124" t="n">
        <v>0</v>
      </c>
      <c r="E36" s="124" t="n">
        <v>0</v>
      </c>
      <c r="F36" s="124" t="n">
        <v>0</v>
      </c>
      <c r="G36" s="124" t="n">
        <v>0</v>
      </c>
      <c r="I36" s="124" t="n">
        <f aca="false">IF(MONTH($A36)=MONTH($A35),IF(G36=0,I35,G36),0)</f>
        <v>0</v>
      </c>
      <c r="J36" s="124" t="n">
        <f aca="false">IF(MONTH($A36)=MONTH($A35),SUM(I36-I35),I36)</f>
        <v>0</v>
      </c>
      <c r="K36" s="124" t="n">
        <f aca="false">IF(WEEKDAY(A36,3)&gt;4,0,(IF(A36&lt;K$2,0,IF(A36&lt;=K$3,1,0))))</f>
        <v>0</v>
      </c>
      <c r="L36" s="124" t="n">
        <f aca="false">J36*K36</f>
        <v>0</v>
      </c>
      <c r="M36" s="124" t="n">
        <f aca="false">SUM(J$6:J36)</f>
        <v>0</v>
      </c>
      <c r="N36" s="124" t="n">
        <f aca="false">SUM(J$6:J36)</f>
        <v>0</v>
      </c>
      <c r="P36" s="124" t="n">
        <f aca="false">D36/P$3</f>
        <v>0</v>
      </c>
      <c r="Q36" s="124" t="n">
        <f aca="false">E36/P$3</f>
        <v>0</v>
      </c>
      <c r="R36" s="124" t="n">
        <f aca="false">F36/R$3</f>
        <v>0</v>
      </c>
      <c r="S36" s="126" t="n">
        <f aca="false">J36/$R$3</f>
        <v>0</v>
      </c>
      <c r="T36" s="126" t="n">
        <f aca="false">L36/$R$3</f>
        <v>0</v>
      </c>
      <c r="U36" s="126" t="n">
        <f aca="false">I36/$R$3</f>
        <v>0</v>
      </c>
      <c r="V36" s="126" t="n">
        <f aca="false">M36/$R$3</f>
        <v>0</v>
      </c>
      <c r="W36" s="126" t="n">
        <f aca="false">N36/$R$3</f>
        <v>0</v>
      </c>
    </row>
    <row r="37" customFormat="false" ht="12.75" hidden="true" customHeight="false" outlineLevel="0" collapsed="false">
      <c r="A37" s="120" t="n">
        <f aca="false">A36+1</f>
        <v>36923</v>
      </c>
      <c r="B37" s="131" t="str">
        <f aca="false">INDEX('Master Data'!$A$2:$B$8,MATCH(WEEKDAY('Rio Cuarto Power Trading'!A37,3),'Master Data'!$A$2:$A$8,0),2)</f>
        <v>Th</v>
      </c>
      <c r="D37" s="124" t="n">
        <v>0</v>
      </c>
      <c r="E37" s="124" t="n">
        <v>0</v>
      </c>
      <c r="F37" s="124" t="n">
        <v>0</v>
      </c>
      <c r="G37" s="124" t="n">
        <v>0</v>
      </c>
      <c r="I37" s="124" t="n">
        <f aca="false">IF(MONTH($A37)=MONTH($A36),IF(G37=0,I36,G37),G37)</f>
        <v>0</v>
      </c>
      <c r="J37" s="124" t="n">
        <f aca="false">IF(MONTH($A37)=MONTH($A36),SUM(I37-I36),I37)</f>
        <v>0</v>
      </c>
      <c r="K37" s="124" t="n">
        <f aca="false">IF(WEEKDAY(A37,3)&gt;4,0,(IF(A37&lt;K$2,0,IF(A37&lt;=K$3,1,0))))</f>
        <v>0</v>
      </c>
      <c r="L37" s="124" t="n">
        <f aca="false">J37*K37</f>
        <v>0</v>
      </c>
      <c r="M37" s="124" t="n">
        <f aca="false">SUM(J$6:J37)</f>
        <v>0</v>
      </c>
      <c r="N37" s="124" t="n">
        <f aca="false">SUM(J$6:J37)</f>
        <v>0</v>
      </c>
      <c r="P37" s="124" t="n">
        <f aca="false">D37/P$3</f>
        <v>0</v>
      </c>
      <c r="Q37" s="124" t="n">
        <f aca="false">E37/P$3</f>
        <v>0</v>
      </c>
      <c r="R37" s="124" t="n">
        <f aca="false">F37/R$3</f>
        <v>0</v>
      </c>
      <c r="S37" s="126" t="n">
        <f aca="false">J37/$R$3</f>
        <v>0</v>
      </c>
      <c r="T37" s="126" t="n">
        <f aca="false">L37/$R$3</f>
        <v>0</v>
      </c>
      <c r="U37" s="126" t="n">
        <f aca="false">I37/$R$3</f>
        <v>0</v>
      </c>
      <c r="V37" s="126" t="n">
        <f aca="false">M37/$R$3</f>
        <v>0</v>
      </c>
      <c r="W37" s="126" t="n">
        <f aca="false">N37/$R$3</f>
        <v>0</v>
      </c>
    </row>
    <row r="38" customFormat="false" ht="12.75" hidden="true" customHeight="false" outlineLevel="0" collapsed="false">
      <c r="A38" s="120" t="n">
        <f aca="false">A37+1</f>
        <v>36924</v>
      </c>
      <c r="B38" s="131" t="str">
        <f aca="false">INDEX('Master Data'!$A$2:$B$8,MATCH(WEEKDAY('Rio Cuarto Power Trading'!A38,3),'Master Data'!$A$2:$A$8,0),2)</f>
        <v>F</v>
      </c>
      <c r="D38" s="124" t="n">
        <v>0</v>
      </c>
      <c r="E38" s="124" t="n">
        <v>0</v>
      </c>
      <c r="F38" s="124" t="n">
        <v>0</v>
      </c>
      <c r="G38" s="124" t="n">
        <v>0</v>
      </c>
      <c r="I38" s="124" t="n">
        <f aca="false">IF(MONTH($A38)=MONTH($A37),IF(G38=0,I37,G38),G38)</f>
        <v>0</v>
      </c>
      <c r="J38" s="124" t="n">
        <f aca="false">IF(MONTH($A38)=MONTH($A37),SUM(I38-I37),I38)</f>
        <v>0</v>
      </c>
      <c r="K38" s="124" t="n">
        <f aca="false">IF(WEEKDAY(A38,3)&gt;4,0,(IF(A38&lt;K$2,0,IF(A38&lt;=K$3,1,0))))</f>
        <v>0</v>
      </c>
      <c r="L38" s="124" t="n">
        <f aca="false">J38*K38</f>
        <v>0</v>
      </c>
      <c r="M38" s="124" t="n">
        <f aca="false">SUM(J$6:J38)</f>
        <v>0</v>
      </c>
      <c r="N38" s="124" t="n">
        <f aca="false">SUM(J$6:J38)</f>
        <v>0</v>
      </c>
      <c r="P38" s="124" t="n">
        <f aca="false">D38/P$3</f>
        <v>0</v>
      </c>
      <c r="Q38" s="124" t="n">
        <f aca="false">E38/P$3</f>
        <v>0</v>
      </c>
      <c r="R38" s="124" t="n">
        <f aca="false">F38/R$3</f>
        <v>0</v>
      </c>
      <c r="S38" s="126" t="n">
        <f aca="false">J38/$R$3</f>
        <v>0</v>
      </c>
      <c r="T38" s="126" t="n">
        <f aca="false">L38/$R$3</f>
        <v>0</v>
      </c>
      <c r="U38" s="126" t="n">
        <f aca="false">I38/$R$3</f>
        <v>0</v>
      </c>
      <c r="V38" s="126" t="n">
        <f aca="false">M38/$R$3</f>
        <v>0</v>
      </c>
      <c r="W38" s="126" t="n">
        <f aca="false">N38/$R$3</f>
        <v>0</v>
      </c>
    </row>
    <row r="39" customFormat="false" ht="12.75" hidden="true" customHeight="false" outlineLevel="0" collapsed="false">
      <c r="A39" s="120" t="n">
        <f aca="false">A38+1</f>
        <v>36925</v>
      </c>
      <c r="B39" s="131" t="str">
        <f aca="false">INDEX('Master Data'!$A$2:$B$8,MATCH(WEEKDAY('Rio Cuarto Power Trading'!A39,3),'Master Data'!$A$2:$A$8,0),2)</f>
        <v>Sa</v>
      </c>
      <c r="D39" s="124" t="n">
        <v>0</v>
      </c>
      <c r="E39" s="124" t="n">
        <v>0</v>
      </c>
      <c r="F39" s="124" t="n">
        <v>0</v>
      </c>
      <c r="G39" s="124" t="n">
        <v>0</v>
      </c>
      <c r="I39" s="124" t="n">
        <f aca="false">IF(MONTH($A39)=MONTH($A38),IF(G39=0,I38,G39),G39)</f>
        <v>0</v>
      </c>
      <c r="J39" s="124" t="n">
        <f aca="false">IF(MONTH($A39)=MONTH($A38),SUM(I39-I38),I39)</f>
        <v>0</v>
      </c>
      <c r="K39" s="124" t="n">
        <f aca="false">IF(WEEKDAY(A39,3)&gt;4,0,(IF(A39&lt;K$2,0,IF(A39&lt;=K$3,1,0))))</f>
        <v>0</v>
      </c>
      <c r="L39" s="124" t="n">
        <f aca="false">J39*K39</f>
        <v>0</v>
      </c>
      <c r="M39" s="124" t="n">
        <f aca="false">SUM(J$6:J39)</f>
        <v>0</v>
      </c>
      <c r="N39" s="124" t="n">
        <f aca="false">SUM(J$6:J39)</f>
        <v>0</v>
      </c>
      <c r="P39" s="124" t="n">
        <f aca="false">D39/P$3</f>
        <v>0</v>
      </c>
      <c r="Q39" s="124" t="n">
        <f aca="false">E39/P$3</f>
        <v>0</v>
      </c>
      <c r="R39" s="124" t="n">
        <f aca="false">F39/R$3</f>
        <v>0</v>
      </c>
      <c r="S39" s="126" t="n">
        <f aca="false">J39/$R$3</f>
        <v>0</v>
      </c>
      <c r="T39" s="126" t="n">
        <f aca="false">L39/$R$3</f>
        <v>0</v>
      </c>
      <c r="U39" s="126" t="n">
        <f aca="false">I39/$R$3</f>
        <v>0</v>
      </c>
      <c r="V39" s="126" t="n">
        <f aca="false">M39/$R$3</f>
        <v>0</v>
      </c>
      <c r="W39" s="126" t="n">
        <f aca="false">N39/$R$3</f>
        <v>0</v>
      </c>
    </row>
    <row r="40" customFormat="false" ht="12.75" hidden="true" customHeight="false" outlineLevel="0" collapsed="false">
      <c r="A40" s="120" t="n">
        <f aca="false">A39+1</f>
        <v>36926</v>
      </c>
      <c r="B40" s="131" t="str">
        <f aca="false">INDEX('Master Data'!$A$2:$B$8,MATCH(WEEKDAY('Rio Cuarto Power Trading'!A40,3),'Master Data'!$A$2:$A$8,0),2)</f>
        <v>Su</v>
      </c>
      <c r="D40" s="124" t="n">
        <v>0</v>
      </c>
      <c r="E40" s="124" t="n">
        <v>0</v>
      </c>
      <c r="F40" s="124" t="n">
        <v>0</v>
      </c>
      <c r="G40" s="124" t="n">
        <v>0</v>
      </c>
      <c r="I40" s="124" t="n">
        <f aca="false">IF(MONTH($A40)=MONTH($A39),IF(G40=0,I39,G40),G40)</f>
        <v>0</v>
      </c>
      <c r="J40" s="124" t="n">
        <f aca="false">IF(MONTH($A40)=MONTH($A39),SUM(I40-I39),I40)</f>
        <v>0</v>
      </c>
      <c r="K40" s="124" t="n">
        <f aca="false">IF(WEEKDAY(A40,3)&gt;4,0,(IF(A40&lt;K$2,0,IF(A40&lt;=K$3,1,0))))</f>
        <v>0</v>
      </c>
      <c r="L40" s="124" t="n">
        <f aca="false">J40*K40</f>
        <v>0</v>
      </c>
      <c r="M40" s="124" t="n">
        <f aca="false">SUM(J$6:J40)</f>
        <v>0</v>
      </c>
      <c r="N40" s="124" t="n">
        <f aca="false">SUM(J$6:J40)</f>
        <v>0</v>
      </c>
      <c r="P40" s="124" t="n">
        <f aca="false">D40/P$3</f>
        <v>0</v>
      </c>
      <c r="Q40" s="124" t="n">
        <f aca="false">E40/P$3</f>
        <v>0</v>
      </c>
      <c r="R40" s="124" t="n">
        <f aca="false">F40/R$3</f>
        <v>0</v>
      </c>
      <c r="S40" s="126" t="n">
        <f aca="false">J40/$R$3</f>
        <v>0</v>
      </c>
      <c r="T40" s="126" t="n">
        <f aca="false">L40/$R$3</f>
        <v>0</v>
      </c>
      <c r="U40" s="126" t="n">
        <f aca="false">I40/$R$3</f>
        <v>0</v>
      </c>
      <c r="V40" s="126" t="n">
        <f aca="false">M40/$R$3</f>
        <v>0</v>
      </c>
      <c r="W40" s="126" t="n">
        <f aca="false">N40/$R$3</f>
        <v>0</v>
      </c>
    </row>
    <row r="41" customFormat="false" ht="12.75" hidden="true" customHeight="false" outlineLevel="0" collapsed="false">
      <c r="A41" s="120" t="n">
        <f aca="false">A40+1</f>
        <v>36927</v>
      </c>
      <c r="B41" s="131" t="str">
        <f aca="false">INDEX('Master Data'!$A$2:$B$8,MATCH(WEEKDAY('Rio Cuarto Power Trading'!A41,3),'Master Data'!$A$2:$A$8,0),2)</f>
        <v>M</v>
      </c>
      <c r="D41" s="124" t="n">
        <v>0</v>
      </c>
      <c r="E41" s="124" t="n">
        <v>0</v>
      </c>
      <c r="F41" s="124" t="n">
        <v>0</v>
      </c>
      <c r="G41" s="124" t="n">
        <v>0</v>
      </c>
      <c r="I41" s="124" t="n">
        <f aca="false">IF(MONTH($A41)=MONTH($A40),IF(G41=0,I40,G41),G41)</f>
        <v>0</v>
      </c>
      <c r="J41" s="124" t="n">
        <f aca="false">IF(MONTH($A41)=MONTH($A40),SUM(I41-I40),I41)</f>
        <v>0</v>
      </c>
      <c r="K41" s="124" t="n">
        <f aca="false">IF(WEEKDAY(A41,3)&gt;4,0,(IF(A41&lt;K$2,0,IF(A41&lt;=K$3,1,0))))</f>
        <v>0</v>
      </c>
      <c r="L41" s="124" t="n">
        <f aca="false">J41*K41</f>
        <v>0</v>
      </c>
      <c r="M41" s="124" t="n">
        <f aca="false">SUM(J$6:J41)</f>
        <v>0</v>
      </c>
      <c r="N41" s="124" t="n">
        <f aca="false">SUM(J$6:J41)</f>
        <v>0</v>
      </c>
      <c r="P41" s="124" t="n">
        <f aca="false">D41/P$3</f>
        <v>0</v>
      </c>
      <c r="Q41" s="124" t="n">
        <f aca="false">E41/P$3</f>
        <v>0</v>
      </c>
      <c r="R41" s="124" t="n">
        <f aca="false">F41/R$3</f>
        <v>0</v>
      </c>
      <c r="S41" s="126" t="n">
        <f aca="false">J41/$R$3</f>
        <v>0</v>
      </c>
      <c r="T41" s="126" t="n">
        <f aca="false">L41/$R$3</f>
        <v>0</v>
      </c>
      <c r="U41" s="126" t="n">
        <f aca="false">I41/$R$3</f>
        <v>0</v>
      </c>
      <c r="V41" s="126" t="n">
        <f aca="false">M41/$R$3</f>
        <v>0</v>
      </c>
      <c r="W41" s="126" t="n">
        <f aca="false">N41/$R$3</f>
        <v>0</v>
      </c>
    </row>
    <row r="42" customFormat="false" ht="12.75" hidden="true" customHeight="false" outlineLevel="0" collapsed="false">
      <c r="A42" s="120" t="n">
        <f aca="false">A41+1</f>
        <v>36928</v>
      </c>
      <c r="B42" s="131" t="str">
        <f aca="false">INDEX('Master Data'!$A$2:$B$8,MATCH(WEEKDAY('Rio Cuarto Power Trading'!A42,3),'Master Data'!$A$2:$A$8,0),2)</f>
        <v>T</v>
      </c>
      <c r="D42" s="124" t="n">
        <v>0</v>
      </c>
      <c r="E42" s="124" t="n">
        <v>0</v>
      </c>
      <c r="F42" s="124" t="n">
        <v>0</v>
      </c>
      <c r="G42" s="124" t="n">
        <v>0</v>
      </c>
      <c r="I42" s="124" t="n">
        <f aca="false">IF(MONTH($A42)=MONTH($A41),IF(G42=0,I41,G42),G42)</f>
        <v>0</v>
      </c>
      <c r="J42" s="124" t="n">
        <f aca="false">IF(MONTH($A42)=MONTH($A41),SUM(I42-I41),I42)</f>
        <v>0</v>
      </c>
      <c r="K42" s="124" t="n">
        <f aca="false">IF(WEEKDAY(A42,3)&gt;4,0,(IF(A42&lt;K$2,0,IF(A42&lt;=K$3,1,0))))</f>
        <v>0</v>
      </c>
      <c r="L42" s="124" t="n">
        <f aca="false">J42*K42</f>
        <v>0</v>
      </c>
      <c r="M42" s="124" t="n">
        <f aca="false">SUM(J$6:J42)</f>
        <v>0</v>
      </c>
      <c r="N42" s="124" t="n">
        <f aca="false">SUM(J$6:J42)</f>
        <v>0</v>
      </c>
      <c r="P42" s="124" t="n">
        <f aca="false">D42/P$3</f>
        <v>0</v>
      </c>
      <c r="Q42" s="124" t="n">
        <f aca="false">E42/P$3</f>
        <v>0</v>
      </c>
      <c r="R42" s="124" t="n">
        <f aca="false">F42/R$3</f>
        <v>0</v>
      </c>
      <c r="S42" s="126" t="n">
        <f aca="false">J42/$R$3</f>
        <v>0</v>
      </c>
      <c r="T42" s="126" t="n">
        <f aca="false">L42/$R$3</f>
        <v>0</v>
      </c>
      <c r="U42" s="126" t="n">
        <f aca="false">I42/$R$3</f>
        <v>0</v>
      </c>
      <c r="V42" s="126" t="n">
        <f aca="false">M42/$R$3</f>
        <v>0</v>
      </c>
      <c r="W42" s="126" t="n">
        <f aca="false">N42/$R$3</f>
        <v>0</v>
      </c>
    </row>
    <row r="43" customFormat="false" ht="12.75" hidden="true" customHeight="false" outlineLevel="0" collapsed="false">
      <c r="A43" s="120" t="n">
        <f aca="false">A42+1</f>
        <v>36929</v>
      </c>
      <c r="B43" s="131" t="str">
        <f aca="false">INDEX('Master Data'!$A$2:$B$8,MATCH(WEEKDAY('Rio Cuarto Power Trading'!A43,3),'Master Data'!$A$2:$A$8,0),2)</f>
        <v>W</v>
      </c>
      <c r="D43" s="124" t="n">
        <v>0</v>
      </c>
      <c r="E43" s="124" t="n">
        <v>0</v>
      </c>
      <c r="F43" s="124" t="n">
        <v>0</v>
      </c>
      <c r="G43" s="124" t="n">
        <v>0</v>
      </c>
      <c r="I43" s="124" t="n">
        <f aca="false">IF(MONTH($A43)=MONTH($A42),IF(G43=0,I42,G43),G43)</f>
        <v>0</v>
      </c>
      <c r="J43" s="124" t="n">
        <f aca="false">IF(MONTH($A43)=MONTH($A42),SUM(I43-I42),I43)</f>
        <v>0</v>
      </c>
      <c r="K43" s="124" t="n">
        <f aca="false">IF(WEEKDAY(A43,3)&gt;4,0,(IF(A43&lt;K$2,0,IF(A43&lt;=K$3,1,0))))</f>
        <v>0</v>
      </c>
      <c r="L43" s="124" t="n">
        <f aca="false">J43*K43</f>
        <v>0</v>
      </c>
      <c r="M43" s="124" t="n">
        <f aca="false">SUM(J$6:J43)</f>
        <v>0</v>
      </c>
      <c r="N43" s="124" t="n">
        <f aca="false">SUM(J$6:J43)</f>
        <v>0</v>
      </c>
      <c r="P43" s="124" t="n">
        <f aca="false">D43/P$3</f>
        <v>0</v>
      </c>
      <c r="Q43" s="124" t="n">
        <f aca="false">E43/P$3</f>
        <v>0</v>
      </c>
      <c r="R43" s="124" t="n">
        <f aca="false">F43/R$3</f>
        <v>0</v>
      </c>
      <c r="S43" s="126" t="n">
        <f aca="false">J43/$R$3</f>
        <v>0</v>
      </c>
      <c r="T43" s="126" t="n">
        <f aca="false">L43/$R$3</f>
        <v>0</v>
      </c>
      <c r="U43" s="126" t="n">
        <f aca="false">I43/$R$3</f>
        <v>0</v>
      </c>
      <c r="V43" s="126" t="n">
        <f aca="false">M43/$R$3</f>
        <v>0</v>
      </c>
      <c r="W43" s="126" t="n">
        <f aca="false">N43/$R$3</f>
        <v>0</v>
      </c>
    </row>
    <row r="44" customFormat="false" ht="12.75" hidden="true" customHeight="false" outlineLevel="0" collapsed="false">
      <c r="A44" s="120" t="n">
        <f aca="false">A43+1</f>
        <v>36930</v>
      </c>
      <c r="B44" s="131" t="str">
        <f aca="false">INDEX('Master Data'!$A$2:$B$8,MATCH(WEEKDAY('Rio Cuarto Power Trading'!A44,3),'Master Data'!$A$2:$A$8,0),2)</f>
        <v>Th</v>
      </c>
      <c r="D44" s="124" t="n">
        <v>0</v>
      </c>
      <c r="E44" s="124" t="n">
        <v>0</v>
      </c>
      <c r="F44" s="124" t="n">
        <v>0</v>
      </c>
      <c r="G44" s="124" t="n">
        <v>0</v>
      </c>
      <c r="I44" s="124" t="n">
        <f aca="false">IF(MONTH($A44)=MONTH($A43),IF(G44=0,I43,G44),G44)</f>
        <v>0</v>
      </c>
      <c r="J44" s="124" t="n">
        <f aca="false">IF(MONTH($A44)=MONTH($A43),SUM(I44-I43),I44)</f>
        <v>0</v>
      </c>
      <c r="K44" s="124" t="n">
        <f aca="false">IF(WEEKDAY(A44,3)&gt;4,0,(IF(A44&lt;K$2,0,IF(A44&lt;=K$3,1,0))))</f>
        <v>0</v>
      </c>
      <c r="L44" s="124" t="n">
        <f aca="false">J44*K44</f>
        <v>0</v>
      </c>
      <c r="M44" s="124" t="n">
        <f aca="false">SUM(J$6:J44)</f>
        <v>0</v>
      </c>
      <c r="N44" s="124" t="n">
        <f aca="false">SUM(J$6:J44)</f>
        <v>0</v>
      </c>
      <c r="P44" s="124" t="n">
        <f aca="false">D44/P$3</f>
        <v>0</v>
      </c>
      <c r="Q44" s="124" t="n">
        <f aca="false">E44/P$3</f>
        <v>0</v>
      </c>
      <c r="R44" s="124" t="n">
        <f aca="false">F44/R$3</f>
        <v>0</v>
      </c>
      <c r="S44" s="126" t="n">
        <f aca="false">J44/$R$3</f>
        <v>0</v>
      </c>
      <c r="T44" s="126" t="n">
        <f aca="false">L44/$R$3</f>
        <v>0</v>
      </c>
      <c r="U44" s="126" t="n">
        <f aca="false">I44/$R$3</f>
        <v>0</v>
      </c>
      <c r="V44" s="126" t="n">
        <f aca="false">M44/$R$3</f>
        <v>0</v>
      </c>
      <c r="W44" s="126" t="n">
        <f aca="false">N44/$R$3</f>
        <v>0</v>
      </c>
    </row>
    <row r="45" customFormat="false" ht="12.75" hidden="true" customHeight="false" outlineLevel="0" collapsed="false">
      <c r="A45" s="120" t="n">
        <f aca="false">A44+1</f>
        <v>36931</v>
      </c>
      <c r="B45" s="131" t="str">
        <f aca="false">INDEX('Master Data'!$A$2:$B$8,MATCH(WEEKDAY('Rio Cuarto Power Trading'!A45,3),'Master Data'!$A$2:$A$8,0),2)</f>
        <v>F</v>
      </c>
      <c r="D45" s="124" t="n">
        <v>0</v>
      </c>
      <c r="E45" s="124" t="n">
        <v>0</v>
      </c>
      <c r="F45" s="124" t="n">
        <v>0</v>
      </c>
      <c r="G45" s="124" t="n">
        <v>0</v>
      </c>
      <c r="I45" s="124" t="n">
        <f aca="false">IF(MONTH($A45)=MONTH($A44),IF(G45=0,I44,G45),G45)</f>
        <v>0</v>
      </c>
      <c r="J45" s="124" t="n">
        <f aca="false">IF(MONTH($A45)=MONTH($A44),SUM(I45-I44),I45)</f>
        <v>0</v>
      </c>
      <c r="K45" s="124" t="n">
        <f aca="false">IF(WEEKDAY(A45,3)&gt;4,0,(IF(A45&lt;K$2,0,IF(A45&lt;=K$3,1,0))))</f>
        <v>0</v>
      </c>
      <c r="L45" s="124" t="n">
        <f aca="false">J45*K45</f>
        <v>0</v>
      </c>
      <c r="M45" s="124" t="n">
        <f aca="false">SUM(J$6:J45)</f>
        <v>0</v>
      </c>
      <c r="N45" s="124" t="n">
        <f aca="false">SUM(J$6:J45)</f>
        <v>0</v>
      </c>
      <c r="P45" s="124" t="n">
        <f aca="false">D45/P$3</f>
        <v>0</v>
      </c>
      <c r="Q45" s="124" t="n">
        <f aca="false">E45/P$3</f>
        <v>0</v>
      </c>
      <c r="R45" s="124" t="n">
        <f aca="false">F45/R$3</f>
        <v>0</v>
      </c>
      <c r="S45" s="126" t="n">
        <f aca="false">J45/$R$3</f>
        <v>0</v>
      </c>
      <c r="T45" s="126" t="n">
        <f aca="false">L45/$R$3</f>
        <v>0</v>
      </c>
      <c r="U45" s="126" t="n">
        <f aca="false">I45/$R$3</f>
        <v>0</v>
      </c>
      <c r="V45" s="126" t="n">
        <f aca="false">M45/$R$3</f>
        <v>0</v>
      </c>
      <c r="W45" s="126" t="n">
        <f aca="false">N45/$R$3</f>
        <v>0</v>
      </c>
    </row>
    <row r="46" customFormat="false" ht="12.75" hidden="true" customHeight="false" outlineLevel="0" collapsed="false">
      <c r="A46" s="120" t="n">
        <f aca="false">A45+1</f>
        <v>36932</v>
      </c>
      <c r="B46" s="131" t="str">
        <f aca="false">INDEX('Master Data'!$A$2:$B$8,MATCH(WEEKDAY('Rio Cuarto Power Trading'!A46,3),'Master Data'!$A$2:$A$8,0),2)</f>
        <v>Sa</v>
      </c>
      <c r="D46" s="124" t="n">
        <v>0</v>
      </c>
      <c r="E46" s="124" t="n">
        <v>0</v>
      </c>
      <c r="F46" s="124" t="n">
        <v>0</v>
      </c>
      <c r="G46" s="124" t="n">
        <v>0</v>
      </c>
      <c r="I46" s="124" t="n">
        <f aca="false">IF(MONTH($A46)=MONTH($A45),IF(G46=0,I45,G46),G46)</f>
        <v>0</v>
      </c>
      <c r="J46" s="124" t="n">
        <f aca="false">IF(MONTH($A46)=MONTH($A45),SUM(I46-I45),I46)</f>
        <v>0</v>
      </c>
      <c r="K46" s="124" t="n">
        <f aca="false">IF(WEEKDAY(A46,3)&gt;4,0,(IF(A46&lt;K$2,0,IF(A46&lt;=K$3,1,0))))</f>
        <v>0</v>
      </c>
      <c r="L46" s="124" t="n">
        <f aca="false">J46*K46</f>
        <v>0</v>
      </c>
      <c r="M46" s="124" t="n">
        <f aca="false">SUM(J$6:J46)</f>
        <v>0</v>
      </c>
      <c r="N46" s="124" t="n">
        <f aca="false">SUM(J$6:J46)</f>
        <v>0</v>
      </c>
      <c r="P46" s="124" t="n">
        <f aca="false">D46/P$3</f>
        <v>0</v>
      </c>
      <c r="Q46" s="124" t="n">
        <f aca="false">E46/P$3</f>
        <v>0</v>
      </c>
      <c r="R46" s="124" t="n">
        <f aca="false">F46/R$3</f>
        <v>0</v>
      </c>
      <c r="S46" s="126" t="n">
        <f aca="false">J46/$R$3</f>
        <v>0</v>
      </c>
      <c r="T46" s="126" t="n">
        <f aca="false">L46/$R$3</f>
        <v>0</v>
      </c>
      <c r="U46" s="126" t="n">
        <f aca="false">I46/$R$3</f>
        <v>0</v>
      </c>
      <c r="V46" s="126" t="n">
        <f aca="false">M46/$R$3</f>
        <v>0</v>
      </c>
      <c r="W46" s="126" t="n">
        <f aca="false">N46/$R$3</f>
        <v>0</v>
      </c>
    </row>
    <row r="47" customFormat="false" ht="12.75" hidden="true" customHeight="false" outlineLevel="0" collapsed="false">
      <c r="A47" s="120" t="n">
        <f aca="false">A46+1</f>
        <v>36933</v>
      </c>
      <c r="B47" s="131" t="str">
        <f aca="false">INDEX('Master Data'!$A$2:$B$8,MATCH(WEEKDAY('Rio Cuarto Power Trading'!A47,3),'Master Data'!$A$2:$A$8,0),2)</f>
        <v>Su</v>
      </c>
      <c r="D47" s="124" t="n">
        <v>0</v>
      </c>
      <c r="E47" s="124" t="n">
        <v>0</v>
      </c>
      <c r="F47" s="124" t="n">
        <v>0</v>
      </c>
      <c r="G47" s="124" t="n">
        <v>0</v>
      </c>
      <c r="I47" s="124" t="n">
        <f aca="false">IF(MONTH($A47)=MONTH($A46),IF(G47=0,I46,G47),G47)</f>
        <v>0</v>
      </c>
      <c r="J47" s="124" t="n">
        <f aca="false">IF(MONTH($A47)=MONTH($A46),SUM(I47-I46),I47)</f>
        <v>0</v>
      </c>
      <c r="K47" s="124" t="n">
        <f aca="false">IF(WEEKDAY(A47,3)&gt;4,0,(IF(A47&lt;K$2,0,IF(A47&lt;=K$3,1,0))))</f>
        <v>0</v>
      </c>
      <c r="L47" s="124" t="n">
        <f aca="false">J47*K47</f>
        <v>0</v>
      </c>
      <c r="M47" s="124" t="n">
        <f aca="false">SUM(J$6:J47)</f>
        <v>0</v>
      </c>
      <c r="N47" s="124" t="n">
        <f aca="false">SUM(J$6:J47)</f>
        <v>0</v>
      </c>
      <c r="P47" s="124" t="n">
        <f aca="false">D47/P$3</f>
        <v>0</v>
      </c>
      <c r="Q47" s="124" t="n">
        <f aca="false">E47/P$3</f>
        <v>0</v>
      </c>
      <c r="R47" s="124" t="n">
        <f aca="false">F47/R$3</f>
        <v>0</v>
      </c>
      <c r="S47" s="126" t="n">
        <f aca="false">J47/$R$3</f>
        <v>0</v>
      </c>
      <c r="T47" s="126" t="n">
        <f aca="false">L47/$R$3</f>
        <v>0</v>
      </c>
      <c r="U47" s="126" t="n">
        <f aca="false">I47/$R$3</f>
        <v>0</v>
      </c>
      <c r="V47" s="126" t="n">
        <f aca="false">M47/$R$3</f>
        <v>0</v>
      </c>
      <c r="W47" s="126" t="n">
        <f aca="false">N47/$R$3</f>
        <v>0</v>
      </c>
    </row>
    <row r="48" customFormat="false" ht="12.75" hidden="true" customHeight="false" outlineLevel="0" collapsed="false">
      <c r="A48" s="120" t="n">
        <f aca="false">A47+1</f>
        <v>36934</v>
      </c>
      <c r="B48" s="131" t="str">
        <f aca="false">INDEX('Master Data'!$A$2:$B$8,MATCH(WEEKDAY('Rio Cuarto Power Trading'!A48,3),'Master Data'!$A$2:$A$8,0),2)</f>
        <v>M</v>
      </c>
      <c r="D48" s="124" t="n">
        <v>0</v>
      </c>
      <c r="E48" s="124" t="n">
        <v>0</v>
      </c>
      <c r="F48" s="124" t="n">
        <v>0</v>
      </c>
      <c r="G48" s="124" t="n">
        <v>0</v>
      </c>
      <c r="I48" s="124" t="n">
        <f aca="false">IF(MONTH($A48)=MONTH($A47),IF(G48=0,I47,G48),G48)</f>
        <v>0</v>
      </c>
      <c r="J48" s="124" t="n">
        <f aca="false">IF(MONTH($A48)=MONTH($A47),SUM(I48-I47),I48)</f>
        <v>0</v>
      </c>
      <c r="K48" s="124" t="n">
        <f aca="false">IF(WEEKDAY(A48,3)&gt;4,0,(IF(A48&lt;K$2,0,IF(A48&lt;=K$3,1,0))))</f>
        <v>0</v>
      </c>
      <c r="L48" s="124" t="n">
        <f aca="false">J48*K48</f>
        <v>0</v>
      </c>
      <c r="M48" s="124" t="n">
        <f aca="false">SUM(J$6:J48)</f>
        <v>0</v>
      </c>
      <c r="N48" s="124" t="n">
        <f aca="false">SUM(J$6:J48)</f>
        <v>0</v>
      </c>
      <c r="P48" s="124" t="n">
        <f aca="false">D48/P$3</f>
        <v>0</v>
      </c>
      <c r="Q48" s="124" t="n">
        <f aca="false">E48/P$3</f>
        <v>0</v>
      </c>
      <c r="R48" s="124" t="n">
        <f aca="false">F48/R$3</f>
        <v>0</v>
      </c>
      <c r="S48" s="126" t="n">
        <f aca="false">J48/$R$3</f>
        <v>0</v>
      </c>
      <c r="T48" s="126" t="n">
        <f aca="false">L48/$R$3</f>
        <v>0</v>
      </c>
      <c r="U48" s="126" t="n">
        <f aca="false">I48/$R$3</f>
        <v>0</v>
      </c>
      <c r="V48" s="126" t="n">
        <f aca="false">M48/$R$3</f>
        <v>0</v>
      </c>
      <c r="W48" s="126" t="n">
        <f aca="false">N48/$R$3</f>
        <v>0</v>
      </c>
    </row>
    <row r="49" customFormat="false" ht="12.75" hidden="true" customHeight="false" outlineLevel="0" collapsed="false">
      <c r="A49" s="120" t="n">
        <f aca="false">A48+1</f>
        <v>36935</v>
      </c>
      <c r="B49" s="131" t="str">
        <f aca="false">INDEX('Master Data'!$A$2:$B$8,MATCH(WEEKDAY('Rio Cuarto Power Trading'!A49,3),'Master Data'!$A$2:$A$8,0),2)</f>
        <v>T</v>
      </c>
      <c r="D49" s="124" t="n">
        <v>0</v>
      </c>
      <c r="E49" s="124" t="n">
        <v>0</v>
      </c>
      <c r="F49" s="124" t="n">
        <v>0</v>
      </c>
      <c r="G49" s="124" t="n">
        <v>0</v>
      </c>
      <c r="I49" s="124" t="n">
        <f aca="false">IF(MONTH($A49)=MONTH($A48),IF(G49=0,I48,G49),G49)</f>
        <v>0</v>
      </c>
      <c r="J49" s="124" t="n">
        <f aca="false">IF(MONTH($A49)=MONTH($A48),SUM(I49-I48),I49)</f>
        <v>0</v>
      </c>
      <c r="K49" s="124" t="n">
        <f aca="false">IF(WEEKDAY(A49,3)&gt;4,0,(IF(A49&lt;K$2,0,IF(A49&lt;=K$3,1,0))))</f>
        <v>0</v>
      </c>
      <c r="L49" s="124" t="n">
        <f aca="false">J49*K49</f>
        <v>0</v>
      </c>
      <c r="M49" s="124" t="n">
        <f aca="false">SUM(J$6:J49)</f>
        <v>0</v>
      </c>
      <c r="N49" s="124" t="n">
        <f aca="false">SUM(J$6:J49)</f>
        <v>0</v>
      </c>
      <c r="P49" s="124" t="n">
        <f aca="false">D49/P$3</f>
        <v>0</v>
      </c>
      <c r="Q49" s="124" t="n">
        <f aca="false">E49/P$3</f>
        <v>0</v>
      </c>
      <c r="R49" s="124" t="n">
        <f aca="false">F49/R$3</f>
        <v>0</v>
      </c>
      <c r="S49" s="126" t="n">
        <f aca="false">J49/$R$3</f>
        <v>0</v>
      </c>
      <c r="T49" s="126" t="n">
        <f aca="false">L49/$R$3</f>
        <v>0</v>
      </c>
      <c r="U49" s="126" t="n">
        <f aca="false">I49/$R$3</f>
        <v>0</v>
      </c>
      <c r="V49" s="126" t="n">
        <f aca="false">M49/$R$3</f>
        <v>0</v>
      </c>
      <c r="W49" s="126" t="n">
        <f aca="false">N49/$R$3</f>
        <v>0</v>
      </c>
    </row>
    <row r="50" customFormat="false" ht="12.75" hidden="true" customHeight="false" outlineLevel="0" collapsed="false">
      <c r="A50" s="120" t="n">
        <f aca="false">A49+1</f>
        <v>36936</v>
      </c>
      <c r="B50" s="131" t="str">
        <f aca="false">INDEX('Master Data'!$A$2:$B$8,MATCH(WEEKDAY('Rio Cuarto Power Trading'!A50,3),'Master Data'!$A$2:$A$8,0),2)</f>
        <v>W</v>
      </c>
      <c r="D50" s="124" t="n">
        <v>0</v>
      </c>
      <c r="E50" s="124" t="n">
        <v>0</v>
      </c>
      <c r="F50" s="124" t="n">
        <v>0</v>
      </c>
      <c r="G50" s="124" t="n">
        <v>0</v>
      </c>
      <c r="I50" s="124" t="n">
        <f aca="false">IF(MONTH($A50)=MONTH($A49),IF(G50=0,I49,G50),G50)</f>
        <v>0</v>
      </c>
      <c r="J50" s="124" t="n">
        <f aca="false">IF(MONTH($A50)=MONTH($A49),SUM(I50-I49),I50)</f>
        <v>0</v>
      </c>
      <c r="K50" s="124" t="n">
        <f aca="false">IF(WEEKDAY(A50,3)&gt;4,0,(IF(A50&lt;K$2,0,IF(A50&lt;=K$3,1,0))))</f>
        <v>0</v>
      </c>
      <c r="L50" s="124" t="n">
        <f aca="false">J50*K50</f>
        <v>0</v>
      </c>
      <c r="M50" s="124" t="n">
        <f aca="false">SUM(J$6:J50)</f>
        <v>0</v>
      </c>
      <c r="N50" s="124" t="n">
        <f aca="false">SUM(J$6:J50)</f>
        <v>0</v>
      </c>
      <c r="P50" s="124" t="n">
        <f aca="false">D50/P$3</f>
        <v>0</v>
      </c>
      <c r="Q50" s="124" t="n">
        <f aca="false">E50/P$3</f>
        <v>0</v>
      </c>
      <c r="R50" s="124" t="n">
        <f aca="false">F50/R$3</f>
        <v>0</v>
      </c>
      <c r="S50" s="126" t="n">
        <f aca="false">J50/$R$3</f>
        <v>0</v>
      </c>
      <c r="T50" s="126" t="n">
        <f aca="false">L50/$R$3</f>
        <v>0</v>
      </c>
      <c r="U50" s="126" t="n">
        <f aca="false">I50/$R$3</f>
        <v>0</v>
      </c>
      <c r="V50" s="126" t="n">
        <f aca="false">M50/$R$3</f>
        <v>0</v>
      </c>
      <c r="W50" s="126" t="n">
        <f aca="false">N50/$R$3</f>
        <v>0</v>
      </c>
    </row>
    <row r="51" customFormat="false" ht="12.75" hidden="true" customHeight="false" outlineLevel="0" collapsed="false">
      <c r="A51" s="120" t="n">
        <f aca="false">A50+1</f>
        <v>36937</v>
      </c>
      <c r="B51" s="131" t="str">
        <f aca="false">INDEX('Master Data'!$A$2:$B$8,MATCH(WEEKDAY('Rio Cuarto Power Trading'!A51,3),'Master Data'!$A$2:$A$8,0),2)</f>
        <v>Th</v>
      </c>
      <c r="D51" s="124" t="n">
        <v>0</v>
      </c>
      <c r="E51" s="124" t="n">
        <v>0</v>
      </c>
      <c r="F51" s="124" t="n">
        <v>0</v>
      </c>
      <c r="G51" s="124" t="n">
        <v>0</v>
      </c>
      <c r="I51" s="124" t="n">
        <f aca="false">IF(MONTH($A51)=MONTH($A50),IF(G51=0,I50,G51),G51)</f>
        <v>0</v>
      </c>
      <c r="J51" s="124" t="n">
        <f aca="false">IF(MONTH($A51)=MONTH($A50),SUM(I51-I50),I51)</f>
        <v>0</v>
      </c>
      <c r="K51" s="124" t="n">
        <f aca="false">IF(WEEKDAY(A51,3)&gt;4,0,(IF(A51&lt;K$2,0,IF(A51&lt;=K$3,1,0))))</f>
        <v>0</v>
      </c>
      <c r="L51" s="124" t="n">
        <f aca="false">J51*K51</f>
        <v>0</v>
      </c>
      <c r="M51" s="124" t="n">
        <f aca="false">SUM(J$6:J51)</f>
        <v>0</v>
      </c>
      <c r="N51" s="124" t="n">
        <f aca="false">SUM(J$6:J51)</f>
        <v>0</v>
      </c>
      <c r="P51" s="124" t="n">
        <f aca="false">D51/P$3</f>
        <v>0</v>
      </c>
      <c r="Q51" s="124" t="n">
        <f aca="false">E51/P$3</f>
        <v>0</v>
      </c>
      <c r="R51" s="124" t="n">
        <f aca="false">F51/R$3</f>
        <v>0</v>
      </c>
      <c r="S51" s="126" t="n">
        <f aca="false">J51/$R$3</f>
        <v>0</v>
      </c>
      <c r="T51" s="126" t="n">
        <f aca="false">L51/$R$3</f>
        <v>0</v>
      </c>
      <c r="U51" s="126" t="n">
        <f aca="false">I51/$R$3</f>
        <v>0</v>
      </c>
      <c r="V51" s="126" t="n">
        <f aca="false">M51/$R$3</f>
        <v>0</v>
      </c>
      <c r="W51" s="126" t="n">
        <f aca="false">N51/$R$3</f>
        <v>0</v>
      </c>
    </row>
    <row r="52" customFormat="false" ht="12.75" hidden="true" customHeight="false" outlineLevel="0" collapsed="false">
      <c r="A52" s="120" t="n">
        <f aca="false">A51+1</f>
        <v>36938</v>
      </c>
      <c r="B52" s="131" t="str">
        <f aca="false">INDEX('Master Data'!$A$2:$B$8,MATCH(WEEKDAY('Rio Cuarto Power Trading'!A52,3),'Master Data'!$A$2:$A$8,0),2)</f>
        <v>F</v>
      </c>
      <c r="D52" s="124" t="n">
        <v>0</v>
      </c>
      <c r="E52" s="124" t="n">
        <v>0</v>
      </c>
      <c r="F52" s="124" t="n">
        <v>0</v>
      </c>
      <c r="G52" s="124" t="n">
        <v>0</v>
      </c>
      <c r="I52" s="124" t="n">
        <f aca="false">IF(MONTH($A52)=MONTH($A51),IF(G52=0,I51,G52),G52)</f>
        <v>0</v>
      </c>
      <c r="J52" s="124" t="n">
        <f aca="false">IF(MONTH($A52)=MONTH($A51),SUM(I52-I51),I52)</f>
        <v>0</v>
      </c>
      <c r="K52" s="124" t="n">
        <f aca="false">IF(WEEKDAY(A52,3)&gt;4,0,(IF(A52&lt;K$2,0,IF(A52&lt;=K$3,1,0))))</f>
        <v>0</v>
      </c>
      <c r="L52" s="124" t="n">
        <f aca="false">J52*K52</f>
        <v>0</v>
      </c>
      <c r="M52" s="124" t="n">
        <f aca="false">SUM(J$6:J52)</f>
        <v>0</v>
      </c>
      <c r="N52" s="124" t="n">
        <f aca="false">SUM(J$6:J52)</f>
        <v>0</v>
      </c>
      <c r="P52" s="124" t="n">
        <f aca="false">D52/P$3</f>
        <v>0</v>
      </c>
      <c r="Q52" s="124" t="n">
        <f aca="false">E52/P$3</f>
        <v>0</v>
      </c>
      <c r="R52" s="124" t="n">
        <f aca="false">F52/R$3</f>
        <v>0</v>
      </c>
      <c r="S52" s="126" t="n">
        <f aca="false">J52/$R$3</f>
        <v>0</v>
      </c>
      <c r="T52" s="126" t="n">
        <f aca="false">L52/$R$3</f>
        <v>0</v>
      </c>
      <c r="U52" s="126" t="n">
        <f aca="false">I52/$R$3</f>
        <v>0</v>
      </c>
      <c r="V52" s="126" t="n">
        <f aca="false">M52/$R$3</f>
        <v>0</v>
      </c>
      <c r="W52" s="126" t="n">
        <f aca="false">N52/$R$3</f>
        <v>0</v>
      </c>
    </row>
    <row r="53" customFormat="false" ht="12.75" hidden="true" customHeight="false" outlineLevel="0" collapsed="false">
      <c r="A53" s="120" t="n">
        <f aca="false">A52+1</f>
        <v>36939</v>
      </c>
      <c r="B53" s="131" t="str">
        <f aca="false">INDEX('Master Data'!$A$2:$B$8,MATCH(WEEKDAY('Rio Cuarto Power Trading'!A53,3),'Master Data'!$A$2:$A$8,0),2)</f>
        <v>Sa</v>
      </c>
      <c r="D53" s="124" t="n">
        <v>0</v>
      </c>
      <c r="E53" s="124" t="n">
        <v>0</v>
      </c>
      <c r="F53" s="124" t="n">
        <v>0</v>
      </c>
      <c r="G53" s="124" t="n">
        <v>0</v>
      </c>
      <c r="I53" s="124" t="n">
        <f aca="false">IF(MONTH($A53)=MONTH($A52),IF(G53=0,I52,G53),G53)</f>
        <v>0</v>
      </c>
      <c r="J53" s="124" t="n">
        <f aca="false">IF(MONTH($A53)=MONTH($A52),SUM(I53-I52),I53)</f>
        <v>0</v>
      </c>
      <c r="K53" s="124" t="n">
        <f aca="false">IF(WEEKDAY(A53,3)&gt;4,0,(IF(A53&lt;K$2,0,IF(A53&lt;=K$3,1,0))))</f>
        <v>0</v>
      </c>
      <c r="L53" s="124" t="n">
        <f aca="false">J53*K53</f>
        <v>0</v>
      </c>
      <c r="M53" s="124" t="n">
        <f aca="false">SUM(J$6:J53)</f>
        <v>0</v>
      </c>
      <c r="N53" s="124" t="n">
        <f aca="false">SUM(J$6:J53)</f>
        <v>0</v>
      </c>
      <c r="P53" s="124" t="n">
        <f aca="false">D53/P$3</f>
        <v>0</v>
      </c>
      <c r="Q53" s="124" t="n">
        <f aca="false">E53/P$3</f>
        <v>0</v>
      </c>
      <c r="R53" s="124" t="n">
        <f aca="false">F53/R$3</f>
        <v>0</v>
      </c>
      <c r="S53" s="126" t="n">
        <f aca="false">J53/$R$3</f>
        <v>0</v>
      </c>
      <c r="T53" s="126" t="n">
        <f aca="false">L53/$R$3</f>
        <v>0</v>
      </c>
      <c r="U53" s="126" t="n">
        <f aca="false">I53/$R$3</f>
        <v>0</v>
      </c>
      <c r="V53" s="126" t="n">
        <f aca="false">M53/$R$3</f>
        <v>0</v>
      </c>
      <c r="W53" s="126" t="n">
        <f aca="false">N53/$R$3</f>
        <v>0</v>
      </c>
    </row>
    <row r="54" customFormat="false" ht="12.75" hidden="true" customHeight="false" outlineLevel="0" collapsed="false">
      <c r="A54" s="120" t="n">
        <f aca="false">A53+1</f>
        <v>36940</v>
      </c>
      <c r="B54" s="131" t="str">
        <f aca="false">INDEX('Master Data'!$A$2:$B$8,MATCH(WEEKDAY('Rio Cuarto Power Trading'!A54,3),'Master Data'!$A$2:$A$8,0),2)</f>
        <v>Su</v>
      </c>
      <c r="D54" s="124" t="n">
        <v>0</v>
      </c>
      <c r="E54" s="124" t="n">
        <v>0</v>
      </c>
      <c r="F54" s="124" t="n">
        <v>0</v>
      </c>
      <c r="G54" s="124" t="n">
        <v>0</v>
      </c>
      <c r="I54" s="124" t="n">
        <f aca="false">IF(MONTH($A54)=MONTH($A53),IF(G54=0,I53,G54),G54)</f>
        <v>0</v>
      </c>
      <c r="J54" s="124" t="n">
        <f aca="false">IF(MONTH($A54)=MONTH($A53),SUM(I54-I53),I54)</f>
        <v>0</v>
      </c>
      <c r="K54" s="124" t="n">
        <f aca="false">IF(WEEKDAY(A54,3)&gt;4,0,(IF(A54&lt;K$2,0,IF(A54&lt;=K$3,1,0))))</f>
        <v>0</v>
      </c>
      <c r="L54" s="124" t="n">
        <f aca="false">J54*K54</f>
        <v>0</v>
      </c>
      <c r="M54" s="124" t="n">
        <f aca="false">SUM(J$6:J54)</f>
        <v>0</v>
      </c>
      <c r="N54" s="124" t="n">
        <f aca="false">SUM(J$6:J54)</f>
        <v>0</v>
      </c>
      <c r="P54" s="124" t="n">
        <f aca="false">D54/P$3</f>
        <v>0</v>
      </c>
      <c r="Q54" s="124" t="n">
        <f aca="false">E54/P$3</f>
        <v>0</v>
      </c>
      <c r="R54" s="124" t="n">
        <f aca="false">F54/R$3</f>
        <v>0</v>
      </c>
      <c r="S54" s="126" t="n">
        <f aca="false">J54/$R$3</f>
        <v>0</v>
      </c>
      <c r="T54" s="126" t="n">
        <f aca="false">L54/$R$3</f>
        <v>0</v>
      </c>
      <c r="U54" s="126" t="n">
        <f aca="false">I54/$R$3</f>
        <v>0</v>
      </c>
      <c r="V54" s="126" t="n">
        <f aca="false">M54/$R$3</f>
        <v>0</v>
      </c>
      <c r="W54" s="126" t="n">
        <f aca="false">N54/$R$3</f>
        <v>0</v>
      </c>
    </row>
    <row r="55" customFormat="false" ht="12.75" hidden="true" customHeight="false" outlineLevel="0" collapsed="false">
      <c r="A55" s="120" t="n">
        <f aca="false">A54+1</f>
        <v>36941</v>
      </c>
      <c r="B55" s="131" t="str">
        <f aca="false">INDEX('Master Data'!$A$2:$B$8,MATCH(WEEKDAY('Rio Cuarto Power Trading'!A55,3),'Master Data'!$A$2:$A$8,0),2)</f>
        <v>M</v>
      </c>
      <c r="D55" s="124" t="n">
        <v>0</v>
      </c>
      <c r="E55" s="124" t="n">
        <v>0</v>
      </c>
      <c r="F55" s="124" t="n">
        <v>0</v>
      </c>
      <c r="G55" s="124" t="n">
        <v>0</v>
      </c>
      <c r="I55" s="124" t="n">
        <f aca="false">IF(MONTH($A55)=MONTH($A54),IF(G55=0,I54,G55),G55)</f>
        <v>0</v>
      </c>
      <c r="J55" s="124" t="n">
        <f aca="false">IF(MONTH($A55)=MONTH($A54),SUM(I55-I54),I55)</f>
        <v>0</v>
      </c>
      <c r="K55" s="124" t="n">
        <f aca="false">IF(WEEKDAY(A55,3)&gt;4,0,(IF(A55&lt;K$2,0,IF(A55&lt;=K$3,1,0))))</f>
        <v>0</v>
      </c>
      <c r="L55" s="124" t="n">
        <f aca="false">J55*K55</f>
        <v>0</v>
      </c>
      <c r="M55" s="124" t="n">
        <f aca="false">SUM(J$6:J55)</f>
        <v>0</v>
      </c>
      <c r="N55" s="124" t="n">
        <f aca="false">SUM(J$6:J55)</f>
        <v>0</v>
      </c>
      <c r="P55" s="124" t="n">
        <f aca="false">D55/P$3</f>
        <v>0</v>
      </c>
      <c r="Q55" s="124" t="n">
        <f aca="false">E55/P$3</f>
        <v>0</v>
      </c>
      <c r="R55" s="124" t="n">
        <f aca="false">F55/R$3</f>
        <v>0</v>
      </c>
      <c r="S55" s="126" t="n">
        <f aca="false">J55/$R$3</f>
        <v>0</v>
      </c>
      <c r="T55" s="126" t="n">
        <f aca="false">L55/$R$3</f>
        <v>0</v>
      </c>
      <c r="U55" s="126" t="n">
        <f aca="false">I55/$R$3</f>
        <v>0</v>
      </c>
      <c r="V55" s="126" t="n">
        <f aca="false">M55/$R$3</f>
        <v>0</v>
      </c>
      <c r="W55" s="126" t="n">
        <f aca="false">N55/$R$3</f>
        <v>0</v>
      </c>
    </row>
    <row r="56" customFormat="false" ht="12.75" hidden="true" customHeight="false" outlineLevel="0" collapsed="false">
      <c r="A56" s="120" t="n">
        <f aca="false">A55+1</f>
        <v>36942</v>
      </c>
      <c r="B56" s="131" t="str">
        <f aca="false">INDEX('Master Data'!$A$2:$B$8,MATCH(WEEKDAY('Rio Cuarto Power Trading'!A56,3),'Master Data'!$A$2:$A$8,0),2)</f>
        <v>T</v>
      </c>
      <c r="D56" s="124" t="n">
        <v>0</v>
      </c>
      <c r="E56" s="124" t="n">
        <v>0</v>
      </c>
      <c r="F56" s="124" t="n">
        <v>0</v>
      </c>
      <c r="G56" s="124" t="n">
        <v>0</v>
      </c>
      <c r="I56" s="124" t="n">
        <f aca="false">IF(MONTH($A56)=MONTH($A55),IF(G56=0,I55,G56),G56)</f>
        <v>0</v>
      </c>
      <c r="J56" s="124" t="n">
        <f aca="false">IF(MONTH($A56)=MONTH($A55),SUM(I56-I55),I56)</f>
        <v>0</v>
      </c>
      <c r="K56" s="124" t="n">
        <f aca="false">IF(WEEKDAY(A56,3)&gt;4,0,(IF(A56&lt;K$2,0,IF(A56&lt;=K$3,1,0))))</f>
        <v>0</v>
      </c>
      <c r="L56" s="124" t="n">
        <f aca="false">J56*K56</f>
        <v>0</v>
      </c>
      <c r="M56" s="124" t="n">
        <f aca="false">SUM(J$6:J56)</f>
        <v>0</v>
      </c>
      <c r="N56" s="124" t="n">
        <f aca="false">SUM(J$6:J56)</f>
        <v>0</v>
      </c>
      <c r="P56" s="124" t="n">
        <f aca="false">D56/P$3</f>
        <v>0</v>
      </c>
      <c r="Q56" s="124" t="n">
        <f aca="false">E56/P$3</f>
        <v>0</v>
      </c>
      <c r="R56" s="124" t="n">
        <f aca="false">F56/R$3</f>
        <v>0</v>
      </c>
      <c r="S56" s="126" t="n">
        <f aca="false">J56/$R$3</f>
        <v>0</v>
      </c>
      <c r="T56" s="126" t="n">
        <f aca="false">L56/$R$3</f>
        <v>0</v>
      </c>
      <c r="U56" s="126" t="n">
        <f aca="false">I56/$R$3</f>
        <v>0</v>
      </c>
      <c r="V56" s="126" t="n">
        <f aca="false">M56/$R$3</f>
        <v>0</v>
      </c>
      <c r="W56" s="126" t="n">
        <f aca="false">N56/$R$3</f>
        <v>0</v>
      </c>
    </row>
    <row r="57" customFormat="false" ht="12.75" hidden="true" customHeight="false" outlineLevel="0" collapsed="false">
      <c r="A57" s="120" t="n">
        <f aca="false">A56+1</f>
        <v>36943</v>
      </c>
      <c r="B57" s="131" t="str">
        <f aca="false">INDEX('Master Data'!$A$2:$B$8,MATCH(WEEKDAY('Rio Cuarto Power Trading'!A57,3),'Master Data'!$A$2:$A$8,0),2)</f>
        <v>W</v>
      </c>
      <c r="D57" s="124" t="n">
        <v>0</v>
      </c>
      <c r="E57" s="124" t="n">
        <v>0</v>
      </c>
      <c r="F57" s="124" t="n">
        <v>0</v>
      </c>
      <c r="G57" s="124" t="n">
        <v>0</v>
      </c>
      <c r="I57" s="124" t="n">
        <f aca="false">IF(MONTH($A57)=MONTH($A56),IF(G57=0,I56,G57),G57)</f>
        <v>0</v>
      </c>
      <c r="J57" s="124" t="n">
        <f aca="false">IF(MONTH($A57)=MONTH($A56),SUM(I57-I56),I57)</f>
        <v>0</v>
      </c>
      <c r="K57" s="124" t="n">
        <f aca="false">IF(WEEKDAY(A57,3)&gt;4,0,(IF(A57&lt;K$2,0,IF(A57&lt;=K$3,1,0))))</f>
        <v>0</v>
      </c>
      <c r="L57" s="124" t="n">
        <f aca="false">J57*K57</f>
        <v>0</v>
      </c>
      <c r="M57" s="124" t="n">
        <f aca="false">SUM(J$6:J57)</f>
        <v>0</v>
      </c>
      <c r="N57" s="124" t="n">
        <f aca="false">SUM(J$6:J57)</f>
        <v>0</v>
      </c>
      <c r="P57" s="124" t="n">
        <f aca="false">D57/P$3</f>
        <v>0</v>
      </c>
      <c r="Q57" s="124" t="n">
        <f aca="false">E57/P$3</f>
        <v>0</v>
      </c>
      <c r="R57" s="124" t="n">
        <f aca="false">F57/R$3</f>
        <v>0</v>
      </c>
      <c r="S57" s="126" t="n">
        <f aca="false">J57/$R$3</f>
        <v>0</v>
      </c>
      <c r="T57" s="126" t="n">
        <f aca="false">L57/$R$3</f>
        <v>0</v>
      </c>
      <c r="U57" s="126" t="n">
        <f aca="false">I57/$R$3</f>
        <v>0</v>
      </c>
      <c r="V57" s="126" t="n">
        <f aca="false">M57/$R$3</f>
        <v>0</v>
      </c>
      <c r="W57" s="126" t="n">
        <f aca="false">N57/$R$3</f>
        <v>0</v>
      </c>
    </row>
    <row r="58" customFormat="false" ht="12.75" hidden="true" customHeight="false" outlineLevel="0" collapsed="false">
      <c r="A58" s="120" t="n">
        <f aca="false">A57+1</f>
        <v>36944</v>
      </c>
      <c r="B58" s="131" t="str">
        <f aca="false">INDEX('Master Data'!$A$2:$B$8,MATCH(WEEKDAY('Rio Cuarto Power Trading'!A58,3),'Master Data'!$A$2:$A$8,0),2)</f>
        <v>Th</v>
      </c>
      <c r="D58" s="124" t="n">
        <v>0</v>
      </c>
      <c r="E58" s="124" t="n">
        <v>0</v>
      </c>
      <c r="F58" s="124" t="n">
        <v>0</v>
      </c>
      <c r="G58" s="124" t="n">
        <v>0</v>
      </c>
      <c r="I58" s="124" t="n">
        <f aca="false">IF(MONTH($A58)=MONTH($A57),IF(G58=0,I57,G58),G58)</f>
        <v>0</v>
      </c>
      <c r="J58" s="124" t="n">
        <f aca="false">IF(MONTH($A58)=MONTH($A57),SUM(I58-I57),I58)</f>
        <v>0</v>
      </c>
      <c r="K58" s="124" t="n">
        <f aca="false">IF(WEEKDAY(A58,3)&gt;4,0,(IF(A58&lt;K$2,0,IF(A58&lt;=K$3,1,0))))</f>
        <v>0</v>
      </c>
      <c r="L58" s="124" t="n">
        <f aca="false">J58*K58</f>
        <v>0</v>
      </c>
      <c r="M58" s="124" t="n">
        <f aca="false">SUM(J$6:J58)</f>
        <v>0</v>
      </c>
      <c r="N58" s="124" t="n">
        <f aca="false">SUM(J$6:J58)</f>
        <v>0</v>
      </c>
      <c r="P58" s="124" t="n">
        <f aca="false">D58/P$3</f>
        <v>0</v>
      </c>
      <c r="Q58" s="124" t="n">
        <f aca="false">E58/P$3</f>
        <v>0</v>
      </c>
      <c r="R58" s="124" t="n">
        <f aca="false">F58/R$3</f>
        <v>0</v>
      </c>
      <c r="S58" s="126" t="n">
        <f aca="false">J58/$R$3</f>
        <v>0</v>
      </c>
      <c r="T58" s="126" t="n">
        <f aca="false">L58/$R$3</f>
        <v>0</v>
      </c>
      <c r="U58" s="126" t="n">
        <f aca="false">I58/$R$3</f>
        <v>0</v>
      </c>
      <c r="V58" s="126" t="n">
        <f aca="false">M58/$R$3</f>
        <v>0</v>
      </c>
      <c r="W58" s="126" t="n">
        <f aca="false">N58/$R$3</f>
        <v>0</v>
      </c>
    </row>
    <row r="59" customFormat="false" ht="12.75" hidden="true" customHeight="false" outlineLevel="0" collapsed="false">
      <c r="A59" s="120" t="n">
        <f aca="false">A58+1</f>
        <v>36945</v>
      </c>
      <c r="B59" s="131" t="str">
        <f aca="false">INDEX('Master Data'!$A$2:$B$8,MATCH(WEEKDAY('Rio Cuarto Power Trading'!A59,3),'Master Data'!$A$2:$A$8,0),2)</f>
        <v>F</v>
      </c>
      <c r="D59" s="124" t="n">
        <v>0</v>
      </c>
      <c r="E59" s="124" t="n">
        <v>0</v>
      </c>
      <c r="F59" s="124" t="n">
        <v>0</v>
      </c>
      <c r="G59" s="124" t="n">
        <v>0</v>
      </c>
      <c r="I59" s="124" t="n">
        <f aca="false">IF(MONTH($A59)=MONTH($A58),IF(G59=0,I58,G59),G59)</f>
        <v>0</v>
      </c>
      <c r="J59" s="124" t="n">
        <f aca="false">IF(MONTH($A59)=MONTH($A58),SUM(I59-I58),I59)</f>
        <v>0</v>
      </c>
      <c r="K59" s="124" t="n">
        <f aca="false">IF(WEEKDAY(A59,3)&gt;4,0,(IF(A59&lt;K$2,0,IF(A59&lt;=K$3,1,0))))</f>
        <v>0</v>
      </c>
      <c r="L59" s="124" t="n">
        <f aca="false">J59*K59</f>
        <v>0</v>
      </c>
      <c r="M59" s="124" t="n">
        <f aca="false">SUM(J$6:J59)</f>
        <v>0</v>
      </c>
      <c r="N59" s="124" t="n">
        <f aca="false">SUM(J$6:J59)</f>
        <v>0</v>
      </c>
      <c r="P59" s="124" t="n">
        <f aca="false">D59/P$3</f>
        <v>0</v>
      </c>
      <c r="Q59" s="124" t="n">
        <f aca="false">E59/P$3</f>
        <v>0</v>
      </c>
      <c r="R59" s="124" t="n">
        <f aca="false">F59/R$3</f>
        <v>0</v>
      </c>
      <c r="S59" s="126" t="n">
        <f aca="false">J59/$R$3</f>
        <v>0</v>
      </c>
      <c r="T59" s="126" t="n">
        <f aca="false">L59/$R$3</f>
        <v>0</v>
      </c>
      <c r="U59" s="126" t="n">
        <f aca="false">I59/$R$3</f>
        <v>0</v>
      </c>
      <c r="V59" s="126" t="n">
        <f aca="false">M59/$R$3</f>
        <v>0</v>
      </c>
      <c r="W59" s="126" t="n">
        <f aca="false">N59/$R$3</f>
        <v>0</v>
      </c>
    </row>
    <row r="60" customFormat="false" ht="12.75" hidden="true" customHeight="false" outlineLevel="0" collapsed="false">
      <c r="A60" s="120" t="n">
        <f aca="false">A59+1</f>
        <v>36946</v>
      </c>
      <c r="B60" s="131" t="str">
        <f aca="false">INDEX('Master Data'!$A$2:$B$8,MATCH(WEEKDAY('Rio Cuarto Power Trading'!A60,3),'Master Data'!$A$2:$A$8,0),2)</f>
        <v>Sa</v>
      </c>
      <c r="D60" s="124" t="n">
        <v>0</v>
      </c>
      <c r="E60" s="124" t="n">
        <v>0</v>
      </c>
      <c r="F60" s="124" t="n">
        <v>0</v>
      </c>
      <c r="G60" s="124" t="n">
        <v>0</v>
      </c>
      <c r="I60" s="124" t="n">
        <f aca="false">IF(MONTH($A60)=MONTH($A59),IF(G60=0,I59,G60),G60)</f>
        <v>0</v>
      </c>
      <c r="J60" s="124" t="n">
        <f aca="false">IF(MONTH($A60)=MONTH($A59),SUM(I60-I59),I60)</f>
        <v>0</v>
      </c>
      <c r="K60" s="124" t="n">
        <f aca="false">IF(WEEKDAY(A60,3)&gt;4,0,(IF(A60&lt;K$2,0,IF(A60&lt;=K$3,1,0))))</f>
        <v>0</v>
      </c>
      <c r="L60" s="124" t="n">
        <f aca="false">J60*K60</f>
        <v>0</v>
      </c>
      <c r="M60" s="124" t="n">
        <f aca="false">SUM(J$6:J60)</f>
        <v>0</v>
      </c>
      <c r="N60" s="124" t="n">
        <f aca="false">SUM(J$6:J60)</f>
        <v>0</v>
      </c>
      <c r="P60" s="124" t="n">
        <f aca="false">D60/P$3</f>
        <v>0</v>
      </c>
      <c r="Q60" s="124" t="n">
        <f aca="false">E60/P$3</f>
        <v>0</v>
      </c>
      <c r="R60" s="124" t="n">
        <f aca="false">F60/R$3</f>
        <v>0</v>
      </c>
      <c r="S60" s="126" t="n">
        <f aca="false">J60/$R$3</f>
        <v>0</v>
      </c>
      <c r="T60" s="126" t="n">
        <f aca="false">L60/$R$3</f>
        <v>0</v>
      </c>
      <c r="U60" s="126" t="n">
        <f aca="false">I60/$R$3</f>
        <v>0</v>
      </c>
      <c r="V60" s="126" t="n">
        <f aca="false">M60/$R$3</f>
        <v>0</v>
      </c>
      <c r="W60" s="126" t="n">
        <f aca="false">N60/$R$3</f>
        <v>0</v>
      </c>
    </row>
    <row r="61" customFormat="false" ht="12.75" hidden="true" customHeight="false" outlineLevel="0" collapsed="false">
      <c r="A61" s="120" t="n">
        <f aca="false">A60+1</f>
        <v>36947</v>
      </c>
      <c r="B61" s="131" t="str">
        <f aca="false">INDEX('Master Data'!$A$2:$B$8,MATCH(WEEKDAY('Rio Cuarto Power Trading'!A61,3),'Master Data'!$A$2:$A$8,0),2)</f>
        <v>Su</v>
      </c>
      <c r="D61" s="124" t="n">
        <v>0</v>
      </c>
      <c r="E61" s="124" t="n">
        <v>0</v>
      </c>
      <c r="F61" s="124" t="n">
        <v>0</v>
      </c>
      <c r="G61" s="124" t="n">
        <v>0</v>
      </c>
      <c r="I61" s="124" t="n">
        <f aca="false">IF(MONTH($A61)=MONTH($A60),IF(G61=0,I60,G61),G61)</f>
        <v>0</v>
      </c>
      <c r="J61" s="124" t="n">
        <f aca="false">IF(MONTH($A61)=MONTH($A60),SUM(I61-I60),I61)</f>
        <v>0</v>
      </c>
      <c r="K61" s="124" t="n">
        <f aca="false">IF(WEEKDAY(A61,3)&gt;4,0,(IF(A61&lt;K$2,0,IF(A61&lt;=K$3,1,0))))</f>
        <v>0</v>
      </c>
      <c r="L61" s="124" t="n">
        <f aca="false">J61*K61</f>
        <v>0</v>
      </c>
      <c r="M61" s="124" t="n">
        <f aca="false">SUM(J$6:J61)</f>
        <v>0</v>
      </c>
      <c r="N61" s="124" t="n">
        <f aca="false">SUM(J$6:J61)</f>
        <v>0</v>
      </c>
      <c r="P61" s="124" t="n">
        <f aca="false">D61/P$3</f>
        <v>0</v>
      </c>
      <c r="Q61" s="124" t="n">
        <f aca="false">E61/P$3</f>
        <v>0</v>
      </c>
      <c r="R61" s="124" t="n">
        <f aca="false">F61/R$3</f>
        <v>0</v>
      </c>
      <c r="S61" s="126" t="n">
        <f aca="false">J61/$R$3</f>
        <v>0</v>
      </c>
      <c r="T61" s="126" t="n">
        <f aca="false">L61/$R$3</f>
        <v>0</v>
      </c>
      <c r="U61" s="126" t="n">
        <f aca="false">I61/$R$3</f>
        <v>0</v>
      </c>
      <c r="V61" s="126" t="n">
        <f aca="false">M61/$R$3</f>
        <v>0</v>
      </c>
      <c r="W61" s="126" t="n">
        <f aca="false">N61/$R$3</f>
        <v>0</v>
      </c>
    </row>
    <row r="62" customFormat="false" ht="12.75" hidden="true" customHeight="false" outlineLevel="0" collapsed="false">
      <c r="A62" s="120" t="n">
        <f aca="false">A61+1</f>
        <v>36948</v>
      </c>
      <c r="B62" s="131" t="str">
        <f aca="false">INDEX('Master Data'!$A$2:$B$8,MATCH(WEEKDAY('Rio Cuarto Power Trading'!A62,3),'Master Data'!$A$2:$A$8,0),2)</f>
        <v>M</v>
      </c>
      <c r="D62" s="124" t="n">
        <v>0</v>
      </c>
      <c r="E62" s="124" t="n">
        <v>0</v>
      </c>
      <c r="F62" s="124" t="n">
        <v>0</v>
      </c>
      <c r="G62" s="124" t="n">
        <v>0</v>
      </c>
      <c r="I62" s="124" t="n">
        <f aca="false">IF(MONTH($A62)=MONTH($A61),IF(G62=0,I61,G62),G62)</f>
        <v>0</v>
      </c>
      <c r="J62" s="124" t="n">
        <f aca="false">IF(MONTH($A62)=MONTH($A61),SUM(I62-I61),I62)</f>
        <v>0</v>
      </c>
      <c r="K62" s="124" t="n">
        <f aca="false">IF(WEEKDAY(A62,3)&gt;4,0,(IF(A62&lt;K$2,0,IF(A62&lt;=K$3,1,0))))</f>
        <v>0</v>
      </c>
      <c r="L62" s="124" t="n">
        <f aca="false">J62*K62</f>
        <v>0</v>
      </c>
      <c r="M62" s="124" t="n">
        <f aca="false">SUM(J$6:J62)</f>
        <v>0</v>
      </c>
      <c r="N62" s="124" t="n">
        <f aca="false">SUM(J$6:J62)</f>
        <v>0</v>
      </c>
      <c r="P62" s="124" t="n">
        <f aca="false">D62/P$3</f>
        <v>0</v>
      </c>
      <c r="Q62" s="124" t="n">
        <f aca="false">E62/P$3</f>
        <v>0</v>
      </c>
      <c r="R62" s="124" t="n">
        <f aca="false">F62/R$3</f>
        <v>0</v>
      </c>
      <c r="S62" s="126" t="n">
        <f aca="false">J62/$R$3</f>
        <v>0</v>
      </c>
      <c r="T62" s="126" t="n">
        <f aca="false">L62/$R$3</f>
        <v>0</v>
      </c>
      <c r="U62" s="126" t="n">
        <f aca="false">I62/$R$3</f>
        <v>0</v>
      </c>
      <c r="V62" s="126" t="n">
        <f aca="false">M62/$R$3</f>
        <v>0</v>
      </c>
      <c r="W62" s="126" t="n">
        <f aca="false">N62/$R$3</f>
        <v>0</v>
      </c>
    </row>
    <row r="63" customFormat="false" ht="12.75" hidden="true" customHeight="false" outlineLevel="0" collapsed="false">
      <c r="A63" s="120" t="n">
        <f aca="false">A62+1</f>
        <v>36949</v>
      </c>
      <c r="B63" s="131" t="str">
        <f aca="false">INDEX('Master Data'!$A$2:$B$8,MATCH(WEEKDAY('Rio Cuarto Power Trading'!A63,3),'Master Data'!$A$2:$A$8,0),2)</f>
        <v>T</v>
      </c>
      <c r="D63" s="124" t="n">
        <v>0</v>
      </c>
      <c r="E63" s="124" t="n">
        <v>0</v>
      </c>
      <c r="F63" s="124" t="n">
        <v>0</v>
      </c>
      <c r="G63" s="124" t="n">
        <v>0</v>
      </c>
      <c r="I63" s="124" t="n">
        <f aca="false">IF(MONTH($A63)=MONTH($A62),IF(G63=0,I62,G63),G63)</f>
        <v>0</v>
      </c>
      <c r="J63" s="124" t="n">
        <f aca="false">IF(MONTH($A63)=MONTH($A62),SUM(I63-I62),I63)</f>
        <v>0</v>
      </c>
      <c r="K63" s="124" t="n">
        <f aca="false">IF(WEEKDAY(A63,3)&gt;4,0,(IF(A63&lt;K$2,0,IF(A63&lt;=K$3,1,0))))</f>
        <v>0</v>
      </c>
      <c r="L63" s="124" t="n">
        <f aca="false">J63*K63</f>
        <v>0</v>
      </c>
      <c r="M63" s="124" t="n">
        <f aca="false">SUM(J$6:J63)</f>
        <v>0</v>
      </c>
      <c r="N63" s="124" t="n">
        <f aca="false">SUM(J$6:J63)</f>
        <v>0</v>
      </c>
      <c r="P63" s="124" t="n">
        <f aca="false">D63/P$3</f>
        <v>0</v>
      </c>
      <c r="Q63" s="124" t="n">
        <f aca="false">E63/P$3</f>
        <v>0</v>
      </c>
      <c r="R63" s="124" t="n">
        <f aca="false">F63/R$3</f>
        <v>0</v>
      </c>
      <c r="S63" s="126" t="n">
        <f aca="false">J63/$R$3</f>
        <v>0</v>
      </c>
      <c r="T63" s="126" t="n">
        <f aca="false">L63/$R$3</f>
        <v>0</v>
      </c>
      <c r="U63" s="126" t="n">
        <f aca="false">I63/$R$3</f>
        <v>0</v>
      </c>
      <c r="V63" s="126" t="n">
        <f aca="false">M63/$R$3</f>
        <v>0</v>
      </c>
      <c r="W63" s="126" t="n">
        <f aca="false">N63/$R$3</f>
        <v>0</v>
      </c>
    </row>
    <row r="64" customFormat="false" ht="12.75" hidden="true" customHeight="false" outlineLevel="0" collapsed="false">
      <c r="A64" s="120" t="n">
        <f aca="false">A63+1</f>
        <v>36950</v>
      </c>
      <c r="B64" s="131" t="str">
        <f aca="false">INDEX('Master Data'!$A$2:$B$8,MATCH(WEEKDAY('Rio Cuarto Power Trading'!A64,3),'Master Data'!$A$2:$A$8,0),2)</f>
        <v>W</v>
      </c>
      <c r="D64" s="124" t="n">
        <v>0</v>
      </c>
      <c r="E64" s="124" t="n">
        <v>0</v>
      </c>
      <c r="F64" s="124" t="n">
        <v>0</v>
      </c>
      <c r="G64" s="124" t="n">
        <v>0</v>
      </c>
      <c r="I64" s="124" t="n">
        <f aca="false">IF(MONTH($A64)=MONTH($A63),IF(G64=0,I63,G64),G64)</f>
        <v>0</v>
      </c>
      <c r="J64" s="124" t="n">
        <f aca="false">IF(MONTH($A64)=MONTH($A63),SUM(I64-I63),I64)</f>
        <v>0</v>
      </c>
      <c r="K64" s="124" t="n">
        <f aca="false">IF(WEEKDAY(A64,3)&gt;4,0,(IF(A64&lt;K$2,0,IF(A64&lt;=K$3,1,0))))</f>
        <v>0</v>
      </c>
      <c r="L64" s="124" t="n">
        <f aca="false">J64*K64</f>
        <v>0</v>
      </c>
      <c r="M64" s="124" t="n">
        <f aca="false">SUM(J$6:J64)</f>
        <v>0</v>
      </c>
      <c r="N64" s="124" t="n">
        <f aca="false">SUM(J$6:J64)</f>
        <v>0</v>
      </c>
      <c r="P64" s="124" t="n">
        <f aca="false">D64/P$3</f>
        <v>0</v>
      </c>
      <c r="Q64" s="124" t="n">
        <f aca="false">E64/P$3</f>
        <v>0</v>
      </c>
      <c r="R64" s="124" t="n">
        <f aca="false">F64/R$3</f>
        <v>0</v>
      </c>
      <c r="S64" s="126" t="n">
        <f aca="false">J64/$R$3</f>
        <v>0</v>
      </c>
      <c r="T64" s="126" t="n">
        <f aca="false">L64/$R$3</f>
        <v>0</v>
      </c>
      <c r="U64" s="126" t="n">
        <f aca="false">I64/$R$3</f>
        <v>0</v>
      </c>
      <c r="V64" s="126" t="n">
        <f aca="false">M64/$R$3</f>
        <v>0</v>
      </c>
      <c r="W64" s="126" t="n">
        <f aca="false">N64/$R$3</f>
        <v>0</v>
      </c>
    </row>
    <row r="65" customFormat="false" ht="12.75" hidden="true" customHeight="false" outlineLevel="0" collapsed="false">
      <c r="A65" s="120" t="n">
        <f aca="false">A64+1</f>
        <v>36951</v>
      </c>
      <c r="B65" s="131" t="str">
        <f aca="false">INDEX('Master Data'!$A$2:$B$8,MATCH(WEEKDAY('Rio Cuarto Power Trading'!A65,3),'Master Data'!$A$2:$A$8,0),2)</f>
        <v>Th</v>
      </c>
      <c r="D65" s="124" t="n">
        <v>0</v>
      </c>
      <c r="E65" s="124" t="n">
        <v>0</v>
      </c>
      <c r="F65" s="124" t="n">
        <v>0</v>
      </c>
      <c r="G65" s="124" t="n">
        <v>0</v>
      </c>
      <c r="I65" s="124" t="n">
        <f aca="false">IF(MONTH($A65)=MONTH($A64),IF(G65=0,I64,G65),G65)</f>
        <v>0</v>
      </c>
      <c r="J65" s="124" t="n">
        <f aca="false">IF(MONTH($A65)=MONTH($A64),SUM(I65-I64),I65)</f>
        <v>0</v>
      </c>
      <c r="K65" s="124" t="n">
        <f aca="false">IF(WEEKDAY(A65,3)&gt;4,0,(IF(A65&lt;K$2,0,IF(A65&lt;=K$3,1,0))))</f>
        <v>0</v>
      </c>
      <c r="L65" s="124" t="n">
        <f aca="false">J65*K65</f>
        <v>0</v>
      </c>
      <c r="M65" s="124" t="n">
        <f aca="false">SUM(J$6:J65)</f>
        <v>0</v>
      </c>
      <c r="N65" s="124" t="n">
        <f aca="false">SUM(J$6:J65)</f>
        <v>0</v>
      </c>
      <c r="P65" s="124" t="n">
        <f aca="false">D65/P$3</f>
        <v>0</v>
      </c>
      <c r="Q65" s="124" t="n">
        <f aca="false">E65/P$3</f>
        <v>0</v>
      </c>
      <c r="R65" s="124" t="n">
        <f aca="false">F65/R$3</f>
        <v>0</v>
      </c>
      <c r="S65" s="126" t="n">
        <f aca="false">J65/$R$3</f>
        <v>0</v>
      </c>
      <c r="T65" s="126" t="n">
        <f aca="false">L65/$R$3</f>
        <v>0</v>
      </c>
      <c r="U65" s="126" t="n">
        <f aca="false">I65/$R$3</f>
        <v>0</v>
      </c>
      <c r="V65" s="126" t="n">
        <f aca="false">M65/$R$3</f>
        <v>0</v>
      </c>
      <c r="W65" s="126" t="n">
        <f aca="false">N65/$R$3</f>
        <v>0</v>
      </c>
    </row>
    <row r="66" customFormat="false" ht="12.75" hidden="true" customHeight="false" outlineLevel="0" collapsed="false">
      <c r="A66" s="120" t="n">
        <f aca="false">A65+1</f>
        <v>36952</v>
      </c>
      <c r="B66" s="131" t="str">
        <f aca="false">INDEX('Master Data'!$A$2:$B$8,MATCH(WEEKDAY('Rio Cuarto Power Trading'!A66,3),'Master Data'!$A$2:$A$8,0),2)</f>
        <v>F</v>
      </c>
      <c r="D66" s="124" t="n">
        <v>0</v>
      </c>
      <c r="E66" s="124" t="n">
        <v>0</v>
      </c>
      <c r="F66" s="124" t="n">
        <v>0</v>
      </c>
      <c r="G66" s="124" t="n">
        <v>0</v>
      </c>
      <c r="I66" s="124" t="n">
        <f aca="false">IF(MONTH($A66)=MONTH($A65),IF(G66=0,I65,G66),G66)</f>
        <v>0</v>
      </c>
      <c r="J66" s="124" t="n">
        <f aca="false">IF(MONTH($A66)=MONTH($A65),SUM(I66-I65),I66)</f>
        <v>0</v>
      </c>
      <c r="K66" s="124" t="n">
        <f aca="false">IF(WEEKDAY(A66,3)&gt;4,0,(IF(A66&lt;K$2,0,IF(A66&lt;=K$3,1,0))))</f>
        <v>0</v>
      </c>
      <c r="L66" s="124" t="n">
        <f aca="false">J66*K66</f>
        <v>0</v>
      </c>
      <c r="M66" s="124" t="n">
        <f aca="false">SUM(J$6:J66)</f>
        <v>0</v>
      </c>
      <c r="N66" s="124" t="n">
        <f aca="false">SUM(J$6:J66)</f>
        <v>0</v>
      </c>
      <c r="P66" s="124" t="n">
        <f aca="false">D66/P$3</f>
        <v>0</v>
      </c>
      <c r="Q66" s="124" t="n">
        <f aca="false">E66/P$3</f>
        <v>0</v>
      </c>
      <c r="R66" s="124" t="n">
        <f aca="false">F66/R$3</f>
        <v>0</v>
      </c>
      <c r="S66" s="126" t="n">
        <f aca="false">J66/$R$3</f>
        <v>0</v>
      </c>
      <c r="T66" s="126" t="n">
        <f aca="false">L66/$R$3</f>
        <v>0</v>
      </c>
      <c r="U66" s="126" t="n">
        <f aca="false">I66/$R$3</f>
        <v>0</v>
      </c>
      <c r="V66" s="126" t="n">
        <f aca="false">M66/$R$3</f>
        <v>0</v>
      </c>
      <c r="W66" s="126" t="n">
        <f aca="false">N66/$R$3</f>
        <v>0</v>
      </c>
    </row>
    <row r="67" customFormat="false" ht="12.75" hidden="true" customHeight="false" outlineLevel="0" collapsed="false">
      <c r="A67" s="120" t="n">
        <f aca="false">A66+1</f>
        <v>36953</v>
      </c>
      <c r="B67" s="131" t="str">
        <f aca="false">INDEX('Master Data'!$A$2:$B$8,MATCH(WEEKDAY('Rio Cuarto Power Trading'!A67,3),'Master Data'!$A$2:$A$8,0),2)</f>
        <v>Sa</v>
      </c>
      <c r="D67" s="124" t="n">
        <v>0</v>
      </c>
      <c r="E67" s="124" t="n">
        <v>0</v>
      </c>
      <c r="F67" s="124" t="n">
        <v>0</v>
      </c>
      <c r="G67" s="124" t="n">
        <v>0</v>
      </c>
      <c r="I67" s="124" t="n">
        <f aca="false">IF(MONTH($A67)=MONTH($A66),IF(G67=0,I66,G67),G67)</f>
        <v>0</v>
      </c>
      <c r="J67" s="124" t="n">
        <f aca="false">IF(MONTH($A67)=MONTH($A66),SUM(I67-I66),I67)</f>
        <v>0</v>
      </c>
      <c r="K67" s="124" t="n">
        <f aca="false">IF(WEEKDAY(A67,3)&gt;4,0,(IF(A67&lt;K$2,0,IF(A67&lt;=K$3,1,0))))</f>
        <v>0</v>
      </c>
      <c r="L67" s="124" t="n">
        <f aca="false">J67*K67</f>
        <v>0</v>
      </c>
      <c r="M67" s="124" t="n">
        <f aca="false">SUM(J$6:J67)</f>
        <v>0</v>
      </c>
      <c r="N67" s="124" t="n">
        <f aca="false">SUM(J$6:J67)</f>
        <v>0</v>
      </c>
      <c r="P67" s="124" t="n">
        <f aca="false">D67/P$3</f>
        <v>0</v>
      </c>
      <c r="Q67" s="124" t="n">
        <f aca="false">E67/P$3</f>
        <v>0</v>
      </c>
      <c r="R67" s="124" t="n">
        <f aca="false">F67/R$3</f>
        <v>0</v>
      </c>
      <c r="S67" s="126" t="n">
        <f aca="false">J67/$R$3</f>
        <v>0</v>
      </c>
      <c r="T67" s="126" t="n">
        <f aca="false">L67/$R$3</f>
        <v>0</v>
      </c>
      <c r="U67" s="126" t="n">
        <f aca="false">I67/$R$3</f>
        <v>0</v>
      </c>
      <c r="V67" s="126" t="n">
        <f aca="false">M67/$R$3</f>
        <v>0</v>
      </c>
      <c r="W67" s="126" t="n">
        <f aca="false">N67/$R$3</f>
        <v>0</v>
      </c>
    </row>
    <row r="68" customFormat="false" ht="12.75" hidden="true" customHeight="false" outlineLevel="0" collapsed="false">
      <c r="A68" s="120" t="n">
        <f aca="false">A67+1</f>
        <v>36954</v>
      </c>
      <c r="B68" s="131" t="str">
        <f aca="false">INDEX('Master Data'!$A$2:$B$8,MATCH(WEEKDAY('Rio Cuarto Power Trading'!A68,3),'Master Data'!$A$2:$A$8,0),2)</f>
        <v>Su</v>
      </c>
      <c r="D68" s="124" t="n">
        <v>0</v>
      </c>
      <c r="E68" s="124" t="n">
        <v>0</v>
      </c>
      <c r="F68" s="124" t="n">
        <v>0</v>
      </c>
      <c r="G68" s="124" t="n">
        <v>0</v>
      </c>
      <c r="I68" s="124" t="n">
        <f aca="false">IF(MONTH($A68)=MONTH($A67),IF(G68=0,I67,G68),G68)</f>
        <v>0</v>
      </c>
      <c r="J68" s="124" t="n">
        <f aca="false">IF(MONTH($A68)=MONTH($A67),SUM(I68-I67),I68)</f>
        <v>0</v>
      </c>
      <c r="K68" s="124" t="n">
        <f aca="false">IF(WEEKDAY(A68,3)&gt;4,0,(IF(A68&lt;K$2,0,IF(A68&lt;=K$3,1,0))))</f>
        <v>0</v>
      </c>
      <c r="L68" s="124" t="n">
        <f aca="false">J68*K68</f>
        <v>0</v>
      </c>
      <c r="M68" s="124" t="n">
        <f aca="false">SUM(J$6:J68)</f>
        <v>0</v>
      </c>
      <c r="N68" s="124" t="n">
        <f aca="false">SUM(J$6:J68)</f>
        <v>0</v>
      </c>
      <c r="P68" s="124" t="n">
        <f aca="false">D68/P$3</f>
        <v>0</v>
      </c>
      <c r="Q68" s="124" t="n">
        <f aca="false">E68/P$3</f>
        <v>0</v>
      </c>
      <c r="R68" s="124" t="n">
        <f aca="false">F68/R$3</f>
        <v>0</v>
      </c>
      <c r="S68" s="126" t="n">
        <f aca="false">J68/$R$3</f>
        <v>0</v>
      </c>
      <c r="T68" s="126" t="n">
        <f aca="false">L68/$R$3</f>
        <v>0</v>
      </c>
      <c r="U68" s="126" t="n">
        <f aca="false">I68/$R$3</f>
        <v>0</v>
      </c>
      <c r="V68" s="126" t="n">
        <f aca="false">M68/$R$3</f>
        <v>0</v>
      </c>
      <c r="W68" s="126" t="n">
        <f aca="false">N68/$R$3</f>
        <v>0</v>
      </c>
    </row>
    <row r="69" customFormat="false" ht="12.75" hidden="true" customHeight="false" outlineLevel="0" collapsed="false">
      <c r="A69" s="120" t="n">
        <f aca="false">A68+1</f>
        <v>36955</v>
      </c>
      <c r="B69" s="131" t="str">
        <f aca="false">INDEX('Master Data'!$A$2:$B$8,MATCH(WEEKDAY('Rio Cuarto Power Trading'!A69,3),'Master Data'!$A$2:$A$8,0),2)</f>
        <v>M</v>
      </c>
      <c r="D69" s="124" t="n">
        <v>0</v>
      </c>
      <c r="E69" s="124" t="n">
        <v>0</v>
      </c>
      <c r="F69" s="124" t="n">
        <v>0</v>
      </c>
      <c r="G69" s="124" t="n">
        <v>0</v>
      </c>
      <c r="I69" s="124" t="n">
        <f aca="false">IF(MONTH($A69)=MONTH($A68),IF(G69=0,I68,G69),G69)</f>
        <v>0</v>
      </c>
      <c r="J69" s="124" t="n">
        <f aca="false">IF(MONTH($A69)=MONTH($A68),SUM(I69-I68),I69)</f>
        <v>0</v>
      </c>
      <c r="K69" s="124" t="n">
        <f aca="false">IF(WEEKDAY(A69,3)&gt;4,0,(IF(A69&lt;K$2,0,IF(A69&lt;=K$3,1,0))))</f>
        <v>0</v>
      </c>
      <c r="L69" s="124" t="n">
        <f aca="false">J69*K69</f>
        <v>0</v>
      </c>
      <c r="M69" s="124" t="n">
        <f aca="false">SUM(J$6:J69)</f>
        <v>0</v>
      </c>
      <c r="N69" s="124" t="n">
        <f aca="false">SUM(J$6:J69)</f>
        <v>0</v>
      </c>
      <c r="P69" s="124" t="n">
        <f aca="false">D69/P$3</f>
        <v>0</v>
      </c>
      <c r="Q69" s="124" t="n">
        <f aca="false">E69/P$3</f>
        <v>0</v>
      </c>
      <c r="R69" s="124" t="n">
        <f aca="false">F69/R$3</f>
        <v>0</v>
      </c>
      <c r="S69" s="126" t="n">
        <f aca="false">J69/$R$3</f>
        <v>0</v>
      </c>
      <c r="T69" s="126" t="n">
        <f aca="false">L69/$R$3</f>
        <v>0</v>
      </c>
      <c r="U69" s="126" t="n">
        <f aca="false">I69/$R$3</f>
        <v>0</v>
      </c>
      <c r="V69" s="126" t="n">
        <f aca="false">M69/$R$3</f>
        <v>0</v>
      </c>
      <c r="W69" s="126" t="n">
        <f aca="false">N69/$R$3</f>
        <v>0</v>
      </c>
    </row>
    <row r="70" customFormat="false" ht="12.75" hidden="true" customHeight="false" outlineLevel="0" collapsed="false">
      <c r="A70" s="120" t="n">
        <f aca="false">A69+1</f>
        <v>36956</v>
      </c>
      <c r="B70" s="131" t="str">
        <f aca="false">INDEX('Master Data'!$A$2:$B$8,MATCH(WEEKDAY('Rio Cuarto Power Trading'!A70,3),'Master Data'!$A$2:$A$8,0),2)</f>
        <v>T</v>
      </c>
      <c r="D70" s="124" t="n">
        <v>0</v>
      </c>
      <c r="E70" s="124" t="n">
        <v>0</v>
      </c>
      <c r="F70" s="124" t="n">
        <v>0</v>
      </c>
      <c r="G70" s="124" t="n">
        <v>0</v>
      </c>
      <c r="I70" s="124" t="n">
        <f aca="false">IF(MONTH($A70)=MONTH($A69),IF(G70=0,I69,G70),G70)</f>
        <v>0</v>
      </c>
      <c r="J70" s="124" t="n">
        <f aca="false">IF(MONTH($A70)=MONTH($A69),SUM(I70-I69),I70)</f>
        <v>0</v>
      </c>
      <c r="K70" s="124" t="n">
        <f aca="false">IF(WEEKDAY(A70,3)&gt;4,0,(IF(A70&lt;K$2,0,IF(A70&lt;=K$3,1,0))))</f>
        <v>0</v>
      </c>
      <c r="L70" s="124" t="n">
        <f aca="false">J70*K70</f>
        <v>0</v>
      </c>
      <c r="M70" s="124" t="n">
        <f aca="false">SUM(J$6:J70)</f>
        <v>0</v>
      </c>
      <c r="N70" s="124" t="n">
        <f aca="false">SUM(J$6:J70)</f>
        <v>0</v>
      </c>
      <c r="P70" s="124" t="n">
        <f aca="false">D70/P$3</f>
        <v>0</v>
      </c>
      <c r="Q70" s="124" t="n">
        <f aca="false">E70/P$3</f>
        <v>0</v>
      </c>
      <c r="R70" s="124" t="n">
        <f aca="false">F70/R$3</f>
        <v>0</v>
      </c>
      <c r="S70" s="126" t="n">
        <f aca="false">J70/$R$3</f>
        <v>0</v>
      </c>
      <c r="T70" s="126" t="n">
        <f aca="false">L70/$R$3</f>
        <v>0</v>
      </c>
      <c r="U70" s="126" t="n">
        <f aca="false">I70/$R$3</f>
        <v>0</v>
      </c>
      <c r="V70" s="126" t="n">
        <f aca="false">M70/$R$3</f>
        <v>0</v>
      </c>
      <c r="W70" s="126" t="n">
        <f aca="false">N70/$R$3</f>
        <v>0</v>
      </c>
    </row>
    <row r="71" customFormat="false" ht="12.75" hidden="true" customHeight="false" outlineLevel="0" collapsed="false">
      <c r="A71" s="120" t="n">
        <f aca="false">A70+1</f>
        <v>36957</v>
      </c>
      <c r="B71" s="131" t="str">
        <f aca="false">INDEX('Master Data'!$A$2:$B$8,MATCH(WEEKDAY('Rio Cuarto Power Trading'!A71,3),'Master Data'!$A$2:$A$8,0),2)</f>
        <v>W</v>
      </c>
      <c r="D71" s="124" t="n">
        <v>0</v>
      </c>
      <c r="E71" s="124" t="n">
        <v>0</v>
      </c>
      <c r="F71" s="124" t="n">
        <v>0</v>
      </c>
      <c r="G71" s="124" t="n">
        <v>0</v>
      </c>
      <c r="I71" s="124" t="n">
        <f aca="false">IF(MONTH($A71)=MONTH($A70),IF(G71=0,I70,G71),G71)</f>
        <v>0</v>
      </c>
      <c r="J71" s="124" t="n">
        <f aca="false">IF(MONTH($A71)=MONTH($A70),SUM(I71-I70),I71)</f>
        <v>0</v>
      </c>
      <c r="K71" s="124" t="n">
        <f aca="false">IF(WEEKDAY(A71,3)&gt;4,0,(IF(A71&lt;K$2,0,IF(A71&lt;=K$3,1,0))))</f>
        <v>0</v>
      </c>
      <c r="L71" s="124" t="n">
        <f aca="false">J71*K71</f>
        <v>0</v>
      </c>
      <c r="M71" s="124" t="n">
        <f aca="false">SUM(J$6:J71)</f>
        <v>0</v>
      </c>
      <c r="N71" s="124" t="n">
        <f aca="false">SUM(J$6:J71)</f>
        <v>0</v>
      </c>
      <c r="P71" s="124" t="n">
        <f aca="false">D71/P$3</f>
        <v>0</v>
      </c>
      <c r="Q71" s="124" t="n">
        <f aca="false">E71/P$3</f>
        <v>0</v>
      </c>
      <c r="R71" s="124" t="n">
        <f aca="false">F71/R$3</f>
        <v>0</v>
      </c>
      <c r="S71" s="126" t="n">
        <f aca="false">J71/$R$3</f>
        <v>0</v>
      </c>
      <c r="T71" s="126" t="n">
        <f aca="false">L71/$R$3</f>
        <v>0</v>
      </c>
      <c r="U71" s="126" t="n">
        <f aca="false">I71/$R$3</f>
        <v>0</v>
      </c>
      <c r="V71" s="126" t="n">
        <f aca="false">M71/$R$3</f>
        <v>0</v>
      </c>
      <c r="W71" s="126" t="n">
        <f aca="false">N71/$R$3</f>
        <v>0</v>
      </c>
    </row>
    <row r="72" customFormat="false" ht="12.75" hidden="true" customHeight="false" outlineLevel="0" collapsed="false">
      <c r="A72" s="120" t="n">
        <f aca="false">A71+1</f>
        <v>36958</v>
      </c>
      <c r="B72" s="131" t="str">
        <f aca="false">INDEX('Master Data'!$A$2:$B$8,MATCH(WEEKDAY('Rio Cuarto Power Trading'!A72,3),'Master Data'!$A$2:$A$8,0),2)</f>
        <v>Th</v>
      </c>
      <c r="D72" s="124" t="n">
        <v>0</v>
      </c>
      <c r="E72" s="124" t="n">
        <v>0</v>
      </c>
      <c r="F72" s="124" t="n">
        <v>0</v>
      </c>
      <c r="G72" s="124" t="n">
        <v>0</v>
      </c>
      <c r="I72" s="124" t="n">
        <f aca="false">IF(MONTH($A72)=MONTH($A71),IF(G72=0,I71,G72),G72)</f>
        <v>0</v>
      </c>
      <c r="J72" s="124" t="n">
        <f aca="false">IF(MONTH($A72)=MONTH($A71),SUM(I72-I71),I72)</f>
        <v>0</v>
      </c>
      <c r="K72" s="124" t="n">
        <f aca="false">IF(WEEKDAY(A72,3)&gt;4,0,(IF(A72&lt;K$2,0,IF(A72&lt;=K$3,1,0))))</f>
        <v>0</v>
      </c>
      <c r="L72" s="124" t="n">
        <f aca="false">J72*K72</f>
        <v>0</v>
      </c>
      <c r="M72" s="124" t="n">
        <f aca="false">SUM(J$6:J72)</f>
        <v>0</v>
      </c>
      <c r="N72" s="124" t="n">
        <f aca="false">SUM(J$6:J72)</f>
        <v>0</v>
      </c>
      <c r="P72" s="124" t="n">
        <f aca="false">D72/P$3</f>
        <v>0</v>
      </c>
      <c r="Q72" s="124" t="n">
        <f aca="false">E72/P$3</f>
        <v>0</v>
      </c>
      <c r="R72" s="124" t="n">
        <f aca="false">F72/R$3</f>
        <v>0</v>
      </c>
      <c r="S72" s="126" t="n">
        <f aca="false">J72/$R$3</f>
        <v>0</v>
      </c>
      <c r="T72" s="126" t="n">
        <f aca="false">L72/$R$3</f>
        <v>0</v>
      </c>
      <c r="U72" s="126" t="n">
        <f aca="false">I72/$R$3</f>
        <v>0</v>
      </c>
      <c r="V72" s="126" t="n">
        <f aca="false">M72/$R$3</f>
        <v>0</v>
      </c>
      <c r="W72" s="126" t="n">
        <f aca="false">N72/$R$3</f>
        <v>0</v>
      </c>
    </row>
    <row r="73" customFormat="false" ht="12.75" hidden="true" customHeight="false" outlineLevel="0" collapsed="false">
      <c r="A73" s="120" t="n">
        <f aca="false">A72+1</f>
        <v>36959</v>
      </c>
      <c r="B73" s="131" t="str">
        <f aca="false">INDEX('Master Data'!$A$2:$B$8,MATCH(WEEKDAY('Rio Cuarto Power Trading'!A73,3),'Master Data'!$A$2:$A$8,0),2)</f>
        <v>F</v>
      </c>
      <c r="D73" s="124" t="n">
        <v>0</v>
      </c>
      <c r="E73" s="124" t="n">
        <v>0</v>
      </c>
      <c r="F73" s="124" t="n">
        <v>0</v>
      </c>
      <c r="G73" s="124" t="n">
        <v>0</v>
      </c>
      <c r="I73" s="124" t="n">
        <f aca="false">IF(MONTH($A73)=MONTH($A72),IF(G73=0,I72,G73),G73)</f>
        <v>0</v>
      </c>
      <c r="J73" s="124" t="n">
        <f aca="false">IF(MONTH($A73)=MONTH($A72),SUM(I73-I72),I73)</f>
        <v>0</v>
      </c>
      <c r="K73" s="124" t="n">
        <f aca="false">IF(WEEKDAY(A73,3)&gt;4,0,(IF(A73&lt;K$2,0,IF(A73&lt;=K$3,1,0))))</f>
        <v>0</v>
      </c>
      <c r="L73" s="124" t="n">
        <f aca="false">J73*K73</f>
        <v>0</v>
      </c>
      <c r="M73" s="124" t="n">
        <f aca="false">SUM(J$6:J73)</f>
        <v>0</v>
      </c>
      <c r="N73" s="124" t="n">
        <f aca="false">SUM(J$6:J73)</f>
        <v>0</v>
      </c>
      <c r="P73" s="124" t="n">
        <f aca="false">D73/P$3</f>
        <v>0</v>
      </c>
      <c r="Q73" s="124" t="n">
        <f aca="false">E73/P$3</f>
        <v>0</v>
      </c>
      <c r="R73" s="124" t="n">
        <f aca="false">F73/R$3</f>
        <v>0</v>
      </c>
      <c r="S73" s="126" t="n">
        <f aca="false">J73/$R$3</f>
        <v>0</v>
      </c>
      <c r="T73" s="126" t="n">
        <f aca="false">L73/$R$3</f>
        <v>0</v>
      </c>
      <c r="U73" s="126" t="n">
        <f aca="false">I73/$R$3</f>
        <v>0</v>
      </c>
      <c r="V73" s="126" t="n">
        <f aca="false">M73/$R$3</f>
        <v>0</v>
      </c>
      <c r="W73" s="126" t="n">
        <f aca="false">N73/$R$3</f>
        <v>0</v>
      </c>
    </row>
    <row r="74" customFormat="false" ht="12.75" hidden="true" customHeight="false" outlineLevel="0" collapsed="false">
      <c r="A74" s="120" t="n">
        <f aca="false">A73+1</f>
        <v>36960</v>
      </c>
      <c r="B74" s="131" t="str">
        <f aca="false">INDEX('Master Data'!$A$2:$B$8,MATCH(WEEKDAY('Rio Cuarto Power Trading'!A74,3),'Master Data'!$A$2:$A$8,0),2)</f>
        <v>Sa</v>
      </c>
      <c r="D74" s="124" t="n">
        <v>0</v>
      </c>
      <c r="E74" s="124" t="n">
        <v>0</v>
      </c>
      <c r="F74" s="124" t="n">
        <v>0</v>
      </c>
      <c r="G74" s="124" t="n">
        <v>0</v>
      </c>
      <c r="I74" s="124" t="n">
        <f aca="false">IF(MONTH($A74)=MONTH($A73),IF(G74=0,I73,G74),G74)</f>
        <v>0</v>
      </c>
      <c r="J74" s="124" t="n">
        <f aca="false">IF(MONTH($A74)=MONTH($A73),SUM(I74-I73),I74)</f>
        <v>0</v>
      </c>
      <c r="K74" s="124" t="n">
        <f aca="false">IF(WEEKDAY(A74,3)&gt;4,0,(IF(A74&lt;K$2,0,IF(A74&lt;=K$3,1,0))))</f>
        <v>0</v>
      </c>
      <c r="L74" s="124" t="n">
        <f aca="false">J74*K74</f>
        <v>0</v>
      </c>
      <c r="M74" s="124" t="n">
        <f aca="false">SUM(J$6:J74)</f>
        <v>0</v>
      </c>
      <c r="N74" s="124" t="n">
        <f aca="false">SUM(J$6:J74)</f>
        <v>0</v>
      </c>
      <c r="P74" s="124" t="n">
        <f aca="false">D74/P$3</f>
        <v>0</v>
      </c>
      <c r="Q74" s="124" t="n">
        <f aca="false">E74/P$3</f>
        <v>0</v>
      </c>
      <c r="R74" s="124" t="n">
        <f aca="false">F74/R$3</f>
        <v>0</v>
      </c>
      <c r="S74" s="126" t="n">
        <f aca="false">J74/$R$3</f>
        <v>0</v>
      </c>
      <c r="T74" s="126" t="n">
        <f aca="false">L74/$R$3</f>
        <v>0</v>
      </c>
      <c r="U74" s="126" t="n">
        <f aca="false">I74/$R$3</f>
        <v>0</v>
      </c>
      <c r="V74" s="126" t="n">
        <f aca="false">M74/$R$3</f>
        <v>0</v>
      </c>
      <c r="W74" s="126" t="n">
        <f aca="false">N74/$R$3</f>
        <v>0</v>
      </c>
    </row>
    <row r="75" customFormat="false" ht="12.75" hidden="true" customHeight="false" outlineLevel="0" collapsed="false">
      <c r="A75" s="120" t="n">
        <f aca="false">A74+1</f>
        <v>36961</v>
      </c>
      <c r="B75" s="131" t="str">
        <f aca="false">INDEX('Master Data'!$A$2:$B$8,MATCH(WEEKDAY('Rio Cuarto Power Trading'!A75,3),'Master Data'!$A$2:$A$8,0),2)</f>
        <v>Su</v>
      </c>
      <c r="D75" s="124" t="n">
        <v>0</v>
      </c>
      <c r="E75" s="124" t="n">
        <v>0</v>
      </c>
      <c r="F75" s="124" t="n">
        <v>0</v>
      </c>
      <c r="G75" s="124" t="n">
        <v>0</v>
      </c>
      <c r="I75" s="124" t="n">
        <f aca="false">IF(MONTH($A75)=MONTH($A74),IF(G75=0,I74,G75),G75)</f>
        <v>0</v>
      </c>
      <c r="J75" s="124" t="n">
        <f aca="false">IF(MONTH($A75)=MONTH($A74),SUM(I75-I74),I75)</f>
        <v>0</v>
      </c>
      <c r="K75" s="124" t="n">
        <f aca="false">IF(WEEKDAY(A75,3)&gt;4,0,(IF(A75&lt;K$2,0,IF(A75&lt;=K$3,1,0))))</f>
        <v>0</v>
      </c>
      <c r="L75" s="124" t="n">
        <f aca="false">J75*K75</f>
        <v>0</v>
      </c>
      <c r="M75" s="124" t="n">
        <f aca="false">SUM(J$6:J75)</f>
        <v>0</v>
      </c>
      <c r="N75" s="124" t="n">
        <f aca="false">SUM(J$6:J75)</f>
        <v>0</v>
      </c>
      <c r="P75" s="124" t="n">
        <f aca="false">D75/P$3</f>
        <v>0</v>
      </c>
      <c r="Q75" s="124" t="n">
        <f aca="false">E75/P$3</f>
        <v>0</v>
      </c>
      <c r="R75" s="124" t="n">
        <f aca="false">F75/R$3</f>
        <v>0</v>
      </c>
      <c r="S75" s="126" t="n">
        <f aca="false">J75/$R$3</f>
        <v>0</v>
      </c>
      <c r="T75" s="126" t="n">
        <f aca="false">L75/$R$3</f>
        <v>0</v>
      </c>
      <c r="U75" s="126" t="n">
        <f aca="false">I75/$R$3</f>
        <v>0</v>
      </c>
      <c r="V75" s="126" t="n">
        <f aca="false">M75/$R$3</f>
        <v>0</v>
      </c>
      <c r="W75" s="126" t="n">
        <f aca="false">N75/$R$3</f>
        <v>0</v>
      </c>
    </row>
    <row r="76" customFormat="false" ht="12.75" hidden="true" customHeight="false" outlineLevel="0" collapsed="false">
      <c r="A76" s="120" t="n">
        <f aca="false">A75+1</f>
        <v>36962</v>
      </c>
      <c r="B76" s="131" t="str">
        <f aca="false">INDEX('Master Data'!$A$2:$B$8,MATCH(WEEKDAY('Rio Cuarto Power Trading'!A76,3),'Master Data'!$A$2:$A$8,0),2)</f>
        <v>M</v>
      </c>
      <c r="D76" s="124" t="n">
        <v>0</v>
      </c>
      <c r="E76" s="124" t="n">
        <v>0</v>
      </c>
      <c r="F76" s="124" t="n">
        <v>0</v>
      </c>
      <c r="G76" s="124" t="n">
        <v>0</v>
      </c>
      <c r="I76" s="124" t="n">
        <f aca="false">IF(MONTH($A76)=MONTH($A75),IF(G76=0,I75,G76),G76)</f>
        <v>0</v>
      </c>
      <c r="J76" s="124" t="n">
        <f aca="false">IF(MONTH($A76)=MONTH($A75),SUM(I76-I75),I76)</f>
        <v>0</v>
      </c>
      <c r="K76" s="124" t="n">
        <f aca="false">IF(WEEKDAY(A76,3)&gt;4,0,(IF(A76&lt;K$2,0,IF(A76&lt;=K$3,1,0))))</f>
        <v>0</v>
      </c>
      <c r="L76" s="124" t="n">
        <f aca="false">J76*K76</f>
        <v>0</v>
      </c>
      <c r="M76" s="124" t="n">
        <f aca="false">SUM(J$6:J76)</f>
        <v>0</v>
      </c>
      <c r="N76" s="124" t="n">
        <f aca="false">SUM(J$6:J76)</f>
        <v>0</v>
      </c>
      <c r="P76" s="124" t="n">
        <f aca="false">D76/P$3</f>
        <v>0</v>
      </c>
      <c r="Q76" s="124" t="n">
        <f aca="false">E76/P$3</f>
        <v>0</v>
      </c>
      <c r="R76" s="124" t="n">
        <f aca="false">F76/R$3</f>
        <v>0</v>
      </c>
      <c r="S76" s="126" t="n">
        <f aca="false">J76/$R$3</f>
        <v>0</v>
      </c>
      <c r="T76" s="126" t="n">
        <f aca="false">L76/$R$3</f>
        <v>0</v>
      </c>
      <c r="U76" s="126" t="n">
        <f aca="false">I76/$R$3</f>
        <v>0</v>
      </c>
      <c r="V76" s="126" t="n">
        <f aca="false">M76/$R$3</f>
        <v>0</v>
      </c>
      <c r="W76" s="126" t="n">
        <f aca="false">N76/$R$3</f>
        <v>0</v>
      </c>
    </row>
    <row r="77" customFormat="false" ht="12.75" hidden="true" customHeight="false" outlineLevel="0" collapsed="false">
      <c r="A77" s="120" t="n">
        <f aca="false">A76+1</f>
        <v>36963</v>
      </c>
      <c r="B77" s="131" t="str">
        <f aca="false">INDEX('Master Data'!$A$2:$B$8,MATCH(WEEKDAY('Rio Cuarto Power Trading'!A77,3),'Master Data'!$A$2:$A$8,0),2)</f>
        <v>T</v>
      </c>
      <c r="D77" s="124" t="n">
        <v>0</v>
      </c>
      <c r="E77" s="124" t="n">
        <v>0</v>
      </c>
      <c r="F77" s="124" t="n">
        <v>0</v>
      </c>
      <c r="G77" s="124" t="n">
        <v>0</v>
      </c>
      <c r="I77" s="124" t="n">
        <f aca="false">IF(MONTH($A77)=MONTH($A76),IF(G77=0,I76,G77),G77)</f>
        <v>0</v>
      </c>
      <c r="J77" s="124" t="n">
        <f aca="false">IF(MONTH($A77)=MONTH($A76),SUM(I77-I76),I77)</f>
        <v>0</v>
      </c>
      <c r="K77" s="124" t="n">
        <f aca="false">IF(WEEKDAY(A77,3)&gt;4,0,(IF(A77&lt;K$2,0,IF(A77&lt;=K$3,1,0))))</f>
        <v>0</v>
      </c>
      <c r="L77" s="124" t="n">
        <f aca="false">J77*K77</f>
        <v>0</v>
      </c>
      <c r="M77" s="124" t="n">
        <f aca="false">SUM(J$6:J77)</f>
        <v>0</v>
      </c>
      <c r="N77" s="124" t="n">
        <f aca="false">SUM(J$6:J77)</f>
        <v>0</v>
      </c>
      <c r="P77" s="124" t="n">
        <f aca="false">D77/P$3</f>
        <v>0</v>
      </c>
      <c r="Q77" s="124" t="n">
        <f aca="false">E77/P$3</f>
        <v>0</v>
      </c>
      <c r="R77" s="124" t="n">
        <f aca="false">F77/R$3</f>
        <v>0</v>
      </c>
      <c r="S77" s="126" t="n">
        <f aca="false">J77/$R$3</f>
        <v>0</v>
      </c>
      <c r="T77" s="126" t="n">
        <f aca="false">L77/$R$3</f>
        <v>0</v>
      </c>
      <c r="U77" s="126" t="n">
        <f aca="false">I77/$R$3</f>
        <v>0</v>
      </c>
      <c r="V77" s="126" t="n">
        <f aca="false">M77/$R$3</f>
        <v>0</v>
      </c>
      <c r="W77" s="126" t="n">
        <f aca="false">N77/$R$3</f>
        <v>0</v>
      </c>
    </row>
    <row r="78" customFormat="false" ht="12.75" hidden="true" customHeight="false" outlineLevel="0" collapsed="false">
      <c r="A78" s="120" t="n">
        <f aca="false">A77+1</f>
        <v>36964</v>
      </c>
      <c r="B78" s="131" t="str">
        <f aca="false">INDEX('Master Data'!$A$2:$B$8,MATCH(WEEKDAY('Rio Cuarto Power Trading'!A78,3),'Master Data'!$A$2:$A$8,0),2)</f>
        <v>W</v>
      </c>
      <c r="D78" s="124" t="n">
        <v>0</v>
      </c>
      <c r="E78" s="124" t="n">
        <v>0</v>
      </c>
      <c r="F78" s="124" t="n">
        <v>0</v>
      </c>
      <c r="G78" s="124" t="n">
        <v>0</v>
      </c>
      <c r="I78" s="124" t="n">
        <f aca="false">IF(MONTH($A78)=MONTH($A77),IF(G78=0,I77,G78),G78)</f>
        <v>0</v>
      </c>
      <c r="J78" s="124" t="n">
        <f aca="false">IF(MONTH($A78)=MONTH($A77),SUM(I78-I77),I78)</f>
        <v>0</v>
      </c>
      <c r="K78" s="124" t="n">
        <f aca="false">IF(WEEKDAY(A78,3)&gt;4,0,(IF(A78&lt;K$2,0,IF(A78&lt;=K$3,1,0))))</f>
        <v>0</v>
      </c>
      <c r="L78" s="124" t="n">
        <f aca="false">J78*K78</f>
        <v>0</v>
      </c>
      <c r="M78" s="124" t="n">
        <f aca="false">SUM(J$6:J78)</f>
        <v>0</v>
      </c>
      <c r="N78" s="124" t="n">
        <f aca="false">SUM(J$6:J78)</f>
        <v>0</v>
      </c>
      <c r="P78" s="124" t="n">
        <f aca="false">D78/P$3</f>
        <v>0</v>
      </c>
      <c r="Q78" s="124" t="n">
        <f aca="false">E78/P$3</f>
        <v>0</v>
      </c>
      <c r="R78" s="124" t="n">
        <f aca="false">F78/R$3</f>
        <v>0</v>
      </c>
      <c r="S78" s="126" t="n">
        <f aca="false">J78/$R$3</f>
        <v>0</v>
      </c>
      <c r="T78" s="126" t="n">
        <f aca="false">L78/$R$3</f>
        <v>0</v>
      </c>
      <c r="U78" s="126" t="n">
        <f aca="false">I78/$R$3</f>
        <v>0</v>
      </c>
      <c r="V78" s="126" t="n">
        <f aca="false">M78/$R$3</f>
        <v>0</v>
      </c>
      <c r="W78" s="126" t="n">
        <f aca="false">N78/$R$3</f>
        <v>0</v>
      </c>
    </row>
    <row r="79" customFormat="false" ht="12.75" hidden="true" customHeight="false" outlineLevel="0" collapsed="false">
      <c r="A79" s="120" t="n">
        <f aca="false">A78+1</f>
        <v>36965</v>
      </c>
      <c r="B79" s="131" t="str">
        <f aca="false">INDEX('Master Data'!$A$2:$B$8,MATCH(WEEKDAY('Rio Cuarto Power Trading'!A79,3),'Master Data'!$A$2:$A$8,0),2)</f>
        <v>Th</v>
      </c>
      <c r="D79" s="124" t="n">
        <v>0</v>
      </c>
      <c r="E79" s="124" t="n">
        <v>0</v>
      </c>
      <c r="F79" s="124" t="n">
        <v>0</v>
      </c>
      <c r="G79" s="124" t="n">
        <v>0</v>
      </c>
      <c r="I79" s="124" t="n">
        <f aca="false">IF(MONTH($A79)=MONTH($A78),IF(G79=0,I78,G79),G79)</f>
        <v>0</v>
      </c>
      <c r="J79" s="124" t="n">
        <f aca="false">IF(MONTH($A79)=MONTH($A78),SUM(I79-I78),I79)</f>
        <v>0</v>
      </c>
      <c r="K79" s="124" t="n">
        <f aca="false">IF(WEEKDAY(A79,3)&gt;4,0,(IF(A79&lt;K$2,0,IF(A79&lt;=K$3,1,0))))</f>
        <v>0</v>
      </c>
      <c r="L79" s="124" t="n">
        <f aca="false">J79*K79</f>
        <v>0</v>
      </c>
      <c r="M79" s="124" t="n">
        <f aca="false">SUM(J$6:J79)</f>
        <v>0</v>
      </c>
      <c r="N79" s="124" t="n">
        <f aca="false">SUM(J$6:J79)</f>
        <v>0</v>
      </c>
      <c r="P79" s="124" t="n">
        <f aca="false">D79/P$3</f>
        <v>0</v>
      </c>
      <c r="Q79" s="124" t="n">
        <f aca="false">E79/P$3</f>
        <v>0</v>
      </c>
      <c r="R79" s="124" t="n">
        <f aca="false">F79/R$3</f>
        <v>0</v>
      </c>
      <c r="S79" s="126" t="n">
        <f aca="false">J79/$R$3</f>
        <v>0</v>
      </c>
      <c r="T79" s="126" t="n">
        <f aca="false">L79/$R$3</f>
        <v>0</v>
      </c>
      <c r="U79" s="126" t="n">
        <f aca="false">I79/$R$3</f>
        <v>0</v>
      </c>
      <c r="V79" s="126" t="n">
        <f aca="false">M79/$R$3</f>
        <v>0</v>
      </c>
      <c r="W79" s="126" t="n">
        <f aca="false">N79/$R$3</f>
        <v>0</v>
      </c>
    </row>
    <row r="80" customFormat="false" ht="12.75" hidden="true" customHeight="false" outlineLevel="0" collapsed="false">
      <c r="A80" s="120" t="n">
        <f aca="false">A79+1</f>
        <v>36966</v>
      </c>
      <c r="B80" s="131" t="str">
        <f aca="false">INDEX('Master Data'!$A$2:$B$8,MATCH(WEEKDAY('Rio Cuarto Power Trading'!A80,3),'Master Data'!$A$2:$A$8,0),2)</f>
        <v>F</v>
      </c>
      <c r="D80" s="124" t="n">
        <v>0</v>
      </c>
      <c r="E80" s="124" t="n">
        <v>0</v>
      </c>
      <c r="F80" s="124" t="n">
        <v>0</v>
      </c>
      <c r="G80" s="124" t="n">
        <v>0</v>
      </c>
      <c r="I80" s="124" t="n">
        <f aca="false">IF(MONTH($A80)=MONTH($A79),IF(G80=0,I79,G80),G80)</f>
        <v>0</v>
      </c>
      <c r="J80" s="124" t="n">
        <f aca="false">IF(MONTH($A80)=MONTH($A79),SUM(I80-I79),I80)</f>
        <v>0</v>
      </c>
      <c r="K80" s="124" t="n">
        <f aca="false">IF(WEEKDAY(A80,3)&gt;4,0,(IF(A80&lt;K$2,0,IF(A80&lt;=K$3,1,0))))</f>
        <v>0</v>
      </c>
      <c r="L80" s="124" t="n">
        <f aca="false">J80*K80</f>
        <v>0</v>
      </c>
      <c r="M80" s="124" t="n">
        <f aca="false">SUM(J$6:J80)</f>
        <v>0</v>
      </c>
      <c r="N80" s="124" t="n">
        <f aca="false">SUM(J$6:J80)</f>
        <v>0</v>
      </c>
      <c r="P80" s="124" t="n">
        <f aca="false">D80/P$3</f>
        <v>0</v>
      </c>
      <c r="Q80" s="124" t="n">
        <f aca="false">E80/P$3</f>
        <v>0</v>
      </c>
      <c r="R80" s="124" t="n">
        <f aca="false">F80/R$3</f>
        <v>0</v>
      </c>
      <c r="S80" s="126" t="n">
        <f aca="false">J80/$R$3</f>
        <v>0</v>
      </c>
      <c r="T80" s="126" t="n">
        <f aca="false">L80/$R$3</f>
        <v>0</v>
      </c>
      <c r="U80" s="126" t="n">
        <f aca="false">I80/$R$3</f>
        <v>0</v>
      </c>
      <c r="V80" s="126" t="n">
        <f aca="false">M80/$R$3</f>
        <v>0</v>
      </c>
      <c r="W80" s="126" t="n">
        <f aca="false">N80/$R$3</f>
        <v>0</v>
      </c>
    </row>
    <row r="81" customFormat="false" ht="12.75" hidden="true" customHeight="false" outlineLevel="0" collapsed="false">
      <c r="A81" s="120" t="n">
        <f aca="false">A80+1</f>
        <v>36967</v>
      </c>
      <c r="B81" s="131" t="str">
        <f aca="false">INDEX('Master Data'!$A$2:$B$8,MATCH(WEEKDAY('Rio Cuarto Power Trading'!A81,3),'Master Data'!$A$2:$A$8,0),2)</f>
        <v>Sa</v>
      </c>
      <c r="D81" s="124" t="n">
        <v>0</v>
      </c>
      <c r="E81" s="124" t="n">
        <v>0</v>
      </c>
      <c r="F81" s="124" t="n">
        <v>0</v>
      </c>
      <c r="G81" s="124" t="n">
        <v>0</v>
      </c>
      <c r="I81" s="124" t="n">
        <f aca="false">IF(MONTH($A81)=MONTH($A80),IF(G81=0,I80,G81),G81)</f>
        <v>0</v>
      </c>
      <c r="J81" s="124" t="n">
        <f aca="false">IF(MONTH($A81)=MONTH($A80),SUM(I81-I80),I81)</f>
        <v>0</v>
      </c>
      <c r="K81" s="124" t="n">
        <f aca="false">IF(WEEKDAY(A81,3)&gt;4,0,(IF(A81&lt;K$2,0,IF(A81&lt;=K$3,1,0))))</f>
        <v>0</v>
      </c>
      <c r="L81" s="124" t="n">
        <f aca="false">J81*K81</f>
        <v>0</v>
      </c>
      <c r="M81" s="124" t="n">
        <f aca="false">SUM(J$6:J81)</f>
        <v>0</v>
      </c>
      <c r="N81" s="124" t="n">
        <f aca="false">SUM(J$6:J81)</f>
        <v>0</v>
      </c>
      <c r="P81" s="124" t="n">
        <f aca="false">D81/P$3</f>
        <v>0</v>
      </c>
      <c r="Q81" s="124" t="n">
        <f aca="false">E81/P$3</f>
        <v>0</v>
      </c>
      <c r="R81" s="124" t="n">
        <f aca="false">F81/R$3</f>
        <v>0</v>
      </c>
      <c r="S81" s="126" t="n">
        <f aca="false">J81/$R$3</f>
        <v>0</v>
      </c>
      <c r="T81" s="126" t="n">
        <f aca="false">L81/$R$3</f>
        <v>0</v>
      </c>
      <c r="U81" s="126" t="n">
        <f aca="false">I81/$R$3</f>
        <v>0</v>
      </c>
      <c r="V81" s="126" t="n">
        <f aca="false">M81/$R$3</f>
        <v>0</v>
      </c>
      <c r="W81" s="126" t="n">
        <f aca="false">N81/$R$3</f>
        <v>0</v>
      </c>
    </row>
    <row r="82" customFormat="false" ht="12.75" hidden="true" customHeight="false" outlineLevel="0" collapsed="false">
      <c r="A82" s="120" t="n">
        <f aca="false">A81+1</f>
        <v>36968</v>
      </c>
      <c r="B82" s="131" t="str">
        <f aca="false">INDEX('Master Data'!$A$2:$B$8,MATCH(WEEKDAY('Rio Cuarto Power Trading'!A82,3),'Master Data'!$A$2:$A$8,0),2)</f>
        <v>Su</v>
      </c>
      <c r="D82" s="124" t="n">
        <v>0</v>
      </c>
      <c r="E82" s="124" t="n">
        <v>0</v>
      </c>
      <c r="F82" s="124" t="n">
        <v>0</v>
      </c>
      <c r="G82" s="124" t="n">
        <v>0</v>
      </c>
      <c r="I82" s="124" t="n">
        <f aca="false">IF(MONTH($A82)=MONTH($A81),IF(G82=0,I81,G82),G82)</f>
        <v>0</v>
      </c>
      <c r="J82" s="124" t="n">
        <f aca="false">IF(MONTH($A82)=MONTH($A81),SUM(I82-I81),I82)</f>
        <v>0</v>
      </c>
      <c r="K82" s="124" t="n">
        <f aca="false">IF(WEEKDAY(A82,3)&gt;4,0,(IF(A82&lt;K$2,0,IF(A82&lt;=K$3,1,0))))</f>
        <v>0</v>
      </c>
      <c r="L82" s="124" t="n">
        <f aca="false">J82*K82</f>
        <v>0</v>
      </c>
      <c r="M82" s="124" t="n">
        <f aca="false">SUM(J$6:J82)</f>
        <v>0</v>
      </c>
      <c r="N82" s="124" t="n">
        <f aca="false">SUM(J$6:J82)</f>
        <v>0</v>
      </c>
      <c r="P82" s="124" t="n">
        <f aca="false">D82/P$3</f>
        <v>0</v>
      </c>
      <c r="Q82" s="124" t="n">
        <f aca="false">E82/P$3</f>
        <v>0</v>
      </c>
      <c r="R82" s="124" t="n">
        <f aca="false">F82/R$3</f>
        <v>0</v>
      </c>
      <c r="S82" s="126" t="n">
        <f aca="false">J82/$R$3</f>
        <v>0</v>
      </c>
      <c r="T82" s="126" t="n">
        <f aca="false">L82/$R$3</f>
        <v>0</v>
      </c>
      <c r="U82" s="126" t="n">
        <f aca="false">I82/$R$3</f>
        <v>0</v>
      </c>
      <c r="V82" s="126" t="n">
        <f aca="false">M82/$R$3</f>
        <v>0</v>
      </c>
      <c r="W82" s="126" t="n">
        <f aca="false">N82/$R$3</f>
        <v>0</v>
      </c>
    </row>
    <row r="83" customFormat="false" ht="12.75" hidden="true" customHeight="false" outlineLevel="0" collapsed="false">
      <c r="A83" s="120" t="n">
        <f aca="false">A82+1</f>
        <v>36969</v>
      </c>
      <c r="B83" s="131" t="str">
        <f aca="false">INDEX('Master Data'!$A$2:$B$8,MATCH(WEEKDAY('Rio Cuarto Power Trading'!A83,3),'Master Data'!$A$2:$A$8,0),2)</f>
        <v>M</v>
      </c>
      <c r="D83" s="124" t="n">
        <v>0</v>
      </c>
      <c r="E83" s="124" t="n">
        <v>0</v>
      </c>
      <c r="F83" s="124" t="n">
        <v>0</v>
      </c>
      <c r="G83" s="124" t="n">
        <v>0</v>
      </c>
      <c r="I83" s="124" t="n">
        <f aca="false">IF(MONTH($A83)=MONTH($A82),IF(G83=0,I82,G83),G83)</f>
        <v>0</v>
      </c>
      <c r="J83" s="124" t="n">
        <f aca="false">IF(MONTH($A83)=MONTH($A82),SUM(I83-I82),I83)</f>
        <v>0</v>
      </c>
      <c r="K83" s="124" t="n">
        <f aca="false">IF(WEEKDAY(A83,3)&gt;4,0,(IF(A83&lt;K$2,0,IF(A83&lt;=K$3,1,0))))</f>
        <v>0</v>
      </c>
      <c r="L83" s="124" t="n">
        <f aca="false">J83*K83</f>
        <v>0</v>
      </c>
      <c r="M83" s="124" t="n">
        <f aca="false">SUM(J$6:J83)</f>
        <v>0</v>
      </c>
      <c r="N83" s="124" t="n">
        <f aca="false">SUM(J$6:J83)</f>
        <v>0</v>
      </c>
      <c r="P83" s="124" t="n">
        <f aca="false">D83/P$3</f>
        <v>0</v>
      </c>
      <c r="Q83" s="124" t="n">
        <f aca="false">E83/P$3</f>
        <v>0</v>
      </c>
      <c r="R83" s="124" t="n">
        <f aca="false">F83/R$3</f>
        <v>0</v>
      </c>
      <c r="S83" s="126" t="n">
        <f aca="false">J83/$R$3</f>
        <v>0</v>
      </c>
      <c r="T83" s="126" t="n">
        <f aca="false">L83/$R$3</f>
        <v>0</v>
      </c>
      <c r="U83" s="126" t="n">
        <f aca="false">I83/$R$3</f>
        <v>0</v>
      </c>
      <c r="V83" s="126" t="n">
        <f aca="false">M83/$R$3</f>
        <v>0</v>
      </c>
      <c r="W83" s="126" t="n">
        <f aca="false">N83/$R$3</f>
        <v>0</v>
      </c>
    </row>
    <row r="84" customFormat="false" ht="12.75" hidden="true" customHeight="false" outlineLevel="0" collapsed="false">
      <c r="A84" s="120" t="n">
        <f aca="false">A83+1</f>
        <v>36970</v>
      </c>
      <c r="B84" s="131" t="str">
        <f aca="false">INDEX('Master Data'!$A$2:$B$8,MATCH(WEEKDAY('Rio Cuarto Power Trading'!A84,3),'Master Data'!$A$2:$A$8,0),2)</f>
        <v>T</v>
      </c>
      <c r="D84" s="124" t="n">
        <v>0</v>
      </c>
      <c r="E84" s="124" t="n">
        <v>0</v>
      </c>
      <c r="F84" s="124" t="n">
        <v>0</v>
      </c>
      <c r="G84" s="124" t="n">
        <v>0</v>
      </c>
      <c r="I84" s="124" t="n">
        <f aca="false">IF(MONTH($A84)=MONTH($A83),IF(G84=0,I83,G84),G84)</f>
        <v>0</v>
      </c>
      <c r="J84" s="124" t="n">
        <f aca="false">IF(MONTH($A84)=MONTH($A83),SUM(I84-I83),I84)</f>
        <v>0</v>
      </c>
      <c r="K84" s="124" t="n">
        <f aca="false">IF(WEEKDAY(A84,3)&gt;4,0,(IF(A84&lt;K$2,0,IF(A84&lt;=K$3,1,0))))</f>
        <v>0</v>
      </c>
      <c r="L84" s="124" t="n">
        <f aca="false">J84*K84</f>
        <v>0</v>
      </c>
      <c r="M84" s="124" t="n">
        <f aca="false">SUM(J$6:J84)</f>
        <v>0</v>
      </c>
      <c r="N84" s="124" t="n">
        <f aca="false">SUM(J$6:J84)</f>
        <v>0</v>
      </c>
      <c r="P84" s="124" t="n">
        <f aca="false">D84/P$3</f>
        <v>0</v>
      </c>
      <c r="Q84" s="124" t="n">
        <f aca="false">E84/P$3</f>
        <v>0</v>
      </c>
      <c r="R84" s="124" t="n">
        <f aca="false">F84/R$3</f>
        <v>0</v>
      </c>
      <c r="S84" s="126" t="n">
        <f aca="false">J84/$R$3</f>
        <v>0</v>
      </c>
      <c r="T84" s="126" t="n">
        <f aca="false">L84/$R$3</f>
        <v>0</v>
      </c>
      <c r="U84" s="126" t="n">
        <f aca="false">I84/$R$3</f>
        <v>0</v>
      </c>
      <c r="V84" s="126" t="n">
        <f aca="false">M84/$R$3</f>
        <v>0</v>
      </c>
      <c r="W84" s="126" t="n">
        <f aca="false">N84/$R$3</f>
        <v>0</v>
      </c>
    </row>
    <row r="85" customFormat="false" ht="12.75" hidden="true" customHeight="false" outlineLevel="0" collapsed="false">
      <c r="A85" s="120" t="n">
        <f aca="false">A84+1</f>
        <v>36971</v>
      </c>
      <c r="B85" s="131" t="str">
        <f aca="false">INDEX('Master Data'!$A$2:$B$8,MATCH(WEEKDAY('Rio Cuarto Power Trading'!A85,3),'Master Data'!$A$2:$A$8,0),2)</f>
        <v>W</v>
      </c>
      <c r="D85" s="124" t="n">
        <v>0</v>
      </c>
      <c r="E85" s="124" t="n">
        <v>0</v>
      </c>
      <c r="F85" s="124" t="n">
        <v>0</v>
      </c>
      <c r="G85" s="124" t="n">
        <v>0</v>
      </c>
      <c r="I85" s="124" t="n">
        <f aca="false">IF(MONTH($A85)=MONTH($A84),IF(G85=0,I84,G85),G85)</f>
        <v>0</v>
      </c>
      <c r="J85" s="124" t="n">
        <f aca="false">IF(MONTH($A85)=MONTH($A84),SUM(I85-I84),I85)</f>
        <v>0</v>
      </c>
      <c r="K85" s="124" t="n">
        <f aca="false">IF(WEEKDAY(A85,3)&gt;4,0,(IF(A85&lt;K$2,0,IF(A85&lt;=K$3,1,0))))</f>
        <v>0</v>
      </c>
      <c r="L85" s="124" t="n">
        <f aca="false">J85*K85</f>
        <v>0</v>
      </c>
      <c r="M85" s="124" t="n">
        <f aca="false">SUM(J$6:J85)</f>
        <v>0</v>
      </c>
      <c r="N85" s="124" t="n">
        <f aca="false">SUM(J$6:J85)</f>
        <v>0</v>
      </c>
      <c r="P85" s="124" t="n">
        <f aca="false">D85/P$3</f>
        <v>0</v>
      </c>
      <c r="Q85" s="124" t="n">
        <f aca="false">E85/P$3</f>
        <v>0</v>
      </c>
      <c r="R85" s="124" t="n">
        <f aca="false">F85/R$3</f>
        <v>0</v>
      </c>
      <c r="S85" s="126" t="n">
        <f aca="false">J85/$R$3</f>
        <v>0</v>
      </c>
      <c r="T85" s="126" t="n">
        <f aca="false">L85/$R$3</f>
        <v>0</v>
      </c>
      <c r="U85" s="126" t="n">
        <f aca="false">I85/$R$3</f>
        <v>0</v>
      </c>
      <c r="V85" s="126" t="n">
        <f aca="false">M85/$R$3</f>
        <v>0</v>
      </c>
      <c r="W85" s="126" t="n">
        <f aca="false">N85/$R$3</f>
        <v>0</v>
      </c>
    </row>
    <row r="86" customFormat="false" ht="12.75" hidden="true" customHeight="false" outlineLevel="0" collapsed="false">
      <c r="A86" s="120" t="n">
        <f aca="false">A85+1</f>
        <v>36972</v>
      </c>
      <c r="B86" s="131" t="str">
        <f aca="false">INDEX('Master Data'!$A$2:$B$8,MATCH(WEEKDAY('Rio Cuarto Power Trading'!A86,3),'Master Data'!$A$2:$A$8,0),2)</f>
        <v>Th</v>
      </c>
      <c r="D86" s="124" t="n">
        <v>0</v>
      </c>
      <c r="E86" s="124" t="n">
        <v>0</v>
      </c>
      <c r="F86" s="124" t="n">
        <v>0</v>
      </c>
      <c r="G86" s="124" t="n">
        <v>0</v>
      </c>
      <c r="I86" s="124" t="n">
        <f aca="false">IF(MONTH($A86)=MONTH($A85),IF(G86=0,I85,G86),G86)</f>
        <v>0</v>
      </c>
      <c r="J86" s="124" t="n">
        <f aca="false">IF(MONTH($A86)=MONTH($A85),SUM(I86-I85),I86)</f>
        <v>0</v>
      </c>
      <c r="K86" s="124" t="n">
        <f aca="false">IF(WEEKDAY(A86,3)&gt;4,0,(IF(A86&lt;K$2,0,IF(A86&lt;=K$3,1,0))))</f>
        <v>0</v>
      </c>
      <c r="L86" s="124" t="n">
        <f aca="false">J86*K86</f>
        <v>0</v>
      </c>
      <c r="M86" s="124" t="n">
        <f aca="false">SUM(J$6:J86)</f>
        <v>0</v>
      </c>
      <c r="N86" s="124" t="n">
        <f aca="false">SUM(J$6:J86)</f>
        <v>0</v>
      </c>
      <c r="P86" s="124" t="n">
        <f aca="false">D86/P$3</f>
        <v>0</v>
      </c>
      <c r="Q86" s="124" t="n">
        <f aca="false">E86/P$3</f>
        <v>0</v>
      </c>
      <c r="R86" s="124" t="n">
        <f aca="false">F86/R$3</f>
        <v>0</v>
      </c>
      <c r="S86" s="126" t="n">
        <f aca="false">J86/$R$3</f>
        <v>0</v>
      </c>
      <c r="T86" s="126" t="n">
        <f aca="false">L86/$R$3</f>
        <v>0</v>
      </c>
      <c r="U86" s="126" t="n">
        <f aca="false">I86/$R$3</f>
        <v>0</v>
      </c>
      <c r="V86" s="126" t="n">
        <f aca="false">M86/$R$3</f>
        <v>0</v>
      </c>
      <c r="W86" s="126" t="n">
        <f aca="false">N86/$R$3</f>
        <v>0</v>
      </c>
    </row>
    <row r="87" customFormat="false" ht="12.75" hidden="true" customHeight="false" outlineLevel="0" collapsed="false">
      <c r="A87" s="120" t="n">
        <f aca="false">A86+1</f>
        <v>36973</v>
      </c>
      <c r="B87" s="131" t="str">
        <f aca="false">INDEX('Master Data'!$A$2:$B$8,MATCH(WEEKDAY('Rio Cuarto Power Trading'!A87,3),'Master Data'!$A$2:$A$8,0),2)</f>
        <v>F</v>
      </c>
      <c r="D87" s="124" t="n">
        <v>0</v>
      </c>
      <c r="E87" s="124" t="n">
        <v>0</v>
      </c>
      <c r="F87" s="124" t="n">
        <v>0</v>
      </c>
      <c r="G87" s="124" t="n">
        <v>0</v>
      </c>
      <c r="I87" s="124" t="n">
        <f aca="false">IF(MONTH($A87)=MONTH($A86),IF(G87=0,I86,G87),G87)</f>
        <v>0</v>
      </c>
      <c r="J87" s="124" t="n">
        <f aca="false">IF(MONTH($A87)=MONTH($A86),SUM(I87-I86),I87)</f>
        <v>0</v>
      </c>
      <c r="K87" s="124" t="n">
        <f aca="false">IF(WEEKDAY(A87,3)&gt;4,0,(IF(A87&lt;K$2,0,IF(A87&lt;=K$3,1,0))))</f>
        <v>0</v>
      </c>
      <c r="L87" s="124" t="n">
        <f aca="false">J87*K87</f>
        <v>0</v>
      </c>
      <c r="M87" s="124" t="n">
        <f aca="false">SUM(J$6:J87)</f>
        <v>0</v>
      </c>
      <c r="N87" s="124" t="n">
        <f aca="false">SUM(J$6:J87)</f>
        <v>0</v>
      </c>
      <c r="P87" s="124" t="n">
        <f aca="false">D87/P$3</f>
        <v>0</v>
      </c>
      <c r="Q87" s="124" t="n">
        <f aca="false">E87/P$3</f>
        <v>0</v>
      </c>
      <c r="R87" s="124" t="n">
        <f aca="false">F87/R$3</f>
        <v>0</v>
      </c>
      <c r="S87" s="126" t="n">
        <f aca="false">J87/$R$3</f>
        <v>0</v>
      </c>
      <c r="T87" s="126" t="n">
        <f aca="false">L87/$R$3</f>
        <v>0</v>
      </c>
      <c r="U87" s="126" t="n">
        <f aca="false">I87/$R$3</f>
        <v>0</v>
      </c>
      <c r="V87" s="126" t="n">
        <f aca="false">M87/$R$3</f>
        <v>0</v>
      </c>
      <c r="W87" s="126" t="n">
        <f aca="false">N87/$R$3</f>
        <v>0</v>
      </c>
    </row>
    <row r="88" customFormat="false" ht="12.75" hidden="true" customHeight="false" outlineLevel="0" collapsed="false">
      <c r="A88" s="120" t="n">
        <f aca="false">A87+1</f>
        <v>36974</v>
      </c>
      <c r="B88" s="131" t="str">
        <f aca="false">INDEX('Master Data'!$A$2:$B$8,MATCH(WEEKDAY('Rio Cuarto Power Trading'!A88,3),'Master Data'!$A$2:$A$8,0),2)</f>
        <v>Sa</v>
      </c>
      <c r="D88" s="124" t="n">
        <v>0</v>
      </c>
      <c r="E88" s="124" t="n">
        <v>0</v>
      </c>
      <c r="F88" s="124" t="n">
        <v>0</v>
      </c>
      <c r="G88" s="124" t="n">
        <v>0</v>
      </c>
      <c r="I88" s="124" t="n">
        <f aca="false">IF(MONTH($A88)=MONTH($A87),IF(G88=0,I87,G88),G88)</f>
        <v>0</v>
      </c>
      <c r="J88" s="124" t="n">
        <f aca="false">IF(MONTH($A88)=MONTH($A87),SUM(I88-I87),I88)</f>
        <v>0</v>
      </c>
      <c r="K88" s="124" t="n">
        <f aca="false">IF(WEEKDAY(A88,3)&gt;4,0,(IF(A88&lt;K$2,0,IF(A88&lt;=K$3,1,0))))</f>
        <v>0</v>
      </c>
      <c r="L88" s="124" t="n">
        <f aca="false">J88*K88</f>
        <v>0</v>
      </c>
      <c r="M88" s="124" t="n">
        <f aca="false">SUM(J$6:J88)</f>
        <v>0</v>
      </c>
      <c r="N88" s="124" t="n">
        <f aca="false">SUM(J$6:J88)</f>
        <v>0</v>
      </c>
      <c r="P88" s="124" t="n">
        <f aca="false">D88/P$3</f>
        <v>0</v>
      </c>
      <c r="Q88" s="124" t="n">
        <f aca="false">E88/P$3</f>
        <v>0</v>
      </c>
      <c r="R88" s="124" t="n">
        <f aca="false">F88/R$3</f>
        <v>0</v>
      </c>
      <c r="S88" s="126" t="n">
        <f aca="false">J88/$R$3</f>
        <v>0</v>
      </c>
      <c r="T88" s="126" t="n">
        <f aca="false">L88/$R$3</f>
        <v>0</v>
      </c>
      <c r="U88" s="126" t="n">
        <f aca="false">I88/$R$3</f>
        <v>0</v>
      </c>
      <c r="V88" s="126" t="n">
        <f aca="false">M88/$R$3</f>
        <v>0</v>
      </c>
      <c r="W88" s="126" t="n">
        <f aca="false">N88/$R$3</f>
        <v>0</v>
      </c>
    </row>
    <row r="89" customFormat="false" ht="12.75" hidden="true" customHeight="false" outlineLevel="0" collapsed="false">
      <c r="A89" s="120" t="n">
        <f aca="false">A88+1</f>
        <v>36975</v>
      </c>
      <c r="B89" s="131" t="str">
        <f aca="false">INDEX('Master Data'!$A$2:$B$8,MATCH(WEEKDAY('Rio Cuarto Power Trading'!A89,3),'Master Data'!$A$2:$A$8,0),2)</f>
        <v>Su</v>
      </c>
      <c r="D89" s="124" t="n">
        <v>0</v>
      </c>
      <c r="E89" s="124" t="n">
        <v>0</v>
      </c>
      <c r="F89" s="124" t="n">
        <v>0</v>
      </c>
      <c r="G89" s="124" t="n">
        <v>0</v>
      </c>
      <c r="I89" s="124" t="n">
        <f aca="false">IF(MONTH($A89)=MONTH($A88),IF(G89=0,I88,G89),G89)</f>
        <v>0</v>
      </c>
      <c r="J89" s="124" t="n">
        <f aca="false">IF(MONTH($A89)=MONTH($A88),SUM(I89-I88),I89)</f>
        <v>0</v>
      </c>
      <c r="K89" s="124" t="n">
        <f aca="false">IF(WEEKDAY(A89,3)&gt;4,0,(IF(A89&lt;K$2,0,IF(A89&lt;=K$3,1,0))))</f>
        <v>0</v>
      </c>
      <c r="L89" s="124" t="n">
        <f aca="false">J89*K89</f>
        <v>0</v>
      </c>
      <c r="M89" s="124" t="n">
        <f aca="false">SUM(J$6:J89)</f>
        <v>0</v>
      </c>
      <c r="N89" s="124" t="n">
        <f aca="false">SUM(J$6:J89)</f>
        <v>0</v>
      </c>
      <c r="P89" s="124" t="n">
        <f aca="false">D89/P$3</f>
        <v>0</v>
      </c>
      <c r="Q89" s="124" t="n">
        <f aca="false">E89/P$3</f>
        <v>0</v>
      </c>
      <c r="R89" s="124" t="n">
        <f aca="false">F89/R$3</f>
        <v>0</v>
      </c>
      <c r="S89" s="126" t="n">
        <f aca="false">J89/$R$3</f>
        <v>0</v>
      </c>
      <c r="T89" s="126" t="n">
        <f aca="false">L89/$R$3</f>
        <v>0</v>
      </c>
      <c r="U89" s="126" t="n">
        <f aca="false">I89/$R$3</f>
        <v>0</v>
      </c>
      <c r="V89" s="126" t="n">
        <f aca="false">M89/$R$3</f>
        <v>0</v>
      </c>
      <c r="W89" s="126" t="n">
        <f aca="false">N89/$R$3</f>
        <v>0</v>
      </c>
    </row>
    <row r="90" customFormat="false" ht="12.75" hidden="true" customHeight="false" outlineLevel="0" collapsed="false">
      <c r="A90" s="120" t="n">
        <f aca="false">A89+1</f>
        <v>36976</v>
      </c>
      <c r="B90" s="131" t="str">
        <f aca="false">INDEX('Master Data'!$A$2:$B$8,MATCH(WEEKDAY('Rio Cuarto Power Trading'!A90,3),'Master Data'!$A$2:$A$8,0),2)</f>
        <v>M</v>
      </c>
      <c r="D90" s="124" t="n">
        <v>0</v>
      </c>
      <c r="E90" s="124" t="n">
        <v>0</v>
      </c>
      <c r="F90" s="124" t="n">
        <v>0</v>
      </c>
      <c r="G90" s="124" t="n">
        <v>0</v>
      </c>
      <c r="I90" s="124" t="n">
        <f aca="false">IF(MONTH($A90)=MONTH($A89),IF(G90=0,I89,G90),G90)</f>
        <v>0</v>
      </c>
      <c r="J90" s="124" t="n">
        <f aca="false">IF(MONTH($A90)=MONTH($A89),SUM(I90-I89),I90)</f>
        <v>0</v>
      </c>
      <c r="K90" s="124" t="n">
        <f aca="false">IF(WEEKDAY(A90,3)&gt;4,0,(IF(A90&lt;K$2,0,IF(A90&lt;=K$3,1,0))))</f>
        <v>0</v>
      </c>
      <c r="L90" s="124" t="n">
        <f aca="false">J90*K90</f>
        <v>0</v>
      </c>
      <c r="M90" s="124" t="n">
        <f aca="false">SUM(J$6:J90)</f>
        <v>0</v>
      </c>
      <c r="N90" s="124" t="n">
        <f aca="false">SUM(J$6:J90)</f>
        <v>0</v>
      </c>
      <c r="P90" s="124" t="n">
        <f aca="false">D90/P$3</f>
        <v>0</v>
      </c>
      <c r="Q90" s="124" t="n">
        <f aca="false">E90/P$3</f>
        <v>0</v>
      </c>
      <c r="R90" s="124" t="n">
        <f aca="false">F90/R$3</f>
        <v>0</v>
      </c>
      <c r="S90" s="126" t="n">
        <f aca="false">J90/$R$3</f>
        <v>0</v>
      </c>
      <c r="T90" s="126" t="n">
        <f aca="false">L90/$R$3</f>
        <v>0</v>
      </c>
      <c r="U90" s="126" t="n">
        <f aca="false">I90/$R$3</f>
        <v>0</v>
      </c>
      <c r="V90" s="126" t="n">
        <f aca="false">M90/$R$3</f>
        <v>0</v>
      </c>
      <c r="W90" s="126" t="n">
        <f aca="false">N90/$R$3</f>
        <v>0</v>
      </c>
    </row>
    <row r="91" customFormat="false" ht="12.75" hidden="true" customHeight="false" outlineLevel="0" collapsed="false">
      <c r="A91" s="120" t="n">
        <f aca="false">A90+1</f>
        <v>36977</v>
      </c>
      <c r="B91" s="131" t="str">
        <f aca="false">INDEX('Master Data'!$A$2:$B$8,MATCH(WEEKDAY('Rio Cuarto Power Trading'!A91,3),'Master Data'!$A$2:$A$8,0),2)</f>
        <v>T</v>
      </c>
      <c r="D91" s="124" t="n">
        <v>0</v>
      </c>
      <c r="E91" s="124" t="n">
        <v>0</v>
      </c>
      <c r="F91" s="124" t="n">
        <v>0</v>
      </c>
      <c r="G91" s="124" t="n">
        <v>0</v>
      </c>
      <c r="I91" s="124" t="n">
        <f aca="false">IF(MONTH($A91)=MONTH($A90),IF(G91=0,I90,G91),G91)</f>
        <v>0</v>
      </c>
      <c r="J91" s="124" t="n">
        <f aca="false">IF(MONTH($A91)=MONTH($A90),SUM(I91-I90),I91)</f>
        <v>0</v>
      </c>
      <c r="K91" s="124" t="n">
        <f aca="false">IF(WEEKDAY(A91,3)&gt;4,0,(IF(A91&lt;K$2,0,IF(A91&lt;=K$3,1,0))))</f>
        <v>0</v>
      </c>
      <c r="L91" s="124" t="n">
        <f aca="false">J91*K91</f>
        <v>0</v>
      </c>
      <c r="M91" s="124" t="n">
        <f aca="false">SUM(J$6:J91)</f>
        <v>0</v>
      </c>
      <c r="N91" s="124" t="n">
        <f aca="false">SUM(J$6:J91)</f>
        <v>0</v>
      </c>
      <c r="P91" s="124" t="n">
        <f aca="false">D91/P$3</f>
        <v>0</v>
      </c>
      <c r="Q91" s="124" t="n">
        <f aca="false">E91/P$3</f>
        <v>0</v>
      </c>
      <c r="R91" s="124" t="n">
        <f aca="false">F91/R$3</f>
        <v>0</v>
      </c>
      <c r="S91" s="126" t="n">
        <f aca="false">J91/$R$3</f>
        <v>0</v>
      </c>
      <c r="T91" s="126" t="n">
        <f aca="false">L91/$R$3</f>
        <v>0</v>
      </c>
      <c r="U91" s="126" t="n">
        <f aca="false">I91/$R$3</f>
        <v>0</v>
      </c>
      <c r="V91" s="126" t="n">
        <f aca="false">M91/$R$3</f>
        <v>0</v>
      </c>
      <c r="W91" s="126" t="n">
        <f aca="false">N91/$R$3</f>
        <v>0</v>
      </c>
    </row>
    <row r="92" customFormat="false" ht="12.75" hidden="true" customHeight="false" outlineLevel="0" collapsed="false">
      <c r="A92" s="120" t="n">
        <f aca="false">A91+1</f>
        <v>36978</v>
      </c>
      <c r="B92" s="131" t="str">
        <f aca="false">INDEX('Master Data'!$A$2:$B$8,MATCH(WEEKDAY('Rio Cuarto Power Trading'!A92,3),'Master Data'!$A$2:$A$8,0),2)</f>
        <v>W</v>
      </c>
      <c r="D92" s="124" t="n">
        <v>0</v>
      </c>
      <c r="E92" s="124" t="n">
        <v>0</v>
      </c>
      <c r="F92" s="124" t="n">
        <v>0</v>
      </c>
      <c r="G92" s="124" t="n">
        <v>0</v>
      </c>
      <c r="I92" s="124" t="n">
        <f aca="false">IF(MONTH($A92)=MONTH($A91),IF(G92=0,I91,G92),G92)</f>
        <v>0</v>
      </c>
      <c r="J92" s="124" t="n">
        <f aca="false">IF(MONTH($A92)=MONTH($A91),SUM(I92-I91),I92)</f>
        <v>0</v>
      </c>
      <c r="K92" s="124" t="n">
        <f aca="false">IF(WEEKDAY(A92,3)&gt;4,0,(IF(A92&lt;K$2,0,IF(A92&lt;=K$3,1,0))))</f>
        <v>0</v>
      </c>
      <c r="L92" s="124" t="n">
        <f aca="false">J92*K92</f>
        <v>0</v>
      </c>
      <c r="M92" s="124" t="n">
        <f aca="false">SUM(J$6:J92)</f>
        <v>0</v>
      </c>
      <c r="N92" s="124" t="n">
        <f aca="false">SUM(J$6:J92)</f>
        <v>0</v>
      </c>
      <c r="P92" s="124" t="n">
        <f aca="false">D92/P$3</f>
        <v>0</v>
      </c>
      <c r="Q92" s="124" t="n">
        <f aca="false">E92/P$3</f>
        <v>0</v>
      </c>
      <c r="R92" s="124" t="n">
        <f aca="false">F92/R$3</f>
        <v>0</v>
      </c>
      <c r="S92" s="126" t="n">
        <f aca="false">J92/$R$3</f>
        <v>0</v>
      </c>
      <c r="T92" s="126" t="n">
        <f aca="false">L92/$R$3</f>
        <v>0</v>
      </c>
      <c r="U92" s="126" t="n">
        <f aca="false">I92/$R$3</f>
        <v>0</v>
      </c>
      <c r="V92" s="126" t="n">
        <f aca="false">M92/$R$3</f>
        <v>0</v>
      </c>
      <c r="W92" s="126" t="n">
        <f aca="false">N92/$R$3</f>
        <v>0</v>
      </c>
    </row>
    <row r="93" customFormat="false" ht="12.75" hidden="true" customHeight="false" outlineLevel="0" collapsed="false">
      <c r="A93" s="120" t="n">
        <f aca="false">A92+1</f>
        <v>36979</v>
      </c>
      <c r="B93" s="131" t="str">
        <f aca="false">INDEX('Master Data'!$A$2:$B$8,MATCH(WEEKDAY('Rio Cuarto Power Trading'!A93,3),'Master Data'!$A$2:$A$8,0),2)</f>
        <v>Th</v>
      </c>
      <c r="D93" s="124" t="n">
        <v>0</v>
      </c>
      <c r="E93" s="124" t="n">
        <v>0</v>
      </c>
      <c r="F93" s="124" t="n">
        <v>0</v>
      </c>
      <c r="G93" s="124" t="n">
        <v>0</v>
      </c>
      <c r="I93" s="124" t="n">
        <f aca="false">IF(MONTH($A93)=MONTH($A92),IF(G93=0,I92,G93),G93)</f>
        <v>0</v>
      </c>
      <c r="J93" s="124" t="n">
        <f aca="false">IF(MONTH($A93)=MONTH($A92),SUM(I93-I92),I93)</f>
        <v>0</v>
      </c>
      <c r="K93" s="124" t="n">
        <f aca="false">IF(WEEKDAY(A93,3)&gt;4,0,(IF(A93&lt;K$2,0,IF(A93&lt;=K$3,1,0))))</f>
        <v>0</v>
      </c>
      <c r="L93" s="124" t="n">
        <f aca="false">J93*K93</f>
        <v>0</v>
      </c>
      <c r="M93" s="124" t="n">
        <f aca="false">SUM(J$6:J93)</f>
        <v>0</v>
      </c>
      <c r="N93" s="124" t="n">
        <f aca="false">SUM(J$6:J93)</f>
        <v>0</v>
      </c>
      <c r="P93" s="124" t="n">
        <f aca="false">D93/P$3</f>
        <v>0</v>
      </c>
      <c r="Q93" s="124" t="n">
        <f aca="false">E93/P$3</f>
        <v>0</v>
      </c>
      <c r="R93" s="124" t="n">
        <f aca="false">F93/R$3</f>
        <v>0</v>
      </c>
      <c r="S93" s="126" t="n">
        <f aca="false">J93/$R$3</f>
        <v>0</v>
      </c>
      <c r="T93" s="126" t="n">
        <f aca="false">L93/$R$3</f>
        <v>0</v>
      </c>
      <c r="U93" s="126" t="n">
        <f aca="false">I93/$R$3</f>
        <v>0</v>
      </c>
      <c r="V93" s="126" t="n">
        <f aca="false">M93/$R$3</f>
        <v>0</v>
      </c>
      <c r="W93" s="126" t="n">
        <f aca="false">N93/$R$3</f>
        <v>0</v>
      </c>
    </row>
    <row r="94" customFormat="false" ht="12.75" hidden="true" customHeight="false" outlineLevel="0" collapsed="false">
      <c r="A94" s="120" t="n">
        <f aca="false">A93+1</f>
        <v>36980</v>
      </c>
      <c r="B94" s="131" t="str">
        <f aca="false">INDEX('Master Data'!$A$2:$B$8,MATCH(WEEKDAY('Rio Cuarto Power Trading'!A94,3),'Master Data'!$A$2:$A$8,0),2)</f>
        <v>F</v>
      </c>
      <c r="D94" s="124" t="n">
        <v>0</v>
      </c>
      <c r="E94" s="124" t="n">
        <v>0</v>
      </c>
      <c r="F94" s="124" t="n">
        <v>0</v>
      </c>
      <c r="G94" s="124" t="n">
        <v>0</v>
      </c>
      <c r="I94" s="124" t="n">
        <f aca="false">IF(MONTH($A94)=MONTH($A93),IF(G94=0,I93,G94),G94)</f>
        <v>0</v>
      </c>
      <c r="J94" s="124" t="n">
        <f aca="false">IF(MONTH($A94)=MONTH($A93),SUM(I94-I93),I94)</f>
        <v>0</v>
      </c>
      <c r="K94" s="124" t="n">
        <f aca="false">IF(WEEKDAY(A94,3)&gt;4,0,(IF(A94&lt;K$2,0,IF(A94&lt;=K$3,1,0))))</f>
        <v>0</v>
      </c>
      <c r="L94" s="124" t="n">
        <f aca="false">J94*K94</f>
        <v>0</v>
      </c>
      <c r="M94" s="124" t="n">
        <f aca="false">SUM(J$6:J94)</f>
        <v>0</v>
      </c>
      <c r="N94" s="124" t="n">
        <f aca="false">SUM(J$6:J94)</f>
        <v>0</v>
      </c>
      <c r="P94" s="124" t="n">
        <f aca="false">D94/P$3</f>
        <v>0</v>
      </c>
      <c r="Q94" s="124" t="n">
        <f aca="false">E94/P$3</f>
        <v>0</v>
      </c>
      <c r="R94" s="124" t="n">
        <f aca="false">F94/R$3</f>
        <v>0</v>
      </c>
      <c r="S94" s="126" t="n">
        <f aca="false">J94/$R$3</f>
        <v>0</v>
      </c>
      <c r="T94" s="126" t="n">
        <f aca="false">L94/$R$3</f>
        <v>0</v>
      </c>
      <c r="U94" s="126" t="n">
        <f aca="false">I94/$R$3</f>
        <v>0</v>
      </c>
      <c r="V94" s="126" t="n">
        <f aca="false">M94/$R$3</f>
        <v>0</v>
      </c>
      <c r="W94" s="126" t="n">
        <f aca="false">N94/$R$3</f>
        <v>0</v>
      </c>
    </row>
    <row r="95" customFormat="false" ht="12.75" hidden="true" customHeight="false" outlineLevel="0" collapsed="false">
      <c r="A95" s="120" t="n">
        <f aca="false">A94+1</f>
        <v>36981</v>
      </c>
      <c r="B95" s="131" t="str">
        <f aca="false">INDEX('Master Data'!$A$2:$B$8,MATCH(WEEKDAY('Rio Cuarto Power Trading'!A95,3),'Master Data'!$A$2:$A$8,0),2)</f>
        <v>Sa</v>
      </c>
      <c r="D95" s="124" t="n">
        <v>0</v>
      </c>
      <c r="E95" s="124" t="n">
        <v>0</v>
      </c>
      <c r="F95" s="124" t="n">
        <v>0</v>
      </c>
      <c r="G95" s="124" t="n">
        <v>0</v>
      </c>
      <c r="I95" s="124" t="n">
        <f aca="false">IF(MONTH($A95)=MONTH($A94),IF(G95=0,I94,G95),G95)</f>
        <v>0</v>
      </c>
      <c r="J95" s="124" t="n">
        <f aca="false">IF(MONTH($A95)=MONTH($A94),SUM(I95-I94),I95)</f>
        <v>0</v>
      </c>
      <c r="K95" s="124" t="n">
        <f aca="false">IF(WEEKDAY(A95,3)&gt;4,0,(IF(A95&lt;K$2,0,IF(A95&lt;=K$3,1,0))))</f>
        <v>0</v>
      </c>
      <c r="L95" s="124" t="n">
        <f aca="false">J95*K95</f>
        <v>0</v>
      </c>
      <c r="M95" s="124" t="n">
        <f aca="false">SUM(J$6:J95)</f>
        <v>0</v>
      </c>
      <c r="N95" s="124" t="n">
        <f aca="false">SUM(J$6:J95)</f>
        <v>0</v>
      </c>
      <c r="P95" s="124" t="n">
        <f aca="false">D95/P$3</f>
        <v>0</v>
      </c>
      <c r="Q95" s="124" t="n">
        <f aca="false">E95/P$3</f>
        <v>0</v>
      </c>
      <c r="R95" s="124" t="n">
        <f aca="false">F95/R$3</f>
        <v>0</v>
      </c>
      <c r="S95" s="126" t="n">
        <f aca="false">J95/$R$3</f>
        <v>0</v>
      </c>
      <c r="T95" s="126" t="n">
        <f aca="false">L95/$R$3</f>
        <v>0</v>
      </c>
      <c r="U95" s="126" t="n">
        <f aca="false">I95/$R$3</f>
        <v>0</v>
      </c>
      <c r="V95" s="126" t="n">
        <f aca="false">M95/$R$3</f>
        <v>0</v>
      </c>
      <c r="W95" s="126" t="n">
        <f aca="false">N95/$R$3</f>
        <v>0</v>
      </c>
    </row>
    <row r="96" customFormat="false" ht="12.75" hidden="true" customHeight="false" outlineLevel="0" collapsed="false">
      <c r="A96" s="120" t="n">
        <f aca="false">A95+1</f>
        <v>36982</v>
      </c>
      <c r="B96" s="131" t="str">
        <f aca="false">INDEX('Master Data'!$A$2:$B$8,MATCH(WEEKDAY('Rio Cuarto Power Trading'!A96,3),'Master Data'!$A$2:$A$8,0),2)</f>
        <v>Su</v>
      </c>
      <c r="D96" s="124" t="n">
        <v>0</v>
      </c>
      <c r="E96" s="124" t="n">
        <v>0</v>
      </c>
      <c r="F96" s="124" t="n">
        <v>0</v>
      </c>
      <c r="G96" s="124" t="n">
        <v>0</v>
      </c>
      <c r="I96" s="124" t="n">
        <f aca="false">IF(MONTH($A96)=MONTH($A95),IF(G96=0,I95,G96),G96)</f>
        <v>0</v>
      </c>
      <c r="J96" s="124" t="n">
        <f aca="false">IF(MONTH($A96)=MONTH($A95),SUM(I96-I95),I96)</f>
        <v>0</v>
      </c>
      <c r="K96" s="124" t="n">
        <f aca="false">IF(WEEKDAY(A96,3)&gt;4,0,(IF(A96&lt;K$2,0,IF(A96&lt;=K$3,1,0))))</f>
        <v>0</v>
      </c>
      <c r="L96" s="124" t="n">
        <f aca="false">J96*K96</f>
        <v>0</v>
      </c>
      <c r="M96" s="124" t="n">
        <f aca="false">SUM(J$6:J96)</f>
        <v>0</v>
      </c>
      <c r="N96" s="124" t="n">
        <f aca="false">SUM(J$6:J96)</f>
        <v>0</v>
      </c>
      <c r="P96" s="124" t="n">
        <f aca="false">D96/P$3</f>
        <v>0</v>
      </c>
      <c r="Q96" s="124" t="n">
        <f aca="false">E96/P$3</f>
        <v>0</v>
      </c>
      <c r="R96" s="124" t="n">
        <f aca="false">F96/R$3</f>
        <v>0</v>
      </c>
      <c r="S96" s="126" t="n">
        <f aca="false">J96/$R$3</f>
        <v>0</v>
      </c>
      <c r="T96" s="126" t="n">
        <f aca="false">L96/$R$3</f>
        <v>0</v>
      </c>
      <c r="U96" s="126" t="n">
        <f aca="false">I96/$R$3</f>
        <v>0</v>
      </c>
      <c r="V96" s="126" t="n">
        <f aca="false">M96/$R$3</f>
        <v>0</v>
      </c>
      <c r="W96" s="126" t="n">
        <f aca="false">N96/$R$3</f>
        <v>0</v>
      </c>
    </row>
    <row r="97" customFormat="false" ht="12.75" hidden="true" customHeight="false" outlineLevel="0" collapsed="false">
      <c r="A97" s="120" t="n">
        <f aca="false">A96+1</f>
        <v>36983</v>
      </c>
      <c r="B97" s="131" t="str">
        <f aca="false">INDEX('Master Data'!$A$2:$B$8,MATCH(WEEKDAY('Rio Cuarto Power Trading'!A97,3),'Master Data'!$A$2:$A$8,0),2)</f>
        <v>M</v>
      </c>
      <c r="D97" s="124" t="n">
        <v>0</v>
      </c>
      <c r="E97" s="124" t="n">
        <v>0</v>
      </c>
      <c r="F97" s="124" t="n">
        <v>0</v>
      </c>
      <c r="G97" s="124" t="n">
        <v>0</v>
      </c>
      <c r="I97" s="124" t="n">
        <f aca="false">IF(MONTH($A97)=MONTH($A96),IF(G97=0,I96,G97),G97)</f>
        <v>0</v>
      </c>
      <c r="J97" s="124" t="n">
        <f aca="false">IF(MONTH($A97)=MONTH($A96),SUM(I97-I96),I97)</f>
        <v>0</v>
      </c>
      <c r="K97" s="124" t="n">
        <f aca="false">IF(WEEKDAY(A97,3)&gt;4,0,(IF(A97&lt;K$2,0,IF(A97&lt;=K$3,1,0))))</f>
        <v>0</v>
      </c>
      <c r="L97" s="124" t="n">
        <f aca="false">J97*K97</f>
        <v>0</v>
      </c>
      <c r="M97" s="124" t="n">
        <f aca="false">SUM(J$97:J97)</f>
        <v>0</v>
      </c>
      <c r="N97" s="124" t="n">
        <f aca="false">SUM(J$6:J97)</f>
        <v>0</v>
      </c>
      <c r="P97" s="124" t="n">
        <f aca="false">D97/P$3</f>
        <v>0</v>
      </c>
      <c r="Q97" s="124" t="n">
        <f aca="false">E97/P$3</f>
        <v>0</v>
      </c>
      <c r="R97" s="124" t="n">
        <f aca="false">F97/R$3</f>
        <v>0</v>
      </c>
      <c r="S97" s="126" t="n">
        <f aca="false">J97/$R$3</f>
        <v>0</v>
      </c>
      <c r="T97" s="126" t="n">
        <f aca="false">L97/$R$3</f>
        <v>0</v>
      </c>
      <c r="U97" s="126" t="n">
        <f aca="false">I97/$R$3</f>
        <v>0</v>
      </c>
      <c r="V97" s="126" t="n">
        <f aca="false">M97/$R$3</f>
        <v>0</v>
      </c>
      <c r="W97" s="126" t="n">
        <f aca="false">N97/$R$3</f>
        <v>0</v>
      </c>
    </row>
    <row r="98" customFormat="false" ht="12.75" hidden="true" customHeight="false" outlineLevel="0" collapsed="false">
      <c r="A98" s="120" t="n">
        <f aca="false">A97+1</f>
        <v>36984</v>
      </c>
      <c r="B98" s="131" t="str">
        <f aca="false">INDEX('Master Data'!$A$2:$B$8,MATCH(WEEKDAY('Rio Cuarto Power Trading'!A98,3),'Master Data'!$A$2:$A$8,0),2)</f>
        <v>T</v>
      </c>
      <c r="D98" s="124" t="n">
        <v>0</v>
      </c>
      <c r="E98" s="124" t="n">
        <v>0</v>
      </c>
      <c r="F98" s="124" t="n">
        <v>0</v>
      </c>
      <c r="G98" s="124" t="n">
        <v>0</v>
      </c>
      <c r="I98" s="124" t="n">
        <f aca="false">IF(MONTH($A98)=MONTH($A97),IF(G98=0,I97,G98),G98)</f>
        <v>0</v>
      </c>
      <c r="J98" s="124" t="n">
        <f aca="false">IF(MONTH($A98)=MONTH($A97),SUM(I98-I97),I98)</f>
        <v>0</v>
      </c>
      <c r="K98" s="124" t="n">
        <f aca="false">IF(WEEKDAY(A98,3)&gt;4,0,(IF(A98&lt;K$2,0,IF(A98&lt;=K$3,1,0))))</f>
        <v>0</v>
      </c>
      <c r="L98" s="124" t="n">
        <f aca="false">J98*K98</f>
        <v>0</v>
      </c>
      <c r="M98" s="124" t="n">
        <f aca="false">SUM(J$97:J98)</f>
        <v>0</v>
      </c>
      <c r="N98" s="124" t="n">
        <f aca="false">SUM(J$6:J98)</f>
        <v>0</v>
      </c>
      <c r="P98" s="124" t="n">
        <f aca="false">D98/P$3</f>
        <v>0</v>
      </c>
      <c r="Q98" s="124" t="n">
        <f aca="false">E98/P$3</f>
        <v>0</v>
      </c>
      <c r="R98" s="124" t="n">
        <f aca="false">F98/R$3</f>
        <v>0</v>
      </c>
      <c r="S98" s="126" t="n">
        <f aca="false">J98/$R$3</f>
        <v>0</v>
      </c>
      <c r="T98" s="126" t="n">
        <f aca="false">L98/$R$3</f>
        <v>0</v>
      </c>
      <c r="U98" s="126" t="n">
        <f aca="false">I98/$R$3</f>
        <v>0</v>
      </c>
      <c r="V98" s="126" t="n">
        <f aca="false">M98/$R$3</f>
        <v>0</v>
      </c>
      <c r="W98" s="126" t="n">
        <f aca="false">N98/$R$3</f>
        <v>0</v>
      </c>
    </row>
    <row r="99" customFormat="false" ht="12.75" hidden="true" customHeight="false" outlineLevel="0" collapsed="false">
      <c r="A99" s="120" t="n">
        <f aca="false">A98+1</f>
        <v>36985</v>
      </c>
      <c r="B99" s="131" t="str">
        <f aca="false">INDEX('Master Data'!$A$2:$B$8,MATCH(WEEKDAY('Rio Cuarto Power Trading'!A99,3),'Master Data'!$A$2:$A$8,0),2)</f>
        <v>W</v>
      </c>
      <c r="D99" s="124" t="n">
        <v>0</v>
      </c>
      <c r="E99" s="124" t="n">
        <v>0</v>
      </c>
      <c r="F99" s="124" t="n">
        <v>0</v>
      </c>
      <c r="G99" s="124" t="n">
        <v>0</v>
      </c>
      <c r="I99" s="124" t="n">
        <f aca="false">IF(MONTH($A99)=MONTH($A98),IF(G99=0,I98,G99),G99)</f>
        <v>0</v>
      </c>
      <c r="J99" s="124" t="n">
        <f aca="false">IF(MONTH($A99)=MONTH($A98),SUM(I99-I98),I99)</f>
        <v>0</v>
      </c>
      <c r="K99" s="124" t="n">
        <f aca="false">IF(WEEKDAY(A99,3)&gt;4,0,(IF(A99&lt;K$2,0,IF(A99&lt;=K$3,1,0))))</f>
        <v>0</v>
      </c>
      <c r="L99" s="124" t="n">
        <f aca="false">J99*K99</f>
        <v>0</v>
      </c>
      <c r="M99" s="124" t="n">
        <f aca="false">SUM(J$97:J99)</f>
        <v>0</v>
      </c>
      <c r="N99" s="124" t="n">
        <f aca="false">SUM(J$6:J99)</f>
        <v>0</v>
      </c>
      <c r="P99" s="124" t="n">
        <f aca="false">D99/P$3</f>
        <v>0</v>
      </c>
      <c r="Q99" s="124" t="n">
        <f aca="false">E99/P$3</f>
        <v>0</v>
      </c>
      <c r="R99" s="124" t="n">
        <f aca="false">F99/R$3</f>
        <v>0</v>
      </c>
      <c r="S99" s="126" t="n">
        <f aca="false">J99/$R$3</f>
        <v>0</v>
      </c>
      <c r="T99" s="126" t="n">
        <f aca="false">L99/$R$3</f>
        <v>0</v>
      </c>
      <c r="U99" s="126" t="n">
        <f aca="false">I99/$R$3</f>
        <v>0</v>
      </c>
      <c r="V99" s="126" t="n">
        <f aca="false">M99/$R$3</f>
        <v>0</v>
      </c>
      <c r="W99" s="126" t="n">
        <f aca="false">N99/$R$3</f>
        <v>0</v>
      </c>
    </row>
    <row r="100" customFormat="false" ht="12.75" hidden="true" customHeight="false" outlineLevel="0" collapsed="false">
      <c r="A100" s="120" t="n">
        <f aca="false">A99+1</f>
        <v>36986</v>
      </c>
      <c r="B100" s="131" t="str">
        <f aca="false">INDEX('Master Data'!$A$2:$B$8,MATCH(WEEKDAY('Rio Cuarto Power Trading'!A100,3),'Master Data'!$A$2:$A$8,0),2)</f>
        <v>Th</v>
      </c>
      <c r="D100" s="124" t="n">
        <v>0</v>
      </c>
      <c r="E100" s="124" t="n">
        <v>0</v>
      </c>
      <c r="F100" s="124" t="n">
        <v>0</v>
      </c>
      <c r="G100" s="124" t="n">
        <v>0</v>
      </c>
      <c r="I100" s="124" t="n">
        <f aca="false">IF(MONTH($A100)=MONTH($A99),IF(G100=0,I99,G100),G100)</f>
        <v>0</v>
      </c>
      <c r="J100" s="124" t="n">
        <f aca="false">IF(MONTH($A100)=MONTH($A99),SUM(I100-I99),I100)</f>
        <v>0</v>
      </c>
      <c r="K100" s="124" t="n">
        <f aca="false">IF(WEEKDAY(A100,3)&gt;4,0,(IF(A100&lt;K$2,0,IF(A100&lt;=K$3,1,0))))</f>
        <v>0</v>
      </c>
      <c r="L100" s="124" t="n">
        <f aca="false">J100*K100</f>
        <v>0</v>
      </c>
      <c r="M100" s="124" t="n">
        <f aca="false">SUM(J$97:J100)</f>
        <v>0</v>
      </c>
      <c r="N100" s="124" t="n">
        <f aca="false">SUM(J$6:J100)</f>
        <v>0</v>
      </c>
      <c r="P100" s="124" t="n">
        <f aca="false">D100/P$3</f>
        <v>0</v>
      </c>
      <c r="Q100" s="124" t="n">
        <f aca="false">E100/P$3</f>
        <v>0</v>
      </c>
      <c r="R100" s="124" t="n">
        <f aca="false">F100/R$3</f>
        <v>0</v>
      </c>
      <c r="S100" s="126" t="n">
        <f aca="false">J100/$R$3</f>
        <v>0</v>
      </c>
      <c r="T100" s="126" t="n">
        <f aca="false">L100/$R$3</f>
        <v>0</v>
      </c>
      <c r="U100" s="126" t="n">
        <f aca="false">I100/$R$3</f>
        <v>0</v>
      </c>
      <c r="V100" s="126" t="n">
        <f aca="false">M100/$R$3</f>
        <v>0</v>
      </c>
      <c r="W100" s="126" t="n">
        <f aca="false">N100/$R$3</f>
        <v>0</v>
      </c>
    </row>
    <row r="101" customFormat="false" ht="12.75" hidden="true" customHeight="false" outlineLevel="0" collapsed="false">
      <c r="A101" s="120" t="n">
        <f aca="false">A100+1</f>
        <v>36987</v>
      </c>
      <c r="B101" s="131" t="str">
        <f aca="false">INDEX('Master Data'!$A$2:$B$8,MATCH(WEEKDAY('Rio Cuarto Power Trading'!A101,3),'Master Data'!$A$2:$A$8,0),2)</f>
        <v>F</v>
      </c>
      <c r="D101" s="124" t="n">
        <v>0</v>
      </c>
      <c r="E101" s="124" t="n">
        <v>0</v>
      </c>
      <c r="F101" s="124" t="n">
        <v>0</v>
      </c>
      <c r="G101" s="124" t="n">
        <v>0</v>
      </c>
      <c r="I101" s="124" t="n">
        <f aca="false">IF(MONTH($A101)=MONTH($A100),IF(G101=0,I100,G101),G101)</f>
        <v>0</v>
      </c>
      <c r="J101" s="124" t="n">
        <f aca="false">IF(MONTH($A101)=MONTH($A100),SUM(I101-I100),I101)</f>
        <v>0</v>
      </c>
      <c r="K101" s="124" t="n">
        <f aca="false">IF(WEEKDAY(A101,3)&gt;4,0,(IF(A101&lt;K$2,0,IF(A101&lt;=K$3,1,0))))</f>
        <v>0</v>
      </c>
      <c r="L101" s="124" t="n">
        <f aca="false">J101*K101</f>
        <v>0</v>
      </c>
      <c r="M101" s="124" t="n">
        <f aca="false">SUM(J$97:J101)</f>
        <v>0</v>
      </c>
      <c r="N101" s="124" t="n">
        <f aca="false">SUM(J$6:J101)</f>
        <v>0</v>
      </c>
      <c r="P101" s="124" t="n">
        <f aca="false">D101/P$3</f>
        <v>0</v>
      </c>
      <c r="Q101" s="124" t="n">
        <f aca="false">E101/P$3</f>
        <v>0</v>
      </c>
      <c r="R101" s="124" t="n">
        <f aca="false">F101/R$3</f>
        <v>0</v>
      </c>
      <c r="S101" s="126" t="n">
        <f aca="false">J101/$R$3</f>
        <v>0</v>
      </c>
      <c r="T101" s="126" t="n">
        <f aca="false">L101/$R$3</f>
        <v>0</v>
      </c>
      <c r="U101" s="126" t="n">
        <f aca="false">I101/$R$3</f>
        <v>0</v>
      </c>
      <c r="V101" s="126" t="n">
        <f aca="false">M101/$R$3</f>
        <v>0</v>
      </c>
      <c r="W101" s="126" t="n">
        <f aca="false">N101/$R$3</f>
        <v>0</v>
      </c>
    </row>
    <row r="102" customFormat="false" ht="12.75" hidden="true" customHeight="false" outlineLevel="0" collapsed="false">
      <c r="A102" s="120" t="n">
        <f aca="false">A101+1</f>
        <v>36988</v>
      </c>
      <c r="B102" s="131" t="str">
        <f aca="false">INDEX('Master Data'!$A$2:$B$8,MATCH(WEEKDAY('Rio Cuarto Power Trading'!A102,3),'Master Data'!$A$2:$A$8,0),2)</f>
        <v>Sa</v>
      </c>
      <c r="D102" s="124" t="n">
        <v>0</v>
      </c>
      <c r="E102" s="124" t="n">
        <v>0</v>
      </c>
      <c r="F102" s="124" t="n">
        <v>0</v>
      </c>
      <c r="G102" s="124" t="n">
        <v>0</v>
      </c>
      <c r="I102" s="124" t="n">
        <f aca="false">IF(MONTH($A102)=MONTH($A101),IF(G102=0,I101,G102),G102)</f>
        <v>0</v>
      </c>
      <c r="J102" s="124" t="n">
        <f aca="false">IF(MONTH($A102)=MONTH($A101),SUM(I102-I101),I102)</f>
        <v>0</v>
      </c>
      <c r="K102" s="124" t="n">
        <f aca="false">IF(WEEKDAY(A102,3)&gt;4,0,(IF(A102&lt;K$2,0,IF(A102&lt;=K$3,1,0))))</f>
        <v>0</v>
      </c>
      <c r="L102" s="124" t="n">
        <f aca="false">J102*K102</f>
        <v>0</v>
      </c>
      <c r="M102" s="124" t="n">
        <f aca="false">SUM(J$97:J102)</f>
        <v>0</v>
      </c>
      <c r="N102" s="124" t="n">
        <f aca="false">SUM(J$6:J102)</f>
        <v>0</v>
      </c>
      <c r="P102" s="124" t="n">
        <f aca="false">D102/P$3</f>
        <v>0</v>
      </c>
      <c r="Q102" s="124" t="n">
        <f aca="false">E102/P$3</f>
        <v>0</v>
      </c>
      <c r="R102" s="124" t="n">
        <f aca="false">F102/R$3</f>
        <v>0</v>
      </c>
      <c r="S102" s="126" t="n">
        <f aca="false">J102/$R$3</f>
        <v>0</v>
      </c>
      <c r="T102" s="126" t="n">
        <f aca="false">L102/$R$3</f>
        <v>0</v>
      </c>
      <c r="U102" s="126" t="n">
        <f aca="false">I102/$R$3</f>
        <v>0</v>
      </c>
      <c r="V102" s="126" t="n">
        <f aca="false">M102/$R$3</f>
        <v>0</v>
      </c>
      <c r="W102" s="126" t="n">
        <f aca="false">N102/$R$3</f>
        <v>0</v>
      </c>
    </row>
    <row r="103" customFormat="false" ht="12.75" hidden="true" customHeight="false" outlineLevel="0" collapsed="false">
      <c r="A103" s="120" t="n">
        <f aca="false">A102+1</f>
        <v>36989</v>
      </c>
      <c r="B103" s="131" t="str">
        <f aca="false">INDEX('Master Data'!$A$2:$B$8,MATCH(WEEKDAY('Rio Cuarto Power Trading'!A103,3),'Master Data'!$A$2:$A$8,0),2)</f>
        <v>Su</v>
      </c>
      <c r="D103" s="124" t="n">
        <v>0</v>
      </c>
      <c r="E103" s="124" t="n">
        <v>0</v>
      </c>
      <c r="F103" s="124" t="n">
        <v>0</v>
      </c>
      <c r="G103" s="124" t="n">
        <v>0</v>
      </c>
      <c r="I103" s="124" t="n">
        <f aca="false">IF(MONTH($A103)=MONTH($A102),IF(G103=0,I102,G103),G103)</f>
        <v>0</v>
      </c>
      <c r="J103" s="124" t="n">
        <f aca="false">IF(MONTH($A103)=MONTH($A102),SUM(I103-I102),I103)</f>
        <v>0</v>
      </c>
      <c r="K103" s="124" t="n">
        <f aca="false">IF(WEEKDAY(A103,3)&gt;4,0,(IF(A103&lt;K$2,0,IF(A103&lt;=K$3,1,0))))</f>
        <v>0</v>
      </c>
      <c r="L103" s="124" t="n">
        <f aca="false">J103*K103</f>
        <v>0</v>
      </c>
      <c r="M103" s="124" t="n">
        <f aca="false">SUM(J$97:J103)</f>
        <v>0</v>
      </c>
      <c r="N103" s="124" t="n">
        <f aca="false">SUM(J$6:J103)</f>
        <v>0</v>
      </c>
      <c r="P103" s="124" t="n">
        <f aca="false">D103/P$3</f>
        <v>0</v>
      </c>
      <c r="Q103" s="124" t="n">
        <f aca="false">E103/P$3</f>
        <v>0</v>
      </c>
      <c r="R103" s="124" t="n">
        <f aca="false">F103/R$3</f>
        <v>0</v>
      </c>
      <c r="S103" s="126" t="n">
        <f aca="false">J103/$R$3</f>
        <v>0</v>
      </c>
      <c r="T103" s="126" t="n">
        <f aca="false">L103/$R$3</f>
        <v>0</v>
      </c>
      <c r="U103" s="126" t="n">
        <f aca="false">I103/$R$3</f>
        <v>0</v>
      </c>
      <c r="V103" s="126" t="n">
        <f aca="false">M103/$R$3</f>
        <v>0</v>
      </c>
      <c r="W103" s="126" t="n">
        <f aca="false">N103/$R$3</f>
        <v>0</v>
      </c>
    </row>
    <row r="104" customFormat="false" ht="12.75" hidden="true" customHeight="false" outlineLevel="0" collapsed="false">
      <c r="A104" s="120" t="n">
        <f aca="false">A103+1</f>
        <v>36990</v>
      </c>
      <c r="B104" s="131" t="str">
        <f aca="false">INDEX('Master Data'!$A$2:$B$8,MATCH(WEEKDAY('Rio Cuarto Power Trading'!A104,3),'Master Data'!$A$2:$A$8,0),2)</f>
        <v>M</v>
      </c>
      <c r="D104" s="124" t="n">
        <v>0</v>
      </c>
      <c r="E104" s="124" t="n">
        <v>0</v>
      </c>
      <c r="F104" s="124" t="n">
        <v>0</v>
      </c>
      <c r="G104" s="124" t="n">
        <v>0</v>
      </c>
      <c r="I104" s="124" t="n">
        <f aca="false">IF(MONTH($A104)=MONTH($A103),IF(G104=0,I103,G104),G104)</f>
        <v>0</v>
      </c>
      <c r="J104" s="124" t="n">
        <f aca="false">IF(MONTH($A104)=MONTH($A103),SUM(I104-I103),I104)</f>
        <v>0</v>
      </c>
      <c r="K104" s="124" t="n">
        <f aca="false">IF(WEEKDAY(A104,3)&gt;4,0,(IF(A104&lt;K$2,0,IF(A104&lt;=K$3,1,0))))</f>
        <v>0</v>
      </c>
      <c r="L104" s="124" t="n">
        <f aca="false">J104*K104</f>
        <v>0</v>
      </c>
      <c r="M104" s="124" t="n">
        <f aca="false">SUM(J$97:J104)</f>
        <v>0</v>
      </c>
      <c r="N104" s="124" t="n">
        <f aca="false">SUM(J$6:J104)</f>
        <v>0</v>
      </c>
      <c r="P104" s="124" t="n">
        <f aca="false">D104/P$3</f>
        <v>0</v>
      </c>
      <c r="Q104" s="124" t="n">
        <f aca="false">E104/P$3</f>
        <v>0</v>
      </c>
      <c r="R104" s="124" t="n">
        <f aca="false">F104/R$3</f>
        <v>0</v>
      </c>
      <c r="S104" s="126" t="n">
        <f aca="false">J104/$R$3</f>
        <v>0</v>
      </c>
      <c r="T104" s="126" t="n">
        <f aca="false">L104/$R$3</f>
        <v>0</v>
      </c>
      <c r="U104" s="126" t="n">
        <f aca="false">I104/$R$3</f>
        <v>0</v>
      </c>
      <c r="V104" s="126" t="n">
        <f aca="false">M104/$R$3</f>
        <v>0</v>
      </c>
      <c r="W104" s="126" t="n">
        <f aca="false">N104/$R$3</f>
        <v>0</v>
      </c>
    </row>
    <row r="105" customFormat="false" ht="12.75" hidden="true" customHeight="false" outlineLevel="0" collapsed="false">
      <c r="A105" s="120" t="n">
        <f aca="false">A104+1</f>
        <v>36991</v>
      </c>
      <c r="B105" s="131" t="str">
        <f aca="false">INDEX('Master Data'!$A$2:$B$8,MATCH(WEEKDAY('Rio Cuarto Power Trading'!A105,3),'Master Data'!$A$2:$A$8,0),2)</f>
        <v>T</v>
      </c>
      <c r="D105" s="124" t="n">
        <v>0</v>
      </c>
      <c r="E105" s="124" t="n">
        <v>0</v>
      </c>
      <c r="F105" s="124" t="n">
        <v>0</v>
      </c>
      <c r="G105" s="124" t="n">
        <v>0</v>
      </c>
      <c r="I105" s="124" t="n">
        <f aca="false">IF(MONTH($A105)=MONTH($A104),IF(G105=0,I104,G105),G105)</f>
        <v>0</v>
      </c>
      <c r="J105" s="124" t="n">
        <f aca="false">IF(MONTH($A105)=MONTH($A104),SUM(I105-I104),I105)</f>
        <v>0</v>
      </c>
      <c r="K105" s="124" t="n">
        <f aca="false">IF(WEEKDAY(A105,3)&gt;4,0,(IF(A105&lt;K$2,0,IF(A105&lt;=K$3,1,0))))</f>
        <v>0</v>
      </c>
      <c r="L105" s="124" t="n">
        <f aca="false">J105*K105</f>
        <v>0</v>
      </c>
      <c r="M105" s="124" t="n">
        <f aca="false">SUM(J$97:J105)</f>
        <v>0</v>
      </c>
      <c r="N105" s="124" t="n">
        <f aca="false">SUM(J$6:J105)</f>
        <v>0</v>
      </c>
      <c r="P105" s="124" t="n">
        <f aca="false">D105/P$3</f>
        <v>0</v>
      </c>
      <c r="Q105" s="124" t="n">
        <f aca="false">E105/P$3</f>
        <v>0</v>
      </c>
      <c r="R105" s="124" t="n">
        <f aca="false">F105/R$3</f>
        <v>0</v>
      </c>
      <c r="S105" s="126" t="n">
        <f aca="false">J105/$R$3</f>
        <v>0</v>
      </c>
      <c r="T105" s="126" t="n">
        <f aca="false">L105/$R$3</f>
        <v>0</v>
      </c>
      <c r="U105" s="126" t="n">
        <f aca="false">I105/$R$3</f>
        <v>0</v>
      </c>
      <c r="V105" s="126" t="n">
        <f aca="false">M105/$R$3</f>
        <v>0</v>
      </c>
      <c r="W105" s="126" t="n">
        <f aca="false">N105/$R$3</f>
        <v>0</v>
      </c>
    </row>
    <row r="106" customFormat="false" ht="12.75" hidden="true" customHeight="false" outlineLevel="0" collapsed="false">
      <c r="A106" s="120" t="n">
        <f aca="false">A105+1</f>
        <v>36992</v>
      </c>
      <c r="B106" s="131" t="str">
        <f aca="false">INDEX('Master Data'!$A$2:$B$8,MATCH(WEEKDAY('Rio Cuarto Power Trading'!A106,3),'Master Data'!$A$2:$A$8,0),2)</f>
        <v>W</v>
      </c>
      <c r="D106" s="124" t="n">
        <v>0</v>
      </c>
      <c r="E106" s="124" t="n">
        <v>0</v>
      </c>
      <c r="F106" s="124" t="n">
        <v>0</v>
      </c>
      <c r="G106" s="124" t="n">
        <v>0</v>
      </c>
      <c r="I106" s="124" t="n">
        <f aca="false">IF(MONTH($A106)=MONTH($A105),IF(G106=0,I105,G106),G106)</f>
        <v>0</v>
      </c>
      <c r="J106" s="124" t="n">
        <f aca="false">IF(MONTH($A106)=MONTH($A105),SUM(I106-I105),I106)</f>
        <v>0</v>
      </c>
      <c r="K106" s="124" t="n">
        <f aca="false">IF(WEEKDAY(A106,3)&gt;4,0,(IF(A106&lt;K$2,0,IF(A106&lt;=K$3,1,0))))</f>
        <v>0</v>
      </c>
      <c r="L106" s="124" t="n">
        <f aca="false">J106*K106</f>
        <v>0</v>
      </c>
      <c r="M106" s="124" t="n">
        <f aca="false">SUM(J$97:J106)</f>
        <v>0</v>
      </c>
      <c r="N106" s="124" t="n">
        <f aca="false">SUM(J$6:J106)</f>
        <v>0</v>
      </c>
      <c r="P106" s="124" t="n">
        <f aca="false">D106/P$3</f>
        <v>0</v>
      </c>
      <c r="Q106" s="124" t="n">
        <f aca="false">E106/P$3</f>
        <v>0</v>
      </c>
      <c r="R106" s="124" t="n">
        <f aca="false">F106/R$3</f>
        <v>0</v>
      </c>
      <c r="S106" s="126" t="n">
        <f aca="false">J106/$R$3</f>
        <v>0</v>
      </c>
      <c r="T106" s="126" t="n">
        <f aca="false">L106/$R$3</f>
        <v>0</v>
      </c>
      <c r="U106" s="126" t="n">
        <f aca="false">I106/$R$3</f>
        <v>0</v>
      </c>
      <c r="V106" s="126" t="n">
        <f aca="false">M106/$R$3</f>
        <v>0</v>
      </c>
      <c r="W106" s="126" t="n">
        <f aca="false">N106/$R$3</f>
        <v>0</v>
      </c>
    </row>
    <row r="107" customFormat="false" ht="12.75" hidden="true" customHeight="false" outlineLevel="0" collapsed="false">
      <c r="A107" s="120" t="n">
        <f aca="false">A106+1</f>
        <v>36993</v>
      </c>
      <c r="B107" s="131" t="str">
        <f aca="false">INDEX('Master Data'!$A$2:$B$8,MATCH(WEEKDAY('Rio Cuarto Power Trading'!A107,3),'Master Data'!$A$2:$A$8,0),2)</f>
        <v>Th</v>
      </c>
      <c r="D107" s="124" t="n">
        <v>0</v>
      </c>
      <c r="E107" s="124" t="n">
        <v>0</v>
      </c>
      <c r="F107" s="124" t="n">
        <v>0</v>
      </c>
      <c r="G107" s="124" t="n">
        <v>0</v>
      </c>
      <c r="I107" s="124" t="n">
        <f aca="false">IF(MONTH($A107)=MONTH($A106),IF(G107=0,I106,G107),G107)</f>
        <v>0</v>
      </c>
      <c r="J107" s="124" t="n">
        <f aca="false">IF(MONTH($A107)=MONTH($A106),SUM(I107-I106),I107)</f>
        <v>0</v>
      </c>
      <c r="K107" s="124" t="n">
        <f aca="false">IF(WEEKDAY(A107,3)&gt;4,0,(IF(A107&lt;K$2,0,IF(A107&lt;=K$3,1,0))))</f>
        <v>0</v>
      </c>
      <c r="L107" s="124" t="n">
        <f aca="false">J107*K107</f>
        <v>0</v>
      </c>
      <c r="M107" s="124" t="n">
        <f aca="false">SUM(J$97:J107)</f>
        <v>0</v>
      </c>
      <c r="N107" s="124" t="n">
        <f aca="false">SUM(J$6:J107)</f>
        <v>0</v>
      </c>
      <c r="P107" s="124" t="n">
        <f aca="false">D107/P$3</f>
        <v>0</v>
      </c>
      <c r="Q107" s="124" t="n">
        <f aca="false">E107/P$3</f>
        <v>0</v>
      </c>
      <c r="R107" s="124" t="n">
        <f aca="false">F107/R$3</f>
        <v>0</v>
      </c>
      <c r="S107" s="126" t="n">
        <f aca="false">J107/$R$3</f>
        <v>0</v>
      </c>
      <c r="T107" s="126" t="n">
        <f aca="false">L107/$R$3</f>
        <v>0</v>
      </c>
      <c r="U107" s="126" t="n">
        <f aca="false">I107/$R$3</f>
        <v>0</v>
      </c>
      <c r="V107" s="126" t="n">
        <f aca="false">M107/$R$3</f>
        <v>0</v>
      </c>
      <c r="W107" s="126" t="n">
        <f aca="false">N107/$R$3</f>
        <v>0</v>
      </c>
    </row>
    <row r="108" customFormat="false" ht="12.75" hidden="true" customHeight="false" outlineLevel="0" collapsed="false">
      <c r="A108" s="120" t="n">
        <f aca="false">A107+1</f>
        <v>36994</v>
      </c>
      <c r="B108" s="131" t="str">
        <f aca="false">INDEX('Master Data'!$A$2:$B$8,MATCH(WEEKDAY('Rio Cuarto Power Trading'!A108,3),'Master Data'!$A$2:$A$8,0),2)</f>
        <v>F</v>
      </c>
      <c r="D108" s="124" t="n">
        <v>0</v>
      </c>
      <c r="E108" s="124" t="n">
        <v>0</v>
      </c>
      <c r="F108" s="124" t="n">
        <v>0</v>
      </c>
      <c r="G108" s="124" t="n">
        <v>0</v>
      </c>
      <c r="I108" s="124" t="n">
        <f aca="false">IF(MONTH($A108)=MONTH($A107),IF(G108=0,I107,G108),G108)</f>
        <v>0</v>
      </c>
      <c r="J108" s="124" t="n">
        <f aca="false">IF(MONTH($A108)=MONTH($A107),SUM(I108-I107),I108)</f>
        <v>0</v>
      </c>
      <c r="K108" s="124" t="n">
        <f aca="false">IF(WEEKDAY(A108,3)&gt;4,0,(IF(A108&lt;K$2,0,IF(A108&lt;=K$3,1,0))))</f>
        <v>0</v>
      </c>
      <c r="L108" s="124" t="n">
        <f aca="false">J108*K108</f>
        <v>0</v>
      </c>
      <c r="M108" s="124" t="n">
        <f aca="false">SUM(J$97:J108)</f>
        <v>0</v>
      </c>
      <c r="N108" s="124" t="n">
        <f aca="false">SUM(J$6:J108)</f>
        <v>0</v>
      </c>
      <c r="P108" s="124" t="n">
        <f aca="false">D108/P$3</f>
        <v>0</v>
      </c>
      <c r="Q108" s="124" t="n">
        <f aca="false">E108/P$3</f>
        <v>0</v>
      </c>
      <c r="R108" s="124" t="n">
        <f aca="false">F108/R$3</f>
        <v>0</v>
      </c>
      <c r="S108" s="126" t="n">
        <f aca="false">J108/$R$3</f>
        <v>0</v>
      </c>
      <c r="T108" s="126" t="n">
        <f aca="false">L108/$R$3</f>
        <v>0</v>
      </c>
      <c r="U108" s="126" t="n">
        <f aca="false">I108/$R$3</f>
        <v>0</v>
      </c>
      <c r="V108" s="126" t="n">
        <f aca="false">M108/$R$3</f>
        <v>0</v>
      </c>
      <c r="W108" s="126" t="n">
        <f aca="false">N108/$R$3</f>
        <v>0</v>
      </c>
    </row>
    <row r="109" customFormat="false" ht="12.75" hidden="true" customHeight="false" outlineLevel="0" collapsed="false">
      <c r="A109" s="120" t="n">
        <f aca="false">A108+1</f>
        <v>36995</v>
      </c>
      <c r="B109" s="131" t="str">
        <f aca="false">INDEX('Master Data'!$A$2:$B$8,MATCH(WEEKDAY('Rio Cuarto Power Trading'!A109,3),'Master Data'!$A$2:$A$8,0),2)</f>
        <v>Sa</v>
      </c>
      <c r="D109" s="124" t="n">
        <v>0</v>
      </c>
      <c r="E109" s="124" t="n">
        <v>0</v>
      </c>
      <c r="F109" s="124" t="n">
        <v>0</v>
      </c>
      <c r="G109" s="124" t="n">
        <v>0</v>
      </c>
      <c r="I109" s="124" t="n">
        <f aca="false">IF(MONTH($A109)=MONTH($A108),IF(G109=0,I108,G109),G109)</f>
        <v>0</v>
      </c>
      <c r="J109" s="124" t="n">
        <f aca="false">IF(MONTH($A109)=MONTH($A108),SUM(I109-I108),I109)</f>
        <v>0</v>
      </c>
      <c r="K109" s="124" t="n">
        <f aca="false">IF(WEEKDAY(A109,3)&gt;4,0,(IF(A109&lt;K$2,0,IF(A109&lt;=K$3,1,0))))</f>
        <v>0</v>
      </c>
      <c r="L109" s="124" t="n">
        <f aca="false">J109*K109</f>
        <v>0</v>
      </c>
      <c r="M109" s="124" t="n">
        <f aca="false">SUM(J$97:J109)</f>
        <v>0</v>
      </c>
      <c r="N109" s="124" t="n">
        <f aca="false">SUM(J$6:J109)</f>
        <v>0</v>
      </c>
      <c r="P109" s="124" t="n">
        <f aca="false">D109/P$3</f>
        <v>0</v>
      </c>
      <c r="Q109" s="124" t="n">
        <f aca="false">E109/P$3</f>
        <v>0</v>
      </c>
      <c r="R109" s="124" t="n">
        <f aca="false">F109/R$3</f>
        <v>0</v>
      </c>
      <c r="S109" s="126" t="n">
        <f aca="false">J109/$R$3</f>
        <v>0</v>
      </c>
      <c r="T109" s="126" t="n">
        <f aca="false">L109/$R$3</f>
        <v>0</v>
      </c>
      <c r="U109" s="126" t="n">
        <f aca="false">I109/$R$3</f>
        <v>0</v>
      </c>
      <c r="V109" s="126" t="n">
        <f aca="false">M109/$R$3</f>
        <v>0</v>
      </c>
      <c r="W109" s="126" t="n">
        <f aca="false">N109/$R$3</f>
        <v>0</v>
      </c>
    </row>
    <row r="110" customFormat="false" ht="12.75" hidden="true" customHeight="false" outlineLevel="0" collapsed="false">
      <c r="A110" s="120" t="n">
        <f aca="false">A109+1</f>
        <v>36996</v>
      </c>
      <c r="B110" s="131" t="str">
        <f aca="false">INDEX('Master Data'!$A$2:$B$8,MATCH(WEEKDAY('Rio Cuarto Power Trading'!A110,3),'Master Data'!$A$2:$A$8,0),2)</f>
        <v>Su</v>
      </c>
      <c r="D110" s="124" t="n">
        <v>0</v>
      </c>
      <c r="E110" s="124" t="n">
        <v>0</v>
      </c>
      <c r="F110" s="124" t="n">
        <v>0</v>
      </c>
      <c r="G110" s="124" t="n">
        <v>0</v>
      </c>
      <c r="I110" s="124" t="n">
        <f aca="false">IF(MONTH($A110)=MONTH($A109),IF(G110=0,I109,G110),G110)</f>
        <v>0</v>
      </c>
      <c r="J110" s="124" t="n">
        <f aca="false">IF(MONTH($A110)=MONTH($A109),SUM(I110-I109),I110)</f>
        <v>0</v>
      </c>
      <c r="K110" s="124" t="n">
        <f aca="false">IF(WEEKDAY(A110,3)&gt;4,0,(IF(A110&lt;K$2,0,IF(A110&lt;=K$3,1,0))))</f>
        <v>0</v>
      </c>
      <c r="L110" s="124" t="n">
        <f aca="false">J110*K110</f>
        <v>0</v>
      </c>
      <c r="M110" s="124" t="n">
        <f aca="false">SUM(J$97:J110)</f>
        <v>0</v>
      </c>
      <c r="N110" s="124" t="n">
        <f aca="false">SUM(J$6:J110)</f>
        <v>0</v>
      </c>
      <c r="P110" s="124" t="n">
        <f aca="false">D110/P$3</f>
        <v>0</v>
      </c>
      <c r="Q110" s="124" t="n">
        <f aca="false">E110/P$3</f>
        <v>0</v>
      </c>
      <c r="R110" s="124" t="n">
        <f aca="false">F110/R$3</f>
        <v>0</v>
      </c>
      <c r="S110" s="126" t="n">
        <f aca="false">J110/$R$3</f>
        <v>0</v>
      </c>
      <c r="T110" s="126" t="n">
        <f aca="false">L110/$R$3</f>
        <v>0</v>
      </c>
      <c r="U110" s="126" t="n">
        <f aca="false">I110/$R$3</f>
        <v>0</v>
      </c>
      <c r="V110" s="126" t="n">
        <f aca="false">M110/$R$3</f>
        <v>0</v>
      </c>
      <c r="W110" s="126" t="n">
        <f aca="false">N110/$R$3</f>
        <v>0</v>
      </c>
    </row>
    <row r="111" customFormat="false" ht="12.75" hidden="true" customHeight="false" outlineLevel="0" collapsed="false">
      <c r="A111" s="120" t="n">
        <f aca="false">A110+1</f>
        <v>36997</v>
      </c>
      <c r="B111" s="131" t="str">
        <f aca="false">INDEX('Master Data'!$A$2:$B$8,MATCH(WEEKDAY('Rio Cuarto Power Trading'!A111,3),'Master Data'!$A$2:$A$8,0),2)</f>
        <v>M</v>
      </c>
      <c r="D111" s="124" t="n">
        <v>0</v>
      </c>
      <c r="E111" s="124" t="n">
        <v>0</v>
      </c>
      <c r="F111" s="124" t="n">
        <v>0</v>
      </c>
      <c r="G111" s="124" t="n">
        <v>0</v>
      </c>
      <c r="I111" s="124" t="n">
        <f aca="false">IF(MONTH($A111)=MONTH($A110),IF(G111=0,I110,G111),G111)</f>
        <v>0</v>
      </c>
      <c r="J111" s="124" t="n">
        <f aca="false">IF(MONTH($A111)=MONTH($A110),SUM(I111-I110),I111)</f>
        <v>0</v>
      </c>
      <c r="K111" s="124" t="n">
        <f aca="false">IF(WEEKDAY(A111,3)&gt;4,0,(IF(A111&lt;K$2,0,IF(A111&lt;=K$3,1,0))))</f>
        <v>0</v>
      </c>
      <c r="L111" s="124" t="n">
        <f aca="false">J111*K111</f>
        <v>0</v>
      </c>
      <c r="M111" s="124" t="n">
        <f aca="false">SUM(J$97:J111)</f>
        <v>0</v>
      </c>
      <c r="N111" s="124" t="n">
        <f aca="false">SUM(J$6:J111)</f>
        <v>0</v>
      </c>
      <c r="P111" s="124" t="n">
        <f aca="false">D111/P$3</f>
        <v>0</v>
      </c>
      <c r="Q111" s="124" t="n">
        <f aca="false">E111/P$3</f>
        <v>0</v>
      </c>
      <c r="R111" s="124" t="n">
        <f aca="false">F111/R$3</f>
        <v>0</v>
      </c>
      <c r="S111" s="126" t="n">
        <f aca="false">J111/$R$3</f>
        <v>0</v>
      </c>
      <c r="T111" s="126" t="n">
        <f aca="false">L111/$R$3</f>
        <v>0</v>
      </c>
      <c r="U111" s="126" t="n">
        <f aca="false">I111/$R$3</f>
        <v>0</v>
      </c>
      <c r="V111" s="126" t="n">
        <f aca="false">M111/$R$3</f>
        <v>0</v>
      </c>
      <c r="W111" s="126" t="n">
        <f aca="false">N111/$R$3</f>
        <v>0</v>
      </c>
    </row>
    <row r="112" customFormat="false" ht="12.75" hidden="true" customHeight="false" outlineLevel="0" collapsed="false">
      <c r="A112" s="120" t="n">
        <f aca="false">A111+1</f>
        <v>36998</v>
      </c>
      <c r="B112" s="131" t="str">
        <f aca="false">INDEX('Master Data'!$A$2:$B$8,MATCH(WEEKDAY('Rio Cuarto Power Trading'!A112,3),'Master Data'!$A$2:$A$8,0),2)</f>
        <v>T</v>
      </c>
      <c r="D112" s="124" t="n">
        <v>0</v>
      </c>
      <c r="E112" s="124" t="n">
        <v>0</v>
      </c>
      <c r="F112" s="124" t="n">
        <v>0</v>
      </c>
      <c r="G112" s="124" t="n">
        <v>0</v>
      </c>
      <c r="I112" s="124" t="n">
        <f aca="false">IF(MONTH($A112)=MONTH($A111),IF(G112=0,I111,G112),G112)</f>
        <v>0</v>
      </c>
      <c r="J112" s="124" t="n">
        <f aca="false">IF(MONTH($A112)=MONTH($A111),SUM(I112-I111),I112)</f>
        <v>0</v>
      </c>
      <c r="K112" s="124" t="n">
        <f aca="false">IF(WEEKDAY(A112,3)&gt;4,0,(IF(A112&lt;K$2,0,IF(A112&lt;=K$3,1,0))))</f>
        <v>0</v>
      </c>
      <c r="L112" s="124" t="n">
        <f aca="false">J112*K112</f>
        <v>0</v>
      </c>
      <c r="M112" s="124" t="n">
        <f aca="false">SUM(J$97:J112)</f>
        <v>0</v>
      </c>
      <c r="N112" s="124" t="n">
        <f aca="false">SUM(J$6:J112)</f>
        <v>0</v>
      </c>
      <c r="P112" s="124" t="n">
        <f aca="false">D112/P$3</f>
        <v>0</v>
      </c>
      <c r="Q112" s="124" t="n">
        <f aca="false">E112/P$3</f>
        <v>0</v>
      </c>
      <c r="R112" s="124" t="n">
        <f aca="false">F112/R$3</f>
        <v>0</v>
      </c>
      <c r="S112" s="126" t="n">
        <f aca="false">J112/$R$3</f>
        <v>0</v>
      </c>
      <c r="T112" s="126" t="n">
        <f aca="false">L112/$R$3</f>
        <v>0</v>
      </c>
      <c r="U112" s="126" t="n">
        <f aca="false">I112/$R$3</f>
        <v>0</v>
      </c>
      <c r="V112" s="126" t="n">
        <f aca="false">M112/$R$3</f>
        <v>0</v>
      </c>
      <c r="W112" s="126" t="n">
        <f aca="false">N112/$R$3</f>
        <v>0</v>
      </c>
    </row>
    <row r="113" customFormat="false" ht="12.75" hidden="true" customHeight="false" outlineLevel="0" collapsed="false">
      <c r="A113" s="120" t="n">
        <f aca="false">A112+1</f>
        <v>36999</v>
      </c>
      <c r="B113" s="131" t="str">
        <f aca="false">INDEX('Master Data'!$A$2:$B$8,MATCH(WEEKDAY('Rio Cuarto Power Trading'!A113,3),'Master Data'!$A$2:$A$8,0),2)</f>
        <v>W</v>
      </c>
      <c r="D113" s="124" t="n">
        <v>0</v>
      </c>
      <c r="E113" s="124" t="n">
        <v>0</v>
      </c>
      <c r="F113" s="124" t="n">
        <v>0</v>
      </c>
      <c r="G113" s="124" t="n">
        <v>0</v>
      </c>
      <c r="I113" s="124" t="n">
        <f aca="false">IF(MONTH($A113)=MONTH($A112),IF(G113=0,I112,G113),G113)</f>
        <v>0</v>
      </c>
      <c r="J113" s="124" t="n">
        <f aca="false">IF(MONTH($A113)=MONTH($A112),SUM(I113-I112),I113)</f>
        <v>0</v>
      </c>
      <c r="K113" s="124" t="n">
        <f aca="false">IF(WEEKDAY(A113,3)&gt;4,0,(IF(A113&lt;K$2,0,IF(A113&lt;=K$3,1,0))))</f>
        <v>0</v>
      </c>
      <c r="L113" s="124" t="n">
        <f aca="false">J113*K113</f>
        <v>0</v>
      </c>
      <c r="M113" s="124" t="n">
        <f aca="false">SUM(J$97:J113)</f>
        <v>0</v>
      </c>
      <c r="N113" s="124" t="n">
        <f aca="false">SUM(J$6:J113)</f>
        <v>0</v>
      </c>
      <c r="P113" s="124" t="n">
        <f aca="false">D113/P$3</f>
        <v>0</v>
      </c>
      <c r="Q113" s="124" t="n">
        <f aca="false">E113/P$3</f>
        <v>0</v>
      </c>
      <c r="R113" s="124" t="n">
        <f aca="false">F113/R$3</f>
        <v>0</v>
      </c>
      <c r="S113" s="126" t="n">
        <f aca="false">J113/$R$3</f>
        <v>0</v>
      </c>
      <c r="T113" s="126" t="n">
        <f aca="false">L113/$R$3</f>
        <v>0</v>
      </c>
      <c r="U113" s="126" t="n">
        <f aca="false">I113/$R$3</f>
        <v>0</v>
      </c>
      <c r="V113" s="126" t="n">
        <f aca="false">M113/$R$3</f>
        <v>0</v>
      </c>
      <c r="W113" s="126" t="n">
        <f aca="false">N113/$R$3</f>
        <v>0</v>
      </c>
    </row>
    <row r="114" customFormat="false" ht="12.75" hidden="true" customHeight="false" outlineLevel="0" collapsed="false">
      <c r="A114" s="120" t="n">
        <f aca="false">A113+1</f>
        <v>37000</v>
      </c>
      <c r="B114" s="131" t="str">
        <f aca="false">INDEX('Master Data'!$A$2:$B$8,MATCH(WEEKDAY('Rio Cuarto Power Trading'!A114,3),'Master Data'!$A$2:$A$8,0),2)</f>
        <v>Th</v>
      </c>
      <c r="D114" s="124" t="n">
        <v>0</v>
      </c>
      <c r="E114" s="124" t="n">
        <v>0</v>
      </c>
      <c r="F114" s="124" t="n">
        <v>0</v>
      </c>
      <c r="G114" s="124" t="n">
        <v>0</v>
      </c>
      <c r="I114" s="124" t="n">
        <f aca="false">IF(MONTH($A114)=MONTH($A113),IF(G114=0,I113,G114),G114)</f>
        <v>0</v>
      </c>
      <c r="J114" s="124" t="n">
        <f aca="false">IF(MONTH($A114)=MONTH($A113),SUM(I114-I113),I114)</f>
        <v>0</v>
      </c>
      <c r="K114" s="124" t="n">
        <f aca="false">IF(WEEKDAY(A114,3)&gt;4,0,(IF(A114&lt;K$2,0,IF(A114&lt;=K$3,1,0))))</f>
        <v>0</v>
      </c>
      <c r="L114" s="124" t="n">
        <f aca="false">J114*K114</f>
        <v>0</v>
      </c>
      <c r="M114" s="124" t="n">
        <f aca="false">SUM(J$97:J114)</f>
        <v>0</v>
      </c>
      <c r="N114" s="124" t="n">
        <f aca="false">SUM(J$6:J114)</f>
        <v>0</v>
      </c>
      <c r="P114" s="124" t="n">
        <f aca="false">D114/P$3</f>
        <v>0</v>
      </c>
      <c r="Q114" s="124" t="n">
        <f aca="false">E114/P$3</f>
        <v>0</v>
      </c>
      <c r="R114" s="124" t="n">
        <f aca="false">F114/R$3</f>
        <v>0</v>
      </c>
      <c r="S114" s="126" t="n">
        <f aca="false">J114/$R$3</f>
        <v>0</v>
      </c>
      <c r="T114" s="126" t="n">
        <f aca="false">L114/$R$3</f>
        <v>0</v>
      </c>
      <c r="U114" s="126" t="n">
        <f aca="false">I114/$R$3</f>
        <v>0</v>
      </c>
      <c r="V114" s="126" t="n">
        <f aca="false">M114/$R$3</f>
        <v>0</v>
      </c>
      <c r="W114" s="126" t="n">
        <f aca="false">N114/$R$3</f>
        <v>0</v>
      </c>
    </row>
    <row r="115" customFormat="false" ht="12.75" hidden="true" customHeight="false" outlineLevel="0" collapsed="false">
      <c r="A115" s="120" t="n">
        <f aca="false">A114+1</f>
        <v>37001</v>
      </c>
      <c r="B115" s="131" t="str">
        <f aca="false">INDEX('Master Data'!$A$2:$B$8,MATCH(WEEKDAY('Rio Cuarto Power Trading'!A115,3),'Master Data'!$A$2:$A$8,0),2)</f>
        <v>F</v>
      </c>
      <c r="D115" s="124" t="n">
        <v>0</v>
      </c>
      <c r="E115" s="124" t="n">
        <v>0</v>
      </c>
      <c r="F115" s="124" t="n">
        <v>0</v>
      </c>
      <c r="G115" s="124" t="n">
        <v>0</v>
      </c>
      <c r="I115" s="124" t="n">
        <f aca="false">IF(MONTH($A115)=MONTH($A114),IF(G115=0,I114,G115),G115)</f>
        <v>0</v>
      </c>
      <c r="J115" s="124" t="n">
        <f aca="false">IF(MONTH($A115)=MONTH($A114),SUM(I115-I114),I115)</f>
        <v>0</v>
      </c>
      <c r="K115" s="124" t="n">
        <f aca="false">IF(WEEKDAY(A115,3)&gt;4,0,(IF(A115&lt;K$2,0,IF(A115&lt;=K$3,1,0))))</f>
        <v>0</v>
      </c>
      <c r="L115" s="124" t="n">
        <f aca="false">J115*K115</f>
        <v>0</v>
      </c>
      <c r="M115" s="124" t="n">
        <f aca="false">SUM(J$97:J115)</f>
        <v>0</v>
      </c>
      <c r="N115" s="124" t="n">
        <f aca="false">SUM(J$6:J115)</f>
        <v>0</v>
      </c>
      <c r="P115" s="124" t="n">
        <f aca="false">D115/P$3</f>
        <v>0</v>
      </c>
      <c r="Q115" s="124" t="n">
        <f aca="false">E115/P$3</f>
        <v>0</v>
      </c>
      <c r="R115" s="124" t="n">
        <f aca="false">F115/R$3</f>
        <v>0</v>
      </c>
      <c r="S115" s="126" t="n">
        <f aca="false">J115/$R$3</f>
        <v>0</v>
      </c>
      <c r="T115" s="126" t="n">
        <f aca="false">L115/$R$3</f>
        <v>0</v>
      </c>
      <c r="U115" s="126" t="n">
        <f aca="false">I115/$R$3</f>
        <v>0</v>
      </c>
      <c r="V115" s="126" t="n">
        <f aca="false">M115/$R$3</f>
        <v>0</v>
      </c>
      <c r="W115" s="126" t="n">
        <f aca="false">N115/$R$3</f>
        <v>0</v>
      </c>
    </row>
    <row r="116" customFormat="false" ht="12.75" hidden="true" customHeight="false" outlineLevel="0" collapsed="false">
      <c r="A116" s="120" t="n">
        <f aca="false">A115+1</f>
        <v>37002</v>
      </c>
      <c r="B116" s="131" t="str">
        <f aca="false">INDEX('Master Data'!$A$2:$B$8,MATCH(WEEKDAY('Rio Cuarto Power Trading'!A116,3),'Master Data'!$A$2:$A$8,0),2)</f>
        <v>Sa</v>
      </c>
      <c r="D116" s="124" t="n">
        <v>0</v>
      </c>
      <c r="E116" s="124" t="n">
        <v>0</v>
      </c>
      <c r="F116" s="124" t="n">
        <v>0</v>
      </c>
      <c r="G116" s="124" t="n">
        <v>0</v>
      </c>
      <c r="I116" s="124" t="n">
        <f aca="false">IF(MONTH($A116)=MONTH($A115),IF(G116=0,I115,G116),G116)</f>
        <v>0</v>
      </c>
      <c r="J116" s="124" t="n">
        <f aca="false">IF(MONTH($A116)=MONTH($A115),SUM(I116-I115),I116)</f>
        <v>0</v>
      </c>
      <c r="K116" s="124" t="n">
        <f aca="false">IF(WEEKDAY(A116,3)&gt;4,0,(IF(A116&lt;K$2,0,IF(A116&lt;=K$3,1,0))))</f>
        <v>0</v>
      </c>
      <c r="L116" s="124" t="n">
        <f aca="false">J116*K116</f>
        <v>0</v>
      </c>
      <c r="M116" s="124" t="n">
        <f aca="false">SUM(J$97:J116)</f>
        <v>0</v>
      </c>
      <c r="N116" s="124" t="n">
        <f aca="false">SUM(J$6:J116)</f>
        <v>0</v>
      </c>
      <c r="P116" s="124" t="n">
        <f aca="false">D116/P$3</f>
        <v>0</v>
      </c>
      <c r="Q116" s="124" t="n">
        <f aca="false">E116/P$3</f>
        <v>0</v>
      </c>
      <c r="R116" s="124" t="n">
        <f aca="false">F116/R$3</f>
        <v>0</v>
      </c>
      <c r="S116" s="126" t="n">
        <f aca="false">J116/$R$3</f>
        <v>0</v>
      </c>
      <c r="T116" s="126" t="n">
        <f aca="false">L116/$R$3</f>
        <v>0</v>
      </c>
      <c r="U116" s="126" t="n">
        <f aca="false">I116/$R$3</f>
        <v>0</v>
      </c>
      <c r="V116" s="126" t="n">
        <f aca="false">M116/$R$3</f>
        <v>0</v>
      </c>
      <c r="W116" s="126" t="n">
        <f aca="false">N116/$R$3</f>
        <v>0</v>
      </c>
    </row>
    <row r="117" customFormat="false" ht="12.75" hidden="true" customHeight="false" outlineLevel="0" collapsed="false">
      <c r="A117" s="120" t="n">
        <f aca="false">A116+1</f>
        <v>37003</v>
      </c>
      <c r="B117" s="131" t="str">
        <f aca="false">INDEX('Master Data'!$A$2:$B$8,MATCH(WEEKDAY('Rio Cuarto Power Trading'!A117,3),'Master Data'!$A$2:$A$8,0),2)</f>
        <v>Su</v>
      </c>
      <c r="D117" s="124" t="n">
        <v>0</v>
      </c>
      <c r="E117" s="124" t="n">
        <v>0</v>
      </c>
      <c r="F117" s="124" t="n">
        <v>0</v>
      </c>
      <c r="G117" s="124" t="n">
        <v>0</v>
      </c>
      <c r="I117" s="124" t="n">
        <f aca="false">IF(MONTH($A117)=MONTH($A116),IF(G117=0,I116,G117),G117)</f>
        <v>0</v>
      </c>
      <c r="J117" s="124" t="n">
        <f aca="false">IF(MONTH($A117)=MONTH($A116),SUM(I117-I116),I117)</f>
        <v>0</v>
      </c>
      <c r="K117" s="124" t="n">
        <f aca="false">IF(WEEKDAY(A117,3)&gt;4,0,(IF(A117&lt;K$2,0,IF(A117&lt;=K$3,1,0))))</f>
        <v>0</v>
      </c>
      <c r="L117" s="124" t="n">
        <f aca="false">J117*K117</f>
        <v>0</v>
      </c>
      <c r="M117" s="124" t="n">
        <f aca="false">SUM(J$97:J117)</f>
        <v>0</v>
      </c>
      <c r="N117" s="124" t="n">
        <f aca="false">SUM(J$6:J117)</f>
        <v>0</v>
      </c>
      <c r="P117" s="124" t="n">
        <f aca="false">D117/P$3</f>
        <v>0</v>
      </c>
      <c r="Q117" s="124" t="n">
        <f aca="false">E117/P$3</f>
        <v>0</v>
      </c>
      <c r="R117" s="124" t="n">
        <f aca="false">F117/R$3</f>
        <v>0</v>
      </c>
      <c r="S117" s="126" t="n">
        <f aca="false">J117/$R$3</f>
        <v>0</v>
      </c>
      <c r="T117" s="126" t="n">
        <f aca="false">L117/$R$3</f>
        <v>0</v>
      </c>
      <c r="U117" s="126" t="n">
        <f aca="false">I117/$R$3</f>
        <v>0</v>
      </c>
      <c r="V117" s="126" t="n">
        <f aca="false">M117/$R$3</f>
        <v>0</v>
      </c>
      <c r="W117" s="126" t="n">
        <f aca="false">N117/$R$3</f>
        <v>0</v>
      </c>
    </row>
    <row r="118" customFormat="false" ht="12.75" hidden="true" customHeight="false" outlineLevel="0" collapsed="false">
      <c r="A118" s="120" t="n">
        <f aca="false">A117+1</f>
        <v>37004</v>
      </c>
      <c r="B118" s="131" t="str">
        <f aca="false">INDEX('Master Data'!$A$2:$B$8,MATCH(WEEKDAY('Rio Cuarto Power Trading'!A118,3),'Master Data'!$A$2:$A$8,0),2)</f>
        <v>M</v>
      </c>
      <c r="D118" s="124" t="n">
        <v>0</v>
      </c>
      <c r="E118" s="124" t="n">
        <v>0</v>
      </c>
      <c r="F118" s="124" t="n">
        <v>0</v>
      </c>
      <c r="G118" s="124" t="n">
        <v>0</v>
      </c>
      <c r="I118" s="124" t="n">
        <f aca="false">IF(MONTH($A118)=MONTH($A117),IF(G118=0,I117,G118),G118)</f>
        <v>0</v>
      </c>
      <c r="J118" s="124" t="n">
        <f aca="false">IF(MONTH($A118)=MONTH($A117),SUM(I118-I117),I118)</f>
        <v>0</v>
      </c>
      <c r="K118" s="124" t="n">
        <f aca="false">IF(WEEKDAY(A118,3)&gt;4,0,(IF(A118&lt;K$2,0,IF(A118&lt;=K$3,1,0))))</f>
        <v>0</v>
      </c>
      <c r="L118" s="124" t="n">
        <f aca="false">J118*K118</f>
        <v>0</v>
      </c>
      <c r="M118" s="124" t="n">
        <f aca="false">SUM(J$97:J118)</f>
        <v>0</v>
      </c>
      <c r="N118" s="124" t="n">
        <f aca="false">SUM(J$6:J118)</f>
        <v>0</v>
      </c>
      <c r="P118" s="124" t="n">
        <f aca="false">D118/P$3</f>
        <v>0</v>
      </c>
      <c r="Q118" s="124" t="n">
        <f aca="false">E118/P$3</f>
        <v>0</v>
      </c>
      <c r="R118" s="124" t="n">
        <f aca="false">F118/R$3</f>
        <v>0</v>
      </c>
      <c r="S118" s="126" t="n">
        <f aca="false">J118/$R$3</f>
        <v>0</v>
      </c>
      <c r="T118" s="126" t="n">
        <f aca="false">L118/$R$3</f>
        <v>0</v>
      </c>
      <c r="U118" s="126" t="n">
        <f aca="false">I118/$R$3</f>
        <v>0</v>
      </c>
      <c r="V118" s="126" t="n">
        <f aca="false">M118/$R$3</f>
        <v>0</v>
      </c>
      <c r="W118" s="126" t="n">
        <f aca="false">N118/$R$3</f>
        <v>0</v>
      </c>
    </row>
    <row r="119" customFormat="false" ht="12.75" hidden="true" customHeight="false" outlineLevel="0" collapsed="false">
      <c r="A119" s="120" t="n">
        <f aca="false">A118+1</f>
        <v>37005</v>
      </c>
      <c r="B119" s="131" t="str">
        <f aca="false">INDEX('Master Data'!$A$2:$B$8,MATCH(WEEKDAY('Rio Cuarto Power Trading'!A119,3),'Master Data'!$A$2:$A$8,0),2)</f>
        <v>T</v>
      </c>
      <c r="D119" s="124" t="n">
        <v>0</v>
      </c>
      <c r="E119" s="124" t="n">
        <v>0</v>
      </c>
      <c r="F119" s="124" t="n">
        <v>0</v>
      </c>
      <c r="G119" s="124" t="n">
        <v>0</v>
      </c>
      <c r="I119" s="124" t="n">
        <f aca="false">IF(MONTH($A119)=MONTH($A118),IF(G119=0,I118,G119),G119)</f>
        <v>0</v>
      </c>
      <c r="J119" s="124" t="n">
        <f aca="false">IF(MONTH($A119)=MONTH($A118),SUM(I119-I118),I119)</f>
        <v>0</v>
      </c>
      <c r="K119" s="124" t="n">
        <f aca="false">IF(WEEKDAY(A119,3)&gt;4,0,(IF(A119&lt;K$2,0,IF(A119&lt;=K$3,1,0))))</f>
        <v>0</v>
      </c>
      <c r="L119" s="124" t="n">
        <f aca="false">J119*K119</f>
        <v>0</v>
      </c>
      <c r="M119" s="124" t="n">
        <f aca="false">SUM(J$97:J119)</f>
        <v>0</v>
      </c>
      <c r="N119" s="124" t="n">
        <f aca="false">SUM(J$6:J119)</f>
        <v>0</v>
      </c>
      <c r="P119" s="124" t="n">
        <f aca="false">D119/P$3</f>
        <v>0</v>
      </c>
      <c r="Q119" s="124" t="n">
        <f aca="false">E119/P$3</f>
        <v>0</v>
      </c>
      <c r="R119" s="124" t="n">
        <f aca="false">F119/R$3</f>
        <v>0</v>
      </c>
      <c r="S119" s="126" t="n">
        <f aca="false">J119/$R$3</f>
        <v>0</v>
      </c>
      <c r="T119" s="126" t="n">
        <f aca="false">L119/$R$3</f>
        <v>0</v>
      </c>
      <c r="U119" s="126" t="n">
        <f aca="false">I119/$R$3</f>
        <v>0</v>
      </c>
      <c r="V119" s="126" t="n">
        <f aca="false">M119/$R$3</f>
        <v>0</v>
      </c>
      <c r="W119" s="126" t="n">
        <f aca="false">N119/$R$3</f>
        <v>0</v>
      </c>
    </row>
    <row r="120" customFormat="false" ht="12.75" hidden="true" customHeight="false" outlineLevel="0" collapsed="false">
      <c r="A120" s="120" t="n">
        <f aca="false">A119+1</f>
        <v>37006</v>
      </c>
      <c r="B120" s="131" t="str">
        <f aca="false">INDEX('Master Data'!$A$2:$B$8,MATCH(WEEKDAY('Rio Cuarto Power Trading'!A120,3),'Master Data'!$A$2:$A$8,0),2)</f>
        <v>W</v>
      </c>
      <c r="D120" s="124" t="n">
        <v>0</v>
      </c>
      <c r="E120" s="124" t="n">
        <v>0</v>
      </c>
      <c r="F120" s="124" t="n">
        <v>0</v>
      </c>
      <c r="G120" s="124" t="n">
        <v>0</v>
      </c>
      <c r="I120" s="124" t="n">
        <f aca="false">IF(MONTH($A120)=MONTH($A119),IF(G120=0,I119,G120),G120)</f>
        <v>0</v>
      </c>
      <c r="J120" s="124" t="n">
        <f aca="false">IF(MONTH($A120)=MONTH($A119),SUM(I120-I119),I120)</f>
        <v>0</v>
      </c>
      <c r="K120" s="124" t="n">
        <f aca="false">IF(WEEKDAY(A120,3)&gt;4,0,(IF(A120&lt;K$2,0,IF(A120&lt;=K$3,1,0))))</f>
        <v>0</v>
      </c>
      <c r="L120" s="124" t="n">
        <f aca="false">J120*K120</f>
        <v>0</v>
      </c>
      <c r="M120" s="124" t="n">
        <f aca="false">SUM(J$97:J120)</f>
        <v>0</v>
      </c>
      <c r="N120" s="124" t="n">
        <f aca="false">SUM(J$6:J120)</f>
        <v>0</v>
      </c>
      <c r="P120" s="124" t="n">
        <f aca="false">D120/P$3</f>
        <v>0</v>
      </c>
      <c r="Q120" s="124" t="n">
        <f aca="false">E120/P$3</f>
        <v>0</v>
      </c>
      <c r="R120" s="124" t="n">
        <f aca="false">F120/R$3</f>
        <v>0</v>
      </c>
      <c r="S120" s="126" t="n">
        <f aca="false">J120/$R$3</f>
        <v>0</v>
      </c>
      <c r="T120" s="126" t="n">
        <f aca="false">L120/$R$3</f>
        <v>0</v>
      </c>
      <c r="U120" s="126" t="n">
        <f aca="false">I120/$R$3</f>
        <v>0</v>
      </c>
      <c r="V120" s="126" t="n">
        <f aca="false">M120/$R$3</f>
        <v>0</v>
      </c>
      <c r="W120" s="126" t="n">
        <f aca="false">N120/$R$3</f>
        <v>0</v>
      </c>
    </row>
    <row r="121" customFormat="false" ht="12.75" hidden="true" customHeight="false" outlineLevel="0" collapsed="false">
      <c r="A121" s="120" t="n">
        <f aca="false">A120+1</f>
        <v>37007</v>
      </c>
      <c r="B121" s="131" t="str">
        <f aca="false">INDEX('Master Data'!$A$2:$B$8,MATCH(WEEKDAY('Rio Cuarto Power Trading'!A121,3),'Master Data'!$A$2:$A$8,0),2)</f>
        <v>Th</v>
      </c>
      <c r="D121" s="124" t="n">
        <v>0</v>
      </c>
      <c r="E121" s="124" t="n">
        <v>0</v>
      </c>
      <c r="F121" s="124" t="n">
        <v>0</v>
      </c>
      <c r="G121" s="124" t="n">
        <v>0</v>
      </c>
      <c r="I121" s="124" t="n">
        <f aca="false">IF(MONTH($A121)=MONTH($A120),IF(G121=0,I120,G121),G121)</f>
        <v>0</v>
      </c>
      <c r="J121" s="124" t="n">
        <f aca="false">IF(MONTH($A121)=MONTH($A120),SUM(I121-I120),I121)</f>
        <v>0</v>
      </c>
      <c r="K121" s="124" t="n">
        <f aca="false">IF(WEEKDAY(A121,3)&gt;4,0,(IF(A121&lt;K$2,0,IF(A121&lt;=K$3,1,0))))</f>
        <v>0</v>
      </c>
      <c r="L121" s="124" t="n">
        <f aca="false">J121*K121</f>
        <v>0</v>
      </c>
      <c r="M121" s="124" t="n">
        <f aca="false">SUM(J$97:J121)</f>
        <v>0</v>
      </c>
      <c r="N121" s="124" t="n">
        <f aca="false">SUM(J$6:J121)</f>
        <v>0</v>
      </c>
      <c r="P121" s="124" t="n">
        <f aca="false">D121/P$3</f>
        <v>0</v>
      </c>
      <c r="Q121" s="124" t="n">
        <f aca="false">E121/P$3</f>
        <v>0</v>
      </c>
      <c r="R121" s="124" t="n">
        <f aca="false">F121/R$3</f>
        <v>0</v>
      </c>
      <c r="S121" s="126" t="n">
        <f aca="false">J121/$R$3</f>
        <v>0</v>
      </c>
      <c r="T121" s="126" t="n">
        <f aca="false">L121/$R$3</f>
        <v>0</v>
      </c>
      <c r="U121" s="126" t="n">
        <f aca="false">I121/$R$3</f>
        <v>0</v>
      </c>
      <c r="V121" s="126" t="n">
        <f aca="false">M121/$R$3</f>
        <v>0</v>
      </c>
      <c r="W121" s="126" t="n">
        <f aca="false">N121/$R$3</f>
        <v>0</v>
      </c>
    </row>
    <row r="122" customFormat="false" ht="12.75" hidden="true" customHeight="false" outlineLevel="0" collapsed="false">
      <c r="A122" s="120" t="n">
        <f aca="false">A121+1</f>
        <v>37008</v>
      </c>
      <c r="B122" s="131" t="str">
        <f aca="false">INDEX('Master Data'!$A$2:$B$8,MATCH(WEEKDAY('Rio Cuarto Power Trading'!A122,3),'Master Data'!$A$2:$A$8,0),2)</f>
        <v>F</v>
      </c>
      <c r="D122" s="124" t="n">
        <v>0</v>
      </c>
      <c r="E122" s="124" t="n">
        <v>0</v>
      </c>
      <c r="F122" s="124" t="n">
        <v>0</v>
      </c>
      <c r="G122" s="124" t="n">
        <v>0</v>
      </c>
      <c r="I122" s="124" t="n">
        <f aca="false">IF(MONTH($A122)=MONTH($A121),IF(G122=0,I121,G122),G122)</f>
        <v>0</v>
      </c>
      <c r="J122" s="124" t="n">
        <f aca="false">IF(MONTH($A122)=MONTH($A121),SUM(I122-I121),I122)</f>
        <v>0</v>
      </c>
      <c r="K122" s="124" t="n">
        <f aca="false">IF(WEEKDAY(A122,3)&gt;4,0,(IF(A122&lt;K$2,0,IF(A122&lt;=K$3,1,0))))</f>
        <v>0</v>
      </c>
      <c r="L122" s="124" t="n">
        <f aca="false">J122*K122</f>
        <v>0</v>
      </c>
      <c r="M122" s="124" t="n">
        <f aca="false">SUM(J$97:J122)</f>
        <v>0</v>
      </c>
      <c r="N122" s="124" t="n">
        <f aca="false">SUM(J$6:J122)</f>
        <v>0</v>
      </c>
      <c r="P122" s="124" t="n">
        <f aca="false">D122/P$3</f>
        <v>0</v>
      </c>
      <c r="Q122" s="124" t="n">
        <f aca="false">E122/P$3</f>
        <v>0</v>
      </c>
      <c r="R122" s="124" t="n">
        <f aca="false">F122/R$3</f>
        <v>0</v>
      </c>
      <c r="S122" s="126" t="n">
        <f aca="false">J122/$R$3</f>
        <v>0</v>
      </c>
      <c r="T122" s="126" t="n">
        <f aca="false">L122/$R$3</f>
        <v>0</v>
      </c>
      <c r="U122" s="126" t="n">
        <f aca="false">I122/$R$3</f>
        <v>0</v>
      </c>
      <c r="V122" s="126" t="n">
        <f aca="false">M122/$R$3</f>
        <v>0</v>
      </c>
      <c r="W122" s="126" t="n">
        <f aca="false">N122/$R$3</f>
        <v>0</v>
      </c>
    </row>
    <row r="123" customFormat="false" ht="12.75" hidden="true" customHeight="false" outlineLevel="0" collapsed="false">
      <c r="A123" s="120" t="n">
        <f aca="false">A122+1</f>
        <v>37009</v>
      </c>
      <c r="B123" s="131" t="str">
        <f aca="false">INDEX('Master Data'!$A$2:$B$8,MATCH(WEEKDAY('Rio Cuarto Power Trading'!A123,3),'Master Data'!$A$2:$A$8,0),2)</f>
        <v>Sa</v>
      </c>
      <c r="D123" s="124" t="n">
        <v>0</v>
      </c>
      <c r="E123" s="124" t="n">
        <v>0</v>
      </c>
      <c r="F123" s="124" t="n">
        <v>0</v>
      </c>
      <c r="G123" s="124" t="n">
        <v>0</v>
      </c>
      <c r="I123" s="124" t="n">
        <f aca="false">IF(MONTH($A123)=MONTH($A122),IF(G123=0,I122,G123),G123)</f>
        <v>0</v>
      </c>
      <c r="J123" s="124" t="n">
        <f aca="false">IF(MONTH($A123)=MONTH($A122),SUM(I123-I122),I123)</f>
        <v>0</v>
      </c>
      <c r="K123" s="124" t="n">
        <f aca="false">IF(WEEKDAY(A123,3)&gt;4,0,(IF(A123&lt;K$2,0,IF(A123&lt;=K$3,1,0))))</f>
        <v>0</v>
      </c>
      <c r="L123" s="124" t="n">
        <f aca="false">J123*K123</f>
        <v>0</v>
      </c>
      <c r="M123" s="124" t="n">
        <f aca="false">SUM(J$97:J123)</f>
        <v>0</v>
      </c>
      <c r="N123" s="124" t="n">
        <f aca="false">SUM(J$6:J123)</f>
        <v>0</v>
      </c>
      <c r="P123" s="124" t="n">
        <f aca="false">D123/P$3</f>
        <v>0</v>
      </c>
      <c r="Q123" s="124" t="n">
        <f aca="false">E123/P$3</f>
        <v>0</v>
      </c>
      <c r="R123" s="124" t="n">
        <f aca="false">F123/R$3</f>
        <v>0</v>
      </c>
      <c r="S123" s="126" t="n">
        <f aca="false">J123/$R$3</f>
        <v>0</v>
      </c>
      <c r="T123" s="126" t="n">
        <f aca="false">L123/$R$3</f>
        <v>0</v>
      </c>
      <c r="U123" s="126" t="n">
        <f aca="false">I123/$R$3</f>
        <v>0</v>
      </c>
      <c r="V123" s="126" t="n">
        <f aca="false">M123/$R$3</f>
        <v>0</v>
      </c>
      <c r="W123" s="126" t="n">
        <f aca="false">N123/$R$3</f>
        <v>0</v>
      </c>
    </row>
    <row r="124" customFormat="false" ht="12.75" hidden="true" customHeight="false" outlineLevel="0" collapsed="false">
      <c r="A124" s="120" t="n">
        <f aca="false">A123+1</f>
        <v>37010</v>
      </c>
      <c r="B124" s="131" t="str">
        <f aca="false">INDEX('Master Data'!$A$2:$B$8,MATCH(WEEKDAY('Rio Cuarto Power Trading'!A124,3),'Master Data'!$A$2:$A$8,0),2)</f>
        <v>Su</v>
      </c>
      <c r="D124" s="124" t="n">
        <v>0</v>
      </c>
      <c r="E124" s="124" t="n">
        <v>0</v>
      </c>
      <c r="F124" s="124" t="n">
        <v>0</v>
      </c>
      <c r="G124" s="124" t="n">
        <v>0</v>
      </c>
      <c r="I124" s="124" t="n">
        <f aca="false">IF(MONTH($A124)=MONTH($A123),IF(G124=0,I123,G124),G124)</f>
        <v>0</v>
      </c>
      <c r="J124" s="124" t="n">
        <f aca="false">IF(MONTH($A124)=MONTH($A123),SUM(I124-I123),I124)</f>
        <v>0</v>
      </c>
      <c r="K124" s="124" t="n">
        <f aca="false">IF(WEEKDAY(A124,3)&gt;4,0,(IF(A124&lt;K$2,0,IF(A124&lt;=K$3,1,0))))</f>
        <v>0</v>
      </c>
      <c r="L124" s="124" t="n">
        <f aca="false">J124*K124</f>
        <v>0</v>
      </c>
      <c r="M124" s="124" t="n">
        <f aca="false">SUM(J$97:J124)</f>
        <v>0</v>
      </c>
      <c r="N124" s="124" t="n">
        <f aca="false">SUM(J$6:J124)</f>
        <v>0</v>
      </c>
      <c r="P124" s="124" t="n">
        <f aca="false">D124/P$3</f>
        <v>0</v>
      </c>
      <c r="Q124" s="124" t="n">
        <f aca="false">E124/P$3</f>
        <v>0</v>
      </c>
      <c r="R124" s="124" t="n">
        <f aca="false">F124/R$3</f>
        <v>0</v>
      </c>
      <c r="S124" s="126" t="n">
        <f aca="false">J124/$R$3</f>
        <v>0</v>
      </c>
      <c r="T124" s="126" t="n">
        <f aca="false">L124/$R$3</f>
        <v>0</v>
      </c>
      <c r="U124" s="126" t="n">
        <f aca="false">I124/$R$3</f>
        <v>0</v>
      </c>
      <c r="V124" s="126" t="n">
        <f aca="false">M124/$R$3</f>
        <v>0</v>
      </c>
      <c r="W124" s="126" t="n">
        <f aca="false">N124/$R$3</f>
        <v>0</v>
      </c>
    </row>
    <row r="125" customFormat="false" ht="12.75" hidden="true" customHeight="false" outlineLevel="0" collapsed="false">
      <c r="A125" s="120" t="n">
        <f aca="false">A124+1</f>
        <v>37011</v>
      </c>
      <c r="B125" s="131" t="str">
        <f aca="false">INDEX('Master Data'!$A$2:$B$8,MATCH(WEEKDAY('Rio Cuarto Power Trading'!A125,3),'Master Data'!$A$2:$A$8,0),2)</f>
        <v>M</v>
      </c>
      <c r="D125" s="124" t="n">
        <v>0</v>
      </c>
      <c r="E125" s="124" t="n">
        <v>0</v>
      </c>
      <c r="F125" s="124" t="n">
        <v>0</v>
      </c>
      <c r="G125" s="124" t="n">
        <v>0</v>
      </c>
      <c r="I125" s="124" t="n">
        <f aca="false">IF(MONTH($A125)=MONTH($A124),IF(G125=0,I124,G125),G125)</f>
        <v>0</v>
      </c>
      <c r="J125" s="124" t="n">
        <f aca="false">IF(MONTH($A125)=MONTH($A124),SUM(I125-I124),I125)</f>
        <v>0</v>
      </c>
      <c r="K125" s="124" t="n">
        <f aca="false">IF(WEEKDAY(A125,3)&gt;4,0,(IF(A125&lt;K$2,0,IF(A125&lt;=K$3,1,0))))</f>
        <v>0</v>
      </c>
      <c r="L125" s="124" t="n">
        <f aca="false">J125*K125</f>
        <v>0</v>
      </c>
      <c r="M125" s="124" t="n">
        <f aca="false">SUM(J$97:J125)</f>
        <v>0</v>
      </c>
      <c r="N125" s="124" t="n">
        <f aca="false">SUM(J$6:J125)</f>
        <v>0</v>
      </c>
      <c r="P125" s="124" t="n">
        <f aca="false">D125/P$3</f>
        <v>0</v>
      </c>
      <c r="Q125" s="124" t="n">
        <f aca="false">E125/P$3</f>
        <v>0</v>
      </c>
      <c r="R125" s="124" t="n">
        <f aca="false">F125/R$3</f>
        <v>0</v>
      </c>
      <c r="S125" s="126" t="n">
        <f aca="false">J125/$R$3</f>
        <v>0</v>
      </c>
      <c r="T125" s="126" t="n">
        <f aca="false">L125/$R$3</f>
        <v>0</v>
      </c>
      <c r="U125" s="126" t="n">
        <f aca="false">I125/$R$3</f>
        <v>0</v>
      </c>
      <c r="V125" s="126" t="n">
        <f aca="false">M125/$R$3</f>
        <v>0</v>
      </c>
      <c r="W125" s="126" t="n">
        <f aca="false">N125/$R$3</f>
        <v>0</v>
      </c>
    </row>
    <row r="126" customFormat="false" ht="12.75" hidden="true" customHeight="false" outlineLevel="0" collapsed="false">
      <c r="A126" s="120" t="n">
        <f aca="false">A125+1</f>
        <v>37012</v>
      </c>
      <c r="B126" s="131" t="str">
        <f aca="false">INDEX('Master Data'!$A$2:$B$8,MATCH(WEEKDAY('Rio Cuarto Power Trading'!A126,3),'Master Data'!$A$2:$A$8,0),2)</f>
        <v>T</v>
      </c>
      <c r="D126" s="124" t="n">
        <v>0</v>
      </c>
      <c r="E126" s="124" t="n">
        <v>0</v>
      </c>
      <c r="F126" s="124" t="n">
        <v>0</v>
      </c>
      <c r="G126" s="124" t="n">
        <v>0</v>
      </c>
      <c r="I126" s="124" t="n">
        <f aca="false">IF(MONTH($A126)=MONTH($A125),IF(G126=0,I125,G126),G126)</f>
        <v>0</v>
      </c>
      <c r="J126" s="124" t="n">
        <f aca="false">IF(MONTH($A126)=MONTH($A125),SUM(I126-I125),I126)</f>
        <v>0</v>
      </c>
      <c r="K126" s="124" t="n">
        <f aca="false">IF(WEEKDAY(A126,3)&gt;4,0,(IF(A126&lt;K$2,0,IF(A126&lt;=K$3,1,0))))</f>
        <v>0</v>
      </c>
      <c r="L126" s="124" t="n">
        <f aca="false">J126*K126</f>
        <v>0</v>
      </c>
      <c r="M126" s="124" t="n">
        <f aca="false">SUM(J$97:J126)</f>
        <v>0</v>
      </c>
      <c r="N126" s="124" t="n">
        <f aca="false">SUM(J$6:J126)</f>
        <v>0</v>
      </c>
      <c r="P126" s="124" t="n">
        <f aca="false">D126/P$3</f>
        <v>0</v>
      </c>
      <c r="Q126" s="124" t="n">
        <f aca="false">E126/P$3</f>
        <v>0</v>
      </c>
      <c r="R126" s="124" t="n">
        <f aca="false">F126/R$3</f>
        <v>0</v>
      </c>
      <c r="S126" s="126" t="n">
        <f aca="false">J126/$R$3</f>
        <v>0</v>
      </c>
      <c r="T126" s="126" t="n">
        <f aca="false">L126/$R$3</f>
        <v>0</v>
      </c>
      <c r="U126" s="126" t="n">
        <f aca="false">I126/$R$3</f>
        <v>0</v>
      </c>
      <c r="V126" s="126" t="n">
        <f aca="false">M126/$R$3</f>
        <v>0</v>
      </c>
      <c r="W126" s="126" t="n">
        <f aca="false">N126/$R$3</f>
        <v>0</v>
      </c>
    </row>
    <row r="127" customFormat="false" ht="12.75" hidden="true" customHeight="false" outlineLevel="0" collapsed="false">
      <c r="A127" s="120" t="n">
        <f aca="false">A126+1</f>
        <v>37013</v>
      </c>
      <c r="B127" s="131" t="str">
        <f aca="false">INDEX('Master Data'!$A$2:$B$8,MATCH(WEEKDAY('Rio Cuarto Power Trading'!A127,3),'Master Data'!$A$2:$A$8,0),2)</f>
        <v>W</v>
      </c>
      <c r="D127" s="124" t="n">
        <v>0</v>
      </c>
      <c r="E127" s="124" t="n">
        <v>0</v>
      </c>
      <c r="F127" s="124" t="n">
        <v>0</v>
      </c>
      <c r="G127" s="124" t="n">
        <v>0</v>
      </c>
      <c r="I127" s="124" t="n">
        <f aca="false">IF(MONTH($A127)=MONTH($A126),IF(G127=0,I126,G127),G127)</f>
        <v>0</v>
      </c>
      <c r="J127" s="124" t="n">
        <f aca="false">IF(MONTH($A127)=MONTH($A126),SUM(I127-I126),I127)</f>
        <v>0</v>
      </c>
      <c r="K127" s="124" t="n">
        <f aca="false">IF(WEEKDAY(A127,3)&gt;4,0,(IF(A127&lt;K$2,0,IF(A127&lt;=K$3,1,0))))</f>
        <v>0</v>
      </c>
      <c r="L127" s="124" t="n">
        <f aca="false">J127*K127</f>
        <v>0</v>
      </c>
      <c r="M127" s="124" t="n">
        <f aca="false">SUM(J$97:J127)</f>
        <v>0</v>
      </c>
      <c r="N127" s="124" t="n">
        <f aca="false">SUM(J$6:J127)</f>
        <v>0</v>
      </c>
      <c r="P127" s="124" t="n">
        <f aca="false">D127/P$3</f>
        <v>0</v>
      </c>
      <c r="Q127" s="124" t="n">
        <f aca="false">E127/P$3</f>
        <v>0</v>
      </c>
      <c r="R127" s="124" t="n">
        <f aca="false">F127/R$3</f>
        <v>0</v>
      </c>
      <c r="S127" s="126" t="n">
        <f aca="false">J127/$R$3</f>
        <v>0</v>
      </c>
      <c r="T127" s="126" t="n">
        <f aca="false">L127/$R$3</f>
        <v>0</v>
      </c>
      <c r="U127" s="126" t="n">
        <f aca="false">I127/$R$3</f>
        <v>0</v>
      </c>
      <c r="V127" s="126" t="n">
        <f aca="false">M127/$R$3</f>
        <v>0</v>
      </c>
      <c r="W127" s="126" t="n">
        <f aca="false">N127/$R$3</f>
        <v>0</v>
      </c>
    </row>
    <row r="128" customFormat="false" ht="12.75" hidden="true" customHeight="false" outlineLevel="0" collapsed="false">
      <c r="A128" s="120" t="n">
        <f aca="false">A127+1</f>
        <v>37014</v>
      </c>
      <c r="B128" s="131" t="str">
        <f aca="false">INDEX('Master Data'!$A$2:$B$8,MATCH(WEEKDAY('Rio Cuarto Power Trading'!A128,3),'Master Data'!$A$2:$A$8,0),2)</f>
        <v>Th</v>
      </c>
      <c r="D128" s="124" t="n">
        <v>0</v>
      </c>
      <c r="E128" s="124" t="n">
        <v>0</v>
      </c>
      <c r="F128" s="124" t="n">
        <v>0</v>
      </c>
      <c r="G128" s="124" t="n">
        <v>0</v>
      </c>
      <c r="I128" s="124" t="n">
        <f aca="false">IF(MONTH($A128)=MONTH($A127),IF(G128=0,I127,G128),G128)</f>
        <v>0</v>
      </c>
      <c r="J128" s="124" t="n">
        <f aca="false">IF(MONTH($A128)=MONTH($A127),SUM(I128-I127),I128)</f>
        <v>0</v>
      </c>
      <c r="K128" s="124" t="n">
        <f aca="false">IF(WEEKDAY(A128,3)&gt;4,0,(IF(A128&lt;K$2,0,IF(A128&lt;=K$3,1,0))))</f>
        <v>0</v>
      </c>
      <c r="L128" s="124" t="n">
        <f aca="false">J128*K128</f>
        <v>0</v>
      </c>
      <c r="M128" s="124" t="n">
        <f aca="false">SUM(J$97:J128)</f>
        <v>0</v>
      </c>
      <c r="N128" s="124" t="n">
        <f aca="false">SUM(J$6:J128)</f>
        <v>0</v>
      </c>
      <c r="P128" s="124" t="n">
        <f aca="false">D128/P$3</f>
        <v>0</v>
      </c>
      <c r="Q128" s="124" t="n">
        <f aca="false">E128/P$3</f>
        <v>0</v>
      </c>
      <c r="R128" s="124" t="n">
        <f aca="false">F128/R$3</f>
        <v>0</v>
      </c>
      <c r="S128" s="126" t="n">
        <f aca="false">J128/$R$3</f>
        <v>0</v>
      </c>
      <c r="T128" s="126" t="n">
        <f aca="false">L128/$R$3</f>
        <v>0</v>
      </c>
      <c r="U128" s="126" t="n">
        <f aca="false">I128/$R$3</f>
        <v>0</v>
      </c>
      <c r="V128" s="126" t="n">
        <f aca="false">M128/$R$3</f>
        <v>0</v>
      </c>
      <c r="W128" s="126" t="n">
        <f aca="false">N128/$R$3</f>
        <v>0</v>
      </c>
    </row>
    <row r="129" customFormat="false" ht="12.75" hidden="true" customHeight="false" outlineLevel="0" collapsed="false">
      <c r="A129" s="120" t="n">
        <f aca="false">A128+1</f>
        <v>37015</v>
      </c>
      <c r="B129" s="131" t="str">
        <f aca="false">INDEX('Master Data'!$A$2:$B$8,MATCH(WEEKDAY('Rio Cuarto Power Trading'!A129,3),'Master Data'!$A$2:$A$8,0),2)</f>
        <v>F</v>
      </c>
      <c r="D129" s="124" t="n">
        <v>0</v>
      </c>
      <c r="E129" s="124" t="n">
        <v>0</v>
      </c>
      <c r="F129" s="124" t="n">
        <v>0</v>
      </c>
      <c r="G129" s="124" t="n">
        <v>0</v>
      </c>
      <c r="I129" s="124" t="n">
        <f aca="false">IF(MONTH($A129)=MONTH($A128),IF(G129=0,I128,G129),G129)</f>
        <v>0</v>
      </c>
      <c r="J129" s="124" t="n">
        <f aca="false">IF(MONTH($A129)=MONTH($A128),SUM(I129-I128),I129)</f>
        <v>0</v>
      </c>
      <c r="K129" s="124" t="n">
        <f aca="false">IF(WEEKDAY(A129,3)&gt;4,0,(IF(A129&lt;K$2,0,IF(A129&lt;=K$3,1,0))))</f>
        <v>0</v>
      </c>
      <c r="L129" s="124" t="n">
        <f aca="false">J129*K129</f>
        <v>0</v>
      </c>
      <c r="M129" s="124" t="n">
        <f aca="false">SUM(J$97:J129)</f>
        <v>0</v>
      </c>
      <c r="N129" s="124" t="n">
        <f aca="false">SUM(J$6:J129)</f>
        <v>0</v>
      </c>
      <c r="P129" s="124" t="n">
        <f aca="false">D129/P$3</f>
        <v>0</v>
      </c>
      <c r="Q129" s="124" t="n">
        <f aca="false">E129/P$3</f>
        <v>0</v>
      </c>
      <c r="R129" s="124" t="n">
        <f aca="false">F129/R$3</f>
        <v>0</v>
      </c>
      <c r="S129" s="126" t="n">
        <f aca="false">J129/$R$3</f>
        <v>0</v>
      </c>
      <c r="T129" s="126" t="n">
        <f aca="false">L129/$R$3</f>
        <v>0</v>
      </c>
      <c r="U129" s="126" t="n">
        <f aca="false">I129/$R$3</f>
        <v>0</v>
      </c>
      <c r="V129" s="126" t="n">
        <f aca="false">M129/$R$3</f>
        <v>0</v>
      </c>
      <c r="W129" s="126" t="n">
        <f aca="false">N129/$R$3</f>
        <v>0</v>
      </c>
    </row>
    <row r="130" customFormat="false" ht="12.75" hidden="true" customHeight="false" outlineLevel="0" collapsed="false">
      <c r="A130" s="120" t="n">
        <f aca="false">A129+1</f>
        <v>37016</v>
      </c>
      <c r="B130" s="131" t="str">
        <f aca="false">INDEX('Master Data'!$A$2:$B$8,MATCH(WEEKDAY('Rio Cuarto Power Trading'!A130,3),'Master Data'!$A$2:$A$8,0),2)</f>
        <v>Sa</v>
      </c>
      <c r="D130" s="124" t="n">
        <v>0</v>
      </c>
      <c r="E130" s="124" t="n">
        <v>0</v>
      </c>
      <c r="F130" s="124" t="n">
        <v>0</v>
      </c>
      <c r="G130" s="124" t="n">
        <v>0</v>
      </c>
      <c r="I130" s="124" t="n">
        <f aca="false">IF(MONTH($A130)=MONTH($A129),IF(G130=0,I129,G130),G130)</f>
        <v>0</v>
      </c>
      <c r="J130" s="124" t="n">
        <f aca="false">IF(MONTH($A130)=MONTH($A129),SUM(I130-I129),I130)</f>
        <v>0</v>
      </c>
      <c r="K130" s="124" t="n">
        <f aca="false">IF(WEEKDAY(A130,3)&gt;4,0,(IF(A130&lt;K$2,0,IF(A130&lt;=K$3,1,0))))</f>
        <v>0</v>
      </c>
      <c r="L130" s="124" t="n">
        <f aca="false">J130*K130</f>
        <v>0</v>
      </c>
      <c r="M130" s="124" t="n">
        <f aca="false">SUM(J$97:J130)</f>
        <v>0</v>
      </c>
      <c r="N130" s="124" t="n">
        <f aca="false">SUM(J$6:J130)</f>
        <v>0</v>
      </c>
      <c r="P130" s="124" t="n">
        <f aca="false">D130/P$3</f>
        <v>0</v>
      </c>
      <c r="Q130" s="124" t="n">
        <f aca="false">E130/P$3</f>
        <v>0</v>
      </c>
      <c r="R130" s="124" t="n">
        <f aca="false">F130/R$3</f>
        <v>0</v>
      </c>
      <c r="S130" s="126" t="n">
        <f aca="false">J130/$R$3</f>
        <v>0</v>
      </c>
      <c r="T130" s="126" t="n">
        <f aca="false">L130/$R$3</f>
        <v>0</v>
      </c>
      <c r="U130" s="126" t="n">
        <f aca="false">I130/$R$3</f>
        <v>0</v>
      </c>
      <c r="V130" s="126" t="n">
        <f aca="false">M130/$R$3</f>
        <v>0</v>
      </c>
      <c r="W130" s="126" t="n">
        <f aca="false">N130/$R$3</f>
        <v>0</v>
      </c>
    </row>
    <row r="131" customFormat="false" ht="12.75" hidden="true" customHeight="false" outlineLevel="0" collapsed="false">
      <c r="A131" s="120" t="n">
        <f aca="false">A130+1</f>
        <v>37017</v>
      </c>
      <c r="B131" s="131" t="str">
        <f aca="false">INDEX('Master Data'!$A$2:$B$8,MATCH(WEEKDAY('Rio Cuarto Power Trading'!A131,3),'Master Data'!$A$2:$A$8,0),2)</f>
        <v>Su</v>
      </c>
      <c r="D131" s="124" t="n">
        <v>0</v>
      </c>
      <c r="E131" s="124" t="n">
        <v>0</v>
      </c>
      <c r="F131" s="124" t="n">
        <v>0</v>
      </c>
      <c r="G131" s="124" t="n">
        <v>0</v>
      </c>
      <c r="I131" s="124" t="n">
        <f aca="false">IF(MONTH($A131)=MONTH($A130),IF(G131=0,I130,G131),G131)</f>
        <v>0</v>
      </c>
      <c r="J131" s="124" t="n">
        <f aca="false">IF(MONTH($A131)=MONTH($A130),SUM(I131-I130),I131)</f>
        <v>0</v>
      </c>
      <c r="K131" s="124" t="n">
        <f aca="false">IF(WEEKDAY(A131,3)&gt;4,0,(IF(A131&lt;K$2,0,IF(A131&lt;=K$3,1,0))))</f>
        <v>0</v>
      </c>
      <c r="L131" s="124" t="n">
        <f aca="false">J131*K131</f>
        <v>0</v>
      </c>
      <c r="M131" s="124" t="n">
        <f aca="false">SUM(J$97:J131)</f>
        <v>0</v>
      </c>
      <c r="N131" s="124" t="n">
        <f aca="false">SUM(J$6:J131)</f>
        <v>0</v>
      </c>
      <c r="P131" s="124" t="n">
        <f aca="false">D131/P$3</f>
        <v>0</v>
      </c>
      <c r="Q131" s="124" t="n">
        <f aca="false">E131/P$3</f>
        <v>0</v>
      </c>
      <c r="R131" s="124" t="n">
        <f aca="false">F131/R$3</f>
        <v>0</v>
      </c>
      <c r="S131" s="126" t="n">
        <f aca="false">J131/$R$3</f>
        <v>0</v>
      </c>
      <c r="T131" s="126" t="n">
        <f aca="false">L131/$R$3</f>
        <v>0</v>
      </c>
      <c r="U131" s="126" t="n">
        <f aca="false">I131/$R$3</f>
        <v>0</v>
      </c>
      <c r="V131" s="126" t="n">
        <f aca="false">M131/$R$3</f>
        <v>0</v>
      </c>
      <c r="W131" s="126" t="n">
        <f aca="false">N131/$R$3</f>
        <v>0</v>
      </c>
    </row>
    <row r="132" customFormat="false" ht="12.75" hidden="true" customHeight="false" outlineLevel="0" collapsed="false">
      <c r="A132" s="120" t="n">
        <f aca="false">A131+1</f>
        <v>37018</v>
      </c>
      <c r="B132" s="131" t="str">
        <f aca="false">INDEX('Master Data'!$A$2:$B$8,MATCH(WEEKDAY('Rio Cuarto Power Trading'!A132,3),'Master Data'!$A$2:$A$8,0),2)</f>
        <v>M</v>
      </c>
      <c r="D132" s="124" t="n">
        <v>0</v>
      </c>
      <c r="E132" s="124" t="n">
        <v>0</v>
      </c>
      <c r="F132" s="124" t="n">
        <v>0</v>
      </c>
      <c r="G132" s="124" t="n">
        <v>0</v>
      </c>
      <c r="I132" s="124" t="n">
        <f aca="false">IF(MONTH($A132)=MONTH($A131),IF(G132=0,I131,G132),G132)</f>
        <v>0</v>
      </c>
      <c r="J132" s="124" t="n">
        <f aca="false">IF(MONTH($A132)=MONTH($A131),SUM(I132-I131),I132)</f>
        <v>0</v>
      </c>
      <c r="K132" s="124" t="n">
        <f aca="false">IF(WEEKDAY(A132,3)&gt;4,0,(IF(A132&lt;K$2,0,IF(A132&lt;=K$3,1,0))))</f>
        <v>0</v>
      </c>
      <c r="L132" s="124" t="n">
        <f aca="false">J132*K132</f>
        <v>0</v>
      </c>
      <c r="M132" s="124" t="n">
        <f aca="false">SUM(J$97:J132)</f>
        <v>0</v>
      </c>
      <c r="N132" s="124" t="n">
        <f aca="false">SUM(J$6:J132)</f>
        <v>0</v>
      </c>
      <c r="P132" s="124" t="n">
        <f aca="false">D132/P$3</f>
        <v>0</v>
      </c>
      <c r="Q132" s="124" t="n">
        <f aca="false">E132/P$3</f>
        <v>0</v>
      </c>
      <c r="R132" s="124" t="n">
        <f aca="false">F132/R$3</f>
        <v>0</v>
      </c>
      <c r="S132" s="126" t="n">
        <f aca="false">J132/$R$3</f>
        <v>0</v>
      </c>
      <c r="T132" s="126" t="n">
        <f aca="false">L132/$R$3</f>
        <v>0</v>
      </c>
      <c r="U132" s="126" t="n">
        <f aca="false">I132/$R$3</f>
        <v>0</v>
      </c>
      <c r="V132" s="126" t="n">
        <f aca="false">M132/$R$3</f>
        <v>0</v>
      </c>
      <c r="W132" s="126" t="n">
        <f aca="false">N132/$R$3</f>
        <v>0</v>
      </c>
    </row>
    <row r="133" customFormat="false" ht="12.75" hidden="true" customHeight="false" outlineLevel="0" collapsed="false">
      <c r="A133" s="120" t="n">
        <f aca="false">A132+1</f>
        <v>37019</v>
      </c>
      <c r="B133" s="131" t="str">
        <f aca="false">INDEX('Master Data'!$A$2:$B$8,MATCH(WEEKDAY('Rio Cuarto Power Trading'!A133,3),'Master Data'!$A$2:$A$8,0),2)</f>
        <v>T</v>
      </c>
      <c r="D133" s="124" t="n">
        <v>0</v>
      </c>
      <c r="E133" s="124" t="n">
        <v>0</v>
      </c>
      <c r="F133" s="124" t="n">
        <v>0</v>
      </c>
      <c r="G133" s="124" t="n">
        <v>0</v>
      </c>
      <c r="I133" s="124" t="n">
        <f aca="false">IF(MONTH($A133)=MONTH($A132),IF(G133=0,I132,G133),G133)</f>
        <v>0</v>
      </c>
      <c r="J133" s="124" t="n">
        <f aca="false">IF(MONTH($A133)=MONTH($A132),SUM(I133-I132),I133)</f>
        <v>0</v>
      </c>
      <c r="K133" s="124" t="n">
        <f aca="false">IF(WEEKDAY(A133,3)&gt;4,0,(IF(A133&lt;K$2,0,IF(A133&lt;=K$3,1,0))))</f>
        <v>0</v>
      </c>
      <c r="L133" s="124" t="n">
        <f aca="false">J133*K133</f>
        <v>0</v>
      </c>
      <c r="M133" s="124" t="n">
        <f aca="false">SUM(J$97:J133)</f>
        <v>0</v>
      </c>
      <c r="N133" s="124" t="n">
        <f aca="false">SUM(J$6:J133)</f>
        <v>0</v>
      </c>
      <c r="P133" s="124" t="n">
        <f aca="false">D133/P$3</f>
        <v>0</v>
      </c>
      <c r="Q133" s="124" t="n">
        <f aca="false">E133/P$3</f>
        <v>0</v>
      </c>
      <c r="R133" s="124" t="n">
        <f aca="false">F133/R$3</f>
        <v>0</v>
      </c>
      <c r="S133" s="126" t="n">
        <f aca="false">J133/$R$3</f>
        <v>0</v>
      </c>
      <c r="T133" s="126" t="n">
        <f aca="false">L133/$R$3</f>
        <v>0</v>
      </c>
      <c r="U133" s="126" t="n">
        <f aca="false">I133/$R$3</f>
        <v>0</v>
      </c>
      <c r="V133" s="126" t="n">
        <f aca="false">M133/$R$3</f>
        <v>0</v>
      </c>
      <c r="W133" s="126" t="n">
        <f aca="false">N133/$R$3</f>
        <v>0</v>
      </c>
    </row>
    <row r="134" customFormat="false" ht="12.75" hidden="true" customHeight="false" outlineLevel="0" collapsed="false">
      <c r="A134" s="120" t="n">
        <f aca="false">A133+1</f>
        <v>37020</v>
      </c>
      <c r="B134" s="131" t="str">
        <f aca="false">INDEX('Master Data'!$A$2:$B$8,MATCH(WEEKDAY('Rio Cuarto Power Trading'!A134,3),'Master Data'!$A$2:$A$8,0),2)</f>
        <v>W</v>
      </c>
      <c r="D134" s="124" t="n">
        <v>0</v>
      </c>
      <c r="E134" s="124" t="n">
        <v>0</v>
      </c>
      <c r="F134" s="124" t="n">
        <v>0</v>
      </c>
      <c r="G134" s="124" t="n">
        <v>0</v>
      </c>
      <c r="I134" s="124" t="n">
        <f aca="false">IF(MONTH($A134)=MONTH($A133),IF(G134=0,I133,G134),G134)</f>
        <v>0</v>
      </c>
      <c r="J134" s="124" t="n">
        <f aca="false">IF(MONTH($A134)=MONTH($A133),SUM(I134-I133),I134)</f>
        <v>0</v>
      </c>
      <c r="K134" s="124" t="n">
        <f aca="false">IF(WEEKDAY(A134,3)&gt;4,0,(IF(A134&lt;K$2,0,IF(A134&lt;=K$3,1,0))))</f>
        <v>0</v>
      </c>
      <c r="L134" s="124" t="n">
        <f aca="false">J134*K134</f>
        <v>0</v>
      </c>
      <c r="M134" s="124" t="n">
        <f aca="false">SUM(J$97:J134)</f>
        <v>0</v>
      </c>
      <c r="N134" s="124" t="n">
        <f aca="false">SUM(J$6:J134)</f>
        <v>0</v>
      </c>
      <c r="P134" s="124" t="n">
        <f aca="false">D134/P$3</f>
        <v>0</v>
      </c>
      <c r="Q134" s="124" t="n">
        <f aca="false">E134/P$3</f>
        <v>0</v>
      </c>
      <c r="R134" s="124" t="n">
        <f aca="false">F134/R$3</f>
        <v>0</v>
      </c>
      <c r="S134" s="126" t="n">
        <f aca="false">J134/$R$3</f>
        <v>0</v>
      </c>
      <c r="T134" s="126" t="n">
        <f aca="false">L134/$R$3</f>
        <v>0</v>
      </c>
      <c r="U134" s="126" t="n">
        <f aca="false">I134/$R$3</f>
        <v>0</v>
      </c>
      <c r="V134" s="126" t="n">
        <f aca="false">M134/$R$3</f>
        <v>0</v>
      </c>
      <c r="W134" s="126" t="n">
        <f aca="false">N134/$R$3</f>
        <v>0</v>
      </c>
    </row>
    <row r="135" customFormat="false" ht="12.75" hidden="true" customHeight="false" outlineLevel="0" collapsed="false">
      <c r="A135" s="120" t="n">
        <f aca="false">A134+1</f>
        <v>37021</v>
      </c>
      <c r="B135" s="131" t="str">
        <f aca="false">INDEX('Master Data'!$A$2:$B$8,MATCH(WEEKDAY('Rio Cuarto Power Trading'!A135,3),'Master Data'!$A$2:$A$8,0),2)</f>
        <v>Th</v>
      </c>
      <c r="D135" s="124" t="n">
        <v>0</v>
      </c>
      <c r="E135" s="124" t="n">
        <v>0</v>
      </c>
      <c r="F135" s="124" t="n">
        <v>0</v>
      </c>
      <c r="G135" s="124" t="n">
        <v>0</v>
      </c>
      <c r="I135" s="124" t="n">
        <f aca="false">IF(MONTH($A135)=MONTH($A134),IF(G135=0,I134,G135),G135)</f>
        <v>0</v>
      </c>
      <c r="J135" s="124" t="n">
        <f aca="false">IF(MONTH($A135)=MONTH($A134),SUM(I135-I134),I135)</f>
        <v>0</v>
      </c>
      <c r="K135" s="124" t="n">
        <f aca="false">IF(WEEKDAY(A135,3)&gt;4,0,(IF(A135&lt;K$2,0,IF(A135&lt;=K$3,1,0))))</f>
        <v>0</v>
      </c>
      <c r="L135" s="124" t="n">
        <f aca="false">J135*K135</f>
        <v>0</v>
      </c>
      <c r="M135" s="124" t="n">
        <f aca="false">SUM(J$97:J135)</f>
        <v>0</v>
      </c>
      <c r="N135" s="124" t="n">
        <f aca="false">SUM(J$6:J135)</f>
        <v>0</v>
      </c>
      <c r="P135" s="124" t="n">
        <f aca="false">D135/P$3</f>
        <v>0</v>
      </c>
      <c r="Q135" s="124" t="n">
        <f aca="false">E135/P$3</f>
        <v>0</v>
      </c>
      <c r="R135" s="124" t="n">
        <f aca="false">F135/R$3</f>
        <v>0</v>
      </c>
      <c r="S135" s="126" t="n">
        <f aca="false">J135/$R$3</f>
        <v>0</v>
      </c>
      <c r="T135" s="126" t="n">
        <f aca="false">L135/$R$3</f>
        <v>0</v>
      </c>
      <c r="U135" s="126" t="n">
        <f aca="false">I135/$R$3</f>
        <v>0</v>
      </c>
      <c r="V135" s="126" t="n">
        <f aca="false">M135/$R$3</f>
        <v>0</v>
      </c>
      <c r="W135" s="126" t="n">
        <f aca="false">N135/$R$3</f>
        <v>0</v>
      </c>
    </row>
    <row r="136" customFormat="false" ht="12.75" hidden="true" customHeight="false" outlineLevel="0" collapsed="false">
      <c r="A136" s="120" t="n">
        <f aca="false">A135+1</f>
        <v>37022</v>
      </c>
      <c r="B136" s="131" t="str">
        <f aca="false">INDEX('Master Data'!$A$2:$B$8,MATCH(WEEKDAY('Rio Cuarto Power Trading'!A136,3),'Master Data'!$A$2:$A$8,0),2)</f>
        <v>F</v>
      </c>
      <c r="D136" s="124" t="n">
        <v>0</v>
      </c>
      <c r="E136" s="124" t="n">
        <v>0</v>
      </c>
      <c r="F136" s="124" t="n">
        <v>0</v>
      </c>
      <c r="G136" s="124" t="n">
        <v>0</v>
      </c>
      <c r="I136" s="124" t="n">
        <f aca="false">IF(MONTH($A136)=MONTH($A135),IF(G136=0,I135,G136),G136)</f>
        <v>0</v>
      </c>
      <c r="J136" s="124" t="n">
        <f aca="false">IF(MONTH($A136)=MONTH($A135),SUM(I136-I135),I136)</f>
        <v>0</v>
      </c>
      <c r="K136" s="124" t="n">
        <f aca="false">IF(WEEKDAY(A136,3)&gt;4,0,(IF(A136&lt;K$2,0,IF(A136&lt;=K$3,1,0))))</f>
        <v>0</v>
      </c>
      <c r="L136" s="124" t="n">
        <f aca="false">J136*K136</f>
        <v>0</v>
      </c>
      <c r="M136" s="124" t="n">
        <f aca="false">SUM(J$97:J136)</f>
        <v>0</v>
      </c>
      <c r="N136" s="124" t="n">
        <f aca="false">SUM(J$6:J136)</f>
        <v>0</v>
      </c>
      <c r="P136" s="124" t="n">
        <f aca="false">D136/P$3</f>
        <v>0</v>
      </c>
      <c r="Q136" s="124" t="n">
        <f aca="false">E136/P$3</f>
        <v>0</v>
      </c>
      <c r="R136" s="124" t="n">
        <f aca="false">F136/R$3</f>
        <v>0</v>
      </c>
      <c r="S136" s="126" t="n">
        <f aca="false">J136/$R$3</f>
        <v>0</v>
      </c>
      <c r="T136" s="126" t="n">
        <f aca="false">L136/$R$3</f>
        <v>0</v>
      </c>
      <c r="U136" s="126" t="n">
        <f aca="false">I136/$R$3</f>
        <v>0</v>
      </c>
      <c r="V136" s="126" t="n">
        <f aca="false">M136/$R$3</f>
        <v>0</v>
      </c>
      <c r="W136" s="126" t="n">
        <f aca="false">N136/$R$3</f>
        <v>0</v>
      </c>
    </row>
    <row r="137" customFormat="false" ht="12.75" hidden="true" customHeight="false" outlineLevel="0" collapsed="false">
      <c r="A137" s="120" t="n">
        <f aca="false">A136+1</f>
        <v>37023</v>
      </c>
      <c r="B137" s="131" t="str">
        <f aca="false">INDEX('Master Data'!$A$2:$B$8,MATCH(WEEKDAY('Rio Cuarto Power Trading'!A137,3),'Master Data'!$A$2:$A$8,0),2)</f>
        <v>Sa</v>
      </c>
      <c r="D137" s="124" t="n">
        <v>0</v>
      </c>
      <c r="E137" s="124" t="n">
        <v>0</v>
      </c>
      <c r="F137" s="124" t="n">
        <v>0</v>
      </c>
      <c r="G137" s="124" t="n">
        <v>0</v>
      </c>
      <c r="I137" s="124" t="n">
        <f aca="false">IF(MONTH($A137)=MONTH($A136),IF(G137=0,I136,G137),G137)</f>
        <v>0</v>
      </c>
      <c r="J137" s="124" t="n">
        <f aca="false">IF(MONTH($A137)=MONTH($A136),SUM(I137-I136),I137)</f>
        <v>0</v>
      </c>
      <c r="K137" s="124" t="n">
        <f aca="false">IF(WEEKDAY(A137,3)&gt;4,0,(IF(A137&lt;K$2,0,IF(A137&lt;=K$3,1,0))))</f>
        <v>0</v>
      </c>
      <c r="L137" s="124" t="n">
        <f aca="false">J137*K137</f>
        <v>0</v>
      </c>
      <c r="M137" s="124" t="n">
        <f aca="false">SUM(J$97:J137)</f>
        <v>0</v>
      </c>
      <c r="N137" s="124" t="n">
        <f aca="false">SUM(J$6:J137)</f>
        <v>0</v>
      </c>
      <c r="P137" s="124" t="n">
        <f aca="false">D137/P$3</f>
        <v>0</v>
      </c>
      <c r="Q137" s="124" t="n">
        <f aca="false">E137/P$3</f>
        <v>0</v>
      </c>
      <c r="R137" s="124" t="n">
        <f aca="false">F137/R$3</f>
        <v>0</v>
      </c>
      <c r="S137" s="126" t="n">
        <f aca="false">J137/$R$3</f>
        <v>0</v>
      </c>
      <c r="T137" s="126" t="n">
        <f aca="false">L137/$R$3</f>
        <v>0</v>
      </c>
      <c r="U137" s="126" t="n">
        <f aca="false">I137/$R$3</f>
        <v>0</v>
      </c>
      <c r="V137" s="126" t="n">
        <f aca="false">M137/$R$3</f>
        <v>0</v>
      </c>
      <c r="W137" s="126" t="n">
        <f aca="false">N137/$R$3</f>
        <v>0</v>
      </c>
    </row>
    <row r="138" customFormat="false" ht="12.75" hidden="true" customHeight="false" outlineLevel="0" collapsed="false">
      <c r="A138" s="120" t="n">
        <f aca="false">A137+1</f>
        <v>37024</v>
      </c>
      <c r="B138" s="131" t="str">
        <f aca="false">INDEX('Master Data'!$A$2:$B$8,MATCH(WEEKDAY('Rio Cuarto Power Trading'!A138,3),'Master Data'!$A$2:$A$8,0),2)</f>
        <v>Su</v>
      </c>
      <c r="D138" s="124" t="n">
        <v>0</v>
      </c>
      <c r="E138" s="124" t="n">
        <v>0</v>
      </c>
      <c r="F138" s="124" t="n">
        <v>0</v>
      </c>
      <c r="G138" s="124" t="n">
        <v>0</v>
      </c>
      <c r="I138" s="124" t="n">
        <f aca="false">IF(MONTH($A138)=MONTH($A137),IF(G138=0,I137,G138),G138)</f>
        <v>0</v>
      </c>
      <c r="J138" s="124" t="n">
        <f aca="false">IF(MONTH($A138)=MONTH($A137),SUM(I138-I137),I138)</f>
        <v>0</v>
      </c>
      <c r="K138" s="124" t="n">
        <f aca="false">IF(WEEKDAY(A138,3)&gt;4,0,(IF(A138&lt;K$2,0,IF(A138&lt;=K$3,1,0))))</f>
        <v>0</v>
      </c>
      <c r="L138" s="124" t="n">
        <f aca="false">J138*K138</f>
        <v>0</v>
      </c>
      <c r="M138" s="124" t="n">
        <f aca="false">SUM(J$97:J138)</f>
        <v>0</v>
      </c>
      <c r="N138" s="124" t="n">
        <f aca="false">SUM(J$6:J138)</f>
        <v>0</v>
      </c>
      <c r="P138" s="124" t="n">
        <f aca="false">D138/P$3</f>
        <v>0</v>
      </c>
      <c r="Q138" s="124" t="n">
        <f aca="false">E138/P$3</f>
        <v>0</v>
      </c>
      <c r="R138" s="124" t="n">
        <f aca="false">F138/R$3</f>
        <v>0</v>
      </c>
      <c r="S138" s="126" t="n">
        <f aca="false">J138/$R$3</f>
        <v>0</v>
      </c>
      <c r="T138" s="126" t="n">
        <f aca="false">L138/$R$3</f>
        <v>0</v>
      </c>
      <c r="U138" s="126" t="n">
        <f aca="false">I138/$R$3</f>
        <v>0</v>
      </c>
      <c r="V138" s="126" t="n">
        <f aca="false">M138/$R$3</f>
        <v>0</v>
      </c>
      <c r="W138" s="126" t="n">
        <f aca="false">N138/$R$3</f>
        <v>0</v>
      </c>
    </row>
    <row r="139" customFormat="false" ht="12.75" hidden="true" customHeight="false" outlineLevel="0" collapsed="false">
      <c r="A139" s="120" t="n">
        <f aca="false">A138+1</f>
        <v>37025</v>
      </c>
      <c r="B139" s="131" t="str">
        <f aca="false">INDEX('Master Data'!$A$2:$B$8,MATCH(WEEKDAY('Rio Cuarto Power Trading'!A139,3),'Master Data'!$A$2:$A$8,0),2)</f>
        <v>M</v>
      </c>
      <c r="D139" s="124" t="n">
        <v>0</v>
      </c>
      <c r="E139" s="124" t="n">
        <v>0</v>
      </c>
      <c r="F139" s="124" t="n">
        <v>0</v>
      </c>
      <c r="G139" s="124" t="n">
        <v>0</v>
      </c>
      <c r="I139" s="124" t="n">
        <f aca="false">IF(MONTH($A139)=MONTH($A138),IF(G139=0,I138,G139),G139)</f>
        <v>0</v>
      </c>
      <c r="J139" s="124" t="n">
        <f aca="false">IF(MONTH($A139)=MONTH($A138),SUM(I139-I138),I139)</f>
        <v>0</v>
      </c>
      <c r="K139" s="124" t="n">
        <f aca="false">IF(WEEKDAY(A139,3)&gt;4,0,(IF(A139&lt;K$2,0,IF(A139&lt;=K$3,1,0))))</f>
        <v>0</v>
      </c>
      <c r="L139" s="124" t="n">
        <f aca="false">J139*K139</f>
        <v>0</v>
      </c>
      <c r="M139" s="124" t="n">
        <f aca="false">SUM(J$97:J139)</f>
        <v>0</v>
      </c>
      <c r="N139" s="124" t="n">
        <f aca="false">SUM(J$6:J139)</f>
        <v>0</v>
      </c>
      <c r="P139" s="124" t="n">
        <f aca="false">D139/P$3</f>
        <v>0</v>
      </c>
      <c r="Q139" s="124" t="n">
        <f aca="false">E139/P$3</f>
        <v>0</v>
      </c>
      <c r="R139" s="124" t="n">
        <f aca="false">F139/R$3</f>
        <v>0</v>
      </c>
      <c r="S139" s="126" t="n">
        <f aca="false">J139/$R$3</f>
        <v>0</v>
      </c>
      <c r="T139" s="126" t="n">
        <f aca="false">L139/$R$3</f>
        <v>0</v>
      </c>
      <c r="U139" s="126" t="n">
        <f aca="false">I139/$R$3</f>
        <v>0</v>
      </c>
      <c r="V139" s="126" t="n">
        <f aca="false">M139/$R$3</f>
        <v>0</v>
      </c>
      <c r="W139" s="126" t="n">
        <f aca="false">N139/$R$3</f>
        <v>0</v>
      </c>
    </row>
    <row r="140" customFormat="false" ht="12.75" hidden="true" customHeight="false" outlineLevel="0" collapsed="false">
      <c r="A140" s="120" t="n">
        <f aca="false">A139+1</f>
        <v>37026</v>
      </c>
      <c r="B140" s="131" t="str">
        <f aca="false">INDEX('Master Data'!$A$2:$B$8,MATCH(WEEKDAY('Rio Cuarto Power Trading'!A140,3),'Master Data'!$A$2:$A$8,0),2)</f>
        <v>T</v>
      </c>
      <c r="D140" s="124" t="n">
        <v>0</v>
      </c>
      <c r="E140" s="124" t="n">
        <v>0</v>
      </c>
      <c r="F140" s="124" t="n">
        <v>0</v>
      </c>
      <c r="G140" s="124" t="n">
        <v>0</v>
      </c>
      <c r="I140" s="124" t="n">
        <f aca="false">IF(MONTH($A140)=MONTH($A139),IF(G140=0,I139,G140),G140)</f>
        <v>0</v>
      </c>
      <c r="J140" s="124" t="n">
        <f aca="false">IF(MONTH($A140)=MONTH($A139),SUM(I140-I139),I140)</f>
        <v>0</v>
      </c>
      <c r="K140" s="124" t="n">
        <f aca="false">IF(WEEKDAY(A140,3)&gt;4,0,(IF(A140&lt;K$2,0,IF(A140&lt;=K$3,1,0))))</f>
        <v>0</v>
      </c>
      <c r="L140" s="124" t="n">
        <f aca="false">J140*K140</f>
        <v>0</v>
      </c>
      <c r="M140" s="124" t="n">
        <f aca="false">SUM(J$97:J140)</f>
        <v>0</v>
      </c>
      <c r="N140" s="124" t="n">
        <f aca="false">SUM(J$6:J140)</f>
        <v>0</v>
      </c>
      <c r="P140" s="124" t="n">
        <f aca="false">D140/P$3</f>
        <v>0</v>
      </c>
      <c r="Q140" s="124" t="n">
        <f aca="false">E140/P$3</f>
        <v>0</v>
      </c>
      <c r="R140" s="124" t="n">
        <f aca="false">F140/R$3</f>
        <v>0</v>
      </c>
      <c r="S140" s="126" t="n">
        <f aca="false">J140/$R$3</f>
        <v>0</v>
      </c>
      <c r="T140" s="126" t="n">
        <f aca="false">L140/$R$3</f>
        <v>0</v>
      </c>
      <c r="U140" s="126" t="n">
        <f aca="false">I140/$R$3</f>
        <v>0</v>
      </c>
      <c r="V140" s="126" t="n">
        <f aca="false">M140/$R$3</f>
        <v>0</v>
      </c>
      <c r="W140" s="126" t="n">
        <f aca="false">N140/$R$3</f>
        <v>0</v>
      </c>
    </row>
    <row r="141" customFormat="false" ht="12.75" hidden="true" customHeight="false" outlineLevel="0" collapsed="false">
      <c r="A141" s="120" t="n">
        <f aca="false">A140+1</f>
        <v>37027</v>
      </c>
      <c r="B141" s="131" t="str">
        <f aca="false">INDEX('Master Data'!$A$2:$B$8,MATCH(WEEKDAY('Rio Cuarto Power Trading'!A141,3),'Master Data'!$A$2:$A$8,0),2)</f>
        <v>W</v>
      </c>
      <c r="D141" s="124" t="n">
        <v>1804892</v>
      </c>
      <c r="E141" s="124" t="n">
        <v>0</v>
      </c>
      <c r="F141" s="124" t="n">
        <v>0</v>
      </c>
      <c r="G141" s="124" t="n">
        <v>0</v>
      </c>
      <c r="I141" s="124" t="n">
        <f aca="false">IF(MONTH($A141)=MONTH($A140),IF(G141=0,I140,G141),G141)</f>
        <v>0</v>
      </c>
      <c r="J141" s="124" t="n">
        <f aca="false">IF(MONTH($A141)=MONTH($A140),SUM(I141-I140),I141)</f>
        <v>0</v>
      </c>
      <c r="K141" s="124" t="n">
        <f aca="false">IF(WEEKDAY(A141,3)&gt;4,0,(IF(A141&lt;K$2,0,IF(A141&lt;=K$3,1,0))))</f>
        <v>0</v>
      </c>
      <c r="L141" s="124" t="n">
        <f aca="false">J141*K141</f>
        <v>0</v>
      </c>
      <c r="M141" s="124" t="n">
        <f aca="false">SUM(J$97:J141)</f>
        <v>0</v>
      </c>
      <c r="N141" s="124" t="n">
        <f aca="false">SUM(J$6:J141)</f>
        <v>0</v>
      </c>
      <c r="P141" s="124" t="n">
        <f aca="false">D141/P$3</f>
        <v>1.804892</v>
      </c>
      <c r="Q141" s="124" t="n">
        <f aca="false">E141/P$3</f>
        <v>0</v>
      </c>
      <c r="R141" s="124" t="n">
        <f aca="false">F141/R$3</f>
        <v>0</v>
      </c>
      <c r="S141" s="126" t="n">
        <f aca="false">J141/$R$3</f>
        <v>0</v>
      </c>
      <c r="T141" s="126" t="n">
        <f aca="false">L141/$R$3</f>
        <v>0</v>
      </c>
      <c r="U141" s="126" t="n">
        <f aca="false">I141/$R$3</f>
        <v>0</v>
      </c>
      <c r="V141" s="126" t="n">
        <f aca="false">M141/$R$3</f>
        <v>0</v>
      </c>
      <c r="W141" s="126" t="n">
        <f aca="false">N141/$R$3</f>
        <v>0</v>
      </c>
    </row>
    <row r="142" customFormat="false" ht="12.75" hidden="true" customHeight="false" outlineLevel="0" collapsed="false">
      <c r="A142" s="120" t="n">
        <f aca="false">A141+1</f>
        <v>37028</v>
      </c>
      <c r="B142" s="131" t="str">
        <f aca="false">INDEX('Master Data'!$A$2:$B$8,MATCH(WEEKDAY('Rio Cuarto Power Trading'!A142,3),'Master Data'!$A$2:$A$8,0),2)</f>
        <v>Th</v>
      </c>
      <c r="D142" s="124" t="n">
        <v>1803673</v>
      </c>
      <c r="E142" s="124" t="n">
        <v>0</v>
      </c>
      <c r="F142" s="124" t="n">
        <v>0</v>
      </c>
      <c r="G142" s="124" t="n">
        <v>0</v>
      </c>
      <c r="I142" s="124" t="n">
        <f aca="false">IF(MONTH($A142)=MONTH($A141),IF(G142=0,I141,G142),G142)</f>
        <v>0</v>
      </c>
      <c r="J142" s="124" t="n">
        <f aca="false">IF(MONTH($A142)=MONTH($A141),SUM(I142-I141),I142)</f>
        <v>0</v>
      </c>
      <c r="K142" s="124" t="n">
        <f aca="false">IF(WEEKDAY(A142,3)&gt;4,0,(IF(A142&lt;K$2,0,IF(A142&lt;=K$3,1,0))))</f>
        <v>0</v>
      </c>
      <c r="L142" s="124" t="n">
        <f aca="false">J142*K142</f>
        <v>0</v>
      </c>
      <c r="M142" s="124" t="n">
        <f aca="false">SUM(J$97:J142)</f>
        <v>0</v>
      </c>
      <c r="N142" s="124" t="n">
        <f aca="false">SUM(J$6:J142)</f>
        <v>0</v>
      </c>
      <c r="P142" s="124" t="n">
        <f aca="false">D142/P$3</f>
        <v>1.803673</v>
      </c>
      <c r="Q142" s="124" t="n">
        <f aca="false">E142/P$3</f>
        <v>0</v>
      </c>
      <c r="R142" s="124" t="n">
        <f aca="false">F142/R$3</f>
        <v>0</v>
      </c>
      <c r="S142" s="126" t="n">
        <f aca="false">J142/$R$3</f>
        <v>0</v>
      </c>
      <c r="T142" s="126" t="n">
        <f aca="false">L142/$R$3</f>
        <v>0</v>
      </c>
      <c r="U142" s="126" t="n">
        <f aca="false">I142/$R$3</f>
        <v>0</v>
      </c>
      <c r="V142" s="126" t="n">
        <f aca="false">M142/$R$3</f>
        <v>0</v>
      </c>
      <c r="W142" s="126" t="n">
        <f aca="false">N142/$R$3</f>
        <v>0</v>
      </c>
    </row>
    <row r="143" customFormat="false" ht="12.75" hidden="true" customHeight="false" outlineLevel="0" collapsed="false">
      <c r="A143" s="120" t="n">
        <f aca="false">A142+1</f>
        <v>37029</v>
      </c>
      <c r="B143" s="131" t="str">
        <f aca="false">INDEX('Master Data'!$A$2:$B$8,MATCH(WEEKDAY('Rio Cuarto Power Trading'!A143,3),'Master Data'!$A$2:$A$8,0),2)</f>
        <v>F</v>
      </c>
      <c r="D143" s="124" t="n">
        <v>1801197</v>
      </c>
      <c r="E143" s="124" t="n">
        <v>0</v>
      </c>
      <c r="F143" s="124" t="n">
        <v>0</v>
      </c>
      <c r="G143" s="124" t="n">
        <v>0</v>
      </c>
      <c r="I143" s="124" t="n">
        <f aca="false">IF(MONTH($A143)=MONTH($A142),IF(G143=0,I142,G143),G143)</f>
        <v>0</v>
      </c>
      <c r="J143" s="124" t="n">
        <f aca="false">IF(MONTH($A143)=MONTH($A142),SUM(I143-I142),I143)</f>
        <v>0</v>
      </c>
      <c r="K143" s="124" t="n">
        <f aca="false">IF(WEEKDAY(A143,3)&gt;4,0,(IF(A143&lt;K$2,0,IF(A143&lt;=K$3,1,0))))</f>
        <v>0</v>
      </c>
      <c r="L143" s="124" t="n">
        <f aca="false">J143*K143</f>
        <v>0</v>
      </c>
      <c r="M143" s="124" t="n">
        <f aca="false">SUM(J$97:J143)</f>
        <v>0</v>
      </c>
      <c r="N143" s="124" t="n">
        <f aca="false">SUM(J$6:J143)</f>
        <v>0</v>
      </c>
      <c r="P143" s="124" t="n">
        <f aca="false">D143/P$3</f>
        <v>1.801197</v>
      </c>
      <c r="Q143" s="124" t="n">
        <f aca="false">E143/P$3</f>
        <v>0</v>
      </c>
      <c r="R143" s="124" t="n">
        <f aca="false">F143/R$3</f>
        <v>0</v>
      </c>
      <c r="S143" s="126" t="n">
        <f aca="false">J143/$R$3</f>
        <v>0</v>
      </c>
      <c r="T143" s="126" t="n">
        <f aca="false">L143/$R$3</f>
        <v>0</v>
      </c>
      <c r="U143" s="126" t="n">
        <f aca="false">I143/$R$3</f>
        <v>0</v>
      </c>
      <c r="V143" s="126" t="n">
        <f aca="false">M143/$R$3</f>
        <v>0</v>
      </c>
      <c r="W143" s="126" t="n">
        <f aca="false">N143/$R$3</f>
        <v>0</v>
      </c>
    </row>
    <row r="144" customFormat="false" ht="12.75" hidden="true" customHeight="false" outlineLevel="0" collapsed="false">
      <c r="A144" s="120" t="n">
        <f aca="false">A143+1</f>
        <v>37030</v>
      </c>
      <c r="B144" s="131" t="str">
        <f aca="false">INDEX('Master Data'!$A$2:$B$8,MATCH(WEEKDAY('Rio Cuarto Power Trading'!A144,3),'Master Data'!$A$2:$A$8,0),2)</f>
        <v>Sa</v>
      </c>
      <c r="D144" s="124" t="n">
        <v>0</v>
      </c>
      <c r="E144" s="124" t="n">
        <v>0</v>
      </c>
      <c r="F144" s="124" t="n">
        <v>0</v>
      </c>
      <c r="G144" s="124" t="n">
        <v>0</v>
      </c>
      <c r="I144" s="124" t="n">
        <f aca="false">IF(MONTH($A144)=MONTH($A143),IF(G144=0,I143,G144),G144)</f>
        <v>0</v>
      </c>
      <c r="J144" s="124" t="n">
        <f aca="false">IF(MONTH($A144)=MONTH($A143),SUM(I144-I143),I144)</f>
        <v>0</v>
      </c>
      <c r="K144" s="124" t="n">
        <f aca="false">IF(WEEKDAY(A144,3)&gt;4,0,(IF(A144&lt;K$2,0,IF(A144&lt;=K$3,1,0))))</f>
        <v>0</v>
      </c>
      <c r="L144" s="124" t="n">
        <f aca="false">J144*K144</f>
        <v>0</v>
      </c>
      <c r="M144" s="124" t="n">
        <f aca="false">SUM(J$97:J144)</f>
        <v>0</v>
      </c>
      <c r="N144" s="124" t="n">
        <f aca="false">SUM(J$6:J144)</f>
        <v>0</v>
      </c>
      <c r="P144" s="124" t="n">
        <f aca="false">D144/P$3</f>
        <v>0</v>
      </c>
      <c r="Q144" s="124" t="n">
        <f aca="false">E144/P$3</f>
        <v>0</v>
      </c>
      <c r="R144" s="124" t="n">
        <f aca="false">F144/R$3</f>
        <v>0</v>
      </c>
      <c r="S144" s="126" t="n">
        <f aca="false">J144/$R$3</f>
        <v>0</v>
      </c>
      <c r="T144" s="126" t="n">
        <f aca="false">L144/$R$3</f>
        <v>0</v>
      </c>
      <c r="U144" s="126" t="n">
        <f aca="false">I144/$R$3</f>
        <v>0</v>
      </c>
      <c r="V144" s="126" t="n">
        <f aca="false">M144/$R$3</f>
        <v>0</v>
      </c>
      <c r="W144" s="126" t="n">
        <f aca="false">N144/$R$3</f>
        <v>0</v>
      </c>
    </row>
    <row r="145" customFormat="false" ht="12.75" hidden="true" customHeight="false" outlineLevel="0" collapsed="false">
      <c r="A145" s="120" t="n">
        <f aca="false">A144+1</f>
        <v>37031</v>
      </c>
      <c r="B145" s="131" t="str">
        <f aca="false">INDEX('Master Data'!$A$2:$B$8,MATCH(WEEKDAY('Rio Cuarto Power Trading'!A145,3),'Master Data'!$A$2:$A$8,0),2)</f>
        <v>Su</v>
      </c>
      <c r="D145" s="124" t="n">
        <v>0</v>
      </c>
      <c r="E145" s="124" t="n">
        <v>0</v>
      </c>
      <c r="F145" s="124" t="n">
        <v>0</v>
      </c>
      <c r="G145" s="124" t="n">
        <v>0</v>
      </c>
      <c r="I145" s="124" t="n">
        <f aca="false">IF(MONTH($A145)=MONTH($A144),IF(G145=0,I144,G145),G145)</f>
        <v>0</v>
      </c>
      <c r="J145" s="124" t="n">
        <f aca="false">IF(MONTH($A145)=MONTH($A144),SUM(I145-I144),I145)</f>
        <v>0</v>
      </c>
      <c r="K145" s="124" t="n">
        <f aca="false">IF(WEEKDAY(A145,3)&gt;4,0,(IF(A145&lt;K$2,0,IF(A145&lt;=K$3,1,0))))</f>
        <v>0</v>
      </c>
      <c r="L145" s="124" t="n">
        <f aca="false">J145*K145</f>
        <v>0</v>
      </c>
      <c r="M145" s="124" t="n">
        <f aca="false">SUM(J$97:J145)</f>
        <v>0</v>
      </c>
      <c r="N145" s="124" t="n">
        <f aca="false">SUM(J$6:J145)</f>
        <v>0</v>
      </c>
      <c r="P145" s="124" t="n">
        <f aca="false">D145/P$3</f>
        <v>0</v>
      </c>
      <c r="Q145" s="124" t="n">
        <f aca="false">E145/P$3</f>
        <v>0</v>
      </c>
      <c r="R145" s="124" t="n">
        <f aca="false">F145/R$3</f>
        <v>0</v>
      </c>
      <c r="S145" s="126" t="n">
        <f aca="false">J145/$R$3</f>
        <v>0</v>
      </c>
      <c r="T145" s="126" t="n">
        <f aca="false">L145/$R$3</f>
        <v>0</v>
      </c>
      <c r="U145" s="126" t="n">
        <f aca="false">I145/$R$3</f>
        <v>0</v>
      </c>
      <c r="V145" s="126" t="n">
        <f aca="false">M145/$R$3</f>
        <v>0</v>
      </c>
      <c r="W145" s="126" t="n">
        <f aca="false">N145/$R$3</f>
        <v>0</v>
      </c>
    </row>
    <row r="146" customFormat="false" ht="12.75" hidden="true" customHeight="false" outlineLevel="0" collapsed="false">
      <c r="A146" s="120" t="n">
        <f aca="false">A145+1</f>
        <v>37032</v>
      </c>
      <c r="B146" s="131" t="str">
        <f aca="false">INDEX('Master Data'!$A$2:$B$8,MATCH(WEEKDAY('Rio Cuarto Power Trading'!A146,3),'Master Data'!$A$2:$A$8,0),2)</f>
        <v>M</v>
      </c>
      <c r="D146" s="124" t="n">
        <v>1800657</v>
      </c>
      <c r="E146" s="124" t="n">
        <v>0</v>
      </c>
      <c r="F146" s="124" t="n">
        <v>0</v>
      </c>
      <c r="G146" s="124" t="n">
        <v>0</v>
      </c>
      <c r="I146" s="124" t="n">
        <f aca="false">IF(MONTH($A146)=MONTH($A145),IF(G146=0,I145,G146),G146)</f>
        <v>0</v>
      </c>
      <c r="J146" s="124" t="n">
        <f aca="false">IF(MONTH($A146)=MONTH($A145),SUM(I146-I145),I146)</f>
        <v>0</v>
      </c>
      <c r="K146" s="124" t="n">
        <f aca="false">IF(WEEKDAY(A146,3)&gt;4,0,(IF(A146&lt;K$2,0,IF(A146&lt;=K$3,1,0))))</f>
        <v>0</v>
      </c>
      <c r="L146" s="124" t="n">
        <f aca="false">J146*K146</f>
        <v>0</v>
      </c>
      <c r="M146" s="124" t="n">
        <f aca="false">SUM(J$97:J146)</f>
        <v>0</v>
      </c>
      <c r="N146" s="124" t="n">
        <f aca="false">SUM(J$6:J146)</f>
        <v>0</v>
      </c>
      <c r="P146" s="124" t="n">
        <f aca="false">D146/P$3</f>
        <v>1.800657</v>
      </c>
      <c r="Q146" s="124" t="n">
        <f aca="false">E146/P$3</f>
        <v>0</v>
      </c>
      <c r="R146" s="124" t="n">
        <f aca="false">F146/R$3</f>
        <v>0</v>
      </c>
      <c r="S146" s="126" t="n">
        <f aca="false">J146/$R$3</f>
        <v>0</v>
      </c>
      <c r="T146" s="126" t="n">
        <f aca="false">L146/$R$3</f>
        <v>0</v>
      </c>
      <c r="U146" s="126" t="n">
        <f aca="false">I146/$R$3</f>
        <v>0</v>
      </c>
      <c r="V146" s="126" t="n">
        <f aca="false">M146/$R$3</f>
        <v>0</v>
      </c>
      <c r="W146" s="126" t="n">
        <f aca="false">N146/$R$3</f>
        <v>0</v>
      </c>
    </row>
    <row r="147" customFormat="false" ht="12.75" hidden="true" customHeight="false" outlineLevel="0" collapsed="false">
      <c r="A147" s="120" t="n">
        <f aca="false">A146+1</f>
        <v>37033</v>
      </c>
      <c r="B147" s="131" t="str">
        <f aca="false">INDEX('Master Data'!$A$2:$B$8,MATCH(WEEKDAY('Rio Cuarto Power Trading'!A147,3),'Master Data'!$A$2:$A$8,0),2)</f>
        <v>T</v>
      </c>
      <c r="D147" s="124" t="n">
        <v>1800432.8</v>
      </c>
      <c r="E147" s="124" t="n">
        <v>0</v>
      </c>
      <c r="F147" s="124" t="n">
        <v>0</v>
      </c>
      <c r="G147" s="124" t="n">
        <v>0</v>
      </c>
      <c r="I147" s="124" t="n">
        <f aca="false">IF(MONTH($A147)=MONTH($A146),IF(G147=0,I146,G147),G147)</f>
        <v>0</v>
      </c>
      <c r="J147" s="124" t="n">
        <f aca="false">IF(MONTH($A147)=MONTH($A146),SUM(I147-I146),I147)</f>
        <v>0</v>
      </c>
      <c r="K147" s="124" t="n">
        <f aca="false">IF(WEEKDAY(A147,3)&gt;4,0,(IF(A147&lt;K$2,0,IF(A147&lt;=K$3,1,0))))</f>
        <v>0</v>
      </c>
      <c r="L147" s="124" t="n">
        <f aca="false">J147*K147</f>
        <v>0</v>
      </c>
      <c r="M147" s="124" t="n">
        <f aca="false">SUM(J$97:J147)</f>
        <v>0</v>
      </c>
      <c r="N147" s="124" t="n">
        <f aca="false">SUM(J$6:J147)</f>
        <v>0</v>
      </c>
      <c r="P147" s="124" t="n">
        <f aca="false">D147/P$3</f>
        <v>1.8004328</v>
      </c>
      <c r="Q147" s="124" t="n">
        <f aca="false">E147/P$3</f>
        <v>0</v>
      </c>
      <c r="R147" s="124" t="n">
        <f aca="false">F147/R$3</f>
        <v>0</v>
      </c>
      <c r="S147" s="126" t="n">
        <f aca="false">J147/$R$3</f>
        <v>0</v>
      </c>
      <c r="T147" s="126" t="n">
        <f aca="false">L147/$R$3</f>
        <v>0</v>
      </c>
      <c r="U147" s="126" t="n">
        <f aca="false">I147/$R$3</f>
        <v>0</v>
      </c>
      <c r="V147" s="126" t="n">
        <f aca="false">M147/$R$3</f>
        <v>0</v>
      </c>
      <c r="W147" s="126" t="n">
        <f aca="false">N147/$R$3</f>
        <v>0</v>
      </c>
    </row>
    <row r="148" customFormat="false" ht="12.75" hidden="true" customHeight="false" outlineLevel="0" collapsed="false">
      <c r="A148" s="120" t="n">
        <f aca="false">A147+1</f>
        <v>37034</v>
      </c>
      <c r="B148" s="131" t="str">
        <f aca="false">INDEX('Master Data'!$A$2:$B$8,MATCH(WEEKDAY('Rio Cuarto Power Trading'!A148,3),'Master Data'!$A$2:$A$8,0),2)</f>
        <v>W</v>
      </c>
      <c r="D148" s="124" t="n">
        <v>1650888</v>
      </c>
      <c r="E148" s="124" t="n">
        <v>0</v>
      </c>
      <c r="F148" s="124" t="n">
        <v>0</v>
      </c>
      <c r="G148" s="124" t="n">
        <v>-24031</v>
      </c>
      <c r="I148" s="124" t="n">
        <f aca="false">IF(MONTH($A148)=MONTH($A147),IF(G148=0,I147,G148),G148)</f>
        <v>-24031</v>
      </c>
      <c r="J148" s="124" t="n">
        <f aca="false">IF(MONTH($A148)=MONTH($A147),SUM(I148-I147),I148)</f>
        <v>-24031</v>
      </c>
      <c r="K148" s="124" t="n">
        <f aca="false">IF(WEEKDAY(A148,3)&gt;4,0,(IF(A148&lt;K$2,0,IF(A148&lt;=K$3,1,0))))</f>
        <v>0</v>
      </c>
      <c r="L148" s="124" t="n">
        <f aca="false">J148*K148</f>
        <v>-0</v>
      </c>
      <c r="M148" s="124" t="n">
        <f aca="false">SUM(J$97:J148)</f>
        <v>-24031</v>
      </c>
      <c r="N148" s="124" t="n">
        <f aca="false">SUM(J$6:J148)</f>
        <v>-24031</v>
      </c>
      <c r="P148" s="124" t="n">
        <f aca="false">D148/P$3</f>
        <v>1.650888</v>
      </c>
      <c r="Q148" s="124" t="n">
        <f aca="false">E148/P$3</f>
        <v>0</v>
      </c>
      <c r="R148" s="124" t="n">
        <f aca="false">F148/R$3</f>
        <v>0</v>
      </c>
      <c r="S148" s="126" t="n">
        <f aca="false">J148/$R$3</f>
        <v>-24.031</v>
      </c>
      <c r="T148" s="126" t="n">
        <f aca="false">L148/$R$3</f>
        <v>-0</v>
      </c>
      <c r="U148" s="126" t="n">
        <f aca="false">I148/$R$3</f>
        <v>-24.031</v>
      </c>
      <c r="V148" s="126" t="n">
        <f aca="false">M148/$R$3</f>
        <v>-24.031</v>
      </c>
      <c r="W148" s="126" t="n">
        <f aca="false">N148/$R$3</f>
        <v>-24.031</v>
      </c>
    </row>
    <row r="149" customFormat="false" ht="12.75" hidden="true" customHeight="false" outlineLevel="0" collapsed="false">
      <c r="A149" s="120" t="n">
        <f aca="false">A148+1</f>
        <v>37035</v>
      </c>
      <c r="B149" s="131" t="str">
        <f aca="false">INDEX('Master Data'!$A$2:$B$8,MATCH(WEEKDAY('Rio Cuarto Power Trading'!A149,3),'Master Data'!$A$2:$A$8,0),2)</f>
        <v>Th</v>
      </c>
      <c r="D149" s="124" t="n">
        <v>1651528</v>
      </c>
      <c r="E149" s="124" t="n">
        <v>0</v>
      </c>
      <c r="F149" s="124" t="n">
        <v>0</v>
      </c>
      <c r="G149" s="124" t="n">
        <v>-31146</v>
      </c>
      <c r="I149" s="124" t="n">
        <f aca="false">IF(MONTH($A149)=MONTH($A148),IF(G149=0,I148,G149),G149)</f>
        <v>-31146</v>
      </c>
      <c r="J149" s="124" t="n">
        <f aca="false">IF(MONTH($A149)=MONTH($A148),SUM(I149-I148),I149)</f>
        <v>-7115</v>
      </c>
      <c r="K149" s="124" t="n">
        <f aca="false">IF(WEEKDAY(A149,3)&gt;4,0,(IF(A149&lt;K$2,0,IF(A149&lt;=K$3,1,0))))</f>
        <v>0</v>
      </c>
      <c r="L149" s="124" t="n">
        <f aca="false">J149*K149</f>
        <v>-0</v>
      </c>
      <c r="M149" s="124" t="n">
        <f aca="false">SUM(J$97:J149)</f>
        <v>-31146</v>
      </c>
      <c r="N149" s="124" t="n">
        <f aca="false">SUM(J$6:J149)</f>
        <v>-31146</v>
      </c>
      <c r="P149" s="124" t="n">
        <f aca="false">D149/P$3</f>
        <v>1.651528</v>
      </c>
      <c r="Q149" s="124" t="n">
        <f aca="false">E149/P$3</f>
        <v>0</v>
      </c>
      <c r="R149" s="124" t="n">
        <f aca="false">F149/R$3</f>
        <v>0</v>
      </c>
      <c r="S149" s="126" t="n">
        <f aca="false">J149/$R$3</f>
        <v>-7.115</v>
      </c>
      <c r="T149" s="126" t="n">
        <f aca="false">L149/$R$3</f>
        <v>-0</v>
      </c>
      <c r="U149" s="126" t="n">
        <f aca="false">I149/$R$3</f>
        <v>-31.146</v>
      </c>
      <c r="V149" s="126" t="n">
        <f aca="false">M149/$R$3</f>
        <v>-31.146</v>
      </c>
      <c r="W149" s="126" t="n">
        <f aca="false">N149/$R$3</f>
        <v>-31.146</v>
      </c>
    </row>
    <row r="150" customFormat="false" ht="12.75" hidden="true" customHeight="false" outlineLevel="0" collapsed="false">
      <c r="A150" s="120" t="n">
        <f aca="false">A149+1</f>
        <v>37036</v>
      </c>
      <c r="B150" s="131" t="str">
        <f aca="false">INDEX('Master Data'!$A$2:$B$8,MATCH(WEEKDAY('Rio Cuarto Power Trading'!A150,3),'Master Data'!$A$2:$A$8,0),2)</f>
        <v>F</v>
      </c>
      <c r="D150" s="124" t="n">
        <v>1651528</v>
      </c>
      <c r="E150" s="124" t="n">
        <v>0</v>
      </c>
      <c r="F150" s="124" t="n">
        <v>0</v>
      </c>
      <c r="G150" s="124" t="n">
        <v>-35805</v>
      </c>
      <c r="I150" s="124" t="n">
        <f aca="false">IF(MONTH($A150)=MONTH($A149),IF(G150=0,I149,G150),G150)</f>
        <v>-35805</v>
      </c>
      <c r="J150" s="124" t="n">
        <f aca="false">IF(MONTH($A150)=MONTH($A149),SUM(I150-I149),I150)</f>
        <v>-4659</v>
      </c>
      <c r="K150" s="124" t="n">
        <f aca="false">IF(WEEKDAY(A150,3)&gt;4,0,(IF(A150&lt;K$2,0,IF(A150&lt;=K$3,1,0))))</f>
        <v>0</v>
      </c>
      <c r="L150" s="124" t="n">
        <f aca="false">J150*K150</f>
        <v>-0</v>
      </c>
      <c r="M150" s="124" t="n">
        <f aca="false">SUM(J$97:J150)</f>
        <v>-35805</v>
      </c>
      <c r="N150" s="124" t="n">
        <f aca="false">SUM(J$6:J150)</f>
        <v>-35805</v>
      </c>
      <c r="P150" s="124" t="n">
        <f aca="false">D150/P$3</f>
        <v>1.651528</v>
      </c>
      <c r="Q150" s="124" t="n">
        <f aca="false">E150/P$3</f>
        <v>0</v>
      </c>
      <c r="R150" s="124" t="n">
        <f aca="false">F150/R$3</f>
        <v>0</v>
      </c>
      <c r="S150" s="126" t="n">
        <f aca="false">J150/$R$3</f>
        <v>-4.659</v>
      </c>
      <c r="T150" s="126" t="n">
        <f aca="false">L150/$R$3</f>
        <v>-0</v>
      </c>
      <c r="U150" s="126" t="n">
        <f aca="false">I150/$R$3</f>
        <v>-35.805</v>
      </c>
      <c r="V150" s="126" t="n">
        <f aca="false">M150/$R$3</f>
        <v>-35.805</v>
      </c>
      <c r="W150" s="126" t="n">
        <f aca="false">N150/$R$3</f>
        <v>-35.805</v>
      </c>
    </row>
    <row r="151" customFormat="false" ht="12.75" hidden="true" customHeight="false" outlineLevel="0" collapsed="false">
      <c r="A151" s="120" t="n">
        <f aca="false">A150+1</f>
        <v>37037</v>
      </c>
      <c r="B151" s="131" t="str">
        <f aca="false">INDEX('Master Data'!$A$2:$B$8,MATCH(WEEKDAY('Rio Cuarto Power Trading'!A151,3),'Master Data'!$A$2:$A$8,0),2)</f>
        <v>Sa</v>
      </c>
      <c r="D151" s="124" t="n">
        <v>0</v>
      </c>
      <c r="E151" s="124" t="n">
        <v>0</v>
      </c>
      <c r="F151" s="124" t="n">
        <v>0</v>
      </c>
      <c r="G151" s="124" t="n">
        <v>0</v>
      </c>
      <c r="I151" s="124" t="n">
        <f aca="false">IF(MONTH($A151)=MONTH($A150),IF(G151=0,I150,G151),G151)</f>
        <v>-35805</v>
      </c>
      <c r="J151" s="124" t="n">
        <f aca="false">IF(MONTH($A151)=MONTH($A150),SUM(I151-I150),I151)</f>
        <v>0</v>
      </c>
      <c r="K151" s="124" t="n">
        <f aca="false">IF(WEEKDAY(A151,3)&gt;4,0,(IF(A151&lt;K$2,0,IF(A151&lt;=K$3,1,0))))</f>
        <v>0</v>
      </c>
      <c r="L151" s="124" t="n">
        <f aca="false">J151*K151</f>
        <v>0</v>
      </c>
      <c r="M151" s="124" t="n">
        <f aca="false">SUM(J$97:J151)</f>
        <v>-35805</v>
      </c>
      <c r="N151" s="124" t="n">
        <f aca="false">SUM(J$6:J151)</f>
        <v>-35805</v>
      </c>
      <c r="P151" s="124" t="n">
        <f aca="false">D151/P$3</f>
        <v>0</v>
      </c>
      <c r="Q151" s="124" t="n">
        <f aca="false">E151/P$3</f>
        <v>0</v>
      </c>
      <c r="R151" s="124" t="n">
        <f aca="false">F151/R$3</f>
        <v>0</v>
      </c>
      <c r="S151" s="126" t="n">
        <f aca="false">J151/$R$3</f>
        <v>0</v>
      </c>
      <c r="T151" s="126" t="n">
        <f aca="false">L151/$R$3</f>
        <v>0</v>
      </c>
      <c r="U151" s="126" t="n">
        <f aca="false">I151/$R$3</f>
        <v>-35.805</v>
      </c>
      <c r="V151" s="126" t="n">
        <f aca="false">M151/$R$3</f>
        <v>-35.805</v>
      </c>
      <c r="W151" s="126" t="n">
        <f aca="false">N151/$R$3</f>
        <v>-35.805</v>
      </c>
    </row>
    <row r="152" customFormat="false" ht="12.75" hidden="true" customHeight="false" outlineLevel="0" collapsed="false">
      <c r="A152" s="120" t="n">
        <f aca="false">A151+1</f>
        <v>37038</v>
      </c>
      <c r="B152" s="131" t="str">
        <f aca="false">INDEX('Master Data'!$A$2:$B$8,MATCH(WEEKDAY('Rio Cuarto Power Trading'!A152,3),'Master Data'!$A$2:$A$8,0),2)</f>
        <v>Su</v>
      </c>
      <c r="D152" s="124" t="n">
        <v>0</v>
      </c>
      <c r="E152" s="124" t="n">
        <v>0</v>
      </c>
      <c r="F152" s="124" t="n">
        <v>0</v>
      </c>
      <c r="G152" s="124" t="n">
        <v>0</v>
      </c>
      <c r="I152" s="124" t="n">
        <f aca="false">IF(MONTH($A152)=MONTH($A151),IF(G152=0,I151,G152),G152)</f>
        <v>-35805</v>
      </c>
      <c r="J152" s="124" t="n">
        <f aca="false">IF(MONTH($A152)=MONTH($A151),SUM(I152-I151),I152)</f>
        <v>0</v>
      </c>
      <c r="K152" s="124" t="n">
        <f aca="false">IF(WEEKDAY(A152,3)&gt;4,0,(IF(A152&lt;K$2,0,IF(A152&lt;=K$3,1,0))))</f>
        <v>0</v>
      </c>
      <c r="L152" s="124" t="n">
        <f aca="false">J152*K152</f>
        <v>0</v>
      </c>
      <c r="M152" s="124" t="n">
        <f aca="false">SUM(J$97:J152)</f>
        <v>-35805</v>
      </c>
      <c r="N152" s="124" t="n">
        <f aca="false">SUM(J$6:J152)</f>
        <v>-35805</v>
      </c>
      <c r="P152" s="124" t="n">
        <f aca="false">D152/P$3</f>
        <v>0</v>
      </c>
      <c r="Q152" s="124" t="n">
        <f aca="false">E152/P$3</f>
        <v>0</v>
      </c>
      <c r="R152" s="124" t="n">
        <f aca="false">F152/R$3</f>
        <v>0</v>
      </c>
      <c r="S152" s="126" t="n">
        <f aca="false">J152/$R$3</f>
        <v>0</v>
      </c>
      <c r="T152" s="126" t="n">
        <f aca="false">L152/$R$3</f>
        <v>0</v>
      </c>
      <c r="U152" s="126" t="n">
        <f aca="false">I152/$R$3</f>
        <v>-35.805</v>
      </c>
      <c r="V152" s="126" t="n">
        <f aca="false">M152/$R$3</f>
        <v>-35.805</v>
      </c>
      <c r="W152" s="126" t="n">
        <f aca="false">N152/$R$3</f>
        <v>-35.805</v>
      </c>
    </row>
    <row r="153" customFormat="false" ht="12.75" hidden="true" customHeight="false" outlineLevel="0" collapsed="false">
      <c r="A153" s="120" t="n">
        <f aca="false">A152+1</f>
        <v>37039</v>
      </c>
      <c r="B153" s="131" t="str">
        <f aca="false">INDEX('Master Data'!$A$2:$B$8,MATCH(WEEKDAY('Rio Cuarto Power Trading'!A153,3),'Master Data'!$A$2:$A$8,0),2)</f>
        <v>M</v>
      </c>
      <c r="D153" s="124" t="n">
        <v>0</v>
      </c>
      <c r="E153" s="124" t="n">
        <v>0</v>
      </c>
      <c r="F153" s="124" t="n">
        <v>0</v>
      </c>
      <c r="G153" s="124" t="n">
        <v>0</v>
      </c>
      <c r="I153" s="124" t="n">
        <f aca="false">IF(MONTH($A153)=MONTH($A152),IF(G153=0,I152,G153),G153)</f>
        <v>-35805</v>
      </c>
      <c r="J153" s="124" t="n">
        <f aca="false">IF(MONTH($A153)=MONTH($A152),SUM(I153-I152),I153)</f>
        <v>0</v>
      </c>
      <c r="K153" s="124" t="n">
        <f aca="false">IF(WEEKDAY(A153,3)&gt;4,0,(IF(A153&lt;K$2,0,IF(A153&lt;=K$3,1,0))))</f>
        <v>0</v>
      </c>
      <c r="L153" s="124" t="n">
        <f aca="false">J153*K153</f>
        <v>0</v>
      </c>
      <c r="M153" s="124" t="n">
        <f aca="false">SUM(J$97:J153)</f>
        <v>-35805</v>
      </c>
      <c r="N153" s="124" t="n">
        <f aca="false">SUM(J$6:J153)</f>
        <v>-35805</v>
      </c>
      <c r="P153" s="124" t="n">
        <f aca="false">D153/P$3</f>
        <v>0</v>
      </c>
      <c r="Q153" s="124" t="n">
        <f aca="false">E153/P$3</f>
        <v>0</v>
      </c>
      <c r="R153" s="124" t="n">
        <f aca="false">F153/R$3</f>
        <v>0</v>
      </c>
      <c r="S153" s="126" t="n">
        <f aca="false">J153/$R$3</f>
        <v>0</v>
      </c>
      <c r="T153" s="126" t="n">
        <f aca="false">L153/$R$3</f>
        <v>0</v>
      </c>
      <c r="U153" s="126" t="n">
        <f aca="false">I153/$R$3</f>
        <v>-35.805</v>
      </c>
      <c r="V153" s="126" t="n">
        <f aca="false">M153/$R$3</f>
        <v>-35.805</v>
      </c>
      <c r="W153" s="126" t="n">
        <f aca="false">N153/$R$3</f>
        <v>-35.805</v>
      </c>
    </row>
    <row r="154" customFormat="false" ht="12.75" hidden="true" customHeight="false" outlineLevel="0" collapsed="false">
      <c r="A154" s="120" t="n">
        <f aca="false">A153+1</f>
        <v>37040</v>
      </c>
      <c r="B154" s="131" t="str">
        <f aca="false">INDEX('Master Data'!$A$2:$B$8,MATCH(WEEKDAY('Rio Cuarto Power Trading'!A154,3),'Master Data'!$A$2:$A$8,0),2)</f>
        <v>T</v>
      </c>
      <c r="D154" s="124" t="n">
        <v>1876711.32665312</v>
      </c>
      <c r="E154" s="124" t="n">
        <v>0</v>
      </c>
      <c r="F154" s="124" t="n">
        <v>0</v>
      </c>
      <c r="G154" s="124" t="n">
        <v>-5535</v>
      </c>
      <c r="I154" s="124" t="n">
        <f aca="false">IF(MONTH($A154)=MONTH($A153),IF(G154=0,I153,G154),G154)</f>
        <v>-5535</v>
      </c>
      <c r="J154" s="124" t="n">
        <f aca="false">IF(MONTH($A154)=MONTH($A153),SUM(I154-I153),I154)</f>
        <v>30270</v>
      </c>
      <c r="K154" s="124" t="n">
        <f aca="false">IF(WEEKDAY(A154,3)&gt;4,0,(IF(A154&lt;K$2,0,IF(A154&lt;=K$3,1,0))))</f>
        <v>0</v>
      </c>
      <c r="L154" s="124" t="n">
        <f aca="false">J154*K154</f>
        <v>0</v>
      </c>
      <c r="M154" s="124" t="n">
        <f aca="false">SUM(J$97:J154)</f>
        <v>-5535</v>
      </c>
      <c r="N154" s="124" t="n">
        <f aca="false">SUM(J$6:J154)</f>
        <v>-5535</v>
      </c>
      <c r="P154" s="124" t="n">
        <f aca="false">D154/P$3</f>
        <v>1.87671132665312</v>
      </c>
      <c r="Q154" s="124" t="n">
        <f aca="false">E154/P$3</f>
        <v>0</v>
      </c>
      <c r="R154" s="124" t="n">
        <f aca="false">F154/R$3</f>
        <v>0</v>
      </c>
      <c r="S154" s="126" t="n">
        <f aca="false">J154/$R$3</f>
        <v>30.27</v>
      </c>
      <c r="T154" s="126" t="n">
        <f aca="false">L154/$R$3</f>
        <v>0</v>
      </c>
      <c r="U154" s="126" t="n">
        <f aca="false">I154/$R$3</f>
        <v>-5.535</v>
      </c>
      <c r="V154" s="126" t="n">
        <f aca="false">M154/$R$3</f>
        <v>-5.535</v>
      </c>
      <c r="W154" s="126" t="n">
        <f aca="false">N154/$R$3</f>
        <v>-5.535</v>
      </c>
    </row>
    <row r="155" customFormat="false" ht="12.75" hidden="true" customHeight="false" outlineLevel="0" collapsed="false">
      <c r="A155" s="120" t="n">
        <f aca="false">A154+1</f>
        <v>37041</v>
      </c>
      <c r="B155" s="131" t="str">
        <f aca="false">INDEX('Master Data'!$A$2:$B$8,MATCH(WEEKDAY('Rio Cuarto Power Trading'!A155,3),'Master Data'!$A$2:$A$8,0),2)</f>
        <v>W</v>
      </c>
      <c r="D155" s="124" t="n">
        <v>1875367.94708649</v>
      </c>
      <c r="E155" s="124" t="n">
        <v>0</v>
      </c>
      <c r="F155" s="124" t="n">
        <v>0</v>
      </c>
      <c r="G155" s="124" t="n">
        <v>1506</v>
      </c>
      <c r="I155" s="124" t="n">
        <f aca="false">IF(MONTH($A155)=MONTH($A154),IF(G155=0,I154,G155),G155)</f>
        <v>1506</v>
      </c>
      <c r="J155" s="124" t="n">
        <f aca="false">IF(MONTH($A155)=MONTH($A154),SUM(I155-I154),I155)</f>
        <v>7041</v>
      </c>
      <c r="K155" s="124" t="n">
        <f aca="false">IF(WEEKDAY(A155,3)&gt;4,0,(IF(A155&lt;K$2,0,IF(A155&lt;=K$3,1,0))))</f>
        <v>0</v>
      </c>
      <c r="L155" s="124" t="n">
        <f aca="false">J155*K155</f>
        <v>0</v>
      </c>
      <c r="M155" s="124" t="n">
        <f aca="false">SUM(J$97:J155)</f>
        <v>1506</v>
      </c>
      <c r="N155" s="124" t="n">
        <f aca="false">SUM(J$6:J155)</f>
        <v>1506</v>
      </c>
      <c r="P155" s="124" t="n">
        <f aca="false">D155/P$3</f>
        <v>1.87536794708649</v>
      </c>
      <c r="Q155" s="124" t="n">
        <f aca="false">E155/P$3</f>
        <v>0</v>
      </c>
      <c r="R155" s="124" t="n">
        <f aca="false">F155/R$3</f>
        <v>0</v>
      </c>
      <c r="S155" s="126" t="n">
        <f aca="false">J155/$R$3</f>
        <v>7.041</v>
      </c>
      <c r="T155" s="126" t="n">
        <f aca="false">L155/$R$3</f>
        <v>0</v>
      </c>
      <c r="U155" s="126" t="n">
        <f aca="false">I155/$R$3</f>
        <v>1.506</v>
      </c>
      <c r="V155" s="126" t="n">
        <f aca="false">M155/$R$3</f>
        <v>1.506</v>
      </c>
      <c r="W155" s="126" t="n">
        <f aca="false">N155/$R$3</f>
        <v>1.506</v>
      </c>
    </row>
    <row r="156" customFormat="false" ht="12.75" hidden="false" customHeight="false" outlineLevel="0" collapsed="false">
      <c r="A156" s="120" t="n">
        <f aca="false">A155+1</f>
        <v>37042</v>
      </c>
      <c r="B156" s="131" t="str">
        <f aca="false">INDEX('Master Data'!$A$2:$B$8,MATCH(WEEKDAY('Rio Cuarto Power Trading'!A156,3),'Master Data'!$A$2:$A$8,0),2)</f>
        <v>Th</v>
      </c>
      <c r="D156" s="124" t="n">
        <v>1875173.51302383</v>
      </c>
      <c r="E156" s="124" t="n">
        <v>0</v>
      </c>
      <c r="F156" s="124" t="n">
        <v>0</v>
      </c>
      <c r="G156" s="124" t="n">
        <v>7835</v>
      </c>
      <c r="I156" s="124" t="n">
        <f aca="false">IF(MONTH($A156)=MONTH($A155),IF(G156=0,I155,G156),G156)</f>
        <v>7835</v>
      </c>
      <c r="J156" s="124" t="n">
        <f aca="false">IF(MONTH($A156)=MONTH($A155),SUM(I156-I155),I156)</f>
        <v>6329</v>
      </c>
      <c r="K156" s="124" t="n">
        <f aca="false">IF(WEEKDAY(A156,3)&gt;4,0,(IF(A156&lt;K$2,0,IF(A156&lt;=K$3,1,0))))</f>
        <v>0</v>
      </c>
      <c r="L156" s="124" t="n">
        <f aca="false">J156*K156</f>
        <v>0</v>
      </c>
      <c r="M156" s="124" t="n">
        <f aca="false">SUM(J$97:J156)</f>
        <v>7835</v>
      </c>
      <c r="N156" s="124" t="n">
        <f aca="false">SUM(J$6:J156)</f>
        <v>7835</v>
      </c>
      <c r="P156" s="124" t="n">
        <f aca="false">D156/P$3</f>
        <v>1.87517351302383</v>
      </c>
      <c r="Q156" s="124" t="n">
        <f aca="false">E156/P$3</f>
        <v>0</v>
      </c>
      <c r="R156" s="124" t="n">
        <f aca="false">F156/R$3</f>
        <v>0</v>
      </c>
      <c r="S156" s="126" t="n">
        <f aca="false">J156/$R$3</f>
        <v>6.329</v>
      </c>
      <c r="T156" s="126" t="n">
        <f aca="false">L156/$R$3</f>
        <v>0</v>
      </c>
      <c r="U156" s="126" t="n">
        <f aca="false">I156/$R$3</f>
        <v>7.835</v>
      </c>
      <c r="V156" s="126" t="n">
        <f aca="false">M156/$R$3</f>
        <v>7.835</v>
      </c>
      <c r="W156" s="126" t="n">
        <f aca="false">N156/$R$3</f>
        <v>7.835</v>
      </c>
    </row>
    <row r="157" customFormat="false" ht="12.75" hidden="true" customHeight="false" outlineLevel="0" collapsed="false">
      <c r="A157" s="120" t="n">
        <f aca="false">A156+1</f>
        <v>37043</v>
      </c>
      <c r="B157" s="131" t="str">
        <f aca="false">INDEX('Master Data'!$A$2:$B$8,MATCH(WEEKDAY('Rio Cuarto Power Trading'!A157,3),'Master Data'!$A$2:$A$8,0),2)</f>
        <v>F</v>
      </c>
      <c r="D157" s="124" t="n">
        <v>1883363.30116451</v>
      </c>
      <c r="E157" s="124" t="n">
        <v>0</v>
      </c>
      <c r="F157" s="124" t="n">
        <v>0</v>
      </c>
      <c r="G157" s="124" t="n">
        <v>756</v>
      </c>
      <c r="I157" s="124" t="n">
        <f aca="false">IF(MONTH($A157)=MONTH($A156),IF(G157=0,I156,G157),G157)</f>
        <v>756</v>
      </c>
      <c r="J157" s="124" t="n">
        <f aca="false">IF(MONTH($A157)=MONTH($A156),SUM(I157-I156),I157)</f>
        <v>756</v>
      </c>
      <c r="K157" s="124" t="n">
        <f aca="false">IF(WEEKDAY(A157,3)&gt;4,0,(IF(A157&lt;K$2,0,IF(A157&lt;=K$3,1,0))))</f>
        <v>0</v>
      </c>
      <c r="L157" s="124" t="n">
        <f aca="false">J157*K157</f>
        <v>0</v>
      </c>
      <c r="M157" s="124" t="n">
        <f aca="false">SUM(J$97:J157)</f>
        <v>8591</v>
      </c>
      <c r="N157" s="124" t="n">
        <f aca="false">SUM(J$6:J157)</f>
        <v>8591</v>
      </c>
      <c r="P157" s="124" t="n">
        <f aca="false">D157/P$3</f>
        <v>1.88336330116451</v>
      </c>
      <c r="Q157" s="124" t="n">
        <f aca="false">E157/P$3</f>
        <v>0</v>
      </c>
      <c r="R157" s="124" t="n">
        <f aca="false">F157/R$3</f>
        <v>0</v>
      </c>
      <c r="S157" s="126" t="n">
        <f aca="false">J157/$R$3</f>
        <v>0.756</v>
      </c>
      <c r="T157" s="126" t="n">
        <f aca="false">L157/$R$3</f>
        <v>0</v>
      </c>
      <c r="U157" s="126" t="n">
        <f aca="false">I157/$R$3</f>
        <v>0.756</v>
      </c>
      <c r="V157" s="126" t="n">
        <f aca="false">M157/$R$3</f>
        <v>8.591</v>
      </c>
      <c r="W157" s="126" t="n">
        <f aca="false">N157/$R$3</f>
        <v>8.591</v>
      </c>
    </row>
    <row r="158" customFormat="false" ht="12.75" hidden="true" customHeight="false" outlineLevel="0" collapsed="false">
      <c r="A158" s="120" t="n">
        <f aca="false">A157+1</f>
        <v>37044</v>
      </c>
      <c r="B158" s="131" t="str">
        <f aca="false">INDEX('Master Data'!$A$2:$B$8,MATCH(WEEKDAY('Rio Cuarto Power Trading'!A158,3),'Master Data'!$A$2:$A$8,0),2)</f>
        <v>Sa</v>
      </c>
      <c r="D158" s="124" t="n">
        <v>0</v>
      </c>
      <c r="E158" s="124" t="n">
        <v>0</v>
      </c>
      <c r="F158" s="124" t="n">
        <v>0</v>
      </c>
      <c r="G158" s="124" t="n">
        <v>0</v>
      </c>
      <c r="I158" s="124" t="n">
        <f aca="false">IF(MONTH($A158)=MONTH($A157),IF(G158=0,I157,G158),G158)</f>
        <v>756</v>
      </c>
      <c r="J158" s="124" t="n">
        <f aca="false">IF(MONTH($A158)=MONTH($A157),SUM(I158-I157),I158)</f>
        <v>0</v>
      </c>
      <c r="K158" s="124" t="n">
        <f aca="false">IF(WEEKDAY(A158,3)&gt;4,0,(IF(A158&lt;K$2,0,IF(A158&lt;=K$3,1,0))))</f>
        <v>0</v>
      </c>
      <c r="L158" s="124" t="n">
        <f aca="false">J158*K158</f>
        <v>0</v>
      </c>
      <c r="M158" s="124" t="n">
        <f aca="false">SUM(J$97:J158)</f>
        <v>8591</v>
      </c>
      <c r="N158" s="124" t="n">
        <f aca="false">SUM(J$6:J158)</f>
        <v>8591</v>
      </c>
      <c r="P158" s="124" t="n">
        <f aca="false">D158/P$3</f>
        <v>0</v>
      </c>
      <c r="Q158" s="124" t="n">
        <f aca="false">E158/P$3</f>
        <v>0</v>
      </c>
      <c r="R158" s="124" t="n">
        <f aca="false">F158/R$3</f>
        <v>0</v>
      </c>
      <c r="S158" s="126" t="n">
        <f aca="false">J158/$R$3</f>
        <v>0</v>
      </c>
      <c r="T158" s="126" t="n">
        <f aca="false">L158/$R$3</f>
        <v>0</v>
      </c>
      <c r="U158" s="126" t="n">
        <f aca="false">I158/$R$3</f>
        <v>0.756</v>
      </c>
      <c r="V158" s="126" t="n">
        <f aca="false">M158/$R$3</f>
        <v>8.591</v>
      </c>
      <c r="W158" s="126" t="n">
        <f aca="false">N158/$R$3</f>
        <v>8.591</v>
      </c>
    </row>
    <row r="159" customFormat="false" ht="12.75" hidden="true" customHeight="false" outlineLevel="0" collapsed="false">
      <c r="A159" s="120" t="n">
        <f aca="false">A158+1</f>
        <v>37045</v>
      </c>
      <c r="B159" s="131" t="str">
        <f aca="false">INDEX('Master Data'!$A$2:$B$8,MATCH(WEEKDAY('Rio Cuarto Power Trading'!A159,3),'Master Data'!$A$2:$A$8,0),2)</f>
        <v>Su</v>
      </c>
      <c r="D159" s="124" t="n">
        <v>0</v>
      </c>
      <c r="E159" s="124" t="n">
        <v>0</v>
      </c>
      <c r="F159" s="124" t="n">
        <v>0</v>
      </c>
      <c r="G159" s="124" t="n">
        <v>0</v>
      </c>
      <c r="I159" s="124" t="n">
        <f aca="false">IF(MONTH($A159)=MONTH($A158),IF(G159=0,I158,G159),G159)</f>
        <v>756</v>
      </c>
      <c r="J159" s="124" t="n">
        <f aca="false">IF(MONTH($A159)=MONTH($A158),SUM(I159-I158),I159)</f>
        <v>0</v>
      </c>
      <c r="K159" s="124" t="n">
        <f aca="false">IF(WEEKDAY(A159,3)&gt;4,0,(IF(A159&lt;K$2,0,IF(A159&lt;=K$3,1,0))))</f>
        <v>0</v>
      </c>
      <c r="L159" s="124" t="n">
        <f aca="false">J159*K159</f>
        <v>0</v>
      </c>
      <c r="M159" s="124" t="n">
        <f aca="false">SUM(J$97:J159)</f>
        <v>8591</v>
      </c>
      <c r="N159" s="124" t="n">
        <f aca="false">SUM(J$6:J159)</f>
        <v>8591</v>
      </c>
      <c r="P159" s="124" t="n">
        <f aca="false">D159/P$3</f>
        <v>0</v>
      </c>
      <c r="Q159" s="124" t="n">
        <f aca="false">E159/P$3</f>
        <v>0</v>
      </c>
      <c r="R159" s="124" t="n">
        <f aca="false">F159/R$3</f>
        <v>0</v>
      </c>
      <c r="S159" s="126" t="n">
        <f aca="false">J159/$R$3</f>
        <v>0</v>
      </c>
      <c r="T159" s="126" t="n">
        <f aca="false">L159/$R$3</f>
        <v>0</v>
      </c>
      <c r="U159" s="126" t="n">
        <f aca="false">I159/$R$3</f>
        <v>0.756</v>
      </c>
      <c r="V159" s="126" t="n">
        <f aca="false">M159/$R$3</f>
        <v>8.591</v>
      </c>
      <c r="W159" s="126" t="n">
        <f aca="false">N159/$R$3</f>
        <v>8.591</v>
      </c>
    </row>
    <row r="160" customFormat="false" ht="12.75" hidden="true" customHeight="false" outlineLevel="0" collapsed="false">
      <c r="A160" s="120" t="n">
        <f aca="false">A159+1</f>
        <v>37046</v>
      </c>
      <c r="B160" s="131" t="str">
        <f aca="false">INDEX('Master Data'!$A$2:$B$8,MATCH(WEEKDAY('Rio Cuarto Power Trading'!A160,3),'Master Data'!$A$2:$A$8,0),2)</f>
        <v>M</v>
      </c>
      <c r="D160" s="124" t="n">
        <v>1879070.06239188</v>
      </c>
      <c r="E160" s="124" t="n">
        <v>0</v>
      </c>
      <c r="F160" s="124" t="n">
        <v>0</v>
      </c>
      <c r="G160" s="124" t="n">
        <v>23114</v>
      </c>
      <c r="I160" s="124" t="n">
        <f aca="false">IF(MONTH($A160)=MONTH($A159),IF(G160=0,I159,G160),G160)</f>
        <v>23114</v>
      </c>
      <c r="J160" s="124" t="n">
        <f aca="false">IF(MONTH($A160)=MONTH($A159),SUM(I160-I159),I160)</f>
        <v>22358</v>
      </c>
      <c r="K160" s="124" t="n">
        <f aca="false">IF(WEEKDAY(A160,3)&gt;4,0,(IF(A160&lt;K$2,0,IF(A160&lt;=K$3,1,0))))</f>
        <v>0</v>
      </c>
      <c r="L160" s="124" t="n">
        <f aca="false">J160*K160</f>
        <v>0</v>
      </c>
      <c r="M160" s="124" t="n">
        <f aca="false">SUM(J$97:J160)</f>
        <v>30949</v>
      </c>
      <c r="N160" s="124" t="n">
        <f aca="false">SUM(J$6:J160)</f>
        <v>30949</v>
      </c>
      <c r="P160" s="124" t="n">
        <f aca="false">D160/P$3</f>
        <v>1.87907006239188</v>
      </c>
      <c r="Q160" s="124" t="n">
        <f aca="false">E160/P$3</f>
        <v>0</v>
      </c>
      <c r="R160" s="124" t="n">
        <f aca="false">F160/R$3</f>
        <v>0</v>
      </c>
      <c r="S160" s="126" t="n">
        <f aca="false">J160/$R$3</f>
        <v>22.358</v>
      </c>
      <c r="T160" s="126" t="n">
        <f aca="false">L160/$R$3</f>
        <v>0</v>
      </c>
      <c r="U160" s="126" t="n">
        <f aca="false">I160/$R$3</f>
        <v>23.114</v>
      </c>
      <c r="V160" s="126" t="n">
        <f aca="false">M160/$R$3</f>
        <v>30.949</v>
      </c>
      <c r="W160" s="126" t="n">
        <f aca="false">N160/$R$3</f>
        <v>30.949</v>
      </c>
    </row>
    <row r="161" customFormat="false" ht="12.75" hidden="true" customHeight="false" outlineLevel="0" collapsed="false">
      <c r="A161" s="120" t="n">
        <f aca="false">A160+1</f>
        <v>37047</v>
      </c>
      <c r="B161" s="131" t="str">
        <f aca="false">INDEX('Master Data'!$A$2:$B$8,MATCH(WEEKDAY('Rio Cuarto Power Trading'!A161,3),'Master Data'!$A$2:$A$8,0),2)</f>
        <v>T</v>
      </c>
      <c r="D161" s="124" t="n">
        <v>1879111.68233176</v>
      </c>
      <c r="E161" s="124" t="n">
        <v>0</v>
      </c>
      <c r="F161" s="124" t="n">
        <v>0</v>
      </c>
      <c r="G161" s="124" t="n">
        <v>46780</v>
      </c>
      <c r="I161" s="124" t="n">
        <f aca="false">IF(MONTH($A161)=MONTH($A160),IF(G161=0,I160,G161),G161)</f>
        <v>46780</v>
      </c>
      <c r="J161" s="124" t="n">
        <f aca="false">IF(MONTH($A161)=MONTH($A160),SUM(I161-I160),I161)</f>
        <v>23666</v>
      </c>
      <c r="K161" s="124" t="n">
        <f aca="false">IF(WEEKDAY(A161,3)&gt;4,0,(IF(A161&lt;K$2,0,IF(A161&lt;=K$3,1,0))))</f>
        <v>0</v>
      </c>
      <c r="L161" s="124" t="n">
        <f aca="false">J161*K161</f>
        <v>0</v>
      </c>
      <c r="M161" s="124" t="n">
        <f aca="false">SUM(J$97:J161)</f>
        <v>54615</v>
      </c>
      <c r="N161" s="124" t="n">
        <f aca="false">SUM(J$6:J161)</f>
        <v>54615</v>
      </c>
      <c r="P161" s="124" t="n">
        <f aca="false">D161/P$3</f>
        <v>1.87911168233176</v>
      </c>
      <c r="Q161" s="124" t="n">
        <f aca="false">E161/P$3</f>
        <v>0</v>
      </c>
      <c r="R161" s="124" t="n">
        <f aca="false">F161/R$3</f>
        <v>0</v>
      </c>
      <c r="S161" s="126" t="n">
        <f aca="false">J161/$R$3</f>
        <v>23.666</v>
      </c>
      <c r="T161" s="126" t="n">
        <f aca="false">L161/$R$3</f>
        <v>0</v>
      </c>
      <c r="U161" s="126" t="n">
        <f aca="false">I161/$R$3</f>
        <v>46.78</v>
      </c>
      <c r="V161" s="126" t="n">
        <f aca="false">M161/$R$3</f>
        <v>54.615</v>
      </c>
      <c r="W161" s="126" t="n">
        <f aca="false">N161/$R$3</f>
        <v>54.615</v>
      </c>
    </row>
    <row r="162" customFormat="false" ht="12.75" hidden="true" customHeight="false" outlineLevel="0" collapsed="false">
      <c r="A162" s="120" t="n">
        <f aca="false">A161+1</f>
        <v>37048</v>
      </c>
      <c r="B162" s="131" t="str">
        <f aca="false">INDEX('Master Data'!$A$2:$B$8,MATCH(WEEKDAY('Rio Cuarto Power Trading'!A162,3),'Master Data'!$A$2:$A$8,0),2)</f>
        <v>W</v>
      </c>
      <c r="D162" s="124" t="n">
        <v>1881307.57678333</v>
      </c>
      <c r="E162" s="124" t="n">
        <v>0</v>
      </c>
      <c r="F162" s="124" t="n">
        <v>0</v>
      </c>
      <c r="G162" s="124" t="n">
        <v>67082</v>
      </c>
      <c r="I162" s="124" t="n">
        <f aca="false">IF(MONTH($A162)=MONTH($A161),IF(G162=0,I161,G162),G162)</f>
        <v>67082</v>
      </c>
      <c r="J162" s="124" t="n">
        <f aca="false">IF(MONTH($A162)=MONTH($A161),SUM(I162-I161),I162)</f>
        <v>20302</v>
      </c>
      <c r="K162" s="124" t="n">
        <f aca="false">IF(WEEKDAY(A162,3)&gt;4,0,(IF(A162&lt;K$2,0,IF(A162&lt;=K$3,1,0))))</f>
        <v>0</v>
      </c>
      <c r="L162" s="124" t="n">
        <f aca="false">J162*K162</f>
        <v>0</v>
      </c>
      <c r="M162" s="124" t="n">
        <f aca="false">SUM(J$97:J162)</f>
        <v>74917</v>
      </c>
      <c r="N162" s="124" t="n">
        <f aca="false">SUM(J$6:J162)</f>
        <v>74917</v>
      </c>
      <c r="P162" s="124" t="n">
        <f aca="false">D162/P$3</f>
        <v>1.88130757678333</v>
      </c>
      <c r="Q162" s="124" t="n">
        <f aca="false">E162/P$3</f>
        <v>0</v>
      </c>
      <c r="R162" s="124" t="n">
        <f aca="false">F162/R$3</f>
        <v>0</v>
      </c>
      <c r="S162" s="126" t="n">
        <f aca="false">J162/$R$3</f>
        <v>20.302</v>
      </c>
      <c r="T162" s="126" t="n">
        <f aca="false">L162/$R$3</f>
        <v>0</v>
      </c>
      <c r="U162" s="126" t="n">
        <f aca="false">I162/$R$3</f>
        <v>67.082</v>
      </c>
      <c r="V162" s="126" t="n">
        <f aca="false">M162/$R$3</f>
        <v>74.917</v>
      </c>
      <c r="W162" s="126" t="n">
        <f aca="false">N162/$R$3</f>
        <v>74.917</v>
      </c>
    </row>
    <row r="163" customFormat="false" ht="12.75" hidden="true" customHeight="false" outlineLevel="0" collapsed="false">
      <c r="A163" s="120" t="n">
        <f aca="false">A162+1</f>
        <v>37049</v>
      </c>
      <c r="B163" s="131" t="str">
        <f aca="false">INDEX('Master Data'!$A$2:$B$8,MATCH(WEEKDAY('Rio Cuarto Power Trading'!A163,3),'Master Data'!$A$2:$A$8,0),2)</f>
        <v>Th</v>
      </c>
      <c r="D163" s="124" t="n">
        <v>1881447.66821673</v>
      </c>
      <c r="E163" s="124" t="n">
        <v>0</v>
      </c>
      <c r="F163" s="124" t="n">
        <v>0</v>
      </c>
      <c r="G163" s="124" t="n">
        <v>67276</v>
      </c>
      <c r="I163" s="124" t="n">
        <f aca="false">IF(MONTH($A163)=MONTH($A162),IF(G163=0,I162,G163),G163)</f>
        <v>67276</v>
      </c>
      <c r="J163" s="124" t="n">
        <f aca="false">IF(MONTH($A163)=MONTH($A162),SUM(I163-I162),I163)</f>
        <v>194</v>
      </c>
      <c r="K163" s="124" t="n">
        <f aca="false">IF(WEEKDAY(A163,3)&gt;4,0,(IF(A163&lt;K$2,0,IF(A163&lt;=K$3,1,0))))</f>
        <v>0</v>
      </c>
      <c r="L163" s="124" t="n">
        <f aca="false">J163*K163</f>
        <v>0</v>
      </c>
      <c r="M163" s="124" t="n">
        <f aca="false">SUM(J$97:J163)</f>
        <v>75111</v>
      </c>
      <c r="N163" s="124" t="n">
        <f aca="false">SUM(J$6:J163)</f>
        <v>75111</v>
      </c>
      <c r="P163" s="124" t="n">
        <f aca="false">D163/P$3</f>
        <v>1.88144766821673</v>
      </c>
      <c r="Q163" s="124" t="n">
        <f aca="false">E163/P$3</f>
        <v>0</v>
      </c>
      <c r="R163" s="124" t="n">
        <f aca="false">F163/R$3</f>
        <v>0</v>
      </c>
      <c r="S163" s="126" t="n">
        <f aca="false">J163/$R$3</f>
        <v>0.194</v>
      </c>
      <c r="T163" s="126" t="n">
        <f aca="false">L163/$R$3</f>
        <v>0</v>
      </c>
      <c r="U163" s="126" t="n">
        <f aca="false">I163/$R$3</f>
        <v>67.276</v>
      </c>
      <c r="V163" s="126" t="n">
        <f aca="false">M163/$R$3</f>
        <v>75.111</v>
      </c>
      <c r="W163" s="126" t="n">
        <f aca="false">N163/$R$3</f>
        <v>75.111</v>
      </c>
    </row>
    <row r="164" customFormat="false" ht="12.75" hidden="true" customHeight="false" outlineLevel="0" collapsed="false">
      <c r="A164" s="120" t="n">
        <f aca="false">A163+1</f>
        <v>37050</v>
      </c>
      <c r="B164" s="131" t="str">
        <f aca="false">INDEX('Master Data'!$A$2:$B$8,MATCH(WEEKDAY('Rio Cuarto Power Trading'!A164,3),'Master Data'!$A$2:$A$8,0),2)</f>
        <v>F</v>
      </c>
      <c r="D164" s="124" t="n">
        <v>1880848.49996287</v>
      </c>
      <c r="E164" s="124" t="n">
        <v>0</v>
      </c>
      <c r="F164" s="124" t="n">
        <v>0</v>
      </c>
      <c r="G164" s="124" t="n">
        <v>135075</v>
      </c>
      <c r="I164" s="124" t="n">
        <f aca="false">IF(MONTH($A164)=MONTH($A163),IF(G164=0,I163,G164),G164)</f>
        <v>135075</v>
      </c>
      <c r="J164" s="124" t="n">
        <f aca="false">IF(MONTH($A164)=MONTH($A163),SUM(I164-I163),I164)</f>
        <v>67799</v>
      </c>
      <c r="K164" s="124" t="n">
        <f aca="false">IF(WEEKDAY(A164,3)&gt;4,0,(IF(A164&lt;K$2,0,IF(A164&lt;=K$3,1,0))))</f>
        <v>0</v>
      </c>
      <c r="L164" s="124" t="n">
        <f aca="false">J164*K164</f>
        <v>0</v>
      </c>
      <c r="M164" s="124" t="n">
        <f aca="false">SUM(J$97:J164)</f>
        <v>142910</v>
      </c>
      <c r="N164" s="124" t="n">
        <f aca="false">SUM(J$6:J164)</f>
        <v>142910</v>
      </c>
      <c r="P164" s="124" t="n">
        <f aca="false">D164/P$3</f>
        <v>1.88084849996287</v>
      </c>
      <c r="Q164" s="124" t="n">
        <f aca="false">E164/P$3</f>
        <v>0</v>
      </c>
      <c r="R164" s="124" t="n">
        <f aca="false">F164/R$3</f>
        <v>0</v>
      </c>
      <c r="S164" s="126" t="n">
        <f aca="false">J164/$R$3</f>
        <v>67.799</v>
      </c>
      <c r="T164" s="126" t="n">
        <f aca="false">L164/$R$3</f>
        <v>0</v>
      </c>
      <c r="U164" s="126" t="n">
        <f aca="false">I164/$R$3</f>
        <v>135.075</v>
      </c>
      <c r="V164" s="126" t="n">
        <f aca="false">M164/$R$3</f>
        <v>142.91</v>
      </c>
      <c r="W164" s="126" t="n">
        <f aca="false">N164/$R$3</f>
        <v>142.91</v>
      </c>
    </row>
    <row r="165" customFormat="false" ht="12.75" hidden="true" customHeight="false" outlineLevel="0" collapsed="false">
      <c r="A165" s="120" t="n">
        <f aca="false">A164+1</f>
        <v>37051</v>
      </c>
      <c r="B165" s="131" t="str">
        <f aca="false">INDEX('Master Data'!$A$2:$B$8,MATCH(WEEKDAY('Rio Cuarto Power Trading'!A165,3),'Master Data'!$A$2:$A$8,0),2)</f>
        <v>Sa</v>
      </c>
      <c r="D165" s="124" t="n">
        <v>0</v>
      </c>
      <c r="E165" s="124" t="n">
        <v>0</v>
      </c>
      <c r="F165" s="124" t="n">
        <v>0</v>
      </c>
      <c r="G165" s="124" t="n">
        <v>0</v>
      </c>
      <c r="I165" s="124" t="n">
        <f aca="false">IF(MONTH($A165)=MONTH($A164),IF(G165=0,I164,G165),G165)</f>
        <v>135075</v>
      </c>
      <c r="J165" s="124" t="n">
        <f aca="false">IF(MONTH($A165)=MONTH($A164),SUM(I165-I164),I165)</f>
        <v>0</v>
      </c>
      <c r="K165" s="124" t="n">
        <f aca="false">IF(WEEKDAY(A165,3)&gt;4,0,(IF(A165&lt;K$2,0,IF(A165&lt;=K$3,1,0))))</f>
        <v>0</v>
      </c>
      <c r="L165" s="124" t="n">
        <f aca="false">J165*K165</f>
        <v>0</v>
      </c>
      <c r="M165" s="124" t="n">
        <f aca="false">SUM(J$97:J165)</f>
        <v>142910</v>
      </c>
      <c r="N165" s="124" t="n">
        <f aca="false">SUM(J$6:J165)</f>
        <v>142910</v>
      </c>
      <c r="P165" s="124" t="n">
        <f aca="false">D165/P$3</f>
        <v>0</v>
      </c>
      <c r="Q165" s="124" t="n">
        <f aca="false">E165/P$3</f>
        <v>0</v>
      </c>
      <c r="R165" s="124" t="n">
        <f aca="false">F165/R$3</f>
        <v>0</v>
      </c>
      <c r="S165" s="126" t="n">
        <f aca="false">J165/$R$3</f>
        <v>0</v>
      </c>
      <c r="T165" s="126" t="n">
        <f aca="false">L165/$R$3</f>
        <v>0</v>
      </c>
      <c r="U165" s="126" t="n">
        <f aca="false">I165/$R$3</f>
        <v>135.075</v>
      </c>
      <c r="V165" s="126" t="n">
        <f aca="false">M165/$R$3</f>
        <v>142.91</v>
      </c>
      <c r="W165" s="126" t="n">
        <f aca="false">N165/$R$3</f>
        <v>142.91</v>
      </c>
    </row>
    <row r="166" customFormat="false" ht="12.75" hidden="true" customHeight="false" outlineLevel="0" collapsed="false">
      <c r="A166" s="120" t="n">
        <f aca="false">A165+1</f>
        <v>37052</v>
      </c>
      <c r="B166" s="131" t="str">
        <f aca="false">INDEX('Master Data'!$A$2:$B$8,MATCH(WEEKDAY('Rio Cuarto Power Trading'!A166,3),'Master Data'!$A$2:$A$8,0),2)</f>
        <v>Su</v>
      </c>
      <c r="D166" s="124" t="n">
        <v>0</v>
      </c>
      <c r="E166" s="124" t="n">
        <v>0</v>
      </c>
      <c r="F166" s="124" t="n">
        <v>0</v>
      </c>
      <c r="G166" s="124" t="n">
        <v>0</v>
      </c>
      <c r="I166" s="124" t="n">
        <f aca="false">IF(MONTH($A166)=MONTH($A165),IF(G166=0,I165,G166),G166)</f>
        <v>135075</v>
      </c>
      <c r="J166" s="124" t="n">
        <f aca="false">IF(MONTH($A166)=MONTH($A165),SUM(I166-I165),I166)</f>
        <v>0</v>
      </c>
      <c r="K166" s="124" t="n">
        <f aca="false">IF(WEEKDAY(A166,3)&gt;4,0,(IF(A166&lt;K$2,0,IF(A166&lt;=K$3,1,0))))</f>
        <v>0</v>
      </c>
      <c r="L166" s="124" t="n">
        <f aca="false">J166*K166</f>
        <v>0</v>
      </c>
      <c r="M166" s="124" t="n">
        <f aca="false">SUM(J$97:J166)</f>
        <v>142910</v>
      </c>
      <c r="N166" s="124" t="n">
        <f aca="false">SUM(J$6:J166)</f>
        <v>142910</v>
      </c>
      <c r="P166" s="124" t="n">
        <f aca="false">D166/P$3</f>
        <v>0</v>
      </c>
      <c r="Q166" s="124" t="n">
        <f aca="false">E166/P$3</f>
        <v>0</v>
      </c>
      <c r="R166" s="124" t="n">
        <f aca="false">F166/R$3</f>
        <v>0</v>
      </c>
      <c r="S166" s="126" t="n">
        <f aca="false">J166/$R$3</f>
        <v>0</v>
      </c>
      <c r="T166" s="126" t="n">
        <f aca="false">L166/$R$3</f>
        <v>0</v>
      </c>
      <c r="U166" s="126" t="n">
        <f aca="false">I166/$R$3</f>
        <v>135.075</v>
      </c>
      <c r="V166" s="126" t="n">
        <f aca="false">M166/$R$3</f>
        <v>142.91</v>
      </c>
      <c r="W166" s="126" t="n">
        <f aca="false">N166/$R$3</f>
        <v>142.91</v>
      </c>
    </row>
    <row r="167" customFormat="false" ht="12.75" hidden="true" customHeight="false" outlineLevel="0" collapsed="false">
      <c r="A167" s="120" t="n">
        <f aca="false">A166+1</f>
        <v>37053</v>
      </c>
      <c r="B167" s="131" t="str">
        <f aca="false">INDEX('Master Data'!$A$2:$B$8,MATCH(WEEKDAY('Rio Cuarto Power Trading'!A167,3),'Master Data'!$A$2:$A$8,0),2)</f>
        <v>M</v>
      </c>
      <c r="D167" s="124" t="n">
        <v>1876221.54248931</v>
      </c>
      <c r="E167" s="124" t="n">
        <v>0</v>
      </c>
      <c r="F167" s="124" t="n">
        <v>0</v>
      </c>
      <c r="G167" s="124" t="n">
        <v>135389</v>
      </c>
      <c r="I167" s="124" t="n">
        <f aca="false">IF(MONTH($A167)=MONTH($A166),IF(G167=0,I166,G167),G167)</f>
        <v>135389</v>
      </c>
      <c r="J167" s="124" t="n">
        <f aca="false">IF(MONTH($A167)=MONTH($A166),SUM(I167-I166),I167)</f>
        <v>314</v>
      </c>
      <c r="K167" s="124" t="n">
        <f aca="false">IF(WEEKDAY(A167,3)&gt;4,0,(IF(A167&lt;K$2,0,IF(A167&lt;=K$3,1,0))))</f>
        <v>0</v>
      </c>
      <c r="L167" s="124" t="n">
        <f aca="false">J167*K167</f>
        <v>0</v>
      </c>
      <c r="M167" s="124" t="n">
        <f aca="false">SUM(J$97:J167)</f>
        <v>143224</v>
      </c>
      <c r="N167" s="124" t="n">
        <f aca="false">SUM(J$6:J167)</f>
        <v>143224</v>
      </c>
      <c r="P167" s="124" t="n">
        <f aca="false">D167/P$3</f>
        <v>1.87622154248931</v>
      </c>
      <c r="Q167" s="124" t="n">
        <f aca="false">E167/P$3</f>
        <v>0</v>
      </c>
      <c r="R167" s="124" t="n">
        <f aca="false">F167/R$3</f>
        <v>0</v>
      </c>
      <c r="S167" s="126" t="n">
        <f aca="false">J167/$R$3</f>
        <v>0.314</v>
      </c>
      <c r="T167" s="126" t="n">
        <f aca="false">L167/$R$3</f>
        <v>0</v>
      </c>
      <c r="U167" s="126" t="n">
        <f aca="false">I167/$R$3</f>
        <v>135.389</v>
      </c>
      <c r="V167" s="126" t="n">
        <f aca="false">M167/$R$3</f>
        <v>143.224</v>
      </c>
      <c r="W167" s="126" t="n">
        <f aca="false">N167/$R$3</f>
        <v>143.224</v>
      </c>
    </row>
    <row r="168" customFormat="false" ht="12.75" hidden="true" customHeight="false" outlineLevel="0" collapsed="false">
      <c r="A168" s="120" t="n">
        <f aca="false">A167+1</f>
        <v>37054</v>
      </c>
      <c r="B168" s="131" t="str">
        <f aca="false">INDEX('Master Data'!$A$2:$B$8,MATCH(WEEKDAY('Rio Cuarto Power Trading'!A168,3),'Master Data'!$A$2:$A$8,0),2)</f>
        <v>T</v>
      </c>
      <c r="D168" s="124" t="n">
        <v>1879607.31747572</v>
      </c>
      <c r="E168" s="124" t="n">
        <v>0</v>
      </c>
      <c r="F168" s="124" t="n">
        <v>0</v>
      </c>
      <c r="G168" s="124" t="n">
        <v>160918</v>
      </c>
      <c r="I168" s="124" t="n">
        <f aca="false">IF(MONTH($A168)=MONTH($A167),IF(G168=0,I167,G168),G168)</f>
        <v>160918</v>
      </c>
      <c r="J168" s="124" t="n">
        <f aca="false">IF(MONTH($A168)=MONTH($A167),SUM(I168-I167),I168)</f>
        <v>25529</v>
      </c>
      <c r="K168" s="124" t="n">
        <f aca="false">IF(WEEKDAY(A168,3)&gt;4,0,(IF(A168&lt;K$2,0,IF(A168&lt;=K$3,1,0))))</f>
        <v>0</v>
      </c>
      <c r="L168" s="124" t="n">
        <f aca="false">J168*K168</f>
        <v>0</v>
      </c>
      <c r="M168" s="124" t="n">
        <f aca="false">SUM(J$97:J168)</f>
        <v>168753</v>
      </c>
      <c r="N168" s="124" t="n">
        <f aca="false">SUM(J$6:J168)</f>
        <v>168753</v>
      </c>
      <c r="P168" s="124" t="n">
        <f aca="false">D168/P$3</f>
        <v>1.87960731747572</v>
      </c>
      <c r="Q168" s="124" t="n">
        <f aca="false">E168/P$3</f>
        <v>0</v>
      </c>
      <c r="R168" s="124" t="n">
        <f aca="false">F168/R$3</f>
        <v>0</v>
      </c>
      <c r="S168" s="126" t="n">
        <f aca="false">J168/$R$3</f>
        <v>25.529</v>
      </c>
      <c r="T168" s="126" t="n">
        <f aca="false">L168/$R$3</f>
        <v>0</v>
      </c>
      <c r="U168" s="126" t="n">
        <f aca="false">I168/$R$3</f>
        <v>160.918</v>
      </c>
      <c r="V168" s="126" t="n">
        <f aca="false">M168/$R$3</f>
        <v>168.753</v>
      </c>
      <c r="W168" s="126" t="n">
        <f aca="false">N168/$R$3</f>
        <v>168.753</v>
      </c>
    </row>
    <row r="169" customFormat="false" ht="12.75" hidden="true" customHeight="false" outlineLevel="0" collapsed="false">
      <c r="A169" s="120" t="n">
        <f aca="false">A168+1</f>
        <v>37055</v>
      </c>
      <c r="B169" s="131" t="str">
        <f aca="false">INDEX('Master Data'!$A$2:$B$8,MATCH(WEEKDAY('Rio Cuarto Power Trading'!A169,3),'Master Data'!$A$2:$A$8,0),2)</f>
        <v>W</v>
      </c>
      <c r="D169" s="124" t="n">
        <v>1881417.3378414</v>
      </c>
      <c r="E169" s="124" t="n">
        <v>0</v>
      </c>
      <c r="F169" s="124" t="n">
        <v>0</v>
      </c>
      <c r="G169" s="124" t="n">
        <v>162018</v>
      </c>
      <c r="I169" s="124" t="n">
        <f aca="false">IF(MONTH($A169)=MONTH($A168),IF(G169=0,I168,G169),G169)</f>
        <v>162018</v>
      </c>
      <c r="J169" s="124" t="n">
        <f aca="false">IF(MONTH($A169)=MONTH($A168),SUM(I169-I168),I169)</f>
        <v>1100</v>
      </c>
      <c r="K169" s="124" t="n">
        <f aca="false">IF(WEEKDAY(A169,3)&gt;4,0,(IF(A169&lt;K$2,0,IF(A169&lt;=K$3,1,0))))</f>
        <v>0</v>
      </c>
      <c r="L169" s="124" t="n">
        <f aca="false">J169*K169</f>
        <v>0</v>
      </c>
      <c r="M169" s="124" t="n">
        <f aca="false">SUM(J$97:J169)</f>
        <v>169853</v>
      </c>
      <c r="N169" s="124" t="n">
        <f aca="false">SUM(J$6:J169)</f>
        <v>169853</v>
      </c>
      <c r="P169" s="124" t="n">
        <f aca="false">D169/P$3</f>
        <v>1.8814173378414</v>
      </c>
      <c r="Q169" s="124" t="n">
        <f aca="false">E169/P$3</f>
        <v>0</v>
      </c>
      <c r="R169" s="124" t="n">
        <f aca="false">F169/R$3</f>
        <v>0</v>
      </c>
      <c r="S169" s="126" t="n">
        <f aca="false">J169/$R$3</f>
        <v>1.1</v>
      </c>
      <c r="T169" s="126" t="n">
        <f aca="false">L169/$R$3</f>
        <v>0</v>
      </c>
      <c r="U169" s="126" t="n">
        <f aca="false">I169/$R$3</f>
        <v>162.018</v>
      </c>
      <c r="V169" s="126" t="n">
        <f aca="false">M169/$R$3</f>
        <v>169.853</v>
      </c>
      <c r="W169" s="126" t="n">
        <f aca="false">N169/$R$3</f>
        <v>169.853</v>
      </c>
    </row>
    <row r="170" customFormat="false" ht="12.75" hidden="true" customHeight="false" outlineLevel="0" collapsed="false">
      <c r="A170" s="120" t="n">
        <f aca="false">A169+1</f>
        <v>37056</v>
      </c>
      <c r="B170" s="131" t="str">
        <f aca="false">INDEX('Master Data'!$A$2:$B$8,MATCH(WEEKDAY('Rio Cuarto Power Trading'!A170,3),'Master Data'!$A$2:$A$8,0),2)</f>
        <v>Th</v>
      </c>
      <c r="D170" s="124" t="n">
        <v>1881722.54099825</v>
      </c>
      <c r="E170" s="124" t="n">
        <v>0</v>
      </c>
      <c r="F170" s="124" t="n">
        <v>0</v>
      </c>
      <c r="G170" s="124" t="n">
        <v>169295</v>
      </c>
      <c r="I170" s="124" t="n">
        <f aca="false">IF(MONTH($A170)=MONTH($A169),IF(G170=0,I169,G170),G170)</f>
        <v>169295</v>
      </c>
      <c r="J170" s="124" t="n">
        <f aca="false">IF(MONTH($A170)=MONTH($A169),SUM(I170-I169),I170)</f>
        <v>7277</v>
      </c>
      <c r="K170" s="124" t="n">
        <f aca="false">IF(WEEKDAY(A170,3)&gt;4,0,(IF(A170&lt;K$2,0,IF(A170&lt;=K$3,1,0))))</f>
        <v>0</v>
      </c>
      <c r="L170" s="124" t="n">
        <f aca="false">J170*K170</f>
        <v>0</v>
      </c>
      <c r="M170" s="124" t="n">
        <f aca="false">SUM(J$97:J170)</f>
        <v>177130</v>
      </c>
      <c r="N170" s="124" t="n">
        <f aca="false">SUM(J$6:J170)</f>
        <v>177130</v>
      </c>
      <c r="P170" s="124" t="n">
        <f aca="false">D170/P$3</f>
        <v>1.88172254099825</v>
      </c>
      <c r="Q170" s="124" t="n">
        <f aca="false">E170/P$3</f>
        <v>0</v>
      </c>
      <c r="R170" s="124" t="n">
        <f aca="false">F170/R$3</f>
        <v>0</v>
      </c>
      <c r="S170" s="126" t="n">
        <f aca="false">J170/$R$3</f>
        <v>7.277</v>
      </c>
      <c r="T170" s="126" t="n">
        <f aca="false">L170/$R$3</f>
        <v>0</v>
      </c>
      <c r="U170" s="126" t="n">
        <f aca="false">I170/$R$3</f>
        <v>169.295</v>
      </c>
      <c r="V170" s="126" t="n">
        <f aca="false">M170/$R$3</f>
        <v>177.13</v>
      </c>
      <c r="W170" s="126" t="n">
        <f aca="false">N170/$R$3</f>
        <v>177.13</v>
      </c>
    </row>
    <row r="171" customFormat="false" ht="12.75" hidden="true" customHeight="false" outlineLevel="0" collapsed="false">
      <c r="A171" s="120" t="n">
        <f aca="false">A170+1</f>
        <v>37057</v>
      </c>
      <c r="B171" s="131" t="str">
        <f aca="false">INDEX('Master Data'!$A$2:$B$8,MATCH(WEEKDAY('Rio Cuarto Power Trading'!A171,3),'Master Data'!$A$2:$A$8,0),2)</f>
        <v>F</v>
      </c>
      <c r="D171" s="124" t="n">
        <v>1883146.79349963</v>
      </c>
      <c r="E171" s="124" t="n">
        <v>0</v>
      </c>
      <c r="F171" s="124" t="n">
        <v>0</v>
      </c>
      <c r="G171" s="124" t="n">
        <v>175544</v>
      </c>
      <c r="I171" s="124" t="n">
        <f aca="false">IF(MONTH($A171)=MONTH($A170),IF(G171=0,I170,G171),G171)</f>
        <v>175544</v>
      </c>
      <c r="J171" s="124" t="n">
        <f aca="false">IF(MONTH($A171)=MONTH($A170),SUM(I171-I170),I171)</f>
        <v>6249</v>
      </c>
      <c r="K171" s="124" t="n">
        <f aca="false">IF(WEEKDAY(A171,3)&gt;4,0,(IF(A171&lt;K$2,0,IF(A171&lt;=K$3,1,0))))</f>
        <v>0</v>
      </c>
      <c r="L171" s="124" t="n">
        <f aca="false">J171*K171</f>
        <v>0</v>
      </c>
      <c r="M171" s="124" t="n">
        <f aca="false">SUM(J$97:J171)</f>
        <v>183379</v>
      </c>
      <c r="N171" s="124" t="n">
        <f aca="false">SUM(J$6:J171)</f>
        <v>183379</v>
      </c>
      <c r="P171" s="124" t="n">
        <f aca="false">D171/P$3</f>
        <v>1.88314679349963</v>
      </c>
      <c r="Q171" s="124" t="n">
        <f aca="false">E171/P$3</f>
        <v>0</v>
      </c>
      <c r="R171" s="124" t="n">
        <f aca="false">F171/R$3</f>
        <v>0</v>
      </c>
      <c r="S171" s="126" t="n">
        <f aca="false">J171/$R$3</f>
        <v>6.249</v>
      </c>
      <c r="T171" s="126" t="n">
        <f aca="false">L171/$R$3</f>
        <v>0</v>
      </c>
      <c r="U171" s="126" t="n">
        <f aca="false">I171/$R$3</f>
        <v>175.544</v>
      </c>
      <c r="V171" s="126" t="n">
        <f aca="false">M171/$R$3</f>
        <v>183.379</v>
      </c>
      <c r="W171" s="126" t="n">
        <f aca="false">N171/$R$3</f>
        <v>183.379</v>
      </c>
    </row>
    <row r="172" customFormat="false" ht="12.75" hidden="true" customHeight="false" outlineLevel="0" collapsed="false">
      <c r="A172" s="120" t="n">
        <f aca="false">A171+1</f>
        <v>37058</v>
      </c>
      <c r="B172" s="131" t="str">
        <f aca="false">INDEX('Master Data'!$A$2:$B$8,MATCH(WEEKDAY('Rio Cuarto Power Trading'!A172,3),'Master Data'!$A$2:$A$8,0),2)</f>
        <v>Sa</v>
      </c>
      <c r="D172" s="124" t="n">
        <v>0</v>
      </c>
      <c r="E172" s="124" t="n">
        <v>0</v>
      </c>
      <c r="F172" s="124" t="n">
        <v>0</v>
      </c>
      <c r="G172" s="124" t="n">
        <v>0</v>
      </c>
      <c r="I172" s="124" t="n">
        <f aca="false">IF(MONTH($A172)=MONTH($A171),IF(G172=0,I171,G172),G172)</f>
        <v>175544</v>
      </c>
      <c r="J172" s="124" t="n">
        <f aca="false">IF(MONTH($A172)=MONTH($A171),SUM(I172-I171),I172)</f>
        <v>0</v>
      </c>
      <c r="K172" s="124" t="n">
        <f aca="false">IF(WEEKDAY(A172,3)&gt;4,0,(IF(A172&lt;K$2,0,IF(A172&lt;=K$3,1,0))))</f>
        <v>0</v>
      </c>
      <c r="L172" s="124" t="n">
        <f aca="false">J172*K172</f>
        <v>0</v>
      </c>
      <c r="M172" s="124" t="n">
        <f aca="false">SUM(J$97:J172)</f>
        <v>183379</v>
      </c>
      <c r="N172" s="124" t="n">
        <f aca="false">SUM(J$6:J172)</f>
        <v>183379</v>
      </c>
      <c r="P172" s="124" t="n">
        <f aca="false">D172/P$3</f>
        <v>0</v>
      </c>
      <c r="Q172" s="124" t="n">
        <f aca="false">E172/P$3</f>
        <v>0</v>
      </c>
      <c r="R172" s="124" t="n">
        <f aca="false">F172/R$3</f>
        <v>0</v>
      </c>
      <c r="S172" s="126" t="n">
        <f aca="false">J172/$R$3</f>
        <v>0</v>
      </c>
      <c r="T172" s="126" t="n">
        <f aca="false">L172/$R$3</f>
        <v>0</v>
      </c>
      <c r="U172" s="126" t="n">
        <f aca="false">I172/$R$3</f>
        <v>175.544</v>
      </c>
      <c r="V172" s="126" t="n">
        <f aca="false">M172/$R$3</f>
        <v>183.379</v>
      </c>
      <c r="W172" s="126" t="n">
        <f aca="false">N172/$R$3</f>
        <v>183.379</v>
      </c>
    </row>
    <row r="173" customFormat="false" ht="12.75" hidden="true" customHeight="false" outlineLevel="0" collapsed="false">
      <c r="A173" s="120" t="n">
        <f aca="false">A172+1</f>
        <v>37059</v>
      </c>
      <c r="B173" s="131" t="str">
        <f aca="false">INDEX('Master Data'!$A$2:$B$8,MATCH(WEEKDAY('Rio Cuarto Power Trading'!A173,3),'Master Data'!$A$2:$A$8,0),2)</f>
        <v>Su</v>
      </c>
      <c r="D173" s="124" t="n">
        <v>0</v>
      </c>
      <c r="E173" s="124" t="n">
        <v>0</v>
      </c>
      <c r="F173" s="124" t="n">
        <v>0</v>
      </c>
      <c r="G173" s="124" t="n">
        <v>0</v>
      </c>
      <c r="I173" s="124" t="n">
        <f aca="false">IF(MONTH($A173)=MONTH($A172),IF(G173=0,I172,G173),G173)</f>
        <v>175544</v>
      </c>
      <c r="J173" s="124" t="n">
        <f aca="false">IF(MONTH($A173)=MONTH($A172),SUM(I173-I172),I173)</f>
        <v>0</v>
      </c>
      <c r="K173" s="124" t="n">
        <f aca="false">IF(WEEKDAY(A173,3)&gt;4,0,(IF(A173&lt;K$2,0,IF(A173&lt;=K$3,1,0))))</f>
        <v>0</v>
      </c>
      <c r="L173" s="124" t="n">
        <f aca="false">J173*K173</f>
        <v>0</v>
      </c>
      <c r="M173" s="124" t="n">
        <f aca="false">SUM(J$97:J173)</f>
        <v>183379</v>
      </c>
      <c r="N173" s="124" t="n">
        <f aca="false">SUM(J$6:J173)</f>
        <v>183379</v>
      </c>
      <c r="P173" s="124" t="n">
        <f aca="false">D173/P$3</f>
        <v>0</v>
      </c>
      <c r="Q173" s="124" t="n">
        <f aca="false">E173/P$3</f>
        <v>0</v>
      </c>
      <c r="R173" s="124" t="n">
        <f aca="false">F173/R$3</f>
        <v>0</v>
      </c>
      <c r="S173" s="126" t="n">
        <f aca="false">J173/$R$3</f>
        <v>0</v>
      </c>
      <c r="T173" s="126" t="n">
        <f aca="false">L173/$R$3</f>
        <v>0</v>
      </c>
      <c r="U173" s="126" t="n">
        <f aca="false">I173/$R$3</f>
        <v>175.544</v>
      </c>
      <c r="V173" s="126" t="n">
        <f aca="false">M173/$R$3</f>
        <v>183.379</v>
      </c>
      <c r="W173" s="126" t="n">
        <f aca="false">N173/$R$3</f>
        <v>183.379</v>
      </c>
    </row>
    <row r="174" customFormat="false" ht="12.75" hidden="true" customHeight="false" outlineLevel="0" collapsed="false">
      <c r="A174" s="120" t="n">
        <f aca="false">A173+1</f>
        <v>37060</v>
      </c>
      <c r="B174" s="131" t="str">
        <f aca="false">INDEX('Master Data'!$A$2:$B$8,MATCH(WEEKDAY('Rio Cuarto Power Trading'!A174,3),'Master Data'!$A$2:$A$8,0),2)</f>
        <v>M</v>
      </c>
      <c r="D174" s="124" t="n">
        <v>1882794.42253444</v>
      </c>
      <c r="E174" s="124" t="n">
        <v>0</v>
      </c>
      <c r="F174" s="124" t="n">
        <v>0</v>
      </c>
      <c r="G174" s="124" t="n">
        <v>176243</v>
      </c>
      <c r="I174" s="124" t="n">
        <f aca="false">IF(MONTH($A174)=MONTH($A173),IF(G174=0,I173,G174),G174)</f>
        <v>176243</v>
      </c>
      <c r="J174" s="124" t="n">
        <f aca="false">IF(MONTH($A174)=MONTH($A173),SUM(I174-I173),I174)</f>
        <v>699</v>
      </c>
      <c r="K174" s="124" t="n">
        <f aca="false">IF(WEEKDAY(A174,3)&gt;4,0,(IF(A174&lt;K$2,0,IF(A174&lt;=K$3,1,0))))</f>
        <v>0</v>
      </c>
      <c r="L174" s="124" t="n">
        <f aca="false">J174*K174</f>
        <v>0</v>
      </c>
      <c r="M174" s="124" t="n">
        <f aca="false">SUM(J$97:J174)</f>
        <v>184078</v>
      </c>
      <c r="N174" s="124" t="n">
        <f aca="false">SUM(J$6:J174)</f>
        <v>184078</v>
      </c>
      <c r="P174" s="124" t="n">
        <f aca="false">D174/P$3</f>
        <v>1.88279442253444</v>
      </c>
      <c r="Q174" s="124" t="n">
        <f aca="false">E174/P$3</f>
        <v>0</v>
      </c>
      <c r="R174" s="124" t="n">
        <f aca="false">F174/R$3</f>
        <v>0</v>
      </c>
      <c r="S174" s="126" t="n">
        <f aca="false">J174/$R$3</f>
        <v>0.699</v>
      </c>
      <c r="T174" s="126" t="n">
        <f aca="false">L174/$R$3</f>
        <v>0</v>
      </c>
      <c r="U174" s="126" t="n">
        <f aca="false">I174/$R$3</f>
        <v>176.243</v>
      </c>
      <c r="V174" s="126" t="n">
        <f aca="false">M174/$R$3</f>
        <v>184.078</v>
      </c>
      <c r="W174" s="126" t="n">
        <f aca="false">N174/$R$3</f>
        <v>184.078</v>
      </c>
    </row>
    <row r="175" customFormat="false" ht="12.75" hidden="true" customHeight="false" outlineLevel="0" collapsed="false">
      <c r="A175" s="120" t="n">
        <f aca="false">A174+1</f>
        <v>37061</v>
      </c>
      <c r="B175" s="131" t="str">
        <f aca="false">INDEX('Master Data'!$A$2:$B$8,MATCH(WEEKDAY('Rio Cuarto Power Trading'!A175,3),'Master Data'!$A$2:$A$8,0),2)</f>
        <v>T</v>
      </c>
      <c r="D175" s="124" t="n">
        <v>1883954.56877536</v>
      </c>
      <c r="E175" s="124" t="n">
        <v>0</v>
      </c>
      <c r="F175" s="124" t="n">
        <v>0</v>
      </c>
      <c r="G175" s="124" t="n">
        <v>176727</v>
      </c>
      <c r="I175" s="124" t="n">
        <f aca="false">IF(MONTH($A175)=MONTH($A174),IF(G175=0,I174,G175),G175)</f>
        <v>176727</v>
      </c>
      <c r="J175" s="124" t="n">
        <f aca="false">IF(MONTH($A175)=MONTH($A174),SUM(I175-I174),I175)</f>
        <v>484</v>
      </c>
      <c r="K175" s="124" t="n">
        <f aca="false">IF(WEEKDAY(A175,3)&gt;4,0,(IF(A175&lt;K$2,0,IF(A175&lt;=K$3,1,0))))</f>
        <v>0</v>
      </c>
      <c r="L175" s="124" t="n">
        <f aca="false">J175*K175</f>
        <v>0</v>
      </c>
      <c r="M175" s="124" t="n">
        <f aca="false">SUM(J$97:J175)</f>
        <v>184562</v>
      </c>
      <c r="N175" s="124" t="n">
        <f aca="false">SUM(J$6:J175)</f>
        <v>184562</v>
      </c>
      <c r="P175" s="124" t="n">
        <f aca="false">D175/P$3</f>
        <v>1.88395456877536</v>
      </c>
      <c r="Q175" s="124" t="n">
        <f aca="false">E175/P$3</f>
        <v>0</v>
      </c>
      <c r="R175" s="124" t="n">
        <f aca="false">F175/R$3</f>
        <v>0</v>
      </c>
      <c r="S175" s="126" t="n">
        <f aca="false">J175/$R$3</f>
        <v>0.484</v>
      </c>
      <c r="T175" s="126" t="n">
        <f aca="false">L175/$R$3</f>
        <v>0</v>
      </c>
      <c r="U175" s="126" t="n">
        <f aca="false">I175/$R$3</f>
        <v>176.727</v>
      </c>
      <c r="V175" s="126" t="n">
        <f aca="false">M175/$R$3</f>
        <v>184.562</v>
      </c>
      <c r="W175" s="126" t="n">
        <f aca="false">N175/$R$3</f>
        <v>184.562</v>
      </c>
    </row>
    <row r="176" customFormat="false" ht="12.75" hidden="true" customHeight="false" outlineLevel="0" collapsed="false">
      <c r="A176" s="120" t="n">
        <f aca="false">A175+1</f>
        <v>37062</v>
      </c>
      <c r="B176" s="131" t="str">
        <f aca="false">INDEX('Master Data'!$A$2:$B$8,MATCH(WEEKDAY('Rio Cuarto Power Trading'!A176,3),'Master Data'!$A$2:$A$8,0),2)</f>
        <v>W</v>
      </c>
      <c r="D176" s="124" t="n">
        <v>1892307.94853185</v>
      </c>
      <c r="E176" s="124" t="n">
        <v>0</v>
      </c>
      <c r="F176" s="124" t="n">
        <v>0</v>
      </c>
      <c r="G176" s="124" t="n">
        <v>178131</v>
      </c>
      <c r="I176" s="124" t="n">
        <f aca="false">IF(MONTH($A176)=MONTH($A175),IF(G176=0,I175,G176),G176)</f>
        <v>178131</v>
      </c>
      <c r="J176" s="124" t="n">
        <f aca="false">IF(MONTH($A176)=MONTH($A175),SUM(I176-I175),I176)</f>
        <v>1404</v>
      </c>
      <c r="K176" s="124" t="n">
        <f aca="false">IF(WEEKDAY(A176,3)&gt;4,0,(IF(A176&lt;K$2,0,IF(A176&lt;=K$3,1,0))))</f>
        <v>0</v>
      </c>
      <c r="L176" s="124" t="n">
        <f aca="false">J176*K176</f>
        <v>0</v>
      </c>
      <c r="M176" s="124" t="n">
        <f aca="false">SUM(J$97:J176)</f>
        <v>185966</v>
      </c>
      <c r="N176" s="124" t="n">
        <f aca="false">SUM(J$6:J176)</f>
        <v>185966</v>
      </c>
      <c r="P176" s="124" t="n">
        <f aca="false">D176/P$3</f>
        <v>1.89230794853185</v>
      </c>
      <c r="Q176" s="124" t="n">
        <f aca="false">E176/P$3</f>
        <v>0</v>
      </c>
      <c r="R176" s="124" t="n">
        <f aca="false">F176/R$3</f>
        <v>0</v>
      </c>
      <c r="S176" s="126" t="n">
        <f aca="false">J176/$R$3</f>
        <v>1.404</v>
      </c>
      <c r="T176" s="126" t="n">
        <f aca="false">L176/$R$3</f>
        <v>0</v>
      </c>
      <c r="U176" s="126" t="n">
        <f aca="false">I176/$R$3</f>
        <v>178.131</v>
      </c>
      <c r="V176" s="126" t="n">
        <f aca="false">M176/$R$3</f>
        <v>185.966</v>
      </c>
      <c r="W176" s="126" t="n">
        <f aca="false">N176/$R$3</f>
        <v>185.966</v>
      </c>
    </row>
    <row r="177" customFormat="false" ht="12.75" hidden="true" customHeight="false" outlineLevel="0" collapsed="false">
      <c r="A177" s="120" t="n">
        <f aca="false">A176+1</f>
        <v>37063</v>
      </c>
      <c r="B177" s="131" t="str">
        <f aca="false">INDEX('Master Data'!$A$2:$B$8,MATCH(WEEKDAY('Rio Cuarto Power Trading'!A177,3),'Master Data'!$A$2:$A$8,0),2)</f>
        <v>Th</v>
      </c>
      <c r="D177" s="124" t="n">
        <v>1885416.01642687</v>
      </c>
      <c r="E177" s="124" t="n">
        <v>0</v>
      </c>
      <c r="F177" s="124" t="n">
        <v>0</v>
      </c>
      <c r="G177" s="124" t="n">
        <v>171101</v>
      </c>
      <c r="I177" s="124" t="n">
        <f aca="false">IF(MONTH($A177)=MONTH($A176),IF(G177=0,I176,G177),G177)</f>
        <v>171101</v>
      </c>
      <c r="J177" s="124" t="n">
        <f aca="false">IF(MONTH($A177)=MONTH($A176),SUM(I177-I176),I177)</f>
        <v>-7030</v>
      </c>
      <c r="K177" s="124" t="n">
        <f aca="false">IF(WEEKDAY(A177,3)&gt;4,0,(IF(A177&lt;K$2,0,IF(A177&lt;=K$3,1,0))))</f>
        <v>0</v>
      </c>
      <c r="L177" s="124" t="n">
        <f aca="false">J177*K177</f>
        <v>-0</v>
      </c>
      <c r="M177" s="124" t="n">
        <f aca="false">SUM(J$97:J177)</f>
        <v>178936</v>
      </c>
      <c r="N177" s="124" t="n">
        <f aca="false">SUM(J$6:J177)</f>
        <v>178936</v>
      </c>
      <c r="P177" s="124" t="n">
        <f aca="false">D177/P$3</f>
        <v>1.88541601642687</v>
      </c>
      <c r="Q177" s="124" t="n">
        <f aca="false">E177/P$3</f>
        <v>0</v>
      </c>
      <c r="R177" s="124" t="n">
        <f aca="false">F177/R$3</f>
        <v>0</v>
      </c>
      <c r="S177" s="126" t="n">
        <f aca="false">J177/$R$3</f>
        <v>-7.03</v>
      </c>
      <c r="T177" s="126" t="n">
        <f aca="false">L177/$R$3</f>
        <v>-0</v>
      </c>
      <c r="U177" s="126" t="n">
        <f aca="false">I177/$R$3</f>
        <v>171.101</v>
      </c>
      <c r="V177" s="126" t="n">
        <f aca="false">M177/$R$3</f>
        <v>178.936</v>
      </c>
      <c r="W177" s="126" t="n">
        <f aca="false">N177/$R$3</f>
        <v>178.936</v>
      </c>
    </row>
    <row r="178" customFormat="false" ht="12.75" hidden="true" customHeight="false" outlineLevel="0" collapsed="false">
      <c r="A178" s="120" t="n">
        <f aca="false">A177+1</f>
        <v>37064</v>
      </c>
      <c r="B178" s="131" t="str">
        <f aca="false">INDEX('Master Data'!$A$2:$B$8,MATCH(WEEKDAY('Rio Cuarto Power Trading'!A178,3),'Master Data'!$A$2:$A$8,0),2)</f>
        <v>F</v>
      </c>
      <c r="D178" s="124" t="n">
        <v>1884186.92124649</v>
      </c>
      <c r="E178" s="124" t="n">
        <v>0</v>
      </c>
      <c r="F178" s="124" t="n">
        <v>0</v>
      </c>
      <c r="G178" s="124" t="n">
        <v>167238</v>
      </c>
      <c r="I178" s="124" t="n">
        <f aca="false">IF(MONTH($A178)=MONTH($A177),IF(G178=0,I177,G178),G178)</f>
        <v>167238</v>
      </c>
      <c r="J178" s="124" t="n">
        <f aca="false">IF(MONTH($A178)=MONTH($A177),SUM(I178-I177),I178)</f>
        <v>-3863</v>
      </c>
      <c r="K178" s="124" t="n">
        <f aca="false">IF(WEEKDAY(A178,3)&gt;4,0,(IF(A178&lt;K$2,0,IF(A178&lt;=K$3,1,0))))</f>
        <v>0</v>
      </c>
      <c r="L178" s="124" t="n">
        <f aca="false">J178*K178</f>
        <v>-0</v>
      </c>
      <c r="M178" s="124" t="n">
        <f aca="false">SUM(J$97:J178)</f>
        <v>175073</v>
      </c>
      <c r="N178" s="124" t="n">
        <f aca="false">SUM(J$6:J178)</f>
        <v>175073</v>
      </c>
      <c r="P178" s="124" t="n">
        <f aca="false">D178/P$3</f>
        <v>1.88418692124649</v>
      </c>
      <c r="Q178" s="124" t="n">
        <f aca="false">E178/P$3</f>
        <v>0</v>
      </c>
      <c r="R178" s="124" t="n">
        <f aca="false">F178/R$3</f>
        <v>0</v>
      </c>
      <c r="S178" s="126" t="n">
        <f aca="false">J178/$R$3</f>
        <v>-3.863</v>
      </c>
      <c r="T178" s="126" t="n">
        <f aca="false">L178/$R$3</f>
        <v>-0</v>
      </c>
      <c r="U178" s="126" t="n">
        <f aca="false">I178/$R$3</f>
        <v>167.238</v>
      </c>
      <c r="V178" s="126" t="n">
        <f aca="false">M178/$R$3</f>
        <v>175.073</v>
      </c>
      <c r="W178" s="126" t="n">
        <f aca="false">N178/$R$3</f>
        <v>175.073</v>
      </c>
    </row>
    <row r="179" customFormat="false" ht="12.75" hidden="true" customHeight="false" outlineLevel="0" collapsed="false">
      <c r="A179" s="120" t="n">
        <f aca="false">A178+1</f>
        <v>37065</v>
      </c>
      <c r="B179" s="131" t="str">
        <f aca="false">INDEX('Master Data'!$A$2:$B$8,MATCH(WEEKDAY('Rio Cuarto Power Trading'!A179,3),'Master Data'!$A$2:$A$8,0),2)</f>
        <v>Sa</v>
      </c>
      <c r="D179" s="124" t="n">
        <v>0</v>
      </c>
      <c r="E179" s="124" t="n">
        <v>0</v>
      </c>
      <c r="F179" s="124" t="n">
        <v>0</v>
      </c>
      <c r="G179" s="124" t="n">
        <v>0</v>
      </c>
      <c r="I179" s="124" t="n">
        <f aca="false">IF(MONTH($A179)=MONTH($A178),IF(G179=0,I178,G179),G179)</f>
        <v>167238</v>
      </c>
      <c r="J179" s="124" t="n">
        <f aca="false">IF(MONTH($A179)=MONTH($A178),SUM(I179-I178),I179)</f>
        <v>0</v>
      </c>
      <c r="K179" s="124" t="n">
        <f aca="false">IF(WEEKDAY(A179,3)&gt;4,0,(IF(A179&lt;K$2,0,IF(A179&lt;=K$3,1,0))))</f>
        <v>0</v>
      </c>
      <c r="L179" s="124" t="n">
        <f aca="false">J179*K179</f>
        <v>0</v>
      </c>
      <c r="M179" s="124" t="n">
        <f aca="false">SUM(J$97:J179)</f>
        <v>175073</v>
      </c>
      <c r="N179" s="124" t="n">
        <f aca="false">SUM(J$6:J179)</f>
        <v>175073</v>
      </c>
      <c r="P179" s="124" t="n">
        <f aca="false">D179/P$3</f>
        <v>0</v>
      </c>
      <c r="Q179" s="124" t="n">
        <f aca="false">E179/P$3</f>
        <v>0</v>
      </c>
      <c r="R179" s="124" t="n">
        <f aca="false">F179/R$3</f>
        <v>0</v>
      </c>
      <c r="S179" s="126" t="n">
        <f aca="false">J179/$R$3</f>
        <v>0</v>
      </c>
      <c r="T179" s="126" t="n">
        <f aca="false">L179/$R$3</f>
        <v>0</v>
      </c>
      <c r="U179" s="126" t="n">
        <f aca="false">I179/$R$3</f>
        <v>167.238</v>
      </c>
      <c r="V179" s="126" t="n">
        <f aca="false">M179/$R$3</f>
        <v>175.073</v>
      </c>
      <c r="W179" s="126" t="n">
        <f aca="false">N179/$R$3</f>
        <v>175.073</v>
      </c>
    </row>
    <row r="180" customFormat="false" ht="12.75" hidden="true" customHeight="false" outlineLevel="0" collapsed="false">
      <c r="A180" s="120" t="n">
        <f aca="false">A179+1</f>
        <v>37066</v>
      </c>
      <c r="B180" s="131" t="str">
        <f aca="false">INDEX('Master Data'!$A$2:$B$8,MATCH(WEEKDAY('Rio Cuarto Power Trading'!A180,3),'Master Data'!$A$2:$A$8,0),2)</f>
        <v>Su</v>
      </c>
      <c r="D180" s="124" t="n">
        <v>0</v>
      </c>
      <c r="E180" s="124" t="n">
        <v>0</v>
      </c>
      <c r="F180" s="124" t="n">
        <v>0</v>
      </c>
      <c r="G180" s="124" t="n">
        <v>0</v>
      </c>
      <c r="I180" s="124" t="n">
        <f aca="false">IF(MONTH($A180)=MONTH($A179),IF(G180=0,I179,G180),G180)</f>
        <v>167238</v>
      </c>
      <c r="J180" s="124" t="n">
        <f aca="false">IF(MONTH($A180)=MONTH($A179),SUM(I180-I179),I180)</f>
        <v>0</v>
      </c>
      <c r="K180" s="124" t="n">
        <f aca="false">IF(WEEKDAY(A180,3)&gt;4,0,(IF(A180&lt;K$2,0,IF(A180&lt;=K$3,1,0))))</f>
        <v>0</v>
      </c>
      <c r="L180" s="124" t="n">
        <f aca="false">J180*K180</f>
        <v>0</v>
      </c>
      <c r="M180" s="124" t="n">
        <f aca="false">SUM(J$97:J180)</f>
        <v>175073</v>
      </c>
      <c r="N180" s="124" t="n">
        <f aca="false">SUM(J$6:J180)</f>
        <v>175073</v>
      </c>
      <c r="P180" s="124" t="n">
        <f aca="false">D180/P$3</f>
        <v>0</v>
      </c>
      <c r="Q180" s="124" t="n">
        <f aca="false">E180/P$3</f>
        <v>0</v>
      </c>
      <c r="R180" s="124" t="n">
        <f aca="false">F180/R$3</f>
        <v>0</v>
      </c>
      <c r="S180" s="126" t="n">
        <f aca="false">J180/$R$3</f>
        <v>0</v>
      </c>
      <c r="T180" s="126" t="n">
        <f aca="false">L180/$R$3</f>
        <v>0</v>
      </c>
      <c r="U180" s="126" t="n">
        <f aca="false">I180/$R$3</f>
        <v>167.238</v>
      </c>
      <c r="V180" s="126" t="n">
        <f aca="false">M180/$R$3</f>
        <v>175.073</v>
      </c>
      <c r="W180" s="126" t="n">
        <f aca="false">N180/$R$3</f>
        <v>175.073</v>
      </c>
    </row>
    <row r="181" customFormat="false" ht="12.75" hidden="true" customHeight="false" outlineLevel="0" collapsed="false">
      <c r="A181" s="120" t="n">
        <f aca="false">A180+1</f>
        <v>37067</v>
      </c>
      <c r="B181" s="131" t="str">
        <f aca="false">INDEX('Master Data'!$A$2:$B$8,MATCH(WEEKDAY('Rio Cuarto Power Trading'!A181,3),'Master Data'!$A$2:$A$8,0),2)</f>
        <v>M</v>
      </c>
      <c r="D181" s="124" t="n">
        <v>1885797.32450614</v>
      </c>
      <c r="E181" s="124" t="n">
        <v>0</v>
      </c>
      <c r="F181" s="124" t="n">
        <v>0</v>
      </c>
      <c r="G181" s="124" t="n">
        <v>167527</v>
      </c>
      <c r="I181" s="124" t="n">
        <f aca="false">IF(MONTH($A181)=MONTH($A180),IF(G181=0,I180,G181),G181)</f>
        <v>167527</v>
      </c>
      <c r="J181" s="124" t="n">
        <f aca="false">IF(MONTH($A181)=MONTH($A180),SUM(I181-I180),I181)</f>
        <v>289</v>
      </c>
      <c r="K181" s="124" t="n">
        <f aca="false">IF(WEEKDAY(A181,3)&gt;4,0,(IF(A181&lt;K$2,0,IF(A181&lt;=K$3,1,0))))</f>
        <v>0</v>
      </c>
      <c r="L181" s="124" t="n">
        <f aca="false">J181*K181</f>
        <v>0</v>
      </c>
      <c r="M181" s="124" t="n">
        <f aca="false">SUM(J$97:J181)</f>
        <v>175362</v>
      </c>
      <c r="N181" s="124" t="n">
        <f aca="false">SUM(J$6:J181)</f>
        <v>175362</v>
      </c>
      <c r="P181" s="124" t="n">
        <f aca="false">D181/P$3</f>
        <v>1.88579732450614</v>
      </c>
      <c r="Q181" s="124" t="n">
        <f aca="false">E181/P$3</f>
        <v>0</v>
      </c>
      <c r="R181" s="124" t="n">
        <f aca="false">F181/R$3</f>
        <v>0</v>
      </c>
      <c r="S181" s="126" t="n">
        <f aca="false">J181/$R$3</f>
        <v>0.289</v>
      </c>
      <c r="T181" s="126" t="n">
        <f aca="false">L181/$R$3</f>
        <v>0</v>
      </c>
      <c r="U181" s="126" t="n">
        <f aca="false">I181/$R$3</f>
        <v>167.527</v>
      </c>
      <c r="V181" s="126" t="n">
        <f aca="false">M181/$R$3</f>
        <v>175.362</v>
      </c>
      <c r="W181" s="126" t="n">
        <f aca="false">N181/$R$3</f>
        <v>175.362</v>
      </c>
    </row>
    <row r="182" customFormat="false" ht="12.75" hidden="true" customHeight="false" outlineLevel="0" collapsed="false">
      <c r="A182" s="120" t="n">
        <f aca="false">A181+1</f>
        <v>37068</v>
      </c>
      <c r="B182" s="131" t="str">
        <f aca="false">INDEX('Master Data'!$A$2:$B$8,MATCH(WEEKDAY('Rio Cuarto Power Trading'!A182,3),'Master Data'!$A$2:$A$8,0),2)</f>
        <v>T</v>
      </c>
      <c r="D182" s="124" t="n">
        <v>1885160.17822509</v>
      </c>
      <c r="E182" s="124" t="n">
        <v>0</v>
      </c>
      <c r="F182" s="124" t="n">
        <v>0</v>
      </c>
      <c r="G182" s="124" t="n">
        <v>167791</v>
      </c>
      <c r="I182" s="124" t="n">
        <f aca="false">IF(MONTH($A182)=MONTH($A181),IF(G182=0,I181,G182),G182)</f>
        <v>167791</v>
      </c>
      <c r="J182" s="124" t="n">
        <f aca="false">IF(MONTH($A182)=MONTH($A181),SUM(I182-I181),I182)</f>
        <v>264</v>
      </c>
      <c r="K182" s="124" t="n">
        <f aca="false">IF(WEEKDAY(A182,3)&gt;4,0,(IF(A182&lt;K$2,0,IF(A182&lt;=K$3,1,0))))</f>
        <v>0</v>
      </c>
      <c r="L182" s="124" t="n">
        <f aca="false">J182*K182</f>
        <v>0</v>
      </c>
      <c r="M182" s="124" t="n">
        <f aca="false">SUM(J$97:J182)</f>
        <v>175626</v>
      </c>
      <c r="N182" s="124" t="n">
        <f aca="false">SUM(J$6:J182)</f>
        <v>175626</v>
      </c>
      <c r="P182" s="124" t="n">
        <f aca="false">D182/P$3</f>
        <v>1.88516017822509</v>
      </c>
      <c r="Q182" s="124" t="n">
        <f aca="false">E182/P$3</f>
        <v>0</v>
      </c>
      <c r="R182" s="124" t="n">
        <f aca="false">F182/R$3</f>
        <v>0</v>
      </c>
      <c r="S182" s="126" t="n">
        <f aca="false">J182/$R$3</f>
        <v>0.264</v>
      </c>
      <c r="T182" s="126" t="n">
        <f aca="false">L182/$R$3</f>
        <v>0</v>
      </c>
      <c r="U182" s="126" t="n">
        <f aca="false">I182/$R$3</f>
        <v>167.791</v>
      </c>
      <c r="V182" s="126" t="n">
        <f aca="false">M182/$R$3</f>
        <v>175.626</v>
      </c>
      <c r="W182" s="126" t="n">
        <f aca="false">N182/$R$3</f>
        <v>175.626</v>
      </c>
    </row>
    <row r="183" customFormat="false" ht="12.75" hidden="true" customHeight="false" outlineLevel="0" collapsed="false">
      <c r="A183" s="120" t="n">
        <f aca="false">A182+1</f>
        <v>37069</v>
      </c>
      <c r="B183" s="131" t="str">
        <f aca="false">INDEX('Master Data'!$A$2:$B$8,MATCH(WEEKDAY('Rio Cuarto Power Trading'!A183,3),'Master Data'!$A$2:$A$8,0),2)</f>
        <v>W</v>
      </c>
      <c r="D183" s="124" t="n">
        <v>1881216.12546862</v>
      </c>
      <c r="E183" s="124" t="n">
        <v>0</v>
      </c>
      <c r="F183" s="124" t="n">
        <v>0</v>
      </c>
      <c r="G183" s="124" t="n">
        <v>173330</v>
      </c>
      <c r="I183" s="124" t="n">
        <f aca="false">IF(MONTH($A183)=MONTH($A182),IF(G183=0,I182,G183),G183)</f>
        <v>173330</v>
      </c>
      <c r="J183" s="124" t="n">
        <f aca="false">IF(MONTH($A183)=MONTH($A182),SUM(I183-I182),I183)</f>
        <v>5539</v>
      </c>
      <c r="K183" s="124" t="n">
        <f aca="false">IF(WEEKDAY(A183,3)&gt;4,0,(IF(A183&lt;K$2,0,IF(A183&lt;=K$3,1,0))))</f>
        <v>0</v>
      </c>
      <c r="L183" s="124" t="n">
        <f aca="false">J183*K183</f>
        <v>0</v>
      </c>
      <c r="M183" s="124" t="n">
        <f aca="false">SUM(J$97:J183)</f>
        <v>181165</v>
      </c>
      <c r="N183" s="124" t="n">
        <f aca="false">SUM(J$6:J183)</f>
        <v>181165</v>
      </c>
      <c r="P183" s="124" t="n">
        <f aca="false">D183/P$3</f>
        <v>1.88121612546862</v>
      </c>
      <c r="Q183" s="124" t="n">
        <f aca="false">E183/P$3</f>
        <v>0</v>
      </c>
      <c r="R183" s="124" t="n">
        <f aca="false">F183/R$3</f>
        <v>0</v>
      </c>
      <c r="S183" s="126" t="n">
        <f aca="false">J183/$R$3</f>
        <v>5.539</v>
      </c>
      <c r="T183" s="126" t="n">
        <f aca="false">L183/$R$3</f>
        <v>0</v>
      </c>
      <c r="U183" s="126" t="n">
        <f aca="false">I183/$R$3</f>
        <v>173.33</v>
      </c>
      <c r="V183" s="126" t="n">
        <f aca="false">M183/$R$3</f>
        <v>181.165</v>
      </c>
      <c r="W183" s="126" t="n">
        <f aca="false">N183/$R$3</f>
        <v>181.165</v>
      </c>
    </row>
    <row r="184" customFormat="false" ht="12.75" hidden="true" customHeight="false" outlineLevel="0" collapsed="false">
      <c r="A184" s="120" t="n">
        <f aca="false">A183+1</f>
        <v>37070</v>
      </c>
      <c r="B184" s="131" t="str">
        <f aca="false">INDEX('Master Data'!$A$2:$B$8,MATCH(WEEKDAY('Rio Cuarto Power Trading'!A184,3),'Master Data'!$A$2:$A$8,0),2)</f>
        <v>Th</v>
      </c>
      <c r="D184" s="124" t="n">
        <v>1877748.75681339</v>
      </c>
      <c r="E184" s="124" t="n">
        <v>0</v>
      </c>
      <c r="F184" s="124" t="n">
        <v>0</v>
      </c>
      <c r="G184" s="124" t="n">
        <v>171359</v>
      </c>
      <c r="I184" s="124" t="n">
        <f aca="false">IF(MONTH($A184)=MONTH($A183),IF(G184=0,I183,G184),G184)</f>
        <v>171359</v>
      </c>
      <c r="J184" s="124" t="n">
        <f aca="false">IF(MONTH($A184)=MONTH($A183),SUM(I184-I183),I184)</f>
        <v>-1971</v>
      </c>
      <c r="K184" s="124" t="n">
        <f aca="false">IF(WEEKDAY(A184,3)&gt;4,0,(IF(A184&lt;K$2,0,IF(A184&lt;=K$3,1,0))))</f>
        <v>0</v>
      </c>
      <c r="L184" s="124" t="n">
        <f aca="false">J184*K184</f>
        <v>-0</v>
      </c>
      <c r="M184" s="124" t="n">
        <f aca="false">SUM(J$97:J184)</f>
        <v>179194</v>
      </c>
      <c r="N184" s="124" t="n">
        <f aca="false">SUM(J$6:J184)</f>
        <v>179194</v>
      </c>
      <c r="P184" s="124" t="n">
        <f aca="false">D184/P$3</f>
        <v>1.87774875681339</v>
      </c>
      <c r="Q184" s="124" t="n">
        <f aca="false">E184/P$3</f>
        <v>0</v>
      </c>
      <c r="R184" s="124" t="n">
        <f aca="false">F184/R$3</f>
        <v>0</v>
      </c>
      <c r="S184" s="126" t="n">
        <f aca="false">J184/$R$3</f>
        <v>-1.971</v>
      </c>
      <c r="T184" s="126" t="n">
        <f aca="false">L184/$R$3</f>
        <v>-0</v>
      </c>
      <c r="U184" s="126" t="n">
        <f aca="false">I184/$R$3</f>
        <v>171.359</v>
      </c>
      <c r="V184" s="126" t="n">
        <f aca="false">M184/$R$3</f>
        <v>179.194</v>
      </c>
      <c r="W184" s="126" t="n">
        <f aca="false">N184/$R$3</f>
        <v>179.194</v>
      </c>
    </row>
    <row r="185" customFormat="false" ht="12.75" hidden="false" customHeight="false" outlineLevel="0" collapsed="false">
      <c r="A185" s="120" t="n">
        <f aca="false">A184+1</f>
        <v>37071</v>
      </c>
      <c r="B185" s="131" t="str">
        <f aca="false">INDEX('Master Data'!$A$2:$B$8,MATCH(WEEKDAY('Rio Cuarto Power Trading'!A185,3),'Master Data'!$A$2:$A$8,0),2)</f>
        <v>F</v>
      </c>
      <c r="D185" s="124" t="n">
        <v>1870889.68060695</v>
      </c>
      <c r="E185" s="124" t="n">
        <v>0</v>
      </c>
      <c r="F185" s="124" t="n">
        <v>0</v>
      </c>
      <c r="G185" s="124" t="n">
        <v>174792</v>
      </c>
      <c r="I185" s="124" t="n">
        <f aca="false">IF(MONTH($A185)=MONTH($A184),IF(G185=0,I184,G185),G185)</f>
        <v>174792</v>
      </c>
      <c r="J185" s="124" t="n">
        <f aca="false">IF(MONTH($A185)=MONTH($A184),SUM(I185-I184),I185)</f>
        <v>3433</v>
      </c>
      <c r="K185" s="124" t="n">
        <f aca="false">IF(WEEKDAY(A185,3)&gt;4,0,(IF(A185&lt;K$2,0,IF(A185&lt;=K$3,1,0))))</f>
        <v>0</v>
      </c>
      <c r="L185" s="124" t="n">
        <f aca="false">J185*K185</f>
        <v>0</v>
      </c>
      <c r="M185" s="124" t="n">
        <f aca="false">SUM(J$97:J185)</f>
        <v>182627</v>
      </c>
      <c r="N185" s="124" t="n">
        <f aca="false">SUM(J$6:J185)</f>
        <v>182627</v>
      </c>
      <c r="P185" s="124" t="n">
        <f aca="false">D185/P$3</f>
        <v>1.87088968060695</v>
      </c>
      <c r="Q185" s="124" t="n">
        <f aca="false">E185/P$3</f>
        <v>0</v>
      </c>
      <c r="R185" s="124" t="n">
        <f aca="false">F185/R$3</f>
        <v>0</v>
      </c>
      <c r="S185" s="126" t="n">
        <f aca="false">J185/$R$3</f>
        <v>3.433</v>
      </c>
      <c r="T185" s="126" t="n">
        <f aca="false">L185/$R$3</f>
        <v>0</v>
      </c>
      <c r="U185" s="126" t="n">
        <f aca="false">I185/$R$3</f>
        <v>174.792</v>
      </c>
      <c r="V185" s="126" t="n">
        <f aca="false">M185/$R$3</f>
        <v>182.627</v>
      </c>
      <c r="W185" s="126" t="n">
        <f aca="false">N185/$R$3</f>
        <v>182.627</v>
      </c>
    </row>
    <row r="186" customFormat="false" ht="12.75" hidden="false" customHeight="false" outlineLevel="0" collapsed="false">
      <c r="A186" s="120" t="n">
        <f aca="false">A185+1</f>
        <v>37072</v>
      </c>
      <c r="B186" s="131" t="str">
        <f aca="false">INDEX('Master Data'!$A$2:$B$8,MATCH(WEEKDAY('Rio Cuarto Power Trading'!A186,3),'Master Data'!$A$2:$A$8,0),2)</f>
        <v>Sa</v>
      </c>
      <c r="D186" s="124" t="n">
        <v>0</v>
      </c>
      <c r="E186" s="124" t="n">
        <v>0</v>
      </c>
      <c r="F186" s="124" t="n">
        <v>0</v>
      </c>
      <c r="G186" s="124" t="n">
        <v>0</v>
      </c>
      <c r="I186" s="124" t="n">
        <f aca="false">IF(MONTH($A186)=MONTH($A185),IF(G186=0,I185,G186),G186)</f>
        <v>174792</v>
      </c>
      <c r="J186" s="124" t="n">
        <f aca="false">IF(MONTH($A186)=MONTH($A185),SUM(I186-I185),I186)</f>
        <v>0</v>
      </c>
      <c r="K186" s="124" t="n">
        <f aca="false">IF(WEEKDAY(A186,3)&gt;4,0,(IF(A186&lt;K$2,0,IF(A186&lt;=K$3,1,0))))</f>
        <v>0</v>
      </c>
      <c r="L186" s="124" t="n">
        <f aca="false">J186*K186</f>
        <v>0</v>
      </c>
      <c r="M186" s="124" t="n">
        <f aca="false">SUM(J$97:J186)</f>
        <v>182627</v>
      </c>
      <c r="N186" s="124" t="n">
        <f aca="false">SUM(J$6:J186)</f>
        <v>182627</v>
      </c>
      <c r="P186" s="124" t="n">
        <f aca="false">D186/P$3</f>
        <v>0</v>
      </c>
      <c r="Q186" s="124" t="n">
        <f aca="false">E186/P$3</f>
        <v>0</v>
      </c>
      <c r="R186" s="124" t="n">
        <f aca="false">F186/R$3</f>
        <v>0</v>
      </c>
      <c r="S186" s="126" t="n">
        <f aca="false">J186/$R$3</f>
        <v>0</v>
      </c>
      <c r="T186" s="126" t="n">
        <f aca="false">L186/$R$3</f>
        <v>0</v>
      </c>
      <c r="U186" s="126" t="n">
        <f aca="false">I186/$R$3</f>
        <v>174.792</v>
      </c>
      <c r="V186" s="126" t="n">
        <f aca="false">M186/$R$3</f>
        <v>182.627</v>
      </c>
      <c r="W186" s="126" t="n">
        <f aca="false">N186/$R$3</f>
        <v>182.627</v>
      </c>
    </row>
    <row r="187" customFormat="false" ht="12.75" hidden="true" customHeight="false" outlineLevel="0" collapsed="false">
      <c r="A187" s="120" t="n">
        <f aca="false">A186+1</f>
        <v>37073</v>
      </c>
      <c r="B187" s="131" t="str">
        <f aca="false">INDEX('Master Data'!$A$2:$B$8,MATCH(WEEKDAY('Rio Cuarto Power Trading'!A187,3),'Master Data'!$A$2:$A$8,0),2)</f>
        <v>Su</v>
      </c>
      <c r="D187" s="124" t="n">
        <v>0</v>
      </c>
      <c r="E187" s="124" t="n">
        <v>0</v>
      </c>
      <c r="F187" s="124" t="n">
        <v>0</v>
      </c>
      <c r="G187" s="124" t="n">
        <v>0</v>
      </c>
      <c r="I187" s="124" t="n">
        <f aca="false">IF(MONTH($A187)=MONTH($A186),IF(G187=0,I186,G187),G187)</f>
        <v>0</v>
      </c>
      <c r="J187" s="124" t="n">
        <f aca="false">IF(MONTH($A187)=MONTH($A186),SUM(I187-I186),I187)</f>
        <v>0</v>
      </c>
      <c r="K187" s="124" t="n">
        <f aca="false">IF(WEEKDAY(A187,3)&gt;4,0,(IF(A187&lt;K$2,0,IF(A187&lt;=K$3,1,0))))</f>
        <v>0</v>
      </c>
      <c r="L187" s="124" t="n">
        <f aca="false">J187*K187</f>
        <v>0</v>
      </c>
      <c r="M187" s="124" t="n">
        <f aca="false">SUM(J$97:J187)</f>
        <v>182627</v>
      </c>
      <c r="N187" s="124" t="n">
        <f aca="false">SUM(J$6:J187)</f>
        <v>182627</v>
      </c>
      <c r="P187" s="124" t="n">
        <f aca="false">D187/P$3</f>
        <v>0</v>
      </c>
      <c r="Q187" s="124" t="n">
        <f aca="false">E187/P$3</f>
        <v>0</v>
      </c>
      <c r="R187" s="124" t="n">
        <f aca="false">F187/R$3</f>
        <v>0</v>
      </c>
      <c r="S187" s="126" t="n">
        <f aca="false">J187/$R$3</f>
        <v>0</v>
      </c>
      <c r="T187" s="126" t="n">
        <f aca="false">L187/$R$3</f>
        <v>0</v>
      </c>
      <c r="U187" s="126" t="n">
        <f aca="false">I187/$R$3</f>
        <v>0</v>
      </c>
      <c r="V187" s="126" t="n">
        <f aca="false">M187/$R$3</f>
        <v>182.627</v>
      </c>
      <c r="W187" s="126" t="n">
        <f aca="false">N187/$R$3</f>
        <v>182.627</v>
      </c>
    </row>
    <row r="188" customFormat="false" ht="12.75" hidden="true" customHeight="false" outlineLevel="0" collapsed="false">
      <c r="A188" s="120" t="n">
        <f aca="false">A187+1</f>
        <v>37074</v>
      </c>
      <c r="B188" s="131" t="str">
        <f aca="false">INDEX('Master Data'!$A$2:$B$8,MATCH(WEEKDAY('Rio Cuarto Power Trading'!A188,3),'Master Data'!$A$2:$A$8,0),2)</f>
        <v>M</v>
      </c>
      <c r="D188" s="124" t="n">
        <v>1869327.16730982</v>
      </c>
      <c r="E188" s="124" t="n">
        <v>0</v>
      </c>
      <c r="F188" s="124" t="n">
        <v>0</v>
      </c>
      <c r="G188" s="124" t="n">
        <v>143</v>
      </c>
      <c r="I188" s="124" t="n">
        <f aca="false">IF(MONTH($A188)=MONTH($A187),IF(G188=0,I187,G188),G188)</f>
        <v>143</v>
      </c>
      <c r="J188" s="124" t="n">
        <f aca="false">IF(MONTH($A188)=MONTH($A187),SUM(I188-I187),I188)</f>
        <v>143</v>
      </c>
      <c r="K188" s="124" t="n">
        <f aca="false">IF(WEEKDAY(A188,3)&gt;4,0,(IF(A188&lt;K$2,0,IF(A188&lt;=K$3,1,0))))</f>
        <v>0</v>
      </c>
      <c r="L188" s="124" t="n">
        <f aca="false">J188*K188</f>
        <v>0</v>
      </c>
      <c r="M188" s="124" t="n">
        <f aca="false">SUM(J$188:J188)</f>
        <v>143</v>
      </c>
      <c r="N188" s="124" t="n">
        <f aca="false">SUM(J$6:J188)</f>
        <v>182770</v>
      </c>
      <c r="P188" s="124" t="n">
        <f aca="false">D188/P$3</f>
        <v>1.86932716730982</v>
      </c>
      <c r="Q188" s="124" t="n">
        <f aca="false">E188/P$3</f>
        <v>0</v>
      </c>
      <c r="R188" s="124" t="n">
        <f aca="false">F188/R$3</f>
        <v>0</v>
      </c>
      <c r="S188" s="126" t="n">
        <f aca="false">J188/$R$3</f>
        <v>0.143</v>
      </c>
      <c r="T188" s="126" t="n">
        <f aca="false">L188/$R$3</f>
        <v>0</v>
      </c>
      <c r="U188" s="126" t="n">
        <f aca="false">I188/$R$3</f>
        <v>0.143</v>
      </c>
      <c r="V188" s="126" t="n">
        <f aca="false">M188/$R$3</f>
        <v>0.143</v>
      </c>
      <c r="W188" s="126" t="n">
        <f aca="false">N188/$R$3</f>
        <v>182.77</v>
      </c>
    </row>
    <row r="189" customFormat="false" ht="12.75" hidden="true" customHeight="false" outlineLevel="0" collapsed="false">
      <c r="A189" s="120" t="n">
        <f aca="false">A188+1</f>
        <v>37075</v>
      </c>
      <c r="B189" s="131" t="str">
        <f aca="false">INDEX('Master Data'!$A$2:$B$8,MATCH(WEEKDAY('Rio Cuarto Power Trading'!A189,3),'Master Data'!$A$2:$A$8,0),2)</f>
        <v>T</v>
      </c>
      <c r="D189" s="124" t="n">
        <v>1871670.11347638</v>
      </c>
      <c r="E189" s="124" t="n">
        <v>0</v>
      </c>
      <c r="F189" s="124" t="n">
        <v>0</v>
      </c>
      <c r="G189" s="124" t="n">
        <v>22009</v>
      </c>
      <c r="I189" s="124" t="n">
        <f aca="false">IF(MONTH($A189)=MONTH($A188),IF(G189=0,I188,G189),G189)</f>
        <v>22009</v>
      </c>
      <c r="J189" s="124" t="n">
        <f aca="false">IF(MONTH($A189)=MONTH($A188),SUM(I189-I188),I189)</f>
        <v>21866</v>
      </c>
      <c r="K189" s="124" t="n">
        <f aca="false">IF(WEEKDAY(A189,3)&gt;4,0,(IF(A189&lt;K$2,0,IF(A189&lt;=K$3,1,0))))</f>
        <v>0</v>
      </c>
      <c r="L189" s="124" t="n">
        <f aca="false">J189*K189</f>
        <v>0</v>
      </c>
      <c r="M189" s="124" t="n">
        <f aca="false">SUM(J$188:J189)</f>
        <v>22009</v>
      </c>
      <c r="N189" s="124" t="n">
        <f aca="false">SUM(J$6:J189)</f>
        <v>204636</v>
      </c>
      <c r="P189" s="124" t="n">
        <f aca="false">D189/P$3</f>
        <v>1.87167011347638</v>
      </c>
      <c r="Q189" s="124" t="n">
        <f aca="false">E189/P$3</f>
        <v>0</v>
      </c>
      <c r="R189" s="124" t="n">
        <f aca="false">F189/R$3</f>
        <v>0</v>
      </c>
      <c r="S189" s="126" t="n">
        <f aca="false">J189/$R$3</f>
        <v>21.866</v>
      </c>
      <c r="T189" s="126" t="n">
        <f aca="false">L189/$R$3</f>
        <v>0</v>
      </c>
      <c r="U189" s="126" t="n">
        <f aca="false">I189/$R$3</f>
        <v>22.009</v>
      </c>
      <c r="V189" s="126" t="n">
        <f aca="false">M189/$R$3</f>
        <v>22.009</v>
      </c>
      <c r="W189" s="126" t="n">
        <f aca="false">N189/$R$3</f>
        <v>204.636</v>
      </c>
    </row>
    <row r="190" customFormat="false" ht="12.75" hidden="true" customHeight="false" outlineLevel="0" collapsed="false">
      <c r="A190" s="120" t="n">
        <f aca="false">A189+1</f>
        <v>37076</v>
      </c>
      <c r="B190" s="131" t="str">
        <f aca="false">INDEX('Master Data'!$A$2:$B$8,MATCH(WEEKDAY('Rio Cuarto Power Trading'!A190,3),'Master Data'!$A$2:$A$8,0),2)</f>
        <v>W</v>
      </c>
      <c r="D190" s="124" t="n">
        <v>0</v>
      </c>
      <c r="E190" s="124" t="n">
        <v>0</v>
      </c>
      <c r="F190" s="124" t="n">
        <v>0</v>
      </c>
      <c r="G190" s="124" t="n">
        <v>0</v>
      </c>
      <c r="I190" s="124" t="n">
        <f aca="false">IF(MONTH($A190)=MONTH($A189),IF(G190=0,I189,G190),G190)</f>
        <v>22009</v>
      </c>
      <c r="J190" s="124" t="n">
        <f aca="false">IF(MONTH($A190)=MONTH($A189),SUM(I190-I189),I190)</f>
        <v>0</v>
      </c>
      <c r="K190" s="124" t="n">
        <f aca="false">IF(WEEKDAY(A190,3)&gt;4,0,(IF(A190&lt;K$2,0,IF(A190&lt;=K$3,1,0))))</f>
        <v>0</v>
      </c>
      <c r="L190" s="124" t="n">
        <f aca="false">J190*K190</f>
        <v>0</v>
      </c>
      <c r="M190" s="124" t="n">
        <f aca="false">SUM(J$188:J190)</f>
        <v>22009</v>
      </c>
      <c r="N190" s="124" t="n">
        <f aca="false">SUM(J$6:J190)</f>
        <v>204636</v>
      </c>
      <c r="P190" s="124" t="n">
        <f aca="false">D190/P$3</f>
        <v>0</v>
      </c>
      <c r="Q190" s="124" t="n">
        <f aca="false">E190/P$3</f>
        <v>0</v>
      </c>
      <c r="R190" s="124" t="n">
        <f aca="false">F190/R$3</f>
        <v>0</v>
      </c>
      <c r="S190" s="126" t="n">
        <f aca="false">J190/$R$3</f>
        <v>0</v>
      </c>
      <c r="T190" s="126" t="n">
        <f aca="false">L190/$R$3</f>
        <v>0</v>
      </c>
      <c r="U190" s="126" t="n">
        <f aca="false">I190/$R$3</f>
        <v>22.009</v>
      </c>
      <c r="V190" s="126" t="n">
        <f aca="false">M190/$R$3</f>
        <v>22.009</v>
      </c>
      <c r="W190" s="126" t="n">
        <f aca="false">N190/$R$3</f>
        <v>204.636</v>
      </c>
    </row>
    <row r="191" customFormat="false" ht="12.75" hidden="true" customHeight="false" outlineLevel="0" collapsed="false">
      <c r="A191" s="120" t="n">
        <f aca="false">A190+1</f>
        <v>37077</v>
      </c>
      <c r="B191" s="131" t="str">
        <f aca="false">INDEX('Master Data'!$A$2:$B$8,MATCH(WEEKDAY('Rio Cuarto Power Trading'!A191,3),'Master Data'!$A$2:$A$8,0),2)</f>
        <v>Th</v>
      </c>
      <c r="D191" s="124" t="n">
        <v>1870550.6931555</v>
      </c>
      <c r="E191" s="124" t="n">
        <v>0</v>
      </c>
      <c r="F191" s="124" t="n">
        <v>0</v>
      </c>
      <c r="G191" s="124" t="n">
        <v>46445</v>
      </c>
      <c r="I191" s="124" t="n">
        <f aca="false">IF(MONTH($A191)=MONTH($A190),IF(G191=0,I190,G191),G191)</f>
        <v>46445</v>
      </c>
      <c r="J191" s="124" t="n">
        <f aca="false">IF(MONTH($A191)=MONTH($A190),SUM(I191-I190),I191)</f>
        <v>24436</v>
      </c>
      <c r="K191" s="124" t="n">
        <f aca="false">IF(WEEKDAY(A191,3)&gt;4,0,(IF(A191&lt;K$2,0,IF(A191&lt;=K$3,1,0))))</f>
        <v>0</v>
      </c>
      <c r="L191" s="124" t="n">
        <f aca="false">J191*K191</f>
        <v>0</v>
      </c>
      <c r="M191" s="124" t="n">
        <f aca="false">SUM(J$188:J191)</f>
        <v>46445</v>
      </c>
      <c r="N191" s="124" t="n">
        <f aca="false">SUM(J$6:J191)</f>
        <v>229072</v>
      </c>
      <c r="P191" s="124" t="n">
        <f aca="false">D191/P$3</f>
        <v>1.8705506931555</v>
      </c>
      <c r="Q191" s="124" t="n">
        <f aca="false">E191/P$3</f>
        <v>0</v>
      </c>
      <c r="R191" s="124" t="n">
        <f aca="false">F191/R$3</f>
        <v>0</v>
      </c>
      <c r="S191" s="126" t="n">
        <f aca="false">J191/$R$3</f>
        <v>24.436</v>
      </c>
      <c r="T191" s="126" t="n">
        <f aca="false">L191/$R$3</f>
        <v>0</v>
      </c>
      <c r="U191" s="126" t="n">
        <f aca="false">I191/$R$3</f>
        <v>46.445</v>
      </c>
      <c r="V191" s="126" t="n">
        <f aca="false">M191/$R$3</f>
        <v>46.445</v>
      </c>
      <c r="W191" s="126" t="n">
        <f aca="false">N191/$R$3</f>
        <v>229.072</v>
      </c>
    </row>
    <row r="192" customFormat="false" ht="12.75" hidden="true" customHeight="false" outlineLevel="0" collapsed="false">
      <c r="A192" s="120" t="n">
        <f aca="false">A191+1</f>
        <v>37078</v>
      </c>
      <c r="B192" s="131" t="str">
        <f aca="false">INDEX('Master Data'!$A$2:$B$8,MATCH(WEEKDAY('Rio Cuarto Power Trading'!A192,3),'Master Data'!$A$2:$A$8,0),2)</f>
        <v>F</v>
      </c>
      <c r="D192" s="124" t="n">
        <v>-123806.581033774</v>
      </c>
      <c r="E192" s="124"/>
      <c r="F192" s="124" t="n">
        <v>0</v>
      </c>
      <c r="G192" s="124" t="n">
        <v>60107</v>
      </c>
      <c r="I192" s="124" t="n">
        <f aca="false">IF(MONTH($A192)=MONTH($A191),IF(G192=0,I191,G192),G192)</f>
        <v>60107</v>
      </c>
      <c r="J192" s="124" t="n">
        <f aca="false">IF(MONTH($A192)=MONTH($A191),SUM(I192-I191),I192)</f>
        <v>13662</v>
      </c>
      <c r="K192" s="124" t="n">
        <f aca="false">IF(WEEKDAY(A192,3)&gt;4,0,(IF(A192&lt;K$2,0,IF(A192&lt;=K$3,1,0))))</f>
        <v>0</v>
      </c>
      <c r="L192" s="124" t="n">
        <f aca="false">J192*K192</f>
        <v>0</v>
      </c>
      <c r="M192" s="124" t="n">
        <f aca="false">SUM(J$188:J192)</f>
        <v>60107</v>
      </c>
      <c r="N192" s="124" t="n">
        <f aca="false">SUM(J$6:J192)</f>
        <v>242734</v>
      </c>
      <c r="P192" s="124" t="n">
        <f aca="false">D192/P$3</f>
        <v>-0.123806581033774</v>
      </c>
      <c r="Q192" s="124" t="n">
        <f aca="false">E192/P$3</f>
        <v>0</v>
      </c>
      <c r="R192" s="124" t="n">
        <f aca="false">F192/R$3</f>
        <v>0</v>
      </c>
      <c r="S192" s="126" t="n">
        <f aca="false">J192/$R$3</f>
        <v>13.662</v>
      </c>
      <c r="T192" s="126" t="n">
        <f aca="false">L192/$R$3</f>
        <v>0</v>
      </c>
      <c r="U192" s="126" t="n">
        <f aca="false">I192/$R$3</f>
        <v>60.107</v>
      </c>
      <c r="V192" s="126" t="n">
        <f aca="false">M192/$R$3</f>
        <v>60.107</v>
      </c>
      <c r="W192" s="126" t="n">
        <f aca="false">N192/$R$3</f>
        <v>242.734</v>
      </c>
    </row>
    <row r="193" customFormat="false" ht="12.75" hidden="true" customHeight="false" outlineLevel="0" collapsed="false">
      <c r="A193" s="120" t="n">
        <f aca="false">A192+1</f>
        <v>37079</v>
      </c>
      <c r="B193" s="131" t="str">
        <f aca="false">INDEX('Master Data'!$A$2:$B$8,MATCH(WEEKDAY('Rio Cuarto Power Trading'!A193,3),'Master Data'!$A$2:$A$8,0),2)</f>
        <v>Sa</v>
      </c>
      <c r="D193" s="124" t="n">
        <v>0</v>
      </c>
      <c r="E193" s="124" t="n">
        <v>0</v>
      </c>
      <c r="F193" s="124" t="n">
        <v>0</v>
      </c>
      <c r="G193" s="124" t="n">
        <v>0</v>
      </c>
      <c r="I193" s="124" t="n">
        <f aca="false">IF(MONTH($A193)=MONTH($A192),IF(G193=0,I192,G193),G193)</f>
        <v>60107</v>
      </c>
      <c r="J193" s="124" t="n">
        <f aca="false">IF(MONTH($A193)=MONTH($A192),SUM(I193-I192),I193)</f>
        <v>0</v>
      </c>
      <c r="K193" s="124" t="n">
        <f aca="false">IF(WEEKDAY(A193,3)&gt;4,0,(IF(A193&lt;K$2,0,IF(A193&lt;=K$3,1,0))))</f>
        <v>0</v>
      </c>
      <c r="L193" s="124" t="n">
        <f aca="false">J193*K193</f>
        <v>0</v>
      </c>
      <c r="M193" s="124" t="n">
        <f aca="false">SUM(J$188:J193)</f>
        <v>60107</v>
      </c>
      <c r="N193" s="124" t="n">
        <f aca="false">SUM(J$6:J193)</f>
        <v>242734</v>
      </c>
      <c r="P193" s="124" t="n">
        <f aca="false">D193/P$3</f>
        <v>0</v>
      </c>
      <c r="Q193" s="124" t="n">
        <f aca="false">E193/P$3</f>
        <v>0</v>
      </c>
      <c r="R193" s="124" t="n">
        <f aca="false">F193/R$3</f>
        <v>0</v>
      </c>
      <c r="S193" s="126" t="n">
        <f aca="false">J193/$R$3</f>
        <v>0</v>
      </c>
      <c r="T193" s="126" t="n">
        <f aca="false">L193/$R$3</f>
        <v>0</v>
      </c>
      <c r="U193" s="126" t="n">
        <f aca="false">I193/$R$3</f>
        <v>60.107</v>
      </c>
      <c r="V193" s="126" t="n">
        <f aca="false">M193/$R$3</f>
        <v>60.107</v>
      </c>
      <c r="W193" s="126" t="n">
        <f aca="false">N193/$R$3</f>
        <v>242.734</v>
      </c>
    </row>
    <row r="194" customFormat="false" ht="12.75" hidden="true" customHeight="false" outlineLevel="0" collapsed="false">
      <c r="A194" s="120" t="n">
        <f aca="false">A193+1</f>
        <v>37080</v>
      </c>
      <c r="B194" s="131" t="str">
        <f aca="false">INDEX('Master Data'!$A$2:$B$8,MATCH(WEEKDAY('Rio Cuarto Power Trading'!A194,3),'Master Data'!$A$2:$A$8,0),2)</f>
        <v>Su</v>
      </c>
      <c r="D194" s="124" t="n">
        <v>0</v>
      </c>
      <c r="E194" s="124" t="n">
        <v>0</v>
      </c>
      <c r="F194" s="124" t="n">
        <v>0</v>
      </c>
      <c r="G194" s="124" t="n">
        <v>0</v>
      </c>
      <c r="I194" s="124" t="n">
        <f aca="false">IF(MONTH($A194)=MONTH($A193),IF(G194=0,I193,G194),G194)</f>
        <v>60107</v>
      </c>
      <c r="J194" s="124" t="n">
        <f aca="false">IF(MONTH($A194)=MONTH($A193),SUM(I194-I193),I194)</f>
        <v>0</v>
      </c>
      <c r="K194" s="124" t="n">
        <f aca="false">IF(WEEKDAY(A194,3)&gt;4,0,(IF(A194&lt;K$2,0,IF(A194&lt;=K$3,1,0))))</f>
        <v>0</v>
      </c>
      <c r="L194" s="124" t="n">
        <f aca="false">J194*K194</f>
        <v>0</v>
      </c>
      <c r="M194" s="124" t="n">
        <f aca="false">SUM(J$188:J194)</f>
        <v>60107</v>
      </c>
      <c r="N194" s="124" t="n">
        <f aca="false">SUM(J$6:J194)</f>
        <v>242734</v>
      </c>
      <c r="P194" s="124" t="n">
        <f aca="false">D194/P$3</f>
        <v>0</v>
      </c>
      <c r="Q194" s="124" t="n">
        <f aca="false">E194/P$3</f>
        <v>0</v>
      </c>
      <c r="R194" s="124" t="n">
        <f aca="false">F194/R$3</f>
        <v>0</v>
      </c>
      <c r="S194" s="126" t="n">
        <f aca="false">J194/$R$3</f>
        <v>0</v>
      </c>
      <c r="T194" s="126" t="n">
        <f aca="false">L194/$R$3</f>
        <v>0</v>
      </c>
      <c r="U194" s="126" t="n">
        <f aca="false">I194/$R$3</f>
        <v>60.107</v>
      </c>
      <c r="V194" s="126" t="n">
        <f aca="false">M194/$R$3</f>
        <v>60.107</v>
      </c>
      <c r="W194" s="126" t="n">
        <f aca="false">N194/$R$3</f>
        <v>242.734</v>
      </c>
    </row>
    <row r="195" customFormat="false" ht="12.75" hidden="true" customHeight="false" outlineLevel="0" collapsed="false">
      <c r="A195" s="120" t="n">
        <f aca="false">A194+1</f>
        <v>37081</v>
      </c>
      <c r="B195" s="131" t="str">
        <f aca="false">INDEX('Master Data'!$A$2:$B$8,MATCH(WEEKDAY('Rio Cuarto Power Trading'!A195,3),'Master Data'!$A$2:$A$8,0),2)</f>
        <v>M</v>
      </c>
      <c r="D195" s="124" t="n">
        <v>-122060.499558255</v>
      </c>
      <c r="E195" s="124" t="n">
        <v>0</v>
      </c>
      <c r="F195" s="124" t="n">
        <v>0</v>
      </c>
      <c r="G195" s="124" t="n">
        <v>60691</v>
      </c>
      <c r="I195" s="124" t="n">
        <f aca="false">IF(MONTH($A195)=MONTH($A194),IF(G195=0,I194,G195),G195)</f>
        <v>60691</v>
      </c>
      <c r="J195" s="124" t="n">
        <f aca="false">IF(MONTH($A195)=MONTH($A194),SUM(I195-I194),I195)</f>
        <v>584</v>
      </c>
      <c r="K195" s="124" t="n">
        <f aca="false">IF(WEEKDAY(A195,3)&gt;4,0,(IF(A195&lt;K$2,0,IF(A195&lt;=K$3,1,0))))</f>
        <v>0</v>
      </c>
      <c r="L195" s="124" t="n">
        <f aca="false">J195*K195</f>
        <v>0</v>
      </c>
      <c r="M195" s="124" t="n">
        <f aca="false">SUM(J$188:J195)</f>
        <v>60691</v>
      </c>
      <c r="N195" s="124" t="n">
        <f aca="false">SUM(J$6:J195)</f>
        <v>243318</v>
      </c>
      <c r="P195" s="124" t="n">
        <f aca="false">D195/P$3</f>
        <v>-0.122060499558255</v>
      </c>
      <c r="Q195" s="124" t="n">
        <f aca="false">E195/P$3</f>
        <v>0</v>
      </c>
      <c r="R195" s="124" t="n">
        <f aca="false">F195/R$3</f>
        <v>0</v>
      </c>
      <c r="S195" s="126" t="n">
        <f aca="false">J195/$R$3</f>
        <v>0.584</v>
      </c>
      <c r="T195" s="126" t="n">
        <f aca="false">L195/$R$3</f>
        <v>0</v>
      </c>
      <c r="U195" s="126" t="n">
        <f aca="false">I195/$R$3</f>
        <v>60.691</v>
      </c>
      <c r="V195" s="126" t="n">
        <f aca="false">M195/$R$3</f>
        <v>60.691</v>
      </c>
      <c r="W195" s="126" t="n">
        <f aca="false">N195/$R$3</f>
        <v>243.318</v>
      </c>
    </row>
    <row r="196" customFormat="false" ht="12.75" hidden="true" customHeight="false" outlineLevel="0" collapsed="false">
      <c r="A196" s="120" t="n">
        <f aca="false">A195+1</f>
        <v>37082</v>
      </c>
      <c r="B196" s="131" t="str">
        <f aca="false">INDEX('Master Data'!$A$2:$B$8,MATCH(WEEKDAY('Rio Cuarto Power Trading'!A196,3),'Master Data'!$A$2:$A$8,0),2)</f>
        <v>T</v>
      </c>
      <c r="D196" s="124" t="n">
        <v>-121481.946381274</v>
      </c>
      <c r="E196" s="124" t="n">
        <v>0</v>
      </c>
      <c r="F196" s="124" t="n">
        <v>0</v>
      </c>
      <c r="G196" s="124" t="n">
        <v>74490</v>
      </c>
      <c r="I196" s="124" t="n">
        <f aca="false">IF(MONTH($A196)=MONTH($A195),IF(G196=0,I195,G196),G196)</f>
        <v>74490</v>
      </c>
      <c r="J196" s="124" t="n">
        <f aca="false">IF(MONTH($A196)=MONTH($A195),SUM(I196-I195),I196)</f>
        <v>13799</v>
      </c>
      <c r="K196" s="124" t="n">
        <f aca="false">IF(WEEKDAY(A196,3)&gt;4,0,(IF(A196&lt;K$2,0,IF(A196&lt;=K$3,1,0))))</f>
        <v>0</v>
      </c>
      <c r="L196" s="124" t="n">
        <f aca="false">J196*K196</f>
        <v>0</v>
      </c>
      <c r="M196" s="124" t="n">
        <f aca="false">SUM(J$188:J196)</f>
        <v>74490</v>
      </c>
      <c r="N196" s="124" t="n">
        <f aca="false">SUM(J$6:J196)</f>
        <v>257117</v>
      </c>
      <c r="P196" s="124" t="n">
        <f aca="false">D196/P$3</f>
        <v>-0.121481946381274</v>
      </c>
      <c r="Q196" s="124" t="n">
        <f aca="false">E196/P$3</f>
        <v>0</v>
      </c>
      <c r="R196" s="124" t="n">
        <f aca="false">F196/R$3</f>
        <v>0</v>
      </c>
      <c r="S196" s="126" t="n">
        <f aca="false">J196/$R$3</f>
        <v>13.799</v>
      </c>
      <c r="T196" s="126" t="n">
        <f aca="false">L196/$R$3</f>
        <v>0</v>
      </c>
      <c r="U196" s="126" t="n">
        <f aca="false">I196/$R$3</f>
        <v>74.49</v>
      </c>
      <c r="V196" s="126" t="n">
        <f aca="false">M196/$R$3</f>
        <v>74.49</v>
      </c>
      <c r="W196" s="126" t="n">
        <f aca="false">N196/$R$3</f>
        <v>257.117</v>
      </c>
    </row>
    <row r="197" customFormat="false" ht="12.75" hidden="true" customHeight="false" outlineLevel="0" collapsed="false">
      <c r="A197" s="120" t="n">
        <f aca="false">A196+1</f>
        <v>37083</v>
      </c>
      <c r="B197" s="131" t="str">
        <f aca="false">INDEX('Master Data'!$A$2:$B$8,MATCH(WEEKDAY('Rio Cuarto Power Trading'!A197,3),'Master Data'!$A$2:$A$8,0),2)</f>
        <v>W</v>
      </c>
      <c r="D197" s="124" t="n">
        <v>-120899.327072954</v>
      </c>
      <c r="E197" s="124" t="n">
        <v>0</v>
      </c>
      <c r="F197" s="124" t="n">
        <v>0</v>
      </c>
      <c r="G197" s="124" t="n">
        <v>129733</v>
      </c>
      <c r="I197" s="124" t="n">
        <f aca="false">IF(MONTH($A197)=MONTH($A196),IF(G197=0,I196,G197),G197)</f>
        <v>129733</v>
      </c>
      <c r="J197" s="124" t="n">
        <f aca="false">IF(MONTH($A197)=MONTH($A196),SUM(I197-I196),I197)</f>
        <v>55243</v>
      </c>
      <c r="K197" s="124" t="n">
        <f aca="false">IF(WEEKDAY(A197,3)&gt;4,0,(IF(A197&lt;K$2,0,IF(A197&lt;=K$3,1,0))))</f>
        <v>0</v>
      </c>
      <c r="L197" s="124" t="n">
        <f aca="false">J197*K197</f>
        <v>0</v>
      </c>
      <c r="M197" s="124" t="n">
        <f aca="false">SUM(J$188:J197)</f>
        <v>129733</v>
      </c>
      <c r="N197" s="124" t="n">
        <f aca="false">SUM(J$6:J197)</f>
        <v>312360</v>
      </c>
      <c r="P197" s="124" t="n">
        <f aca="false">D197/P$3</f>
        <v>-0.120899327072954</v>
      </c>
      <c r="Q197" s="124" t="n">
        <f aca="false">E197/P$3</f>
        <v>0</v>
      </c>
      <c r="R197" s="124" t="n">
        <f aca="false">F197/R$3</f>
        <v>0</v>
      </c>
      <c r="S197" s="126" t="n">
        <f aca="false">J197/$R$3</f>
        <v>55.243</v>
      </c>
      <c r="T197" s="126" t="n">
        <f aca="false">L197/$R$3</f>
        <v>0</v>
      </c>
      <c r="U197" s="126" t="n">
        <f aca="false">I197/$R$3</f>
        <v>129.733</v>
      </c>
      <c r="V197" s="126" t="n">
        <f aca="false">M197/$R$3</f>
        <v>129.733</v>
      </c>
      <c r="W197" s="126" t="n">
        <f aca="false">N197/$R$3</f>
        <v>312.36</v>
      </c>
    </row>
    <row r="198" customFormat="false" ht="12.75" hidden="true" customHeight="false" outlineLevel="0" collapsed="false">
      <c r="A198" s="120" t="n">
        <f aca="false">A197+1</f>
        <v>37084</v>
      </c>
      <c r="B198" s="131" t="str">
        <f aca="false">INDEX('Master Data'!$A$2:$B$8,MATCH(WEEKDAY('Rio Cuarto Power Trading'!A198,3),'Master Data'!$A$2:$A$8,0),2)</f>
        <v>Th</v>
      </c>
      <c r="D198" s="124" t="n">
        <v>-120321.446747991</v>
      </c>
      <c r="E198" s="124" t="n">
        <v>0</v>
      </c>
      <c r="F198" s="124" t="n">
        <v>0</v>
      </c>
      <c r="G198" s="124" t="n">
        <v>142795</v>
      </c>
      <c r="I198" s="124" t="n">
        <f aca="false">IF(MONTH($A198)=MONTH($A197),IF(G198=0,I197,G198),G198)</f>
        <v>142795</v>
      </c>
      <c r="J198" s="124" t="n">
        <f aca="false">IF(MONTH($A198)=MONTH($A197),SUM(I198-I197),I198)</f>
        <v>13062</v>
      </c>
      <c r="K198" s="124" t="n">
        <f aca="false">IF(WEEKDAY(A198,3)&gt;4,0,(IF(A198&lt;K$2,0,IF(A198&lt;=K$3,1,0))))</f>
        <v>0</v>
      </c>
      <c r="L198" s="124" t="n">
        <f aca="false">J198*K198</f>
        <v>0</v>
      </c>
      <c r="M198" s="124" t="n">
        <f aca="false">SUM(J$188:J198)</f>
        <v>142795</v>
      </c>
      <c r="N198" s="124" t="n">
        <f aca="false">SUM(J$6:J198)</f>
        <v>325422</v>
      </c>
      <c r="P198" s="124" t="n">
        <f aca="false">D198/P$3</f>
        <v>-0.120321446747991</v>
      </c>
      <c r="Q198" s="124" t="n">
        <f aca="false">E198/P$3</f>
        <v>0</v>
      </c>
      <c r="R198" s="124" t="n">
        <f aca="false">F198/R$3</f>
        <v>0</v>
      </c>
      <c r="S198" s="126" t="n">
        <f aca="false">J198/$R$3</f>
        <v>13.062</v>
      </c>
      <c r="T198" s="126" t="n">
        <f aca="false">L198/$R$3</f>
        <v>0</v>
      </c>
      <c r="U198" s="126" t="n">
        <f aca="false">I198/$R$3</f>
        <v>142.795</v>
      </c>
      <c r="V198" s="126" t="n">
        <f aca="false">M198/$R$3</f>
        <v>142.795</v>
      </c>
      <c r="W198" s="126" t="n">
        <f aca="false">N198/$R$3</f>
        <v>325.422</v>
      </c>
    </row>
    <row r="199" customFormat="false" ht="12.75" hidden="true" customHeight="false" outlineLevel="0" collapsed="false">
      <c r="A199" s="120" t="n">
        <f aca="false">A198+1</f>
        <v>37085</v>
      </c>
      <c r="B199" s="131" t="str">
        <f aca="false">INDEX('Master Data'!$A$2:$B$8,MATCH(WEEKDAY('Rio Cuarto Power Trading'!A199,3),'Master Data'!$A$2:$A$8,0),2)</f>
        <v>F</v>
      </c>
      <c r="D199" s="124" t="n">
        <v>-119731.386847816</v>
      </c>
      <c r="E199" s="124" t="n">
        <v>0</v>
      </c>
      <c r="F199" s="124" t="n">
        <v>0</v>
      </c>
      <c r="G199" s="124" t="n">
        <v>155670</v>
      </c>
      <c r="I199" s="124" t="n">
        <f aca="false">IF(MONTH($A199)=MONTH($A198),IF(G199=0,I198,G199),G199)</f>
        <v>155670</v>
      </c>
      <c r="J199" s="124" t="n">
        <f aca="false">IF(MONTH($A199)=MONTH($A198),SUM(I199-I198),I199)</f>
        <v>12875</v>
      </c>
      <c r="K199" s="124" t="n">
        <f aca="false">IF(WEEKDAY(A199,3)&gt;4,0,(IF(A199&lt;K$2,0,IF(A199&lt;=K$3,1,0))))</f>
        <v>0</v>
      </c>
      <c r="L199" s="124" t="n">
        <f aca="false">J199*K199</f>
        <v>0</v>
      </c>
      <c r="M199" s="124" t="n">
        <f aca="false">SUM(J$188:J199)</f>
        <v>155670</v>
      </c>
      <c r="N199" s="124" t="n">
        <f aca="false">SUM(J$6:J199)</f>
        <v>338297</v>
      </c>
      <c r="P199" s="124" t="n">
        <f aca="false">D199/P$3</f>
        <v>-0.119731386847816</v>
      </c>
      <c r="Q199" s="124" t="n">
        <f aca="false">E199/P$3</f>
        <v>0</v>
      </c>
      <c r="R199" s="124" t="n">
        <f aca="false">F199/R$3</f>
        <v>0</v>
      </c>
      <c r="S199" s="126" t="n">
        <f aca="false">J199/$R$3</f>
        <v>12.875</v>
      </c>
      <c r="T199" s="126" t="n">
        <f aca="false">L199/$R$3</f>
        <v>0</v>
      </c>
      <c r="U199" s="126" t="n">
        <f aca="false">I199/$R$3</f>
        <v>155.67</v>
      </c>
      <c r="V199" s="126" t="n">
        <f aca="false">M199/$R$3</f>
        <v>155.67</v>
      </c>
      <c r="W199" s="126" t="n">
        <f aca="false">N199/$R$3</f>
        <v>338.297</v>
      </c>
    </row>
    <row r="200" customFormat="false" ht="12.75" hidden="true" customHeight="false" outlineLevel="0" collapsed="false">
      <c r="A200" s="120" t="n">
        <f aca="false">A199+1</f>
        <v>37086</v>
      </c>
      <c r="B200" s="131" t="str">
        <f aca="false">INDEX('Master Data'!$A$2:$B$8,MATCH(WEEKDAY('Rio Cuarto Power Trading'!A200,3),'Master Data'!$A$2:$A$8,0),2)</f>
        <v>Sa</v>
      </c>
      <c r="D200" s="124" t="n">
        <v>0</v>
      </c>
      <c r="E200" s="124" t="n">
        <v>0</v>
      </c>
      <c r="F200" s="124" t="n">
        <v>0</v>
      </c>
      <c r="G200" s="124" t="n">
        <v>0</v>
      </c>
      <c r="I200" s="124" t="n">
        <f aca="false">IF(MONTH($A200)=MONTH($A199),IF(G200=0,I199,G200),G200)</f>
        <v>155670</v>
      </c>
      <c r="J200" s="124" t="n">
        <f aca="false">IF(MONTH($A200)=MONTH($A199),SUM(I200-I199),I200)</f>
        <v>0</v>
      </c>
      <c r="K200" s="124" t="n">
        <f aca="false">IF(WEEKDAY(A200,3)&gt;4,0,(IF(A200&lt;K$2,0,IF(A200&lt;=K$3,1,0))))</f>
        <v>0</v>
      </c>
      <c r="L200" s="124" t="n">
        <f aca="false">J200*K200</f>
        <v>0</v>
      </c>
      <c r="M200" s="124" t="n">
        <f aca="false">SUM(J$188:J200)</f>
        <v>155670</v>
      </c>
      <c r="N200" s="124" t="n">
        <f aca="false">SUM(J$6:J200)</f>
        <v>338297</v>
      </c>
      <c r="P200" s="124" t="n">
        <f aca="false">D200/P$3</f>
        <v>0</v>
      </c>
      <c r="Q200" s="124" t="n">
        <f aca="false">E200/P$3</f>
        <v>0</v>
      </c>
      <c r="R200" s="124" t="n">
        <f aca="false">F200/R$3</f>
        <v>0</v>
      </c>
      <c r="S200" s="126" t="n">
        <f aca="false">J200/$R$3</f>
        <v>0</v>
      </c>
      <c r="T200" s="126" t="n">
        <f aca="false">L200/$R$3</f>
        <v>0</v>
      </c>
      <c r="U200" s="126" t="n">
        <f aca="false">I200/$R$3</f>
        <v>155.67</v>
      </c>
      <c r="V200" s="126" t="n">
        <f aca="false">M200/$R$3</f>
        <v>155.67</v>
      </c>
      <c r="W200" s="126" t="n">
        <f aca="false">N200/$R$3</f>
        <v>338.297</v>
      </c>
    </row>
    <row r="201" customFormat="false" ht="12.75" hidden="true" customHeight="false" outlineLevel="0" collapsed="false">
      <c r="A201" s="120" t="n">
        <f aca="false">A200+1</f>
        <v>37087</v>
      </c>
      <c r="B201" s="131" t="str">
        <f aca="false">INDEX('Master Data'!$A$2:$B$8,MATCH(WEEKDAY('Rio Cuarto Power Trading'!A201,3),'Master Data'!$A$2:$A$8,0),2)</f>
        <v>Su</v>
      </c>
      <c r="D201" s="124" t="n">
        <v>0</v>
      </c>
      <c r="E201" s="124" t="n">
        <v>0</v>
      </c>
      <c r="F201" s="124" t="n">
        <v>0</v>
      </c>
      <c r="G201" s="124" t="n">
        <v>0</v>
      </c>
      <c r="I201" s="124" t="n">
        <f aca="false">IF(MONTH($A201)=MONTH($A200),IF(G201=0,I200,G201),G201)</f>
        <v>155670</v>
      </c>
      <c r="J201" s="124" t="n">
        <f aca="false">IF(MONTH($A201)=MONTH($A200),SUM(I201-I200),I201)</f>
        <v>0</v>
      </c>
      <c r="K201" s="124" t="n">
        <f aca="false">IF(WEEKDAY(A201,3)&gt;4,0,(IF(A201&lt;K$2,0,IF(A201&lt;=K$3,1,0))))</f>
        <v>0</v>
      </c>
      <c r="L201" s="124" t="n">
        <f aca="false">J201*K201</f>
        <v>0</v>
      </c>
      <c r="M201" s="124" t="n">
        <f aca="false">SUM(J$188:J201)</f>
        <v>155670</v>
      </c>
      <c r="N201" s="124" t="n">
        <f aca="false">SUM(J$6:J201)</f>
        <v>338297</v>
      </c>
      <c r="P201" s="124" t="n">
        <f aca="false">D201/P$3</f>
        <v>0</v>
      </c>
      <c r="Q201" s="124" t="n">
        <f aca="false">E201/P$3</f>
        <v>0</v>
      </c>
      <c r="R201" s="124" t="n">
        <f aca="false">F201/R$3</f>
        <v>0</v>
      </c>
      <c r="S201" s="126" t="n">
        <f aca="false">J201/$R$3</f>
        <v>0</v>
      </c>
      <c r="T201" s="126" t="n">
        <f aca="false">L201/$R$3</f>
        <v>0</v>
      </c>
      <c r="U201" s="126" t="n">
        <f aca="false">I201/$R$3</f>
        <v>155.67</v>
      </c>
      <c r="V201" s="126" t="n">
        <f aca="false">M201/$R$3</f>
        <v>155.67</v>
      </c>
      <c r="W201" s="126" t="n">
        <f aca="false">N201/$R$3</f>
        <v>338.297</v>
      </c>
    </row>
    <row r="202" customFormat="false" ht="12.75" hidden="true" customHeight="false" outlineLevel="0" collapsed="false">
      <c r="A202" s="120" t="n">
        <f aca="false">A201+1</f>
        <v>37088</v>
      </c>
      <c r="B202" s="131" t="str">
        <f aca="false">INDEX('Master Data'!$A$2:$B$8,MATCH(WEEKDAY('Rio Cuarto Power Trading'!A202,3),'Master Data'!$A$2:$A$8,0),2)</f>
        <v>M</v>
      </c>
      <c r="D202" s="124" t="n">
        <v>-117976.302148066</v>
      </c>
      <c r="E202" s="124" t="n">
        <v>0</v>
      </c>
      <c r="F202" s="124" t="n">
        <v>0</v>
      </c>
      <c r="G202" s="124" t="n">
        <v>466669.52</v>
      </c>
      <c r="I202" s="124" t="n">
        <f aca="false">IF(MONTH($A202)=MONTH($A201),IF(G202=0,I201,G202),G202)</f>
        <v>466669.52</v>
      </c>
      <c r="J202" s="124" t="n">
        <f aca="false">IF(MONTH($A202)=MONTH($A201),SUM(I202-I201),I202)</f>
        <v>310999.52</v>
      </c>
      <c r="K202" s="124" t="n">
        <f aca="false">IF(WEEKDAY(A202,3)&gt;4,0,(IF(A202&lt;K$2,0,IF(A202&lt;=K$3,1,0))))</f>
        <v>0</v>
      </c>
      <c r="L202" s="124" t="n">
        <f aca="false">J202*K202</f>
        <v>0</v>
      </c>
      <c r="M202" s="124" t="n">
        <f aca="false">SUM(J$188:J202)</f>
        <v>466669.52</v>
      </c>
      <c r="N202" s="124" t="n">
        <f aca="false">SUM(J$6:J202)</f>
        <v>649296.52</v>
      </c>
      <c r="P202" s="124" t="n">
        <f aca="false">D202/P$3</f>
        <v>-0.117976302148066</v>
      </c>
      <c r="Q202" s="124" t="n">
        <f aca="false">E202/P$3</f>
        <v>0</v>
      </c>
      <c r="R202" s="124" t="n">
        <f aca="false">F202/R$3</f>
        <v>0</v>
      </c>
      <c r="S202" s="126" t="n">
        <f aca="false">J202/$R$3</f>
        <v>310.99952</v>
      </c>
      <c r="T202" s="126" t="n">
        <f aca="false">L202/$R$3</f>
        <v>0</v>
      </c>
      <c r="U202" s="126" t="n">
        <f aca="false">I202/$R$3</f>
        <v>466.66952</v>
      </c>
      <c r="V202" s="126" t="n">
        <f aca="false">M202/$R$3</f>
        <v>466.66952</v>
      </c>
      <c r="W202" s="126" t="n">
        <f aca="false">N202/$R$3</f>
        <v>649.29652</v>
      </c>
    </row>
    <row r="203" customFormat="false" ht="12.75" hidden="true" customHeight="false" outlineLevel="0" collapsed="false">
      <c r="A203" s="120" t="n">
        <f aca="false">A202+1</f>
        <v>37089</v>
      </c>
      <c r="B203" s="131" t="str">
        <f aca="false">INDEX('Master Data'!$A$2:$B$8,MATCH(WEEKDAY('Rio Cuarto Power Trading'!A203,3),'Master Data'!$A$2:$A$8,0),2)</f>
        <v>T</v>
      </c>
      <c r="D203" s="124" t="n">
        <v>-117389.23</v>
      </c>
      <c r="E203" s="124" t="n">
        <v>0</v>
      </c>
      <c r="F203" s="124" t="n">
        <v>0</v>
      </c>
      <c r="G203" s="124" t="n">
        <v>469839.94</v>
      </c>
      <c r="I203" s="124" t="n">
        <f aca="false">IF(MONTH($A203)=MONTH($A202),IF(G203=0,I202,G203),G203)</f>
        <v>469839.94</v>
      </c>
      <c r="J203" s="124" t="n">
        <f aca="false">IF(MONTH($A203)=MONTH($A202),SUM(I203-I202),I203)</f>
        <v>3170.41999999998</v>
      </c>
      <c r="K203" s="124" t="n">
        <f aca="false">IF(WEEKDAY(A203,3)&gt;4,0,(IF(A203&lt;K$2,0,IF(A203&lt;=K$3,1,0))))</f>
        <v>0</v>
      </c>
      <c r="L203" s="124" t="n">
        <f aca="false">J203*K203</f>
        <v>0</v>
      </c>
      <c r="M203" s="124" t="n">
        <f aca="false">SUM(J$188:J203)</f>
        <v>469839.94</v>
      </c>
      <c r="N203" s="124" t="n">
        <f aca="false">SUM(J$6:J203)</f>
        <v>652466.94</v>
      </c>
      <c r="P203" s="124" t="n">
        <f aca="false">D203/P$3</f>
        <v>-0.11738923</v>
      </c>
      <c r="Q203" s="124" t="n">
        <f aca="false">E203/P$3</f>
        <v>0</v>
      </c>
      <c r="R203" s="124" t="n">
        <f aca="false">F203/R$3</f>
        <v>0</v>
      </c>
      <c r="S203" s="126" t="n">
        <f aca="false">J203/$R$3</f>
        <v>3.17041999999998</v>
      </c>
      <c r="T203" s="126" t="n">
        <f aca="false">L203/$R$3</f>
        <v>0</v>
      </c>
      <c r="U203" s="126" t="n">
        <f aca="false">I203/$R$3</f>
        <v>469.83994</v>
      </c>
      <c r="V203" s="126" t="n">
        <f aca="false">M203/$R$3</f>
        <v>469.83994</v>
      </c>
      <c r="W203" s="126" t="n">
        <f aca="false">N203/$R$3</f>
        <v>652.46694</v>
      </c>
    </row>
    <row r="204" customFormat="false" ht="12.75" hidden="true" customHeight="false" outlineLevel="0" collapsed="false">
      <c r="A204" s="120" t="n">
        <f aca="false">A203+1</f>
        <v>37090</v>
      </c>
      <c r="B204" s="131" t="str">
        <f aca="false">INDEX('Master Data'!$A$2:$B$8,MATCH(WEEKDAY('Rio Cuarto Power Trading'!A204,3),'Master Data'!$A$2:$A$8,0),2)</f>
        <v>W</v>
      </c>
      <c r="D204" s="124" t="n">
        <v>-116802.749847323</v>
      </c>
      <c r="E204" s="124" t="n">
        <v>0</v>
      </c>
      <c r="F204" s="124" t="n">
        <v>0</v>
      </c>
      <c r="G204" s="124" t="n">
        <v>473013</v>
      </c>
      <c r="I204" s="124" t="n">
        <f aca="false">IF(MONTH($A204)=MONTH($A203),IF(G204=0,I203,G204),G204)</f>
        <v>473013</v>
      </c>
      <c r="J204" s="124" t="n">
        <f aca="false">IF(MONTH($A204)=MONTH($A203),SUM(I204-I203),I204)</f>
        <v>3173.06</v>
      </c>
      <c r="K204" s="124" t="n">
        <f aca="false">IF(WEEKDAY(A204,3)&gt;4,0,(IF(A204&lt;K$2,0,IF(A204&lt;=K$3,1,0))))</f>
        <v>0</v>
      </c>
      <c r="L204" s="124" t="n">
        <f aca="false">J204*K204</f>
        <v>0</v>
      </c>
      <c r="M204" s="124" t="n">
        <f aca="false">SUM(J$188:J204)</f>
        <v>473013</v>
      </c>
      <c r="N204" s="124" t="n">
        <f aca="false">SUM(J$6:J204)</f>
        <v>655640</v>
      </c>
      <c r="P204" s="124" t="n">
        <f aca="false">D204/P$3</f>
        <v>-0.116802749847323</v>
      </c>
      <c r="Q204" s="124" t="n">
        <f aca="false">E204/P$3</f>
        <v>0</v>
      </c>
      <c r="R204" s="124" t="n">
        <f aca="false">F204/R$3</f>
        <v>0</v>
      </c>
      <c r="S204" s="126" t="n">
        <f aca="false">J204/$R$3</f>
        <v>3.17306</v>
      </c>
      <c r="T204" s="126" t="n">
        <f aca="false">L204/$R$3</f>
        <v>0</v>
      </c>
      <c r="U204" s="126" t="n">
        <f aca="false">I204/$R$3</f>
        <v>473.013</v>
      </c>
      <c r="V204" s="126" t="n">
        <f aca="false">M204/$R$3</f>
        <v>473.013</v>
      </c>
      <c r="W204" s="126" t="n">
        <f aca="false">N204/$R$3</f>
        <v>655.64</v>
      </c>
    </row>
    <row r="205" customFormat="false" ht="12.75" hidden="true" customHeight="false" outlineLevel="0" collapsed="false">
      <c r="A205" s="120" t="n">
        <f aca="false">A204+1</f>
        <v>37091</v>
      </c>
      <c r="B205" s="131" t="str">
        <f aca="false">INDEX('Master Data'!$A$2:$B$8,MATCH(WEEKDAY('Rio Cuarto Power Trading'!A205,3),'Master Data'!$A$2:$A$8,0),2)</f>
        <v>Th</v>
      </c>
      <c r="D205" s="124" t="n">
        <v>-116224.100830167</v>
      </c>
      <c r="E205" s="124" t="n">
        <v>0</v>
      </c>
      <c r="F205" s="124" t="n">
        <v>0</v>
      </c>
      <c r="G205" s="124" t="n">
        <v>476752</v>
      </c>
      <c r="I205" s="124" t="n">
        <f aca="false">IF(MONTH($A205)=MONTH($A204),IF(G205=0,I204,G205),G205)</f>
        <v>476752</v>
      </c>
      <c r="J205" s="124" t="n">
        <f aca="false">IF(MONTH($A205)=MONTH($A204),SUM(I205-I204),I205)</f>
        <v>3739</v>
      </c>
      <c r="K205" s="124" t="n">
        <f aca="false">IF(WEEKDAY(A205,3)&gt;4,0,(IF(A205&lt;K$2,0,IF(A205&lt;=K$3,1,0))))</f>
        <v>0</v>
      </c>
      <c r="L205" s="124" t="n">
        <f aca="false">J205*K205</f>
        <v>0</v>
      </c>
      <c r="M205" s="124" t="n">
        <f aca="false">SUM(J$188:J205)</f>
        <v>476752</v>
      </c>
      <c r="N205" s="124" t="n">
        <f aca="false">SUM(J$6:J205)</f>
        <v>659379</v>
      </c>
      <c r="P205" s="124" t="n">
        <f aca="false">D205/P$3</f>
        <v>-0.116224100830167</v>
      </c>
      <c r="Q205" s="124" t="n">
        <f aca="false">E205/P$3</f>
        <v>0</v>
      </c>
      <c r="R205" s="124" t="n">
        <f aca="false">F205/R$3</f>
        <v>0</v>
      </c>
      <c r="S205" s="126" t="n">
        <f aca="false">J205/$R$3</f>
        <v>3.739</v>
      </c>
      <c r="T205" s="126" t="n">
        <f aca="false">L205/$R$3</f>
        <v>0</v>
      </c>
      <c r="U205" s="126" t="n">
        <f aca="false">I205/$R$3</f>
        <v>476.752</v>
      </c>
      <c r="V205" s="126" t="n">
        <f aca="false">M205/$R$3</f>
        <v>476.752</v>
      </c>
      <c r="W205" s="126" t="n">
        <f aca="false">N205/$R$3</f>
        <v>659.379</v>
      </c>
    </row>
    <row r="206" customFormat="false" ht="12.75" hidden="true" customHeight="false" outlineLevel="0" collapsed="false">
      <c r="A206" s="120" t="n">
        <f aca="false">A205+1</f>
        <v>37092</v>
      </c>
      <c r="B206" s="131" t="str">
        <f aca="false">INDEX('Master Data'!$A$2:$B$8,MATCH(WEEKDAY('Rio Cuarto Power Trading'!A206,3),'Master Data'!$A$2:$A$8,0),2)</f>
        <v>F</v>
      </c>
      <c r="D206" s="124" t="n">
        <v>-115646.649281324</v>
      </c>
      <c r="E206" s="124" t="n">
        <v>0</v>
      </c>
      <c r="F206" s="124" t="n">
        <v>0</v>
      </c>
      <c r="G206" s="124" t="n">
        <v>480586</v>
      </c>
      <c r="I206" s="124" t="n">
        <f aca="false">IF(MONTH($A206)=MONTH($A205),IF(G206=0,I205,G206),G206)</f>
        <v>480586</v>
      </c>
      <c r="J206" s="124" t="n">
        <f aca="false">IF(MONTH($A206)=MONTH($A205),SUM(I206-I205),I206)</f>
        <v>3834</v>
      </c>
      <c r="K206" s="124" t="n">
        <f aca="false">IF(WEEKDAY(A206,3)&gt;4,0,(IF(A206&lt;K$2,0,IF(A206&lt;=K$3,1,0))))</f>
        <v>0</v>
      </c>
      <c r="L206" s="124" t="n">
        <f aca="false">J206*K206</f>
        <v>0</v>
      </c>
      <c r="M206" s="124" t="n">
        <f aca="false">SUM(J$188:J206)</f>
        <v>480586</v>
      </c>
      <c r="N206" s="124" t="n">
        <f aca="false">SUM(J$6:J206)</f>
        <v>663213</v>
      </c>
      <c r="P206" s="124" t="n">
        <f aca="false">D206/P$3</f>
        <v>-0.115646649281324</v>
      </c>
      <c r="Q206" s="124" t="n">
        <f aca="false">E206/P$3</f>
        <v>0</v>
      </c>
      <c r="R206" s="124" t="n">
        <f aca="false">F206/R$3</f>
        <v>0</v>
      </c>
      <c r="S206" s="126" t="n">
        <f aca="false">J206/$R$3</f>
        <v>3.834</v>
      </c>
      <c r="T206" s="126" t="n">
        <f aca="false">L206/$R$3</f>
        <v>0</v>
      </c>
      <c r="U206" s="126" t="n">
        <f aca="false">I206/$R$3</f>
        <v>480.586</v>
      </c>
      <c r="V206" s="126" t="n">
        <f aca="false">M206/$R$3</f>
        <v>480.586</v>
      </c>
      <c r="W206" s="126" t="n">
        <f aca="false">N206/$R$3</f>
        <v>663.213</v>
      </c>
    </row>
    <row r="207" customFormat="false" ht="12.75" hidden="true" customHeight="false" outlineLevel="0" collapsed="false">
      <c r="A207" s="120" t="n">
        <f aca="false">A206+1</f>
        <v>37093</v>
      </c>
      <c r="B207" s="131" t="str">
        <f aca="false">INDEX('Master Data'!$A$2:$B$8,MATCH(WEEKDAY('Rio Cuarto Power Trading'!A207,3),'Master Data'!$A$2:$A$8,0),2)</f>
        <v>Sa</v>
      </c>
      <c r="D207" s="124" t="n">
        <v>0</v>
      </c>
      <c r="E207" s="124" t="n">
        <v>0</v>
      </c>
      <c r="F207" s="124" t="n">
        <v>0</v>
      </c>
      <c r="G207" s="124" t="n">
        <v>0</v>
      </c>
      <c r="I207" s="124" t="n">
        <f aca="false">IF(MONTH($A207)=MONTH($A206),IF(G207=0,I206,G207),G207)</f>
        <v>480586</v>
      </c>
      <c r="J207" s="124" t="n">
        <f aca="false">IF(MONTH($A207)=MONTH($A206),SUM(I207-I206),I207)</f>
        <v>0</v>
      </c>
      <c r="K207" s="124" t="n">
        <f aca="false">IF(WEEKDAY(A207,3)&gt;4,0,(IF(A207&lt;K$2,0,IF(A207&lt;=K$3,1,0))))</f>
        <v>0</v>
      </c>
      <c r="L207" s="124" t="n">
        <f aca="false">J207*K207</f>
        <v>0</v>
      </c>
      <c r="M207" s="124" t="n">
        <f aca="false">SUM(J$188:J207)</f>
        <v>480586</v>
      </c>
      <c r="N207" s="124" t="n">
        <f aca="false">SUM(J$6:J207)</f>
        <v>663213</v>
      </c>
      <c r="P207" s="124" t="n">
        <f aca="false">D207/P$3</f>
        <v>0</v>
      </c>
      <c r="Q207" s="124" t="n">
        <f aca="false">E207/P$3</f>
        <v>0</v>
      </c>
      <c r="R207" s="124" t="n">
        <f aca="false">F207/R$3</f>
        <v>0</v>
      </c>
      <c r="S207" s="126" t="n">
        <f aca="false">J207/$R$3</f>
        <v>0</v>
      </c>
      <c r="T207" s="126" t="n">
        <f aca="false">L207/$R$3</f>
        <v>0</v>
      </c>
      <c r="U207" s="126" t="n">
        <f aca="false">I207/$R$3</f>
        <v>480.586</v>
      </c>
      <c r="V207" s="126" t="n">
        <f aca="false">M207/$R$3</f>
        <v>480.586</v>
      </c>
      <c r="W207" s="126" t="n">
        <f aca="false">N207/$R$3</f>
        <v>663.213</v>
      </c>
    </row>
    <row r="208" customFormat="false" ht="12.75" hidden="true" customHeight="false" outlineLevel="0" collapsed="false">
      <c r="A208" s="120" t="n">
        <f aca="false">A207+1</f>
        <v>37094</v>
      </c>
      <c r="B208" s="131" t="str">
        <f aca="false">INDEX('Master Data'!$A$2:$B$8,MATCH(WEEKDAY('Rio Cuarto Power Trading'!A208,3),'Master Data'!$A$2:$A$8,0),2)</f>
        <v>Su</v>
      </c>
      <c r="D208" s="124" t="n">
        <v>0</v>
      </c>
      <c r="E208" s="124" t="n">
        <v>0</v>
      </c>
      <c r="F208" s="124" t="n">
        <v>0</v>
      </c>
      <c r="G208" s="124" t="n">
        <v>0</v>
      </c>
      <c r="I208" s="124" t="n">
        <f aca="false">IF(MONTH($A208)=MONTH($A207),IF(G208=0,I207,G208),G208)</f>
        <v>480586</v>
      </c>
      <c r="J208" s="124" t="n">
        <f aca="false">IF(MONTH($A208)=MONTH($A207),SUM(I208-I207),I208)</f>
        <v>0</v>
      </c>
      <c r="K208" s="124" t="n">
        <f aca="false">IF(WEEKDAY(A208,3)&gt;4,0,(IF(A208&lt;K$2,0,IF(A208&lt;=K$3,1,0))))</f>
        <v>0</v>
      </c>
      <c r="L208" s="124" t="n">
        <f aca="false">J208*K208</f>
        <v>0</v>
      </c>
      <c r="M208" s="124" t="n">
        <f aca="false">SUM(J$188:J208)</f>
        <v>480586</v>
      </c>
      <c r="N208" s="124" t="n">
        <f aca="false">SUM(J$6:J208)</f>
        <v>663213</v>
      </c>
      <c r="P208" s="124" t="n">
        <f aca="false">D208/P$3</f>
        <v>0</v>
      </c>
      <c r="Q208" s="124" t="n">
        <f aca="false">E208/P$3</f>
        <v>0</v>
      </c>
      <c r="R208" s="124" t="n">
        <f aca="false">F208/R$3</f>
        <v>0</v>
      </c>
      <c r="S208" s="126" t="n">
        <f aca="false">J208/$R$3</f>
        <v>0</v>
      </c>
      <c r="T208" s="126" t="n">
        <f aca="false">L208/$R$3</f>
        <v>0</v>
      </c>
      <c r="U208" s="126" t="n">
        <f aca="false">I208/$R$3</f>
        <v>480.586</v>
      </c>
      <c r="V208" s="126" t="n">
        <f aca="false">M208/$R$3</f>
        <v>480.586</v>
      </c>
      <c r="W208" s="126" t="n">
        <f aca="false">N208/$R$3</f>
        <v>663.213</v>
      </c>
    </row>
    <row r="209" customFormat="false" ht="12.75" hidden="true" customHeight="false" outlineLevel="0" collapsed="false">
      <c r="A209" s="120" t="n">
        <f aca="false">A208+1</f>
        <v>37095</v>
      </c>
      <c r="B209" s="131" t="str">
        <f aca="false">INDEX('Master Data'!$A$2:$B$8,MATCH(WEEKDAY('Rio Cuarto Power Trading'!A209,3),'Master Data'!$A$2:$A$8,0),2)</f>
        <v>M</v>
      </c>
      <c r="D209" s="124" t="n">
        <v>-113885.036431603</v>
      </c>
      <c r="E209" s="124" t="n">
        <v>0</v>
      </c>
      <c r="F209" s="124" t="n">
        <v>0</v>
      </c>
      <c r="G209" s="124" t="n">
        <v>484685</v>
      </c>
      <c r="I209" s="124" t="n">
        <f aca="false">IF(MONTH($A209)=MONTH($A208),IF(G209=0,I208,G209),G209)</f>
        <v>484685</v>
      </c>
      <c r="J209" s="124" t="n">
        <f aca="false">IF(MONTH($A209)=MONTH($A208),SUM(I209-I208),I209)</f>
        <v>4099</v>
      </c>
      <c r="K209" s="124" t="n">
        <f aca="false">IF(WEEKDAY(A209,3)&gt;4,0,(IF(A209&lt;K$2,0,IF(A209&lt;=K$3,1,0))))</f>
        <v>0</v>
      </c>
      <c r="L209" s="124" t="n">
        <f aca="false">J209*K209</f>
        <v>0</v>
      </c>
      <c r="M209" s="124" t="n">
        <f aca="false">SUM(J$188:J209)</f>
        <v>484685</v>
      </c>
      <c r="N209" s="124" t="n">
        <f aca="false">SUM(J$6:J209)</f>
        <v>667312</v>
      </c>
      <c r="P209" s="124" t="n">
        <f aca="false">D209/P$3</f>
        <v>-0.113885036431603</v>
      </c>
      <c r="Q209" s="124" t="n">
        <f aca="false">E209/P$3</f>
        <v>0</v>
      </c>
      <c r="R209" s="124" t="n">
        <f aca="false">F209/R$3</f>
        <v>0</v>
      </c>
      <c r="S209" s="126" t="n">
        <f aca="false">J209/$R$3</f>
        <v>4.099</v>
      </c>
      <c r="T209" s="126" t="n">
        <f aca="false">L209/$R$3</f>
        <v>0</v>
      </c>
      <c r="U209" s="126" t="n">
        <f aca="false">I209/$R$3</f>
        <v>484.685</v>
      </c>
      <c r="V209" s="126" t="n">
        <f aca="false">M209/$R$3</f>
        <v>484.685</v>
      </c>
      <c r="W209" s="126" t="n">
        <f aca="false">N209/$R$3</f>
        <v>667.312</v>
      </c>
    </row>
    <row r="210" customFormat="false" ht="12.75" hidden="true" customHeight="false" outlineLevel="0" collapsed="false">
      <c r="A210" s="120" t="n">
        <f aca="false">A209+1</f>
        <v>37096</v>
      </c>
      <c r="B210" s="131" t="str">
        <f aca="false">INDEX('Master Data'!$A$2:$B$8,MATCH(WEEKDAY('Rio Cuarto Power Trading'!A210,3),'Master Data'!$A$2:$A$8,0),2)</f>
        <v>T</v>
      </c>
      <c r="D210" s="124" t="n">
        <v>-113298.199656565</v>
      </c>
      <c r="E210" s="124" t="n">
        <v>0</v>
      </c>
      <c r="F210" s="124" t="n">
        <v>0</v>
      </c>
      <c r="G210" s="124" t="n">
        <v>495040</v>
      </c>
      <c r="I210" s="124" t="n">
        <f aca="false">IF(MONTH($A210)=MONTH($A209),IF(G210=0,I209,G210),G210)</f>
        <v>495040</v>
      </c>
      <c r="J210" s="124" t="n">
        <f aca="false">IF(MONTH($A210)=MONTH($A209),SUM(I210-I209),I210)</f>
        <v>10355</v>
      </c>
      <c r="K210" s="124" t="n">
        <f aca="false">IF(WEEKDAY(A210,3)&gt;4,0,(IF(A210&lt;K$2,0,IF(A210&lt;=K$3,1,0))))</f>
        <v>0</v>
      </c>
      <c r="L210" s="124" t="n">
        <f aca="false">J210*K210</f>
        <v>0</v>
      </c>
      <c r="M210" s="124" t="n">
        <f aca="false">SUM(J$188:J210)</f>
        <v>495040</v>
      </c>
      <c r="N210" s="124" t="n">
        <f aca="false">SUM(J$6:J210)</f>
        <v>677667</v>
      </c>
      <c r="P210" s="124" t="n">
        <f aca="false">D210/P$3</f>
        <v>-0.113298199656565</v>
      </c>
      <c r="Q210" s="124" t="n">
        <f aca="false">E210/P$3</f>
        <v>0</v>
      </c>
      <c r="R210" s="124" t="n">
        <f aca="false">F210/R$3</f>
        <v>0</v>
      </c>
      <c r="S210" s="126" t="n">
        <f aca="false">J210/$R$3</f>
        <v>10.355</v>
      </c>
      <c r="T210" s="126" t="n">
        <f aca="false">L210/$R$3</f>
        <v>0</v>
      </c>
      <c r="U210" s="126" t="n">
        <f aca="false">I210/$R$3</f>
        <v>495.04</v>
      </c>
      <c r="V210" s="126" t="n">
        <f aca="false">M210/$R$3</f>
        <v>495.04</v>
      </c>
      <c r="W210" s="126" t="n">
        <f aca="false">N210/$R$3</f>
        <v>677.667</v>
      </c>
    </row>
    <row r="211" customFormat="false" ht="12.75" hidden="true" customHeight="false" outlineLevel="0" collapsed="false">
      <c r="A211" s="120" t="n">
        <f aca="false">A210+1</f>
        <v>37097</v>
      </c>
      <c r="B211" s="131" t="str">
        <f aca="false">INDEX('Master Data'!$A$2:$B$8,MATCH(WEEKDAY('Rio Cuarto Power Trading'!A211,3),'Master Data'!$A$2:$A$8,0),2)</f>
        <v>W</v>
      </c>
      <c r="D211" s="124" t="n">
        <v>-112710.23</v>
      </c>
      <c r="E211" s="124" t="n">
        <v>0</v>
      </c>
      <c r="F211" s="124" t="n">
        <v>0</v>
      </c>
      <c r="G211" s="124" t="n">
        <v>492168.01</v>
      </c>
      <c r="I211" s="124" t="n">
        <f aca="false">IF(MONTH($A211)=MONTH($A210),IF(G211=0,I210,G211),G211)</f>
        <v>492168.01</v>
      </c>
      <c r="J211" s="124" t="n">
        <f aca="false">IF(MONTH($A211)=MONTH($A210),SUM(I211-I210),I211)</f>
        <v>-2871.98999999999</v>
      </c>
      <c r="K211" s="124" t="n">
        <f aca="false">IF(WEEKDAY(A211,3)&gt;4,0,(IF(A211&lt;K$2,0,IF(A211&lt;=K$3,1,0))))</f>
        <v>0</v>
      </c>
      <c r="L211" s="124" t="n">
        <f aca="false">J211*K211</f>
        <v>-0</v>
      </c>
      <c r="M211" s="124" t="n">
        <f aca="false">SUM(J$188:J211)</f>
        <v>492168.01</v>
      </c>
      <c r="N211" s="124" t="n">
        <f aca="false">SUM(J$6:J211)</f>
        <v>674795.01</v>
      </c>
      <c r="P211" s="124" t="n">
        <f aca="false">D211/P$3</f>
        <v>-0.11271023</v>
      </c>
      <c r="Q211" s="124" t="n">
        <f aca="false">E211/P$3</f>
        <v>0</v>
      </c>
      <c r="R211" s="124" t="n">
        <f aca="false">F211/R$3</f>
        <v>0</v>
      </c>
      <c r="S211" s="126" t="n">
        <f aca="false">J211/$R$3</f>
        <v>-2.87198999999999</v>
      </c>
      <c r="T211" s="126" t="n">
        <f aca="false">L211/$R$3</f>
        <v>-0</v>
      </c>
      <c r="U211" s="126" t="n">
        <f aca="false">I211/$R$3</f>
        <v>492.16801</v>
      </c>
      <c r="V211" s="126" t="n">
        <f aca="false">M211/$R$3</f>
        <v>492.16801</v>
      </c>
      <c r="W211" s="126" t="n">
        <f aca="false">N211/$R$3</f>
        <v>674.79501</v>
      </c>
    </row>
    <row r="212" customFormat="false" ht="12.75" hidden="true" customHeight="false" outlineLevel="0" collapsed="false">
      <c r="A212" s="120" t="n">
        <f aca="false">A211+1</f>
        <v>37098</v>
      </c>
      <c r="B212" s="131" t="str">
        <f aca="false">INDEX('Master Data'!$A$2:$B$8,MATCH(WEEKDAY('Rio Cuarto Power Trading'!A212,3),'Master Data'!$A$2:$A$8,0),2)</f>
        <v>Th</v>
      </c>
      <c r="D212" s="124" t="n">
        <v>-112122.033157589</v>
      </c>
      <c r="E212" s="124" t="n">
        <v>0</v>
      </c>
      <c r="F212" s="124" t="n">
        <v>0</v>
      </c>
      <c r="G212" s="124" t="n">
        <v>488994</v>
      </c>
      <c r="I212" s="124" t="n">
        <f aca="false">IF(MONTH($A212)=MONTH($A211),IF(G212=0,I211,G212),G212)</f>
        <v>488994</v>
      </c>
      <c r="J212" s="124" t="n">
        <f aca="false">IF(MONTH($A212)=MONTH($A211),SUM(I212-I211),I212)</f>
        <v>-3174.01000000001</v>
      </c>
      <c r="K212" s="124" t="n">
        <f aca="false">IF(WEEKDAY(A212,3)&gt;4,0,(IF(A212&lt;K$2,0,IF(A212&lt;=K$3,1,0))))</f>
        <v>0</v>
      </c>
      <c r="L212" s="124" t="n">
        <f aca="false">J212*K212</f>
        <v>-0</v>
      </c>
      <c r="M212" s="124" t="n">
        <f aca="false">SUM(J$188:J212)</f>
        <v>488994</v>
      </c>
      <c r="N212" s="124" t="n">
        <f aca="false">SUM(J$6:J212)</f>
        <v>671621</v>
      </c>
      <c r="P212" s="124" t="n">
        <f aca="false">D212/P$3</f>
        <v>-0.112122033157589</v>
      </c>
      <c r="Q212" s="124" t="n">
        <f aca="false">E212/P$3</f>
        <v>0</v>
      </c>
      <c r="R212" s="124" t="n">
        <f aca="false">F212/R$3</f>
        <v>0</v>
      </c>
      <c r="S212" s="126" t="n">
        <f aca="false">J212/$R$3</f>
        <v>-3.17401000000001</v>
      </c>
      <c r="T212" s="126" t="n">
        <f aca="false">L212/$R$3</f>
        <v>-0</v>
      </c>
      <c r="U212" s="126" t="n">
        <f aca="false">I212/$R$3</f>
        <v>488.994</v>
      </c>
      <c r="V212" s="126" t="n">
        <f aca="false">M212/$R$3</f>
        <v>488.994</v>
      </c>
      <c r="W212" s="126" t="n">
        <f aca="false">N212/$R$3</f>
        <v>671.621</v>
      </c>
    </row>
    <row r="213" customFormat="false" ht="12.75" hidden="true" customHeight="false" outlineLevel="0" collapsed="false">
      <c r="A213" s="120" t="n">
        <f aca="false">A212+1</f>
        <v>37099</v>
      </c>
      <c r="B213" s="131" t="str">
        <f aca="false">INDEX('Master Data'!$A$2:$B$8,MATCH(WEEKDAY('Rio Cuarto Power Trading'!A213,3),'Master Data'!$A$2:$A$8,0),2)</f>
        <v>F</v>
      </c>
      <c r="D213" s="124" t="n">
        <v>-111531.372151567</v>
      </c>
      <c r="E213" s="124" t="n">
        <v>0</v>
      </c>
      <c r="F213" s="124" t="n">
        <v>0</v>
      </c>
      <c r="G213" s="124" t="n">
        <v>485820</v>
      </c>
      <c r="I213" s="124" t="n">
        <f aca="false">IF(MONTH($A213)=MONTH($A212),IF(G213=0,I212,G213),G213)</f>
        <v>485820</v>
      </c>
      <c r="J213" s="124" t="n">
        <f aca="false">IF(MONTH($A213)=MONTH($A212),SUM(I213-I212),I213)</f>
        <v>-3174</v>
      </c>
      <c r="K213" s="124" t="n">
        <f aca="false">IF(WEEKDAY(A213,3)&gt;4,0,(IF(A213&lt;K$2,0,IF(A213&lt;=K$3,1,0))))</f>
        <v>0</v>
      </c>
      <c r="L213" s="124" t="n">
        <f aca="false">J213*K213</f>
        <v>-0</v>
      </c>
      <c r="M213" s="124" t="n">
        <f aca="false">SUM(J$188:J213)</f>
        <v>485820</v>
      </c>
      <c r="N213" s="124" t="n">
        <f aca="false">SUM(J$6:J213)</f>
        <v>668447</v>
      </c>
      <c r="P213" s="124" t="n">
        <f aca="false">D213/P$3</f>
        <v>-0.111531372151567</v>
      </c>
      <c r="Q213" s="124" t="n">
        <f aca="false">E213/P$3</f>
        <v>0</v>
      </c>
      <c r="R213" s="124" t="n">
        <f aca="false">F213/R$3</f>
        <v>0</v>
      </c>
      <c r="S213" s="126" t="n">
        <f aca="false">J213/$R$3</f>
        <v>-3.174</v>
      </c>
      <c r="T213" s="126" t="n">
        <f aca="false">L213/$R$3</f>
        <v>-0</v>
      </c>
      <c r="U213" s="126" t="n">
        <f aca="false">I213/$R$3</f>
        <v>485.82</v>
      </c>
      <c r="V213" s="126" t="n">
        <f aca="false">M213/$R$3</f>
        <v>485.82</v>
      </c>
      <c r="W213" s="126" t="n">
        <f aca="false">N213/$R$3</f>
        <v>668.447</v>
      </c>
    </row>
    <row r="214" customFormat="false" ht="12.75" hidden="true" customHeight="false" outlineLevel="0" collapsed="false">
      <c r="A214" s="120" t="n">
        <f aca="false">A213+1</f>
        <v>37100</v>
      </c>
      <c r="B214" s="131" t="str">
        <f aca="false">INDEX('Master Data'!$A$2:$B$8,MATCH(WEEKDAY('Rio Cuarto Power Trading'!A214,3),'Master Data'!$A$2:$A$8,0),2)</f>
        <v>Sa</v>
      </c>
      <c r="D214" s="124" t="n">
        <v>0</v>
      </c>
      <c r="E214" s="124" t="n">
        <v>0</v>
      </c>
      <c r="F214" s="124" t="n">
        <v>0</v>
      </c>
      <c r="G214" s="124" t="n">
        <v>0</v>
      </c>
      <c r="I214" s="124" t="n">
        <f aca="false">IF(MONTH($A214)=MONTH($A213),IF(G214=0,I213,G214),G214)</f>
        <v>485820</v>
      </c>
      <c r="J214" s="124" t="n">
        <f aca="false">IF(MONTH($A214)=MONTH($A213),SUM(I214-I213),I214)</f>
        <v>0</v>
      </c>
      <c r="K214" s="124" t="n">
        <f aca="false">IF(WEEKDAY(A214,3)&gt;4,0,(IF(A214&lt;K$2,0,IF(A214&lt;=K$3,1,0))))</f>
        <v>0</v>
      </c>
      <c r="L214" s="124" t="n">
        <f aca="false">J214*K214</f>
        <v>0</v>
      </c>
      <c r="M214" s="124" t="n">
        <f aca="false">SUM(J$188:J214)</f>
        <v>485820</v>
      </c>
      <c r="N214" s="124" t="n">
        <f aca="false">SUM(J$6:J214)</f>
        <v>668447</v>
      </c>
      <c r="P214" s="124" t="n">
        <f aca="false">D214/P$3</f>
        <v>0</v>
      </c>
      <c r="Q214" s="124" t="n">
        <f aca="false">E214/P$3</f>
        <v>0</v>
      </c>
      <c r="R214" s="124" t="n">
        <f aca="false">F214/R$3</f>
        <v>0</v>
      </c>
      <c r="S214" s="126" t="n">
        <f aca="false">J214/$R$3</f>
        <v>0</v>
      </c>
      <c r="T214" s="126" t="n">
        <f aca="false">L214/$R$3</f>
        <v>0</v>
      </c>
      <c r="U214" s="126" t="n">
        <f aca="false">I214/$R$3</f>
        <v>485.82</v>
      </c>
      <c r="V214" s="126" t="n">
        <f aca="false">M214/$R$3</f>
        <v>485.82</v>
      </c>
      <c r="W214" s="126" t="n">
        <f aca="false">N214/$R$3</f>
        <v>668.447</v>
      </c>
    </row>
    <row r="215" customFormat="false" ht="12.75" hidden="true" customHeight="false" outlineLevel="0" collapsed="false">
      <c r="A215" s="120" t="n">
        <f aca="false">A214+1</f>
        <v>37101</v>
      </c>
      <c r="B215" s="131" t="str">
        <f aca="false">INDEX('Master Data'!$A$2:$B$8,MATCH(WEEKDAY('Rio Cuarto Power Trading'!A215,3),'Master Data'!$A$2:$A$8,0),2)</f>
        <v>Su</v>
      </c>
      <c r="D215" s="124" t="n">
        <v>0</v>
      </c>
      <c r="E215" s="124" t="n">
        <v>0</v>
      </c>
      <c r="F215" s="124" t="n">
        <v>0</v>
      </c>
      <c r="G215" s="124" t="n">
        <v>0</v>
      </c>
      <c r="I215" s="124" t="n">
        <f aca="false">IF(MONTH($A215)=MONTH($A214),IF(G215=0,I214,G215),G215)</f>
        <v>485820</v>
      </c>
      <c r="J215" s="124" t="n">
        <f aca="false">IF(MONTH($A215)=MONTH($A214),SUM(I215-I214),I215)</f>
        <v>0</v>
      </c>
      <c r="K215" s="124" t="n">
        <f aca="false">IF(WEEKDAY(A215,3)&gt;4,0,(IF(A215&lt;K$2,0,IF(A215&lt;=K$3,1,0))))</f>
        <v>0</v>
      </c>
      <c r="L215" s="124" t="n">
        <f aca="false">J215*K215</f>
        <v>0</v>
      </c>
      <c r="M215" s="124" t="n">
        <f aca="false">SUM(J$188:J215)</f>
        <v>485820</v>
      </c>
      <c r="N215" s="124" t="n">
        <f aca="false">SUM(J$6:J215)</f>
        <v>668447</v>
      </c>
      <c r="P215" s="124" t="n">
        <f aca="false">D215/P$3</f>
        <v>0</v>
      </c>
      <c r="Q215" s="124" t="n">
        <f aca="false">E215/P$3</f>
        <v>0</v>
      </c>
      <c r="R215" s="124" t="n">
        <f aca="false">F215/R$3</f>
        <v>0</v>
      </c>
      <c r="S215" s="126" t="n">
        <f aca="false">J215/$R$3</f>
        <v>0</v>
      </c>
      <c r="T215" s="126" t="n">
        <f aca="false">L215/$R$3</f>
        <v>0</v>
      </c>
      <c r="U215" s="126" t="n">
        <f aca="false">I215/$R$3</f>
        <v>485.82</v>
      </c>
      <c r="V215" s="126" t="n">
        <f aca="false">M215/$R$3</f>
        <v>485.82</v>
      </c>
      <c r="W215" s="126" t="n">
        <f aca="false">N215/$R$3</f>
        <v>668.447</v>
      </c>
    </row>
    <row r="216" customFormat="false" ht="12.75" hidden="true" customHeight="false" outlineLevel="0" collapsed="false">
      <c r="A216" s="120" t="n">
        <f aca="false">A215+1</f>
        <v>37102</v>
      </c>
      <c r="B216" s="131" t="str">
        <f aca="false">INDEX('Master Data'!$A$2:$B$8,MATCH(WEEKDAY('Rio Cuarto Power Trading'!A216,3),'Master Data'!$A$2:$A$8,0),2)</f>
        <v>M</v>
      </c>
      <c r="D216" s="124" t="n">
        <v>-109774.053052024</v>
      </c>
      <c r="E216" s="124" t="n">
        <v>0</v>
      </c>
      <c r="F216" s="124" t="n">
        <v>0</v>
      </c>
      <c r="G216" s="124" t="n">
        <v>484275</v>
      </c>
      <c r="I216" s="124" t="n">
        <f aca="false">IF(MONTH($A216)=MONTH($A215),IF(G216=0,I215,G216),G216)</f>
        <v>484275</v>
      </c>
      <c r="J216" s="124" t="n">
        <f aca="false">IF(MONTH($A216)=MONTH($A215),SUM(I216-I215),I216)</f>
        <v>-1545</v>
      </c>
      <c r="K216" s="124" t="n">
        <f aca="false">IF(WEEKDAY(A216,3)&gt;4,0,(IF(A216&lt;K$2,0,IF(A216&lt;=K$3,1,0))))</f>
        <v>0</v>
      </c>
      <c r="L216" s="124" t="n">
        <f aca="false">J216*K216</f>
        <v>-0</v>
      </c>
      <c r="M216" s="124" t="n">
        <f aca="false">SUM(J$188:J216)</f>
        <v>484275</v>
      </c>
      <c r="N216" s="124" t="n">
        <f aca="false">SUM(J$6:J216)</f>
        <v>666902</v>
      </c>
      <c r="P216" s="124" t="n">
        <f aca="false">D216/P$3</f>
        <v>-0.109774053052024</v>
      </c>
      <c r="Q216" s="124" t="n">
        <f aca="false">E216/P$3</f>
        <v>0</v>
      </c>
      <c r="R216" s="124" t="n">
        <f aca="false">F216/R$3</f>
        <v>0</v>
      </c>
      <c r="S216" s="126" t="n">
        <f aca="false">J216/$R$3</f>
        <v>-1.545</v>
      </c>
      <c r="T216" s="126" t="n">
        <f aca="false">L216/$R$3</f>
        <v>-0</v>
      </c>
      <c r="U216" s="126" t="n">
        <f aca="false">I216/$R$3</f>
        <v>484.275</v>
      </c>
      <c r="V216" s="126" t="n">
        <f aca="false">M216/$R$3</f>
        <v>484.275</v>
      </c>
      <c r="W216" s="126" t="n">
        <f aca="false">N216/$R$3</f>
        <v>666.902</v>
      </c>
    </row>
    <row r="217" customFormat="false" ht="12.75" hidden="false" customHeight="false" outlineLevel="0" collapsed="false">
      <c r="A217" s="120" t="n">
        <f aca="false">A216+1</f>
        <v>37103</v>
      </c>
      <c r="B217" s="131" t="str">
        <f aca="false">INDEX('Master Data'!$A$2:$B$8,MATCH(WEEKDAY('Rio Cuarto Power Trading'!A217,3),'Master Data'!$A$2:$A$8,0),2)</f>
        <v>T</v>
      </c>
      <c r="D217" s="124" t="n">
        <v>-109188.721146951</v>
      </c>
      <c r="E217" s="124" t="n">
        <v>0</v>
      </c>
      <c r="F217" s="124" t="n">
        <v>0</v>
      </c>
      <c r="G217" s="124" t="n">
        <v>483826</v>
      </c>
      <c r="I217" s="124" t="n">
        <f aca="false">IF(MONTH($A217)=MONTH($A216),IF(G217=0,I216,G217),G217)</f>
        <v>483826</v>
      </c>
      <c r="J217" s="124" t="n">
        <f aca="false">IF(MONTH($A217)=MONTH($A216),SUM(I217-I216),I217)</f>
        <v>-449</v>
      </c>
      <c r="K217" s="124" t="n">
        <f aca="false">IF(WEEKDAY(A217,3)&gt;4,0,(IF(A217&lt;K$2,0,IF(A217&lt;=K$3,1,0))))</f>
        <v>0</v>
      </c>
      <c r="L217" s="124" t="n">
        <f aca="false">J217*K217</f>
        <v>-0</v>
      </c>
      <c r="M217" s="124" t="n">
        <f aca="false">SUM(J$188:J217)</f>
        <v>483826</v>
      </c>
      <c r="N217" s="124" t="n">
        <f aca="false">SUM(J$6:J217)</f>
        <v>666453</v>
      </c>
      <c r="P217" s="124" t="n">
        <f aca="false">D217/P$3</f>
        <v>-0.109188721146951</v>
      </c>
      <c r="Q217" s="124" t="n">
        <f aca="false">E217/P$3</f>
        <v>0</v>
      </c>
      <c r="R217" s="124" t="n">
        <f aca="false">F217/R$3</f>
        <v>0</v>
      </c>
      <c r="S217" s="126" t="n">
        <f aca="false">J217/$R$3</f>
        <v>-0.449</v>
      </c>
      <c r="T217" s="126" t="n">
        <f aca="false">L217/$R$3</f>
        <v>-0</v>
      </c>
      <c r="U217" s="126" t="n">
        <f aca="false">I217/$R$3</f>
        <v>483.826</v>
      </c>
      <c r="V217" s="126" t="n">
        <f aca="false">M217/$R$3</f>
        <v>483.826</v>
      </c>
      <c r="W217" s="126" t="n">
        <f aca="false">N217/$R$3</f>
        <v>666.453</v>
      </c>
    </row>
    <row r="218" customFormat="false" ht="12.75" hidden="true" customHeight="false" outlineLevel="0" collapsed="false">
      <c r="A218" s="120" t="n">
        <f aca="false">A217+1</f>
        <v>37104</v>
      </c>
      <c r="B218" s="131" t="str">
        <f aca="false">INDEX('Master Data'!$A$2:$B$8,MATCH(WEEKDAY('Rio Cuarto Power Trading'!A218,3),'Master Data'!$A$2:$A$8,0),2)</f>
        <v>W</v>
      </c>
      <c r="D218" s="124" t="n">
        <v>-108603.309301791</v>
      </c>
      <c r="E218" s="124" t="n">
        <v>0</v>
      </c>
      <c r="F218" s="124" t="n">
        <v>0</v>
      </c>
      <c r="G218" s="124" t="n">
        <v>3476</v>
      </c>
      <c r="I218" s="124" t="n">
        <f aca="false">IF(MONTH($A218)=MONTH($A217),IF(G218=0,I217,G218),G218)</f>
        <v>3476</v>
      </c>
      <c r="J218" s="124" t="n">
        <f aca="false">IF(MONTH($A218)=MONTH($A217),SUM(I218-I217),I218)</f>
        <v>3476</v>
      </c>
      <c r="K218" s="124" t="n">
        <f aca="false">IF(WEEKDAY(A218,3)&gt;4,0,(IF(A218&lt;K$2,0,IF(A218&lt;=K$3,1,0))))</f>
        <v>0</v>
      </c>
      <c r="L218" s="124" t="n">
        <f aca="false">J218*K218</f>
        <v>0</v>
      </c>
      <c r="M218" s="124" t="n">
        <f aca="false">SUM(J$188:J218)</f>
        <v>487302</v>
      </c>
      <c r="N218" s="124" t="n">
        <f aca="false">SUM(J$6:J218)</f>
        <v>669929</v>
      </c>
      <c r="P218" s="124" t="n">
        <f aca="false">D218/P$3</f>
        <v>-0.108603309301791</v>
      </c>
      <c r="Q218" s="124" t="n">
        <f aca="false">E218/P$3</f>
        <v>0</v>
      </c>
      <c r="R218" s="124" t="n">
        <f aca="false">F218/R$3</f>
        <v>0</v>
      </c>
      <c r="S218" s="126" t="n">
        <f aca="false">J218/$R$3</f>
        <v>3.476</v>
      </c>
      <c r="T218" s="126" t="n">
        <f aca="false">L218/$R$3</f>
        <v>0</v>
      </c>
      <c r="U218" s="126" t="n">
        <f aca="false">I218/$R$3</f>
        <v>3.476</v>
      </c>
      <c r="V218" s="126" t="n">
        <f aca="false">M218/$R$3</f>
        <v>487.302</v>
      </c>
      <c r="W218" s="126" t="n">
        <f aca="false">N218/$R$3</f>
        <v>669.929</v>
      </c>
    </row>
    <row r="219" customFormat="false" ht="12.75" hidden="true" customHeight="false" outlineLevel="0" collapsed="false">
      <c r="A219" s="120" t="n">
        <f aca="false">A218+1</f>
        <v>37105</v>
      </c>
      <c r="B219" s="131" t="str">
        <f aca="false">INDEX('Master Data'!$A$2:$B$8,MATCH(WEEKDAY('Rio Cuarto Power Trading'!A219,3),'Master Data'!$A$2:$A$8,0),2)</f>
        <v>Th</v>
      </c>
      <c r="D219" s="124" t="n">
        <v>-108017</v>
      </c>
      <c r="E219" s="124" t="n">
        <v>0</v>
      </c>
      <c r="F219" s="124" t="n">
        <v>0</v>
      </c>
      <c r="G219" s="124" t="n">
        <v>3656</v>
      </c>
      <c r="I219" s="124" t="n">
        <f aca="false">IF(MONTH($A219)=MONTH($A218),IF(G219=0,I218,G219),G219)</f>
        <v>3656</v>
      </c>
      <c r="J219" s="124" t="n">
        <f aca="false">IF(MONTH($A219)=MONTH($A218),SUM(I219-I218),I219)</f>
        <v>180</v>
      </c>
      <c r="K219" s="124" t="n">
        <f aca="false">IF(WEEKDAY(A219,3)&gt;4,0,(IF(A219&lt;K$2,0,IF(A219&lt;=K$3,1,0))))</f>
        <v>0</v>
      </c>
      <c r="L219" s="124" t="n">
        <f aca="false">J219*K219</f>
        <v>0</v>
      </c>
      <c r="M219" s="124" t="n">
        <f aca="false">SUM(J$188:J219)</f>
        <v>487482</v>
      </c>
      <c r="N219" s="124" t="n">
        <f aca="false">SUM(J$6:J219)</f>
        <v>670109</v>
      </c>
      <c r="P219" s="124" t="n">
        <f aca="false">D219/P$3</f>
        <v>-0.108017</v>
      </c>
      <c r="Q219" s="124" t="n">
        <f aca="false">E219/P$3</f>
        <v>0</v>
      </c>
      <c r="R219" s="124" t="n">
        <f aca="false">F219/R$3</f>
        <v>0</v>
      </c>
      <c r="S219" s="126" t="n">
        <f aca="false">J219/$R$3</f>
        <v>0.18</v>
      </c>
      <c r="T219" s="126" t="n">
        <f aca="false">L219/$R$3</f>
        <v>0</v>
      </c>
      <c r="U219" s="126" t="n">
        <f aca="false">I219/$R$3</f>
        <v>3.656</v>
      </c>
      <c r="V219" s="126" t="n">
        <f aca="false">M219/$R$3</f>
        <v>487.482</v>
      </c>
      <c r="W219" s="126" t="n">
        <f aca="false">N219/$R$3</f>
        <v>670.109</v>
      </c>
    </row>
    <row r="220" customFormat="false" ht="12.75" hidden="true" customHeight="false" outlineLevel="0" collapsed="false">
      <c r="A220" s="120" t="n">
        <f aca="false">A219+1</f>
        <v>37106</v>
      </c>
      <c r="B220" s="131" t="str">
        <f aca="false">INDEX('Master Data'!$A$2:$B$8,MATCH(WEEKDAY('Rio Cuarto Power Trading'!A220,3),'Master Data'!$A$2:$A$8,0),2)</f>
        <v>F</v>
      </c>
      <c r="D220" s="124" t="n">
        <v>-107430.158505834</v>
      </c>
      <c r="E220" s="124" t="n">
        <v>0</v>
      </c>
      <c r="F220" s="124" t="n">
        <v>0</v>
      </c>
      <c r="G220" s="124" t="n">
        <v>7117</v>
      </c>
      <c r="I220" s="124" t="n">
        <f aca="false">IF(MONTH($A220)=MONTH($A219),IF(G220=0,I219,G220),G220)</f>
        <v>7117</v>
      </c>
      <c r="J220" s="124" t="n">
        <f aca="false">IF(MONTH($A220)=MONTH($A219),SUM(I220-I219),I220)</f>
        <v>3461</v>
      </c>
      <c r="K220" s="124" t="n">
        <f aca="false">IF(WEEKDAY(A220,3)&gt;4,0,(IF(A220&lt;K$2,0,IF(A220&lt;=K$3,1,0))))</f>
        <v>0</v>
      </c>
      <c r="L220" s="124" t="n">
        <f aca="false">J220*K220</f>
        <v>0</v>
      </c>
      <c r="M220" s="124" t="n">
        <f aca="false">SUM(J$188:J220)</f>
        <v>490943</v>
      </c>
      <c r="N220" s="124" t="n">
        <f aca="false">SUM(J$6:J220)</f>
        <v>673570</v>
      </c>
      <c r="P220" s="124" t="n">
        <f aca="false">D220/P$3</f>
        <v>-0.107430158505834</v>
      </c>
      <c r="Q220" s="124" t="n">
        <f aca="false">E220/P$3</f>
        <v>0</v>
      </c>
      <c r="R220" s="124" t="n">
        <f aca="false">F220/R$3</f>
        <v>0</v>
      </c>
      <c r="S220" s="126" t="n">
        <f aca="false">J220/$R$3</f>
        <v>3.461</v>
      </c>
      <c r="T220" s="126" t="n">
        <f aca="false">L220/$R$3</f>
        <v>0</v>
      </c>
      <c r="U220" s="126" t="n">
        <f aca="false">I220/$R$3</f>
        <v>7.117</v>
      </c>
      <c r="V220" s="126" t="n">
        <f aca="false">M220/$R$3</f>
        <v>490.943</v>
      </c>
      <c r="W220" s="126" t="n">
        <f aca="false">N220/$R$3</f>
        <v>673.57</v>
      </c>
    </row>
    <row r="221" customFormat="false" ht="12.75" hidden="true" customHeight="false" outlineLevel="0" collapsed="false">
      <c r="A221" s="120" t="n">
        <f aca="false">A220+1</f>
        <v>37107</v>
      </c>
      <c r="B221" s="131" t="str">
        <f aca="false">INDEX('Master Data'!$A$2:$B$8,MATCH(WEEKDAY('Rio Cuarto Power Trading'!A221,3),'Master Data'!$A$2:$A$8,0),2)</f>
        <v>Sa</v>
      </c>
      <c r="D221" s="124" t="n">
        <v>0</v>
      </c>
      <c r="E221" s="124" t="n">
        <v>0</v>
      </c>
      <c r="F221" s="124" t="n">
        <v>0</v>
      </c>
      <c r="G221" s="124" t="n">
        <v>0</v>
      </c>
      <c r="I221" s="124" t="n">
        <f aca="false">IF(MONTH($A221)=MONTH($A220),IF(G221=0,I220,G221),G221)</f>
        <v>7117</v>
      </c>
      <c r="J221" s="124" t="n">
        <f aca="false">IF(MONTH($A221)=MONTH($A220),SUM(I221-I220),I221)</f>
        <v>0</v>
      </c>
      <c r="K221" s="124" t="n">
        <f aca="false">IF(WEEKDAY(A221,3)&gt;4,0,(IF(A221&lt;K$2,0,IF(A221&lt;=K$3,1,0))))</f>
        <v>0</v>
      </c>
      <c r="L221" s="124" t="n">
        <f aca="false">J221*K221</f>
        <v>0</v>
      </c>
      <c r="M221" s="124" t="n">
        <f aca="false">SUM(J$188:J221)</f>
        <v>490943</v>
      </c>
      <c r="N221" s="124" t="n">
        <f aca="false">SUM(J$6:J221)</f>
        <v>673570</v>
      </c>
      <c r="P221" s="124" t="n">
        <f aca="false">D221/P$3</f>
        <v>0</v>
      </c>
      <c r="Q221" s="124" t="n">
        <f aca="false">E221/P$3</f>
        <v>0</v>
      </c>
      <c r="R221" s="124" t="n">
        <f aca="false">F221/R$3</f>
        <v>0</v>
      </c>
      <c r="S221" s="126" t="n">
        <f aca="false">J221/$R$3</f>
        <v>0</v>
      </c>
      <c r="T221" s="126" t="n">
        <f aca="false">L221/$R$3</f>
        <v>0</v>
      </c>
      <c r="U221" s="126" t="n">
        <f aca="false">I221/$R$3</f>
        <v>7.117</v>
      </c>
      <c r="V221" s="126" t="n">
        <f aca="false">M221/$R$3</f>
        <v>490.943</v>
      </c>
      <c r="W221" s="126" t="n">
        <f aca="false">N221/$R$3</f>
        <v>673.57</v>
      </c>
    </row>
    <row r="222" customFormat="false" ht="12.75" hidden="true" customHeight="false" outlineLevel="0" collapsed="false">
      <c r="A222" s="120" t="n">
        <f aca="false">A221+1</f>
        <v>37108</v>
      </c>
      <c r="B222" s="131" t="str">
        <f aca="false">INDEX('Master Data'!$A$2:$B$8,MATCH(WEEKDAY('Rio Cuarto Power Trading'!A222,3),'Master Data'!$A$2:$A$8,0),2)</f>
        <v>Su</v>
      </c>
      <c r="D222" s="124" t="n">
        <v>0</v>
      </c>
      <c r="E222" s="124" t="n">
        <v>0</v>
      </c>
      <c r="F222" s="124" t="n">
        <v>0</v>
      </c>
      <c r="G222" s="124" t="n">
        <v>0</v>
      </c>
      <c r="I222" s="124" t="n">
        <f aca="false">IF(MONTH($A222)=MONTH($A221),IF(G222=0,I221,G222),G222)</f>
        <v>7117</v>
      </c>
      <c r="J222" s="124" t="n">
        <f aca="false">IF(MONTH($A222)=MONTH($A221),SUM(I222-I221),I222)</f>
        <v>0</v>
      </c>
      <c r="K222" s="124" t="n">
        <f aca="false">IF(WEEKDAY(A222,3)&gt;4,0,(IF(A222&lt;K$2,0,IF(A222&lt;=K$3,1,0))))</f>
        <v>0</v>
      </c>
      <c r="L222" s="124" t="n">
        <f aca="false">J222*K222</f>
        <v>0</v>
      </c>
      <c r="M222" s="124" t="n">
        <f aca="false">SUM(J$188:J222)</f>
        <v>490943</v>
      </c>
      <c r="N222" s="124" t="n">
        <f aca="false">SUM(J$6:J222)</f>
        <v>673570</v>
      </c>
      <c r="P222" s="124" t="n">
        <f aca="false">D222/P$3</f>
        <v>0</v>
      </c>
      <c r="Q222" s="124" t="n">
        <f aca="false">E222/P$3</f>
        <v>0</v>
      </c>
      <c r="R222" s="124" t="n">
        <f aca="false">F222/R$3</f>
        <v>0</v>
      </c>
      <c r="S222" s="126" t="n">
        <f aca="false">J222/$R$3</f>
        <v>0</v>
      </c>
      <c r="T222" s="126" t="n">
        <f aca="false">L222/$R$3</f>
        <v>0</v>
      </c>
      <c r="U222" s="126" t="n">
        <f aca="false">I222/$R$3</f>
        <v>7.117</v>
      </c>
      <c r="V222" s="126" t="n">
        <f aca="false">M222/$R$3</f>
        <v>490.943</v>
      </c>
      <c r="W222" s="126" t="n">
        <f aca="false">N222/$R$3</f>
        <v>673.57</v>
      </c>
    </row>
    <row r="223" customFormat="false" ht="12.75" hidden="true" customHeight="false" outlineLevel="0" collapsed="false">
      <c r="A223" s="120" t="n">
        <f aca="false">A222+1</f>
        <v>37109</v>
      </c>
      <c r="B223" s="131" t="str">
        <f aca="false">INDEX('Master Data'!$A$2:$B$8,MATCH(WEEKDAY('Rio Cuarto Power Trading'!A223,3),'Master Data'!$A$2:$A$8,0),2)</f>
        <v>M</v>
      </c>
      <c r="D223" s="124" t="n">
        <v>-105668.411868117</v>
      </c>
      <c r="E223" s="124" t="n">
        <v>0</v>
      </c>
      <c r="F223" s="124" t="n">
        <v>0</v>
      </c>
      <c r="G223" s="124" t="n">
        <v>21176</v>
      </c>
      <c r="I223" s="124" t="n">
        <f aca="false">IF(MONTH($A223)=MONTH($A222),IF(G223=0,I222,G223),G223)</f>
        <v>21176</v>
      </c>
      <c r="J223" s="124" t="n">
        <f aca="false">IF(MONTH($A223)=MONTH($A222),SUM(I223-I222),I223)</f>
        <v>14059</v>
      </c>
      <c r="K223" s="124" t="n">
        <f aca="false">IF(WEEKDAY(A223,3)&gt;4,0,(IF(A223&lt;K$2,0,IF(A223&lt;=K$3,1,0))))</f>
        <v>0</v>
      </c>
      <c r="L223" s="124" t="n">
        <f aca="false">J223*K223</f>
        <v>0</v>
      </c>
      <c r="M223" s="124" t="n">
        <f aca="false">SUM(J$188:J223)</f>
        <v>505002</v>
      </c>
      <c r="N223" s="124" t="n">
        <f aca="false">SUM(J$6:J223)</f>
        <v>687629</v>
      </c>
      <c r="P223" s="124" t="n">
        <f aca="false">D223/P$3</f>
        <v>-0.105668411868117</v>
      </c>
      <c r="Q223" s="124" t="n">
        <f aca="false">E223/P$3</f>
        <v>0</v>
      </c>
      <c r="R223" s="124" t="n">
        <f aca="false">F223/R$3</f>
        <v>0</v>
      </c>
      <c r="S223" s="126" t="n">
        <f aca="false">J223/$R$3</f>
        <v>14.059</v>
      </c>
      <c r="T223" s="126" t="n">
        <f aca="false">L223/$R$3</f>
        <v>0</v>
      </c>
      <c r="U223" s="126" t="n">
        <f aca="false">I223/$R$3</f>
        <v>21.176</v>
      </c>
      <c r="V223" s="126" t="n">
        <f aca="false">M223/$R$3</f>
        <v>505.002</v>
      </c>
      <c r="W223" s="126" t="n">
        <f aca="false">N223/$R$3</f>
        <v>687.629</v>
      </c>
    </row>
    <row r="224" customFormat="false" ht="12.75" hidden="true" customHeight="false" outlineLevel="0" collapsed="false">
      <c r="A224" s="120" t="n">
        <f aca="false">A223+1</f>
        <v>37110</v>
      </c>
      <c r="B224" s="131" t="str">
        <f aca="false">INDEX('Master Data'!$A$2:$B$8,MATCH(WEEKDAY('Rio Cuarto Power Trading'!A224,3),'Master Data'!$A$2:$A$8,0),2)</f>
        <v>T</v>
      </c>
      <c r="D224" s="124" t="n">
        <v>-105081.814453947</v>
      </c>
      <c r="E224" s="124" t="n">
        <v>0</v>
      </c>
      <c r="F224" s="124" t="n">
        <v>0</v>
      </c>
      <c r="G224" s="124" t="n">
        <v>42211</v>
      </c>
      <c r="I224" s="124" t="n">
        <f aca="false">IF(MONTH($A224)=MONTH($A223),IF(G224=0,I223,G224),G224)</f>
        <v>42211</v>
      </c>
      <c r="J224" s="124" t="n">
        <f aca="false">IF(MONTH($A224)=MONTH($A223),SUM(I224-I223),I224)</f>
        <v>21035</v>
      </c>
      <c r="K224" s="124" t="n">
        <f aca="false">IF(WEEKDAY(A224,3)&gt;4,0,(IF(A224&lt;K$2,0,IF(A224&lt;=K$3,1,0))))</f>
        <v>0</v>
      </c>
      <c r="L224" s="124" t="n">
        <f aca="false">J224*K224</f>
        <v>0</v>
      </c>
      <c r="M224" s="124" t="n">
        <f aca="false">SUM(J$188:J224)</f>
        <v>526037</v>
      </c>
      <c r="N224" s="124" t="n">
        <f aca="false">SUM(J$6:J224)</f>
        <v>708664</v>
      </c>
      <c r="P224" s="124" t="n">
        <f aca="false">D224/P$3</f>
        <v>-0.105081814453947</v>
      </c>
      <c r="Q224" s="124" t="n">
        <f aca="false">E224/P$3</f>
        <v>0</v>
      </c>
      <c r="R224" s="124" t="n">
        <f aca="false">F224/R$3</f>
        <v>0</v>
      </c>
      <c r="S224" s="126" t="n">
        <f aca="false">J224/$R$3</f>
        <v>21.035</v>
      </c>
      <c r="T224" s="126" t="n">
        <f aca="false">L224/$R$3</f>
        <v>0</v>
      </c>
      <c r="U224" s="126" t="n">
        <f aca="false">I224/$R$3</f>
        <v>42.211</v>
      </c>
      <c r="V224" s="126" t="n">
        <f aca="false">M224/$R$3</f>
        <v>526.037</v>
      </c>
      <c r="W224" s="126" t="n">
        <f aca="false">N224/$R$3</f>
        <v>708.664</v>
      </c>
    </row>
    <row r="225" customFormat="false" ht="12.75" hidden="true" customHeight="false" outlineLevel="0" collapsed="false">
      <c r="A225" s="120" t="n">
        <f aca="false">A224+1</f>
        <v>37111</v>
      </c>
      <c r="B225" s="131" t="str">
        <f aca="false">INDEX('Master Data'!$A$2:$B$8,MATCH(WEEKDAY('Rio Cuarto Power Trading'!A225,3),'Master Data'!$A$2:$A$8,0),2)</f>
        <v>W</v>
      </c>
      <c r="D225" s="124" t="n">
        <v>-104496.246085928</v>
      </c>
      <c r="E225" s="124" t="n">
        <v>0</v>
      </c>
      <c r="F225" s="124" t="n">
        <v>0</v>
      </c>
      <c r="G225" s="124" t="n">
        <v>47522</v>
      </c>
      <c r="I225" s="124" t="n">
        <f aca="false">IF(MONTH($A225)=MONTH($A224),IF(G225=0,I224,G225),G225)</f>
        <v>47522</v>
      </c>
      <c r="J225" s="124" t="n">
        <f aca="false">IF(MONTH($A225)=MONTH($A224),SUM(I225-I224),I225)</f>
        <v>5311</v>
      </c>
      <c r="K225" s="124" t="n">
        <f aca="false">IF(WEEKDAY(A225,3)&gt;4,0,(IF(A225&lt;K$2,0,IF(A225&lt;=K$3,1,0))))</f>
        <v>0</v>
      </c>
      <c r="L225" s="124" t="n">
        <f aca="false">J225*K225</f>
        <v>0</v>
      </c>
      <c r="M225" s="124" t="n">
        <f aca="false">SUM(J$188:J225)</f>
        <v>531348</v>
      </c>
      <c r="N225" s="124" t="n">
        <f aca="false">SUM(J$6:J225)</f>
        <v>713975</v>
      </c>
      <c r="P225" s="124" t="n">
        <f aca="false">D225/P$3</f>
        <v>-0.104496246085928</v>
      </c>
      <c r="Q225" s="124" t="n">
        <f aca="false">E225/P$3</f>
        <v>0</v>
      </c>
      <c r="R225" s="124" t="n">
        <f aca="false">F225/R$3</f>
        <v>0</v>
      </c>
      <c r="S225" s="126" t="n">
        <f aca="false">J225/$R$3</f>
        <v>5.311</v>
      </c>
      <c r="T225" s="126" t="n">
        <f aca="false">L225/$R$3</f>
        <v>0</v>
      </c>
      <c r="U225" s="126" t="n">
        <f aca="false">I225/$R$3</f>
        <v>47.522</v>
      </c>
      <c r="V225" s="126" t="n">
        <f aca="false">M225/$R$3</f>
        <v>531.348</v>
      </c>
      <c r="W225" s="126" t="n">
        <f aca="false">N225/$R$3</f>
        <v>713.975</v>
      </c>
    </row>
    <row r="226" customFormat="false" ht="12.75" hidden="true" customHeight="false" outlineLevel="0" collapsed="false">
      <c r="A226" s="120" t="n">
        <f aca="false">A225+1</f>
        <v>37112</v>
      </c>
      <c r="B226" s="131" t="str">
        <f aca="false">INDEX('Master Data'!$A$2:$B$8,MATCH(WEEKDAY('Rio Cuarto Power Trading'!A226,3),'Master Data'!$A$2:$A$8,0),2)</f>
        <v>Th</v>
      </c>
      <c r="D226" s="124" t="n">
        <v>-103913.41287517</v>
      </c>
      <c r="E226" s="124" t="n">
        <v>0</v>
      </c>
      <c r="F226" s="124" t="n">
        <v>0</v>
      </c>
      <c r="G226" s="124" t="n">
        <v>53836</v>
      </c>
      <c r="I226" s="124" t="n">
        <f aca="false">IF(MONTH($A226)=MONTH($A225),IF(G226=0,I225,G226),G226)</f>
        <v>53836</v>
      </c>
      <c r="J226" s="124" t="n">
        <f aca="false">IF(MONTH($A226)=MONTH($A225),SUM(I226-I225),I226)</f>
        <v>6314</v>
      </c>
      <c r="K226" s="124" t="n">
        <f aca="false">IF(WEEKDAY(A226,3)&gt;4,0,(IF(A226&lt;K$2,0,IF(A226&lt;=K$3,1,0))))</f>
        <v>0</v>
      </c>
      <c r="L226" s="124" t="n">
        <f aca="false">J226*K226</f>
        <v>0</v>
      </c>
      <c r="M226" s="124" t="n">
        <f aca="false">SUM(J$188:J226)</f>
        <v>537662</v>
      </c>
      <c r="N226" s="124" t="n">
        <f aca="false">SUM(J$6:J226)</f>
        <v>720289</v>
      </c>
      <c r="P226" s="124" t="n">
        <f aca="false">D226/P$3</f>
        <v>-0.10391341287517</v>
      </c>
      <c r="Q226" s="124" t="n">
        <f aca="false">E226/P$3</f>
        <v>0</v>
      </c>
      <c r="R226" s="124" t="n">
        <f aca="false">F226/R$3</f>
        <v>0</v>
      </c>
      <c r="S226" s="126" t="n">
        <f aca="false">J226/$R$3</f>
        <v>6.314</v>
      </c>
      <c r="T226" s="126" t="n">
        <f aca="false">L226/$R$3</f>
        <v>0</v>
      </c>
      <c r="U226" s="126" t="n">
        <f aca="false">I226/$R$3</f>
        <v>53.836</v>
      </c>
      <c r="V226" s="126" t="n">
        <f aca="false">M226/$R$3</f>
        <v>537.662</v>
      </c>
      <c r="W226" s="126" t="n">
        <f aca="false">N226/$R$3</f>
        <v>720.289</v>
      </c>
    </row>
    <row r="227" customFormat="false" ht="12.75" hidden="true" customHeight="false" outlineLevel="0" collapsed="false">
      <c r="A227" s="120" t="n">
        <f aca="false">A226+1</f>
        <v>37113</v>
      </c>
      <c r="B227" s="131" t="str">
        <f aca="false">INDEX('Master Data'!$A$2:$B$8,MATCH(WEEKDAY('Rio Cuarto Power Trading'!A227,3),'Master Data'!$A$2:$A$8,0),2)</f>
        <v>F</v>
      </c>
      <c r="D227" s="124" t="n">
        <v>-103329.394053654</v>
      </c>
      <c r="E227" s="124" t="n">
        <v>0</v>
      </c>
      <c r="F227" s="124" t="n">
        <v>0</v>
      </c>
      <c r="G227" s="124" t="n">
        <v>133374</v>
      </c>
      <c r="I227" s="124" t="n">
        <f aca="false">IF(MONTH($A227)=MONTH($A226),IF(G227=0,I226,G227),G227)</f>
        <v>133374</v>
      </c>
      <c r="J227" s="124" t="n">
        <f aca="false">IF(MONTH($A227)=MONTH($A226),SUM(I227-I226),I227)</f>
        <v>79538</v>
      </c>
      <c r="K227" s="124" t="n">
        <f aca="false">IF(WEEKDAY(A227,3)&gt;4,0,(IF(A227&lt;K$2,0,IF(A227&lt;=K$3,1,0))))</f>
        <v>0</v>
      </c>
      <c r="L227" s="124" t="n">
        <f aca="false">J227*K227</f>
        <v>0</v>
      </c>
      <c r="M227" s="124" t="n">
        <f aca="false">SUM(J$188:J227)</f>
        <v>617200</v>
      </c>
      <c r="N227" s="124" t="n">
        <f aca="false">SUM(J$6:J227)</f>
        <v>799827</v>
      </c>
      <c r="P227" s="124" t="n">
        <f aca="false">D227/P$3</f>
        <v>-0.103329394053654</v>
      </c>
      <c r="Q227" s="124" t="n">
        <f aca="false">E227/P$3</f>
        <v>0</v>
      </c>
      <c r="R227" s="124" t="n">
        <f aca="false">F227/R$3</f>
        <v>0</v>
      </c>
      <c r="S227" s="126" t="n">
        <f aca="false">J227/$R$3</f>
        <v>79.538</v>
      </c>
      <c r="T227" s="126" t="n">
        <f aca="false">L227/$R$3</f>
        <v>0</v>
      </c>
      <c r="U227" s="126" t="n">
        <f aca="false">I227/$R$3</f>
        <v>133.374</v>
      </c>
      <c r="V227" s="126" t="n">
        <f aca="false">M227/$R$3</f>
        <v>617.2</v>
      </c>
      <c r="W227" s="126" t="n">
        <f aca="false">N227/$R$3</f>
        <v>799.827</v>
      </c>
    </row>
    <row r="228" customFormat="false" ht="12.75" hidden="true" customHeight="false" outlineLevel="0" collapsed="false">
      <c r="A228" s="120" t="n">
        <f aca="false">A227+1</f>
        <v>37114</v>
      </c>
      <c r="B228" s="131" t="str">
        <f aca="false">INDEX('Master Data'!$A$2:$B$8,MATCH(WEEKDAY('Rio Cuarto Power Trading'!A228,3),'Master Data'!$A$2:$A$8,0),2)</f>
        <v>Sa</v>
      </c>
      <c r="D228" s="124" t="n">
        <v>0</v>
      </c>
      <c r="E228" s="124" t="n">
        <v>0</v>
      </c>
      <c r="F228" s="124" t="n">
        <v>0</v>
      </c>
      <c r="G228" s="124" t="n">
        <v>0</v>
      </c>
      <c r="I228" s="124" t="n">
        <f aca="false">IF(MONTH($A228)=MONTH($A227),IF(G228=0,I227,G228),G228)</f>
        <v>133374</v>
      </c>
      <c r="J228" s="124" t="n">
        <f aca="false">IF(MONTH($A228)=MONTH($A227),SUM(I228-I227),I228)</f>
        <v>0</v>
      </c>
      <c r="K228" s="124" t="n">
        <f aca="false">IF(WEEKDAY(A228,3)&gt;4,0,(IF(A228&lt;K$2,0,IF(A228&lt;=K$3,1,0))))</f>
        <v>0</v>
      </c>
      <c r="L228" s="124" t="n">
        <f aca="false">J228*K228</f>
        <v>0</v>
      </c>
      <c r="M228" s="124" t="n">
        <f aca="false">SUM(J$188:J228)</f>
        <v>617200</v>
      </c>
      <c r="N228" s="124" t="n">
        <f aca="false">SUM(J$6:J228)</f>
        <v>799827</v>
      </c>
      <c r="P228" s="124" t="n">
        <f aca="false">D228/P$3</f>
        <v>0</v>
      </c>
      <c r="Q228" s="124" t="n">
        <f aca="false">E228/P$3</f>
        <v>0</v>
      </c>
      <c r="R228" s="124" t="n">
        <f aca="false">F228/R$3</f>
        <v>0</v>
      </c>
      <c r="S228" s="126" t="n">
        <f aca="false">J228/$R$3</f>
        <v>0</v>
      </c>
      <c r="T228" s="126" t="n">
        <f aca="false">L228/$R$3</f>
        <v>0</v>
      </c>
      <c r="U228" s="126" t="n">
        <f aca="false">I228/$R$3</f>
        <v>133.374</v>
      </c>
      <c r="V228" s="126" t="n">
        <f aca="false">M228/$R$3</f>
        <v>617.2</v>
      </c>
      <c r="W228" s="126" t="n">
        <f aca="false">N228/$R$3</f>
        <v>799.827</v>
      </c>
    </row>
    <row r="229" customFormat="false" ht="12.75" hidden="true" customHeight="false" outlineLevel="0" collapsed="false">
      <c r="A229" s="120" t="n">
        <f aca="false">A228+1</f>
        <v>37115</v>
      </c>
      <c r="B229" s="131" t="str">
        <f aca="false">INDEX('Master Data'!$A$2:$B$8,MATCH(WEEKDAY('Rio Cuarto Power Trading'!A229,3),'Master Data'!$A$2:$A$8,0),2)</f>
        <v>Su</v>
      </c>
      <c r="D229" s="124" t="n">
        <v>0</v>
      </c>
      <c r="E229" s="124" t="n">
        <v>0</v>
      </c>
      <c r="F229" s="124" t="n">
        <v>0</v>
      </c>
      <c r="G229" s="124" t="n">
        <v>0</v>
      </c>
      <c r="I229" s="124" t="n">
        <f aca="false">IF(MONTH($A229)=MONTH($A228),IF(G229=0,I228,G229),G229)</f>
        <v>133374</v>
      </c>
      <c r="J229" s="124" t="n">
        <f aca="false">IF(MONTH($A229)=MONTH($A228),SUM(I229-I228),I229)</f>
        <v>0</v>
      </c>
      <c r="K229" s="124" t="n">
        <f aca="false">IF(WEEKDAY(A229,3)&gt;4,0,(IF(A229&lt;K$2,0,IF(A229&lt;=K$3,1,0))))</f>
        <v>0</v>
      </c>
      <c r="L229" s="124" t="n">
        <f aca="false">J229*K229</f>
        <v>0</v>
      </c>
      <c r="M229" s="124" t="n">
        <f aca="false">SUM(J$188:J229)</f>
        <v>617200</v>
      </c>
      <c r="N229" s="124" t="n">
        <f aca="false">SUM(J$6:J229)</f>
        <v>799827</v>
      </c>
      <c r="P229" s="124" t="n">
        <f aca="false">D229/P$3</f>
        <v>0</v>
      </c>
      <c r="Q229" s="124" t="n">
        <f aca="false">E229/P$3</f>
        <v>0</v>
      </c>
      <c r="R229" s="124" t="n">
        <f aca="false">F229/R$3</f>
        <v>0</v>
      </c>
      <c r="S229" s="126" t="n">
        <f aca="false">J229/$R$3</f>
        <v>0</v>
      </c>
      <c r="T229" s="126" t="n">
        <f aca="false">L229/$R$3</f>
        <v>0</v>
      </c>
      <c r="U229" s="126" t="n">
        <f aca="false">I229/$R$3</f>
        <v>133.374</v>
      </c>
      <c r="V229" s="126" t="n">
        <f aca="false">M229/$R$3</f>
        <v>617.2</v>
      </c>
      <c r="W229" s="126" t="n">
        <f aca="false">N229/$R$3</f>
        <v>799.827</v>
      </c>
    </row>
    <row r="230" customFormat="false" ht="12.75" hidden="true" customHeight="false" outlineLevel="0" collapsed="false">
      <c r="A230" s="120" t="n">
        <f aca="false">A229+1</f>
        <v>37116</v>
      </c>
      <c r="B230" s="131" t="str">
        <f aca="false">INDEX('Master Data'!$A$2:$B$8,MATCH(WEEKDAY('Rio Cuarto Power Trading'!A230,3),'Master Data'!$A$2:$A$8,0),2)</f>
        <v>M</v>
      </c>
      <c r="D230" s="124" t="n">
        <v>-101557.78452829</v>
      </c>
      <c r="E230" s="124" t="n">
        <v>0</v>
      </c>
      <c r="F230" s="124" t="n">
        <v>0</v>
      </c>
      <c r="G230" s="124" t="n">
        <v>134087</v>
      </c>
      <c r="I230" s="124" t="n">
        <f aca="false">IF(MONTH($A230)=MONTH($A229),IF(G230=0,I229,G230),G230)</f>
        <v>134087</v>
      </c>
      <c r="J230" s="124" t="n">
        <f aca="false">IF(MONTH($A230)=MONTH($A229),SUM(I230-I229),I230)</f>
        <v>713</v>
      </c>
      <c r="K230" s="124" t="n">
        <f aca="false">IF(WEEKDAY(A230,3)&gt;4,0,(IF(A230&lt;K$2,0,IF(A230&lt;=K$3,1,0))))</f>
        <v>0</v>
      </c>
      <c r="L230" s="124" t="n">
        <f aca="false">J230*K230</f>
        <v>0</v>
      </c>
      <c r="M230" s="124" t="n">
        <f aca="false">SUM(J$188:J230)</f>
        <v>617913</v>
      </c>
      <c r="N230" s="124" t="n">
        <f aca="false">SUM(J$6:J230)</f>
        <v>800540</v>
      </c>
      <c r="P230" s="124" t="n">
        <f aca="false">D230/P$3</f>
        <v>-0.10155778452829</v>
      </c>
      <c r="Q230" s="124" t="n">
        <f aca="false">E230/P$3</f>
        <v>0</v>
      </c>
      <c r="R230" s="124" t="n">
        <f aca="false">F230/R$3</f>
        <v>0</v>
      </c>
      <c r="S230" s="126" t="n">
        <f aca="false">J230/$R$3</f>
        <v>0.713</v>
      </c>
      <c r="T230" s="126" t="n">
        <f aca="false">L230/$R$3</f>
        <v>0</v>
      </c>
      <c r="U230" s="126" t="n">
        <f aca="false">I230/$R$3</f>
        <v>134.087</v>
      </c>
      <c r="V230" s="126" t="n">
        <f aca="false">M230/$R$3</f>
        <v>617.913</v>
      </c>
      <c r="W230" s="126" t="n">
        <f aca="false">N230/$R$3</f>
        <v>800.54</v>
      </c>
    </row>
    <row r="231" customFormat="false" ht="12.75" hidden="true" customHeight="false" outlineLevel="0" collapsed="false">
      <c r="A231" s="120" t="n">
        <f aca="false">A230+1</f>
        <v>37117</v>
      </c>
      <c r="B231" s="131" t="str">
        <f aca="false">INDEX('Master Data'!$A$2:$B$8,MATCH(WEEKDAY('Rio Cuarto Power Trading'!A231,3),'Master Data'!$A$2:$A$8,0),2)</f>
        <v>T</v>
      </c>
      <c r="D231" s="124" t="n">
        <v>-100988.853926651</v>
      </c>
      <c r="E231" s="124" t="n">
        <v>0</v>
      </c>
      <c r="F231" s="124" t="n">
        <v>0</v>
      </c>
      <c r="G231" s="124" t="n">
        <v>140664</v>
      </c>
      <c r="I231" s="124" t="n">
        <f aca="false">IF(MONTH($A231)=MONTH($A230),IF(G231=0,I230,G231),G231)</f>
        <v>140664</v>
      </c>
      <c r="J231" s="124" t="n">
        <f aca="false">IF(MONTH($A231)=MONTH($A230),SUM(I231-I230),I231)</f>
        <v>6577</v>
      </c>
      <c r="K231" s="124" t="n">
        <f aca="false">IF(WEEKDAY(A231,3)&gt;4,0,(IF(A231&lt;K$2,0,IF(A231&lt;=K$3,1,0))))</f>
        <v>0</v>
      </c>
      <c r="L231" s="124" t="n">
        <f aca="false">J231*K231</f>
        <v>0</v>
      </c>
      <c r="M231" s="124" t="n">
        <f aca="false">SUM(J$188:J231)</f>
        <v>624490</v>
      </c>
      <c r="N231" s="124" t="n">
        <f aca="false">SUM(J$6:J231)</f>
        <v>807117</v>
      </c>
      <c r="P231" s="124" t="n">
        <f aca="false">D231/P$3</f>
        <v>-0.100988853926651</v>
      </c>
      <c r="Q231" s="124" t="n">
        <f aca="false">E231/P$3</f>
        <v>0</v>
      </c>
      <c r="R231" s="124" t="n">
        <f aca="false">F231/R$3</f>
        <v>0</v>
      </c>
      <c r="S231" s="126" t="n">
        <f aca="false">J231/$R$3</f>
        <v>6.577</v>
      </c>
      <c r="T231" s="126" t="n">
        <f aca="false">L231/$R$3</f>
        <v>0</v>
      </c>
      <c r="U231" s="126" t="n">
        <f aca="false">I231/$R$3</f>
        <v>140.664</v>
      </c>
      <c r="V231" s="126" t="n">
        <f aca="false">M231/$R$3</f>
        <v>624.49</v>
      </c>
      <c r="W231" s="126" t="n">
        <f aca="false">N231/$R$3</f>
        <v>807.117</v>
      </c>
    </row>
    <row r="232" customFormat="false" ht="12.75" hidden="true" customHeight="false" outlineLevel="0" collapsed="false">
      <c r="A232" s="120" t="n">
        <f aca="false">A231+1</f>
        <v>37118</v>
      </c>
      <c r="B232" s="131" t="str">
        <f aca="false">INDEX('Master Data'!$A$2:$B$8,MATCH(WEEKDAY('Rio Cuarto Power Trading'!A232,3),'Master Data'!$A$2:$A$8,0),2)</f>
        <v>W</v>
      </c>
      <c r="D232" s="124" t="n">
        <v>-100400.572658855</v>
      </c>
      <c r="E232" s="124" t="n">
        <v>0</v>
      </c>
      <c r="F232" s="124" t="n">
        <v>0</v>
      </c>
      <c r="G232" s="124" t="n">
        <v>142618</v>
      </c>
      <c r="I232" s="124" t="n">
        <f aca="false">IF(MONTH($A232)=MONTH($A231),IF(G232=0,I231,G232),G232)</f>
        <v>142618</v>
      </c>
      <c r="J232" s="124" t="n">
        <f aca="false">IF(MONTH($A232)=MONTH($A231),SUM(I232-I231),I232)</f>
        <v>1954</v>
      </c>
      <c r="K232" s="124" t="n">
        <f aca="false">IF(WEEKDAY(A232,3)&gt;4,0,(IF(A232&lt;K$2,0,IF(A232&lt;=K$3,1,0))))</f>
        <v>0</v>
      </c>
      <c r="L232" s="124" t="n">
        <f aca="false">J232*K232</f>
        <v>0</v>
      </c>
      <c r="M232" s="124" t="n">
        <f aca="false">SUM(J$188:J232)</f>
        <v>626444</v>
      </c>
      <c r="N232" s="124" t="n">
        <f aca="false">SUM(J$6:J232)</f>
        <v>809071</v>
      </c>
      <c r="P232" s="124" t="n">
        <f aca="false">D232/P$3</f>
        <v>-0.100400572658855</v>
      </c>
      <c r="Q232" s="124" t="n">
        <f aca="false">E232/P$3</f>
        <v>0</v>
      </c>
      <c r="R232" s="124" t="n">
        <f aca="false">F232/R$3</f>
        <v>0</v>
      </c>
      <c r="S232" s="126" t="n">
        <f aca="false">J232/$R$3</f>
        <v>1.954</v>
      </c>
      <c r="T232" s="126" t="n">
        <f aca="false">L232/$R$3</f>
        <v>0</v>
      </c>
      <c r="U232" s="126" t="n">
        <f aca="false">I232/$R$3</f>
        <v>142.618</v>
      </c>
      <c r="V232" s="126" t="n">
        <f aca="false">M232/$R$3</f>
        <v>626.444</v>
      </c>
      <c r="W232" s="126" t="n">
        <f aca="false">N232/$R$3</f>
        <v>809.071</v>
      </c>
    </row>
    <row r="233" customFormat="false" ht="12.75" hidden="true" customHeight="false" outlineLevel="0" collapsed="false">
      <c r="A233" s="120" t="n">
        <f aca="false">A232+1</f>
        <v>37119</v>
      </c>
      <c r="B233" s="131" t="str">
        <f aca="false">INDEX('Master Data'!$A$2:$B$8,MATCH(WEEKDAY('Rio Cuarto Power Trading'!A233,3),'Master Data'!$A$2:$A$8,0),2)</f>
        <v>Th</v>
      </c>
      <c r="D233" s="124" t="n">
        <v>-99808.9828450456</v>
      </c>
      <c r="E233" s="124" t="n">
        <v>0</v>
      </c>
      <c r="F233" s="124" t="n">
        <v>0</v>
      </c>
      <c r="G233" s="124" t="n">
        <v>143864</v>
      </c>
      <c r="I233" s="124" t="n">
        <f aca="false">IF(MONTH($A233)=MONTH($A232),IF(G233=0,I232,G233),G233)</f>
        <v>143864</v>
      </c>
      <c r="J233" s="124" t="n">
        <f aca="false">IF(MONTH($A233)=MONTH($A232),SUM(I233-I232),I233)</f>
        <v>1246</v>
      </c>
      <c r="K233" s="124" t="n">
        <f aca="false">IF(WEEKDAY(A233,3)&gt;4,0,(IF(A233&lt;K$2,0,IF(A233&lt;=K$3,1,0))))</f>
        <v>0</v>
      </c>
      <c r="L233" s="124" t="n">
        <f aca="false">J233*K233</f>
        <v>0</v>
      </c>
      <c r="M233" s="124" t="n">
        <f aca="false">SUM(J$188:J233)</f>
        <v>627690</v>
      </c>
      <c r="N233" s="124" t="n">
        <f aca="false">SUM(J$6:J233)</f>
        <v>810317</v>
      </c>
      <c r="P233" s="124" t="n">
        <f aca="false">D233/P$3</f>
        <v>-0.0998089828450456</v>
      </c>
      <c r="Q233" s="124" t="n">
        <f aca="false">E233/P$3</f>
        <v>0</v>
      </c>
      <c r="R233" s="124" t="n">
        <f aca="false">F233/R$3</f>
        <v>0</v>
      </c>
      <c r="S233" s="126" t="n">
        <f aca="false">J233/$R$3</f>
        <v>1.246</v>
      </c>
      <c r="T233" s="126" t="n">
        <f aca="false">L233/$R$3</f>
        <v>0</v>
      </c>
      <c r="U233" s="126" t="n">
        <f aca="false">I233/$R$3</f>
        <v>143.864</v>
      </c>
      <c r="V233" s="126" t="n">
        <f aca="false">M233/$R$3</f>
        <v>627.69</v>
      </c>
      <c r="W233" s="126" t="n">
        <f aca="false">N233/$R$3</f>
        <v>810.317</v>
      </c>
    </row>
    <row r="234" customFormat="false" ht="12.75" hidden="true" customHeight="false" outlineLevel="0" collapsed="false">
      <c r="A234" s="120" t="n">
        <f aca="false">A233+1</f>
        <v>37120</v>
      </c>
      <c r="B234" s="131" t="str">
        <f aca="false">INDEX('Master Data'!$A$2:$B$8,MATCH(WEEKDAY('Rio Cuarto Power Trading'!A234,3),'Master Data'!$A$2:$A$8,0),2)</f>
        <v>F</v>
      </c>
      <c r="D234" s="124" t="n">
        <v>-99223.39107624</v>
      </c>
      <c r="E234" s="124" t="n">
        <v>0</v>
      </c>
      <c r="F234" s="124" t="n">
        <v>0</v>
      </c>
      <c r="G234" s="124" t="n">
        <v>145180</v>
      </c>
      <c r="I234" s="124" t="n">
        <f aca="false">IF(MONTH($A234)=MONTH($A233),IF(G234=0,I233,G234),G234)</f>
        <v>145180</v>
      </c>
      <c r="J234" s="124" t="n">
        <f aca="false">IF(MONTH($A234)=MONTH($A233),SUM(I234-I233),I234)</f>
        <v>1316</v>
      </c>
      <c r="K234" s="124" t="n">
        <f aca="false">IF(WEEKDAY(A234,3)&gt;4,0,(IF(A234&lt;K$2,0,IF(A234&lt;=K$3,1,0))))</f>
        <v>0</v>
      </c>
      <c r="L234" s="124" t="n">
        <f aca="false">J234*K234</f>
        <v>0</v>
      </c>
      <c r="M234" s="124" t="n">
        <f aca="false">SUM(J$188:J234)</f>
        <v>629006</v>
      </c>
      <c r="N234" s="124" t="n">
        <f aca="false">SUM(J$6:J234)</f>
        <v>811633</v>
      </c>
      <c r="P234" s="124" t="n">
        <f aca="false">D234/P$3</f>
        <v>-0.09922339107624</v>
      </c>
      <c r="Q234" s="124" t="n">
        <f aca="false">E234/P$3</f>
        <v>0</v>
      </c>
      <c r="R234" s="124" t="n">
        <f aca="false">F234/R$3</f>
        <v>0</v>
      </c>
      <c r="S234" s="126" t="n">
        <f aca="false">J234/$R$3</f>
        <v>1.316</v>
      </c>
      <c r="T234" s="126" t="n">
        <f aca="false">L234/$R$3</f>
        <v>0</v>
      </c>
      <c r="U234" s="126" t="n">
        <f aca="false">I234/$R$3</f>
        <v>145.18</v>
      </c>
      <c r="V234" s="126" t="n">
        <f aca="false">M234/$R$3</f>
        <v>629.006</v>
      </c>
      <c r="W234" s="126" t="n">
        <f aca="false">N234/$R$3</f>
        <v>811.633</v>
      </c>
    </row>
    <row r="235" customFormat="false" ht="12.75" hidden="true" customHeight="false" outlineLevel="0" collapsed="false">
      <c r="A235" s="120" t="n">
        <f aca="false">A234+1</f>
        <v>37121</v>
      </c>
      <c r="B235" s="131" t="str">
        <f aca="false">INDEX('Master Data'!$A$2:$B$8,MATCH(WEEKDAY('Rio Cuarto Power Trading'!A235,3),'Master Data'!$A$2:$A$8,0),2)</f>
        <v>Sa</v>
      </c>
      <c r="D235" s="124" t="n">
        <v>0</v>
      </c>
      <c r="E235" s="124" t="n">
        <v>0</v>
      </c>
      <c r="F235" s="124" t="n">
        <v>0</v>
      </c>
      <c r="G235" s="124" t="n">
        <v>0</v>
      </c>
      <c r="I235" s="124" t="n">
        <f aca="false">IF(MONTH($A235)=MONTH($A234),IF(G235=0,I234,G235),G235)</f>
        <v>145180</v>
      </c>
      <c r="J235" s="124" t="n">
        <f aca="false">IF(MONTH($A235)=MONTH($A234),SUM(I235-I234),I235)</f>
        <v>0</v>
      </c>
      <c r="K235" s="124" t="n">
        <f aca="false">IF(WEEKDAY(A235,3)&gt;4,0,(IF(A235&lt;K$2,0,IF(A235&lt;=K$3,1,0))))</f>
        <v>0</v>
      </c>
      <c r="L235" s="124" t="n">
        <f aca="false">J235*K235</f>
        <v>0</v>
      </c>
      <c r="M235" s="124" t="n">
        <f aca="false">SUM(J$188:J235)</f>
        <v>629006</v>
      </c>
      <c r="N235" s="124" t="n">
        <f aca="false">SUM(J$6:J235)</f>
        <v>811633</v>
      </c>
      <c r="P235" s="124" t="n">
        <f aca="false">D235/P$3</f>
        <v>0</v>
      </c>
      <c r="Q235" s="124" t="n">
        <f aca="false">E235/P$3</f>
        <v>0</v>
      </c>
      <c r="R235" s="124" t="n">
        <f aca="false">F235/R$3</f>
        <v>0</v>
      </c>
      <c r="S235" s="126" t="n">
        <f aca="false">J235/$R$3</f>
        <v>0</v>
      </c>
      <c r="T235" s="126" t="n">
        <f aca="false">L235/$R$3</f>
        <v>0</v>
      </c>
      <c r="U235" s="126" t="n">
        <f aca="false">I235/$R$3</f>
        <v>145.18</v>
      </c>
      <c r="V235" s="126" t="n">
        <f aca="false">M235/$R$3</f>
        <v>629.006</v>
      </c>
      <c r="W235" s="126" t="n">
        <f aca="false">N235/$R$3</f>
        <v>811.633</v>
      </c>
    </row>
    <row r="236" customFormat="false" ht="12.75" hidden="true" customHeight="false" outlineLevel="0" collapsed="false">
      <c r="A236" s="120" t="n">
        <f aca="false">A235+1</f>
        <v>37122</v>
      </c>
      <c r="B236" s="131" t="str">
        <f aca="false">INDEX('Master Data'!$A$2:$B$8,MATCH(WEEKDAY('Rio Cuarto Power Trading'!A236,3),'Master Data'!$A$2:$A$8,0),2)</f>
        <v>Su</v>
      </c>
      <c r="D236" s="124" t="n">
        <v>0</v>
      </c>
      <c r="E236" s="124" t="n">
        <v>0</v>
      </c>
      <c r="F236" s="124" t="n">
        <v>0</v>
      </c>
      <c r="G236" s="124" t="n">
        <v>0</v>
      </c>
      <c r="I236" s="124" t="n">
        <f aca="false">IF(MONTH($A236)=MONTH($A235),IF(G236=0,I235,G236),G236)</f>
        <v>145180</v>
      </c>
      <c r="J236" s="124" t="n">
        <f aca="false">IF(MONTH($A236)=MONTH($A235),SUM(I236-I235),I236)</f>
        <v>0</v>
      </c>
      <c r="K236" s="124" t="n">
        <f aca="false">IF(WEEKDAY(A236,3)&gt;4,0,(IF(A236&lt;K$2,0,IF(A236&lt;=K$3,1,0))))</f>
        <v>0</v>
      </c>
      <c r="L236" s="124" t="n">
        <f aca="false">J236*K236</f>
        <v>0</v>
      </c>
      <c r="M236" s="124" t="n">
        <f aca="false">SUM(J$188:J236)</f>
        <v>629006</v>
      </c>
      <c r="N236" s="124" t="n">
        <f aca="false">SUM(J$6:J236)</f>
        <v>811633</v>
      </c>
      <c r="P236" s="124" t="n">
        <f aca="false">D236/P$3</f>
        <v>0</v>
      </c>
      <c r="Q236" s="124" t="n">
        <f aca="false">E236/P$3</f>
        <v>0</v>
      </c>
      <c r="R236" s="124" t="n">
        <f aca="false">F236/R$3</f>
        <v>0</v>
      </c>
      <c r="S236" s="126" t="n">
        <f aca="false">J236/$R$3</f>
        <v>0</v>
      </c>
      <c r="T236" s="126" t="n">
        <f aca="false">L236/$R$3</f>
        <v>0</v>
      </c>
      <c r="U236" s="126" t="n">
        <f aca="false">I236/$R$3</f>
        <v>145.18</v>
      </c>
      <c r="V236" s="126" t="n">
        <f aca="false">M236/$R$3</f>
        <v>629.006</v>
      </c>
      <c r="W236" s="126" t="n">
        <f aca="false">N236/$R$3</f>
        <v>811.633</v>
      </c>
    </row>
    <row r="237" customFormat="false" ht="12.75" hidden="true" customHeight="false" outlineLevel="0" collapsed="false">
      <c r="A237" s="120" t="n">
        <f aca="false">A236+1</f>
        <v>37123</v>
      </c>
      <c r="B237" s="131" t="str">
        <f aca="false">INDEX('Master Data'!$A$2:$B$8,MATCH(WEEKDAY('Rio Cuarto Power Trading'!A237,3),'Master Data'!$A$2:$A$8,0),2)</f>
        <v>M</v>
      </c>
      <c r="D237" s="124" t="n">
        <v>-97460.6112567612</v>
      </c>
      <c r="E237" s="124" t="n">
        <v>0</v>
      </c>
      <c r="F237" s="124" t="n">
        <v>0</v>
      </c>
      <c r="G237" s="124" t="n">
        <v>145738</v>
      </c>
      <c r="I237" s="124" t="n">
        <f aca="false">IF(MONTH($A237)=MONTH($A236),IF(G237=0,I236,G237),G237)</f>
        <v>145738</v>
      </c>
      <c r="J237" s="124" t="n">
        <f aca="false">IF(MONTH($A237)=MONTH($A236),SUM(I237-I236),I237)</f>
        <v>558</v>
      </c>
      <c r="K237" s="124" t="n">
        <f aca="false">IF(WEEKDAY(A237,3)&gt;4,0,(IF(A237&lt;K$2,0,IF(A237&lt;=K$3,1,0))))</f>
        <v>0</v>
      </c>
      <c r="L237" s="124" t="n">
        <f aca="false">J237*K237</f>
        <v>0</v>
      </c>
      <c r="M237" s="124" t="n">
        <f aca="false">SUM(J$188:J237)</f>
        <v>629564</v>
      </c>
      <c r="N237" s="124" t="n">
        <f aca="false">SUM(J$6:J237)</f>
        <v>812191</v>
      </c>
      <c r="P237" s="124" t="n">
        <f aca="false">D237/P$3</f>
        <v>-0.0974606112567612</v>
      </c>
      <c r="Q237" s="124" t="n">
        <f aca="false">E237/P$3</f>
        <v>0</v>
      </c>
      <c r="R237" s="124" t="n">
        <f aca="false">F237/R$3</f>
        <v>0</v>
      </c>
      <c r="S237" s="126" t="n">
        <f aca="false">J237/$R$3</f>
        <v>0.558</v>
      </c>
      <c r="T237" s="126" t="n">
        <f aca="false">L237/$R$3</f>
        <v>0</v>
      </c>
      <c r="U237" s="126" t="n">
        <f aca="false">I237/$R$3</f>
        <v>145.738</v>
      </c>
      <c r="V237" s="126" t="n">
        <f aca="false">M237/$R$3</f>
        <v>629.564</v>
      </c>
      <c r="W237" s="126" t="n">
        <f aca="false">N237/$R$3</f>
        <v>812.191</v>
      </c>
    </row>
    <row r="238" customFormat="false" ht="12.75" hidden="true" customHeight="false" outlineLevel="0" collapsed="false">
      <c r="A238" s="120" t="n">
        <f aca="false">A237+1</f>
        <v>37124</v>
      </c>
      <c r="B238" s="131" t="str">
        <f aca="false">INDEX('Master Data'!$A$2:$B$8,MATCH(WEEKDAY('Rio Cuarto Power Trading'!A238,3),'Master Data'!$A$2:$A$8,0),2)</f>
        <v>T</v>
      </c>
      <c r="D238" s="124" t="n">
        <v>-96874.2684646538</v>
      </c>
      <c r="E238" s="124" t="n">
        <v>0</v>
      </c>
      <c r="F238" s="124" t="n">
        <v>0</v>
      </c>
      <c r="G238" s="124" t="n">
        <v>146642</v>
      </c>
      <c r="I238" s="124" t="n">
        <f aca="false">IF(MONTH($A238)=MONTH($A237),IF(G238=0,I237,G238),G238)</f>
        <v>146642</v>
      </c>
      <c r="J238" s="124" t="n">
        <f aca="false">IF(MONTH($A238)=MONTH($A237),SUM(I238-I237),I238)</f>
        <v>904</v>
      </c>
      <c r="K238" s="124" t="n">
        <f aca="false">IF(WEEKDAY(A238,3)&gt;4,0,(IF(A238&lt;K$2,0,IF(A238&lt;=K$3,1,0))))</f>
        <v>0</v>
      </c>
      <c r="L238" s="124" t="n">
        <f aca="false">J238*K238</f>
        <v>0</v>
      </c>
      <c r="M238" s="124" t="n">
        <f aca="false">SUM(J$188:J238)</f>
        <v>630468</v>
      </c>
      <c r="N238" s="124" t="n">
        <f aca="false">SUM(J$6:J238)</f>
        <v>813095</v>
      </c>
      <c r="P238" s="124" t="n">
        <f aca="false">D238/P$3</f>
        <v>-0.0968742684646538</v>
      </c>
      <c r="Q238" s="124" t="n">
        <f aca="false">E238/P$3</f>
        <v>0</v>
      </c>
      <c r="R238" s="124" t="n">
        <f aca="false">F238/R$3</f>
        <v>0</v>
      </c>
      <c r="S238" s="126" t="n">
        <f aca="false">J238/$R$3</f>
        <v>0.904</v>
      </c>
      <c r="T238" s="126" t="n">
        <f aca="false">L238/$R$3</f>
        <v>0</v>
      </c>
      <c r="U238" s="126" t="n">
        <f aca="false">I238/$R$3</f>
        <v>146.642</v>
      </c>
      <c r="V238" s="126" t="n">
        <f aca="false">M238/$R$3</f>
        <v>630.468</v>
      </c>
      <c r="W238" s="126" t="n">
        <f aca="false">N238/$R$3</f>
        <v>813.095</v>
      </c>
    </row>
    <row r="239" customFormat="false" ht="12.75" hidden="true" customHeight="false" outlineLevel="0" collapsed="false">
      <c r="A239" s="120" t="n">
        <f aca="false">A238+1</f>
        <v>37125</v>
      </c>
      <c r="B239" s="131" t="str">
        <f aca="false">INDEX('Master Data'!$A$2:$B$8,MATCH(WEEKDAY('Rio Cuarto Power Trading'!A239,3),'Master Data'!$A$2:$A$8,0),2)</f>
        <v>W</v>
      </c>
      <c r="D239" s="124" t="n">
        <v>-96287.842294152</v>
      </c>
      <c r="E239" s="124" t="n">
        <v>0</v>
      </c>
      <c r="F239" s="124" t="n">
        <v>0</v>
      </c>
      <c r="G239" s="124" t="n">
        <v>199274</v>
      </c>
      <c r="I239" s="124" t="n">
        <f aca="false">IF(MONTH($A239)=MONTH($A238),IF(G239=0,I238,G239),G239)</f>
        <v>199274</v>
      </c>
      <c r="J239" s="124" t="n">
        <f aca="false">IF(MONTH($A239)=MONTH($A238),SUM(I239-I238),I239)</f>
        <v>52632</v>
      </c>
      <c r="K239" s="124" t="n">
        <f aca="false">IF(WEEKDAY(A239,3)&gt;4,0,(IF(A239&lt;K$2,0,IF(A239&lt;=K$3,1,0))))</f>
        <v>0</v>
      </c>
      <c r="L239" s="124" t="n">
        <f aca="false">J239*K239</f>
        <v>0</v>
      </c>
      <c r="M239" s="124" t="n">
        <f aca="false">SUM(J$188:J239)</f>
        <v>683100</v>
      </c>
      <c r="N239" s="124" t="n">
        <f aca="false">SUM(J$6:J239)</f>
        <v>865727</v>
      </c>
      <c r="P239" s="124" t="n">
        <f aca="false">D239/P$3</f>
        <v>-0.096287842294152</v>
      </c>
      <c r="Q239" s="124" t="n">
        <f aca="false">E239/P$3</f>
        <v>0</v>
      </c>
      <c r="R239" s="124" t="n">
        <f aca="false">F239/R$3</f>
        <v>0</v>
      </c>
      <c r="S239" s="126" t="n">
        <f aca="false">J239/$R$3</f>
        <v>52.632</v>
      </c>
      <c r="T239" s="126" t="n">
        <f aca="false">L239/$R$3</f>
        <v>0</v>
      </c>
      <c r="U239" s="126" t="n">
        <f aca="false">I239/$R$3</f>
        <v>199.274</v>
      </c>
      <c r="V239" s="126" t="n">
        <f aca="false">M239/$R$3</f>
        <v>683.1</v>
      </c>
      <c r="W239" s="126" t="n">
        <f aca="false">N239/$R$3</f>
        <v>865.727</v>
      </c>
    </row>
    <row r="240" customFormat="false" ht="12.75" hidden="true" customHeight="false" outlineLevel="0" collapsed="false">
      <c r="A240" s="120" t="n">
        <f aca="false">A239+1</f>
        <v>37126</v>
      </c>
      <c r="B240" s="131" t="str">
        <f aca="false">INDEX('Master Data'!$A$2:$B$8,MATCH(WEEKDAY('Rio Cuarto Power Trading'!A240,3),'Master Data'!$A$2:$A$8,0),2)</f>
        <v>Th</v>
      </c>
      <c r="D240" s="124" t="n">
        <v>-95698.3825104324</v>
      </c>
      <c r="E240" s="124" t="n">
        <v>0</v>
      </c>
      <c r="F240" s="124" t="n">
        <v>0</v>
      </c>
      <c r="G240" s="124" t="n">
        <v>200634</v>
      </c>
      <c r="I240" s="124" t="n">
        <f aca="false">IF(MONTH($A240)=MONTH($A239),IF(G240=0,I239,G240),G240)</f>
        <v>200634</v>
      </c>
      <c r="J240" s="124" t="n">
        <f aca="false">IF(MONTH($A240)=MONTH($A239),SUM(I240-I239),I240)</f>
        <v>1360</v>
      </c>
      <c r="K240" s="124" t="n">
        <f aca="false">IF(WEEKDAY(A240,3)&gt;4,0,(IF(A240&lt;K$2,0,IF(A240&lt;=K$3,1,0))))</f>
        <v>0</v>
      </c>
      <c r="L240" s="124" t="n">
        <f aca="false">J240*K240</f>
        <v>0</v>
      </c>
      <c r="M240" s="124" t="n">
        <f aca="false">SUM(J$188:J240)</f>
        <v>684460</v>
      </c>
      <c r="N240" s="124" t="n">
        <f aca="false">SUM(J$6:J240)</f>
        <v>867087</v>
      </c>
      <c r="P240" s="124" t="n">
        <f aca="false">D240/P$3</f>
        <v>-0.0956983825104324</v>
      </c>
      <c r="Q240" s="124" t="n">
        <f aca="false">E240/P$3</f>
        <v>0</v>
      </c>
      <c r="R240" s="124" t="n">
        <f aca="false">F240/R$3</f>
        <v>0</v>
      </c>
      <c r="S240" s="126" t="n">
        <f aca="false">J240/$R$3</f>
        <v>1.36</v>
      </c>
      <c r="T240" s="126" t="n">
        <f aca="false">L240/$R$3</f>
        <v>0</v>
      </c>
      <c r="U240" s="126" t="n">
        <f aca="false">I240/$R$3</f>
        <v>200.634</v>
      </c>
      <c r="V240" s="126" t="n">
        <f aca="false">M240/$R$3</f>
        <v>684.46</v>
      </c>
      <c r="W240" s="126" t="n">
        <f aca="false">N240/$R$3</f>
        <v>867.087</v>
      </c>
    </row>
    <row r="241" customFormat="false" ht="12.75" hidden="true" customHeight="false" outlineLevel="0" collapsed="false">
      <c r="A241" s="120" t="n">
        <f aca="false">A240+1</f>
        <v>37127</v>
      </c>
      <c r="B241" s="131" t="str">
        <f aca="false">INDEX('Master Data'!$A$2:$B$8,MATCH(WEEKDAY('Rio Cuarto Power Trading'!A241,3),'Master Data'!$A$2:$A$8,0),2)</f>
        <v>F</v>
      </c>
      <c r="D241" s="124" t="n">
        <v>-95106.5730393476</v>
      </c>
      <c r="E241" s="124" t="n">
        <v>0</v>
      </c>
      <c r="F241" s="124" t="n">
        <v>0</v>
      </c>
      <c r="G241" s="124" t="n">
        <v>202203</v>
      </c>
      <c r="I241" s="124" t="n">
        <f aca="false">IF(MONTH($A241)=MONTH($A240),IF(G241=0,I240,G241),G241)</f>
        <v>202203</v>
      </c>
      <c r="J241" s="124" t="n">
        <f aca="false">IF(MONTH($A241)=MONTH($A240),SUM(I241-I240),I241)</f>
        <v>1569</v>
      </c>
      <c r="K241" s="124" t="n">
        <f aca="false">IF(WEEKDAY(A241,3)&gt;4,0,(IF(A241&lt;K$2,0,IF(A241&lt;=K$3,1,0))))</f>
        <v>0</v>
      </c>
      <c r="L241" s="124" t="n">
        <f aca="false">J241*K241</f>
        <v>0</v>
      </c>
      <c r="M241" s="124" t="n">
        <f aca="false">SUM(J$188:J241)</f>
        <v>686029</v>
      </c>
      <c r="N241" s="124" t="n">
        <f aca="false">SUM(J$6:J241)</f>
        <v>868656</v>
      </c>
      <c r="P241" s="124" t="n">
        <f aca="false">D241/P$3</f>
        <v>-0.0951065730393476</v>
      </c>
      <c r="Q241" s="124" t="n">
        <f aca="false">E241/P$3</f>
        <v>0</v>
      </c>
      <c r="R241" s="124" t="n">
        <f aca="false">F241/R$3</f>
        <v>0</v>
      </c>
      <c r="S241" s="126" t="n">
        <f aca="false">J241/$R$3</f>
        <v>1.569</v>
      </c>
      <c r="T241" s="126" t="n">
        <f aca="false">L241/$R$3</f>
        <v>0</v>
      </c>
      <c r="U241" s="126" t="n">
        <f aca="false">I241/$R$3</f>
        <v>202.203</v>
      </c>
      <c r="V241" s="126" t="n">
        <f aca="false">M241/$R$3</f>
        <v>686.029</v>
      </c>
      <c r="W241" s="126" t="n">
        <f aca="false">N241/$R$3</f>
        <v>868.656</v>
      </c>
    </row>
    <row r="242" customFormat="false" ht="12.75" hidden="true" customHeight="false" outlineLevel="0" collapsed="false">
      <c r="A242" s="120" t="n">
        <f aca="false">A241+1</f>
        <v>37128</v>
      </c>
      <c r="B242" s="131" t="str">
        <f aca="false">INDEX('Master Data'!$A$2:$B$8,MATCH(WEEKDAY('Rio Cuarto Power Trading'!A242,3),'Master Data'!$A$2:$A$8,0),2)</f>
        <v>Sa</v>
      </c>
      <c r="D242" s="124" t="n">
        <v>0</v>
      </c>
      <c r="E242" s="124" t="n">
        <v>0</v>
      </c>
      <c r="F242" s="124" t="n">
        <v>0</v>
      </c>
      <c r="G242" s="124" t="n">
        <v>0</v>
      </c>
      <c r="I242" s="124" t="n">
        <f aca="false">IF(MONTH($A242)=MONTH($A241),IF(G242=0,I241,G242),G242)</f>
        <v>202203</v>
      </c>
      <c r="J242" s="124" t="n">
        <f aca="false">IF(MONTH($A242)=MONTH($A241),SUM(I242-I241),I242)</f>
        <v>0</v>
      </c>
      <c r="K242" s="124" t="n">
        <f aca="false">IF(WEEKDAY(A242,3)&gt;4,0,(IF(A242&lt;K$2,0,IF(A242&lt;=K$3,1,0))))</f>
        <v>0</v>
      </c>
      <c r="L242" s="124" t="n">
        <f aca="false">J242*K242</f>
        <v>0</v>
      </c>
      <c r="M242" s="124" t="n">
        <f aca="false">SUM(J$188:J242)</f>
        <v>686029</v>
      </c>
      <c r="N242" s="124" t="n">
        <f aca="false">SUM(J$6:J242)</f>
        <v>868656</v>
      </c>
      <c r="P242" s="124" t="n">
        <f aca="false">D242/P$3</f>
        <v>0</v>
      </c>
      <c r="Q242" s="124" t="n">
        <f aca="false">E242/P$3</f>
        <v>0</v>
      </c>
      <c r="R242" s="124" t="n">
        <f aca="false">F242/R$3</f>
        <v>0</v>
      </c>
      <c r="S242" s="126" t="n">
        <f aca="false">J242/$R$3</f>
        <v>0</v>
      </c>
      <c r="T242" s="126" t="n">
        <f aca="false">L242/$R$3</f>
        <v>0</v>
      </c>
      <c r="U242" s="126" t="n">
        <f aca="false">I242/$R$3</f>
        <v>202.203</v>
      </c>
      <c r="V242" s="126" t="n">
        <f aca="false">M242/$R$3</f>
        <v>686.029</v>
      </c>
      <c r="W242" s="126" t="n">
        <f aca="false">N242/$R$3</f>
        <v>868.656</v>
      </c>
    </row>
    <row r="243" customFormat="false" ht="12.75" hidden="true" customHeight="false" outlineLevel="0" collapsed="false">
      <c r="A243" s="120" t="n">
        <f aca="false">A242+1</f>
        <v>37129</v>
      </c>
      <c r="B243" s="131" t="str">
        <f aca="false">INDEX('Master Data'!$A$2:$B$8,MATCH(WEEKDAY('Rio Cuarto Power Trading'!A243,3),'Master Data'!$A$2:$A$8,0),2)</f>
        <v>Su</v>
      </c>
      <c r="D243" s="124" t="n">
        <v>0</v>
      </c>
      <c r="E243" s="124" t="n">
        <v>0</v>
      </c>
      <c r="F243" s="124" t="n">
        <v>0</v>
      </c>
      <c r="G243" s="124" t="n">
        <v>0</v>
      </c>
      <c r="I243" s="124" t="n">
        <f aca="false">IF(MONTH($A243)=MONTH($A242),IF(G243=0,I242,G243),G243)</f>
        <v>202203</v>
      </c>
      <c r="J243" s="124" t="n">
        <f aca="false">IF(MONTH($A243)=MONTH($A242),SUM(I243-I242),I243)</f>
        <v>0</v>
      </c>
      <c r="K243" s="124" t="n">
        <f aca="false">IF(WEEKDAY(A243,3)&gt;4,0,(IF(A243&lt;K$2,0,IF(A243&lt;=K$3,1,0))))</f>
        <v>0</v>
      </c>
      <c r="L243" s="124" t="n">
        <f aca="false">J243*K243</f>
        <v>0</v>
      </c>
      <c r="M243" s="124" t="n">
        <f aca="false">SUM(J$188:J243)</f>
        <v>686029</v>
      </c>
      <c r="N243" s="124" t="n">
        <f aca="false">SUM(J$6:J243)</f>
        <v>868656</v>
      </c>
      <c r="P243" s="124" t="n">
        <f aca="false">D243/P$3</f>
        <v>0</v>
      </c>
      <c r="Q243" s="124" t="n">
        <f aca="false">E243/P$3</f>
        <v>0</v>
      </c>
      <c r="R243" s="124" t="n">
        <f aca="false">F243/R$3</f>
        <v>0</v>
      </c>
      <c r="S243" s="126" t="n">
        <f aca="false">J243/$R$3</f>
        <v>0</v>
      </c>
      <c r="T243" s="126" t="n">
        <f aca="false">L243/$R$3</f>
        <v>0</v>
      </c>
      <c r="U243" s="126" t="n">
        <f aca="false">I243/$R$3</f>
        <v>202.203</v>
      </c>
      <c r="V243" s="126" t="n">
        <f aca="false">M243/$R$3</f>
        <v>686.029</v>
      </c>
      <c r="W243" s="126" t="n">
        <f aca="false">N243/$R$3</f>
        <v>868.656</v>
      </c>
    </row>
    <row r="244" customFormat="false" ht="12.75" hidden="true" customHeight="false" outlineLevel="0" collapsed="false">
      <c r="A244" s="120" t="n">
        <f aca="false">A243+1</f>
        <v>37130</v>
      </c>
      <c r="B244" s="131" t="str">
        <f aca="false">INDEX('Master Data'!$A$2:$B$8,MATCH(WEEKDAY('Rio Cuarto Power Trading'!A244,3),'Master Data'!$A$2:$A$8,0),2)</f>
        <v>M</v>
      </c>
      <c r="D244" s="124" t="n">
        <v>-93333.7811014524</v>
      </c>
      <c r="E244" s="124" t="n">
        <v>0</v>
      </c>
      <c r="F244" s="124" t="n">
        <v>0</v>
      </c>
      <c r="G244" s="124" t="n">
        <v>203406</v>
      </c>
      <c r="I244" s="124" t="n">
        <f aca="false">IF(MONTH($A244)=MONTH($A243),IF(G244=0,I243,G244),G244)</f>
        <v>203406</v>
      </c>
      <c r="J244" s="124" t="n">
        <f aca="false">IF(MONTH($A244)=MONTH($A243),SUM(I244-I243),I244)</f>
        <v>1203</v>
      </c>
      <c r="K244" s="124" t="n">
        <f aca="false">IF(WEEKDAY(A244,3)&gt;4,0,(IF(A244&lt;K$2,0,IF(A244&lt;=K$3,1,0))))</f>
        <v>0</v>
      </c>
      <c r="L244" s="124" t="n">
        <f aca="false">J244*K244</f>
        <v>0</v>
      </c>
      <c r="M244" s="124" t="n">
        <f aca="false">SUM(J$188:J244)</f>
        <v>687232</v>
      </c>
      <c r="N244" s="124" t="n">
        <f aca="false">SUM(J$6:J244)</f>
        <v>869859</v>
      </c>
      <c r="P244" s="124" t="n">
        <f aca="false">D244/P$3</f>
        <v>-0.0933337811014524</v>
      </c>
      <c r="Q244" s="124" t="n">
        <f aca="false">E244/P$3</f>
        <v>0</v>
      </c>
      <c r="R244" s="124" t="n">
        <f aca="false">F244/R$3</f>
        <v>0</v>
      </c>
      <c r="S244" s="126" t="n">
        <f aca="false">J244/$R$3</f>
        <v>1.203</v>
      </c>
      <c r="T244" s="126" t="n">
        <f aca="false">L244/$R$3</f>
        <v>0</v>
      </c>
      <c r="U244" s="126" t="n">
        <f aca="false">I244/$R$3</f>
        <v>203.406</v>
      </c>
      <c r="V244" s="126" t="n">
        <f aca="false">M244/$R$3</f>
        <v>687.232</v>
      </c>
      <c r="W244" s="126" t="n">
        <f aca="false">N244/$R$3</f>
        <v>869.859</v>
      </c>
    </row>
    <row r="245" customFormat="false" ht="12.75" hidden="true" customHeight="false" outlineLevel="0" collapsed="false">
      <c r="A245" s="120" t="n">
        <f aca="false">A244+1</f>
        <v>37131</v>
      </c>
      <c r="B245" s="131" t="str">
        <f aca="false">INDEX('Master Data'!$A$2:$B$8,MATCH(WEEKDAY('Rio Cuarto Power Trading'!A245,3),'Master Data'!$A$2:$A$8,0),2)</f>
        <v>T</v>
      </c>
      <c r="D245" s="124" t="n">
        <v>-92743.7405413377</v>
      </c>
      <c r="E245" s="124" t="n">
        <v>0</v>
      </c>
      <c r="F245" s="124" t="n">
        <v>0</v>
      </c>
      <c r="G245" s="124" t="n">
        <v>206447</v>
      </c>
      <c r="I245" s="124" t="n">
        <f aca="false">IF(MONTH($A245)=MONTH($A244),IF(G245=0,I244,G245),G245)</f>
        <v>206447</v>
      </c>
      <c r="J245" s="124" t="n">
        <f aca="false">IF(MONTH($A245)=MONTH($A244),SUM(I245-I244),I245)</f>
        <v>3041</v>
      </c>
      <c r="K245" s="124" t="n">
        <f aca="false">IF(WEEKDAY(A245,3)&gt;4,0,(IF(A245&lt;K$2,0,IF(A245&lt;=K$3,1,0))))</f>
        <v>0</v>
      </c>
      <c r="L245" s="124" t="n">
        <f aca="false">J245*K245</f>
        <v>0</v>
      </c>
      <c r="M245" s="124" t="n">
        <f aca="false">SUM(J$188:J245)</f>
        <v>690273</v>
      </c>
      <c r="N245" s="124" t="n">
        <f aca="false">SUM(J$6:J245)</f>
        <v>872900</v>
      </c>
      <c r="P245" s="124" t="n">
        <f aca="false">D245/P$3</f>
        <v>-0.0927437405413377</v>
      </c>
      <c r="Q245" s="124" t="n">
        <f aca="false">E245/P$3</f>
        <v>0</v>
      </c>
      <c r="R245" s="124" t="n">
        <f aca="false">F245/R$3</f>
        <v>0</v>
      </c>
      <c r="S245" s="126" t="n">
        <f aca="false">J245/$R$3</f>
        <v>3.041</v>
      </c>
      <c r="T245" s="126" t="n">
        <f aca="false">L245/$R$3</f>
        <v>0</v>
      </c>
      <c r="U245" s="126" t="n">
        <f aca="false">I245/$R$3</f>
        <v>206.447</v>
      </c>
      <c r="V245" s="126" t="n">
        <f aca="false">M245/$R$3</f>
        <v>690.273</v>
      </c>
      <c r="W245" s="126" t="n">
        <f aca="false">N245/$R$3</f>
        <v>872.9</v>
      </c>
    </row>
    <row r="246" customFormat="false" ht="12.75" hidden="true" customHeight="false" outlineLevel="0" collapsed="false">
      <c r="A246" s="120" t="n">
        <f aca="false">A245+1</f>
        <v>37132</v>
      </c>
      <c r="B246" s="131" t="str">
        <f aca="false">INDEX('Master Data'!$A$2:$B$8,MATCH(WEEKDAY('Rio Cuarto Power Trading'!A246,3),'Master Data'!$A$2:$A$8,0),2)</f>
        <v>W</v>
      </c>
      <c r="D246" s="124" t="n">
        <v>-92154.1868276043</v>
      </c>
      <c r="E246" s="124" t="n">
        <v>0</v>
      </c>
      <c r="F246" s="124" t="n">
        <v>0</v>
      </c>
      <c r="G246" s="124" t="n">
        <v>266210</v>
      </c>
      <c r="I246" s="124" t="n">
        <f aca="false">IF(MONTH($A246)=MONTH($A245),IF(G246=0,I245,G246),G246)</f>
        <v>266210</v>
      </c>
      <c r="J246" s="124" t="n">
        <f aca="false">IF(MONTH($A246)=MONTH($A245),SUM(I246-I245),I246)</f>
        <v>59763</v>
      </c>
      <c r="K246" s="124" t="n">
        <f aca="false">IF(WEEKDAY(A246,3)&gt;4,0,(IF(A246&lt;K$2,0,IF(A246&lt;=K$3,1,0))))</f>
        <v>0</v>
      </c>
      <c r="L246" s="124" t="n">
        <f aca="false">J246*K246</f>
        <v>0</v>
      </c>
      <c r="M246" s="124" t="n">
        <f aca="false">SUM(J$188:J246)</f>
        <v>750036</v>
      </c>
      <c r="N246" s="124" t="n">
        <f aca="false">SUM(J$6:J246)</f>
        <v>932663</v>
      </c>
      <c r="P246" s="124" t="n">
        <f aca="false">D246/P$3</f>
        <v>-0.0921541868276043</v>
      </c>
      <c r="Q246" s="124" t="n">
        <f aca="false">E246/P$3</f>
        <v>0</v>
      </c>
      <c r="R246" s="124" t="n">
        <f aca="false">F246/R$3</f>
        <v>0</v>
      </c>
      <c r="S246" s="126" t="n">
        <f aca="false">J246/$R$3</f>
        <v>59.763</v>
      </c>
      <c r="T246" s="126" t="n">
        <f aca="false">L246/$R$3</f>
        <v>0</v>
      </c>
      <c r="U246" s="126" t="n">
        <f aca="false">I246/$R$3</f>
        <v>266.21</v>
      </c>
      <c r="V246" s="126" t="n">
        <f aca="false">M246/$R$3</f>
        <v>750.036</v>
      </c>
      <c r="W246" s="126" t="n">
        <f aca="false">N246/$R$3</f>
        <v>932.663</v>
      </c>
    </row>
    <row r="247" customFormat="false" ht="12.75" hidden="true" customHeight="false" outlineLevel="0" collapsed="false">
      <c r="A247" s="120" t="n">
        <f aca="false">A246+1</f>
        <v>37133</v>
      </c>
      <c r="B247" s="131" t="str">
        <f aca="false">INDEX('Master Data'!$A$2:$B$8,MATCH(WEEKDAY('Rio Cuarto Power Trading'!A247,3),'Master Data'!$A$2:$A$8,0),2)</f>
        <v>Th</v>
      </c>
      <c r="D247" s="124" t="n">
        <v>-91565.685681998</v>
      </c>
      <c r="E247" s="124" t="n">
        <v>0</v>
      </c>
      <c r="F247" s="124" t="n">
        <v>0</v>
      </c>
      <c r="G247" s="124" t="n">
        <v>267395</v>
      </c>
      <c r="I247" s="124" t="n">
        <f aca="false">IF(MONTH($A247)=MONTH($A246),IF(G247=0,I246,G247),G247)</f>
        <v>267395</v>
      </c>
      <c r="J247" s="124" t="n">
        <f aca="false">IF(MONTH($A247)=MONTH($A246),SUM(I247-I246),I247)</f>
        <v>1185</v>
      </c>
      <c r="K247" s="124" t="n">
        <f aca="false">IF(WEEKDAY(A247,3)&gt;4,0,(IF(A247&lt;K$2,0,IF(A247&lt;=K$3,1,0))))</f>
        <v>0</v>
      </c>
      <c r="L247" s="124" t="n">
        <f aca="false">J247*K247</f>
        <v>0</v>
      </c>
      <c r="M247" s="124" t="n">
        <f aca="false">SUM(J$188:J247)</f>
        <v>751221</v>
      </c>
      <c r="N247" s="124" t="n">
        <f aca="false">SUM(J$6:J247)</f>
        <v>933848</v>
      </c>
      <c r="P247" s="124" t="n">
        <f aca="false">D247/P$3</f>
        <v>-0.091565685681998</v>
      </c>
      <c r="Q247" s="124" t="n">
        <f aca="false">E247/P$3</f>
        <v>0</v>
      </c>
      <c r="R247" s="124" t="n">
        <f aca="false">F247/R$3</f>
        <v>0</v>
      </c>
      <c r="S247" s="126" t="n">
        <f aca="false">J247/$R$3</f>
        <v>1.185</v>
      </c>
      <c r="T247" s="126" t="n">
        <f aca="false">L247/$R$3</f>
        <v>0</v>
      </c>
      <c r="U247" s="126" t="n">
        <f aca="false">I247/$R$3</f>
        <v>267.395</v>
      </c>
      <c r="V247" s="126" t="n">
        <f aca="false">M247/$R$3</f>
        <v>751.221</v>
      </c>
      <c r="W247" s="126" t="n">
        <f aca="false">N247/$R$3</f>
        <v>933.848</v>
      </c>
    </row>
    <row r="248" customFormat="false" ht="12.75" hidden="false" customHeight="false" outlineLevel="0" collapsed="false">
      <c r="A248" s="120" t="n">
        <f aca="false">A247+1</f>
        <v>37134</v>
      </c>
      <c r="B248" s="131" t="str">
        <f aca="false">INDEX('Master Data'!$A$2:$B$8,MATCH(WEEKDAY('Rio Cuarto Power Trading'!A248,3),'Master Data'!$A$2:$A$8,0),2)</f>
        <v>F</v>
      </c>
      <c r="D248" s="124" t="n">
        <v>-90976.9529885088</v>
      </c>
      <c r="E248" s="124" t="n">
        <v>0</v>
      </c>
      <c r="F248" s="124" t="n">
        <v>0</v>
      </c>
      <c r="G248" s="124" t="n">
        <v>269973</v>
      </c>
      <c r="I248" s="124" t="n">
        <f aca="false">IF(MONTH($A248)=MONTH($A247),IF(G248=0,I247,G248),G248)</f>
        <v>269973</v>
      </c>
      <c r="J248" s="124" t="n">
        <f aca="false">IF(MONTH($A248)=MONTH($A247),SUM(I248-I247),I248)</f>
        <v>2578</v>
      </c>
      <c r="K248" s="124" t="n">
        <f aca="false">IF(WEEKDAY(A248,3)&gt;4,0,(IF(A248&lt;K$2,0,IF(A248&lt;=K$3,1,0))))</f>
        <v>0</v>
      </c>
      <c r="L248" s="124" t="n">
        <f aca="false">J248*K248</f>
        <v>0</v>
      </c>
      <c r="M248" s="124" t="n">
        <f aca="false">SUM(J$188:J248)</f>
        <v>753799</v>
      </c>
      <c r="N248" s="124" t="n">
        <f aca="false">SUM(J$6:J248)</f>
        <v>936426</v>
      </c>
      <c r="P248" s="124" t="n">
        <f aca="false">D248/P$3</f>
        <v>-0.0909769529885088</v>
      </c>
      <c r="Q248" s="124" t="n">
        <f aca="false">E248/P$3</f>
        <v>0</v>
      </c>
      <c r="R248" s="124" t="n">
        <f aca="false">F248/R$3</f>
        <v>0</v>
      </c>
      <c r="S248" s="126" t="n">
        <f aca="false">J248/$R$3</f>
        <v>2.578</v>
      </c>
      <c r="T248" s="126" t="n">
        <f aca="false">L248/$R$3</f>
        <v>0</v>
      </c>
      <c r="U248" s="126" t="n">
        <f aca="false">I248/$R$3</f>
        <v>269.973</v>
      </c>
      <c r="V248" s="126" t="n">
        <f aca="false">M248/$R$3</f>
        <v>753.799</v>
      </c>
      <c r="W248" s="126" t="n">
        <f aca="false">N248/$R$3</f>
        <v>936.426</v>
      </c>
    </row>
    <row r="249" customFormat="false" ht="12.75" hidden="true" customHeight="false" outlineLevel="0" collapsed="false">
      <c r="A249" s="120" t="n">
        <f aca="false">A248+1</f>
        <v>37135</v>
      </c>
      <c r="B249" s="131" t="str">
        <f aca="false">INDEX('Master Data'!$A$2:$B$8,MATCH(WEEKDAY('Rio Cuarto Power Trading'!A249,3),'Master Data'!$A$2:$A$8,0),2)</f>
        <v>Sa</v>
      </c>
      <c r="D249" s="124" t="n">
        <v>0</v>
      </c>
      <c r="E249" s="124" t="n">
        <v>0</v>
      </c>
      <c r="F249" s="124" t="n">
        <v>0</v>
      </c>
      <c r="G249" s="124" t="n">
        <v>0</v>
      </c>
      <c r="I249" s="124" t="n">
        <f aca="false">IF(MONTH($A249)=MONTH($A248),IF(G249=0,I248,G249),G249)</f>
        <v>0</v>
      </c>
      <c r="J249" s="124" t="n">
        <f aca="false">IF(MONTH($A249)=MONTH($A248),SUM(I249-I248),I249)</f>
        <v>0</v>
      </c>
      <c r="K249" s="124" t="n">
        <f aca="false">IF(WEEKDAY(A249,3)&gt;4,0,(IF(A249&lt;K$2,0,IF(A249&lt;=K$3,1,0))))</f>
        <v>0</v>
      </c>
      <c r="L249" s="124" t="n">
        <f aca="false">J249*K249</f>
        <v>0</v>
      </c>
      <c r="M249" s="124" t="n">
        <f aca="false">SUM(J$188:J249)</f>
        <v>753799</v>
      </c>
      <c r="N249" s="124" t="n">
        <f aca="false">SUM(J$6:J249)</f>
        <v>936426</v>
      </c>
      <c r="P249" s="124" t="n">
        <f aca="false">D249/P$3</f>
        <v>0</v>
      </c>
      <c r="Q249" s="124" t="n">
        <f aca="false">E249/P$3</f>
        <v>0</v>
      </c>
      <c r="R249" s="124" t="n">
        <f aca="false">F249/R$3</f>
        <v>0</v>
      </c>
      <c r="S249" s="126" t="n">
        <f aca="false">J249/$R$3</f>
        <v>0</v>
      </c>
      <c r="T249" s="126" t="n">
        <f aca="false">L249/$R$3</f>
        <v>0</v>
      </c>
      <c r="U249" s="126" t="n">
        <f aca="false">I249/$R$3</f>
        <v>0</v>
      </c>
      <c r="V249" s="126" t="n">
        <f aca="false">M249/$R$3</f>
        <v>753.799</v>
      </c>
      <c r="W249" s="126" t="n">
        <f aca="false">N249/$R$3</f>
        <v>936.426</v>
      </c>
    </row>
    <row r="250" customFormat="false" ht="12.75" hidden="true" customHeight="false" outlineLevel="0" collapsed="false">
      <c r="A250" s="120" t="n">
        <f aca="false">A249+1</f>
        <v>37136</v>
      </c>
      <c r="B250" s="131" t="str">
        <f aca="false">INDEX('Master Data'!$A$2:$B$8,MATCH(WEEKDAY('Rio Cuarto Power Trading'!A250,3),'Master Data'!$A$2:$A$8,0),2)</f>
        <v>Su</v>
      </c>
      <c r="D250" s="124" t="n">
        <v>0</v>
      </c>
      <c r="E250" s="124" t="n">
        <v>0</v>
      </c>
      <c r="F250" s="124" t="n">
        <v>0</v>
      </c>
      <c r="G250" s="124" t="n">
        <v>0</v>
      </c>
      <c r="I250" s="124" t="n">
        <f aca="false">IF(MONTH($A250)=MONTH($A249),IF(G250=0,I249,G250),G250)</f>
        <v>0</v>
      </c>
      <c r="J250" s="124" t="n">
        <f aca="false">IF(MONTH($A250)=MONTH($A249),SUM(I250-I249),I250)</f>
        <v>0</v>
      </c>
      <c r="K250" s="124" t="n">
        <f aca="false">IF(WEEKDAY(A250,3)&gt;4,0,(IF(A250&lt;K$2,0,IF(A250&lt;=K$3,1,0))))</f>
        <v>0</v>
      </c>
      <c r="L250" s="124" t="n">
        <f aca="false">J250*K250</f>
        <v>0</v>
      </c>
      <c r="M250" s="124" t="n">
        <f aca="false">SUM(J$188:J250)</f>
        <v>753799</v>
      </c>
      <c r="N250" s="124" t="n">
        <f aca="false">SUM(J$6:J250)</f>
        <v>936426</v>
      </c>
      <c r="P250" s="124" t="n">
        <f aca="false">D250/P$3</f>
        <v>0</v>
      </c>
      <c r="Q250" s="124" t="n">
        <f aca="false">E250/P$3</f>
        <v>0</v>
      </c>
      <c r="R250" s="124" t="n">
        <f aca="false">F250/R$3</f>
        <v>0</v>
      </c>
      <c r="S250" s="126" t="n">
        <f aca="false">J250/$R$3</f>
        <v>0</v>
      </c>
      <c r="T250" s="126" t="n">
        <f aca="false">L250/$R$3</f>
        <v>0</v>
      </c>
      <c r="U250" s="126" t="n">
        <f aca="false">I250/$R$3</f>
        <v>0</v>
      </c>
      <c r="V250" s="126" t="n">
        <f aca="false">M250/$R$3</f>
        <v>753.799</v>
      </c>
      <c r="W250" s="126" t="n">
        <f aca="false">N250/$R$3</f>
        <v>936.426</v>
      </c>
    </row>
    <row r="251" customFormat="false" ht="12.75" hidden="true" customHeight="false" outlineLevel="0" collapsed="false">
      <c r="A251" s="120" t="n">
        <f aca="false">A250+1</f>
        <v>37137</v>
      </c>
      <c r="B251" s="131" t="str">
        <f aca="false">INDEX('Master Data'!$A$2:$B$8,MATCH(WEEKDAY('Rio Cuarto Power Trading'!A251,3),'Master Data'!$A$2:$A$8,0),2)</f>
        <v>M</v>
      </c>
      <c r="D251" s="124" t="n">
        <v>0</v>
      </c>
      <c r="E251" s="124" t="n">
        <v>0</v>
      </c>
      <c r="F251" s="124" t="n">
        <v>0</v>
      </c>
      <c r="G251" s="124" t="n">
        <v>0</v>
      </c>
      <c r="I251" s="124" t="n">
        <f aca="false">IF(MONTH($A251)=MONTH($A250),IF(G251=0,I250,G251),G251)</f>
        <v>0</v>
      </c>
      <c r="J251" s="124" t="n">
        <f aca="false">IF(MONTH($A251)=MONTH($A250),SUM(I251-I250),I251)</f>
        <v>0</v>
      </c>
      <c r="K251" s="124" t="n">
        <f aca="false">IF(WEEKDAY(A251,3)&gt;4,0,(IF(A251&lt;K$2,0,IF(A251&lt;=K$3,1,0))))</f>
        <v>0</v>
      </c>
      <c r="L251" s="124" t="n">
        <f aca="false">J251*K251</f>
        <v>0</v>
      </c>
      <c r="M251" s="124" t="n">
        <f aca="false">SUM(J$188:J251)</f>
        <v>753799</v>
      </c>
      <c r="N251" s="124" t="n">
        <f aca="false">SUM(J$6:J251)</f>
        <v>936426</v>
      </c>
      <c r="P251" s="124" t="n">
        <f aca="false">D251/P$3</f>
        <v>0</v>
      </c>
      <c r="Q251" s="124" t="n">
        <f aca="false">E251/P$3</f>
        <v>0</v>
      </c>
      <c r="R251" s="124" t="n">
        <f aca="false">F251/R$3</f>
        <v>0</v>
      </c>
      <c r="S251" s="126" t="n">
        <f aca="false">J251/$R$3</f>
        <v>0</v>
      </c>
      <c r="T251" s="126" t="n">
        <f aca="false">L251/$R$3</f>
        <v>0</v>
      </c>
      <c r="U251" s="126" t="n">
        <f aca="false">I251/$R$3</f>
        <v>0</v>
      </c>
      <c r="V251" s="126" t="n">
        <f aca="false">M251/$R$3</f>
        <v>753.799</v>
      </c>
      <c r="W251" s="126" t="n">
        <f aca="false">N251/$R$3</f>
        <v>936.426</v>
      </c>
    </row>
    <row r="252" customFormat="false" ht="12.75" hidden="true" customHeight="false" outlineLevel="0" collapsed="false">
      <c r="A252" s="120" t="n">
        <f aca="false">A251+1</f>
        <v>37138</v>
      </c>
      <c r="B252" s="131" t="str">
        <f aca="false">INDEX('Master Data'!$A$2:$B$8,MATCH(WEEKDAY('Rio Cuarto Power Trading'!A252,3),'Master Data'!$A$2:$A$8,0),2)</f>
        <v>T</v>
      </c>
      <c r="D252" s="124" t="n">
        <v>-87752.3990053173</v>
      </c>
      <c r="E252" s="124" t="n">
        <v>0</v>
      </c>
      <c r="F252" s="124" t="n">
        <v>0</v>
      </c>
      <c r="G252" s="124" t="n">
        <v>-13398</v>
      </c>
      <c r="I252" s="124" t="n">
        <f aca="false">IF(MONTH($A252)=MONTH($A251),IF(G252=0,I251,G252),G252)</f>
        <v>-13398</v>
      </c>
      <c r="J252" s="124" t="n">
        <f aca="false">IF(MONTH($A252)=MONTH($A251),SUM(I252-I251),I252)</f>
        <v>-13398</v>
      </c>
      <c r="K252" s="124" t="n">
        <f aca="false">IF(WEEKDAY(A252,3)&gt;4,0,(IF(A252&lt;K$2,0,IF(A252&lt;=K$3,1,0))))</f>
        <v>0</v>
      </c>
      <c r="L252" s="124" t="n">
        <f aca="false">J252*K252</f>
        <v>-0</v>
      </c>
      <c r="M252" s="124" t="n">
        <f aca="false">SUM(J$188:J252)</f>
        <v>740401</v>
      </c>
      <c r="N252" s="124" t="n">
        <f aca="false">SUM(J$6:J252)</f>
        <v>923028</v>
      </c>
      <c r="P252" s="124" t="n">
        <f aca="false">D252/P$3</f>
        <v>-0.0877523990053173</v>
      </c>
      <c r="Q252" s="124" t="n">
        <f aca="false">E252/P$3</f>
        <v>0</v>
      </c>
      <c r="R252" s="124" t="n">
        <f aca="false">F252/R$3</f>
        <v>0</v>
      </c>
      <c r="S252" s="126" t="n">
        <f aca="false">J252/$R$3</f>
        <v>-13.398</v>
      </c>
      <c r="T252" s="126" t="n">
        <f aca="false">L252/$R$3</f>
        <v>-0</v>
      </c>
      <c r="U252" s="126" t="n">
        <f aca="false">I252/$R$3</f>
        <v>-13.398</v>
      </c>
      <c r="V252" s="126" t="n">
        <f aca="false">M252/$R$3</f>
        <v>740.401</v>
      </c>
      <c r="W252" s="126" t="n">
        <f aca="false">N252/$R$3</f>
        <v>923.028</v>
      </c>
    </row>
    <row r="253" customFormat="false" ht="12.75" hidden="true" customHeight="false" outlineLevel="0" collapsed="false">
      <c r="A253" s="120" t="n">
        <f aca="false">A252+1</f>
        <v>37139</v>
      </c>
      <c r="B253" s="131" t="str">
        <f aca="false">INDEX('Master Data'!$A$2:$B$8,MATCH(WEEKDAY('Rio Cuarto Power Trading'!A253,3),'Master Data'!$A$2:$A$8,0),2)</f>
        <v>W</v>
      </c>
      <c r="D253" s="124" t="n">
        <v>-87219.9883197269</v>
      </c>
      <c r="E253" s="124" t="n">
        <v>0</v>
      </c>
      <c r="F253" s="124" t="n">
        <v>0</v>
      </c>
      <c r="G253" s="124" t="n">
        <v>-11164</v>
      </c>
      <c r="I253" s="124" t="n">
        <f aca="false">IF(MONTH($A253)=MONTH($A252),IF(G253=0,I252,G253),G253)</f>
        <v>-11164</v>
      </c>
      <c r="J253" s="124" t="n">
        <f aca="false">IF(MONTH($A253)=MONTH($A252),SUM(I253-I252),I253)</f>
        <v>2234</v>
      </c>
      <c r="K253" s="124" t="n">
        <f aca="false">IF(WEEKDAY(A253,3)&gt;4,0,(IF(A253&lt;K$2,0,IF(A253&lt;=K$3,1,0))))</f>
        <v>0</v>
      </c>
      <c r="L253" s="124" t="n">
        <f aca="false">J253*K253</f>
        <v>0</v>
      </c>
      <c r="M253" s="124" t="n">
        <f aca="false">SUM(J$188:J253)</f>
        <v>742635</v>
      </c>
      <c r="N253" s="124" t="n">
        <f aca="false">SUM(J$6:J253)</f>
        <v>925262</v>
      </c>
      <c r="P253" s="124" t="n">
        <f aca="false">D253/P$3</f>
        <v>-0.0872199883197269</v>
      </c>
      <c r="Q253" s="124" t="n">
        <f aca="false">E253/P$3</f>
        <v>0</v>
      </c>
      <c r="R253" s="124" t="n">
        <f aca="false">F253/R$3</f>
        <v>0</v>
      </c>
      <c r="S253" s="126" t="n">
        <f aca="false">J253/$R$3</f>
        <v>2.234</v>
      </c>
      <c r="T253" s="126" t="n">
        <f aca="false">L253/$R$3</f>
        <v>0</v>
      </c>
      <c r="U253" s="126" t="n">
        <f aca="false">I253/$R$3</f>
        <v>-11.164</v>
      </c>
      <c r="V253" s="126" t="n">
        <f aca="false">M253/$R$3</f>
        <v>742.635</v>
      </c>
      <c r="W253" s="126" t="n">
        <f aca="false">N253/$R$3</f>
        <v>925.262</v>
      </c>
    </row>
    <row r="254" customFormat="false" ht="12.75" hidden="true" customHeight="false" outlineLevel="0" collapsed="false">
      <c r="A254" s="120" t="n">
        <f aca="false">A253+1</f>
        <v>37140</v>
      </c>
      <c r="B254" s="131" t="str">
        <f aca="false">INDEX('Master Data'!$A$2:$B$8,MATCH(WEEKDAY('Rio Cuarto Power Trading'!A254,3),'Master Data'!$A$2:$A$8,0),2)</f>
        <v>Th</v>
      </c>
      <c r="D254" s="124" t="n">
        <v>-86689.27</v>
      </c>
      <c r="E254" s="124" t="n">
        <v>0</v>
      </c>
      <c r="F254" s="124" t="n">
        <v>0</v>
      </c>
      <c r="G254" s="124" t="n">
        <v>-9495.23</v>
      </c>
      <c r="I254" s="124" t="n">
        <f aca="false">IF(MONTH($A254)=MONTH($A253),IF(G254=0,I253,G254),G254)</f>
        <v>-9495.23</v>
      </c>
      <c r="J254" s="124" t="n">
        <f aca="false">IF(MONTH($A254)=MONTH($A253),SUM(I254-I253),I254)</f>
        <v>1668.77</v>
      </c>
      <c r="K254" s="124" t="n">
        <f aca="false">IF(WEEKDAY(A254,3)&gt;4,0,(IF(A254&lt;K$2,0,IF(A254&lt;=K$3,1,0))))</f>
        <v>0</v>
      </c>
      <c r="L254" s="124" t="n">
        <f aca="false">J254*K254</f>
        <v>0</v>
      </c>
      <c r="M254" s="124" t="n">
        <f aca="false">SUM(J$188:J254)</f>
        <v>744303.77</v>
      </c>
      <c r="N254" s="124" t="n">
        <f aca="false">SUM(J$6:J254)</f>
        <v>926930.77</v>
      </c>
      <c r="P254" s="124" t="n">
        <f aca="false">D254/P$3</f>
        <v>-0.08668927</v>
      </c>
      <c r="Q254" s="124" t="n">
        <f aca="false">E254/P$3</f>
        <v>0</v>
      </c>
      <c r="R254" s="124" t="n">
        <f aca="false">F254/R$3</f>
        <v>0</v>
      </c>
      <c r="S254" s="126" t="n">
        <f aca="false">J254/$R$3</f>
        <v>1.66877</v>
      </c>
      <c r="T254" s="126" t="n">
        <f aca="false">L254/$R$3</f>
        <v>0</v>
      </c>
      <c r="U254" s="126" t="n">
        <f aca="false">I254/$R$3</f>
        <v>-9.49523</v>
      </c>
      <c r="V254" s="126" t="n">
        <f aca="false">M254/$R$3</f>
        <v>744.30377</v>
      </c>
      <c r="W254" s="126" t="n">
        <f aca="false">N254/$R$3</f>
        <v>926.93077</v>
      </c>
    </row>
    <row r="255" customFormat="false" ht="12.75" hidden="true" customHeight="false" outlineLevel="0" collapsed="false">
      <c r="A255" s="120" t="n">
        <f aca="false">A254+1</f>
        <v>37141</v>
      </c>
      <c r="B255" s="131" t="str">
        <f aca="false">INDEX('Master Data'!$A$2:$B$8,MATCH(WEEKDAY('Rio Cuarto Power Trading'!A255,3),'Master Data'!$A$2:$A$8,0),2)</f>
        <v>F</v>
      </c>
      <c r="D255" s="124" t="n">
        <v>-86160.3504144978</v>
      </c>
      <c r="E255" s="124" t="n">
        <v>0</v>
      </c>
      <c r="F255" s="124" t="n">
        <v>0</v>
      </c>
      <c r="G255" s="124" t="n">
        <v>-8372</v>
      </c>
      <c r="I255" s="124" t="n">
        <f aca="false">IF(MONTH($A255)=MONTH($A254),IF(G255=0,I254,G255),G255)</f>
        <v>-8372</v>
      </c>
      <c r="J255" s="124" t="n">
        <f aca="false">IF(MONTH($A255)=MONTH($A254),SUM(I255-I254),I255)</f>
        <v>1123.23</v>
      </c>
      <c r="K255" s="124" t="n">
        <f aca="false">IF(WEEKDAY(A255,3)&gt;4,0,(IF(A255&lt;K$2,0,IF(A255&lt;=K$3,1,0))))</f>
        <v>0</v>
      </c>
      <c r="L255" s="124" t="n">
        <f aca="false">J255*K255</f>
        <v>0</v>
      </c>
      <c r="M255" s="124" t="n">
        <f aca="false">SUM(J$188:J255)</f>
        <v>745427</v>
      </c>
      <c r="N255" s="124" t="n">
        <f aca="false">SUM(J$6:J255)</f>
        <v>928054</v>
      </c>
      <c r="P255" s="124" t="n">
        <f aca="false">D255/P$3</f>
        <v>-0.0861603504144978</v>
      </c>
      <c r="Q255" s="124" t="n">
        <f aca="false">E255/P$3</f>
        <v>0</v>
      </c>
      <c r="R255" s="124" t="n">
        <f aca="false">F255/R$3</f>
        <v>0</v>
      </c>
      <c r="S255" s="126" t="n">
        <f aca="false">J255/$R$3</f>
        <v>1.12323</v>
      </c>
      <c r="T255" s="126" t="n">
        <f aca="false">L255/$R$3</f>
        <v>0</v>
      </c>
      <c r="U255" s="126" t="n">
        <f aca="false">I255/$R$3</f>
        <v>-8.372</v>
      </c>
      <c r="V255" s="126" t="n">
        <f aca="false">M255/$R$3</f>
        <v>745.427</v>
      </c>
      <c r="W255" s="126" t="n">
        <f aca="false">N255/$R$3</f>
        <v>928.054</v>
      </c>
    </row>
    <row r="256" customFormat="false" ht="12.75" hidden="true" customHeight="false" outlineLevel="0" collapsed="false">
      <c r="A256" s="120" t="n">
        <f aca="false">A255+1</f>
        <v>37142</v>
      </c>
      <c r="B256" s="131" t="str">
        <f aca="false">INDEX('Master Data'!$A$2:$B$8,MATCH(WEEKDAY('Rio Cuarto Power Trading'!A256,3),'Master Data'!$A$2:$A$8,0),2)</f>
        <v>Sa</v>
      </c>
      <c r="D256" s="124" t="n">
        <v>0</v>
      </c>
      <c r="E256" s="124" t="n">
        <v>0</v>
      </c>
      <c r="F256" s="124" t="n">
        <v>0</v>
      </c>
      <c r="G256" s="124" t="n">
        <v>0</v>
      </c>
      <c r="I256" s="124" t="n">
        <f aca="false">IF(MONTH($A256)=MONTH($A255),IF(G256=0,I255,G256),G256)</f>
        <v>-8372</v>
      </c>
      <c r="J256" s="124" t="n">
        <f aca="false">IF(MONTH($A256)=MONTH($A255),SUM(I256-I255),I256)</f>
        <v>0</v>
      </c>
      <c r="K256" s="124" t="n">
        <f aca="false">IF(WEEKDAY(A256,3)&gt;4,0,(IF(A256&lt;K$2,0,IF(A256&lt;=K$3,1,0))))</f>
        <v>0</v>
      </c>
      <c r="L256" s="124" t="n">
        <f aca="false">J256*K256</f>
        <v>0</v>
      </c>
      <c r="M256" s="124" t="n">
        <f aca="false">SUM(J$188:J256)</f>
        <v>745427</v>
      </c>
      <c r="N256" s="124" t="n">
        <f aca="false">SUM(J$6:J256)</f>
        <v>928054</v>
      </c>
      <c r="P256" s="124" t="n">
        <f aca="false">D256/P$3</f>
        <v>0</v>
      </c>
      <c r="Q256" s="124" t="n">
        <f aca="false">E256/P$3</f>
        <v>0</v>
      </c>
      <c r="R256" s="124" t="n">
        <f aca="false">F256/R$3</f>
        <v>0</v>
      </c>
      <c r="S256" s="126" t="n">
        <f aca="false">J256/$R$3</f>
        <v>0</v>
      </c>
      <c r="T256" s="126" t="n">
        <f aca="false">L256/$R$3</f>
        <v>0</v>
      </c>
      <c r="U256" s="126" t="n">
        <f aca="false">I256/$R$3</f>
        <v>-8.372</v>
      </c>
      <c r="V256" s="126" t="n">
        <f aca="false">M256/$R$3</f>
        <v>745.427</v>
      </c>
      <c r="W256" s="126" t="n">
        <f aca="false">N256/$R$3</f>
        <v>928.054</v>
      </c>
    </row>
    <row r="257" customFormat="false" ht="12.75" hidden="true" customHeight="false" outlineLevel="0" collapsed="false">
      <c r="A257" s="120" t="n">
        <f aca="false">A256+1</f>
        <v>37143</v>
      </c>
      <c r="B257" s="131" t="str">
        <f aca="false">INDEX('Master Data'!$A$2:$B$8,MATCH(WEEKDAY('Rio Cuarto Power Trading'!A257,3),'Master Data'!$A$2:$A$8,0),2)</f>
        <v>Su</v>
      </c>
      <c r="D257" s="124" t="n">
        <v>0</v>
      </c>
      <c r="E257" s="124" t="n">
        <v>0</v>
      </c>
      <c r="F257" s="124" t="n">
        <v>0</v>
      </c>
      <c r="G257" s="124" t="n">
        <v>0</v>
      </c>
      <c r="I257" s="124" t="n">
        <f aca="false">IF(MONTH($A257)=MONTH($A256),IF(G257=0,I256,G257),G257)</f>
        <v>-8372</v>
      </c>
      <c r="J257" s="124" t="n">
        <f aca="false">IF(MONTH($A257)=MONTH($A256),SUM(I257-I256),I257)</f>
        <v>0</v>
      </c>
      <c r="K257" s="124" t="n">
        <f aca="false">IF(WEEKDAY(A257,3)&gt;4,0,(IF(A257&lt;K$2,0,IF(A257&lt;=K$3,1,0))))</f>
        <v>0</v>
      </c>
      <c r="L257" s="124" t="n">
        <f aca="false">J257*K257</f>
        <v>0</v>
      </c>
      <c r="M257" s="124" t="n">
        <f aca="false">SUM(J$188:J257)</f>
        <v>745427</v>
      </c>
      <c r="N257" s="124" t="n">
        <f aca="false">SUM(J$6:J257)</f>
        <v>928054</v>
      </c>
      <c r="P257" s="124" t="n">
        <f aca="false">D257/P$3</f>
        <v>0</v>
      </c>
      <c r="Q257" s="124" t="n">
        <f aca="false">E257/P$3</f>
        <v>0</v>
      </c>
      <c r="R257" s="124" t="n">
        <f aca="false">F257/R$3</f>
        <v>0</v>
      </c>
      <c r="S257" s="126" t="n">
        <f aca="false">J257/$R$3</f>
        <v>0</v>
      </c>
      <c r="T257" s="126" t="n">
        <f aca="false">L257/$R$3</f>
        <v>0</v>
      </c>
      <c r="U257" s="126" t="n">
        <f aca="false">I257/$R$3</f>
        <v>-8.372</v>
      </c>
      <c r="V257" s="126" t="n">
        <f aca="false">M257/$R$3</f>
        <v>745.427</v>
      </c>
      <c r="W257" s="126" t="n">
        <f aca="false">N257/$R$3</f>
        <v>928.054</v>
      </c>
    </row>
    <row r="258" customFormat="false" ht="12.75" hidden="true" customHeight="false" outlineLevel="0" collapsed="false">
      <c r="A258" s="120" t="n">
        <f aca="false">A257+1</f>
        <v>37144</v>
      </c>
      <c r="B258" s="131" t="str">
        <f aca="false">INDEX('Master Data'!$A$2:$B$8,MATCH(WEEKDAY('Rio Cuarto Power Trading'!A258,3),'Master Data'!$A$2:$A$8,0),2)</f>
        <v>M</v>
      </c>
      <c r="D258" s="124" t="n">
        <v>-84561.6452616644</v>
      </c>
      <c r="E258" s="124" t="n">
        <v>0</v>
      </c>
      <c r="F258" s="124" t="n">
        <v>0</v>
      </c>
      <c r="G258" s="124" t="n">
        <v>-4502</v>
      </c>
      <c r="I258" s="124" t="n">
        <f aca="false">IF(MONTH($A258)=MONTH($A257),IF(G258=0,I257,G258),G258)</f>
        <v>-4502</v>
      </c>
      <c r="J258" s="124" t="n">
        <f aca="false">IF(MONTH($A258)=MONTH($A257),SUM(I258-I257),I258)</f>
        <v>3870</v>
      </c>
      <c r="K258" s="124" t="n">
        <f aca="false">IF(WEEKDAY(A258,3)&gt;4,0,(IF(A258&lt;K$2,0,IF(A258&lt;=K$3,1,0))))</f>
        <v>0</v>
      </c>
      <c r="L258" s="124" t="n">
        <f aca="false">J258*K258</f>
        <v>0</v>
      </c>
      <c r="M258" s="124" t="n">
        <f aca="false">SUM(J$188:J258)</f>
        <v>749297</v>
      </c>
      <c r="N258" s="124" t="n">
        <f aca="false">SUM(J$6:J258)</f>
        <v>931924</v>
      </c>
      <c r="P258" s="124" t="n">
        <f aca="false">D258/P$3</f>
        <v>-0.0845616452616644</v>
      </c>
      <c r="Q258" s="124" t="n">
        <f aca="false">E258/P$3</f>
        <v>0</v>
      </c>
      <c r="R258" s="124" t="n">
        <f aca="false">F258/R$3</f>
        <v>0</v>
      </c>
      <c r="S258" s="126" t="n">
        <f aca="false">J258/$R$3</f>
        <v>3.87</v>
      </c>
      <c r="T258" s="126" t="n">
        <f aca="false">L258/$R$3</f>
        <v>0</v>
      </c>
      <c r="U258" s="126" t="n">
        <f aca="false">I258/$R$3</f>
        <v>-4.502</v>
      </c>
      <c r="V258" s="126" t="n">
        <f aca="false">M258/$R$3</f>
        <v>749.297</v>
      </c>
      <c r="W258" s="126" t="n">
        <f aca="false">N258/$R$3</f>
        <v>931.924</v>
      </c>
    </row>
    <row r="259" customFormat="false" ht="12.75" hidden="true" customHeight="false" outlineLevel="0" collapsed="false">
      <c r="A259" s="120" t="n">
        <f aca="false">A258+1</f>
        <v>37145</v>
      </c>
      <c r="B259" s="131" t="str">
        <f aca="false">INDEX('Master Data'!$A$2:$B$8,MATCH(WEEKDAY('Rio Cuarto Power Trading'!A259,3),'Master Data'!$A$2:$A$8,0),2)</f>
        <v>T</v>
      </c>
      <c r="D259" s="124" t="n">
        <v>0</v>
      </c>
      <c r="E259" s="124" t="n">
        <v>0</v>
      </c>
      <c r="F259" s="124" t="n">
        <v>0</v>
      </c>
      <c r="G259" s="124" t="n">
        <v>0</v>
      </c>
      <c r="I259" s="124" t="n">
        <f aca="false">IF(MONTH($A259)=MONTH($A258),IF(G259=0,I258,G259),G259)</f>
        <v>-4502</v>
      </c>
      <c r="J259" s="124" t="n">
        <f aca="false">IF(MONTH($A259)=MONTH($A258),SUM(I259-I258),I259)</f>
        <v>0</v>
      </c>
      <c r="K259" s="124" t="n">
        <f aca="false">IF(WEEKDAY(A259,3)&gt;4,0,(IF(A259&lt;K$2,0,IF(A259&lt;=K$3,1,0))))</f>
        <v>0</v>
      </c>
      <c r="L259" s="124" t="n">
        <f aca="false">J259*K259</f>
        <v>0</v>
      </c>
      <c r="M259" s="124" t="n">
        <f aca="false">SUM(J$188:J259)</f>
        <v>749297</v>
      </c>
      <c r="N259" s="124" t="n">
        <f aca="false">SUM(J$6:J259)</f>
        <v>931924</v>
      </c>
      <c r="P259" s="124" t="n">
        <f aca="false">D259/P$3</f>
        <v>0</v>
      </c>
      <c r="Q259" s="124" t="n">
        <f aca="false">E259/P$3</f>
        <v>0</v>
      </c>
      <c r="R259" s="124" t="n">
        <f aca="false">F259/R$3</f>
        <v>0</v>
      </c>
      <c r="S259" s="126" t="n">
        <f aca="false">J259/$R$3</f>
        <v>0</v>
      </c>
      <c r="T259" s="126" t="n">
        <f aca="false">L259/$R$3</f>
        <v>0</v>
      </c>
      <c r="U259" s="126" t="n">
        <f aca="false">I259/$R$3</f>
        <v>-4.502</v>
      </c>
      <c r="V259" s="126" t="n">
        <f aca="false">M259/$R$3</f>
        <v>749.297</v>
      </c>
      <c r="W259" s="126" t="n">
        <f aca="false">N259/$R$3</f>
        <v>931.924</v>
      </c>
    </row>
    <row r="260" customFormat="false" ht="12.75" hidden="true" customHeight="false" outlineLevel="0" collapsed="false">
      <c r="A260" s="120" t="n">
        <f aca="false">A259+1</f>
        <v>37146</v>
      </c>
      <c r="B260" s="131" t="str">
        <f aca="false">INDEX('Master Data'!$A$2:$B$8,MATCH(WEEKDAY('Rio Cuarto Power Trading'!A260,3),'Master Data'!$A$2:$A$8,0),2)</f>
        <v>W</v>
      </c>
      <c r="D260" s="124" t="n">
        <v>-83497.58</v>
      </c>
      <c r="E260" s="124" t="n">
        <v>0</v>
      </c>
      <c r="F260" s="124" t="n">
        <v>0</v>
      </c>
      <c r="G260" s="124" t="n">
        <v>-151.9</v>
      </c>
      <c r="I260" s="124" t="n">
        <f aca="false">IF(MONTH($A260)=MONTH($A259),IF(G260=0,I259,G260),G260)</f>
        <v>-151.9</v>
      </c>
      <c r="J260" s="124" t="n">
        <f aca="false">IF(MONTH($A260)=MONTH($A259),SUM(I260-I259),I260)</f>
        <v>4350.1</v>
      </c>
      <c r="K260" s="124" t="n">
        <f aca="false">IF(WEEKDAY(A260,3)&gt;4,0,(IF(A260&lt;K$2,0,IF(A260&lt;=K$3,1,0))))</f>
        <v>0</v>
      </c>
      <c r="L260" s="124" t="n">
        <f aca="false">J260*K260</f>
        <v>0</v>
      </c>
      <c r="M260" s="124" t="n">
        <f aca="false">SUM(J$188:J260)</f>
        <v>753647.1</v>
      </c>
      <c r="N260" s="124" t="n">
        <f aca="false">SUM(J$6:J260)</f>
        <v>936274.1</v>
      </c>
      <c r="P260" s="124" t="n">
        <f aca="false">D260/P$3</f>
        <v>-0.08349758</v>
      </c>
      <c r="Q260" s="124" t="n">
        <f aca="false">E260/P$3</f>
        <v>0</v>
      </c>
      <c r="R260" s="124" t="n">
        <f aca="false">F260/R$3</f>
        <v>0</v>
      </c>
      <c r="S260" s="126" t="n">
        <f aca="false">J260/$R$3</f>
        <v>4.3501</v>
      </c>
      <c r="T260" s="126" t="n">
        <f aca="false">L260/$R$3</f>
        <v>0</v>
      </c>
      <c r="U260" s="126" t="n">
        <f aca="false">I260/$R$3</f>
        <v>-0.1519</v>
      </c>
      <c r="V260" s="126" t="n">
        <f aca="false">M260/$R$3</f>
        <v>753.6471</v>
      </c>
      <c r="W260" s="126" t="n">
        <f aca="false">N260/$R$3</f>
        <v>936.2741</v>
      </c>
    </row>
    <row r="261" customFormat="false" ht="12.75" hidden="true" customHeight="false" outlineLevel="0" collapsed="false">
      <c r="A261" s="120" t="n">
        <f aca="false">A260+1</f>
        <v>37147</v>
      </c>
      <c r="B261" s="131" t="str">
        <f aca="false">INDEX('Master Data'!$A$2:$B$8,MATCH(WEEKDAY('Rio Cuarto Power Trading'!A261,3),'Master Data'!$A$2:$A$8,0),2)</f>
        <v>Th</v>
      </c>
      <c r="D261" s="124" t="n">
        <v>-82951.0353112078</v>
      </c>
      <c r="E261" s="124" t="n">
        <v>0</v>
      </c>
      <c r="F261" s="124" t="n">
        <v>0</v>
      </c>
      <c r="G261" s="124" t="n">
        <v>242</v>
      </c>
      <c r="I261" s="124" t="n">
        <f aca="false">IF(MONTH($A261)=MONTH($A260),IF(G261=0,I260,G261),G261)</f>
        <v>242</v>
      </c>
      <c r="J261" s="124" t="n">
        <f aca="false">IF(MONTH($A261)=MONTH($A260),SUM(I261-I260),I261)</f>
        <v>393.9</v>
      </c>
      <c r="K261" s="124" t="n">
        <f aca="false">IF(WEEKDAY(A261,3)&gt;4,0,(IF(A261&lt;K$2,0,IF(A261&lt;=K$3,1,0))))</f>
        <v>0</v>
      </c>
      <c r="L261" s="124" t="n">
        <f aca="false">J261*K261</f>
        <v>0</v>
      </c>
      <c r="M261" s="124" t="n">
        <f aca="false">SUM(J$188:J261)</f>
        <v>754041</v>
      </c>
      <c r="N261" s="124" t="n">
        <f aca="false">SUM(J$6:J261)</f>
        <v>936668</v>
      </c>
      <c r="P261" s="124" t="n">
        <f aca="false">D261/P$3</f>
        <v>-0.0829510353112078</v>
      </c>
      <c r="Q261" s="124" t="n">
        <f aca="false">E261/P$3</f>
        <v>0</v>
      </c>
      <c r="R261" s="124" t="n">
        <f aca="false">F261/R$3</f>
        <v>0</v>
      </c>
      <c r="S261" s="126" t="n">
        <f aca="false">J261/$R$3</f>
        <v>0.3939</v>
      </c>
      <c r="T261" s="126" t="n">
        <f aca="false">L261/$R$3</f>
        <v>0</v>
      </c>
      <c r="U261" s="126" t="n">
        <f aca="false">I261/$R$3</f>
        <v>0.242</v>
      </c>
      <c r="V261" s="126" t="n">
        <f aca="false">M261/$R$3</f>
        <v>754.041</v>
      </c>
      <c r="W261" s="126" t="n">
        <f aca="false">N261/$R$3</f>
        <v>936.668</v>
      </c>
    </row>
    <row r="262" customFormat="false" ht="12.75" hidden="true" customHeight="false" outlineLevel="0" collapsed="false">
      <c r="A262" s="120" t="n">
        <f aca="false">A261+1</f>
        <v>37148</v>
      </c>
      <c r="B262" s="131" t="str">
        <f aca="false">INDEX('Master Data'!$A$2:$B$8,MATCH(WEEKDAY('Rio Cuarto Power Trading'!A262,3),'Master Data'!$A$2:$A$8,0),2)</f>
        <v>F</v>
      </c>
      <c r="D262" s="124" t="n">
        <v>-82421.4571211758</v>
      </c>
      <c r="E262" s="124" t="n">
        <v>0</v>
      </c>
      <c r="F262" s="124" t="n">
        <v>0</v>
      </c>
      <c r="G262" s="124" t="n">
        <v>8492</v>
      </c>
      <c r="I262" s="124" t="n">
        <f aca="false">IF(MONTH($A262)=MONTH($A261),IF(G262=0,I261,G262),G262)</f>
        <v>8492</v>
      </c>
      <c r="J262" s="124" t="n">
        <f aca="false">IF(MONTH($A262)=MONTH($A261),SUM(I262-I261),I262)</f>
        <v>8250</v>
      </c>
      <c r="K262" s="124" t="n">
        <f aca="false">IF(WEEKDAY(A262,3)&gt;4,0,(IF(A262&lt;K$2,0,IF(A262&lt;=K$3,1,0))))</f>
        <v>0</v>
      </c>
      <c r="L262" s="124" t="n">
        <f aca="false">J262*K262</f>
        <v>0</v>
      </c>
      <c r="M262" s="124" t="n">
        <f aca="false">SUM(J$188:J262)</f>
        <v>762291</v>
      </c>
      <c r="N262" s="124" t="n">
        <f aca="false">SUM(J$6:J262)</f>
        <v>944918</v>
      </c>
      <c r="P262" s="124" t="n">
        <f aca="false">D262/P$3</f>
        <v>-0.0824214571211758</v>
      </c>
      <c r="Q262" s="124" t="n">
        <f aca="false">E262/P$3</f>
        <v>0</v>
      </c>
      <c r="R262" s="124" t="n">
        <f aca="false">F262/R$3</f>
        <v>0</v>
      </c>
      <c r="S262" s="126" t="n">
        <f aca="false">J262/$R$3</f>
        <v>8.25</v>
      </c>
      <c r="T262" s="126" t="n">
        <f aca="false">L262/$R$3</f>
        <v>0</v>
      </c>
      <c r="U262" s="126" t="n">
        <f aca="false">I262/$R$3</f>
        <v>8.492</v>
      </c>
      <c r="V262" s="126" t="n">
        <f aca="false">M262/$R$3</f>
        <v>762.291</v>
      </c>
      <c r="W262" s="126" t="n">
        <f aca="false">N262/$R$3</f>
        <v>944.918</v>
      </c>
    </row>
    <row r="263" customFormat="false" ht="12.75" hidden="true" customHeight="false" outlineLevel="0" collapsed="false">
      <c r="A263" s="120" t="n">
        <f aca="false">A262+1</f>
        <v>37149</v>
      </c>
      <c r="B263" s="131" t="str">
        <f aca="false">INDEX('Master Data'!$A$2:$B$8,MATCH(WEEKDAY('Rio Cuarto Power Trading'!A263,3),'Master Data'!$A$2:$A$8,0),2)</f>
        <v>Sa</v>
      </c>
      <c r="D263" s="124" t="n">
        <v>0</v>
      </c>
      <c r="E263" s="124" t="n">
        <v>0</v>
      </c>
      <c r="F263" s="124" t="n">
        <v>0</v>
      </c>
      <c r="G263" s="124" t="n">
        <v>0</v>
      </c>
      <c r="I263" s="124" t="n">
        <f aca="false">IF(MONTH($A263)=MONTH($A262),IF(G263=0,I262,G263),G263)</f>
        <v>8492</v>
      </c>
      <c r="J263" s="124" t="n">
        <f aca="false">IF(MONTH($A263)=MONTH($A262),SUM(I263-I262),I263)</f>
        <v>0</v>
      </c>
      <c r="K263" s="124" t="n">
        <f aca="false">IF(WEEKDAY(A263,3)&gt;4,0,(IF(A263&lt;K$2,0,IF(A263&lt;=K$3,1,0))))</f>
        <v>0</v>
      </c>
      <c r="L263" s="124" t="n">
        <f aca="false">J263*K263</f>
        <v>0</v>
      </c>
      <c r="M263" s="124" t="n">
        <f aca="false">SUM(J$188:J263)</f>
        <v>762291</v>
      </c>
      <c r="N263" s="124" t="n">
        <f aca="false">SUM(J$6:J263)</f>
        <v>944918</v>
      </c>
      <c r="P263" s="124" t="n">
        <f aca="false">D263/P$3</f>
        <v>0</v>
      </c>
      <c r="Q263" s="124" t="n">
        <f aca="false">E263/P$3</f>
        <v>0</v>
      </c>
      <c r="R263" s="124" t="n">
        <f aca="false">F263/R$3</f>
        <v>0</v>
      </c>
      <c r="S263" s="126" t="n">
        <f aca="false">J263/$R$3</f>
        <v>0</v>
      </c>
      <c r="T263" s="126" t="n">
        <f aca="false">L263/$R$3</f>
        <v>0</v>
      </c>
      <c r="U263" s="126" t="n">
        <f aca="false">I263/$R$3</f>
        <v>8.492</v>
      </c>
      <c r="V263" s="126" t="n">
        <f aca="false">M263/$R$3</f>
        <v>762.291</v>
      </c>
      <c r="W263" s="126" t="n">
        <f aca="false">N263/$R$3</f>
        <v>944.918</v>
      </c>
    </row>
    <row r="264" customFormat="false" ht="12.75" hidden="true" customHeight="false" outlineLevel="0" collapsed="false">
      <c r="A264" s="120" t="n">
        <f aca="false">A263+1</f>
        <v>37150</v>
      </c>
      <c r="B264" s="131" t="str">
        <f aca="false">INDEX('Master Data'!$A$2:$B$8,MATCH(WEEKDAY('Rio Cuarto Power Trading'!A264,3),'Master Data'!$A$2:$A$8,0),2)</f>
        <v>Su</v>
      </c>
      <c r="D264" s="124" t="n">
        <v>0</v>
      </c>
      <c r="E264" s="124" t="n">
        <v>0</v>
      </c>
      <c r="F264" s="124" t="n">
        <v>0</v>
      </c>
      <c r="G264" s="124" t="n">
        <v>0</v>
      </c>
      <c r="I264" s="124" t="n">
        <f aca="false">IF(MONTH($A264)=MONTH($A263),IF(G264=0,I263,G264),G264)</f>
        <v>8492</v>
      </c>
      <c r="J264" s="124" t="n">
        <f aca="false">IF(MONTH($A264)=MONTH($A263),SUM(I264-I263),I264)</f>
        <v>0</v>
      </c>
      <c r="K264" s="124" t="n">
        <f aca="false">IF(WEEKDAY(A264,3)&gt;4,0,(IF(A264&lt;K$2,0,IF(A264&lt;=K$3,1,0))))</f>
        <v>0</v>
      </c>
      <c r="L264" s="124" t="n">
        <f aca="false">J264*K264</f>
        <v>0</v>
      </c>
      <c r="M264" s="124" t="n">
        <f aca="false">SUM(J$188:J264)</f>
        <v>762291</v>
      </c>
      <c r="N264" s="124" t="n">
        <f aca="false">SUM(J$6:J264)</f>
        <v>944918</v>
      </c>
      <c r="P264" s="124" t="n">
        <f aca="false">D264/P$3</f>
        <v>0</v>
      </c>
      <c r="Q264" s="124" t="n">
        <f aca="false">E264/P$3</f>
        <v>0</v>
      </c>
      <c r="R264" s="124" t="n">
        <f aca="false">F264/R$3</f>
        <v>0</v>
      </c>
      <c r="S264" s="126" t="n">
        <f aca="false">J264/$R$3</f>
        <v>0</v>
      </c>
      <c r="T264" s="126" t="n">
        <f aca="false">L264/$R$3</f>
        <v>0</v>
      </c>
      <c r="U264" s="126" t="n">
        <f aca="false">I264/$R$3</f>
        <v>8.492</v>
      </c>
      <c r="V264" s="126" t="n">
        <f aca="false">M264/$R$3</f>
        <v>762.291</v>
      </c>
      <c r="W264" s="126" t="n">
        <f aca="false">N264/$R$3</f>
        <v>944.918</v>
      </c>
    </row>
    <row r="265" customFormat="false" ht="12.75" hidden="true" customHeight="false" outlineLevel="0" collapsed="false">
      <c r="A265" s="120" t="n">
        <f aca="false">A264+1</f>
        <v>37151</v>
      </c>
      <c r="B265" s="131" t="str">
        <f aca="false">INDEX('Master Data'!$A$2:$B$8,MATCH(WEEKDAY('Rio Cuarto Power Trading'!A265,3),'Master Data'!$A$2:$A$8,0),2)</f>
        <v>M</v>
      </c>
      <c r="D265" s="124" t="n">
        <v>-80756.4351534229</v>
      </c>
      <c r="E265" s="124" t="n">
        <v>0</v>
      </c>
      <c r="F265" s="124" t="n">
        <v>0</v>
      </c>
      <c r="G265" s="124" t="n">
        <v>10626</v>
      </c>
      <c r="I265" s="124" t="n">
        <f aca="false">IF(MONTH($A265)=MONTH($A264),IF(G265=0,I264,G265),G265)</f>
        <v>10626</v>
      </c>
      <c r="J265" s="124" t="n">
        <f aca="false">IF(MONTH($A265)=MONTH($A264),SUM(I265-I264),I265)</f>
        <v>2134</v>
      </c>
      <c r="K265" s="124" t="n">
        <f aca="false">IF(WEEKDAY(A265,3)&gt;4,0,(IF(A265&lt;K$2,0,IF(A265&lt;=K$3,1,0))))</f>
        <v>0</v>
      </c>
      <c r="L265" s="124" t="n">
        <f aca="false">J265*K265</f>
        <v>0</v>
      </c>
      <c r="M265" s="124" t="n">
        <f aca="false">SUM(J$188:J265)</f>
        <v>764425</v>
      </c>
      <c r="N265" s="124" t="n">
        <f aca="false">SUM(J$6:J265)</f>
        <v>947052</v>
      </c>
      <c r="P265" s="124" t="n">
        <f aca="false">D265/P$3</f>
        <v>-0.0807564351534229</v>
      </c>
      <c r="Q265" s="124" t="n">
        <f aca="false">E265/P$3</f>
        <v>0</v>
      </c>
      <c r="R265" s="124" t="n">
        <f aca="false">F265/R$3</f>
        <v>0</v>
      </c>
      <c r="S265" s="126" t="n">
        <f aca="false">J265/$R$3</f>
        <v>2.134</v>
      </c>
      <c r="T265" s="126" t="n">
        <f aca="false">L265/$R$3</f>
        <v>0</v>
      </c>
      <c r="U265" s="126" t="n">
        <f aca="false">I265/$R$3</f>
        <v>10.626</v>
      </c>
      <c r="V265" s="126" t="n">
        <f aca="false">M265/$R$3</f>
        <v>764.425</v>
      </c>
      <c r="W265" s="126" t="n">
        <f aca="false">N265/$R$3</f>
        <v>947.052</v>
      </c>
    </row>
    <row r="266" customFormat="false" ht="12.75" hidden="true" customHeight="false" outlineLevel="0" collapsed="false">
      <c r="A266" s="120" t="n">
        <f aca="false">A265+1</f>
        <v>37152</v>
      </c>
      <c r="B266" s="131" t="str">
        <f aca="false">INDEX('Master Data'!$A$2:$B$8,MATCH(WEEKDAY('Rio Cuarto Power Trading'!A266,3),'Master Data'!$A$2:$A$8,0),2)</f>
        <v>T</v>
      </c>
      <c r="D266" s="124" t="n">
        <v>-80205.0071889036</v>
      </c>
      <c r="E266" s="124" t="n">
        <v>0</v>
      </c>
      <c r="F266" s="124" t="n">
        <v>0</v>
      </c>
      <c r="G266" s="124" t="n">
        <v>10193</v>
      </c>
      <c r="I266" s="124" t="n">
        <f aca="false">IF(MONTH($A266)=MONTH($A265),IF(G266=0,I265,G266),G266)</f>
        <v>10193</v>
      </c>
      <c r="J266" s="124" t="n">
        <f aca="false">IF(MONTH($A266)=MONTH($A265),SUM(I266-I265),I266)</f>
        <v>-433</v>
      </c>
      <c r="K266" s="124" t="n">
        <f aca="false">IF(WEEKDAY(A266,3)&gt;4,0,(IF(A266&lt;K$2,0,IF(A266&lt;=K$3,1,0))))</f>
        <v>0</v>
      </c>
      <c r="L266" s="124" t="n">
        <f aca="false">J266*K266</f>
        <v>-0</v>
      </c>
      <c r="M266" s="124" t="n">
        <f aca="false">SUM(J$188:J266)</f>
        <v>763992</v>
      </c>
      <c r="N266" s="124" t="n">
        <f aca="false">SUM(J$6:J266)</f>
        <v>946619</v>
      </c>
      <c r="P266" s="124" t="n">
        <f aca="false">D266/P$3</f>
        <v>-0.0802050071889036</v>
      </c>
      <c r="Q266" s="124" t="n">
        <f aca="false">E266/P$3</f>
        <v>0</v>
      </c>
      <c r="R266" s="124" t="n">
        <f aca="false">F266/R$3</f>
        <v>0</v>
      </c>
      <c r="S266" s="126" t="n">
        <f aca="false">J266/$R$3</f>
        <v>-0.433</v>
      </c>
      <c r="T266" s="126" t="n">
        <f aca="false">L266/$R$3</f>
        <v>-0</v>
      </c>
      <c r="U266" s="126" t="n">
        <f aca="false">I266/$R$3</f>
        <v>10.193</v>
      </c>
      <c r="V266" s="126" t="n">
        <f aca="false">M266/$R$3</f>
        <v>763.992</v>
      </c>
      <c r="W266" s="126" t="n">
        <f aca="false">N266/$R$3</f>
        <v>946.619</v>
      </c>
    </row>
    <row r="267" customFormat="false" ht="12.75" hidden="true" customHeight="false" outlineLevel="0" collapsed="false">
      <c r="A267" s="120" t="n">
        <f aca="false">A266+1</f>
        <v>37153</v>
      </c>
      <c r="B267" s="131" t="str">
        <f aca="false">INDEX('Master Data'!$A$2:$B$8,MATCH(WEEKDAY('Rio Cuarto Power Trading'!A267,3),'Master Data'!$A$2:$A$8,0),2)</f>
        <v>W</v>
      </c>
      <c r="D267" s="124" t="n">
        <v>-79665.4279228925</v>
      </c>
      <c r="E267" s="124" t="n">
        <v>0</v>
      </c>
      <c r="F267" s="124" t="n">
        <v>0</v>
      </c>
      <c r="G267" s="124" t="n">
        <v>11151</v>
      </c>
      <c r="I267" s="124" t="n">
        <f aca="false">IF(MONTH($A267)=MONTH($A266),IF(G267=0,I266,G267),G267)</f>
        <v>11151</v>
      </c>
      <c r="J267" s="124" t="n">
        <f aca="false">IF(MONTH($A267)=MONTH($A266),SUM(I267-I266),I267)</f>
        <v>958</v>
      </c>
      <c r="K267" s="124" t="n">
        <f aca="false">IF(WEEKDAY(A267,3)&gt;4,0,(IF(A267&lt;K$2,0,IF(A267&lt;=K$3,1,0))))</f>
        <v>0</v>
      </c>
      <c r="L267" s="124" t="n">
        <f aca="false">J267*K267</f>
        <v>0</v>
      </c>
      <c r="M267" s="124" t="n">
        <f aca="false">SUM(J$188:J267)</f>
        <v>764950</v>
      </c>
      <c r="N267" s="124" t="n">
        <f aca="false">SUM(J$6:J267)</f>
        <v>947577</v>
      </c>
      <c r="P267" s="124" t="n">
        <f aca="false">D267/P$3</f>
        <v>-0.0796654279228925</v>
      </c>
      <c r="Q267" s="124" t="n">
        <f aca="false">E267/P$3</f>
        <v>0</v>
      </c>
      <c r="R267" s="124" t="n">
        <f aca="false">F267/R$3</f>
        <v>0</v>
      </c>
      <c r="S267" s="126" t="n">
        <f aca="false">J267/$R$3</f>
        <v>0.958</v>
      </c>
      <c r="T267" s="126" t="n">
        <f aca="false">L267/$R$3</f>
        <v>0</v>
      </c>
      <c r="U267" s="126" t="n">
        <f aca="false">I267/$R$3</f>
        <v>11.151</v>
      </c>
      <c r="V267" s="126" t="n">
        <f aca="false">M267/$R$3</f>
        <v>764.95</v>
      </c>
      <c r="W267" s="126" t="n">
        <f aca="false">N267/$R$3</f>
        <v>947.577</v>
      </c>
    </row>
    <row r="268" customFormat="false" ht="12.75" hidden="true" customHeight="false" outlineLevel="0" collapsed="false">
      <c r="A268" s="120" t="n">
        <f aca="false">A267+1</f>
        <v>37154</v>
      </c>
      <c r="B268" s="131" t="str">
        <f aca="false">INDEX('Master Data'!$A$2:$B$8,MATCH(WEEKDAY('Rio Cuarto Power Trading'!A268,3),'Master Data'!$A$2:$A$8,0),2)</f>
        <v>Th</v>
      </c>
      <c r="D268" s="124" t="n">
        <v>-79117.7052502302</v>
      </c>
      <c r="E268" s="124" t="n">
        <v>0</v>
      </c>
      <c r="F268" s="124" t="n">
        <v>0</v>
      </c>
      <c r="G268" s="124" t="n">
        <v>10655</v>
      </c>
      <c r="I268" s="124" t="n">
        <f aca="false">IF(MONTH($A268)=MONTH($A267),IF(G268=0,I267,G268),G268)</f>
        <v>10655</v>
      </c>
      <c r="J268" s="124" t="n">
        <f aca="false">IF(MONTH($A268)=MONTH($A267),SUM(I268-I267),I268)</f>
        <v>-496</v>
      </c>
      <c r="K268" s="124" t="n">
        <f aca="false">IF(WEEKDAY(A268,3)&gt;4,0,(IF(A268&lt;K$2,0,IF(A268&lt;=K$3,1,0))))</f>
        <v>0</v>
      </c>
      <c r="L268" s="124" t="n">
        <f aca="false">J268*K268</f>
        <v>-0</v>
      </c>
      <c r="M268" s="124" t="n">
        <f aca="false">SUM(J$188:J268)</f>
        <v>764454</v>
      </c>
      <c r="N268" s="124" t="n">
        <f aca="false">SUM(J$6:J268)</f>
        <v>947081</v>
      </c>
      <c r="P268" s="124" t="n">
        <f aca="false">D268/P$3</f>
        <v>-0.0791177052502302</v>
      </c>
      <c r="Q268" s="124" t="n">
        <f aca="false">E268/P$3</f>
        <v>0</v>
      </c>
      <c r="R268" s="124" t="n">
        <f aca="false">F268/R$3</f>
        <v>0</v>
      </c>
      <c r="S268" s="126" t="n">
        <f aca="false">J268/$R$3</f>
        <v>-0.496</v>
      </c>
      <c r="T268" s="126" t="n">
        <f aca="false">L268/$R$3</f>
        <v>-0</v>
      </c>
      <c r="U268" s="126" t="n">
        <f aca="false">I268/$R$3</f>
        <v>10.655</v>
      </c>
      <c r="V268" s="126" t="n">
        <f aca="false">M268/$R$3</f>
        <v>764.454</v>
      </c>
      <c r="W268" s="126" t="n">
        <f aca="false">N268/$R$3</f>
        <v>947.081</v>
      </c>
    </row>
    <row r="269" customFormat="false" ht="12.75" hidden="true" customHeight="false" outlineLevel="0" collapsed="false">
      <c r="A269" s="120" t="n">
        <f aca="false">A268+1</f>
        <v>37155</v>
      </c>
      <c r="B269" s="131" t="str">
        <f aca="false">INDEX('Master Data'!$A$2:$B$8,MATCH(WEEKDAY('Rio Cuarto Power Trading'!A269,3),'Master Data'!$A$2:$A$8,0),2)</f>
        <v>F</v>
      </c>
      <c r="D269" s="124" t="n">
        <v>-78629.4587943972</v>
      </c>
      <c r="E269" s="124" t="n">
        <v>0</v>
      </c>
      <c r="F269" s="124" t="n">
        <v>0</v>
      </c>
      <c r="G269" s="124" t="n">
        <v>12358</v>
      </c>
      <c r="I269" s="124" t="n">
        <f aca="false">IF(MONTH($A269)=MONTH($A268),IF(G269=0,I268,G269),G269)</f>
        <v>12358</v>
      </c>
      <c r="J269" s="124" t="n">
        <f aca="false">IF(MONTH($A269)=MONTH($A268),SUM(I269-I268),I269)</f>
        <v>1703</v>
      </c>
      <c r="K269" s="124" t="n">
        <f aca="false">IF(WEEKDAY(A269,3)&gt;4,0,(IF(A269&lt;K$2,0,IF(A269&lt;=K$3,1,0))))</f>
        <v>0</v>
      </c>
      <c r="L269" s="124" t="n">
        <f aca="false">J269*K269</f>
        <v>0</v>
      </c>
      <c r="M269" s="124" t="n">
        <f aca="false">SUM(J$188:J269)</f>
        <v>766157</v>
      </c>
      <c r="N269" s="124" t="n">
        <f aca="false">SUM(J$6:J269)</f>
        <v>948784</v>
      </c>
      <c r="P269" s="124" t="n">
        <f aca="false">D269/P$3</f>
        <v>-0.0786294587943972</v>
      </c>
      <c r="Q269" s="124" t="n">
        <f aca="false">E269/P$3</f>
        <v>0</v>
      </c>
      <c r="R269" s="124" t="n">
        <f aca="false">F269/R$3</f>
        <v>0</v>
      </c>
      <c r="S269" s="126" t="n">
        <f aca="false">J269/$R$3</f>
        <v>1.703</v>
      </c>
      <c r="T269" s="126" t="n">
        <f aca="false">L269/$R$3</f>
        <v>0</v>
      </c>
      <c r="U269" s="126" t="n">
        <f aca="false">I269/$R$3</f>
        <v>12.358</v>
      </c>
      <c r="V269" s="126" t="n">
        <f aca="false">M269/$R$3</f>
        <v>766.157</v>
      </c>
      <c r="W269" s="126" t="n">
        <f aca="false">N269/$R$3</f>
        <v>948.784</v>
      </c>
    </row>
    <row r="270" customFormat="false" ht="12.75" hidden="true" customHeight="false" outlineLevel="0" collapsed="false">
      <c r="A270" s="120" t="n">
        <f aca="false">A269+1</f>
        <v>37156</v>
      </c>
      <c r="B270" s="131" t="str">
        <f aca="false">INDEX('Master Data'!$A$2:$B$8,MATCH(WEEKDAY('Rio Cuarto Power Trading'!A270,3),'Master Data'!$A$2:$A$8,0),2)</f>
        <v>Sa</v>
      </c>
      <c r="D270" s="124" t="n">
        <v>0</v>
      </c>
      <c r="E270" s="124" t="n">
        <v>0</v>
      </c>
      <c r="F270" s="124" t="n">
        <v>0</v>
      </c>
      <c r="G270" s="124" t="n">
        <v>0</v>
      </c>
      <c r="I270" s="124" t="n">
        <f aca="false">IF(MONTH($A270)=MONTH($A269),IF(G270=0,I269,G270),G270)</f>
        <v>12358</v>
      </c>
      <c r="J270" s="124" t="n">
        <f aca="false">IF(MONTH($A270)=MONTH($A269),SUM(I270-I269),I270)</f>
        <v>0</v>
      </c>
      <c r="K270" s="124" t="n">
        <f aca="false">IF(WEEKDAY(A270,3)&gt;4,0,(IF(A270&lt;K$2,0,IF(A270&lt;=K$3,1,0))))</f>
        <v>0</v>
      </c>
      <c r="L270" s="124" t="n">
        <f aca="false">J270*K270</f>
        <v>0</v>
      </c>
      <c r="M270" s="124" t="n">
        <f aca="false">SUM(J$188:J270)</f>
        <v>766157</v>
      </c>
      <c r="N270" s="124" t="n">
        <f aca="false">SUM(J$6:J270)</f>
        <v>948784</v>
      </c>
      <c r="P270" s="124" t="n">
        <f aca="false">D270/P$3</f>
        <v>0</v>
      </c>
      <c r="Q270" s="124" t="n">
        <f aca="false">E270/P$3</f>
        <v>0</v>
      </c>
      <c r="R270" s="124" t="n">
        <f aca="false">F270/R$3</f>
        <v>0</v>
      </c>
      <c r="S270" s="126" t="n">
        <f aca="false">J270/$R$3</f>
        <v>0</v>
      </c>
      <c r="T270" s="126" t="n">
        <f aca="false">L270/$R$3</f>
        <v>0</v>
      </c>
      <c r="U270" s="126" t="n">
        <f aca="false">I270/$R$3</f>
        <v>12.358</v>
      </c>
      <c r="V270" s="126" t="n">
        <f aca="false">M270/$R$3</f>
        <v>766.157</v>
      </c>
      <c r="W270" s="126" t="n">
        <f aca="false">N270/$R$3</f>
        <v>948.784</v>
      </c>
    </row>
    <row r="271" customFormat="false" ht="12.75" hidden="true" customHeight="false" outlineLevel="0" collapsed="false">
      <c r="A271" s="120" t="n">
        <f aca="false">A270+1</f>
        <v>37157</v>
      </c>
      <c r="B271" s="131" t="str">
        <f aca="false">INDEX('Master Data'!$A$2:$B$8,MATCH(WEEKDAY('Rio Cuarto Power Trading'!A271,3),'Master Data'!$A$2:$A$8,0),2)</f>
        <v>Su</v>
      </c>
      <c r="D271" s="124" t="n">
        <v>0</v>
      </c>
      <c r="E271" s="124" t="n">
        <v>0</v>
      </c>
      <c r="F271" s="124" t="n">
        <v>0</v>
      </c>
      <c r="G271" s="124" t="n">
        <v>0</v>
      </c>
      <c r="I271" s="124" t="n">
        <f aca="false">IF(MONTH($A271)=MONTH($A270),IF(G271=0,I270,G271),G271)</f>
        <v>12358</v>
      </c>
      <c r="J271" s="124" t="n">
        <f aca="false">IF(MONTH($A271)=MONTH($A270),SUM(I271-I270),I271)</f>
        <v>0</v>
      </c>
      <c r="K271" s="124" t="n">
        <f aca="false">IF(WEEKDAY(A271,3)&gt;4,0,(IF(A271&lt;K$2,0,IF(A271&lt;=K$3,1,0))))</f>
        <v>0</v>
      </c>
      <c r="L271" s="124" t="n">
        <f aca="false">J271*K271</f>
        <v>0</v>
      </c>
      <c r="M271" s="124" t="n">
        <f aca="false">SUM(J$188:J271)</f>
        <v>766157</v>
      </c>
      <c r="N271" s="124" t="n">
        <f aca="false">SUM(J$6:J271)</f>
        <v>948784</v>
      </c>
      <c r="P271" s="124" t="n">
        <f aca="false">D271/P$3</f>
        <v>0</v>
      </c>
      <c r="Q271" s="124" t="n">
        <f aca="false">E271/P$3</f>
        <v>0</v>
      </c>
      <c r="R271" s="124" t="n">
        <f aca="false">F271/R$3</f>
        <v>0</v>
      </c>
      <c r="S271" s="126" t="n">
        <f aca="false">J271/$R$3</f>
        <v>0</v>
      </c>
      <c r="T271" s="126" t="n">
        <f aca="false">L271/$R$3</f>
        <v>0</v>
      </c>
      <c r="U271" s="126" t="n">
        <f aca="false">I271/$R$3</f>
        <v>12.358</v>
      </c>
      <c r="V271" s="126" t="n">
        <f aca="false">M271/$R$3</f>
        <v>766.157</v>
      </c>
      <c r="W271" s="126" t="n">
        <f aca="false">N271/$R$3</f>
        <v>948.784</v>
      </c>
    </row>
    <row r="272" customFormat="false" ht="12.75" hidden="true" customHeight="false" outlineLevel="0" collapsed="false">
      <c r="A272" s="120" t="n">
        <f aca="false">A271+1</f>
        <v>37158</v>
      </c>
      <c r="B272" s="131" t="str">
        <f aca="false">INDEX('Master Data'!$A$2:$B$8,MATCH(WEEKDAY('Rio Cuarto Power Trading'!A272,3),'Master Data'!$A$2:$A$8,0),2)</f>
        <v>M</v>
      </c>
      <c r="D272" s="124" t="n">
        <v>-76895.7263026587</v>
      </c>
      <c r="E272" s="124" t="n">
        <v>0</v>
      </c>
      <c r="F272" s="124" t="n">
        <v>0</v>
      </c>
      <c r="G272" s="124" t="n">
        <v>12160</v>
      </c>
      <c r="I272" s="124" t="n">
        <f aca="false">IF(MONTH($A272)=MONTH($A271),IF(G272=0,I271,G272),G272)</f>
        <v>12160</v>
      </c>
      <c r="J272" s="124" t="n">
        <f aca="false">IF(MONTH($A272)=MONTH($A271),SUM(I272-I271),I272)</f>
        <v>-198</v>
      </c>
      <c r="K272" s="124" t="n">
        <f aca="false">IF(WEEKDAY(A272,3)&gt;4,0,(IF(A272&lt;K$2,0,IF(A272&lt;=K$3,1,0))))</f>
        <v>0</v>
      </c>
      <c r="L272" s="124" t="n">
        <f aca="false">J272*K272</f>
        <v>-0</v>
      </c>
      <c r="M272" s="124" t="n">
        <f aca="false">SUM(J$188:J272)</f>
        <v>765959</v>
      </c>
      <c r="N272" s="124" t="n">
        <f aca="false">SUM(J$6:J272)</f>
        <v>948586</v>
      </c>
      <c r="P272" s="124" t="n">
        <f aca="false">D272/P$3</f>
        <v>-0.0768957263026587</v>
      </c>
      <c r="Q272" s="124" t="n">
        <f aca="false">E272/P$3</f>
        <v>0</v>
      </c>
      <c r="R272" s="124" t="n">
        <f aca="false">F272/R$3</f>
        <v>0</v>
      </c>
      <c r="S272" s="126" t="n">
        <f aca="false">J272/$R$3</f>
        <v>-0.198</v>
      </c>
      <c r="T272" s="126" t="n">
        <f aca="false">L272/$R$3</f>
        <v>-0</v>
      </c>
      <c r="U272" s="126" t="n">
        <f aca="false">I272/$R$3</f>
        <v>12.16</v>
      </c>
      <c r="V272" s="126" t="n">
        <f aca="false">M272/$R$3</f>
        <v>765.959</v>
      </c>
      <c r="W272" s="126" t="n">
        <f aca="false">N272/$R$3</f>
        <v>948.586</v>
      </c>
    </row>
    <row r="273" customFormat="false" ht="12.75" hidden="true" customHeight="false" outlineLevel="0" collapsed="false">
      <c r="A273" s="120" t="n">
        <f aca="false">A272+1</f>
        <v>37159</v>
      </c>
      <c r="B273" s="131" t="str">
        <f aca="false">INDEX('Master Data'!$A$2:$B$8,MATCH(WEEKDAY('Rio Cuarto Power Trading'!A273,3),'Master Data'!$A$2:$A$8,0),2)</f>
        <v>T</v>
      </c>
      <c r="D273" s="124" t="n">
        <v>-76311.3874159735</v>
      </c>
      <c r="E273" s="124" t="n">
        <v>0</v>
      </c>
      <c r="F273" s="124" t="n">
        <v>0</v>
      </c>
      <c r="G273" s="124" t="n">
        <v>61773</v>
      </c>
      <c r="I273" s="124" t="n">
        <f aca="false">IF(MONTH($A273)=MONTH($A272),IF(G273=0,I272,G273),G273)</f>
        <v>61773</v>
      </c>
      <c r="J273" s="124" t="n">
        <f aca="false">IF(MONTH($A273)=MONTH($A272),SUM(I273-I272),I273)</f>
        <v>49613</v>
      </c>
      <c r="K273" s="124" t="n">
        <f aca="false">IF(WEEKDAY(A273,3)&gt;4,0,(IF(A273&lt;K$2,0,IF(A273&lt;=K$3,1,0))))</f>
        <v>0</v>
      </c>
      <c r="L273" s="124" t="n">
        <f aca="false">J273*K273</f>
        <v>0</v>
      </c>
      <c r="M273" s="124" t="n">
        <f aca="false">SUM(J$188:J273)</f>
        <v>815572</v>
      </c>
      <c r="N273" s="124" t="n">
        <f aca="false">SUM(J$6:J273)</f>
        <v>998199</v>
      </c>
      <c r="P273" s="124" t="n">
        <f aca="false">D273/P$3</f>
        <v>-0.0763113874159735</v>
      </c>
      <c r="Q273" s="124" t="n">
        <f aca="false">E273/P$3</f>
        <v>0</v>
      </c>
      <c r="R273" s="124" t="n">
        <f aca="false">F273/R$3</f>
        <v>0</v>
      </c>
      <c r="S273" s="126" t="n">
        <f aca="false">J273/$R$3</f>
        <v>49.613</v>
      </c>
      <c r="T273" s="126" t="n">
        <f aca="false">L273/$R$3</f>
        <v>0</v>
      </c>
      <c r="U273" s="126" t="n">
        <f aca="false">I273/$R$3</f>
        <v>61.773</v>
      </c>
      <c r="V273" s="126" t="n">
        <f aca="false">M273/$R$3</f>
        <v>815.572</v>
      </c>
      <c r="W273" s="126" t="n">
        <f aca="false">N273/$R$3</f>
        <v>998.199</v>
      </c>
    </row>
    <row r="274" customFormat="false" ht="12.75" hidden="true" customHeight="false" outlineLevel="0" collapsed="false">
      <c r="A274" s="120" t="n">
        <f aca="false">A273+1</f>
        <v>37160</v>
      </c>
      <c r="B274" s="131" t="str">
        <f aca="false">INDEX('Master Data'!$A$2:$B$8,MATCH(WEEKDAY('Rio Cuarto Power Trading'!A274,3),'Master Data'!$A$2:$A$8,0),2)</f>
        <v>W</v>
      </c>
      <c r="D274" s="124" t="n">
        <v>-75724.932202523</v>
      </c>
      <c r="E274" s="124" t="n">
        <v>0</v>
      </c>
      <c r="F274" s="124" t="n">
        <v>0</v>
      </c>
      <c r="G274" s="124" t="n">
        <v>18955</v>
      </c>
      <c r="I274" s="124" t="n">
        <f aca="false">IF(MONTH($A274)=MONTH($A273),IF(G274=0,I273,G274),G274)</f>
        <v>18955</v>
      </c>
      <c r="J274" s="124" t="n">
        <f aca="false">IF(MONTH($A274)=MONTH($A273),SUM(I274-I273),I274)</f>
        <v>-42818</v>
      </c>
      <c r="K274" s="124" t="n">
        <f aca="false">IF(WEEKDAY(A274,3)&gt;4,0,(IF(A274&lt;K$2,0,IF(A274&lt;=K$3,1,0))))</f>
        <v>0</v>
      </c>
      <c r="L274" s="124" t="n">
        <f aca="false">J274*K274</f>
        <v>-0</v>
      </c>
      <c r="M274" s="124" t="n">
        <f aca="false">SUM(J$188:J274)</f>
        <v>772754</v>
      </c>
      <c r="N274" s="124" t="n">
        <f aca="false">SUM(J$6:J274)</f>
        <v>955381</v>
      </c>
      <c r="P274" s="124" t="n">
        <f aca="false">D274/P$3</f>
        <v>-0.075724932202523</v>
      </c>
      <c r="Q274" s="124" t="n">
        <f aca="false">E274/P$3</f>
        <v>0</v>
      </c>
      <c r="R274" s="124" t="n">
        <f aca="false">F274/R$3</f>
        <v>0</v>
      </c>
      <c r="S274" s="126" t="n">
        <f aca="false">J274/$R$3</f>
        <v>-42.818</v>
      </c>
      <c r="T274" s="126" t="n">
        <f aca="false">L274/$R$3</f>
        <v>-0</v>
      </c>
      <c r="U274" s="126" t="n">
        <f aca="false">I274/$R$3</f>
        <v>18.955</v>
      </c>
      <c r="V274" s="126" t="n">
        <f aca="false">M274/$R$3</f>
        <v>772.754</v>
      </c>
      <c r="W274" s="126" t="n">
        <f aca="false">N274/$R$3</f>
        <v>955.381</v>
      </c>
    </row>
    <row r="275" customFormat="false" ht="12.75" hidden="true" customHeight="false" outlineLevel="0" collapsed="false">
      <c r="A275" s="120" t="n">
        <f aca="false">A274+1</f>
        <v>37161</v>
      </c>
      <c r="B275" s="131" t="str">
        <f aca="false">INDEX('Master Data'!$A$2:$B$8,MATCH(WEEKDAY('Rio Cuarto Power Trading'!A275,3),'Master Data'!$A$2:$A$8,0),2)</f>
        <v>Th</v>
      </c>
      <c r="D275" s="124" t="n">
        <v>-75138.7634378517</v>
      </c>
      <c r="E275" s="124" t="n">
        <v>0</v>
      </c>
      <c r="F275" s="124" t="n">
        <v>0</v>
      </c>
      <c r="G275" s="124" t="n">
        <v>112152</v>
      </c>
      <c r="I275" s="124" t="n">
        <f aca="false">IF(MONTH($A275)=MONTH($A274),IF(G275=0,I274,G275),G275)</f>
        <v>112152</v>
      </c>
      <c r="J275" s="124" t="n">
        <f aca="false">IF(MONTH($A275)=MONTH($A274),SUM(I275-I274),I275)</f>
        <v>93197</v>
      </c>
      <c r="K275" s="124" t="n">
        <f aca="false">IF(WEEKDAY(A275,3)&gt;4,0,(IF(A275&lt;K$2,0,IF(A275&lt;=K$3,1,0))))</f>
        <v>0</v>
      </c>
      <c r="L275" s="124" t="n">
        <f aca="false">J275*K275</f>
        <v>0</v>
      </c>
      <c r="M275" s="124" t="n">
        <f aca="false">SUM(J$188:J275)</f>
        <v>865951</v>
      </c>
      <c r="N275" s="124" t="n">
        <f aca="false">SUM(J$6:J275)</f>
        <v>1048578</v>
      </c>
      <c r="P275" s="124" t="n">
        <f aca="false">D275/P$3</f>
        <v>-0.0751387634378517</v>
      </c>
      <c r="Q275" s="124" t="n">
        <f aca="false">E275/P$3</f>
        <v>0</v>
      </c>
      <c r="R275" s="124" t="n">
        <f aca="false">F275/R$3</f>
        <v>0</v>
      </c>
      <c r="S275" s="126" t="n">
        <f aca="false">J275/$R$3</f>
        <v>93.197</v>
      </c>
      <c r="T275" s="126" t="n">
        <f aca="false">L275/$R$3</f>
        <v>0</v>
      </c>
      <c r="U275" s="126" t="n">
        <f aca="false">I275/$R$3</f>
        <v>112.152</v>
      </c>
      <c r="V275" s="126" t="n">
        <f aca="false">M275/$R$3</f>
        <v>865.951</v>
      </c>
      <c r="W275" s="126" t="n">
        <f aca="false">N275/$R$3</f>
        <v>1048.578</v>
      </c>
    </row>
    <row r="276" customFormat="false" ht="12.75" hidden="false" customHeight="false" outlineLevel="0" collapsed="false">
      <c r="A276" s="120" t="n">
        <f aca="false">A275+1</f>
        <v>37162</v>
      </c>
      <c r="B276" s="131" t="str">
        <f aca="false">INDEX('Master Data'!$A$2:$B$8,MATCH(WEEKDAY('Rio Cuarto Power Trading'!A276,3),'Master Data'!$A$2:$A$8,0),2)</f>
        <v>F</v>
      </c>
      <c r="D276" s="124" t="n">
        <v>-73370.5547246092</v>
      </c>
      <c r="E276" s="124" t="n">
        <v>0</v>
      </c>
      <c r="F276" s="124" t="n">
        <v>0</v>
      </c>
      <c r="G276" s="124" t="n">
        <v>133868.87</v>
      </c>
      <c r="I276" s="124" t="n">
        <f aca="false">IF(MONTH($A276)=MONTH($A275),IF(G276=0,I275,G276),G276)</f>
        <v>133868.87</v>
      </c>
      <c r="J276" s="124" t="n">
        <f aca="false">IF(MONTH($A276)=MONTH($A275),SUM(I276-I275),I276)</f>
        <v>21716.87</v>
      </c>
      <c r="K276" s="124" t="n">
        <f aca="false">IF(WEEKDAY(A276,3)&gt;4,0,(IF(A276&lt;K$2,0,IF(A276&lt;=K$3,1,0))))</f>
        <v>0</v>
      </c>
      <c r="L276" s="124" t="n">
        <f aca="false">J276*K276</f>
        <v>0</v>
      </c>
      <c r="M276" s="124" t="n">
        <f aca="false">SUM(J$188:J276)</f>
        <v>887667.87</v>
      </c>
      <c r="N276" s="124" t="n">
        <f aca="false">SUM(J$6:J276)</f>
        <v>1070294.87</v>
      </c>
      <c r="P276" s="124" t="n">
        <f aca="false">D276/P$3</f>
        <v>-0.0733705547246092</v>
      </c>
      <c r="Q276" s="124" t="n">
        <f aca="false">E276/P$3</f>
        <v>0</v>
      </c>
      <c r="R276" s="124" t="n">
        <f aca="false">F276/R$3</f>
        <v>0</v>
      </c>
      <c r="S276" s="126" t="n">
        <f aca="false">J276/$R$3</f>
        <v>21.71687</v>
      </c>
      <c r="T276" s="126" t="n">
        <f aca="false">L276/$R$3</f>
        <v>0</v>
      </c>
      <c r="U276" s="126" t="n">
        <f aca="false">I276/$R$3</f>
        <v>133.86887</v>
      </c>
      <c r="V276" s="126" t="n">
        <f aca="false">M276/$R$3</f>
        <v>887.66787</v>
      </c>
      <c r="W276" s="126" t="n">
        <f aca="false">N276/$R$3</f>
        <v>1070.29487</v>
      </c>
    </row>
    <row r="277" customFormat="false" ht="12.75" hidden="false" customHeight="false" outlineLevel="0" collapsed="false">
      <c r="A277" s="120" t="n">
        <f aca="false">A276+1</f>
        <v>37163</v>
      </c>
      <c r="B277" s="131" t="str">
        <f aca="false">INDEX('Master Data'!$A$2:$B$8,MATCH(WEEKDAY('Rio Cuarto Power Trading'!A277,3),'Master Data'!$A$2:$A$8,0),2)</f>
        <v>Sa</v>
      </c>
      <c r="D277" s="124" t="n">
        <v>0</v>
      </c>
      <c r="E277" s="124" t="n">
        <v>0</v>
      </c>
      <c r="F277" s="124" t="n">
        <v>0</v>
      </c>
      <c r="G277" s="124" t="n">
        <v>0</v>
      </c>
      <c r="I277" s="124" t="n">
        <f aca="false">IF(MONTH($A277)=MONTH($A276),IF(G277=0,I276,G277),G277)</f>
        <v>133868.87</v>
      </c>
      <c r="J277" s="124" t="n">
        <f aca="false">IF(MONTH($A277)=MONTH($A276),SUM(I277-I276),I277)</f>
        <v>0</v>
      </c>
      <c r="K277" s="124" t="n">
        <f aca="false">IF(WEEKDAY(A277,3)&gt;4,0,(IF(A277&lt;K$2,0,IF(A277&lt;=K$3,1,0))))</f>
        <v>0</v>
      </c>
      <c r="L277" s="124" t="n">
        <f aca="false">J277*K277</f>
        <v>0</v>
      </c>
      <c r="M277" s="124" t="n">
        <f aca="false">SUM(J$188:J277)</f>
        <v>887667.87</v>
      </c>
      <c r="N277" s="124" t="n">
        <f aca="false">SUM(J$6:J277)</f>
        <v>1070294.87</v>
      </c>
      <c r="P277" s="124" t="n">
        <f aca="false">D277/P$3</f>
        <v>0</v>
      </c>
      <c r="Q277" s="124" t="n">
        <f aca="false">E277/P$3</f>
        <v>0</v>
      </c>
      <c r="R277" s="124" t="n">
        <f aca="false">F277/R$3</f>
        <v>0</v>
      </c>
      <c r="S277" s="126" t="n">
        <f aca="false">J277/$R$3</f>
        <v>0</v>
      </c>
      <c r="T277" s="126" t="n">
        <f aca="false">L277/$R$3</f>
        <v>0</v>
      </c>
      <c r="U277" s="126" t="n">
        <f aca="false">I277/$R$3</f>
        <v>133.86887</v>
      </c>
      <c r="V277" s="126" t="n">
        <f aca="false">M277/$R$3</f>
        <v>887.66787</v>
      </c>
      <c r="W277" s="126" t="n">
        <f aca="false">N277/$R$3</f>
        <v>1070.29487</v>
      </c>
    </row>
    <row r="278" customFormat="false" ht="12.75" hidden="false" customHeight="false" outlineLevel="0" collapsed="false">
      <c r="A278" s="120" t="n">
        <f aca="false">A277+1</f>
        <v>37164</v>
      </c>
      <c r="B278" s="131" t="str">
        <f aca="false">INDEX('Master Data'!$A$2:$B$8,MATCH(WEEKDAY('Rio Cuarto Power Trading'!A278,3),'Master Data'!$A$2:$A$8,0),2)</f>
        <v>Su</v>
      </c>
      <c r="D278" s="124" t="n">
        <v>0</v>
      </c>
      <c r="E278" s="124" t="n">
        <v>0</v>
      </c>
      <c r="F278" s="124" t="n">
        <v>0</v>
      </c>
      <c r="G278" s="124" t="n">
        <v>0</v>
      </c>
      <c r="I278" s="124" t="n">
        <f aca="false">IF(MONTH($A278)=MONTH($A277),IF(G278=0,I277,G278),G278)</f>
        <v>133868.87</v>
      </c>
      <c r="J278" s="124" t="n">
        <f aca="false">IF(MONTH($A278)=MONTH($A277),SUM(I278-I277),I278)</f>
        <v>0</v>
      </c>
      <c r="K278" s="124" t="n">
        <f aca="false">IF(WEEKDAY(A278,3)&gt;4,0,(IF(A278&lt;K$2,0,IF(A278&lt;=K$3,1,0))))</f>
        <v>0</v>
      </c>
      <c r="L278" s="124" t="n">
        <f aca="false">J278*K278</f>
        <v>0</v>
      </c>
      <c r="M278" s="124" t="n">
        <f aca="false">SUM(J$188:J278)</f>
        <v>887667.87</v>
      </c>
      <c r="N278" s="124" t="n">
        <f aca="false">SUM(J$6:J278)</f>
        <v>1070294.87</v>
      </c>
      <c r="P278" s="124" t="n">
        <f aca="false">D278/P$3</f>
        <v>0</v>
      </c>
      <c r="Q278" s="124" t="n">
        <f aca="false">E278/P$3</f>
        <v>0</v>
      </c>
      <c r="R278" s="124" t="n">
        <f aca="false">F278/R$3</f>
        <v>0</v>
      </c>
      <c r="S278" s="126" t="n">
        <f aca="false">J278/$R$3</f>
        <v>0</v>
      </c>
      <c r="T278" s="126" t="n">
        <f aca="false">L278/$R$3</f>
        <v>0</v>
      </c>
      <c r="U278" s="126" t="n">
        <f aca="false">I278/$R$3</f>
        <v>133.86887</v>
      </c>
      <c r="V278" s="126" t="n">
        <f aca="false">M278/$R$3</f>
        <v>887.66787</v>
      </c>
      <c r="W278" s="126" t="n">
        <f aca="false">N278/$R$3</f>
        <v>1070.29487</v>
      </c>
    </row>
    <row r="279" customFormat="false" ht="12.75" hidden="true" customHeight="false" outlineLevel="0" collapsed="false">
      <c r="A279" s="120" t="n">
        <f aca="false">A278+1</f>
        <v>37165</v>
      </c>
      <c r="B279" s="131" t="str">
        <f aca="false">INDEX('Master Data'!$A$2:$B$8,MATCH(WEEKDAY('Rio Cuarto Power Trading'!A279,3),'Master Data'!$A$2:$A$8,0),2)</f>
        <v>M</v>
      </c>
      <c r="D279" s="124" t="n">
        <v>-72779.0689521063</v>
      </c>
      <c r="E279" s="124" t="n">
        <v>0</v>
      </c>
      <c r="F279" s="124" t="n">
        <v>0</v>
      </c>
      <c r="G279" s="124" t="n">
        <v>128</v>
      </c>
      <c r="I279" s="124" t="n">
        <f aca="false">IF(MONTH($A279)=MONTH($A278),IF(G279=0,I278,G279),G279)</f>
        <v>128</v>
      </c>
      <c r="J279" s="124" t="n">
        <f aca="false">IF(MONTH($A279)=MONTH($A278),SUM(I279-I278),I279)</f>
        <v>128</v>
      </c>
      <c r="K279" s="124" t="n">
        <f aca="false">IF(WEEKDAY(A279,3)&gt;4,0,(IF(A279&lt;K$2,0,IF(A279&lt;=K$3,1,0))))</f>
        <v>0</v>
      </c>
      <c r="L279" s="124" t="n">
        <f aca="false">J279*K279</f>
        <v>0</v>
      </c>
      <c r="M279" s="124" t="n">
        <f aca="false">SUM(J$188:J279)</f>
        <v>887795.87</v>
      </c>
      <c r="N279" s="124" t="n">
        <f aca="false">SUM(J$6:J279)</f>
        <v>1070422.87</v>
      </c>
      <c r="P279" s="124" t="n">
        <f aca="false">D279/P$3</f>
        <v>-0.0727790689521063</v>
      </c>
      <c r="Q279" s="124" t="n">
        <f aca="false">E279/P$3</f>
        <v>0</v>
      </c>
      <c r="R279" s="124" t="n">
        <f aca="false">F279/R$3</f>
        <v>0</v>
      </c>
      <c r="S279" s="126" t="n">
        <f aca="false">J279/$R$3</f>
        <v>0.128</v>
      </c>
      <c r="T279" s="126" t="n">
        <f aca="false">L279/$R$3</f>
        <v>0</v>
      </c>
      <c r="U279" s="126" t="n">
        <f aca="false">I279/$R$3</f>
        <v>0.128</v>
      </c>
      <c r="V279" s="126" t="n">
        <f aca="false">M279/$R$3</f>
        <v>887.79587</v>
      </c>
      <c r="W279" s="126" t="n">
        <f aca="false">N279/$R$3</f>
        <v>1070.42287</v>
      </c>
    </row>
    <row r="280" customFormat="false" ht="12.75" hidden="true" customHeight="false" outlineLevel="0" collapsed="false">
      <c r="A280" s="120" t="n">
        <f aca="false">A279+1</f>
        <v>37166</v>
      </c>
      <c r="B280" s="131" t="str">
        <f aca="false">INDEX('Master Data'!$A$2:$B$8,MATCH(WEEKDAY('Rio Cuarto Power Trading'!A280,3),'Master Data'!$A$2:$A$8,0),2)</f>
        <v>T</v>
      </c>
      <c r="D280" s="124" t="n">
        <v>-72186.2783558541</v>
      </c>
      <c r="E280" s="124" t="n">
        <v>0</v>
      </c>
      <c r="F280" s="124" t="n">
        <v>0</v>
      </c>
      <c r="G280" s="124" t="n">
        <v>1079</v>
      </c>
      <c r="I280" s="124" t="n">
        <f aca="false">IF(MONTH($A280)=MONTH($A279),IF(G280=0,I279,G280),G280)</f>
        <v>1079</v>
      </c>
      <c r="J280" s="124" t="n">
        <f aca="false">IF(MONTH($A280)=MONTH($A279),SUM(I280-I279),I280)</f>
        <v>951</v>
      </c>
      <c r="K280" s="124" t="n">
        <f aca="false">IF(WEEKDAY(A280,3)&gt;4,0,(IF(A280&lt;K$2,0,IF(A280&lt;=K$3,1,0))))</f>
        <v>0</v>
      </c>
      <c r="L280" s="124" t="n">
        <f aca="false">J280*K280</f>
        <v>0</v>
      </c>
      <c r="M280" s="124" t="n">
        <f aca="false">SUM(J$280:J280)</f>
        <v>951</v>
      </c>
      <c r="N280" s="124" t="n">
        <f aca="false">SUM(J$6:J280)</f>
        <v>1071373.87</v>
      </c>
      <c r="P280" s="124" t="n">
        <f aca="false">D280/P$3</f>
        <v>-0.0721862783558541</v>
      </c>
      <c r="Q280" s="124" t="n">
        <f aca="false">E280/P$3</f>
        <v>0</v>
      </c>
      <c r="R280" s="124" t="n">
        <f aca="false">F280/R$3</f>
        <v>0</v>
      </c>
      <c r="S280" s="126" t="n">
        <f aca="false">J280/$R$3</f>
        <v>0.951</v>
      </c>
      <c r="T280" s="126" t="n">
        <f aca="false">L280/$R$3</f>
        <v>0</v>
      </c>
      <c r="U280" s="126" t="n">
        <f aca="false">I280/$R$3</f>
        <v>1.079</v>
      </c>
      <c r="V280" s="126" t="n">
        <f aca="false">M280/$R$3</f>
        <v>0.951</v>
      </c>
      <c r="W280" s="126" t="n">
        <f aca="false">N280/$R$3</f>
        <v>1071.37387</v>
      </c>
    </row>
    <row r="281" customFormat="false" ht="12.75" hidden="true" customHeight="false" outlineLevel="0" collapsed="false">
      <c r="A281" s="120" t="n">
        <f aca="false">A280+1</f>
        <v>37167</v>
      </c>
      <c r="B281" s="131" t="str">
        <f aca="false">INDEX('Master Data'!$A$2:$B$8,MATCH(WEEKDAY('Rio Cuarto Power Trading'!A281,3),'Master Data'!$A$2:$A$8,0),2)</f>
        <v>W</v>
      </c>
      <c r="D281" s="124" t="n">
        <v>-71596.7863373539</v>
      </c>
      <c r="E281" s="124" t="n">
        <v>0</v>
      </c>
      <c r="F281" s="124" t="n">
        <v>0</v>
      </c>
      <c r="G281" s="124" t="n">
        <v>2976</v>
      </c>
      <c r="I281" s="124" t="n">
        <f aca="false">IF(MONTH($A281)=MONTH($A280),IF(G281=0,I280,G281),G281)</f>
        <v>2976</v>
      </c>
      <c r="J281" s="124" t="n">
        <f aca="false">IF(MONTH($A281)=MONTH($A280),SUM(I281-I280),I281)</f>
        <v>1897</v>
      </c>
      <c r="K281" s="124" t="n">
        <f aca="false">IF(WEEKDAY(A281,3)&gt;4,0,(IF(A281&lt;K$2,0,IF(A281&lt;=K$3,1,0))))</f>
        <v>0</v>
      </c>
      <c r="L281" s="124" t="n">
        <f aca="false">J281*K281</f>
        <v>0</v>
      </c>
      <c r="M281" s="124" t="n">
        <f aca="false">SUM(J$280:J281)</f>
        <v>2848</v>
      </c>
      <c r="N281" s="124" t="n">
        <f aca="false">SUM(J$6:J281)</f>
        <v>1073270.87</v>
      </c>
      <c r="P281" s="124" t="n">
        <f aca="false">D281/P$3</f>
        <v>-0.0715967863373539</v>
      </c>
      <c r="Q281" s="124" t="n">
        <f aca="false">E281/P$3</f>
        <v>0</v>
      </c>
      <c r="R281" s="124" t="n">
        <f aca="false">F281/R$3</f>
        <v>0</v>
      </c>
      <c r="S281" s="126" t="n">
        <f aca="false">J281/$R$3</f>
        <v>1.897</v>
      </c>
      <c r="T281" s="126" t="n">
        <f aca="false">L281/$R$3</f>
        <v>0</v>
      </c>
      <c r="U281" s="126" t="n">
        <f aca="false">I281/$R$3</f>
        <v>2.976</v>
      </c>
      <c r="V281" s="126" t="n">
        <f aca="false">M281/$R$3</f>
        <v>2.848</v>
      </c>
      <c r="W281" s="126" t="n">
        <f aca="false">N281/$R$3</f>
        <v>1073.27087</v>
      </c>
    </row>
    <row r="282" customFormat="false" ht="12.75" hidden="true" customHeight="false" outlineLevel="0" collapsed="false">
      <c r="A282" s="120" t="n">
        <f aca="false">A281+1</f>
        <v>37168</v>
      </c>
      <c r="B282" s="131" t="str">
        <f aca="false">INDEX('Master Data'!$A$2:$B$8,MATCH(WEEKDAY('Rio Cuarto Power Trading'!A282,3),'Master Data'!$A$2:$A$8,0),2)</f>
        <v>Th</v>
      </c>
      <c r="D282" s="124" t="n">
        <v>-71014.3304595877</v>
      </c>
      <c r="E282" s="124" t="n">
        <v>0</v>
      </c>
      <c r="F282" s="124" t="n">
        <v>0</v>
      </c>
      <c r="G282" s="124" t="n">
        <v>6492</v>
      </c>
      <c r="I282" s="124" t="n">
        <f aca="false">IF(MONTH($A282)=MONTH($A281),IF(G282=0,I281,G282),G282)</f>
        <v>6492</v>
      </c>
      <c r="J282" s="124" t="n">
        <f aca="false">IF(MONTH($A282)=MONTH($A281),SUM(I282-I281),I282)</f>
        <v>3516</v>
      </c>
      <c r="K282" s="124" t="n">
        <f aca="false">IF(WEEKDAY(A282,3)&gt;4,0,(IF(A282&lt;K$2,0,IF(A282&lt;=K$3,1,0))))</f>
        <v>0</v>
      </c>
      <c r="L282" s="124" t="n">
        <f aca="false">J282*K282</f>
        <v>0</v>
      </c>
      <c r="M282" s="124" t="n">
        <f aca="false">SUM(J$280:J282)</f>
        <v>6364</v>
      </c>
      <c r="N282" s="124" t="n">
        <f aca="false">SUM(J$6:J282)</f>
        <v>1076786.87</v>
      </c>
      <c r="P282" s="124" t="n">
        <f aca="false">D282/P$3</f>
        <v>-0.0710143304595877</v>
      </c>
      <c r="Q282" s="124" t="n">
        <f aca="false">E282/P$3</f>
        <v>0</v>
      </c>
      <c r="R282" s="124" t="n">
        <f aca="false">F282/R$3</f>
        <v>0</v>
      </c>
      <c r="S282" s="126" t="n">
        <f aca="false">J282/$R$3</f>
        <v>3.516</v>
      </c>
      <c r="T282" s="126" t="n">
        <f aca="false">L282/$R$3</f>
        <v>0</v>
      </c>
      <c r="U282" s="126" t="n">
        <f aca="false">I282/$R$3</f>
        <v>6.492</v>
      </c>
      <c r="V282" s="126" t="n">
        <f aca="false">M282/$R$3</f>
        <v>6.364</v>
      </c>
      <c r="W282" s="126" t="n">
        <f aca="false">N282/$R$3</f>
        <v>1076.78687</v>
      </c>
    </row>
    <row r="283" customFormat="false" ht="12.75" hidden="true" customHeight="false" outlineLevel="0" collapsed="false">
      <c r="A283" s="120" t="n">
        <f aca="false">A282+1</f>
        <v>37169</v>
      </c>
      <c r="B283" s="131" t="str">
        <f aca="false">INDEX('Master Data'!$A$2:$B$8,MATCH(WEEKDAY('Rio Cuarto Power Trading'!A283,3),'Master Data'!$A$2:$A$8,0),2)</f>
        <v>F</v>
      </c>
      <c r="D283" s="124" t="n">
        <v>-70421.1524652569</v>
      </c>
      <c r="E283" s="124" t="n">
        <v>0</v>
      </c>
      <c r="F283" s="124" t="n">
        <v>0</v>
      </c>
      <c r="G283" s="124" t="n">
        <v>10218</v>
      </c>
      <c r="I283" s="124" t="n">
        <f aca="false">IF(MONTH($A283)=MONTH($A282),IF(G283=0,I282,G283),G283)</f>
        <v>10218</v>
      </c>
      <c r="J283" s="124" t="n">
        <f aca="false">IF(MONTH($A283)=MONTH($A282),SUM(I283-I282),I283)</f>
        <v>3726</v>
      </c>
      <c r="K283" s="124" t="n">
        <f aca="false">IF(WEEKDAY(A283,3)&gt;4,0,(IF(A283&lt;K$2,0,IF(A283&lt;=K$3,1,0))))</f>
        <v>0</v>
      </c>
      <c r="L283" s="124" t="n">
        <f aca="false">J283*K283</f>
        <v>0</v>
      </c>
      <c r="M283" s="124" t="n">
        <f aca="false">SUM(J$280:J283)</f>
        <v>10090</v>
      </c>
      <c r="N283" s="124" t="n">
        <f aca="false">SUM(J$6:J283)</f>
        <v>1080512.87</v>
      </c>
      <c r="P283" s="124" t="n">
        <f aca="false">D283/P$3</f>
        <v>-0.0704211524652569</v>
      </c>
      <c r="Q283" s="124" t="n">
        <f aca="false">E283/P$3</f>
        <v>0</v>
      </c>
      <c r="R283" s="124" t="n">
        <f aca="false">F283/R$3</f>
        <v>0</v>
      </c>
      <c r="S283" s="126" t="n">
        <f aca="false">J283/$R$3</f>
        <v>3.726</v>
      </c>
      <c r="T283" s="126" t="n">
        <f aca="false">L283/$R$3</f>
        <v>0</v>
      </c>
      <c r="U283" s="126" t="n">
        <f aca="false">I283/$R$3</f>
        <v>10.218</v>
      </c>
      <c r="V283" s="126" t="n">
        <f aca="false">M283/$R$3</f>
        <v>10.09</v>
      </c>
      <c r="W283" s="126" t="n">
        <f aca="false">N283/$R$3</f>
        <v>1080.51287</v>
      </c>
    </row>
    <row r="284" customFormat="false" ht="12.75" hidden="true" customHeight="false" outlineLevel="0" collapsed="false">
      <c r="A284" s="120" t="n">
        <f aca="false">A283+1</f>
        <v>37170</v>
      </c>
      <c r="B284" s="131" t="str">
        <f aca="false">INDEX('Master Data'!$A$2:$B$8,MATCH(WEEKDAY('Rio Cuarto Power Trading'!A284,3),'Master Data'!$A$2:$A$8,0),2)</f>
        <v>Sa</v>
      </c>
      <c r="D284" s="124" t="n">
        <v>0</v>
      </c>
      <c r="E284" s="124" t="n">
        <v>0</v>
      </c>
      <c r="F284" s="124" t="n">
        <v>0</v>
      </c>
      <c r="G284" s="124" t="n">
        <v>0</v>
      </c>
      <c r="I284" s="124" t="n">
        <f aca="false">IF(MONTH($A284)=MONTH($A283),IF(G284=0,I283,G284),G284)</f>
        <v>10218</v>
      </c>
      <c r="J284" s="124" t="n">
        <f aca="false">IF(MONTH($A284)=MONTH($A283),SUM(I284-I283),I284)</f>
        <v>0</v>
      </c>
      <c r="K284" s="124" t="n">
        <f aca="false">IF(WEEKDAY(A284,3)&gt;4,0,(IF(A284&lt;K$2,0,IF(A284&lt;=K$3,1,0))))</f>
        <v>0</v>
      </c>
      <c r="L284" s="124" t="n">
        <f aca="false">J284*K284</f>
        <v>0</v>
      </c>
      <c r="M284" s="124" t="n">
        <f aca="false">SUM(J$280:J284)</f>
        <v>10090</v>
      </c>
      <c r="N284" s="124" t="n">
        <f aca="false">SUM(J$6:J284)</f>
        <v>1080512.87</v>
      </c>
      <c r="P284" s="124" t="n">
        <f aca="false">D284/P$3</f>
        <v>0</v>
      </c>
      <c r="Q284" s="124" t="n">
        <f aca="false">E284/P$3</f>
        <v>0</v>
      </c>
      <c r="R284" s="124" t="n">
        <f aca="false">F284/R$3</f>
        <v>0</v>
      </c>
      <c r="S284" s="126" t="n">
        <f aca="false">J284/$R$3</f>
        <v>0</v>
      </c>
      <c r="T284" s="126" t="n">
        <f aca="false">L284/$R$3</f>
        <v>0</v>
      </c>
      <c r="U284" s="126" t="n">
        <f aca="false">I284/$R$3</f>
        <v>10.218</v>
      </c>
      <c r="V284" s="126" t="n">
        <f aca="false">M284/$R$3</f>
        <v>10.09</v>
      </c>
      <c r="W284" s="126" t="n">
        <f aca="false">N284/$R$3</f>
        <v>1080.51287</v>
      </c>
    </row>
    <row r="285" customFormat="false" ht="12.75" hidden="true" customHeight="false" outlineLevel="0" collapsed="false">
      <c r="A285" s="120" t="n">
        <f aca="false">A284+1</f>
        <v>37171</v>
      </c>
      <c r="B285" s="131" t="str">
        <f aca="false">INDEX('Master Data'!$A$2:$B$8,MATCH(WEEKDAY('Rio Cuarto Power Trading'!A285,3),'Master Data'!$A$2:$A$8,0),2)</f>
        <v>Su</v>
      </c>
      <c r="D285" s="124" t="n">
        <v>0</v>
      </c>
      <c r="E285" s="124" t="n">
        <v>0</v>
      </c>
      <c r="F285" s="124" t="n">
        <v>0</v>
      </c>
      <c r="G285" s="124" t="n">
        <v>0</v>
      </c>
      <c r="I285" s="124" t="n">
        <f aca="false">IF(MONTH($A285)=MONTH($A284),IF(G285=0,I284,G285),G285)</f>
        <v>10218</v>
      </c>
      <c r="J285" s="124" t="n">
        <f aca="false">IF(MONTH($A285)=MONTH($A284),SUM(I285-I284),I285)</f>
        <v>0</v>
      </c>
      <c r="K285" s="124" t="n">
        <f aca="false">IF(WEEKDAY(A285,3)&gt;4,0,(IF(A285&lt;K$2,0,IF(A285&lt;=K$3,1,0))))</f>
        <v>0</v>
      </c>
      <c r="L285" s="124" t="n">
        <f aca="false">J285*K285</f>
        <v>0</v>
      </c>
      <c r="M285" s="124" t="n">
        <f aca="false">SUM(J$280:J285)</f>
        <v>10090</v>
      </c>
      <c r="N285" s="124" t="n">
        <f aca="false">SUM(J$6:J285)</f>
        <v>1080512.87</v>
      </c>
      <c r="P285" s="124" t="n">
        <f aca="false">D285/P$3</f>
        <v>0</v>
      </c>
      <c r="Q285" s="124" t="n">
        <f aca="false">E285/P$3</f>
        <v>0</v>
      </c>
      <c r="R285" s="124" t="n">
        <f aca="false">F285/R$3</f>
        <v>0</v>
      </c>
      <c r="S285" s="126" t="n">
        <f aca="false">J285/$R$3</f>
        <v>0</v>
      </c>
      <c r="T285" s="126" t="n">
        <f aca="false">L285/$R$3</f>
        <v>0</v>
      </c>
      <c r="U285" s="126" t="n">
        <f aca="false">I285/$R$3</f>
        <v>10.218</v>
      </c>
      <c r="V285" s="126" t="n">
        <f aca="false">M285/$R$3</f>
        <v>10.09</v>
      </c>
      <c r="W285" s="126" t="n">
        <f aca="false">N285/$R$3</f>
        <v>1080.51287</v>
      </c>
    </row>
    <row r="286" customFormat="false" ht="12.75" hidden="true" customHeight="false" outlineLevel="0" collapsed="false">
      <c r="A286" s="120" t="n">
        <f aca="false">A285+1</f>
        <v>37172</v>
      </c>
      <c r="B286" s="131" t="str">
        <f aca="false">INDEX('Master Data'!$A$2:$B$8,MATCH(WEEKDAY('Rio Cuarto Power Trading'!A286,3),'Master Data'!$A$2:$A$8,0),2)</f>
        <v>M</v>
      </c>
      <c r="D286" s="124" t="n">
        <v>-68643.1225535764</v>
      </c>
      <c r="E286" s="124" t="n">
        <v>0</v>
      </c>
      <c r="F286" s="124" t="n">
        <v>0</v>
      </c>
      <c r="G286" s="124" t="n">
        <v>10560</v>
      </c>
      <c r="I286" s="124" t="n">
        <f aca="false">IF(MONTH($A286)=MONTH($A285),IF(G286=0,I285,G286),G286)</f>
        <v>10560</v>
      </c>
      <c r="J286" s="124" t="n">
        <f aca="false">IF(MONTH($A286)=MONTH($A285),SUM(I286-I285),I286)</f>
        <v>342</v>
      </c>
      <c r="K286" s="124" t="n">
        <f aca="false">IF(WEEKDAY(A286,3)&gt;4,0,(IF(A286&lt;K$2,0,IF(A286&lt;=K$3,1,0))))</f>
        <v>0</v>
      </c>
      <c r="L286" s="124" t="n">
        <f aca="false">J286*K286</f>
        <v>0</v>
      </c>
      <c r="M286" s="124" t="n">
        <f aca="false">SUM(J$280:J286)</f>
        <v>10432</v>
      </c>
      <c r="N286" s="124" t="n">
        <f aca="false">SUM(J$6:J286)</f>
        <v>1080854.87</v>
      </c>
      <c r="P286" s="124" t="n">
        <f aca="false">D286/P$3</f>
        <v>-0.0686431225535764</v>
      </c>
      <c r="Q286" s="124" t="n">
        <f aca="false">E286/P$3</f>
        <v>0</v>
      </c>
      <c r="R286" s="124" t="n">
        <f aca="false">F286/R$3</f>
        <v>0</v>
      </c>
      <c r="S286" s="126" t="n">
        <f aca="false">J286/$R$3</f>
        <v>0.342</v>
      </c>
      <c r="T286" s="126" t="n">
        <f aca="false">L286/$R$3</f>
        <v>0</v>
      </c>
      <c r="U286" s="126" t="n">
        <f aca="false">I286/$R$3</f>
        <v>10.56</v>
      </c>
      <c r="V286" s="126" t="n">
        <f aca="false">M286/$R$3</f>
        <v>10.432</v>
      </c>
      <c r="W286" s="126" t="n">
        <f aca="false">N286/$R$3</f>
        <v>1080.85487</v>
      </c>
    </row>
    <row r="287" customFormat="false" ht="12.75" hidden="true" customHeight="false" outlineLevel="0" collapsed="false">
      <c r="A287" s="120" t="n">
        <f aca="false">A286+1</f>
        <v>37173</v>
      </c>
      <c r="B287" s="131" t="str">
        <f aca="false">INDEX('Master Data'!$A$2:$B$8,MATCH(WEEKDAY('Rio Cuarto Power Trading'!A287,3),'Master Data'!$A$2:$A$8,0),2)</f>
        <v>T</v>
      </c>
      <c r="D287" s="124" t="n">
        <v>-68049.4057140034</v>
      </c>
      <c r="E287" s="124" t="n">
        <v>0</v>
      </c>
      <c r="F287" s="124" t="n">
        <v>0</v>
      </c>
      <c r="G287" s="124" t="n">
        <v>14079</v>
      </c>
      <c r="I287" s="124" t="n">
        <f aca="false">IF(MONTH($A287)=MONTH($A286),IF(G287=0,I286,G287),G287)</f>
        <v>14079</v>
      </c>
      <c r="J287" s="124" t="n">
        <f aca="false">IF(MONTH($A287)=MONTH($A286),SUM(I287-I286),I287)</f>
        <v>3519</v>
      </c>
      <c r="K287" s="124" t="n">
        <f aca="false">IF(WEEKDAY(A287,3)&gt;4,0,(IF(A287&lt;K$2,0,IF(A287&lt;=K$3,1,0))))</f>
        <v>0</v>
      </c>
      <c r="L287" s="124" t="n">
        <f aca="false">J287*K287</f>
        <v>0</v>
      </c>
      <c r="M287" s="124" t="n">
        <f aca="false">SUM(J$280:J287)</f>
        <v>13951</v>
      </c>
      <c r="N287" s="124" t="n">
        <f aca="false">SUM(J$6:J287)</f>
        <v>1084373.87</v>
      </c>
      <c r="P287" s="124" t="n">
        <f aca="false">D287/P$3</f>
        <v>-0.0680494057140034</v>
      </c>
      <c r="Q287" s="124" t="n">
        <f aca="false">E287/P$3</f>
        <v>0</v>
      </c>
      <c r="R287" s="124" t="n">
        <f aca="false">F287/R$3</f>
        <v>0</v>
      </c>
      <c r="S287" s="126" t="n">
        <f aca="false">J287/$R$3</f>
        <v>3.519</v>
      </c>
      <c r="T287" s="126" t="n">
        <f aca="false">L287/$R$3</f>
        <v>0</v>
      </c>
      <c r="U287" s="126" t="n">
        <f aca="false">I287/$R$3</f>
        <v>14.079</v>
      </c>
      <c r="V287" s="126" t="n">
        <f aca="false">M287/$R$3</f>
        <v>13.951</v>
      </c>
      <c r="W287" s="126" t="n">
        <f aca="false">N287/$R$3</f>
        <v>1084.37387</v>
      </c>
    </row>
    <row r="288" customFormat="false" ht="12.75" hidden="true" customHeight="false" outlineLevel="0" collapsed="false">
      <c r="A288" s="120" t="n">
        <f aca="false">A287+1</f>
        <v>37174</v>
      </c>
      <c r="B288" s="131" t="str">
        <f aca="false">INDEX('Master Data'!$A$2:$B$8,MATCH(WEEKDAY('Rio Cuarto Power Trading'!A288,3),'Master Data'!$A$2:$A$8,0),2)</f>
        <v>W</v>
      </c>
      <c r="D288" s="124" t="n">
        <v>-67454.7372368638</v>
      </c>
      <c r="E288" s="124" t="n">
        <v>0</v>
      </c>
      <c r="F288" s="124" t="n">
        <v>0</v>
      </c>
      <c r="G288" s="124" t="n">
        <v>29393</v>
      </c>
      <c r="I288" s="124" t="n">
        <f aca="false">IF(MONTH($A288)=MONTH($A287),IF(G288=0,I287,G288),G288)</f>
        <v>29393</v>
      </c>
      <c r="J288" s="124" t="n">
        <f aca="false">IF(MONTH($A288)=MONTH($A287),SUM(I288-I287),I288)</f>
        <v>15314</v>
      </c>
      <c r="K288" s="124" t="n">
        <f aca="false">IF(WEEKDAY(A288,3)&gt;4,0,(IF(A288&lt;K$2,0,IF(A288&lt;=K$3,1,0))))</f>
        <v>0</v>
      </c>
      <c r="L288" s="124" t="n">
        <f aca="false">J288*K288</f>
        <v>0</v>
      </c>
      <c r="M288" s="124" t="n">
        <f aca="false">SUM(J$280:J288)</f>
        <v>29265</v>
      </c>
      <c r="N288" s="124" t="n">
        <f aca="false">SUM(J$6:J288)</f>
        <v>1099687.87</v>
      </c>
      <c r="P288" s="124" t="n">
        <f aca="false">D288/P$3</f>
        <v>-0.0674547372368638</v>
      </c>
      <c r="Q288" s="124" t="n">
        <f aca="false">E288/P$3</f>
        <v>0</v>
      </c>
      <c r="R288" s="124" t="n">
        <f aca="false">F288/R$3</f>
        <v>0</v>
      </c>
      <c r="S288" s="126" t="n">
        <f aca="false">J288/$R$3</f>
        <v>15.314</v>
      </c>
      <c r="T288" s="126" t="n">
        <f aca="false">L288/$R$3</f>
        <v>0</v>
      </c>
      <c r="U288" s="126" t="n">
        <f aca="false">I288/$R$3</f>
        <v>29.393</v>
      </c>
      <c r="V288" s="126" t="n">
        <f aca="false">M288/$R$3</f>
        <v>29.265</v>
      </c>
      <c r="W288" s="126" t="n">
        <f aca="false">N288/$R$3</f>
        <v>1099.68787</v>
      </c>
    </row>
    <row r="289" customFormat="false" ht="12.75" hidden="true" customHeight="false" outlineLevel="0" collapsed="false">
      <c r="A289" s="120" t="n">
        <f aca="false">A288+1</f>
        <v>37175</v>
      </c>
      <c r="B289" s="131" t="str">
        <f aca="false">INDEX('Master Data'!$A$2:$B$8,MATCH(WEEKDAY('Rio Cuarto Power Trading'!A289,3),'Master Data'!$A$2:$A$8,0),2)</f>
        <v>Th</v>
      </c>
      <c r="D289" s="124" t="n">
        <v>-66865.624367421</v>
      </c>
      <c r="E289" s="124" t="n">
        <v>0</v>
      </c>
      <c r="F289" s="124" t="n">
        <v>0</v>
      </c>
      <c r="G289" s="124" t="n">
        <v>32989</v>
      </c>
      <c r="I289" s="124" t="n">
        <f aca="false">IF(MONTH($A289)=MONTH($A288),IF(G289=0,I288,G289),G289)</f>
        <v>32989</v>
      </c>
      <c r="J289" s="124" t="n">
        <f aca="false">IF(MONTH($A289)=MONTH($A288),SUM(I289-I288),I289)</f>
        <v>3596</v>
      </c>
      <c r="K289" s="124" t="n">
        <f aca="false">IF(WEEKDAY(A289,3)&gt;4,0,(IF(A289&lt;K$2,0,IF(A289&lt;=K$3,1,0))))</f>
        <v>0</v>
      </c>
      <c r="L289" s="124" t="n">
        <f aca="false">J289*K289</f>
        <v>0</v>
      </c>
      <c r="M289" s="124" t="n">
        <f aca="false">SUM(J$280:J289)</f>
        <v>32861</v>
      </c>
      <c r="N289" s="124" t="n">
        <f aca="false">SUM(J$6:J289)</f>
        <v>1103283.87</v>
      </c>
      <c r="P289" s="124" t="n">
        <f aca="false">D289/P$3</f>
        <v>-0.066865624367421</v>
      </c>
      <c r="Q289" s="124" t="n">
        <f aca="false">E289/P$3</f>
        <v>0</v>
      </c>
      <c r="R289" s="124" t="n">
        <f aca="false">F289/R$3</f>
        <v>0</v>
      </c>
      <c r="S289" s="126" t="n">
        <f aca="false">J289/$R$3</f>
        <v>3.596</v>
      </c>
      <c r="T289" s="126" t="n">
        <f aca="false">L289/$R$3</f>
        <v>0</v>
      </c>
      <c r="U289" s="126" t="n">
        <f aca="false">I289/$R$3</f>
        <v>32.989</v>
      </c>
      <c r="V289" s="126" t="n">
        <f aca="false">M289/$R$3</f>
        <v>32.861</v>
      </c>
      <c r="W289" s="126" t="n">
        <f aca="false">N289/$R$3</f>
        <v>1103.28387</v>
      </c>
    </row>
    <row r="290" customFormat="false" ht="12.75" hidden="true" customHeight="false" outlineLevel="0" collapsed="false">
      <c r="A290" s="120" t="n">
        <f aca="false">A289+1</f>
        <v>37176</v>
      </c>
      <c r="B290" s="131" t="str">
        <f aca="false">INDEX('Master Data'!$A$2:$B$8,MATCH(WEEKDAY('Rio Cuarto Power Trading'!A290,3),'Master Data'!$A$2:$A$8,0),2)</f>
        <v>F</v>
      </c>
      <c r="D290" s="124" t="n">
        <v>-66271.83579976</v>
      </c>
      <c r="E290" s="124" t="n">
        <v>0</v>
      </c>
      <c r="F290" s="124" t="n">
        <v>0</v>
      </c>
      <c r="G290" s="124" t="n">
        <v>35350</v>
      </c>
      <c r="I290" s="124" t="n">
        <f aca="false">IF(MONTH($A290)=MONTH($A289),IF(G290=0,I289,G290),G290)</f>
        <v>35350</v>
      </c>
      <c r="J290" s="124" t="n">
        <f aca="false">IF(MONTH($A290)=MONTH($A289),SUM(I290-I289),I290)</f>
        <v>2361</v>
      </c>
      <c r="K290" s="124" t="n">
        <f aca="false">IF(WEEKDAY(A290,3)&gt;4,0,(IF(A290&lt;K$2,0,IF(A290&lt;=K$3,1,0))))</f>
        <v>0</v>
      </c>
      <c r="L290" s="124" t="n">
        <f aca="false">J290*K290</f>
        <v>0</v>
      </c>
      <c r="M290" s="124" t="n">
        <f aca="false">SUM(J$280:J290)</f>
        <v>35222</v>
      </c>
      <c r="N290" s="124" t="n">
        <f aca="false">SUM(J$6:J290)</f>
        <v>1105644.87</v>
      </c>
      <c r="P290" s="124" t="n">
        <f aca="false">D290/P$3</f>
        <v>-0.06627183579976</v>
      </c>
      <c r="Q290" s="124" t="n">
        <f aca="false">E290/P$3</f>
        <v>0</v>
      </c>
      <c r="R290" s="124" t="n">
        <f aca="false">F290/R$3</f>
        <v>0</v>
      </c>
      <c r="S290" s="126" t="n">
        <f aca="false">J290/$R$3</f>
        <v>2.361</v>
      </c>
      <c r="T290" s="126" t="n">
        <f aca="false">L290/$R$3</f>
        <v>0</v>
      </c>
      <c r="U290" s="126" t="n">
        <f aca="false">I290/$R$3</f>
        <v>35.35</v>
      </c>
      <c r="V290" s="126" t="n">
        <f aca="false">M290/$R$3</f>
        <v>35.222</v>
      </c>
      <c r="W290" s="126" t="n">
        <f aca="false">N290/$R$3</f>
        <v>1105.64487</v>
      </c>
    </row>
    <row r="291" customFormat="false" ht="12.75" hidden="true" customHeight="false" outlineLevel="0" collapsed="false">
      <c r="A291" s="120" t="n">
        <f aca="false">A290+1</f>
        <v>37177</v>
      </c>
      <c r="B291" s="131" t="str">
        <f aca="false">INDEX('Master Data'!$A$2:$B$8,MATCH(WEEKDAY('Rio Cuarto Power Trading'!A291,3),'Master Data'!$A$2:$A$8,0),2)</f>
        <v>Sa</v>
      </c>
      <c r="D291" s="124" t="n">
        <v>0</v>
      </c>
      <c r="E291" s="124" t="n">
        <v>0</v>
      </c>
      <c r="F291" s="124" t="n">
        <v>0</v>
      </c>
      <c r="G291" s="124" t="n">
        <v>0</v>
      </c>
      <c r="I291" s="124" t="n">
        <f aca="false">IF(MONTH($A291)=MONTH($A290),IF(G291=0,I290,G291),G291)</f>
        <v>35350</v>
      </c>
      <c r="J291" s="124" t="n">
        <f aca="false">IF(MONTH($A291)=MONTH($A290),SUM(I291-I290),I291)</f>
        <v>0</v>
      </c>
      <c r="K291" s="124" t="n">
        <f aca="false">IF(WEEKDAY(A291,3)&gt;4,0,(IF(A291&lt;K$2,0,IF(A291&lt;=K$3,1,0))))</f>
        <v>0</v>
      </c>
      <c r="L291" s="124" t="n">
        <f aca="false">J291*K291</f>
        <v>0</v>
      </c>
      <c r="M291" s="124" t="n">
        <f aca="false">SUM(J$280:J291)</f>
        <v>35222</v>
      </c>
      <c r="N291" s="124" t="n">
        <f aca="false">SUM(J$6:J291)</f>
        <v>1105644.87</v>
      </c>
      <c r="P291" s="124" t="n">
        <f aca="false">D291/P$3</f>
        <v>0</v>
      </c>
      <c r="Q291" s="124" t="n">
        <f aca="false">E291/P$3</f>
        <v>0</v>
      </c>
      <c r="R291" s="124" t="n">
        <f aca="false">F291/R$3</f>
        <v>0</v>
      </c>
      <c r="S291" s="126" t="n">
        <f aca="false">J291/$R$3</f>
        <v>0</v>
      </c>
      <c r="T291" s="126" t="n">
        <f aca="false">L291/$R$3</f>
        <v>0</v>
      </c>
      <c r="U291" s="126" t="n">
        <f aca="false">I291/$R$3</f>
        <v>35.35</v>
      </c>
      <c r="V291" s="126" t="n">
        <f aca="false">M291/$R$3</f>
        <v>35.222</v>
      </c>
      <c r="W291" s="126" t="n">
        <f aca="false">N291/$R$3</f>
        <v>1105.64487</v>
      </c>
    </row>
    <row r="292" customFormat="false" ht="12.75" hidden="true" customHeight="false" outlineLevel="0" collapsed="false">
      <c r="A292" s="120" t="n">
        <f aca="false">A291+1</f>
        <v>37178</v>
      </c>
      <c r="B292" s="131" t="str">
        <f aca="false">INDEX('Master Data'!$A$2:$B$8,MATCH(WEEKDAY('Rio Cuarto Power Trading'!A292,3),'Master Data'!$A$2:$A$8,0),2)</f>
        <v>Su</v>
      </c>
      <c r="D292" s="124" t="n">
        <v>0</v>
      </c>
      <c r="E292" s="124" t="n">
        <v>0</v>
      </c>
      <c r="F292" s="124" t="n">
        <v>0</v>
      </c>
      <c r="G292" s="124" t="n">
        <v>0</v>
      </c>
      <c r="I292" s="124" t="n">
        <f aca="false">IF(MONTH($A292)=MONTH($A291),IF(G292=0,I291,G292),G292)</f>
        <v>35350</v>
      </c>
      <c r="J292" s="124" t="n">
        <f aca="false">IF(MONTH($A292)=MONTH($A291),SUM(I292-I291),I292)</f>
        <v>0</v>
      </c>
      <c r="K292" s="124" t="n">
        <f aca="false">IF(WEEKDAY(A292,3)&gt;4,0,(IF(A292&lt;K$2,0,IF(A292&lt;=K$3,1,0))))</f>
        <v>0</v>
      </c>
      <c r="L292" s="124" t="n">
        <f aca="false">J292*K292</f>
        <v>0</v>
      </c>
      <c r="M292" s="124" t="n">
        <f aca="false">SUM(J$280:J292)</f>
        <v>35222</v>
      </c>
      <c r="N292" s="124" t="n">
        <f aca="false">SUM(J$6:J292)</f>
        <v>1105644.87</v>
      </c>
      <c r="P292" s="124" t="n">
        <f aca="false">D292/P$3</f>
        <v>0</v>
      </c>
      <c r="Q292" s="124" t="n">
        <f aca="false">E292/P$3</f>
        <v>0</v>
      </c>
      <c r="R292" s="124" t="n">
        <f aca="false">F292/R$3</f>
        <v>0</v>
      </c>
      <c r="S292" s="126" t="n">
        <f aca="false">J292/$R$3</f>
        <v>0</v>
      </c>
      <c r="T292" s="126" t="n">
        <f aca="false">L292/$R$3</f>
        <v>0</v>
      </c>
      <c r="U292" s="126" t="n">
        <f aca="false">I292/$R$3</f>
        <v>35.35</v>
      </c>
      <c r="V292" s="126" t="n">
        <f aca="false">M292/$R$3</f>
        <v>35.222</v>
      </c>
      <c r="W292" s="126" t="n">
        <f aca="false">N292/$R$3</f>
        <v>1105.64487</v>
      </c>
    </row>
    <row r="293" customFormat="false" ht="12.75" hidden="true" customHeight="false" outlineLevel="0" collapsed="false">
      <c r="A293" s="120" t="n">
        <f aca="false">A292+1</f>
        <v>37179</v>
      </c>
      <c r="B293" s="131" t="str">
        <f aca="false">INDEX('Master Data'!$A$2:$B$8,MATCH(WEEKDAY('Rio Cuarto Power Trading'!A293,3),'Master Data'!$A$2:$A$8,0),2)</f>
        <v>M</v>
      </c>
      <c r="D293" s="124" t="n">
        <v>-64487.932401032</v>
      </c>
      <c r="E293" s="124" t="n">
        <v>0</v>
      </c>
      <c r="F293" s="124" t="n">
        <v>0</v>
      </c>
      <c r="G293" s="124" t="n">
        <v>39069</v>
      </c>
      <c r="I293" s="124" t="n">
        <f aca="false">IF(MONTH($A293)=MONTH($A292),IF(G293=0,I292,G293),G293)</f>
        <v>39069</v>
      </c>
      <c r="J293" s="124" t="n">
        <f aca="false">IF(MONTH($A293)=MONTH($A292),SUM(I293-I292),I293)</f>
        <v>3719</v>
      </c>
      <c r="K293" s="124" t="n">
        <f aca="false">IF(WEEKDAY(A293,3)&gt;4,0,(IF(A293&lt;K$2,0,IF(A293&lt;=K$3,1,0))))</f>
        <v>0</v>
      </c>
      <c r="L293" s="124" t="n">
        <f aca="false">J293*K293</f>
        <v>0</v>
      </c>
      <c r="M293" s="124" t="n">
        <f aca="false">SUM(J$280:J293)</f>
        <v>38941</v>
      </c>
      <c r="N293" s="124" t="n">
        <f aca="false">SUM(J$6:J293)</f>
        <v>1109363.87</v>
      </c>
      <c r="P293" s="124" t="n">
        <f aca="false">D293/P$3</f>
        <v>-0.064487932401032</v>
      </c>
      <c r="Q293" s="124" t="n">
        <f aca="false">E293/P$3</f>
        <v>0</v>
      </c>
      <c r="R293" s="124" t="n">
        <f aca="false">F293/R$3</f>
        <v>0</v>
      </c>
      <c r="S293" s="126" t="n">
        <f aca="false">J293/$R$3</f>
        <v>3.719</v>
      </c>
      <c r="T293" s="126" t="n">
        <f aca="false">L293/$R$3</f>
        <v>0</v>
      </c>
      <c r="U293" s="126" t="n">
        <f aca="false">I293/$R$3</f>
        <v>39.069</v>
      </c>
      <c r="V293" s="126" t="n">
        <f aca="false">M293/$R$3</f>
        <v>38.941</v>
      </c>
      <c r="W293" s="126" t="n">
        <f aca="false">N293/$R$3</f>
        <v>1109.36387</v>
      </c>
    </row>
    <row r="294" customFormat="false" ht="12.75" hidden="true" customHeight="false" outlineLevel="0" collapsed="false">
      <c r="A294" s="120" t="n">
        <f aca="false">A293+1</f>
        <v>37180</v>
      </c>
      <c r="B294" s="131" t="str">
        <f aca="false">INDEX('Master Data'!$A$2:$B$8,MATCH(WEEKDAY('Rio Cuarto Power Trading'!A294,3),'Master Data'!$A$2:$A$8,0),2)</f>
        <v>T</v>
      </c>
      <c r="D294" s="124" t="n">
        <v>-63894.0150658472</v>
      </c>
      <c r="E294" s="124" t="n">
        <v>0</v>
      </c>
      <c r="F294" s="124" t="n">
        <v>0</v>
      </c>
      <c r="G294" s="124" t="n">
        <v>49572</v>
      </c>
      <c r="I294" s="124" t="n">
        <f aca="false">IF(MONTH($A294)=MONTH($A293),IF(G294=0,I293,G294),G294)</f>
        <v>49572</v>
      </c>
      <c r="J294" s="124" t="n">
        <f aca="false">IF(MONTH($A294)=MONTH($A293),SUM(I294-I293),I294)</f>
        <v>10503</v>
      </c>
      <c r="K294" s="124" t="n">
        <f aca="false">IF(WEEKDAY(A294,3)&gt;4,0,(IF(A294&lt;K$2,0,IF(A294&lt;=K$3,1,0))))</f>
        <v>0</v>
      </c>
      <c r="L294" s="124" t="n">
        <f aca="false">J294*K294</f>
        <v>0</v>
      </c>
      <c r="M294" s="124" t="n">
        <f aca="false">SUM(J$280:J294)</f>
        <v>49444</v>
      </c>
      <c r="N294" s="124" t="n">
        <f aca="false">SUM(J$6:J294)</f>
        <v>1119866.87</v>
      </c>
      <c r="P294" s="124" t="n">
        <f aca="false">D294/P$3</f>
        <v>-0.0638940150658472</v>
      </c>
      <c r="Q294" s="124" t="n">
        <f aca="false">E294/P$3</f>
        <v>0</v>
      </c>
      <c r="R294" s="124" t="n">
        <f aca="false">F294/R$3</f>
        <v>0</v>
      </c>
      <c r="S294" s="126" t="n">
        <f aca="false">J294/$R$3</f>
        <v>10.503</v>
      </c>
      <c r="T294" s="126" t="n">
        <f aca="false">L294/$R$3</f>
        <v>0</v>
      </c>
      <c r="U294" s="126" t="n">
        <f aca="false">I294/$R$3</f>
        <v>49.572</v>
      </c>
      <c r="V294" s="126" t="n">
        <f aca="false">M294/$R$3</f>
        <v>49.444</v>
      </c>
      <c r="W294" s="126" t="n">
        <f aca="false">N294/$R$3</f>
        <v>1119.86687</v>
      </c>
    </row>
    <row r="295" customFormat="false" ht="12.75" hidden="true" customHeight="false" outlineLevel="0" collapsed="false">
      <c r="A295" s="120" t="n">
        <f aca="false">A294+1</f>
        <v>37181</v>
      </c>
      <c r="B295" s="131" t="str">
        <f aca="false">INDEX('Master Data'!$A$2:$B$8,MATCH(WEEKDAY('Rio Cuarto Power Trading'!A295,3),'Master Data'!$A$2:$A$8,0),2)</f>
        <v>W</v>
      </c>
      <c r="D295" s="124" t="n">
        <v>-63300.5955489665</v>
      </c>
      <c r="E295" s="124" t="n">
        <v>0</v>
      </c>
      <c r="F295" s="124" t="n">
        <v>0</v>
      </c>
      <c r="G295" s="124" t="n">
        <v>59536</v>
      </c>
      <c r="I295" s="124" t="n">
        <f aca="false">IF(MONTH($A295)=MONTH($A294),IF(G295=0,I294,G295),G295)</f>
        <v>59536</v>
      </c>
      <c r="J295" s="124" t="n">
        <f aca="false">IF(MONTH($A295)=MONTH($A294),SUM(I295-I294),I295)</f>
        <v>9964</v>
      </c>
      <c r="K295" s="124" t="n">
        <f aca="false">IF(WEEKDAY(A295,3)&gt;4,0,(IF(A295&lt;K$2,0,IF(A295&lt;=K$3,1,0))))</f>
        <v>0</v>
      </c>
      <c r="L295" s="124" t="n">
        <f aca="false">J295*K295</f>
        <v>0</v>
      </c>
      <c r="M295" s="124" t="n">
        <f aca="false">SUM(J$280:J295)</f>
        <v>59408</v>
      </c>
      <c r="N295" s="124" t="n">
        <f aca="false">SUM(J$6:J295)</f>
        <v>1129830.87</v>
      </c>
      <c r="P295" s="124" t="n">
        <f aca="false">D295/P$3</f>
        <v>-0.0633005955489664</v>
      </c>
      <c r="Q295" s="124" t="n">
        <f aca="false">E295/P$3</f>
        <v>0</v>
      </c>
      <c r="R295" s="124" t="n">
        <f aca="false">F295/R$3</f>
        <v>0</v>
      </c>
      <c r="S295" s="126" t="n">
        <f aca="false">J295/$R$3</f>
        <v>9.964</v>
      </c>
      <c r="T295" s="126" t="n">
        <f aca="false">L295/$R$3</f>
        <v>0</v>
      </c>
      <c r="U295" s="126" t="n">
        <f aca="false">I295/$R$3</f>
        <v>59.536</v>
      </c>
      <c r="V295" s="126" t="n">
        <f aca="false">M295/$R$3</f>
        <v>59.408</v>
      </c>
      <c r="W295" s="126" t="n">
        <f aca="false">N295/$R$3</f>
        <v>1129.83087</v>
      </c>
    </row>
    <row r="296" customFormat="false" ht="12.75" hidden="true" customHeight="false" outlineLevel="0" collapsed="false">
      <c r="A296" s="120" t="n">
        <f aca="false">A295+1</f>
        <v>37182</v>
      </c>
      <c r="B296" s="131" t="str">
        <f aca="false">INDEX('Master Data'!$A$2:$B$8,MATCH(WEEKDAY('Rio Cuarto Power Trading'!A296,3),'Master Data'!$A$2:$A$8,0),2)</f>
        <v>Th</v>
      </c>
      <c r="D296" s="124" t="n">
        <v>-62480.9120732574</v>
      </c>
      <c r="E296" s="124" t="n">
        <v>0</v>
      </c>
      <c r="F296" s="124" t="n">
        <v>0</v>
      </c>
      <c r="G296" s="124" t="n">
        <v>69602</v>
      </c>
      <c r="I296" s="124" t="n">
        <f aca="false">IF(MONTH($A296)=MONTH($A295),IF(G296=0,I295,G296),G296)</f>
        <v>69602</v>
      </c>
      <c r="J296" s="124" t="n">
        <f aca="false">IF(MONTH($A296)=MONTH($A295),SUM(I296-I295),I296)</f>
        <v>10066</v>
      </c>
      <c r="K296" s="124" t="n">
        <f aca="false">IF(WEEKDAY(A296,3)&gt;4,0,(IF(A296&lt;K$2,0,IF(A296&lt;=K$3,1,0))))</f>
        <v>0</v>
      </c>
      <c r="L296" s="124" t="n">
        <f aca="false">J296*K296</f>
        <v>0</v>
      </c>
      <c r="M296" s="124" t="n">
        <f aca="false">SUM(J$280:J296)</f>
        <v>69474</v>
      </c>
      <c r="N296" s="124" t="n">
        <f aca="false">SUM(J$6:J296)</f>
        <v>1139896.87</v>
      </c>
      <c r="P296" s="124" t="n">
        <f aca="false">D296/P$3</f>
        <v>-0.0624809120732574</v>
      </c>
      <c r="Q296" s="124" t="n">
        <f aca="false">E296/P$3</f>
        <v>0</v>
      </c>
      <c r="R296" s="124" t="n">
        <f aca="false">F296/R$3</f>
        <v>0</v>
      </c>
      <c r="S296" s="126" t="n">
        <f aca="false">J296/$R$3</f>
        <v>10.066</v>
      </c>
      <c r="T296" s="126" t="n">
        <f aca="false">L296/$R$3</f>
        <v>0</v>
      </c>
      <c r="U296" s="126" t="n">
        <f aca="false">I296/$R$3</f>
        <v>69.602</v>
      </c>
      <c r="V296" s="126" t="n">
        <f aca="false">M296/$R$3</f>
        <v>69.474</v>
      </c>
      <c r="W296" s="126" t="n">
        <f aca="false">N296/$R$3</f>
        <v>1139.89687</v>
      </c>
    </row>
    <row r="297" customFormat="false" ht="12.75" hidden="true" customHeight="false" outlineLevel="0" collapsed="false">
      <c r="A297" s="120" t="n">
        <f aca="false">A296+1</f>
        <v>37183</v>
      </c>
      <c r="B297" s="131" t="str">
        <f aca="false">INDEX('Master Data'!$A$2:$B$8,MATCH(WEEKDAY('Rio Cuarto Power Trading'!A297,3),'Master Data'!$A$2:$A$8,0),2)</f>
        <v>F</v>
      </c>
      <c r="D297" s="124" t="n">
        <v>-61916.8104914177</v>
      </c>
      <c r="E297" s="124" t="n">
        <v>0</v>
      </c>
      <c r="F297" s="124" t="n">
        <v>0</v>
      </c>
      <c r="G297" s="124" t="n">
        <v>73594</v>
      </c>
      <c r="I297" s="124" t="n">
        <f aca="false">IF(MONTH($A297)=MONTH($A296),IF(G297=0,I296,G297),G297)</f>
        <v>73594</v>
      </c>
      <c r="J297" s="124" t="n">
        <f aca="false">IF(MONTH($A297)=MONTH($A296),SUM(I297-I296),I297)</f>
        <v>3992</v>
      </c>
      <c r="K297" s="124" t="n">
        <f aca="false">IF(WEEKDAY(A297,3)&gt;4,0,(IF(A297&lt;K$2,0,IF(A297&lt;=K$3,1,0))))</f>
        <v>0</v>
      </c>
      <c r="L297" s="124" t="n">
        <f aca="false">J297*K297</f>
        <v>0</v>
      </c>
      <c r="M297" s="124" t="n">
        <f aca="false">SUM(J$280:J297)</f>
        <v>73466</v>
      </c>
      <c r="N297" s="124" t="n">
        <f aca="false">SUM(J$6:J297)</f>
        <v>1143888.87</v>
      </c>
      <c r="P297" s="124" t="n">
        <f aca="false">D297/P$3</f>
        <v>-0.0619168104914177</v>
      </c>
      <c r="Q297" s="124" t="n">
        <f aca="false">E297/P$3</f>
        <v>0</v>
      </c>
      <c r="R297" s="124" t="n">
        <f aca="false">F297/R$3</f>
        <v>0</v>
      </c>
      <c r="S297" s="126" t="n">
        <f aca="false">J297/$R$3</f>
        <v>3.992</v>
      </c>
      <c r="T297" s="126" t="n">
        <f aca="false">L297/$R$3</f>
        <v>0</v>
      </c>
      <c r="U297" s="126" t="n">
        <f aca="false">I297/$R$3</f>
        <v>73.594</v>
      </c>
      <c r="V297" s="126" t="n">
        <f aca="false">M297/$R$3</f>
        <v>73.466</v>
      </c>
      <c r="W297" s="126" t="n">
        <f aca="false">N297/$R$3</f>
        <v>1143.88887</v>
      </c>
    </row>
    <row r="298" customFormat="false" ht="12.75" hidden="true" customHeight="false" outlineLevel="0" collapsed="false">
      <c r="A298" s="120" t="n">
        <f aca="false">A297+1</f>
        <v>37184</v>
      </c>
      <c r="B298" s="131" t="str">
        <f aca="false">INDEX('Master Data'!$A$2:$B$8,MATCH(WEEKDAY('Rio Cuarto Power Trading'!A298,3),'Master Data'!$A$2:$A$8,0),2)</f>
        <v>Sa</v>
      </c>
      <c r="D298" s="124" t="n">
        <v>0</v>
      </c>
      <c r="E298" s="124" t="n">
        <v>0</v>
      </c>
      <c r="F298" s="124" t="n">
        <v>0</v>
      </c>
      <c r="G298" s="124" t="n">
        <v>0</v>
      </c>
      <c r="I298" s="124" t="n">
        <f aca="false">IF(MONTH($A298)=MONTH($A297),IF(G298=0,I297,G298),G298)</f>
        <v>73594</v>
      </c>
      <c r="J298" s="124" t="n">
        <f aca="false">IF(MONTH($A298)=MONTH($A297),SUM(I298-I297),I298)</f>
        <v>0</v>
      </c>
      <c r="K298" s="124" t="n">
        <f aca="false">IF(WEEKDAY(A298,3)&gt;4,0,(IF(A298&lt;K$2,0,IF(A298&lt;=K$3,1,0))))</f>
        <v>0</v>
      </c>
      <c r="L298" s="124" t="n">
        <f aca="false">J298*K298</f>
        <v>0</v>
      </c>
      <c r="M298" s="124" t="n">
        <f aca="false">SUM(J$280:J298)</f>
        <v>73466</v>
      </c>
      <c r="N298" s="124" t="n">
        <f aca="false">SUM(J$6:J298)</f>
        <v>1143888.87</v>
      </c>
      <c r="P298" s="124" t="n">
        <f aca="false">D298/P$3</f>
        <v>0</v>
      </c>
      <c r="Q298" s="124" t="n">
        <f aca="false">E298/P$3</f>
        <v>0</v>
      </c>
      <c r="R298" s="124" t="n">
        <f aca="false">F298/R$3</f>
        <v>0</v>
      </c>
      <c r="S298" s="126" t="n">
        <f aca="false">J298/$R$3</f>
        <v>0</v>
      </c>
      <c r="T298" s="126" t="n">
        <f aca="false">L298/$R$3</f>
        <v>0</v>
      </c>
      <c r="U298" s="126" t="n">
        <f aca="false">I298/$R$3</f>
        <v>73.594</v>
      </c>
      <c r="V298" s="126" t="n">
        <f aca="false">M298/$R$3</f>
        <v>73.466</v>
      </c>
      <c r="W298" s="126" t="n">
        <f aca="false">N298/$R$3</f>
        <v>1143.88887</v>
      </c>
    </row>
    <row r="299" customFormat="false" ht="12.75" hidden="true" customHeight="false" outlineLevel="0" collapsed="false">
      <c r="A299" s="120" t="n">
        <f aca="false">A298+1</f>
        <v>37185</v>
      </c>
      <c r="B299" s="131" t="str">
        <f aca="false">INDEX('Master Data'!$A$2:$B$8,MATCH(WEEKDAY('Rio Cuarto Power Trading'!A299,3),'Master Data'!$A$2:$A$8,0),2)</f>
        <v>Su</v>
      </c>
      <c r="D299" s="124" t="n">
        <v>0</v>
      </c>
      <c r="E299" s="124" t="n">
        <v>0</v>
      </c>
      <c r="F299" s="124" t="n">
        <v>0</v>
      </c>
      <c r="G299" s="124" t="n">
        <v>0</v>
      </c>
      <c r="I299" s="124" t="n">
        <f aca="false">IF(MONTH($A299)=MONTH($A298),IF(G299=0,I298,G299),G299)</f>
        <v>73594</v>
      </c>
      <c r="J299" s="124" t="n">
        <f aca="false">IF(MONTH($A299)=MONTH($A298),SUM(I299-I298),I299)</f>
        <v>0</v>
      </c>
      <c r="K299" s="124" t="n">
        <f aca="false">IF(WEEKDAY(A299,3)&gt;4,0,(IF(A299&lt;K$2,0,IF(A299&lt;=K$3,1,0))))</f>
        <v>0</v>
      </c>
      <c r="L299" s="124" t="n">
        <f aca="false">J299*K299</f>
        <v>0</v>
      </c>
      <c r="M299" s="124" t="n">
        <f aca="false">SUM(J$280:J299)</f>
        <v>73466</v>
      </c>
      <c r="N299" s="124" t="n">
        <f aca="false">SUM(J$6:J299)</f>
        <v>1143888.87</v>
      </c>
      <c r="P299" s="124" t="n">
        <f aca="false">D299/P$3</f>
        <v>0</v>
      </c>
      <c r="Q299" s="124" t="n">
        <f aca="false">E299/P$3</f>
        <v>0</v>
      </c>
      <c r="R299" s="124" t="n">
        <f aca="false">F299/R$3</f>
        <v>0</v>
      </c>
      <c r="S299" s="126" t="n">
        <f aca="false">J299/$R$3</f>
        <v>0</v>
      </c>
      <c r="T299" s="126" t="n">
        <f aca="false">L299/$R$3</f>
        <v>0</v>
      </c>
      <c r="U299" s="126" t="n">
        <f aca="false">I299/$R$3</f>
        <v>73.594</v>
      </c>
      <c r="V299" s="126" t="n">
        <f aca="false">M299/$R$3</f>
        <v>73.466</v>
      </c>
      <c r="W299" s="126" t="n">
        <f aca="false">N299/$R$3</f>
        <v>1143.88887</v>
      </c>
    </row>
    <row r="300" customFormat="false" ht="12.75" hidden="true" customHeight="false" outlineLevel="0" collapsed="false">
      <c r="A300" s="120" t="n">
        <f aca="false">A299+1</f>
        <v>37186</v>
      </c>
      <c r="B300" s="131" t="str">
        <f aca="false">INDEX('Master Data'!$A$2:$B$8,MATCH(WEEKDAY('Rio Cuarto Power Trading'!A300,3),'Master Data'!$A$2:$A$8,0),2)</f>
        <v>M</v>
      </c>
      <c r="D300" s="124" t="n">
        <v>-60216.4899596831</v>
      </c>
      <c r="E300" s="124" t="n">
        <v>0</v>
      </c>
      <c r="F300" s="124" t="n">
        <v>0</v>
      </c>
      <c r="G300" s="124" t="n">
        <v>78667</v>
      </c>
      <c r="I300" s="124" t="n">
        <f aca="false">IF(MONTH($A300)=MONTH($A299),IF(G300=0,I299,G300),G300)</f>
        <v>78667</v>
      </c>
      <c r="J300" s="124" t="n">
        <f aca="false">IF(MONTH($A300)=MONTH($A299),SUM(I300-I299),I300)</f>
        <v>5073</v>
      </c>
      <c r="K300" s="124" t="n">
        <f aca="false">IF(WEEKDAY(A300,3)&gt;4,0,(IF(A300&lt;K$2,0,IF(A300&lt;=K$3,1,0))))</f>
        <v>0</v>
      </c>
      <c r="L300" s="124" t="n">
        <f aca="false">J300*K300</f>
        <v>0</v>
      </c>
      <c r="M300" s="124" t="n">
        <f aca="false">SUM(J$280:J300)</f>
        <v>78539</v>
      </c>
      <c r="N300" s="124" t="n">
        <f aca="false">SUM(J$6:J300)</f>
        <v>1148961.87</v>
      </c>
      <c r="P300" s="124" t="n">
        <f aca="false">D300/P$3</f>
        <v>-0.0602164899596831</v>
      </c>
      <c r="Q300" s="124" t="n">
        <f aca="false">E300/P$3</f>
        <v>0</v>
      </c>
      <c r="R300" s="124" t="n">
        <f aca="false">F300/R$3</f>
        <v>0</v>
      </c>
      <c r="S300" s="126" t="n">
        <f aca="false">J300/$R$3</f>
        <v>5.073</v>
      </c>
      <c r="T300" s="126" t="n">
        <f aca="false">L300/$R$3</f>
        <v>0</v>
      </c>
      <c r="U300" s="126" t="n">
        <f aca="false">I300/$R$3</f>
        <v>78.667</v>
      </c>
      <c r="V300" s="126" t="n">
        <f aca="false">M300/$R$3</f>
        <v>78.539</v>
      </c>
      <c r="W300" s="126" t="n">
        <f aca="false">N300/$R$3</f>
        <v>1148.96187</v>
      </c>
    </row>
    <row r="301" customFormat="false" ht="12.75" hidden="true" customHeight="false" outlineLevel="0" collapsed="false">
      <c r="A301" s="120" t="n">
        <f aca="false">A300+1</f>
        <v>37187</v>
      </c>
      <c r="B301" s="131" t="str">
        <f aca="false">INDEX('Master Data'!$A$2:$B$8,MATCH(WEEKDAY('Rio Cuarto Power Trading'!A301,3),'Master Data'!$A$2:$A$8,0),2)</f>
        <v>T</v>
      </c>
      <c r="D301" s="124" t="n">
        <v>-59644.8798312748</v>
      </c>
      <c r="E301" s="124" t="n">
        <v>0</v>
      </c>
      <c r="F301" s="124" t="n">
        <v>0</v>
      </c>
      <c r="G301" s="124" t="n">
        <v>89560</v>
      </c>
      <c r="I301" s="124" t="n">
        <f aca="false">IF(MONTH($A301)=MONTH($A300),IF(G301=0,I300,G301),G301)</f>
        <v>89560</v>
      </c>
      <c r="J301" s="124" t="n">
        <f aca="false">IF(MONTH($A301)=MONTH($A300),SUM(I301-I300),I301)</f>
        <v>10893</v>
      </c>
      <c r="K301" s="124" t="n">
        <f aca="false">IF(WEEKDAY(A301,3)&gt;4,0,(IF(A301&lt;K$2,0,IF(A301&lt;=K$3,1,0))))</f>
        <v>0</v>
      </c>
      <c r="L301" s="124" t="n">
        <f aca="false">J301*K301</f>
        <v>0</v>
      </c>
      <c r="M301" s="124" t="n">
        <f aca="false">SUM(J$280:J301)</f>
        <v>89432</v>
      </c>
      <c r="N301" s="124" t="n">
        <f aca="false">SUM(J$6:J301)</f>
        <v>1159854.87</v>
      </c>
      <c r="P301" s="124" t="n">
        <f aca="false">D301/P$3</f>
        <v>-0.0596448798312748</v>
      </c>
      <c r="Q301" s="124" t="n">
        <f aca="false">E301/P$3</f>
        <v>0</v>
      </c>
      <c r="R301" s="124" t="n">
        <f aca="false">F301/R$3</f>
        <v>0</v>
      </c>
      <c r="S301" s="126" t="n">
        <f aca="false">J301/$R$3</f>
        <v>10.893</v>
      </c>
      <c r="T301" s="126" t="n">
        <f aca="false">L301/$R$3</f>
        <v>0</v>
      </c>
      <c r="U301" s="126" t="n">
        <f aca="false">I301/$R$3</f>
        <v>89.56</v>
      </c>
      <c r="V301" s="126" t="n">
        <f aca="false">M301/$R$3</f>
        <v>89.432</v>
      </c>
      <c r="W301" s="126" t="n">
        <f aca="false">N301/$R$3</f>
        <v>1159.85487</v>
      </c>
    </row>
    <row r="302" customFormat="false" ht="12.75" hidden="true" customHeight="false" outlineLevel="0" collapsed="false">
      <c r="A302" s="120" t="n">
        <f aca="false">A301+1</f>
        <v>37188</v>
      </c>
      <c r="B302" s="131" t="str">
        <f aca="false">INDEX('Master Data'!$A$2:$B$8,MATCH(WEEKDAY('Rio Cuarto Power Trading'!A302,3),'Master Data'!$A$2:$A$8,0),2)</f>
        <v>W</v>
      </c>
      <c r="D302" s="124" t="n">
        <v>-59069.9860216805</v>
      </c>
      <c r="E302" s="124" t="n">
        <v>0</v>
      </c>
      <c r="F302" s="124" t="n">
        <v>0</v>
      </c>
      <c r="G302" s="124" t="n">
        <v>92791</v>
      </c>
      <c r="I302" s="124" t="n">
        <f aca="false">IF(MONTH($A302)=MONTH($A301),IF(G302=0,I301,G302),G302)</f>
        <v>92791</v>
      </c>
      <c r="J302" s="124" t="n">
        <f aca="false">IF(MONTH($A302)=MONTH($A301),SUM(I302-I301),I302)</f>
        <v>3231</v>
      </c>
      <c r="K302" s="124" t="n">
        <f aca="false">IF(WEEKDAY(A302,3)&gt;4,0,(IF(A302&lt;K$2,0,IF(A302&lt;=K$3,1,0))))</f>
        <v>0</v>
      </c>
      <c r="L302" s="124" t="n">
        <f aca="false">J302*K302</f>
        <v>0</v>
      </c>
      <c r="M302" s="124" t="n">
        <f aca="false">SUM(J$280:J302)</f>
        <v>92663</v>
      </c>
      <c r="N302" s="124" t="n">
        <f aca="false">SUM(J$6:J302)</f>
        <v>1163085.87</v>
      </c>
      <c r="P302" s="124" t="n">
        <f aca="false">D302/P$3</f>
        <v>-0.0590699860216805</v>
      </c>
      <c r="Q302" s="124" t="n">
        <f aca="false">E302/P$3</f>
        <v>0</v>
      </c>
      <c r="R302" s="124" t="n">
        <f aca="false">F302/R$3</f>
        <v>0</v>
      </c>
      <c r="S302" s="126" t="n">
        <f aca="false">J302/$R$3</f>
        <v>3.231</v>
      </c>
      <c r="T302" s="126" t="n">
        <f aca="false">L302/$R$3</f>
        <v>0</v>
      </c>
      <c r="U302" s="126" t="n">
        <f aca="false">I302/$R$3</f>
        <v>92.791</v>
      </c>
      <c r="V302" s="126" t="n">
        <f aca="false">M302/$R$3</f>
        <v>92.663</v>
      </c>
      <c r="W302" s="126" t="n">
        <f aca="false">N302/$R$3</f>
        <v>1163.08587</v>
      </c>
    </row>
    <row r="303" customFormat="false" ht="12.75" hidden="true" customHeight="false" outlineLevel="0" collapsed="false">
      <c r="A303" s="120" t="n">
        <f aca="false">A302+1</f>
        <v>37189</v>
      </c>
      <c r="B303" s="131" t="str">
        <f aca="false">INDEX('Master Data'!$A$2:$B$8,MATCH(WEEKDAY('Rio Cuarto Power Trading'!A303,3),'Master Data'!$A$2:$A$8,0),2)</f>
        <v>Th</v>
      </c>
      <c r="D303" s="124" t="n">
        <v>-58493.5004185866</v>
      </c>
      <c r="E303" s="124" t="n">
        <v>0</v>
      </c>
      <c r="F303" s="124" t="n">
        <v>0</v>
      </c>
      <c r="G303" s="124" t="n">
        <v>96486</v>
      </c>
      <c r="I303" s="124" t="n">
        <f aca="false">IF(MONTH($A303)=MONTH($A302),IF(G303=0,I302,G303),G303)</f>
        <v>96486</v>
      </c>
      <c r="J303" s="124" t="n">
        <f aca="false">IF(MONTH($A303)=MONTH($A302),SUM(I303-I302),I303)</f>
        <v>3695</v>
      </c>
      <c r="K303" s="124" t="n">
        <f aca="false">IF(WEEKDAY(A303,3)&gt;4,0,(IF(A303&lt;K$2,0,IF(A303&lt;=K$3,1,0))))</f>
        <v>0</v>
      </c>
      <c r="L303" s="124" t="n">
        <f aca="false">J303*K303</f>
        <v>0</v>
      </c>
      <c r="M303" s="124" t="n">
        <f aca="false">SUM(J$280:J303)</f>
        <v>96358</v>
      </c>
      <c r="N303" s="124" t="n">
        <f aca="false">SUM(J$6:J303)</f>
        <v>1166780.87</v>
      </c>
      <c r="P303" s="124" t="n">
        <f aca="false">D303/P$3</f>
        <v>-0.0584935004185866</v>
      </c>
      <c r="Q303" s="124" t="n">
        <f aca="false">E303/P$3</f>
        <v>0</v>
      </c>
      <c r="R303" s="124" t="n">
        <f aca="false">F303/R$3</f>
        <v>0</v>
      </c>
      <c r="S303" s="126" t="n">
        <f aca="false">J303/$R$3</f>
        <v>3.695</v>
      </c>
      <c r="T303" s="126" t="n">
        <f aca="false">L303/$R$3</f>
        <v>0</v>
      </c>
      <c r="U303" s="126" t="n">
        <f aca="false">I303/$R$3</f>
        <v>96.486</v>
      </c>
      <c r="V303" s="126" t="n">
        <f aca="false">M303/$R$3</f>
        <v>96.358</v>
      </c>
      <c r="W303" s="126" t="n">
        <f aca="false">N303/$R$3</f>
        <v>1166.78087</v>
      </c>
    </row>
    <row r="304" customFormat="false" ht="12.75" hidden="false" customHeight="false" outlineLevel="0" collapsed="false">
      <c r="A304" s="120" t="n">
        <f aca="false">A303+1</f>
        <v>37190</v>
      </c>
      <c r="B304" s="131" t="str">
        <f aca="false">INDEX('Master Data'!$A$2:$B$8,MATCH(WEEKDAY('Rio Cuarto Power Trading'!A304,3),'Master Data'!$A$2:$A$8,0),2)</f>
        <v>F</v>
      </c>
      <c r="D304" s="124" t="n">
        <v>-57914.1895506866</v>
      </c>
      <c r="E304" s="124" t="n">
        <v>0</v>
      </c>
      <c r="F304" s="124" t="n">
        <v>0</v>
      </c>
      <c r="G304" s="124" t="n">
        <v>101691</v>
      </c>
      <c r="I304" s="124" t="n">
        <f aca="false">IF(MONTH($A304)=MONTH($A303),IF(G304=0,I303,G304),G304)</f>
        <v>101691</v>
      </c>
      <c r="J304" s="124" t="n">
        <f aca="false">IF(MONTH($A304)=MONTH($A303),SUM(I304-I303),I304)</f>
        <v>5205</v>
      </c>
      <c r="K304" s="124" t="n">
        <f aca="false">IF(WEEKDAY(A304,3)&gt;4,0,(IF(A304&lt;K$2,0,IF(A304&lt;=K$3,1,0))))</f>
        <v>1</v>
      </c>
      <c r="L304" s="124" t="n">
        <f aca="false">J304*K304</f>
        <v>5205</v>
      </c>
      <c r="M304" s="124" t="n">
        <f aca="false">SUM(J$280:J304)</f>
        <v>101563</v>
      </c>
      <c r="N304" s="124" t="n">
        <f aca="false">SUM(J$6:J304)</f>
        <v>1171985.87</v>
      </c>
      <c r="P304" s="124" t="n">
        <f aca="false">D304/P$3</f>
        <v>-0.0579141895506866</v>
      </c>
      <c r="Q304" s="124" t="n">
        <f aca="false">E304/P$3</f>
        <v>0</v>
      </c>
      <c r="R304" s="124" t="n">
        <f aca="false">F304/R$3</f>
        <v>0</v>
      </c>
      <c r="S304" s="126" t="n">
        <f aca="false">J304/$R$3</f>
        <v>5.205</v>
      </c>
      <c r="T304" s="126" t="n">
        <f aca="false">L304/$R$3</f>
        <v>5.205</v>
      </c>
      <c r="U304" s="126" t="n">
        <f aca="false">I304/$R$3</f>
        <v>101.691</v>
      </c>
      <c r="V304" s="126" t="n">
        <f aca="false">M304/$R$3</f>
        <v>101.563</v>
      </c>
      <c r="W304" s="126" t="n">
        <f aca="false">N304/$R$3</f>
        <v>1171.98587</v>
      </c>
    </row>
    <row r="305" customFormat="false" ht="12.75" hidden="false" customHeight="false" outlineLevel="0" collapsed="false">
      <c r="A305" s="120" t="n">
        <f aca="false">A304+1</f>
        <v>37191</v>
      </c>
      <c r="B305" s="131" t="str">
        <f aca="false">INDEX('Master Data'!$A$2:$B$8,MATCH(WEEKDAY('Rio Cuarto Power Trading'!A305,3),'Master Data'!$A$2:$A$8,0),2)</f>
        <v>Sa</v>
      </c>
      <c r="D305" s="124" t="n">
        <v>0</v>
      </c>
      <c r="E305" s="124" t="n">
        <v>0</v>
      </c>
      <c r="F305" s="124" t="n">
        <v>0</v>
      </c>
      <c r="G305" s="124" t="n">
        <v>0</v>
      </c>
      <c r="I305" s="124" t="n">
        <f aca="false">IF(MONTH($A305)=MONTH($A304),IF(G305=0,I304,G305),G305)</f>
        <v>101691</v>
      </c>
      <c r="J305" s="124" t="n">
        <f aca="false">IF(MONTH($A305)=MONTH($A304),SUM(I305-I304),I305)</f>
        <v>0</v>
      </c>
      <c r="K305" s="124" t="n">
        <f aca="false">IF(WEEKDAY(A305,3)&gt;4,0,(IF(A305&lt;K$2,0,IF(A305&lt;=K$3,1,0))))</f>
        <v>0</v>
      </c>
      <c r="L305" s="124" t="n">
        <f aca="false">J305*K305</f>
        <v>0</v>
      </c>
      <c r="M305" s="124" t="n">
        <f aca="false">SUM(J$280:J305)</f>
        <v>101563</v>
      </c>
      <c r="N305" s="124" t="n">
        <f aca="false">SUM(J$6:J305)</f>
        <v>1171985.87</v>
      </c>
      <c r="P305" s="124" t="n">
        <f aca="false">D305/P$3</f>
        <v>0</v>
      </c>
      <c r="Q305" s="124" t="n">
        <f aca="false">E305/P$3</f>
        <v>0</v>
      </c>
      <c r="R305" s="124" t="n">
        <f aca="false">F305/R$3</f>
        <v>0</v>
      </c>
      <c r="S305" s="126" t="n">
        <f aca="false">J305/$R$3</f>
        <v>0</v>
      </c>
      <c r="T305" s="126" t="n">
        <f aca="false">L305/$R$3</f>
        <v>0</v>
      </c>
      <c r="U305" s="126" t="n">
        <f aca="false">I305/$R$3</f>
        <v>101.691</v>
      </c>
      <c r="V305" s="126" t="n">
        <f aca="false">M305/$R$3</f>
        <v>101.563</v>
      </c>
      <c r="W305" s="126" t="n">
        <f aca="false">N305/$R$3</f>
        <v>1171.98587</v>
      </c>
    </row>
    <row r="306" customFormat="false" ht="12.75" hidden="false" customHeight="false" outlineLevel="0" collapsed="false">
      <c r="A306" s="120" t="n">
        <f aca="false">A305+1</f>
        <v>37192</v>
      </c>
      <c r="B306" s="131" t="str">
        <f aca="false">INDEX('Master Data'!$A$2:$B$8,MATCH(WEEKDAY('Rio Cuarto Power Trading'!A306,3),'Master Data'!$A$2:$A$8,0),2)</f>
        <v>Su</v>
      </c>
      <c r="D306" s="124" t="n">
        <v>0</v>
      </c>
      <c r="E306" s="124" t="n">
        <v>0</v>
      </c>
      <c r="F306" s="124" t="n">
        <v>0</v>
      </c>
      <c r="G306" s="124" t="n">
        <v>0</v>
      </c>
      <c r="I306" s="124" t="n">
        <f aca="false">IF(MONTH($A306)=MONTH($A305),IF(G306=0,I305,G306),G306)</f>
        <v>101691</v>
      </c>
      <c r="J306" s="124" t="n">
        <f aca="false">IF(MONTH($A306)=MONTH($A305),SUM(I306-I305),I306)</f>
        <v>0</v>
      </c>
      <c r="K306" s="124" t="n">
        <f aca="false">IF(WEEKDAY(A306,3)&gt;4,0,(IF(A306&lt;K$2,0,IF(A306&lt;=K$3,1,0))))</f>
        <v>0</v>
      </c>
      <c r="L306" s="124" t="n">
        <f aca="false">J306*K306</f>
        <v>0</v>
      </c>
      <c r="M306" s="124" t="n">
        <f aca="false">SUM(J$280:J306)</f>
        <v>101563</v>
      </c>
      <c r="N306" s="124" t="n">
        <f aca="false">SUM(J$6:J306)</f>
        <v>1171985.87</v>
      </c>
      <c r="P306" s="124" t="n">
        <f aca="false">D306/P$3</f>
        <v>0</v>
      </c>
      <c r="Q306" s="124" t="n">
        <f aca="false">E306/P$3</f>
        <v>0</v>
      </c>
      <c r="R306" s="124" t="n">
        <f aca="false">F306/R$3</f>
        <v>0</v>
      </c>
      <c r="S306" s="126" t="n">
        <f aca="false">J306/$R$3</f>
        <v>0</v>
      </c>
      <c r="T306" s="126" t="n">
        <f aca="false">L306/$R$3</f>
        <v>0</v>
      </c>
      <c r="U306" s="126" t="n">
        <f aca="false">I306/$R$3</f>
        <v>101.691</v>
      </c>
      <c r="V306" s="126" t="n">
        <f aca="false">M306/$R$3</f>
        <v>101.563</v>
      </c>
      <c r="W306" s="126" t="n">
        <f aca="false">N306/$R$3</f>
        <v>1171.98587</v>
      </c>
    </row>
    <row r="307" customFormat="false" ht="12.75" hidden="false" customHeight="false" outlineLevel="0" collapsed="false">
      <c r="A307" s="120" t="n">
        <f aca="false">A306+1</f>
        <v>37193</v>
      </c>
      <c r="B307" s="131" t="str">
        <f aca="false">INDEX('Master Data'!$A$2:$B$8,MATCH(WEEKDAY('Rio Cuarto Power Trading'!A307,3),'Master Data'!$A$2:$A$8,0),2)</f>
        <v>M</v>
      </c>
      <c r="D307" s="124" t="n">
        <v>-56159.1976562582</v>
      </c>
      <c r="E307" s="124" t="n">
        <v>0</v>
      </c>
      <c r="F307" s="124" t="n">
        <v>0</v>
      </c>
      <c r="G307" s="124" t="n">
        <v>59364</v>
      </c>
      <c r="I307" s="124" t="n">
        <f aca="false">IF(MONTH($A307)=MONTH($A306),IF(G307=0,I306,G307),G307)</f>
        <v>59364</v>
      </c>
      <c r="J307" s="124" t="n">
        <f aca="false">IF(MONTH($A307)=MONTH($A306),SUM(I307-I306),I307)</f>
        <v>-42327</v>
      </c>
      <c r="K307" s="124" t="n">
        <f aca="false">IF(WEEKDAY(A307,3)&gt;4,0,(IF(A307&lt;K$2,0,IF(A307&lt;=K$3,1,0))))</f>
        <v>1</v>
      </c>
      <c r="L307" s="124" t="n">
        <f aca="false">J307*K307</f>
        <v>-42327</v>
      </c>
      <c r="M307" s="124" t="n">
        <f aca="false">SUM(J$280:J307)</f>
        <v>59236</v>
      </c>
      <c r="N307" s="124" t="n">
        <f aca="false">SUM(J$6:J307)</f>
        <v>1129658.87</v>
      </c>
      <c r="P307" s="124" t="n">
        <f aca="false">D307/P$3</f>
        <v>-0.0561591976562582</v>
      </c>
      <c r="Q307" s="124" t="n">
        <f aca="false">E307/P$3</f>
        <v>0</v>
      </c>
      <c r="R307" s="124" t="n">
        <f aca="false">F307/R$3</f>
        <v>0</v>
      </c>
      <c r="S307" s="126" t="n">
        <f aca="false">J307/$R$3</f>
        <v>-42.327</v>
      </c>
      <c r="T307" s="126" t="n">
        <f aca="false">L307/$R$3</f>
        <v>-42.327</v>
      </c>
      <c r="U307" s="126" t="n">
        <f aca="false">I307/$R$3</f>
        <v>59.364</v>
      </c>
      <c r="V307" s="126" t="n">
        <f aca="false">M307/$R$3</f>
        <v>59.236</v>
      </c>
      <c r="W307" s="126" t="n">
        <f aca="false">N307/$R$3</f>
        <v>1129.65887</v>
      </c>
    </row>
    <row r="308" customFormat="false" ht="12.75" hidden="false" customHeight="false" outlineLevel="0" collapsed="false">
      <c r="A308" s="120" t="n">
        <f aca="false">A307+1</f>
        <v>37194</v>
      </c>
      <c r="B308" s="131" t="str">
        <f aca="false">INDEX('Master Data'!$A$2:$B$8,MATCH(WEEKDAY('Rio Cuarto Power Trading'!A308,3),'Master Data'!$A$2:$A$8,0),2)</f>
        <v>T</v>
      </c>
      <c r="D308" s="124" t="n">
        <v>-55569.2255757403</v>
      </c>
      <c r="E308" s="124" t="n">
        <v>0</v>
      </c>
      <c r="F308" s="124" t="n">
        <v>0</v>
      </c>
      <c r="G308" s="124" t="n">
        <v>30897</v>
      </c>
      <c r="I308" s="124" t="n">
        <f aca="false">IF(MONTH($A308)=MONTH($A307),IF(G308=0,I307,G308),G308)</f>
        <v>30897</v>
      </c>
      <c r="J308" s="124" t="n">
        <f aca="false">IF(MONTH($A308)=MONTH($A307),SUM(I308-I307),I308)</f>
        <v>-28467</v>
      </c>
      <c r="K308" s="124" t="n">
        <f aca="false">IF(WEEKDAY(A308,3)&gt;4,0,(IF(A308&lt;K$2,0,IF(A308&lt;=K$3,1,0))))</f>
        <v>1</v>
      </c>
      <c r="L308" s="124" t="n">
        <f aca="false">J308*K308</f>
        <v>-28467</v>
      </c>
      <c r="M308" s="124" t="n">
        <f aca="false">SUM(J$280:J308)</f>
        <v>30769</v>
      </c>
      <c r="N308" s="124" t="n">
        <f aca="false">SUM(J$6:J308)</f>
        <v>1101191.87</v>
      </c>
      <c r="P308" s="124" t="n">
        <f aca="false">D308/P$3</f>
        <v>-0.0555692255757403</v>
      </c>
      <c r="Q308" s="124" t="n">
        <f aca="false">E308/P$3</f>
        <v>0</v>
      </c>
      <c r="R308" s="124" t="n">
        <f aca="false">F308/R$3</f>
        <v>0</v>
      </c>
      <c r="S308" s="126" t="n">
        <f aca="false">J308/$R$3</f>
        <v>-28.467</v>
      </c>
      <c r="T308" s="126" t="n">
        <f aca="false">L308/$R$3</f>
        <v>-28.467</v>
      </c>
      <c r="U308" s="126" t="n">
        <f aca="false">I308/$R$3</f>
        <v>30.897</v>
      </c>
      <c r="V308" s="126" t="n">
        <f aca="false">M308/$R$3</f>
        <v>30.769</v>
      </c>
      <c r="W308" s="126" t="n">
        <f aca="false">N308/$R$3</f>
        <v>1101.19187</v>
      </c>
    </row>
    <row r="309" customFormat="false" ht="12.75" hidden="false" customHeight="false" outlineLevel="0" collapsed="false">
      <c r="A309" s="120" t="n">
        <f aca="false">A308+1</f>
        <v>37195</v>
      </c>
      <c r="B309" s="131" t="str">
        <f aca="false">INDEX('Master Data'!$A$2:$B$8,MATCH(WEEKDAY('Rio Cuarto Power Trading'!A309,3),'Master Data'!$A$2:$A$8,0),2)</f>
        <v>W</v>
      </c>
      <c r="D309" s="124" t="n">
        <v>-54975.0828243028</v>
      </c>
      <c r="E309" s="124" t="n">
        <v>0</v>
      </c>
      <c r="F309" s="124" t="n">
        <v>0</v>
      </c>
      <c r="G309" s="124" t="n">
        <v>100085</v>
      </c>
      <c r="I309" s="124" t="n">
        <f aca="false">IF(MONTH($A309)=MONTH($A308),IF(G309=0,I308,G309),G309)</f>
        <v>100085</v>
      </c>
      <c r="J309" s="124" t="n">
        <f aca="false">IF(MONTH($A309)=MONTH($A308),SUM(I309-I308),I309)</f>
        <v>69188</v>
      </c>
      <c r="K309" s="124" t="n">
        <f aca="false">IF(WEEKDAY(A309,3)&gt;4,0,(IF(A309&lt;K$2,0,IF(A309&lt;=K$3,1,0))))</f>
        <v>1</v>
      </c>
      <c r="L309" s="124" t="n">
        <f aca="false">J309*K309</f>
        <v>69188</v>
      </c>
      <c r="M309" s="124" t="n">
        <f aca="false">SUM(J$280:J309)</f>
        <v>99957</v>
      </c>
      <c r="N309" s="124" t="n">
        <f aca="false">SUM(J$6:J309)</f>
        <v>1170379.87</v>
      </c>
      <c r="P309" s="124" t="n">
        <f aca="false">D309/P$3</f>
        <v>-0.0549750828243028</v>
      </c>
      <c r="Q309" s="124" t="n">
        <f aca="false">E309/P$3</f>
        <v>0</v>
      </c>
      <c r="R309" s="124" t="n">
        <f aca="false">F309/R$3</f>
        <v>0</v>
      </c>
      <c r="S309" s="126" t="n">
        <f aca="false">J309/$R$3</f>
        <v>69.188</v>
      </c>
      <c r="T309" s="126" t="n">
        <f aca="false">L309/$R$3</f>
        <v>69.188</v>
      </c>
      <c r="U309" s="126" t="n">
        <f aca="false">I309/$R$3</f>
        <v>100.085</v>
      </c>
      <c r="V309" s="126" t="n">
        <f aca="false">M309/$R$3</f>
        <v>99.957</v>
      </c>
      <c r="W309" s="126" t="n">
        <f aca="false">N309/$R$3</f>
        <v>1170.37987</v>
      </c>
    </row>
    <row r="310" customFormat="false" ht="12.75" hidden="false" customHeight="false" outlineLevel="0" collapsed="false">
      <c r="A310" s="120" t="n">
        <f aca="false">A309+1</f>
        <v>37196</v>
      </c>
      <c r="B310" s="131" t="str">
        <f aca="false">INDEX('Master Data'!$A$2:$B$8,MATCH(WEEKDAY('Rio Cuarto Power Trading'!A310,3),'Master Data'!$A$2:$A$8,0),2)</f>
        <v>Th</v>
      </c>
      <c r="D310" s="124" t="n">
        <v>-54380.7093527648</v>
      </c>
      <c r="E310" s="124" t="n">
        <v>0</v>
      </c>
      <c r="F310" s="124" t="n">
        <v>0</v>
      </c>
      <c r="G310" s="124" t="n">
        <v>87</v>
      </c>
      <c r="I310" s="124" t="n">
        <f aca="false">IF(MONTH($A310)=MONTH($A309),IF(G310=0,I309,G310),G310)</f>
        <v>87</v>
      </c>
      <c r="J310" s="124" t="n">
        <f aca="false">IF(MONTH($A310)=MONTH($A309),SUM(I310-I309),I310)</f>
        <v>87</v>
      </c>
      <c r="K310" s="124" t="n">
        <f aca="false">IF(WEEKDAY(A310,3)&gt;4,0,(IF(A310&lt;K$2,0,IF(A310&lt;=K$3,1,0))))</f>
        <v>1</v>
      </c>
      <c r="L310" s="124" t="n">
        <f aca="false">J310*K310</f>
        <v>87</v>
      </c>
      <c r="M310" s="124" t="n">
        <f aca="false">SUM(J$280:J310)</f>
        <v>100044</v>
      </c>
      <c r="N310" s="124" t="n">
        <f aca="false">SUM(J$6:J310)</f>
        <v>1170466.87</v>
      </c>
      <c r="P310" s="124" t="n">
        <f aca="false">D310/P$3</f>
        <v>-0.0543807093527648</v>
      </c>
      <c r="Q310" s="124" t="n">
        <f aca="false">E310/P$3</f>
        <v>0</v>
      </c>
      <c r="R310" s="124" t="n">
        <f aca="false">F310/R$3</f>
        <v>0</v>
      </c>
      <c r="S310" s="126" t="n">
        <f aca="false">J310/$R$3</f>
        <v>0.087</v>
      </c>
      <c r="T310" s="126" t="n">
        <f aca="false">L310/$R$3</f>
        <v>0.087</v>
      </c>
      <c r="U310" s="126" t="n">
        <f aca="false">I310/$R$3</f>
        <v>0.087</v>
      </c>
      <c r="V310" s="126" t="n">
        <f aca="false">M310/$R$3</f>
        <v>100.044</v>
      </c>
      <c r="W310" s="126" t="n">
        <f aca="false">N310/$R$3</f>
        <v>1170.46687</v>
      </c>
    </row>
    <row r="311" customFormat="false" ht="12.75" hidden="false" customHeight="false" outlineLevel="0" collapsed="false">
      <c r="A311" s="120" t="n">
        <f aca="false">A310+1</f>
        <v>37197</v>
      </c>
      <c r="B311" s="131" t="str">
        <f aca="false">INDEX('Master Data'!$A$2:$B$8,MATCH(WEEKDAY('Rio Cuarto Power Trading'!A311,3),'Master Data'!$A$2:$A$8,0),2)</f>
        <v>F</v>
      </c>
      <c r="D311" s="124" t="n">
        <v>0</v>
      </c>
      <c r="E311" s="124" t="n">
        <v>0</v>
      </c>
      <c r="F311" s="124" t="n">
        <v>0</v>
      </c>
      <c r="G311" s="124" t="n">
        <v>0</v>
      </c>
      <c r="I311" s="124" t="n">
        <f aca="false">IF(MONTH($A311)=MONTH($A310),IF(G311=0,I310,G311),G311)</f>
        <v>87</v>
      </c>
      <c r="J311" s="124" t="n">
        <f aca="false">IF(MONTH($A311)=MONTH($A310),SUM(I311-I310),I311)</f>
        <v>0</v>
      </c>
      <c r="K311" s="124" t="n">
        <f aca="false">IF(WEEKDAY(A311,3)&gt;4,0,(IF(A311&lt;K$2,0,IF(A311&lt;=K$3,1,0))))</f>
        <v>0</v>
      </c>
      <c r="L311" s="124" t="n">
        <f aca="false">J311*K311</f>
        <v>0</v>
      </c>
      <c r="M311" s="124" t="n">
        <f aca="false">SUM(J$280:J311)</f>
        <v>100044</v>
      </c>
      <c r="N311" s="124" t="n">
        <f aca="false">SUM(J$6:J311)</f>
        <v>1170466.87</v>
      </c>
      <c r="P311" s="124" t="n">
        <f aca="false">D311/P$3</f>
        <v>0</v>
      </c>
      <c r="Q311" s="124" t="n">
        <f aca="false">E311/P$3</f>
        <v>0</v>
      </c>
      <c r="R311" s="124" t="n">
        <f aca="false">F311/R$3</f>
        <v>0</v>
      </c>
      <c r="S311" s="126" t="n">
        <f aca="false">J311/$R$3</f>
        <v>0</v>
      </c>
      <c r="T311" s="126" t="n">
        <f aca="false">L311/$R$3</f>
        <v>0</v>
      </c>
      <c r="U311" s="126" t="n">
        <f aca="false">I311/$R$3</f>
        <v>0.087</v>
      </c>
      <c r="V311" s="126" t="n">
        <f aca="false">M311/$R$3</f>
        <v>100.044</v>
      </c>
      <c r="W311" s="126" t="n">
        <f aca="false">N311/$R$3</f>
        <v>1170.46687</v>
      </c>
    </row>
    <row r="312" customFormat="false" ht="12.75" hidden="false" customHeight="false" outlineLevel="0" collapsed="false">
      <c r="A312" s="120" t="n">
        <f aca="false">A311+1</f>
        <v>37198</v>
      </c>
      <c r="B312" s="131" t="str">
        <f aca="false">INDEX('Master Data'!$A$2:$B$8,MATCH(WEEKDAY('Rio Cuarto Power Trading'!A312,3),'Master Data'!$A$2:$A$8,0),2)</f>
        <v>Sa</v>
      </c>
      <c r="D312" s="124" t="n">
        <v>0</v>
      </c>
      <c r="E312" s="124" t="n">
        <v>0</v>
      </c>
      <c r="F312" s="124" t="n">
        <v>0</v>
      </c>
      <c r="G312" s="124" t="n">
        <v>0</v>
      </c>
      <c r="I312" s="124" t="n">
        <f aca="false">IF(MONTH($A312)=MONTH($A311),IF(G312=0,I311,G312),G312)</f>
        <v>87</v>
      </c>
      <c r="J312" s="124" t="n">
        <f aca="false">IF(MONTH($A312)=MONTH($A311),SUM(I312-I311),I312)</f>
        <v>0</v>
      </c>
      <c r="K312" s="124" t="n">
        <f aca="false">IF(WEEKDAY(A312,3)&gt;4,0,(IF(A312&lt;K$2,0,IF(A312&lt;=K$3,1,0))))</f>
        <v>0</v>
      </c>
      <c r="L312" s="124" t="n">
        <f aca="false">J312*K312</f>
        <v>0</v>
      </c>
      <c r="M312" s="124" t="n">
        <f aca="false">SUM(J$280:J312)</f>
        <v>100044</v>
      </c>
      <c r="N312" s="124" t="n">
        <f aca="false">SUM(J$6:J312)</f>
        <v>1170466.87</v>
      </c>
      <c r="P312" s="124" t="n">
        <f aca="false">D312/P$3</f>
        <v>0</v>
      </c>
      <c r="Q312" s="124" t="n">
        <f aca="false">E312/P$3</f>
        <v>0</v>
      </c>
      <c r="R312" s="124" t="n">
        <f aca="false">F312/R$3</f>
        <v>0</v>
      </c>
      <c r="S312" s="126" t="n">
        <f aca="false">J312/$R$3</f>
        <v>0</v>
      </c>
      <c r="T312" s="126" t="n">
        <f aca="false">L312/$R$3</f>
        <v>0</v>
      </c>
      <c r="U312" s="126" t="n">
        <f aca="false">I312/$R$3</f>
        <v>0.087</v>
      </c>
      <c r="V312" s="126" t="n">
        <f aca="false">M312/$R$3</f>
        <v>100.044</v>
      </c>
      <c r="W312" s="126" t="n">
        <f aca="false">N312/$R$3</f>
        <v>1170.46687</v>
      </c>
    </row>
    <row r="313" customFormat="false" ht="12.75" hidden="false" customHeight="false" outlineLevel="0" collapsed="false">
      <c r="A313" s="120" t="n">
        <f aca="false">A312+1</f>
        <v>37199</v>
      </c>
      <c r="B313" s="131" t="str">
        <f aca="false">INDEX('Master Data'!$A$2:$B$8,MATCH(WEEKDAY('Rio Cuarto Power Trading'!A313,3),'Master Data'!$A$2:$A$8,0),2)</f>
        <v>Su</v>
      </c>
      <c r="D313" s="124" t="n">
        <v>0</v>
      </c>
      <c r="E313" s="124" t="n">
        <v>0</v>
      </c>
      <c r="F313" s="124" t="n">
        <v>0</v>
      </c>
      <c r="G313" s="124" t="n">
        <v>0</v>
      </c>
      <c r="I313" s="124" t="n">
        <f aca="false">IF(MONTH($A313)=MONTH($A312),IF(G313=0,I312,G313),G313)</f>
        <v>87</v>
      </c>
      <c r="J313" s="124" t="n">
        <f aca="false">IF(MONTH($A313)=MONTH($A312),SUM(I313-I312),I313)</f>
        <v>0</v>
      </c>
      <c r="K313" s="124" t="n">
        <f aca="false">IF(WEEKDAY(A313,3)&gt;4,0,(IF(A313&lt;K$2,0,IF(A313&lt;=K$3,1,0))))</f>
        <v>0</v>
      </c>
      <c r="L313" s="124" t="n">
        <f aca="false">J313*K313</f>
        <v>0</v>
      </c>
      <c r="M313" s="124" t="n">
        <f aca="false">SUM(J$280:J313)</f>
        <v>100044</v>
      </c>
      <c r="N313" s="124" t="n">
        <f aca="false">SUM(J$6:J313)</f>
        <v>1170466.87</v>
      </c>
      <c r="P313" s="124" t="n">
        <f aca="false">D313/P$3</f>
        <v>0</v>
      </c>
      <c r="Q313" s="124" t="n">
        <f aca="false">E313/P$3</f>
        <v>0</v>
      </c>
      <c r="R313" s="124" t="n">
        <f aca="false">F313/R$3</f>
        <v>0</v>
      </c>
      <c r="S313" s="126" t="n">
        <f aca="false">J313/$R$3</f>
        <v>0</v>
      </c>
      <c r="T313" s="126" t="n">
        <f aca="false">L313/$R$3</f>
        <v>0</v>
      </c>
      <c r="U313" s="126" t="n">
        <f aca="false">I313/$R$3</f>
        <v>0.087</v>
      </c>
      <c r="V313" s="126" t="n">
        <f aca="false">M313/$R$3</f>
        <v>100.044</v>
      </c>
      <c r="W313" s="126" t="n">
        <f aca="false">N313/$R$3</f>
        <v>1170.46687</v>
      </c>
    </row>
    <row r="314" customFormat="false" ht="12.75" hidden="false" customHeight="false" outlineLevel="0" collapsed="false">
      <c r="A314" s="120" t="n">
        <f aca="false">A313+1</f>
        <v>37200</v>
      </c>
      <c r="B314" s="131" t="str">
        <f aca="false">INDEX('Master Data'!$A$2:$B$8,MATCH(WEEKDAY('Rio Cuarto Power Trading'!A314,3),'Master Data'!$A$2:$A$8,0),2)</f>
        <v>M</v>
      </c>
      <c r="D314" s="124" t="n">
        <v>0</v>
      </c>
      <c r="E314" s="124" t="n">
        <v>0</v>
      </c>
      <c r="F314" s="124" t="n">
        <v>0</v>
      </c>
      <c r="G314" s="124" t="n">
        <v>0</v>
      </c>
      <c r="I314" s="124" t="n">
        <f aca="false">IF(MONTH($A314)=MONTH($A313),IF(G314=0,I313,G314),G314)</f>
        <v>87</v>
      </c>
      <c r="J314" s="124" t="n">
        <f aca="false">IF(MONTH($A314)=MONTH($A313),SUM(I314-I313),I314)</f>
        <v>0</v>
      </c>
      <c r="K314" s="124" t="n">
        <f aca="false">IF(WEEKDAY(A314,3)&gt;4,0,(IF(A314&lt;K$2,0,IF(A314&lt;=K$3,1,0))))</f>
        <v>0</v>
      </c>
      <c r="L314" s="124" t="n">
        <f aca="false">J314*K314</f>
        <v>0</v>
      </c>
      <c r="M314" s="124" t="n">
        <f aca="false">SUM(J$280:J314)</f>
        <v>100044</v>
      </c>
      <c r="N314" s="124" t="n">
        <f aca="false">SUM(J$6:J314)</f>
        <v>1170466.87</v>
      </c>
      <c r="P314" s="124" t="n">
        <f aca="false">D314/P$3</f>
        <v>0</v>
      </c>
      <c r="Q314" s="124" t="n">
        <f aca="false">E314/P$3</f>
        <v>0</v>
      </c>
      <c r="R314" s="124" t="n">
        <f aca="false">F314/R$3</f>
        <v>0</v>
      </c>
      <c r="S314" s="126" t="n">
        <f aca="false">J314/$R$3</f>
        <v>0</v>
      </c>
      <c r="T314" s="126" t="n">
        <f aca="false">L314/$R$3</f>
        <v>0</v>
      </c>
      <c r="U314" s="126" t="n">
        <f aca="false">I314/$R$3</f>
        <v>0.087</v>
      </c>
      <c r="V314" s="126" t="n">
        <f aca="false">M314/$R$3</f>
        <v>100.044</v>
      </c>
      <c r="W314" s="126" t="n">
        <f aca="false">N314/$R$3</f>
        <v>1170.46687</v>
      </c>
    </row>
    <row r="315" customFormat="false" ht="12.75" hidden="false" customHeight="false" outlineLevel="0" collapsed="false">
      <c r="A315" s="120" t="n">
        <f aca="false">A314+1</f>
        <v>37201</v>
      </c>
      <c r="B315" s="131" t="str">
        <f aca="false">INDEX('Master Data'!$A$2:$B$8,MATCH(WEEKDAY('Rio Cuarto Power Trading'!A315,3),'Master Data'!$A$2:$A$8,0),2)</f>
        <v>T</v>
      </c>
      <c r="D315" s="124" t="n">
        <v>0</v>
      </c>
      <c r="E315" s="124" t="n">
        <v>0</v>
      </c>
      <c r="F315" s="124" t="n">
        <v>0</v>
      </c>
      <c r="G315" s="124" t="n">
        <v>0</v>
      </c>
      <c r="I315" s="124" t="n">
        <f aca="false">IF(MONTH($A315)=MONTH($A314),IF(G315=0,I314,G315),G315)</f>
        <v>87</v>
      </c>
      <c r="J315" s="124" t="n">
        <f aca="false">IF(MONTH($A315)=MONTH($A314),SUM(I315-I314),I315)</f>
        <v>0</v>
      </c>
      <c r="K315" s="124" t="n">
        <f aca="false">IF(WEEKDAY(A315,3)&gt;4,0,(IF(A315&lt;K$2,0,IF(A315&lt;=K$3,1,0))))</f>
        <v>0</v>
      </c>
      <c r="L315" s="124" t="n">
        <f aca="false">J315*K315</f>
        <v>0</v>
      </c>
      <c r="M315" s="124" t="n">
        <f aca="false">SUM(J$280:J315)</f>
        <v>100044</v>
      </c>
      <c r="N315" s="124" t="n">
        <f aca="false">SUM(J$6:J315)</f>
        <v>1170466.87</v>
      </c>
      <c r="P315" s="124" t="n">
        <f aca="false">D315/P$3</f>
        <v>0</v>
      </c>
      <c r="Q315" s="124" t="n">
        <f aca="false">E315/P$3</f>
        <v>0</v>
      </c>
      <c r="R315" s="124" t="n">
        <f aca="false">F315/R$3</f>
        <v>0</v>
      </c>
      <c r="S315" s="126" t="n">
        <f aca="false">J315/$R$3</f>
        <v>0</v>
      </c>
      <c r="T315" s="126" t="n">
        <f aca="false">L315/$R$3</f>
        <v>0</v>
      </c>
      <c r="U315" s="126" t="n">
        <f aca="false">I315/$R$3</f>
        <v>0.087</v>
      </c>
      <c r="V315" s="126" t="n">
        <f aca="false">M315/$R$3</f>
        <v>100.044</v>
      </c>
      <c r="W315" s="126" t="n">
        <f aca="false">N315/$R$3</f>
        <v>1170.46687</v>
      </c>
    </row>
    <row r="316" customFormat="false" ht="12.75" hidden="false" customHeight="false" outlineLevel="0" collapsed="false">
      <c r="A316" s="120" t="n">
        <f aca="false">A315+1</f>
        <v>37202</v>
      </c>
      <c r="B316" s="131" t="str">
        <f aca="false">INDEX('Master Data'!$A$2:$B$8,MATCH(WEEKDAY('Rio Cuarto Power Trading'!A316,3),'Master Data'!$A$2:$A$8,0),2)</f>
        <v>W</v>
      </c>
      <c r="D316" s="124" t="n">
        <v>0</v>
      </c>
      <c r="E316" s="124" t="n">
        <v>0</v>
      </c>
      <c r="F316" s="124" t="n">
        <v>0</v>
      </c>
      <c r="G316" s="124" t="n">
        <v>0</v>
      </c>
      <c r="I316" s="124" t="n">
        <f aca="false">IF(MONTH($A316)=MONTH($A315),IF(G316=0,I315,G316),G316)</f>
        <v>87</v>
      </c>
      <c r="J316" s="124" t="n">
        <f aca="false">IF(MONTH($A316)=MONTH($A315),SUM(I316-I315),I316)</f>
        <v>0</v>
      </c>
      <c r="K316" s="124" t="n">
        <f aca="false">IF(WEEKDAY(A316,3)&gt;4,0,(IF(A316&lt;K$2,0,IF(A316&lt;=K$3,1,0))))</f>
        <v>0</v>
      </c>
      <c r="L316" s="124" t="n">
        <f aca="false">J316*K316</f>
        <v>0</v>
      </c>
      <c r="M316" s="124" t="n">
        <f aca="false">SUM(J$280:J316)</f>
        <v>100044</v>
      </c>
      <c r="N316" s="124" t="n">
        <f aca="false">SUM(J$6:J316)</f>
        <v>1170466.87</v>
      </c>
      <c r="P316" s="124" t="n">
        <f aca="false">D316/P$3</f>
        <v>0</v>
      </c>
      <c r="Q316" s="124" t="n">
        <f aca="false">E316/P$3</f>
        <v>0</v>
      </c>
      <c r="R316" s="124" t="n">
        <f aca="false">F316/R$3</f>
        <v>0</v>
      </c>
      <c r="S316" s="126" t="n">
        <f aca="false">J316/$R$3</f>
        <v>0</v>
      </c>
      <c r="T316" s="126" t="n">
        <f aca="false">L316/$R$3</f>
        <v>0</v>
      </c>
      <c r="U316" s="126" t="n">
        <f aca="false">I316/$R$3</f>
        <v>0.087</v>
      </c>
      <c r="V316" s="126" t="n">
        <f aca="false">M316/$R$3</f>
        <v>100.044</v>
      </c>
      <c r="W316" s="126" t="n">
        <f aca="false">N316/$R$3</f>
        <v>1170.46687</v>
      </c>
    </row>
    <row r="317" customFormat="false" ht="12.75" hidden="false" customHeight="false" outlineLevel="0" collapsed="false">
      <c r="A317" s="120" t="n">
        <f aca="false">A316+1</f>
        <v>37203</v>
      </c>
      <c r="B317" s="131" t="str">
        <f aca="false">INDEX('Master Data'!$A$2:$B$8,MATCH(WEEKDAY('Rio Cuarto Power Trading'!A317,3),'Master Data'!$A$2:$A$8,0),2)</f>
        <v>Th</v>
      </c>
      <c r="D317" s="124" t="n">
        <v>0</v>
      </c>
      <c r="E317" s="124" t="n">
        <v>0</v>
      </c>
      <c r="F317" s="124" t="n">
        <v>0</v>
      </c>
      <c r="G317" s="124" t="n">
        <v>0</v>
      </c>
      <c r="I317" s="124" t="n">
        <f aca="false">IF(MONTH($A317)=MONTH($A316),IF(G317=0,I316,G317),G317)</f>
        <v>87</v>
      </c>
      <c r="J317" s="124" t="n">
        <f aca="false">IF(MONTH($A317)=MONTH($A316),SUM(I317-I316),I317)</f>
        <v>0</v>
      </c>
      <c r="K317" s="124" t="n">
        <f aca="false">IF(WEEKDAY(A317,3)&gt;4,0,(IF(A317&lt;K$2,0,IF(A317&lt;=K$3,1,0))))</f>
        <v>0</v>
      </c>
      <c r="L317" s="124" t="n">
        <f aca="false">J317*K317</f>
        <v>0</v>
      </c>
      <c r="M317" s="124" t="n">
        <f aca="false">SUM(J$280:J317)</f>
        <v>100044</v>
      </c>
      <c r="N317" s="124" t="n">
        <f aca="false">SUM(J$6:J317)</f>
        <v>1170466.87</v>
      </c>
      <c r="P317" s="124" t="n">
        <f aca="false">D317/P$3</f>
        <v>0</v>
      </c>
      <c r="Q317" s="124" t="n">
        <f aca="false">E317/P$3</f>
        <v>0</v>
      </c>
      <c r="R317" s="124" t="n">
        <f aca="false">F317/R$3</f>
        <v>0</v>
      </c>
      <c r="S317" s="126" t="n">
        <f aca="false">J317/$R$3</f>
        <v>0</v>
      </c>
      <c r="T317" s="126" t="n">
        <f aca="false">L317/$R$3</f>
        <v>0</v>
      </c>
      <c r="U317" s="126" t="n">
        <f aca="false">I317/$R$3</f>
        <v>0.087</v>
      </c>
      <c r="V317" s="126" t="n">
        <f aca="false">M317/$R$3</f>
        <v>100.044</v>
      </c>
      <c r="W317" s="126" t="n">
        <f aca="false">N317/$R$3</f>
        <v>1170.46687</v>
      </c>
    </row>
    <row r="318" customFormat="false" ht="12.75" hidden="false" customHeight="false" outlineLevel="0" collapsed="false">
      <c r="A318" s="120" t="n">
        <f aca="false">A317+1</f>
        <v>37204</v>
      </c>
      <c r="B318" s="131" t="str">
        <f aca="false">INDEX('Master Data'!$A$2:$B$8,MATCH(WEEKDAY('Rio Cuarto Power Trading'!A318,3),'Master Data'!$A$2:$A$8,0),2)</f>
        <v>F</v>
      </c>
      <c r="D318" s="124" t="n">
        <v>0</v>
      </c>
      <c r="E318" s="124" t="n">
        <v>0</v>
      </c>
      <c r="F318" s="124" t="n">
        <v>0</v>
      </c>
      <c r="G318" s="124" t="n">
        <v>0</v>
      </c>
      <c r="I318" s="124" t="n">
        <f aca="false">IF(MONTH($A318)=MONTH($A317),IF(G318=0,I317,G318),G318)</f>
        <v>87</v>
      </c>
      <c r="J318" s="124" t="n">
        <f aca="false">IF(MONTH($A318)=MONTH($A317),SUM(I318-I317),I318)</f>
        <v>0</v>
      </c>
      <c r="K318" s="124" t="n">
        <f aca="false">IF(WEEKDAY(A318,3)&gt;4,0,(IF(A318&lt;K$2,0,IF(A318&lt;=K$3,1,0))))</f>
        <v>0</v>
      </c>
      <c r="L318" s="124" t="n">
        <f aca="false">J318*K318</f>
        <v>0</v>
      </c>
      <c r="M318" s="124" t="n">
        <f aca="false">SUM(J$280:J318)</f>
        <v>100044</v>
      </c>
      <c r="N318" s="124" t="n">
        <f aca="false">SUM(J$6:J318)</f>
        <v>1170466.87</v>
      </c>
      <c r="P318" s="124" t="n">
        <f aca="false">D318/P$3</f>
        <v>0</v>
      </c>
      <c r="Q318" s="124" t="n">
        <f aca="false">E318/P$3</f>
        <v>0</v>
      </c>
      <c r="R318" s="124" t="n">
        <f aca="false">F318/R$3</f>
        <v>0</v>
      </c>
      <c r="S318" s="126" t="n">
        <f aca="false">J318/$R$3</f>
        <v>0</v>
      </c>
      <c r="T318" s="126" t="n">
        <f aca="false">L318/$R$3</f>
        <v>0</v>
      </c>
      <c r="U318" s="126" t="n">
        <f aca="false">I318/$R$3</f>
        <v>0.087</v>
      </c>
      <c r="V318" s="126" t="n">
        <f aca="false">M318/$R$3</f>
        <v>100.044</v>
      </c>
      <c r="W318" s="126" t="n">
        <f aca="false">N318/$R$3</f>
        <v>1170.46687</v>
      </c>
    </row>
    <row r="319" customFormat="false" ht="12.75" hidden="false" customHeight="false" outlineLevel="0" collapsed="false">
      <c r="A319" s="120" t="n">
        <f aca="false">A318+1</f>
        <v>37205</v>
      </c>
      <c r="B319" s="131" t="str">
        <f aca="false">INDEX('Master Data'!$A$2:$B$8,MATCH(WEEKDAY('Rio Cuarto Power Trading'!A319,3),'Master Data'!$A$2:$A$8,0),2)</f>
        <v>Sa</v>
      </c>
      <c r="D319" s="124" t="n">
        <v>0</v>
      </c>
      <c r="E319" s="124" t="n">
        <v>0</v>
      </c>
      <c r="F319" s="124" t="n">
        <v>0</v>
      </c>
      <c r="G319" s="124" t="n">
        <v>0</v>
      </c>
      <c r="I319" s="124" t="n">
        <f aca="false">IF(MONTH($A319)=MONTH($A318),IF(G319=0,I318,G319),G319)</f>
        <v>87</v>
      </c>
      <c r="J319" s="124" t="n">
        <f aca="false">IF(MONTH($A319)=MONTH($A318),SUM(I319-I318),I319)</f>
        <v>0</v>
      </c>
      <c r="K319" s="124" t="n">
        <f aca="false">IF(WEEKDAY(A319,3)&gt;4,0,(IF(A319&lt;K$2,0,IF(A319&lt;=K$3,1,0))))</f>
        <v>0</v>
      </c>
      <c r="L319" s="124" t="n">
        <f aca="false">J319*K319</f>
        <v>0</v>
      </c>
      <c r="M319" s="124" t="n">
        <f aca="false">SUM(J$280:J319)</f>
        <v>100044</v>
      </c>
      <c r="N319" s="124" t="n">
        <f aca="false">SUM(J$6:J319)</f>
        <v>1170466.87</v>
      </c>
      <c r="P319" s="124" t="n">
        <f aca="false">D319/P$3</f>
        <v>0</v>
      </c>
      <c r="Q319" s="124" t="n">
        <f aca="false">E319/P$3</f>
        <v>0</v>
      </c>
      <c r="R319" s="124" t="n">
        <f aca="false">F319/R$3</f>
        <v>0</v>
      </c>
      <c r="S319" s="126" t="n">
        <f aca="false">J319/$R$3</f>
        <v>0</v>
      </c>
      <c r="T319" s="126" t="n">
        <f aca="false">L319/$R$3</f>
        <v>0</v>
      </c>
      <c r="U319" s="126" t="n">
        <f aca="false">I319/$R$3</f>
        <v>0.087</v>
      </c>
      <c r="V319" s="126" t="n">
        <f aca="false">M319/$R$3</f>
        <v>100.044</v>
      </c>
      <c r="W319" s="126" t="n">
        <f aca="false">N319/$R$3</f>
        <v>1170.46687</v>
      </c>
    </row>
    <row r="320" customFormat="false" ht="12.75" hidden="false" customHeight="false" outlineLevel="0" collapsed="false">
      <c r="A320" s="120" t="n">
        <f aca="false">A319+1</f>
        <v>37206</v>
      </c>
      <c r="B320" s="131" t="str">
        <f aca="false">INDEX('Master Data'!$A$2:$B$8,MATCH(WEEKDAY('Rio Cuarto Power Trading'!A320,3),'Master Data'!$A$2:$A$8,0),2)</f>
        <v>Su</v>
      </c>
      <c r="D320" s="124" t="n">
        <v>0</v>
      </c>
      <c r="E320" s="124" t="n">
        <v>0</v>
      </c>
      <c r="F320" s="124" t="n">
        <v>0</v>
      </c>
      <c r="G320" s="124" t="n">
        <v>0</v>
      </c>
      <c r="I320" s="124" t="n">
        <f aca="false">IF(MONTH($A320)=MONTH($A319),IF(G320=0,I319,G320),G320)</f>
        <v>87</v>
      </c>
      <c r="J320" s="124" t="n">
        <f aca="false">IF(MONTH($A320)=MONTH($A319),SUM(I320-I319),I320)</f>
        <v>0</v>
      </c>
      <c r="K320" s="124" t="n">
        <f aca="false">IF(WEEKDAY(A320,3)&gt;4,0,(IF(A320&lt;K$2,0,IF(A320&lt;=K$3,1,0))))</f>
        <v>0</v>
      </c>
      <c r="L320" s="124" t="n">
        <f aca="false">J320*K320</f>
        <v>0</v>
      </c>
      <c r="M320" s="124" t="n">
        <f aca="false">SUM(J$280:J320)</f>
        <v>100044</v>
      </c>
      <c r="N320" s="124" t="n">
        <f aca="false">SUM(J$6:J320)</f>
        <v>1170466.87</v>
      </c>
      <c r="P320" s="124" t="n">
        <f aca="false">D320/P$3</f>
        <v>0</v>
      </c>
      <c r="Q320" s="124" t="n">
        <f aca="false">E320/P$3</f>
        <v>0</v>
      </c>
      <c r="R320" s="124" t="n">
        <f aca="false">F320/R$3</f>
        <v>0</v>
      </c>
      <c r="S320" s="126" t="n">
        <f aca="false">J320/$R$3</f>
        <v>0</v>
      </c>
      <c r="T320" s="126" t="n">
        <f aca="false">L320/$R$3</f>
        <v>0</v>
      </c>
      <c r="U320" s="126" t="n">
        <f aca="false">I320/$R$3</f>
        <v>0.087</v>
      </c>
      <c r="V320" s="126" t="n">
        <f aca="false">M320/$R$3</f>
        <v>100.044</v>
      </c>
      <c r="W320" s="126" t="n">
        <f aca="false">N320/$R$3</f>
        <v>1170.46687</v>
      </c>
    </row>
    <row r="321" customFormat="false" ht="12.75" hidden="false" customHeight="false" outlineLevel="0" collapsed="false">
      <c r="A321" s="120" t="n">
        <f aca="false">A320+1</f>
        <v>37207</v>
      </c>
      <c r="B321" s="131" t="str">
        <f aca="false">INDEX('Master Data'!$A$2:$B$8,MATCH(WEEKDAY('Rio Cuarto Power Trading'!A321,3),'Master Data'!$A$2:$A$8,0),2)</f>
        <v>M</v>
      </c>
      <c r="D321" s="124" t="n">
        <v>0</v>
      </c>
      <c r="E321" s="124" t="n">
        <v>0</v>
      </c>
      <c r="F321" s="124" t="n">
        <v>0</v>
      </c>
      <c r="G321" s="124" t="n">
        <v>0</v>
      </c>
      <c r="I321" s="124" t="n">
        <f aca="false">IF(MONTH($A321)=MONTH($A320),IF(G321=0,I320,G321),G321)</f>
        <v>87</v>
      </c>
      <c r="J321" s="124" t="n">
        <f aca="false">IF(MONTH($A321)=MONTH($A320),SUM(I321-I320),I321)</f>
        <v>0</v>
      </c>
      <c r="K321" s="124" t="n">
        <f aca="false">IF(WEEKDAY(A321,3)&gt;4,0,(IF(A321&lt;K$2,0,IF(A321&lt;=K$3,1,0))))</f>
        <v>0</v>
      </c>
      <c r="L321" s="124" t="n">
        <f aca="false">J321*K321</f>
        <v>0</v>
      </c>
      <c r="M321" s="124" t="n">
        <f aca="false">SUM(J$280:J321)</f>
        <v>100044</v>
      </c>
      <c r="N321" s="124" t="n">
        <f aca="false">SUM(J$6:J321)</f>
        <v>1170466.87</v>
      </c>
      <c r="P321" s="124" t="n">
        <f aca="false">D321/P$3</f>
        <v>0</v>
      </c>
      <c r="Q321" s="124" t="n">
        <f aca="false">E321/P$3</f>
        <v>0</v>
      </c>
      <c r="R321" s="124" t="n">
        <f aca="false">F321/R$3</f>
        <v>0</v>
      </c>
      <c r="S321" s="126" t="n">
        <f aca="false">J321/$R$3</f>
        <v>0</v>
      </c>
      <c r="T321" s="126" t="n">
        <f aca="false">L321/$R$3</f>
        <v>0</v>
      </c>
      <c r="U321" s="126" t="n">
        <f aca="false">I321/$R$3</f>
        <v>0.087</v>
      </c>
      <c r="V321" s="126" t="n">
        <f aca="false">M321/$R$3</f>
        <v>100.044</v>
      </c>
      <c r="W321" s="126" t="n">
        <f aca="false">N321/$R$3</f>
        <v>1170.46687</v>
      </c>
    </row>
    <row r="322" customFormat="false" ht="12.75" hidden="false" customHeight="false" outlineLevel="0" collapsed="false">
      <c r="A322" s="120" t="n">
        <f aca="false">A321+1</f>
        <v>37208</v>
      </c>
      <c r="B322" s="131" t="str">
        <f aca="false">INDEX('Master Data'!$A$2:$B$8,MATCH(WEEKDAY('Rio Cuarto Power Trading'!A322,3),'Master Data'!$A$2:$A$8,0),2)</f>
        <v>T</v>
      </c>
      <c r="D322" s="124" t="n">
        <v>0</v>
      </c>
      <c r="E322" s="124" t="n">
        <v>0</v>
      </c>
      <c r="F322" s="124" t="n">
        <v>0</v>
      </c>
      <c r="G322" s="124" t="n">
        <v>0</v>
      </c>
      <c r="I322" s="124" t="n">
        <f aca="false">IF(MONTH($A322)=MONTH($A321),IF(G322=0,I321,G322),G322)</f>
        <v>87</v>
      </c>
      <c r="J322" s="124" t="n">
        <f aca="false">IF(MONTH($A322)=MONTH($A321),SUM(I322-I321),I322)</f>
        <v>0</v>
      </c>
      <c r="K322" s="124" t="n">
        <f aca="false">IF(WEEKDAY(A322,3)&gt;4,0,(IF(A322&lt;K$2,0,IF(A322&lt;=K$3,1,0))))</f>
        <v>0</v>
      </c>
      <c r="L322" s="124" t="n">
        <f aca="false">J322*K322</f>
        <v>0</v>
      </c>
      <c r="M322" s="124" t="n">
        <f aca="false">SUM(J$280:J322)</f>
        <v>100044</v>
      </c>
      <c r="N322" s="124" t="n">
        <f aca="false">SUM(J$6:J322)</f>
        <v>1170466.87</v>
      </c>
      <c r="P322" s="124" t="n">
        <f aca="false">D322/P$3</f>
        <v>0</v>
      </c>
      <c r="Q322" s="124" t="n">
        <f aca="false">E322/P$3</f>
        <v>0</v>
      </c>
      <c r="R322" s="124" t="n">
        <f aca="false">F322/R$3</f>
        <v>0</v>
      </c>
      <c r="S322" s="126" t="n">
        <f aca="false">J322/$R$3</f>
        <v>0</v>
      </c>
      <c r="T322" s="126" t="n">
        <f aca="false">L322/$R$3</f>
        <v>0</v>
      </c>
      <c r="U322" s="126" t="n">
        <f aca="false">I322/$R$3</f>
        <v>0.087</v>
      </c>
      <c r="V322" s="126" t="n">
        <f aca="false">M322/$R$3</f>
        <v>100.044</v>
      </c>
      <c r="W322" s="126" t="n">
        <f aca="false">N322/$R$3</f>
        <v>1170.46687</v>
      </c>
    </row>
    <row r="323" customFormat="false" ht="12.75" hidden="false" customHeight="false" outlineLevel="0" collapsed="false">
      <c r="A323" s="120" t="n">
        <f aca="false">A322+1</f>
        <v>37209</v>
      </c>
      <c r="B323" s="131" t="str">
        <f aca="false">INDEX('Master Data'!$A$2:$B$8,MATCH(WEEKDAY('Rio Cuarto Power Trading'!A323,3),'Master Data'!$A$2:$A$8,0),2)</f>
        <v>W</v>
      </c>
      <c r="D323" s="124" t="n">
        <v>0</v>
      </c>
      <c r="E323" s="124" t="n">
        <v>0</v>
      </c>
      <c r="F323" s="124" t="n">
        <v>0</v>
      </c>
      <c r="G323" s="124" t="n">
        <v>0</v>
      </c>
      <c r="I323" s="124" t="n">
        <f aca="false">IF(MONTH($A323)=MONTH($A322),IF(G323=0,I322,G323),G323)</f>
        <v>87</v>
      </c>
      <c r="J323" s="124" t="n">
        <f aca="false">IF(MONTH($A323)=MONTH($A322),SUM(I323-I322),I323)</f>
        <v>0</v>
      </c>
      <c r="K323" s="124" t="n">
        <f aca="false">IF(WEEKDAY(A323,3)&gt;4,0,(IF(A323&lt;K$2,0,IF(A323&lt;=K$3,1,0))))</f>
        <v>0</v>
      </c>
      <c r="L323" s="124" t="n">
        <f aca="false">J323*K323</f>
        <v>0</v>
      </c>
      <c r="M323" s="124" t="n">
        <f aca="false">SUM(J$280:J323)</f>
        <v>100044</v>
      </c>
      <c r="N323" s="124" t="n">
        <f aca="false">SUM(J$6:J323)</f>
        <v>1170466.87</v>
      </c>
      <c r="P323" s="124" t="n">
        <f aca="false">D323/P$3</f>
        <v>0</v>
      </c>
      <c r="Q323" s="124" t="n">
        <f aca="false">E323/P$3</f>
        <v>0</v>
      </c>
      <c r="R323" s="124" t="n">
        <f aca="false">F323/R$3</f>
        <v>0</v>
      </c>
      <c r="S323" s="126" t="n">
        <f aca="false">J323/$R$3</f>
        <v>0</v>
      </c>
      <c r="T323" s="126" t="n">
        <f aca="false">L323/$R$3</f>
        <v>0</v>
      </c>
      <c r="U323" s="126" t="n">
        <f aca="false">I323/$R$3</f>
        <v>0.087</v>
      </c>
      <c r="V323" s="126" t="n">
        <f aca="false">M323/$R$3</f>
        <v>100.044</v>
      </c>
      <c r="W323" s="126" t="n">
        <f aca="false">N323/$R$3</f>
        <v>1170.46687</v>
      </c>
    </row>
    <row r="324" customFormat="false" ht="12.75" hidden="false" customHeight="false" outlineLevel="0" collapsed="false">
      <c r="A324" s="120" t="n">
        <f aca="false">A323+1</f>
        <v>37210</v>
      </c>
      <c r="B324" s="131" t="str">
        <f aca="false">INDEX('Master Data'!$A$2:$B$8,MATCH(WEEKDAY('Rio Cuarto Power Trading'!A324,3),'Master Data'!$A$2:$A$8,0),2)</f>
        <v>Th</v>
      </c>
      <c r="D324" s="124" t="n">
        <v>0</v>
      </c>
      <c r="E324" s="124" t="n">
        <v>0</v>
      </c>
      <c r="F324" s="124" t="n">
        <v>0</v>
      </c>
      <c r="G324" s="124" t="n">
        <v>0</v>
      </c>
      <c r="I324" s="124" t="n">
        <f aca="false">IF(MONTH($A324)=MONTH($A323),IF(G324=0,I323,G324),G324)</f>
        <v>87</v>
      </c>
      <c r="J324" s="124" t="n">
        <f aca="false">IF(MONTH($A324)=MONTH($A323),SUM(I324-I323),I324)</f>
        <v>0</v>
      </c>
      <c r="K324" s="124" t="n">
        <f aca="false">IF(WEEKDAY(A324,3)&gt;4,0,(IF(A324&lt;K$2,0,IF(A324&lt;=K$3,1,0))))</f>
        <v>0</v>
      </c>
      <c r="L324" s="124" t="n">
        <f aca="false">J324*K324</f>
        <v>0</v>
      </c>
      <c r="M324" s="124" t="n">
        <f aca="false">SUM(J$280:J324)</f>
        <v>100044</v>
      </c>
      <c r="N324" s="124" t="n">
        <f aca="false">SUM(J$6:J324)</f>
        <v>1170466.87</v>
      </c>
      <c r="P324" s="124" t="n">
        <f aca="false">D324/P$3</f>
        <v>0</v>
      </c>
      <c r="Q324" s="124" t="n">
        <f aca="false">E324/P$3</f>
        <v>0</v>
      </c>
      <c r="R324" s="124" t="n">
        <f aca="false">F324/R$3</f>
        <v>0</v>
      </c>
      <c r="S324" s="126" t="n">
        <f aca="false">J324/$R$3</f>
        <v>0</v>
      </c>
      <c r="T324" s="126" t="n">
        <f aca="false">L324/$R$3</f>
        <v>0</v>
      </c>
      <c r="U324" s="126" t="n">
        <f aca="false">I324/$R$3</f>
        <v>0.087</v>
      </c>
      <c r="V324" s="126" t="n">
        <f aca="false">M324/$R$3</f>
        <v>100.044</v>
      </c>
      <c r="W324" s="126" t="n">
        <f aca="false">N324/$R$3</f>
        <v>1170.46687</v>
      </c>
    </row>
    <row r="325" customFormat="false" ht="12.75" hidden="false" customHeight="false" outlineLevel="0" collapsed="false">
      <c r="A325" s="120" t="n">
        <f aca="false">A324+1</f>
        <v>37211</v>
      </c>
      <c r="B325" s="131" t="str">
        <f aca="false">INDEX('Master Data'!$A$2:$B$8,MATCH(WEEKDAY('Rio Cuarto Power Trading'!A325,3),'Master Data'!$A$2:$A$8,0),2)</f>
        <v>F</v>
      </c>
      <c r="D325" s="124" t="n">
        <v>0</v>
      </c>
      <c r="E325" s="124" t="n">
        <v>0</v>
      </c>
      <c r="F325" s="124" t="n">
        <v>0</v>
      </c>
      <c r="G325" s="124" t="n">
        <v>0</v>
      </c>
      <c r="I325" s="124" t="n">
        <f aca="false">IF(MONTH($A325)=MONTH($A324),IF(G325=0,I324,G325),G325)</f>
        <v>87</v>
      </c>
      <c r="J325" s="124" t="n">
        <f aca="false">IF(MONTH($A325)=MONTH($A324),SUM(I325-I324),I325)</f>
        <v>0</v>
      </c>
      <c r="K325" s="124" t="n">
        <f aca="false">IF(WEEKDAY(A325,3)&gt;4,0,(IF(A325&lt;K$2,0,IF(A325&lt;=K$3,1,0))))</f>
        <v>0</v>
      </c>
      <c r="L325" s="124" t="n">
        <f aca="false">J325*K325</f>
        <v>0</v>
      </c>
      <c r="M325" s="124" t="n">
        <f aca="false">SUM(J$280:J325)</f>
        <v>100044</v>
      </c>
      <c r="N325" s="124" t="n">
        <f aca="false">SUM(J$6:J325)</f>
        <v>1170466.87</v>
      </c>
      <c r="P325" s="124" t="n">
        <f aca="false">D325/P$3</f>
        <v>0</v>
      </c>
      <c r="Q325" s="124" t="n">
        <f aca="false">E325/P$3</f>
        <v>0</v>
      </c>
      <c r="R325" s="124" t="n">
        <f aca="false">F325/R$3</f>
        <v>0</v>
      </c>
      <c r="S325" s="126" t="n">
        <f aca="false">J325/$R$3</f>
        <v>0</v>
      </c>
      <c r="T325" s="126" t="n">
        <f aca="false">L325/$R$3</f>
        <v>0</v>
      </c>
      <c r="U325" s="126" t="n">
        <f aca="false">I325/$R$3</f>
        <v>0.087</v>
      </c>
      <c r="V325" s="126" t="n">
        <f aca="false">M325/$R$3</f>
        <v>100.044</v>
      </c>
      <c r="W325" s="126" t="n">
        <f aca="false">N325/$R$3</f>
        <v>1170.46687</v>
      </c>
    </row>
    <row r="326" customFormat="false" ht="12.75" hidden="false" customHeight="false" outlineLevel="0" collapsed="false">
      <c r="A326" s="120" t="n">
        <f aca="false">A325+1</f>
        <v>37212</v>
      </c>
      <c r="B326" s="131" t="str">
        <f aca="false">INDEX('Master Data'!$A$2:$B$8,MATCH(WEEKDAY('Rio Cuarto Power Trading'!A326,3),'Master Data'!$A$2:$A$8,0),2)</f>
        <v>Sa</v>
      </c>
      <c r="D326" s="124" t="n">
        <v>0</v>
      </c>
      <c r="E326" s="124" t="n">
        <v>0</v>
      </c>
      <c r="F326" s="124" t="n">
        <v>0</v>
      </c>
      <c r="G326" s="124" t="n">
        <v>0</v>
      </c>
      <c r="I326" s="124" t="n">
        <f aca="false">IF(MONTH($A326)=MONTH($A325),IF(G326=0,I325,G326),G326)</f>
        <v>87</v>
      </c>
      <c r="J326" s="124" t="n">
        <f aca="false">IF(MONTH($A326)=MONTH($A325),SUM(I326-I325),I326)</f>
        <v>0</v>
      </c>
      <c r="K326" s="124" t="n">
        <f aca="false">IF(WEEKDAY(A326,3)&gt;4,0,(IF(A326&lt;K$2,0,IF(A326&lt;=K$3,1,0))))</f>
        <v>0</v>
      </c>
      <c r="L326" s="124" t="n">
        <f aca="false">J326*K326</f>
        <v>0</v>
      </c>
      <c r="M326" s="124" t="n">
        <f aca="false">SUM(J$280:J326)</f>
        <v>100044</v>
      </c>
      <c r="N326" s="124" t="n">
        <f aca="false">SUM(J$6:J326)</f>
        <v>1170466.87</v>
      </c>
      <c r="P326" s="124" t="n">
        <f aca="false">D326/P$3</f>
        <v>0</v>
      </c>
      <c r="Q326" s="124" t="n">
        <f aca="false">E326/P$3</f>
        <v>0</v>
      </c>
      <c r="R326" s="124" t="n">
        <f aca="false">F326/R$3</f>
        <v>0</v>
      </c>
      <c r="S326" s="126" t="n">
        <f aca="false">J326/$R$3</f>
        <v>0</v>
      </c>
      <c r="T326" s="126" t="n">
        <f aca="false">L326/$R$3</f>
        <v>0</v>
      </c>
      <c r="U326" s="126" t="n">
        <f aca="false">I326/$R$3</f>
        <v>0.087</v>
      </c>
      <c r="V326" s="126" t="n">
        <f aca="false">M326/$R$3</f>
        <v>100.044</v>
      </c>
      <c r="W326" s="126" t="n">
        <f aca="false">N326/$R$3</f>
        <v>1170.46687</v>
      </c>
    </row>
    <row r="327" customFormat="false" ht="12.75" hidden="false" customHeight="false" outlineLevel="0" collapsed="false">
      <c r="A327" s="120" t="n">
        <f aca="false">A326+1</f>
        <v>37213</v>
      </c>
      <c r="B327" s="131" t="str">
        <f aca="false">INDEX('Master Data'!$A$2:$B$8,MATCH(WEEKDAY('Rio Cuarto Power Trading'!A327,3),'Master Data'!$A$2:$A$8,0),2)</f>
        <v>Su</v>
      </c>
      <c r="D327" s="124" t="n">
        <v>0</v>
      </c>
      <c r="E327" s="124" t="n">
        <v>0</v>
      </c>
      <c r="F327" s="124" t="n">
        <v>0</v>
      </c>
      <c r="G327" s="124" t="n">
        <v>0</v>
      </c>
      <c r="I327" s="124" t="n">
        <f aca="false">IF(MONTH($A327)=MONTH($A326),IF(G327=0,I326,G327),G327)</f>
        <v>87</v>
      </c>
      <c r="J327" s="124" t="n">
        <f aca="false">IF(MONTH($A327)=MONTH($A326),SUM(I327-I326),I327)</f>
        <v>0</v>
      </c>
      <c r="K327" s="124" t="n">
        <f aca="false">IF(WEEKDAY(A327,3)&gt;4,0,(IF(A327&lt;K$2,0,IF(A327&lt;=K$3,1,0))))</f>
        <v>0</v>
      </c>
      <c r="L327" s="124" t="n">
        <f aca="false">J327*K327</f>
        <v>0</v>
      </c>
      <c r="M327" s="124" t="n">
        <f aca="false">SUM(J$280:J327)</f>
        <v>100044</v>
      </c>
      <c r="N327" s="124" t="n">
        <f aca="false">SUM(J$6:J327)</f>
        <v>1170466.87</v>
      </c>
      <c r="P327" s="124" t="n">
        <f aca="false">D327/P$3</f>
        <v>0</v>
      </c>
      <c r="Q327" s="124" t="n">
        <f aca="false">E327/P$3</f>
        <v>0</v>
      </c>
      <c r="R327" s="124" t="n">
        <f aca="false">F327/R$3</f>
        <v>0</v>
      </c>
      <c r="S327" s="126" t="n">
        <f aca="false">J327/$R$3</f>
        <v>0</v>
      </c>
      <c r="T327" s="126" t="n">
        <f aca="false">L327/$R$3</f>
        <v>0</v>
      </c>
      <c r="U327" s="126" t="n">
        <f aca="false">I327/$R$3</f>
        <v>0.087</v>
      </c>
      <c r="V327" s="126" t="n">
        <f aca="false">M327/$R$3</f>
        <v>100.044</v>
      </c>
      <c r="W327" s="126" t="n">
        <f aca="false">N327/$R$3</f>
        <v>1170.46687</v>
      </c>
    </row>
    <row r="328" customFormat="false" ht="12.75" hidden="false" customHeight="false" outlineLevel="0" collapsed="false">
      <c r="A328" s="120" t="n">
        <f aca="false">A327+1</f>
        <v>37214</v>
      </c>
      <c r="B328" s="131" t="str">
        <f aca="false">INDEX('Master Data'!$A$2:$B$8,MATCH(WEEKDAY('Rio Cuarto Power Trading'!A328,3),'Master Data'!$A$2:$A$8,0),2)</f>
        <v>M</v>
      </c>
      <c r="D328" s="124" t="n">
        <v>0</v>
      </c>
      <c r="E328" s="124" t="n">
        <v>0</v>
      </c>
      <c r="F328" s="124" t="n">
        <v>0</v>
      </c>
      <c r="G328" s="124" t="n">
        <v>0</v>
      </c>
      <c r="I328" s="124" t="n">
        <f aca="false">IF(MONTH($A328)=MONTH($A327),IF(G328=0,I327,G328),G328)</f>
        <v>87</v>
      </c>
      <c r="J328" s="124" t="n">
        <f aca="false">IF(MONTH($A328)=MONTH($A327),SUM(I328-I327),I328)</f>
        <v>0</v>
      </c>
      <c r="K328" s="124" t="n">
        <f aca="false">IF(WEEKDAY(A328,3)&gt;4,0,(IF(A328&lt;K$2,0,IF(A328&lt;=K$3,1,0))))</f>
        <v>0</v>
      </c>
      <c r="L328" s="124" t="n">
        <f aca="false">J328*K328</f>
        <v>0</v>
      </c>
      <c r="M328" s="124" t="n">
        <f aca="false">SUM(J$280:J328)</f>
        <v>100044</v>
      </c>
      <c r="N328" s="124" t="n">
        <f aca="false">SUM(J$6:J328)</f>
        <v>1170466.87</v>
      </c>
      <c r="P328" s="124" t="n">
        <f aca="false">D328/P$3</f>
        <v>0</v>
      </c>
      <c r="Q328" s="124" t="n">
        <f aca="false">E328/P$3</f>
        <v>0</v>
      </c>
      <c r="R328" s="124" t="n">
        <f aca="false">F328/R$3</f>
        <v>0</v>
      </c>
      <c r="S328" s="126" t="n">
        <f aca="false">J328/$R$3</f>
        <v>0</v>
      </c>
      <c r="T328" s="126" t="n">
        <f aca="false">L328/$R$3</f>
        <v>0</v>
      </c>
      <c r="U328" s="126" t="n">
        <f aca="false">I328/$R$3</f>
        <v>0.087</v>
      </c>
      <c r="V328" s="126" t="n">
        <f aca="false">M328/$R$3</f>
        <v>100.044</v>
      </c>
      <c r="W328" s="126" t="n">
        <f aca="false">N328/$R$3</f>
        <v>1170.46687</v>
      </c>
    </row>
    <row r="329" customFormat="false" ht="12.75" hidden="false" customHeight="false" outlineLevel="0" collapsed="false">
      <c r="A329" s="120" t="n">
        <f aca="false">A328+1</f>
        <v>37215</v>
      </c>
      <c r="B329" s="131" t="str">
        <f aca="false">INDEX('Master Data'!$A$2:$B$8,MATCH(WEEKDAY('Rio Cuarto Power Trading'!A329,3),'Master Data'!$A$2:$A$8,0),2)</f>
        <v>T</v>
      </c>
      <c r="D329" s="124" t="n">
        <v>0</v>
      </c>
      <c r="E329" s="124" t="n">
        <v>0</v>
      </c>
      <c r="F329" s="124" t="n">
        <v>0</v>
      </c>
      <c r="G329" s="124" t="n">
        <v>0</v>
      </c>
      <c r="I329" s="124" t="n">
        <f aca="false">IF(MONTH($A329)=MONTH($A328),IF(G329=0,I328,G329),G329)</f>
        <v>87</v>
      </c>
      <c r="J329" s="124" t="n">
        <f aca="false">IF(MONTH($A329)=MONTH($A328),SUM(I329-I328),I329)</f>
        <v>0</v>
      </c>
      <c r="K329" s="124" t="n">
        <f aca="false">IF(WEEKDAY(A329,3)&gt;4,0,(IF(A329&lt;K$2,0,IF(A329&lt;=K$3,1,0))))</f>
        <v>0</v>
      </c>
      <c r="L329" s="124" t="n">
        <f aca="false">J329*K329</f>
        <v>0</v>
      </c>
      <c r="M329" s="124" t="n">
        <f aca="false">SUM(J$280:J329)</f>
        <v>100044</v>
      </c>
      <c r="N329" s="124" t="n">
        <f aca="false">SUM(J$6:J329)</f>
        <v>1170466.87</v>
      </c>
      <c r="P329" s="124" t="n">
        <f aca="false">D329/P$3</f>
        <v>0</v>
      </c>
      <c r="Q329" s="124" t="n">
        <f aca="false">E329/P$3</f>
        <v>0</v>
      </c>
      <c r="R329" s="124" t="n">
        <f aca="false">F329/R$3</f>
        <v>0</v>
      </c>
      <c r="S329" s="126" t="n">
        <f aca="false">J329/$R$3</f>
        <v>0</v>
      </c>
      <c r="T329" s="126" t="n">
        <f aca="false">L329/$R$3</f>
        <v>0</v>
      </c>
      <c r="U329" s="126" t="n">
        <f aca="false">I329/$R$3</f>
        <v>0.087</v>
      </c>
      <c r="V329" s="126" t="n">
        <f aca="false">M329/$R$3</f>
        <v>100.044</v>
      </c>
      <c r="W329" s="126" t="n">
        <f aca="false">N329/$R$3</f>
        <v>1170.46687</v>
      </c>
    </row>
    <row r="330" customFormat="false" ht="12.75" hidden="false" customHeight="false" outlineLevel="0" collapsed="false">
      <c r="A330" s="120" t="n">
        <f aca="false">A329+1</f>
        <v>37216</v>
      </c>
      <c r="B330" s="131" t="str">
        <f aca="false">INDEX('Master Data'!$A$2:$B$8,MATCH(WEEKDAY('Rio Cuarto Power Trading'!A330,3),'Master Data'!$A$2:$A$8,0),2)</f>
        <v>W</v>
      </c>
      <c r="D330" s="124" t="n">
        <v>0</v>
      </c>
      <c r="E330" s="124" t="n">
        <v>0</v>
      </c>
      <c r="F330" s="124" t="n">
        <v>0</v>
      </c>
      <c r="G330" s="124" t="n">
        <v>0</v>
      </c>
      <c r="I330" s="124" t="n">
        <f aca="false">IF(MONTH($A330)=MONTH($A329),IF(G330=0,I329,G330),G330)</f>
        <v>87</v>
      </c>
      <c r="J330" s="124" t="n">
        <f aca="false">IF(MONTH($A330)=MONTH($A329),SUM(I330-I329),I330)</f>
        <v>0</v>
      </c>
      <c r="K330" s="124" t="n">
        <f aca="false">IF(WEEKDAY(A330,3)&gt;4,0,(IF(A330&lt;K$2,0,IF(A330&lt;=K$3,1,0))))</f>
        <v>0</v>
      </c>
      <c r="L330" s="124" t="n">
        <f aca="false">J330*K330</f>
        <v>0</v>
      </c>
      <c r="M330" s="124" t="n">
        <f aca="false">SUM(J$280:J330)</f>
        <v>100044</v>
      </c>
      <c r="N330" s="124" t="n">
        <f aca="false">SUM(J$6:J330)</f>
        <v>1170466.87</v>
      </c>
      <c r="P330" s="124" t="n">
        <f aca="false">D330/P$3</f>
        <v>0</v>
      </c>
      <c r="Q330" s="124" t="n">
        <f aca="false">E330/P$3</f>
        <v>0</v>
      </c>
      <c r="R330" s="124" t="n">
        <f aca="false">F330/R$3</f>
        <v>0</v>
      </c>
      <c r="S330" s="126" t="n">
        <f aca="false">J330/$R$3</f>
        <v>0</v>
      </c>
      <c r="T330" s="126" t="n">
        <f aca="false">L330/$R$3</f>
        <v>0</v>
      </c>
      <c r="U330" s="126" t="n">
        <f aca="false">I330/$R$3</f>
        <v>0.087</v>
      </c>
      <c r="V330" s="126" t="n">
        <f aca="false">M330/$R$3</f>
        <v>100.044</v>
      </c>
      <c r="W330" s="126" t="n">
        <f aca="false">N330/$R$3</f>
        <v>1170.46687</v>
      </c>
    </row>
    <row r="331" customFormat="false" ht="12.75" hidden="false" customHeight="false" outlineLevel="0" collapsed="false">
      <c r="A331" s="120" t="n">
        <f aca="false">A330+1</f>
        <v>37217</v>
      </c>
      <c r="B331" s="131" t="str">
        <f aca="false">INDEX('Master Data'!$A$2:$B$8,MATCH(WEEKDAY('Rio Cuarto Power Trading'!A331,3),'Master Data'!$A$2:$A$8,0),2)</f>
        <v>Th</v>
      </c>
      <c r="D331" s="124" t="n">
        <v>0</v>
      </c>
      <c r="E331" s="124" t="n">
        <v>0</v>
      </c>
      <c r="F331" s="124" t="n">
        <v>0</v>
      </c>
      <c r="G331" s="124" t="n">
        <v>0</v>
      </c>
      <c r="I331" s="124" t="n">
        <f aca="false">IF(MONTH($A331)=MONTH($A330),IF(G331=0,I330,G331),G331)</f>
        <v>87</v>
      </c>
      <c r="J331" s="124" t="n">
        <f aca="false">IF(MONTH($A331)=MONTH($A330),SUM(I331-I330),I331)</f>
        <v>0</v>
      </c>
      <c r="K331" s="124" t="n">
        <f aca="false">IF(WEEKDAY(A331,3)&gt;4,0,(IF(A331&lt;K$2,0,IF(A331&lt;=K$3,1,0))))</f>
        <v>0</v>
      </c>
      <c r="L331" s="124" t="n">
        <f aca="false">J331*K331</f>
        <v>0</v>
      </c>
      <c r="M331" s="124" t="n">
        <f aca="false">SUM(J$280:J331)</f>
        <v>100044</v>
      </c>
      <c r="N331" s="124" t="n">
        <f aca="false">SUM(J$6:J331)</f>
        <v>1170466.87</v>
      </c>
      <c r="P331" s="124" t="n">
        <f aca="false">D331/P$3</f>
        <v>0</v>
      </c>
      <c r="Q331" s="124" t="n">
        <f aca="false">E331/P$3</f>
        <v>0</v>
      </c>
      <c r="R331" s="124" t="n">
        <f aca="false">F331/R$3</f>
        <v>0</v>
      </c>
      <c r="S331" s="126" t="n">
        <f aca="false">J331/$R$3</f>
        <v>0</v>
      </c>
      <c r="T331" s="126" t="n">
        <f aca="false">L331/$R$3</f>
        <v>0</v>
      </c>
      <c r="U331" s="126" t="n">
        <f aca="false">I331/$R$3</f>
        <v>0.087</v>
      </c>
      <c r="V331" s="126" t="n">
        <f aca="false">M331/$R$3</f>
        <v>100.044</v>
      </c>
      <c r="W331" s="126" t="n">
        <f aca="false">N331/$R$3</f>
        <v>1170.46687</v>
      </c>
    </row>
    <row r="332" customFormat="false" ht="12.75" hidden="false" customHeight="false" outlineLevel="0" collapsed="false">
      <c r="A332" s="120" t="n">
        <f aca="false">A331+1</f>
        <v>37218</v>
      </c>
      <c r="B332" s="131" t="str">
        <f aca="false">INDEX('Master Data'!$A$2:$B$8,MATCH(WEEKDAY('Rio Cuarto Power Trading'!A332,3),'Master Data'!$A$2:$A$8,0),2)</f>
        <v>F</v>
      </c>
      <c r="D332" s="124" t="n">
        <v>0</v>
      </c>
      <c r="E332" s="124" t="n">
        <v>0</v>
      </c>
      <c r="F332" s="124" t="n">
        <v>0</v>
      </c>
      <c r="G332" s="124" t="n">
        <v>0</v>
      </c>
      <c r="I332" s="124" t="n">
        <f aca="false">IF(MONTH($A332)=MONTH($A331),IF(G332=0,I331,G332),G332)</f>
        <v>87</v>
      </c>
      <c r="J332" s="124" t="n">
        <f aca="false">IF(MONTH($A332)=MONTH($A331),SUM(I332-I331),I332)</f>
        <v>0</v>
      </c>
      <c r="K332" s="124" t="n">
        <f aca="false">IF(WEEKDAY(A332,3)&gt;4,0,(IF(A332&lt;K$2,0,IF(A332&lt;=K$3,1,0))))</f>
        <v>0</v>
      </c>
      <c r="L332" s="124" t="n">
        <f aca="false">J332*K332</f>
        <v>0</v>
      </c>
      <c r="M332" s="124" t="n">
        <f aca="false">SUM(J$280:J332)</f>
        <v>100044</v>
      </c>
      <c r="N332" s="124" t="n">
        <f aca="false">SUM(J$6:J332)</f>
        <v>1170466.87</v>
      </c>
      <c r="P332" s="124" t="n">
        <f aca="false">D332/P$3</f>
        <v>0</v>
      </c>
      <c r="Q332" s="124" t="n">
        <f aca="false">E332/P$3</f>
        <v>0</v>
      </c>
      <c r="R332" s="124" t="n">
        <f aca="false">F332/R$3</f>
        <v>0</v>
      </c>
      <c r="S332" s="126" t="n">
        <f aca="false">J332/$R$3</f>
        <v>0</v>
      </c>
      <c r="T332" s="126" t="n">
        <f aca="false">L332/$R$3</f>
        <v>0</v>
      </c>
      <c r="U332" s="126" t="n">
        <f aca="false">I332/$R$3</f>
        <v>0.087</v>
      </c>
      <c r="V332" s="126" t="n">
        <f aca="false">M332/$R$3</f>
        <v>100.044</v>
      </c>
      <c r="W332" s="126" t="n">
        <f aca="false">N332/$R$3</f>
        <v>1170.46687</v>
      </c>
    </row>
    <row r="333" customFormat="false" ht="12.75" hidden="false" customHeight="false" outlineLevel="0" collapsed="false">
      <c r="A333" s="120" t="n">
        <f aca="false">A332+1</f>
        <v>37219</v>
      </c>
      <c r="B333" s="131" t="str">
        <f aca="false">INDEX('Master Data'!$A$2:$B$8,MATCH(WEEKDAY('Rio Cuarto Power Trading'!A333,3),'Master Data'!$A$2:$A$8,0),2)</f>
        <v>Sa</v>
      </c>
      <c r="D333" s="124" t="n">
        <v>0</v>
      </c>
      <c r="E333" s="124" t="n">
        <v>0</v>
      </c>
      <c r="F333" s="124" t="n">
        <v>0</v>
      </c>
      <c r="G333" s="124" t="n">
        <v>0</v>
      </c>
      <c r="I333" s="124" t="n">
        <f aca="false">IF(MONTH($A333)=MONTH($A332),IF(G333=0,I332,G333),G333)</f>
        <v>87</v>
      </c>
      <c r="J333" s="124" t="n">
        <f aca="false">IF(MONTH($A333)=MONTH($A332),SUM(I333-I332),I333)</f>
        <v>0</v>
      </c>
      <c r="K333" s="124" t="n">
        <f aca="false">IF(WEEKDAY(A333,3)&gt;4,0,(IF(A333&lt;K$2,0,IF(A333&lt;=K$3,1,0))))</f>
        <v>0</v>
      </c>
      <c r="L333" s="124" t="n">
        <f aca="false">J333*K333</f>
        <v>0</v>
      </c>
      <c r="M333" s="124" t="n">
        <f aca="false">SUM(J$280:J333)</f>
        <v>100044</v>
      </c>
      <c r="N333" s="124" t="n">
        <f aca="false">SUM(J$6:J333)</f>
        <v>1170466.87</v>
      </c>
      <c r="P333" s="124" t="n">
        <f aca="false">D333/P$3</f>
        <v>0</v>
      </c>
      <c r="Q333" s="124" t="n">
        <f aca="false">E333/P$3</f>
        <v>0</v>
      </c>
      <c r="R333" s="124" t="n">
        <f aca="false">F333/R$3</f>
        <v>0</v>
      </c>
      <c r="S333" s="126" t="n">
        <f aca="false">J333/$R$3</f>
        <v>0</v>
      </c>
      <c r="T333" s="126" t="n">
        <f aca="false">L333/$R$3</f>
        <v>0</v>
      </c>
      <c r="U333" s="126" t="n">
        <f aca="false">I333/$R$3</f>
        <v>0.087</v>
      </c>
      <c r="V333" s="126" t="n">
        <f aca="false">M333/$R$3</f>
        <v>100.044</v>
      </c>
      <c r="W333" s="126" t="n">
        <f aca="false">N333/$R$3</f>
        <v>1170.46687</v>
      </c>
    </row>
    <row r="334" customFormat="false" ht="12.75" hidden="false" customHeight="false" outlineLevel="0" collapsed="false">
      <c r="A334" s="120" t="n">
        <f aca="false">A333+1</f>
        <v>37220</v>
      </c>
      <c r="B334" s="131" t="str">
        <f aca="false">INDEX('Master Data'!$A$2:$B$8,MATCH(WEEKDAY('Rio Cuarto Power Trading'!A334,3),'Master Data'!$A$2:$A$8,0),2)</f>
        <v>Su</v>
      </c>
      <c r="D334" s="124" t="n">
        <v>0</v>
      </c>
      <c r="E334" s="124" t="n">
        <v>0</v>
      </c>
      <c r="F334" s="124" t="n">
        <v>0</v>
      </c>
      <c r="G334" s="124" t="n">
        <v>0</v>
      </c>
      <c r="I334" s="124" t="n">
        <f aca="false">IF(MONTH($A334)=MONTH($A333),IF(G334=0,I333,G334),G334)</f>
        <v>87</v>
      </c>
      <c r="J334" s="124" t="n">
        <f aca="false">IF(MONTH($A334)=MONTH($A333),SUM(I334-I333),I334)</f>
        <v>0</v>
      </c>
      <c r="K334" s="124" t="n">
        <f aca="false">IF(WEEKDAY(A334,3)&gt;4,0,(IF(A334&lt;K$2,0,IF(A334&lt;=K$3,1,0))))</f>
        <v>0</v>
      </c>
      <c r="L334" s="124" t="n">
        <f aca="false">J334*K334</f>
        <v>0</v>
      </c>
      <c r="M334" s="124" t="n">
        <f aca="false">SUM(J$280:J334)</f>
        <v>100044</v>
      </c>
      <c r="N334" s="124" t="n">
        <f aca="false">SUM(J$6:J334)</f>
        <v>1170466.87</v>
      </c>
      <c r="P334" s="124" t="n">
        <f aca="false">D334/P$3</f>
        <v>0</v>
      </c>
      <c r="Q334" s="124" t="n">
        <f aca="false">E334/P$3</f>
        <v>0</v>
      </c>
      <c r="R334" s="124" t="n">
        <f aca="false">F334/R$3</f>
        <v>0</v>
      </c>
      <c r="S334" s="126" t="n">
        <f aca="false">J334/$R$3</f>
        <v>0</v>
      </c>
      <c r="T334" s="126" t="n">
        <f aca="false">L334/$R$3</f>
        <v>0</v>
      </c>
      <c r="U334" s="126" t="n">
        <f aca="false">I334/$R$3</f>
        <v>0.087</v>
      </c>
      <c r="V334" s="126" t="n">
        <f aca="false">M334/$R$3</f>
        <v>100.044</v>
      </c>
      <c r="W334" s="126" t="n">
        <f aca="false">N334/$R$3</f>
        <v>1170.46687</v>
      </c>
    </row>
    <row r="335" customFormat="false" ht="12.75" hidden="false" customHeight="false" outlineLevel="0" collapsed="false">
      <c r="A335" s="120" t="n">
        <f aca="false">A334+1</f>
        <v>37221</v>
      </c>
      <c r="B335" s="131" t="str">
        <f aca="false">INDEX('Master Data'!$A$2:$B$8,MATCH(WEEKDAY('Rio Cuarto Power Trading'!A335,3),'Master Data'!$A$2:$A$8,0),2)</f>
        <v>M</v>
      </c>
      <c r="D335" s="124" t="n">
        <v>0</v>
      </c>
      <c r="E335" s="124" t="n">
        <v>0</v>
      </c>
      <c r="F335" s="124" t="n">
        <v>0</v>
      </c>
      <c r="G335" s="124" t="n">
        <v>0</v>
      </c>
      <c r="I335" s="124" t="n">
        <f aca="false">IF(MONTH($A335)=MONTH($A334),IF(G335=0,I334,G335),G335)</f>
        <v>87</v>
      </c>
      <c r="J335" s="124" t="n">
        <f aca="false">IF(MONTH($A335)=MONTH($A334),SUM(I335-I334),I335)</f>
        <v>0</v>
      </c>
      <c r="K335" s="124" t="n">
        <f aca="false">IF(WEEKDAY(A335,3)&gt;4,0,(IF(A335&lt;K$2,0,IF(A335&lt;=K$3,1,0))))</f>
        <v>0</v>
      </c>
      <c r="L335" s="124" t="n">
        <f aca="false">J335*K335</f>
        <v>0</v>
      </c>
      <c r="M335" s="124" t="n">
        <f aca="false">SUM(J$280:J335)</f>
        <v>100044</v>
      </c>
      <c r="N335" s="124" t="n">
        <f aca="false">SUM(J$6:J335)</f>
        <v>1170466.87</v>
      </c>
      <c r="P335" s="124" t="n">
        <f aca="false">D335/P$3</f>
        <v>0</v>
      </c>
      <c r="Q335" s="124" t="n">
        <f aca="false">E335/P$3</f>
        <v>0</v>
      </c>
      <c r="R335" s="124" t="n">
        <f aca="false">F335/R$3</f>
        <v>0</v>
      </c>
      <c r="S335" s="126" t="n">
        <f aca="false">J335/$R$3</f>
        <v>0</v>
      </c>
      <c r="T335" s="126" t="n">
        <f aca="false">L335/$R$3</f>
        <v>0</v>
      </c>
      <c r="U335" s="126" t="n">
        <f aca="false">I335/$R$3</f>
        <v>0.087</v>
      </c>
      <c r="V335" s="126" t="n">
        <f aca="false">M335/$R$3</f>
        <v>100.044</v>
      </c>
      <c r="W335" s="126" t="n">
        <f aca="false">N335/$R$3</f>
        <v>1170.46687</v>
      </c>
    </row>
    <row r="336" customFormat="false" ht="12.75" hidden="false" customHeight="false" outlineLevel="0" collapsed="false">
      <c r="A336" s="120" t="n">
        <f aca="false">A335+1</f>
        <v>37222</v>
      </c>
      <c r="B336" s="131" t="str">
        <f aca="false">INDEX('Master Data'!$A$2:$B$8,MATCH(WEEKDAY('Rio Cuarto Power Trading'!A336,3),'Master Data'!$A$2:$A$8,0),2)</f>
        <v>T</v>
      </c>
      <c r="D336" s="124" t="n">
        <v>0</v>
      </c>
      <c r="E336" s="124" t="n">
        <v>0</v>
      </c>
      <c r="F336" s="124" t="n">
        <v>0</v>
      </c>
      <c r="G336" s="124" t="n">
        <v>0</v>
      </c>
      <c r="I336" s="124" t="n">
        <f aca="false">IF(MONTH($A336)=MONTH($A335),IF(G336=0,I335,G336),G336)</f>
        <v>87</v>
      </c>
      <c r="J336" s="124" t="n">
        <f aca="false">IF(MONTH($A336)=MONTH($A335),SUM(I336-I335),I336)</f>
        <v>0</v>
      </c>
      <c r="K336" s="124" t="n">
        <f aca="false">IF(WEEKDAY(A336,3)&gt;4,0,(IF(A336&lt;K$2,0,IF(A336&lt;=K$3,1,0))))</f>
        <v>0</v>
      </c>
      <c r="L336" s="124" t="n">
        <f aca="false">J336*K336</f>
        <v>0</v>
      </c>
      <c r="M336" s="124" t="n">
        <f aca="false">SUM(J$280:J336)</f>
        <v>100044</v>
      </c>
      <c r="N336" s="124" t="n">
        <f aca="false">SUM(J$6:J336)</f>
        <v>1170466.87</v>
      </c>
      <c r="P336" s="124" t="n">
        <f aca="false">D336/P$3</f>
        <v>0</v>
      </c>
      <c r="Q336" s="124" t="n">
        <f aca="false">E336/P$3</f>
        <v>0</v>
      </c>
      <c r="R336" s="124" t="n">
        <f aca="false">F336/R$3</f>
        <v>0</v>
      </c>
      <c r="S336" s="126" t="n">
        <f aca="false">J336/$R$3</f>
        <v>0</v>
      </c>
      <c r="T336" s="126" t="n">
        <f aca="false">L336/$R$3</f>
        <v>0</v>
      </c>
      <c r="U336" s="126" t="n">
        <f aca="false">I336/$R$3</f>
        <v>0.087</v>
      </c>
      <c r="V336" s="126" t="n">
        <f aca="false">M336/$R$3</f>
        <v>100.044</v>
      </c>
      <c r="W336" s="126" t="n">
        <f aca="false">N336/$R$3</f>
        <v>1170.46687</v>
      </c>
    </row>
    <row r="337" customFormat="false" ht="12.75" hidden="false" customHeight="false" outlineLevel="0" collapsed="false">
      <c r="A337" s="120" t="n">
        <f aca="false">A336+1</f>
        <v>37223</v>
      </c>
      <c r="B337" s="131" t="str">
        <f aca="false">INDEX('Master Data'!$A$2:$B$8,MATCH(WEEKDAY('Rio Cuarto Power Trading'!A337,3),'Master Data'!$A$2:$A$8,0),2)</f>
        <v>W</v>
      </c>
      <c r="D337" s="124" t="n">
        <v>0</v>
      </c>
      <c r="E337" s="124" t="n">
        <v>0</v>
      </c>
      <c r="F337" s="124" t="n">
        <v>0</v>
      </c>
      <c r="G337" s="124" t="n">
        <v>0</v>
      </c>
      <c r="I337" s="124" t="n">
        <f aca="false">IF(MONTH($A337)=MONTH($A336),IF(G337=0,I336,G337),G337)</f>
        <v>87</v>
      </c>
      <c r="J337" s="124" t="n">
        <f aca="false">IF(MONTH($A337)=MONTH($A336),SUM(I337-I336),I337)</f>
        <v>0</v>
      </c>
      <c r="K337" s="124" t="n">
        <f aca="false">IF(WEEKDAY(A337,3)&gt;4,0,(IF(A337&lt;K$2,0,IF(A337&lt;=K$3,1,0))))</f>
        <v>0</v>
      </c>
      <c r="L337" s="124" t="n">
        <f aca="false">J337*K337</f>
        <v>0</v>
      </c>
      <c r="M337" s="124" t="n">
        <f aca="false">SUM(J$280:J337)</f>
        <v>100044</v>
      </c>
      <c r="N337" s="124" t="n">
        <f aca="false">SUM(J$6:J337)</f>
        <v>1170466.87</v>
      </c>
      <c r="P337" s="124" t="n">
        <f aca="false">D337/P$3</f>
        <v>0</v>
      </c>
      <c r="Q337" s="124" t="n">
        <f aca="false">E337/P$3</f>
        <v>0</v>
      </c>
      <c r="R337" s="124" t="n">
        <f aca="false">F337/R$3</f>
        <v>0</v>
      </c>
      <c r="S337" s="126" t="n">
        <f aca="false">J337/$R$3</f>
        <v>0</v>
      </c>
      <c r="T337" s="126" t="n">
        <f aca="false">L337/$R$3</f>
        <v>0</v>
      </c>
      <c r="U337" s="126" t="n">
        <f aca="false">I337/$R$3</f>
        <v>0.087</v>
      </c>
      <c r="V337" s="126" t="n">
        <f aca="false">M337/$R$3</f>
        <v>100.044</v>
      </c>
      <c r="W337" s="126" t="n">
        <f aca="false">N337/$R$3</f>
        <v>1170.46687</v>
      </c>
    </row>
    <row r="338" customFormat="false" ht="12.75" hidden="false" customHeight="false" outlineLevel="0" collapsed="false">
      <c r="A338" s="120" t="n">
        <f aca="false">A337+1</f>
        <v>37224</v>
      </c>
      <c r="B338" s="131" t="str">
        <f aca="false">INDEX('Master Data'!$A$2:$B$8,MATCH(WEEKDAY('Rio Cuarto Power Trading'!A338,3),'Master Data'!$A$2:$A$8,0),2)</f>
        <v>Th</v>
      </c>
      <c r="D338" s="124" t="n">
        <v>0</v>
      </c>
      <c r="E338" s="124" t="n">
        <v>0</v>
      </c>
      <c r="F338" s="124" t="n">
        <v>0</v>
      </c>
      <c r="G338" s="124" t="n">
        <v>0</v>
      </c>
      <c r="I338" s="124" t="n">
        <f aca="false">IF(MONTH($A338)=MONTH($A337),IF(G338=0,I337,G338),G338)</f>
        <v>87</v>
      </c>
      <c r="J338" s="124" t="n">
        <f aca="false">IF(MONTH($A338)=MONTH($A337),SUM(I338-I337),I338)</f>
        <v>0</v>
      </c>
      <c r="K338" s="124" t="n">
        <f aca="false">IF(WEEKDAY(A338,3)&gt;4,0,(IF(A338&lt;K$2,0,IF(A338&lt;=K$3,1,0))))</f>
        <v>0</v>
      </c>
      <c r="L338" s="124" t="n">
        <f aca="false">J338*K338</f>
        <v>0</v>
      </c>
      <c r="M338" s="124" t="n">
        <f aca="false">SUM(J$280:J338)</f>
        <v>100044</v>
      </c>
      <c r="N338" s="124" t="n">
        <f aca="false">SUM(J$6:J338)</f>
        <v>1170466.87</v>
      </c>
      <c r="P338" s="124" t="n">
        <f aca="false">D338/P$3</f>
        <v>0</v>
      </c>
      <c r="Q338" s="124" t="n">
        <f aca="false">E338/P$3</f>
        <v>0</v>
      </c>
      <c r="R338" s="124" t="n">
        <f aca="false">F338/R$3</f>
        <v>0</v>
      </c>
      <c r="S338" s="126" t="n">
        <f aca="false">J338/$R$3</f>
        <v>0</v>
      </c>
      <c r="T338" s="126" t="n">
        <f aca="false">L338/$R$3</f>
        <v>0</v>
      </c>
      <c r="U338" s="126" t="n">
        <f aca="false">I338/$R$3</f>
        <v>0.087</v>
      </c>
      <c r="V338" s="126" t="n">
        <f aca="false">M338/$R$3</f>
        <v>100.044</v>
      </c>
      <c r="W338" s="126" t="n">
        <f aca="false">N338/$R$3</f>
        <v>1170.46687</v>
      </c>
    </row>
    <row r="339" customFormat="false" ht="12.75" hidden="false" customHeight="false" outlineLevel="0" collapsed="false">
      <c r="A339" s="120" t="n">
        <f aca="false">A338+1</f>
        <v>37225</v>
      </c>
      <c r="B339" s="131" t="str">
        <f aca="false">INDEX('Master Data'!$A$2:$B$8,MATCH(WEEKDAY('Rio Cuarto Power Trading'!A339,3),'Master Data'!$A$2:$A$8,0),2)</f>
        <v>F</v>
      </c>
      <c r="D339" s="124" t="n">
        <v>0</v>
      </c>
      <c r="E339" s="124" t="n">
        <v>0</v>
      </c>
      <c r="F339" s="124" t="n">
        <v>0</v>
      </c>
      <c r="G339" s="124" t="n">
        <v>0</v>
      </c>
      <c r="I339" s="124" t="n">
        <f aca="false">IF(MONTH($A339)=MONTH($A338),IF(G339=0,I338,G339),G339)</f>
        <v>87</v>
      </c>
      <c r="J339" s="124" t="n">
        <f aca="false">IF(MONTH($A339)=MONTH($A338),SUM(I339-I338),I339)</f>
        <v>0</v>
      </c>
      <c r="K339" s="124" t="n">
        <f aca="false">IF(WEEKDAY(A339,3)&gt;4,0,(IF(A339&lt;K$2,0,IF(A339&lt;=K$3,1,0))))</f>
        <v>0</v>
      </c>
      <c r="L339" s="124" t="n">
        <f aca="false">J339*K339</f>
        <v>0</v>
      </c>
      <c r="M339" s="124" t="n">
        <f aca="false">SUM(J$280:J339)</f>
        <v>100044</v>
      </c>
      <c r="N339" s="124" t="n">
        <f aca="false">SUM(J$6:J339)</f>
        <v>1170466.87</v>
      </c>
      <c r="P339" s="124" t="n">
        <f aca="false">D339/P$3</f>
        <v>0</v>
      </c>
      <c r="Q339" s="124" t="n">
        <f aca="false">E339/P$3</f>
        <v>0</v>
      </c>
      <c r="R339" s="124" t="n">
        <f aca="false">F339/R$3</f>
        <v>0</v>
      </c>
      <c r="S339" s="126" t="n">
        <f aca="false">J339/$R$3</f>
        <v>0</v>
      </c>
      <c r="T339" s="126" t="n">
        <f aca="false">L339/$R$3</f>
        <v>0</v>
      </c>
      <c r="U339" s="126" t="n">
        <f aca="false">I339/$R$3</f>
        <v>0.087</v>
      </c>
      <c r="V339" s="126" t="n">
        <f aca="false">M339/$R$3</f>
        <v>100.044</v>
      </c>
      <c r="W339" s="126" t="n">
        <f aca="false">N339/$R$3</f>
        <v>1170.46687</v>
      </c>
    </row>
    <row r="340" customFormat="false" ht="12.75" hidden="false" customHeight="false" outlineLevel="0" collapsed="false">
      <c r="A340" s="120" t="n">
        <f aca="false">A339+1</f>
        <v>37226</v>
      </c>
      <c r="B340" s="131" t="str">
        <f aca="false">INDEX('Master Data'!$A$2:$B$8,MATCH(WEEKDAY('Rio Cuarto Power Trading'!A340,3),'Master Data'!$A$2:$A$8,0),2)</f>
        <v>Sa</v>
      </c>
      <c r="D340" s="124" t="n">
        <v>0</v>
      </c>
      <c r="E340" s="124" t="n">
        <v>0</v>
      </c>
      <c r="F340" s="124" t="n">
        <v>0</v>
      </c>
      <c r="G340" s="124" t="n">
        <v>0</v>
      </c>
      <c r="I340" s="124" t="n">
        <f aca="false">IF(MONTH($A340)=MONTH($A339),IF(G340=0,I339,G340),G340)</f>
        <v>0</v>
      </c>
      <c r="J340" s="124" t="n">
        <f aca="false">IF(MONTH($A340)=MONTH($A339),SUM(I340-I339),I340)</f>
        <v>0</v>
      </c>
      <c r="K340" s="124" t="n">
        <f aca="false">IF(WEEKDAY(A340,3)&gt;4,0,(IF(A340&lt;K$2,0,IF(A340&lt;=K$3,1,0))))</f>
        <v>0</v>
      </c>
      <c r="L340" s="124" t="n">
        <f aca="false">J340*K340</f>
        <v>0</v>
      </c>
      <c r="M340" s="124" t="n">
        <f aca="false">SUM(J$280:J340)</f>
        <v>100044</v>
      </c>
      <c r="N340" s="124" t="n">
        <f aca="false">SUM(J$6:J340)</f>
        <v>1170466.87</v>
      </c>
      <c r="P340" s="124" t="n">
        <f aca="false">D340/P$3</f>
        <v>0</v>
      </c>
      <c r="Q340" s="124" t="n">
        <f aca="false">E340/P$3</f>
        <v>0</v>
      </c>
      <c r="R340" s="124" t="n">
        <f aca="false">F340/R$3</f>
        <v>0</v>
      </c>
      <c r="S340" s="126" t="n">
        <f aca="false">J340/$R$3</f>
        <v>0</v>
      </c>
      <c r="T340" s="126" t="n">
        <f aca="false">L340/$R$3</f>
        <v>0</v>
      </c>
      <c r="U340" s="126" t="n">
        <f aca="false">I340/$R$3</f>
        <v>0</v>
      </c>
      <c r="V340" s="126" t="n">
        <f aca="false">M340/$R$3</f>
        <v>100.044</v>
      </c>
      <c r="W340" s="126" t="n">
        <f aca="false">N340/$R$3</f>
        <v>1170.46687</v>
      </c>
    </row>
    <row r="341" customFormat="false" ht="12.75" hidden="false" customHeight="false" outlineLevel="0" collapsed="false">
      <c r="A341" s="120" t="n">
        <f aca="false">A340+1</f>
        <v>37227</v>
      </c>
      <c r="B341" s="131" t="str">
        <f aca="false">INDEX('Master Data'!$A$2:$B$8,MATCH(WEEKDAY('Rio Cuarto Power Trading'!A341,3),'Master Data'!$A$2:$A$8,0),2)</f>
        <v>Su</v>
      </c>
      <c r="D341" s="124" t="n">
        <v>0</v>
      </c>
      <c r="E341" s="124" t="n">
        <v>0</v>
      </c>
      <c r="F341" s="124" t="n">
        <v>0</v>
      </c>
      <c r="G341" s="124" t="n">
        <v>0</v>
      </c>
      <c r="I341" s="124" t="n">
        <f aca="false">IF(MONTH($A341)=MONTH($A340),IF(G341=0,I340,G341),G341)</f>
        <v>0</v>
      </c>
      <c r="J341" s="124" t="n">
        <f aca="false">IF(MONTH($A341)=MONTH($A340),SUM(I341-I340),I341)</f>
        <v>0</v>
      </c>
      <c r="K341" s="124" t="n">
        <f aca="false">IF(WEEKDAY(A341,3)&gt;4,0,(IF(A341&lt;K$2,0,IF(A341&lt;=K$3,1,0))))</f>
        <v>0</v>
      </c>
      <c r="L341" s="124" t="n">
        <f aca="false">J341*K341</f>
        <v>0</v>
      </c>
      <c r="M341" s="124" t="n">
        <f aca="false">SUM(J$280:J341)</f>
        <v>100044</v>
      </c>
      <c r="N341" s="124" t="n">
        <f aca="false">SUM(J$6:J341)</f>
        <v>1170466.87</v>
      </c>
      <c r="P341" s="124" t="n">
        <f aca="false">D341/P$3</f>
        <v>0</v>
      </c>
      <c r="Q341" s="124" t="n">
        <f aca="false">E341/P$3</f>
        <v>0</v>
      </c>
      <c r="R341" s="124" t="n">
        <f aca="false">F341/R$3</f>
        <v>0</v>
      </c>
      <c r="S341" s="126" t="n">
        <f aca="false">J341/$R$3</f>
        <v>0</v>
      </c>
      <c r="T341" s="126" t="n">
        <f aca="false">L341/$R$3</f>
        <v>0</v>
      </c>
      <c r="U341" s="126" t="n">
        <f aca="false">I341/$R$3</f>
        <v>0</v>
      </c>
      <c r="V341" s="126" t="n">
        <f aca="false">M341/$R$3</f>
        <v>100.044</v>
      </c>
      <c r="W341" s="126" t="n">
        <f aca="false">N341/$R$3</f>
        <v>1170.46687</v>
      </c>
    </row>
    <row r="342" customFormat="false" ht="12.75" hidden="false" customHeight="false" outlineLevel="0" collapsed="false">
      <c r="A342" s="120" t="n">
        <f aca="false">A341+1</f>
        <v>37228</v>
      </c>
      <c r="B342" s="131" t="str">
        <f aca="false">INDEX('Master Data'!$A$2:$B$8,MATCH(WEEKDAY('Rio Cuarto Power Trading'!A342,3),'Master Data'!$A$2:$A$8,0),2)</f>
        <v>M</v>
      </c>
      <c r="D342" s="124" t="n">
        <v>0</v>
      </c>
      <c r="E342" s="124" t="n">
        <v>0</v>
      </c>
      <c r="F342" s="124" t="n">
        <v>0</v>
      </c>
      <c r="G342" s="124" t="n">
        <v>0</v>
      </c>
      <c r="I342" s="124" t="n">
        <f aca="false">IF(MONTH($A342)=MONTH($A341),IF(G342=0,I341,G342),G342)</f>
        <v>0</v>
      </c>
      <c r="J342" s="124" t="n">
        <f aca="false">IF(MONTH($A342)=MONTH($A341),SUM(I342-I341),I342)</f>
        <v>0</v>
      </c>
      <c r="K342" s="124" t="n">
        <f aca="false">IF(WEEKDAY(A342,3)&gt;4,0,(IF(A342&lt;K$2,0,IF(A342&lt;=K$3,1,0))))</f>
        <v>0</v>
      </c>
      <c r="L342" s="124" t="n">
        <f aca="false">J342*K342</f>
        <v>0</v>
      </c>
      <c r="M342" s="124" t="n">
        <f aca="false">SUM(J$280:J342)</f>
        <v>100044</v>
      </c>
      <c r="N342" s="124" t="n">
        <f aca="false">SUM(J$6:J342)</f>
        <v>1170466.87</v>
      </c>
      <c r="P342" s="124" t="n">
        <f aca="false">D342/P$3</f>
        <v>0</v>
      </c>
      <c r="Q342" s="124" t="n">
        <f aca="false">E342/P$3</f>
        <v>0</v>
      </c>
      <c r="R342" s="124" t="n">
        <f aca="false">F342/R$3</f>
        <v>0</v>
      </c>
      <c r="S342" s="126" t="n">
        <f aca="false">J342/$R$3</f>
        <v>0</v>
      </c>
      <c r="T342" s="126" t="n">
        <f aca="false">L342/$R$3</f>
        <v>0</v>
      </c>
      <c r="U342" s="126" t="n">
        <f aca="false">I342/$R$3</f>
        <v>0</v>
      </c>
      <c r="V342" s="126" t="n">
        <f aca="false">M342/$R$3</f>
        <v>100.044</v>
      </c>
      <c r="W342" s="126" t="n">
        <f aca="false">N342/$R$3</f>
        <v>1170.46687</v>
      </c>
    </row>
    <row r="343" customFormat="false" ht="12.75" hidden="false" customHeight="false" outlineLevel="0" collapsed="false">
      <c r="A343" s="120" t="n">
        <f aca="false">A342+1</f>
        <v>37229</v>
      </c>
      <c r="B343" s="131" t="str">
        <f aca="false">INDEX('Master Data'!$A$2:$B$8,MATCH(WEEKDAY('Rio Cuarto Power Trading'!A343,3),'Master Data'!$A$2:$A$8,0),2)</f>
        <v>T</v>
      </c>
      <c r="D343" s="124" t="n">
        <v>0</v>
      </c>
      <c r="E343" s="124" t="n">
        <v>0</v>
      </c>
      <c r="F343" s="124" t="n">
        <v>0</v>
      </c>
      <c r="G343" s="124" t="n">
        <v>0</v>
      </c>
      <c r="I343" s="124" t="n">
        <f aca="false">IF(MONTH($A343)=MONTH($A342),IF(G343=0,I342,G343),G343)</f>
        <v>0</v>
      </c>
      <c r="J343" s="124" t="n">
        <f aca="false">IF(MONTH($A343)=MONTH($A342),SUM(I343-I342),I343)</f>
        <v>0</v>
      </c>
      <c r="K343" s="124" t="n">
        <f aca="false">IF(WEEKDAY(A343,3)&gt;4,0,(IF(A343&lt;K$2,0,IF(A343&lt;=K$3,1,0))))</f>
        <v>0</v>
      </c>
      <c r="L343" s="124" t="n">
        <f aca="false">J343*K343</f>
        <v>0</v>
      </c>
      <c r="M343" s="124" t="n">
        <f aca="false">SUM(J$280:J343)</f>
        <v>100044</v>
      </c>
      <c r="N343" s="124" t="n">
        <f aca="false">SUM(J$6:J343)</f>
        <v>1170466.87</v>
      </c>
      <c r="P343" s="124" t="n">
        <f aca="false">D343/P$3</f>
        <v>0</v>
      </c>
      <c r="Q343" s="124" t="n">
        <f aca="false">E343/P$3</f>
        <v>0</v>
      </c>
      <c r="R343" s="124" t="n">
        <f aca="false">F343/R$3</f>
        <v>0</v>
      </c>
      <c r="S343" s="126" t="n">
        <f aca="false">J343/$R$3</f>
        <v>0</v>
      </c>
      <c r="T343" s="126" t="n">
        <f aca="false">L343/$R$3</f>
        <v>0</v>
      </c>
      <c r="U343" s="126" t="n">
        <f aca="false">I343/$R$3</f>
        <v>0</v>
      </c>
      <c r="V343" s="126" t="n">
        <f aca="false">M343/$R$3</f>
        <v>100.044</v>
      </c>
      <c r="W343" s="126" t="n">
        <f aca="false">N343/$R$3</f>
        <v>1170.46687</v>
      </c>
    </row>
    <row r="344" customFormat="false" ht="12.75" hidden="false" customHeight="false" outlineLevel="0" collapsed="false">
      <c r="A344" s="120" t="n">
        <f aca="false">A343+1</f>
        <v>37230</v>
      </c>
      <c r="B344" s="131" t="str">
        <f aca="false">INDEX('Master Data'!$A$2:$B$8,MATCH(WEEKDAY('Rio Cuarto Power Trading'!A344,3),'Master Data'!$A$2:$A$8,0),2)</f>
        <v>W</v>
      </c>
      <c r="D344" s="124" t="n">
        <v>0</v>
      </c>
      <c r="E344" s="124" t="n">
        <v>0</v>
      </c>
      <c r="F344" s="124" t="n">
        <v>0</v>
      </c>
      <c r="G344" s="124" t="n">
        <v>0</v>
      </c>
      <c r="I344" s="124" t="n">
        <f aca="false">IF(MONTH($A344)=MONTH($A343),IF(G344=0,I343,G344),G344)</f>
        <v>0</v>
      </c>
      <c r="J344" s="124" t="n">
        <f aca="false">IF(MONTH($A344)=MONTH($A343),SUM(I344-I343),I344)</f>
        <v>0</v>
      </c>
      <c r="K344" s="124" t="n">
        <f aca="false">IF(WEEKDAY(A344,3)&gt;4,0,(IF(A344&lt;K$2,0,IF(A344&lt;=K$3,1,0))))</f>
        <v>0</v>
      </c>
      <c r="L344" s="124" t="n">
        <f aca="false">J344*K344</f>
        <v>0</v>
      </c>
      <c r="M344" s="124" t="n">
        <f aca="false">SUM(J$280:J344)</f>
        <v>100044</v>
      </c>
      <c r="N344" s="124" t="n">
        <f aca="false">SUM(J$6:J344)</f>
        <v>1170466.87</v>
      </c>
      <c r="P344" s="124" t="n">
        <f aca="false">D344/P$3</f>
        <v>0</v>
      </c>
      <c r="Q344" s="124" t="n">
        <f aca="false">E344/P$3</f>
        <v>0</v>
      </c>
      <c r="R344" s="124" t="n">
        <f aca="false">F344/R$3</f>
        <v>0</v>
      </c>
      <c r="S344" s="126" t="n">
        <f aca="false">J344/$R$3</f>
        <v>0</v>
      </c>
      <c r="T344" s="126" t="n">
        <f aca="false">L344/$R$3</f>
        <v>0</v>
      </c>
      <c r="U344" s="126" t="n">
        <f aca="false">I344/$R$3</f>
        <v>0</v>
      </c>
      <c r="V344" s="126" t="n">
        <f aca="false">M344/$R$3</f>
        <v>100.044</v>
      </c>
      <c r="W344" s="126" t="n">
        <f aca="false">N344/$R$3</f>
        <v>1170.46687</v>
      </c>
    </row>
    <row r="345" customFormat="false" ht="12.75" hidden="false" customHeight="false" outlineLevel="0" collapsed="false">
      <c r="A345" s="120" t="n">
        <f aca="false">A344+1</f>
        <v>37231</v>
      </c>
      <c r="B345" s="131" t="str">
        <f aca="false">INDEX('Master Data'!$A$2:$B$8,MATCH(WEEKDAY('Rio Cuarto Power Trading'!A345,3),'Master Data'!$A$2:$A$8,0),2)</f>
        <v>Th</v>
      </c>
      <c r="D345" s="124" t="n">
        <v>0</v>
      </c>
      <c r="E345" s="124" t="n">
        <v>0</v>
      </c>
      <c r="F345" s="124" t="n">
        <v>0</v>
      </c>
      <c r="G345" s="124" t="n">
        <v>0</v>
      </c>
      <c r="I345" s="124" t="n">
        <f aca="false">IF(MONTH($A345)=MONTH($A344),IF(G345=0,I344,G345),G345)</f>
        <v>0</v>
      </c>
      <c r="J345" s="124" t="n">
        <f aca="false">IF(MONTH($A345)=MONTH($A344),SUM(I345-I344),I345)</f>
        <v>0</v>
      </c>
      <c r="K345" s="124" t="n">
        <f aca="false">IF(WEEKDAY(A345,3)&gt;4,0,(IF(A345&lt;K$2,0,IF(A345&lt;=K$3,1,0))))</f>
        <v>0</v>
      </c>
      <c r="L345" s="124" t="n">
        <f aca="false">J345*K345</f>
        <v>0</v>
      </c>
      <c r="M345" s="124" t="n">
        <f aca="false">SUM(J$280:J345)</f>
        <v>100044</v>
      </c>
      <c r="N345" s="124" t="n">
        <f aca="false">SUM(J$6:J345)</f>
        <v>1170466.87</v>
      </c>
      <c r="P345" s="124" t="n">
        <f aca="false">D345/P$3</f>
        <v>0</v>
      </c>
      <c r="Q345" s="124" t="n">
        <f aca="false">E345/P$3</f>
        <v>0</v>
      </c>
      <c r="R345" s="124" t="n">
        <f aca="false">F345/R$3</f>
        <v>0</v>
      </c>
      <c r="S345" s="126" t="n">
        <f aca="false">J345/$R$3</f>
        <v>0</v>
      </c>
      <c r="T345" s="126" t="n">
        <f aca="false">L345/$R$3</f>
        <v>0</v>
      </c>
      <c r="U345" s="126" t="n">
        <f aca="false">I345/$R$3</f>
        <v>0</v>
      </c>
      <c r="V345" s="126" t="n">
        <f aca="false">M345/$R$3</f>
        <v>100.044</v>
      </c>
      <c r="W345" s="126" t="n">
        <f aca="false">N345/$R$3</f>
        <v>1170.46687</v>
      </c>
    </row>
    <row r="346" customFormat="false" ht="12.75" hidden="false" customHeight="false" outlineLevel="0" collapsed="false">
      <c r="A346" s="120" t="n">
        <f aca="false">A345+1</f>
        <v>37232</v>
      </c>
      <c r="B346" s="131" t="str">
        <f aca="false">INDEX('Master Data'!$A$2:$B$8,MATCH(WEEKDAY('Rio Cuarto Power Trading'!A346,3),'Master Data'!$A$2:$A$8,0),2)</f>
        <v>F</v>
      </c>
      <c r="D346" s="124" t="n">
        <v>0</v>
      </c>
      <c r="E346" s="124" t="n">
        <v>0</v>
      </c>
      <c r="F346" s="124" t="n">
        <v>0</v>
      </c>
      <c r="G346" s="124" t="n">
        <v>0</v>
      </c>
      <c r="I346" s="124" t="n">
        <f aca="false">IF(MONTH($A346)=MONTH($A345),IF(G346=0,I345,G346),G346)</f>
        <v>0</v>
      </c>
      <c r="J346" s="124" t="n">
        <f aca="false">IF(MONTH($A346)=MONTH($A345),SUM(I346-I345),I346)</f>
        <v>0</v>
      </c>
      <c r="K346" s="124" t="n">
        <f aca="false">IF(WEEKDAY(A346,3)&gt;4,0,(IF(A346&lt;K$2,0,IF(A346&lt;=K$3,1,0))))</f>
        <v>0</v>
      </c>
      <c r="L346" s="124" t="n">
        <f aca="false">J346*K346</f>
        <v>0</v>
      </c>
      <c r="M346" s="124" t="n">
        <f aca="false">SUM(J$280:J346)</f>
        <v>100044</v>
      </c>
      <c r="N346" s="124" t="n">
        <f aca="false">SUM(J$6:J346)</f>
        <v>1170466.87</v>
      </c>
      <c r="P346" s="124" t="n">
        <f aca="false">D346/P$3</f>
        <v>0</v>
      </c>
      <c r="Q346" s="124" t="n">
        <f aca="false">E346/P$3</f>
        <v>0</v>
      </c>
      <c r="R346" s="124" t="n">
        <f aca="false">F346/R$3</f>
        <v>0</v>
      </c>
      <c r="S346" s="126" t="n">
        <f aca="false">J346/$R$3</f>
        <v>0</v>
      </c>
      <c r="T346" s="126" t="n">
        <f aca="false">L346/$R$3</f>
        <v>0</v>
      </c>
      <c r="U346" s="126" t="n">
        <f aca="false">I346/$R$3</f>
        <v>0</v>
      </c>
      <c r="V346" s="126" t="n">
        <f aca="false">M346/$R$3</f>
        <v>100.044</v>
      </c>
      <c r="W346" s="126" t="n">
        <f aca="false">N346/$R$3</f>
        <v>1170.46687</v>
      </c>
    </row>
    <row r="347" customFormat="false" ht="12.75" hidden="false" customHeight="false" outlineLevel="0" collapsed="false">
      <c r="A347" s="120" t="n">
        <f aca="false">A346+1</f>
        <v>37233</v>
      </c>
      <c r="B347" s="131" t="str">
        <f aca="false">INDEX('Master Data'!$A$2:$B$8,MATCH(WEEKDAY('Rio Cuarto Power Trading'!A347,3),'Master Data'!$A$2:$A$8,0),2)</f>
        <v>Sa</v>
      </c>
      <c r="D347" s="124" t="n">
        <v>0</v>
      </c>
      <c r="E347" s="124" t="n">
        <v>0</v>
      </c>
      <c r="F347" s="124" t="n">
        <v>0</v>
      </c>
      <c r="G347" s="124" t="n">
        <v>0</v>
      </c>
      <c r="I347" s="124" t="n">
        <f aca="false">IF(MONTH($A347)=MONTH($A346),IF(G347=0,I346,G347),G347)</f>
        <v>0</v>
      </c>
      <c r="J347" s="124" t="n">
        <f aca="false">IF(MONTH($A347)=MONTH($A346),SUM(I347-I346),I347)</f>
        <v>0</v>
      </c>
      <c r="K347" s="124" t="n">
        <f aca="false">IF(WEEKDAY(A347,3)&gt;4,0,(IF(A347&lt;K$2,0,IF(A347&lt;=K$3,1,0))))</f>
        <v>0</v>
      </c>
      <c r="L347" s="124" t="n">
        <f aca="false">J347*K347</f>
        <v>0</v>
      </c>
      <c r="M347" s="124" t="n">
        <f aca="false">SUM(J$280:J347)</f>
        <v>100044</v>
      </c>
      <c r="N347" s="124" t="n">
        <f aca="false">SUM(J$6:J347)</f>
        <v>1170466.87</v>
      </c>
      <c r="P347" s="124" t="n">
        <f aca="false">D347/P$3</f>
        <v>0</v>
      </c>
      <c r="Q347" s="124" t="n">
        <f aca="false">E347/P$3</f>
        <v>0</v>
      </c>
      <c r="R347" s="124" t="n">
        <f aca="false">F347/R$3</f>
        <v>0</v>
      </c>
      <c r="S347" s="126" t="n">
        <f aca="false">J347/$R$3</f>
        <v>0</v>
      </c>
      <c r="T347" s="126" t="n">
        <f aca="false">L347/$R$3</f>
        <v>0</v>
      </c>
      <c r="U347" s="126" t="n">
        <f aca="false">I347/$R$3</f>
        <v>0</v>
      </c>
      <c r="V347" s="126" t="n">
        <f aca="false">M347/$R$3</f>
        <v>100.044</v>
      </c>
      <c r="W347" s="126" t="n">
        <f aca="false">N347/$R$3</f>
        <v>1170.46687</v>
      </c>
    </row>
    <row r="348" customFormat="false" ht="12.75" hidden="false" customHeight="false" outlineLevel="0" collapsed="false">
      <c r="A348" s="120" t="n">
        <f aca="false">A347+1</f>
        <v>37234</v>
      </c>
      <c r="B348" s="131" t="str">
        <f aca="false">INDEX('Master Data'!$A$2:$B$8,MATCH(WEEKDAY('Rio Cuarto Power Trading'!A348,3),'Master Data'!$A$2:$A$8,0),2)</f>
        <v>Su</v>
      </c>
      <c r="D348" s="124" t="n">
        <v>0</v>
      </c>
      <c r="E348" s="124" t="n">
        <v>0</v>
      </c>
      <c r="F348" s="124" t="n">
        <v>0</v>
      </c>
      <c r="G348" s="124" t="n">
        <v>0</v>
      </c>
      <c r="I348" s="124" t="n">
        <f aca="false">IF(MONTH($A348)=MONTH($A347),IF(G348=0,I347,G348),G348)</f>
        <v>0</v>
      </c>
      <c r="J348" s="124" t="n">
        <f aca="false">IF(MONTH($A348)=MONTH($A347),SUM(I348-I347),I348)</f>
        <v>0</v>
      </c>
      <c r="K348" s="124" t="n">
        <f aca="false">IF(WEEKDAY(A348,3)&gt;4,0,(IF(A348&lt;K$2,0,IF(A348&lt;=K$3,1,0))))</f>
        <v>0</v>
      </c>
      <c r="L348" s="124" t="n">
        <f aca="false">J348*K348</f>
        <v>0</v>
      </c>
      <c r="M348" s="124" t="n">
        <f aca="false">SUM(J$280:J348)</f>
        <v>100044</v>
      </c>
      <c r="N348" s="124" t="n">
        <f aca="false">SUM(J$6:J348)</f>
        <v>1170466.87</v>
      </c>
      <c r="P348" s="124" t="n">
        <f aca="false">D348/P$3</f>
        <v>0</v>
      </c>
      <c r="Q348" s="124" t="n">
        <f aca="false">E348/P$3</f>
        <v>0</v>
      </c>
      <c r="R348" s="124" t="n">
        <f aca="false">F348/R$3</f>
        <v>0</v>
      </c>
      <c r="S348" s="126" t="n">
        <f aca="false">J348/$R$3</f>
        <v>0</v>
      </c>
      <c r="T348" s="126" t="n">
        <f aca="false">L348/$R$3</f>
        <v>0</v>
      </c>
      <c r="U348" s="126" t="n">
        <f aca="false">I348/$R$3</f>
        <v>0</v>
      </c>
      <c r="V348" s="126" t="n">
        <f aca="false">M348/$R$3</f>
        <v>100.044</v>
      </c>
      <c r="W348" s="126" t="n">
        <f aca="false">N348/$R$3</f>
        <v>1170.46687</v>
      </c>
    </row>
    <row r="349" customFormat="false" ht="12.75" hidden="false" customHeight="false" outlineLevel="0" collapsed="false">
      <c r="A349" s="120" t="n">
        <f aca="false">A348+1</f>
        <v>37235</v>
      </c>
      <c r="B349" s="131" t="str">
        <f aca="false">INDEX('Master Data'!$A$2:$B$8,MATCH(WEEKDAY('Rio Cuarto Power Trading'!A349,3),'Master Data'!$A$2:$A$8,0),2)</f>
        <v>M</v>
      </c>
      <c r="D349" s="124" t="n">
        <v>0</v>
      </c>
      <c r="E349" s="124" t="n">
        <v>0</v>
      </c>
      <c r="F349" s="124" t="n">
        <v>0</v>
      </c>
      <c r="G349" s="124" t="n">
        <v>0</v>
      </c>
      <c r="I349" s="124" t="n">
        <f aca="false">IF(MONTH($A349)=MONTH($A348),IF(G349=0,I348,G349),G349)</f>
        <v>0</v>
      </c>
      <c r="J349" s="124" t="n">
        <f aca="false">IF(MONTH($A349)=MONTH($A348),SUM(I349-I348),I349)</f>
        <v>0</v>
      </c>
      <c r="K349" s="124" t="n">
        <f aca="false">IF(WEEKDAY(A349,3)&gt;4,0,(IF(A349&lt;K$2,0,IF(A349&lt;=K$3,1,0))))</f>
        <v>0</v>
      </c>
      <c r="L349" s="124" t="n">
        <f aca="false">J349*K349</f>
        <v>0</v>
      </c>
      <c r="M349" s="124" t="n">
        <f aca="false">SUM(J$280:J349)</f>
        <v>100044</v>
      </c>
      <c r="N349" s="124" t="n">
        <f aca="false">SUM(J$6:J349)</f>
        <v>1170466.87</v>
      </c>
      <c r="P349" s="124" t="n">
        <f aca="false">D349/P$3</f>
        <v>0</v>
      </c>
      <c r="Q349" s="124" t="n">
        <f aca="false">E349/P$3</f>
        <v>0</v>
      </c>
      <c r="R349" s="124" t="n">
        <f aca="false">F349/R$3</f>
        <v>0</v>
      </c>
      <c r="S349" s="126" t="n">
        <f aca="false">J349/$R$3</f>
        <v>0</v>
      </c>
      <c r="T349" s="126" t="n">
        <f aca="false">L349/$R$3</f>
        <v>0</v>
      </c>
      <c r="U349" s="126" t="n">
        <f aca="false">I349/$R$3</f>
        <v>0</v>
      </c>
      <c r="V349" s="126" t="n">
        <f aca="false">M349/$R$3</f>
        <v>100.044</v>
      </c>
      <c r="W349" s="126" t="n">
        <f aca="false">N349/$R$3</f>
        <v>1170.46687</v>
      </c>
    </row>
    <row r="350" customFormat="false" ht="12.75" hidden="false" customHeight="false" outlineLevel="0" collapsed="false">
      <c r="A350" s="120" t="n">
        <f aca="false">A349+1</f>
        <v>37236</v>
      </c>
      <c r="B350" s="131" t="str">
        <f aca="false">INDEX('Master Data'!$A$2:$B$8,MATCH(WEEKDAY('Rio Cuarto Power Trading'!A350,3),'Master Data'!$A$2:$A$8,0),2)</f>
        <v>T</v>
      </c>
      <c r="D350" s="124" t="n">
        <v>0</v>
      </c>
      <c r="E350" s="124" t="n">
        <v>0</v>
      </c>
      <c r="F350" s="124" t="n">
        <v>0</v>
      </c>
      <c r="G350" s="124" t="n">
        <v>0</v>
      </c>
      <c r="I350" s="124" t="n">
        <f aca="false">IF(MONTH($A350)=MONTH($A349),IF(G350=0,I349,G350),G350)</f>
        <v>0</v>
      </c>
      <c r="J350" s="124" t="n">
        <f aca="false">IF(MONTH($A350)=MONTH($A349),SUM(I350-I349),I350)</f>
        <v>0</v>
      </c>
      <c r="K350" s="124" t="n">
        <f aca="false">IF(WEEKDAY(A350,3)&gt;4,0,(IF(A350&lt;K$2,0,IF(A350&lt;=K$3,1,0))))</f>
        <v>0</v>
      </c>
      <c r="L350" s="124" t="n">
        <f aca="false">J350*K350</f>
        <v>0</v>
      </c>
      <c r="M350" s="124" t="n">
        <f aca="false">SUM(J$280:J350)</f>
        <v>100044</v>
      </c>
      <c r="N350" s="124" t="n">
        <f aca="false">SUM(J$6:J350)</f>
        <v>1170466.87</v>
      </c>
      <c r="P350" s="124" t="n">
        <f aca="false">D350/P$3</f>
        <v>0</v>
      </c>
      <c r="Q350" s="124" t="n">
        <f aca="false">E350/P$3</f>
        <v>0</v>
      </c>
      <c r="R350" s="124" t="n">
        <f aca="false">F350/R$3</f>
        <v>0</v>
      </c>
      <c r="S350" s="126" t="n">
        <f aca="false">J350/$R$3</f>
        <v>0</v>
      </c>
      <c r="T350" s="126" t="n">
        <f aca="false">L350/$R$3</f>
        <v>0</v>
      </c>
      <c r="U350" s="126" t="n">
        <f aca="false">I350/$R$3</f>
        <v>0</v>
      </c>
      <c r="V350" s="126" t="n">
        <f aca="false">M350/$R$3</f>
        <v>100.044</v>
      </c>
      <c r="W350" s="126" t="n">
        <f aca="false">N350/$R$3</f>
        <v>1170.46687</v>
      </c>
    </row>
    <row r="351" customFormat="false" ht="12.75" hidden="false" customHeight="false" outlineLevel="0" collapsed="false">
      <c r="A351" s="120" t="n">
        <f aca="false">A350+1</f>
        <v>37237</v>
      </c>
      <c r="B351" s="131" t="str">
        <f aca="false">INDEX('Master Data'!$A$2:$B$8,MATCH(WEEKDAY('Rio Cuarto Power Trading'!A351,3),'Master Data'!$A$2:$A$8,0),2)</f>
        <v>W</v>
      </c>
      <c r="D351" s="124" t="n">
        <v>0</v>
      </c>
      <c r="E351" s="124" t="n">
        <v>0</v>
      </c>
      <c r="F351" s="124" t="n">
        <v>0</v>
      </c>
      <c r="G351" s="124" t="n">
        <v>0</v>
      </c>
      <c r="I351" s="124" t="n">
        <f aca="false">IF(MONTH($A351)=MONTH($A350),IF(G351=0,I350,G351),G351)</f>
        <v>0</v>
      </c>
      <c r="J351" s="124" t="n">
        <f aca="false">IF(MONTH($A351)=MONTH($A350),SUM(I351-I350),I351)</f>
        <v>0</v>
      </c>
      <c r="K351" s="124" t="n">
        <f aca="false">IF(WEEKDAY(A351,3)&gt;4,0,(IF(A351&lt;K$2,0,IF(A351&lt;=K$3,1,0))))</f>
        <v>0</v>
      </c>
      <c r="L351" s="124" t="n">
        <f aca="false">J351*K351</f>
        <v>0</v>
      </c>
      <c r="M351" s="124" t="n">
        <f aca="false">SUM(J$280:J351)</f>
        <v>100044</v>
      </c>
      <c r="N351" s="124" t="n">
        <f aca="false">SUM(J$6:J351)</f>
        <v>1170466.87</v>
      </c>
      <c r="P351" s="124" t="n">
        <f aca="false">D351/P$3</f>
        <v>0</v>
      </c>
      <c r="Q351" s="124" t="n">
        <f aca="false">E351/P$3</f>
        <v>0</v>
      </c>
      <c r="R351" s="124" t="n">
        <f aca="false">F351/R$3</f>
        <v>0</v>
      </c>
      <c r="S351" s="126" t="n">
        <f aca="false">J351/$R$3</f>
        <v>0</v>
      </c>
      <c r="T351" s="126" t="n">
        <f aca="false">L351/$R$3</f>
        <v>0</v>
      </c>
      <c r="U351" s="126" t="n">
        <f aca="false">I351/$R$3</f>
        <v>0</v>
      </c>
      <c r="V351" s="126" t="n">
        <f aca="false">M351/$R$3</f>
        <v>100.044</v>
      </c>
      <c r="W351" s="126" t="n">
        <f aca="false">N351/$R$3</f>
        <v>1170.46687</v>
      </c>
    </row>
    <row r="352" customFormat="false" ht="12.75" hidden="false" customHeight="false" outlineLevel="0" collapsed="false">
      <c r="A352" s="120" t="n">
        <f aca="false">A351+1</f>
        <v>37238</v>
      </c>
      <c r="B352" s="131" t="str">
        <f aca="false">INDEX('Master Data'!$A$2:$B$8,MATCH(WEEKDAY('Rio Cuarto Power Trading'!A352,3),'Master Data'!$A$2:$A$8,0),2)</f>
        <v>Th</v>
      </c>
      <c r="D352" s="124" t="n">
        <v>0</v>
      </c>
      <c r="E352" s="124" t="n">
        <v>0</v>
      </c>
      <c r="F352" s="124" t="n">
        <v>0</v>
      </c>
      <c r="G352" s="124" t="n">
        <v>0</v>
      </c>
      <c r="I352" s="124" t="n">
        <f aca="false">IF(MONTH($A352)=MONTH($A351),IF(G352=0,I351,G352),G352)</f>
        <v>0</v>
      </c>
      <c r="J352" s="124" t="n">
        <f aca="false">IF(MONTH($A352)=MONTH($A351),SUM(I352-I351),I352)</f>
        <v>0</v>
      </c>
      <c r="K352" s="124" t="n">
        <f aca="false">IF(WEEKDAY(A352,3)&gt;4,0,(IF(A352&lt;K$2,0,IF(A352&lt;=K$3,1,0))))</f>
        <v>0</v>
      </c>
      <c r="L352" s="124" t="n">
        <f aca="false">J352*K352</f>
        <v>0</v>
      </c>
      <c r="M352" s="124" t="n">
        <f aca="false">SUM(J$280:J352)</f>
        <v>100044</v>
      </c>
      <c r="N352" s="124" t="n">
        <f aca="false">SUM(J$6:J352)</f>
        <v>1170466.87</v>
      </c>
      <c r="P352" s="124" t="n">
        <f aca="false">D352/P$3</f>
        <v>0</v>
      </c>
      <c r="Q352" s="124" t="n">
        <f aca="false">E352/P$3</f>
        <v>0</v>
      </c>
      <c r="R352" s="124" t="n">
        <f aca="false">F352/R$3</f>
        <v>0</v>
      </c>
      <c r="S352" s="126" t="n">
        <f aca="false">J352/$R$3</f>
        <v>0</v>
      </c>
      <c r="T352" s="126" t="n">
        <f aca="false">L352/$R$3</f>
        <v>0</v>
      </c>
      <c r="U352" s="126" t="n">
        <f aca="false">I352/$R$3</f>
        <v>0</v>
      </c>
      <c r="V352" s="126" t="n">
        <f aca="false">M352/$R$3</f>
        <v>100.044</v>
      </c>
      <c r="W352" s="126" t="n">
        <f aca="false">N352/$R$3</f>
        <v>1170.46687</v>
      </c>
    </row>
    <row r="353" customFormat="false" ht="12.75" hidden="false" customHeight="false" outlineLevel="0" collapsed="false">
      <c r="A353" s="120" t="n">
        <f aca="false">A352+1</f>
        <v>37239</v>
      </c>
      <c r="B353" s="131" t="str">
        <f aca="false">INDEX('Master Data'!$A$2:$B$8,MATCH(WEEKDAY('Rio Cuarto Power Trading'!A353,3),'Master Data'!$A$2:$A$8,0),2)</f>
        <v>F</v>
      </c>
      <c r="D353" s="124" t="n">
        <v>0</v>
      </c>
      <c r="E353" s="124" t="n">
        <v>0</v>
      </c>
      <c r="F353" s="124" t="n">
        <v>0</v>
      </c>
      <c r="G353" s="124" t="n">
        <v>0</v>
      </c>
      <c r="I353" s="124" t="n">
        <f aca="false">IF(MONTH($A353)=MONTH($A352),IF(G353=0,I352,G353),G353)</f>
        <v>0</v>
      </c>
      <c r="J353" s="124" t="n">
        <f aca="false">IF(MONTH($A353)=MONTH($A352),SUM(I353-I352),I353)</f>
        <v>0</v>
      </c>
      <c r="K353" s="124" t="n">
        <f aca="false">IF(WEEKDAY(A353,3)&gt;4,0,(IF(A353&lt;K$2,0,IF(A353&lt;=K$3,1,0))))</f>
        <v>0</v>
      </c>
      <c r="L353" s="124" t="n">
        <f aca="false">J353*K353</f>
        <v>0</v>
      </c>
      <c r="M353" s="124" t="n">
        <f aca="false">SUM(J$280:J353)</f>
        <v>100044</v>
      </c>
      <c r="N353" s="124" t="n">
        <f aca="false">SUM(J$6:J353)</f>
        <v>1170466.87</v>
      </c>
      <c r="P353" s="124" t="n">
        <f aca="false">D353/P$3</f>
        <v>0</v>
      </c>
      <c r="Q353" s="124" t="n">
        <f aca="false">E353/P$3</f>
        <v>0</v>
      </c>
      <c r="R353" s="124" t="n">
        <f aca="false">F353/R$3</f>
        <v>0</v>
      </c>
      <c r="S353" s="126" t="n">
        <f aca="false">J353/$R$3</f>
        <v>0</v>
      </c>
      <c r="T353" s="126" t="n">
        <f aca="false">L353/$R$3</f>
        <v>0</v>
      </c>
      <c r="U353" s="126" t="n">
        <f aca="false">I353/$R$3</f>
        <v>0</v>
      </c>
      <c r="V353" s="126" t="n">
        <f aca="false">M353/$R$3</f>
        <v>100.044</v>
      </c>
      <c r="W353" s="126" t="n">
        <f aca="false">N353/$R$3</f>
        <v>1170.46687</v>
      </c>
    </row>
    <row r="354" customFormat="false" ht="12.75" hidden="false" customHeight="false" outlineLevel="0" collapsed="false">
      <c r="A354" s="120" t="n">
        <f aca="false">A353+1</f>
        <v>37240</v>
      </c>
      <c r="B354" s="131" t="str">
        <f aca="false">INDEX('Master Data'!$A$2:$B$8,MATCH(WEEKDAY('Rio Cuarto Power Trading'!A354,3),'Master Data'!$A$2:$A$8,0),2)</f>
        <v>Sa</v>
      </c>
      <c r="D354" s="124" t="n">
        <v>0</v>
      </c>
      <c r="E354" s="124" t="n">
        <v>0</v>
      </c>
      <c r="F354" s="124" t="n">
        <v>0</v>
      </c>
      <c r="G354" s="124" t="n">
        <v>0</v>
      </c>
      <c r="I354" s="124" t="n">
        <f aca="false">IF(MONTH($A354)=MONTH($A353),IF(G354=0,I353,G354),G354)</f>
        <v>0</v>
      </c>
      <c r="J354" s="124" t="n">
        <f aca="false">IF(MONTH($A354)=MONTH($A353),SUM(I354-I353),I354)</f>
        <v>0</v>
      </c>
      <c r="K354" s="124" t="n">
        <f aca="false">IF(WEEKDAY(A354,3)&gt;4,0,(IF(A354&lt;K$2,0,IF(A354&lt;=K$3,1,0))))</f>
        <v>0</v>
      </c>
      <c r="L354" s="124" t="n">
        <f aca="false">J354*K354</f>
        <v>0</v>
      </c>
      <c r="M354" s="124" t="n">
        <f aca="false">SUM(J$280:J354)</f>
        <v>100044</v>
      </c>
      <c r="N354" s="124" t="n">
        <f aca="false">SUM(J$6:J354)</f>
        <v>1170466.87</v>
      </c>
      <c r="P354" s="124" t="n">
        <f aca="false">D354/P$3</f>
        <v>0</v>
      </c>
      <c r="Q354" s="124" t="n">
        <f aca="false">E354/P$3</f>
        <v>0</v>
      </c>
      <c r="R354" s="124" t="n">
        <f aca="false">F354/R$3</f>
        <v>0</v>
      </c>
      <c r="S354" s="126" t="n">
        <f aca="false">J354/$R$3</f>
        <v>0</v>
      </c>
      <c r="T354" s="126" t="n">
        <f aca="false">L354/$R$3</f>
        <v>0</v>
      </c>
      <c r="U354" s="126" t="n">
        <f aca="false">I354/$R$3</f>
        <v>0</v>
      </c>
      <c r="V354" s="126" t="n">
        <f aca="false">M354/$R$3</f>
        <v>100.044</v>
      </c>
      <c r="W354" s="126" t="n">
        <f aca="false">N354/$R$3</f>
        <v>1170.46687</v>
      </c>
    </row>
    <row r="355" customFormat="false" ht="12.75" hidden="false" customHeight="false" outlineLevel="0" collapsed="false">
      <c r="A355" s="120" t="n">
        <f aca="false">A354+1</f>
        <v>37241</v>
      </c>
      <c r="B355" s="131" t="str">
        <f aca="false">INDEX('Master Data'!$A$2:$B$8,MATCH(WEEKDAY('Rio Cuarto Power Trading'!A355,3),'Master Data'!$A$2:$A$8,0),2)</f>
        <v>Su</v>
      </c>
      <c r="D355" s="124" t="n">
        <v>0</v>
      </c>
      <c r="E355" s="124" t="n">
        <v>0</v>
      </c>
      <c r="F355" s="124" t="n">
        <v>0</v>
      </c>
      <c r="G355" s="124" t="n">
        <v>0</v>
      </c>
      <c r="I355" s="124" t="n">
        <f aca="false">IF(MONTH($A355)=MONTH($A354),IF(G355=0,I354,G355),G355)</f>
        <v>0</v>
      </c>
      <c r="J355" s="124" t="n">
        <f aca="false">IF(MONTH($A355)=MONTH($A354),SUM(I355-I354),I355)</f>
        <v>0</v>
      </c>
      <c r="K355" s="124" t="n">
        <f aca="false">IF(WEEKDAY(A355,3)&gt;4,0,(IF(A355&lt;K$2,0,IF(A355&lt;=K$3,1,0))))</f>
        <v>0</v>
      </c>
      <c r="L355" s="124" t="n">
        <f aca="false">J355*K355</f>
        <v>0</v>
      </c>
      <c r="M355" s="124" t="n">
        <f aca="false">SUM(J$280:J355)</f>
        <v>100044</v>
      </c>
      <c r="N355" s="124" t="n">
        <f aca="false">SUM(J$6:J355)</f>
        <v>1170466.87</v>
      </c>
      <c r="P355" s="124" t="n">
        <f aca="false">D355/P$3</f>
        <v>0</v>
      </c>
      <c r="Q355" s="124" t="n">
        <f aca="false">E355/P$3</f>
        <v>0</v>
      </c>
      <c r="R355" s="124" t="n">
        <f aca="false">F355/R$3</f>
        <v>0</v>
      </c>
      <c r="S355" s="126" t="n">
        <f aca="false">J355/$R$3</f>
        <v>0</v>
      </c>
      <c r="T355" s="126" t="n">
        <f aca="false">L355/$R$3</f>
        <v>0</v>
      </c>
      <c r="U355" s="126" t="n">
        <f aca="false">I355/$R$3</f>
        <v>0</v>
      </c>
      <c r="V355" s="126" t="n">
        <f aca="false">M355/$R$3</f>
        <v>100.044</v>
      </c>
      <c r="W355" s="126" t="n">
        <f aca="false">N355/$R$3</f>
        <v>1170.46687</v>
      </c>
    </row>
    <row r="356" customFormat="false" ht="12.75" hidden="false" customHeight="false" outlineLevel="0" collapsed="false">
      <c r="A356" s="120" t="n">
        <f aca="false">A355+1</f>
        <v>37242</v>
      </c>
      <c r="B356" s="131" t="str">
        <f aca="false">INDEX('Master Data'!$A$2:$B$8,MATCH(WEEKDAY('Rio Cuarto Power Trading'!A356,3),'Master Data'!$A$2:$A$8,0),2)</f>
        <v>M</v>
      </c>
      <c r="D356" s="124" t="n">
        <v>0</v>
      </c>
      <c r="E356" s="124" t="n">
        <v>0</v>
      </c>
      <c r="F356" s="124" t="n">
        <v>0</v>
      </c>
      <c r="G356" s="124" t="n">
        <v>0</v>
      </c>
      <c r="I356" s="124" t="n">
        <f aca="false">IF(MONTH($A356)=MONTH($A355),IF(G356=0,I355,G356),G356)</f>
        <v>0</v>
      </c>
      <c r="J356" s="124" t="n">
        <f aca="false">IF(MONTH($A356)=MONTH($A355),SUM(I356-I355),I356)</f>
        <v>0</v>
      </c>
      <c r="K356" s="124" t="n">
        <f aca="false">IF(WEEKDAY(A356,3)&gt;4,0,(IF(A356&lt;K$2,0,IF(A356&lt;=K$3,1,0))))</f>
        <v>0</v>
      </c>
      <c r="L356" s="124" t="n">
        <f aca="false">J356*K356</f>
        <v>0</v>
      </c>
      <c r="M356" s="124" t="n">
        <f aca="false">SUM(J$280:J356)</f>
        <v>100044</v>
      </c>
      <c r="N356" s="124" t="n">
        <f aca="false">SUM(J$6:J356)</f>
        <v>1170466.87</v>
      </c>
      <c r="P356" s="124" t="n">
        <f aca="false">D356/P$3</f>
        <v>0</v>
      </c>
      <c r="Q356" s="124" t="n">
        <f aca="false">E356/P$3</f>
        <v>0</v>
      </c>
      <c r="R356" s="124" t="n">
        <f aca="false">F356/R$3</f>
        <v>0</v>
      </c>
      <c r="S356" s="126" t="n">
        <f aca="false">J356/$R$3</f>
        <v>0</v>
      </c>
      <c r="T356" s="126" t="n">
        <f aca="false">L356/$R$3</f>
        <v>0</v>
      </c>
      <c r="U356" s="126" t="n">
        <f aca="false">I356/$R$3</f>
        <v>0</v>
      </c>
      <c r="V356" s="126" t="n">
        <f aca="false">M356/$R$3</f>
        <v>100.044</v>
      </c>
      <c r="W356" s="126" t="n">
        <f aca="false">N356/$R$3</f>
        <v>1170.46687</v>
      </c>
    </row>
    <row r="357" customFormat="false" ht="12.75" hidden="false" customHeight="false" outlineLevel="0" collapsed="false">
      <c r="A357" s="120" t="n">
        <f aca="false">A356+1</f>
        <v>37243</v>
      </c>
      <c r="B357" s="131" t="str">
        <f aca="false">INDEX('Master Data'!$A$2:$B$8,MATCH(WEEKDAY('Rio Cuarto Power Trading'!A357,3),'Master Data'!$A$2:$A$8,0),2)</f>
        <v>T</v>
      </c>
      <c r="D357" s="124" t="n">
        <v>0</v>
      </c>
      <c r="E357" s="124" t="n">
        <v>0</v>
      </c>
      <c r="F357" s="124" t="n">
        <v>0</v>
      </c>
      <c r="G357" s="124" t="n">
        <v>0</v>
      </c>
      <c r="I357" s="124" t="n">
        <f aca="false">IF(MONTH($A357)=MONTH($A356),IF(G357=0,I356,G357),G357)</f>
        <v>0</v>
      </c>
      <c r="J357" s="124" t="n">
        <f aca="false">IF(MONTH($A357)=MONTH($A356),SUM(I357-I356),I357)</f>
        <v>0</v>
      </c>
      <c r="K357" s="124" t="n">
        <f aca="false">IF(WEEKDAY(A357,3)&gt;4,0,(IF(A357&lt;K$2,0,IF(A357&lt;=K$3,1,0))))</f>
        <v>0</v>
      </c>
      <c r="L357" s="124" t="n">
        <f aca="false">J357*K357</f>
        <v>0</v>
      </c>
      <c r="M357" s="124" t="n">
        <f aca="false">SUM(J$280:J357)</f>
        <v>100044</v>
      </c>
      <c r="N357" s="124" t="n">
        <f aca="false">SUM(J$6:J357)</f>
        <v>1170466.87</v>
      </c>
      <c r="P357" s="124" t="n">
        <f aca="false">D357/P$3</f>
        <v>0</v>
      </c>
      <c r="Q357" s="124" t="n">
        <f aca="false">E357/P$3</f>
        <v>0</v>
      </c>
      <c r="R357" s="124" t="n">
        <f aca="false">F357/R$3</f>
        <v>0</v>
      </c>
      <c r="S357" s="126" t="n">
        <f aca="false">J357/$R$3</f>
        <v>0</v>
      </c>
      <c r="T357" s="126" t="n">
        <f aca="false">L357/$R$3</f>
        <v>0</v>
      </c>
      <c r="U357" s="126" t="n">
        <f aca="false">I357/$R$3</f>
        <v>0</v>
      </c>
      <c r="V357" s="126" t="n">
        <f aca="false">M357/$R$3</f>
        <v>100.044</v>
      </c>
      <c r="W357" s="126" t="n">
        <f aca="false">N357/$R$3</f>
        <v>1170.46687</v>
      </c>
    </row>
    <row r="358" customFormat="false" ht="12.75" hidden="false" customHeight="false" outlineLevel="0" collapsed="false">
      <c r="A358" s="120" t="n">
        <f aca="false">A357+1</f>
        <v>37244</v>
      </c>
      <c r="B358" s="131" t="str">
        <f aca="false">INDEX('Master Data'!$A$2:$B$8,MATCH(WEEKDAY('Rio Cuarto Power Trading'!A358,3),'Master Data'!$A$2:$A$8,0),2)</f>
        <v>W</v>
      </c>
      <c r="D358" s="124" t="n">
        <v>0</v>
      </c>
      <c r="E358" s="124" t="n">
        <v>0</v>
      </c>
      <c r="F358" s="124" t="n">
        <v>0</v>
      </c>
      <c r="G358" s="124" t="n">
        <v>0</v>
      </c>
      <c r="I358" s="124" t="n">
        <f aca="false">IF(MONTH($A358)=MONTH($A357),IF(G358=0,I357,G358),G358)</f>
        <v>0</v>
      </c>
      <c r="J358" s="124" t="n">
        <f aca="false">IF(MONTH($A358)=MONTH($A357),SUM(I358-I357),I358)</f>
        <v>0</v>
      </c>
      <c r="K358" s="124" t="n">
        <f aca="false">IF(WEEKDAY(A358,3)&gt;4,0,(IF(A358&lt;K$2,0,IF(A358&lt;=K$3,1,0))))</f>
        <v>0</v>
      </c>
      <c r="L358" s="124" t="n">
        <f aca="false">J358*K358</f>
        <v>0</v>
      </c>
      <c r="M358" s="124" t="n">
        <f aca="false">SUM(J$280:J358)</f>
        <v>100044</v>
      </c>
      <c r="N358" s="124" t="n">
        <f aca="false">SUM(J$6:J358)</f>
        <v>1170466.87</v>
      </c>
      <c r="P358" s="124" t="n">
        <f aca="false">D358/P$3</f>
        <v>0</v>
      </c>
      <c r="Q358" s="124" t="n">
        <f aca="false">E358/P$3</f>
        <v>0</v>
      </c>
      <c r="R358" s="124" t="n">
        <f aca="false">F358/R$3</f>
        <v>0</v>
      </c>
      <c r="S358" s="126" t="n">
        <f aca="false">J358/$R$3</f>
        <v>0</v>
      </c>
      <c r="T358" s="126" t="n">
        <f aca="false">L358/$R$3</f>
        <v>0</v>
      </c>
      <c r="U358" s="126" t="n">
        <f aca="false">I358/$R$3</f>
        <v>0</v>
      </c>
      <c r="V358" s="126" t="n">
        <f aca="false">M358/$R$3</f>
        <v>100.044</v>
      </c>
      <c r="W358" s="126" t="n">
        <f aca="false">N358/$R$3</f>
        <v>1170.46687</v>
      </c>
    </row>
    <row r="359" customFormat="false" ht="12.75" hidden="false" customHeight="false" outlineLevel="0" collapsed="false">
      <c r="A359" s="120" t="n">
        <f aca="false">A358+1</f>
        <v>37245</v>
      </c>
      <c r="B359" s="131" t="str">
        <f aca="false">INDEX('Master Data'!$A$2:$B$8,MATCH(WEEKDAY('Rio Cuarto Power Trading'!A359,3),'Master Data'!$A$2:$A$8,0),2)</f>
        <v>Th</v>
      </c>
      <c r="D359" s="124" t="n">
        <v>0</v>
      </c>
      <c r="E359" s="124" t="n">
        <v>0</v>
      </c>
      <c r="F359" s="124" t="n">
        <v>0</v>
      </c>
      <c r="G359" s="124" t="n">
        <v>0</v>
      </c>
      <c r="I359" s="124" t="n">
        <f aca="false">IF(MONTH($A359)=MONTH($A358),IF(G359=0,I358,G359),G359)</f>
        <v>0</v>
      </c>
      <c r="J359" s="124" t="n">
        <f aca="false">IF(MONTH($A359)=MONTH($A358),SUM(I359-I358),I359)</f>
        <v>0</v>
      </c>
      <c r="K359" s="124" t="n">
        <f aca="false">IF(WEEKDAY(A359,3)&gt;4,0,(IF(A359&lt;K$2,0,IF(A359&lt;=K$3,1,0))))</f>
        <v>0</v>
      </c>
      <c r="L359" s="124" t="n">
        <f aca="false">J359*K359</f>
        <v>0</v>
      </c>
      <c r="M359" s="124" t="n">
        <f aca="false">SUM(J$280:J359)</f>
        <v>100044</v>
      </c>
      <c r="N359" s="124" t="n">
        <f aca="false">SUM(J$6:J359)</f>
        <v>1170466.87</v>
      </c>
      <c r="P359" s="124" t="n">
        <f aca="false">D359/P$3</f>
        <v>0</v>
      </c>
      <c r="Q359" s="124" t="n">
        <f aca="false">E359/P$3</f>
        <v>0</v>
      </c>
      <c r="R359" s="124" t="n">
        <f aca="false">F359/R$3</f>
        <v>0</v>
      </c>
      <c r="S359" s="126" t="n">
        <f aca="false">J359/$R$3</f>
        <v>0</v>
      </c>
      <c r="T359" s="126" t="n">
        <f aca="false">L359/$R$3</f>
        <v>0</v>
      </c>
      <c r="U359" s="126" t="n">
        <f aca="false">I359/$R$3</f>
        <v>0</v>
      </c>
      <c r="V359" s="126" t="n">
        <f aca="false">M359/$R$3</f>
        <v>100.044</v>
      </c>
      <c r="W359" s="126" t="n">
        <f aca="false">N359/$R$3</f>
        <v>1170.46687</v>
      </c>
    </row>
    <row r="360" customFormat="false" ht="12.75" hidden="false" customHeight="false" outlineLevel="0" collapsed="false">
      <c r="A360" s="120" t="n">
        <f aca="false">A359+1</f>
        <v>37246</v>
      </c>
      <c r="B360" s="131" t="str">
        <f aca="false">INDEX('Master Data'!$A$2:$B$8,MATCH(WEEKDAY('Rio Cuarto Power Trading'!A360,3),'Master Data'!$A$2:$A$8,0),2)</f>
        <v>F</v>
      </c>
      <c r="D360" s="124" t="n">
        <v>0</v>
      </c>
      <c r="E360" s="124" t="n">
        <v>0</v>
      </c>
      <c r="F360" s="124" t="n">
        <v>0</v>
      </c>
      <c r="G360" s="124" t="n">
        <v>0</v>
      </c>
      <c r="I360" s="124" t="n">
        <f aca="false">IF(MONTH($A360)=MONTH($A359),IF(G360=0,I359,G360),G360)</f>
        <v>0</v>
      </c>
      <c r="J360" s="124" t="n">
        <f aca="false">IF(MONTH($A360)=MONTH($A359),SUM(I360-I359),I360)</f>
        <v>0</v>
      </c>
      <c r="K360" s="124" t="n">
        <f aca="false">IF(WEEKDAY(A360,3)&gt;4,0,(IF(A360&lt;K$2,0,IF(A360&lt;=K$3,1,0))))</f>
        <v>0</v>
      </c>
      <c r="L360" s="124" t="n">
        <f aca="false">J360*K360</f>
        <v>0</v>
      </c>
      <c r="M360" s="124" t="n">
        <f aca="false">SUM(J$280:J360)</f>
        <v>100044</v>
      </c>
      <c r="N360" s="124" t="n">
        <f aca="false">SUM(J$6:J360)</f>
        <v>1170466.87</v>
      </c>
      <c r="P360" s="124" t="n">
        <f aca="false">D360/P$3</f>
        <v>0</v>
      </c>
      <c r="Q360" s="124" t="n">
        <f aca="false">E360/P$3</f>
        <v>0</v>
      </c>
      <c r="R360" s="124" t="n">
        <f aca="false">F360/R$3</f>
        <v>0</v>
      </c>
      <c r="S360" s="126" t="n">
        <f aca="false">J360/$R$3</f>
        <v>0</v>
      </c>
      <c r="T360" s="126" t="n">
        <f aca="false">L360/$R$3</f>
        <v>0</v>
      </c>
      <c r="U360" s="126" t="n">
        <f aca="false">I360/$R$3</f>
        <v>0</v>
      </c>
      <c r="V360" s="126" t="n">
        <f aca="false">M360/$R$3</f>
        <v>100.044</v>
      </c>
      <c r="W360" s="126" t="n">
        <f aca="false">N360/$R$3</f>
        <v>1170.46687</v>
      </c>
    </row>
    <row r="361" customFormat="false" ht="12.75" hidden="false" customHeight="false" outlineLevel="0" collapsed="false">
      <c r="A361" s="120" t="n">
        <f aca="false">A360+1</f>
        <v>37247</v>
      </c>
      <c r="B361" s="131" t="str">
        <f aca="false">INDEX('Master Data'!$A$2:$B$8,MATCH(WEEKDAY('Rio Cuarto Power Trading'!A361,3),'Master Data'!$A$2:$A$8,0),2)</f>
        <v>Sa</v>
      </c>
      <c r="D361" s="124" t="n">
        <v>0</v>
      </c>
      <c r="E361" s="124" t="n">
        <v>0</v>
      </c>
      <c r="F361" s="124" t="n">
        <v>0</v>
      </c>
      <c r="G361" s="124" t="n">
        <v>0</v>
      </c>
      <c r="I361" s="124" t="n">
        <f aca="false">IF(MONTH($A361)=MONTH($A360),IF(G361=0,I360,G361),G361)</f>
        <v>0</v>
      </c>
      <c r="J361" s="124" t="n">
        <f aca="false">IF(MONTH($A361)=MONTH($A360),SUM(I361-I360),I361)</f>
        <v>0</v>
      </c>
      <c r="K361" s="124" t="n">
        <f aca="false">IF(WEEKDAY(A361,3)&gt;4,0,(IF(A361&lt;K$2,0,IF(A361&lt;=K$3,1,0))))</f>
        <v>0</v>
      </c>
      <c r="L361" s="124" t="n">
        <f aca="false">J361*K361</f>
        <v>0</v>
      </c>
      <c r="M361" s="124" t="n">
        <f aca="false">SUM(J$280:J361)</f>
        <v>100044</v>
      </c>
      <c r="N361" s="124" t="n">
        <f aca="false">SUM(J$6:J361)</f>
        <v>1170466.87</v>
      </c>
      <c r="P361" s="124" t="n">
        <f aca="false">D361/P$3</f>
        <v>0</v>
      </c>
      <c r="Q361" s="124" t="n">
        <f aca="false">E361/P$3</f>
        <v>0</v>
      </c>
      <c r="R361" s="124" t="n">
        <f aca="false">F361/R$3</f>
        <v>0</v>
      </c>
      <c r="S361" s="126" t="n">
        <f aca="false">J361/$R$3</f>
        <v>0</v>
      </c>
      <c r="T361" s="126" t="n">
        <f aca="false">L361/$R$3</f>
        <v>0</v>
      </c>
      <c r="U361" s="126" t="n">
        <f aca="false">I361/$R$3</f>
        <v>0</v>
      </c>
      <c r="V361" s="126" t="n">
        <f aca="false">M361/$R$3</f>
        <v>100.044</v>
      </c>
      <c r="W361" s="126" t="n">
        <f aca="false">N361/$R$3</f>
        <v>1170.46687</v>
      </c>
    </row>
    <row r="362" customFormat="false" ht="12.75" hidden="false" customHeight="false" outlineLevel="0" collapsed="false">
      <c r="A362" s="120" t="n">
        <f aca="false">A361+1</f>
        <v>37248</v>
      </c>
      <c r="B362" s="131" t="str">
        <f aca="false">INDEX('Master Data'!$A$2:$B$8,MATCH(WEEKDAY('Rio Cuarto Power Trading'!A362,3),'Master Data'!$A$2:$A$8,0),2)</f>
        <v>Su</v>
      </c>
      <c r="D362" s="124" t="n">
        <v>0</v>
      </c>
      <c r="E362" s="124" t="n">
        <v>0</v>
      </c>
      <c r="F362" s="124" t="n">
        <v>0</v>
      </c>
      <c r="G362" s="124" t="n">
        <v>0</v>
      </c>
      <c r="I362" s="124" t="n">
        <f aca="false">IF(MONTH($A362)=MONTH($A361),IF(G362=0,I361,G362),G362)</f>
        <v>0</v>
      </c>
      <c r="J362" s="124" t="n">
        <f aca="false">IF(MONTH($A362)=MONTH($A361),SUM(I362-I361),I362)</f>
        <v>0</v>
      </c>
      <c r="K362" s="124" t="n">
        <f aca="false">IF(WEEKDAY(A362,3)&gt;4,0,(IF(A362&lt;K$2,0,IF(A362&lt;=K$3,1,0))))</f>
        <v>0</v>
      </c>
      <c r="L362" s="124" t="n">
        <f aca="false">J362*K362</f>
        <v>0</v>
      </c>
      <c r="M362" s="124" t="n">
        <f aca="false">SUM(J$280:J362)</f>
        <v>100044</v>
      </c>
      <c r="N362" s="124" t="n">
        <f aca="false">SUM(J$6:J362)</f>
        <v>1170466.87</v>
      </c>
      <c r="P362" s="124" t="n">
        <f aca="false">D362/P$3</f>
        <v>0</v>
      </c>
      <c r="Q362" s="124" t="n">
        <f aca="false">E362/P$3</f>
        <v>0</v>
      </c>
      <c r="R362" s="124" t="n">
        <f aca="false">F362/R$3</f>
        <v>0</v>
      </c>
      <c r="S362" s="126" t="n">
        <f aca="false">J362/$R$3</f>
        <v>0</v>
      </c>
      <c r="T362" s="126" t="n">
        <f aca="false">L362/$R$3</f>
        <v>0</v>
      </c>
      <c r="U362" s="126" t="n">
        <f aca="false">I362/$R$3</f>
        <v>0</v>
      </c>
      <c r="V362" s="126" t="n">
        <f aca="false">M362/$R$3</f>
        <v>100.044</v>
      </c>
      <c r="W362" s="126" t="n">
        <f aca="false">N362/$R$3</f>
        <v>1170.46687</v>
      </c>
    </row>
    <row r="363" customFormat="false" ht="12.75" hidden="false" customHeight="false" outlineLevel="0" collapsed="false">
      <c r="A363" s="120" t="n">
        <f aca="false">A362+1</f>
        <v>37249</v>
      </c>
      <c r="B363" s="131" t="str">
        <f aca="false">INDEX('Master Data'!$A$2:$B$8,MATCH(WEEKDAY('Rio Cuarto Power Trading'!A363,3),'Master Data'!$A$2:$A$8,0),2)</f>
        <v>M</v>
      </c>
      <c r="D363" s="124" t="n">
        <v>0</v>
      </c>
      <c r="E363" s="124" t="n">
        <v>0</v>
      </c>
      <c r="F363" s="124" t="n">
        <v>0</v>
      </c>
      <c r="G363" s="124" t="n">
        <v>0</v>
      </c>
      <c r="I363" s="124" t="n">
        <f aca="false">IF(MONTH($A363)=MONTH($A362),IF(G363=0,I362,G363),G363)</f>
        <v>0</v>
      </c>
      <c r="J363" s="124" t="n">
        <f aca="false">IF(MONTH($A363)=MONTH($A362),SUM(I363-I362),I363)</f>
        <v>0</v>
      </c>
      <c r="K363" s="124" t="n">
        <f aca="false">IF(WEEKDAY(A363,3)&gt;4,0,(IF(A363&lt;K$2,0,IF(A363&lt;=K$3,1,0))))</f>
        <v>0</v>
      </c>
      <c r="L363" s="124" t="n">
        <f aca="false">J363*K363</f>
        <v>0</v>
      </c>
      <c r="M363" s="124" t="n">
        <f aca="false">SUM(J$280:J363)</f>
        <v>100044</v>
      </c>
      <c r="N363" s="124" t="n">
        <f aca="false">SUM(J$6:J363)</f>
        <v>1170466.87</v>
      </c>
      <c r="P363" s="124" t="n">
        <f aca="false">D363/P$3</f>
        <v>0</v>
      </c>
      <c r="Q363" s="124" t="n">
        <f aca="false">E363/P$3</f>
        <v>0</v>
      </c>
      <c r="R363" s="124" t="n">
        <f aca="false">F363/R$3</f>
        <v>0</v>
      </c>
      <c r="S363" s="126" t="n">
        <f aca="false">J363/$R$3</f>
        <v>0</v>
      </c>
      <c r="T363" s="126" t="n">
        <f aca="false">L363/$R$3</f>
        <v>0</v>
      </c>
      <c r="U363" s="126" t="n">
        <f aca="false">I363/$R$3</f>
        <v>0</v>
      </c>
      <c r="V363" s="126" t="n">
        <f aca="false">M363/$R$3</f>
        <v>100.044</v>
      </c>
      <c r="W363" s="126" t="n">
        <f aca="false">N363/$R$3</f>
        <v>1170.46687</v>
      </c>
    </row>
    <row r="364" customFormat="false" ht="12.75" hidden="false" customHeight="false" outlineLevel="0" collapsed="false">
      <c r="A364" s="120" t="n">
        <f aca="false">A363+1</f>
        <v>37250</v>
      </c>
      <c r="B364" s="131" t="str">
        <f aca="false">INDEX('Master Data'!$A$2:$B$8,MATCH(WEEKDAY('Rio Cuarto Power Trading'!A364,3),'Master Data'!$A$2:$A$8,0),2)</f>
        <v>T</v>
      </c>
      <c r="D364" s="124" t="n">
        <v>0</v>
      </c>
      <c r="E364" s="124" t="n">
        <v>0</v>
      </c>
      <c r="F364" s="124" t="n">
        <v>0</v>
      </c>
      <c r="G364" s="124" t="n">
        <v>0</v>
      </c>
      <c r="I364" s="124" t="n">
        <f aca="false">IF(MONTH($A364)=MONTH($A363),IF(G364=0,I363,G364),G364)</f>
        <v>0</v>
      </c>
      <c r="J364" s="124" t="n">
        <f aca="false">IF(MONTH($A364)=MONTH($A363),SUM(I364-I363),I364)</f>
        <v>0</v>
      </c>
      <c r="K364" s="124" t="n">
        <f aca="false">IF(WEEKDAY(A364,3)&gt;4,0,(IF(A364&lt;K$2,0,IF(A364&lt;=K$3,1,0))))</f>
        <v>0</v>
      </c>
      <c r="L364" s="124" t="n">
        <f aca="false">J364*K364</f>
        <v>0</v>
      </c>
      <c r="M364" s="124" t="n">
        <f aca="false">SUM(J$280:J364)</f>
        <v>100044</v>
      </c>
      <c r="N364" s="124" t="n">
        <f aca="false">SUM(J$6:J364)</f>
        <v>1170466.87</v>
      </c>
      <c r="P364" s="124" t="n">
        <f aca="false">D364/P$3</f>
        <v>0</v>
      </c>
      <c r="Q364" s="124" t="n">
        <f aca="false">E364/P$3</f>
        <v>0</v>
      </c>
      <c r="R364" s="124" t="n">
        <f aca="false">F364/R$3</f>
        <v>0</v>
      </c>
      <c r="S364" s="126" t="n">
        <f aca="false">J364/$R$3</f>
        <v>0</v>
      </c>
      <c r="T364" s="126" t="n">
        <f aca="false">L364/$R$3</f>
        <v>0</v>
      </c>
      <c r="U364" s="126" t="n">
        <f aca="false">I364/$R$3</f>
        <v>0</v>
      </c>
      <c r="V364" s="126" t="n">
        <f aca="false">M364/$R$3</f>
        <v>100.044</v>
      </c>
      <c r="W364" s="126" t="n">
        <f aca="false">N364/$R$3</f>
        <v>1170.46687</v>
      </c>
    </row>
    <row r="365" customFormat="false" ht="12.75" hidden="false" customHeight="false" outlineLevel="0" collapsed="false">
      <c r="A365" s="120" t="n">
        <f aca="false">A364+1</f>
        <v>37251</v>
      </c>
      <c r="B365" s="131" t="str">
        <f aca="false">INDEX('Master Data'!$A$2:$B$8,MATCH(WEEKDAY('Rio Cuarto Power Trading'!A365,3),'Master Data'!$A$2:$A$8,0),2)</f>
        <v>W</v>
      </c>
      <c r="D365" s="124" t="n">
        <v>0</v>
      </c>
      <c r="E365" s="124" t="n">
        <v>0</v>
      </c>
      <c r="F365" s="124" t="n">
        <v>0</v>
      </c>
      <c r="G365" s="124" t="n">
        <v>0</v>
      </c>
      <c r="I365" s="124" t="n">
        <f aca="false">IF(MONTH($A365)=MONTH($A364),IF(G365=0,I364,G365),G365)</f>
        <v>0</v>
      </c>
      <c r="J365" s="124" t="n">
        <f aca="false">IF(MONTH($A365)=MONTH($A364),SUM(I365-I364),I365)</f>
        <v>0</v>
      </c>
      <c r="K365" s="124" t="n">
        <f aca="false">IF(WEEKDAY(A365,3)&gt;4,0,(IF(A365&lt;K$2,0,IF(A365&lt;=K$3,1,0))))</f>
        <v>0</v>
      </c>
      <c r="L365" s="124" t="n">
        <f aca="false">J365*K365</f>
        <v>0</v>
      </c>
      <c r="M365" s="124" t="n">
        <f aca="false">SUM(J$280:J365)</f>
        <v>100044</v>
      </c>
      <c r="N365" s="124" t="n">
        <f aca="false">SUM(J$6:J365)</f>
        <v>1170466.87</v>
      </c>
      <c r="P365" s="124" t="n">
        <f aca="false">D365/P$3</f>
        <v>0</v>
      </c>
      <c r="Q365" s="124" t="n">
        <f aca="false">E365/P$3</f>
        <v>0</v>
      </c>
      <c r="R365" s="124" t="n">
        <f aca="false">F365/R$3</f>
        <v>0</v>
      </c>
      <c r="S365" s="126" t="n">
        <f aca="false">J365/$R$3</f>
        <v>0</v>
      </c>
      <c r="T365" s="126" t="n">
        <f aca="false">L365/$R$3</f>
        <v>0</v>
      </c>
      <c r="U365" s="126" t="n">
        <f aca="false">I365/$R$3</f>
        <v>0</v>
      </c>
      <c r="V365" s="126" t="n">
        <f aca="false">M365/$R$3</f>
        <v>100.044</v>
      </c>
      <c r="W365" s="126" t="n">
        <f aca="false">N365/$R$3</f>
        <v>1170.46687</v>
      </c>
    </row>
    <row r="366" customFormat="false" ht="12.75" hidden="false" customHeight="false" outlineLevel="0" collapsed="false">
      <c r="A366" s="120" t="n">
        <f aca="false">A365+1</f>
        <v>37252</v>
      </c>
      <c r="B366" s="131" t="str">
        <f aca="false">INDEX('Master Data'!$A$2:$B$8,MATCH(WEEKDAY('Rio Cuarto Power Trading'!A366,3),'Master Data'!$A$2:$A$8,0),2)</f>
        <v>Th</v>
      </c>
      <c r="D366" s="124" t="n">
        <v>0</v>
      </c>
      <c r="E366" s="124" t="n">
        <v>0</v>
      </c>
      <c r="F366" s="124" t="n">
        <v>0</v>
      </c>
      <c r="G366" s="124" t="n">
        <v>0</v>
      </c>
      <c r="I366" s="124" t="n">
        <f aca="false">IF(MONTH($A366)=MONTH($A365),IF(G366=0,I365,G366),G366)</f>
        <v>0</v>
      </c>
      <c r="J366" s="124" t="n">
        <f aca="false">IF(MONTH($A366)=MONTH($A365),SUM(I366-I365),I366)</f>
        <v>0</v>
      </c>
      <c r="K366" s="124" t="n">
        <f aca="false">IF(WEEKDAY(A366,3)&gt;4,0,(IF(A366&lt;K$2,0,IF(A366&lt;=K$3,1,0))))</f>
        <v>0</v>
      </c>
      <c r="L366" s="124" t="n">
        <f aca="false">J366*K366</f>
        <v>0</v>
      </c>
      <c r="M366" s="124" t="n">
        <f aca="false">SUM(J$280:J366)</f>
        <v>100044</v>
      </c>
      <c r="N366" s="124" t="n">
        <f aca="false">SUM(J$6:J366)</f>
        <v>1170466.87</v>
      </c>
      <c r="P366" s="124" t="n">
        <f aca="false">D366/P$3</f>
        <v>0</v>
      </c>
      <c r="Q366" s="124" t="n">
        <f aca="false">E366/P$3</f>
        <v>0</v>
      </c>
      <c r="R366" s="124" t="n">
        <f aca="false">F366/R$3</f>
        <v>0</v>
      </c>
      <c r="S366" s="126" t="n">
        <f aca="false">J366/$R$3</f>
        <v>0</v>
      </c>
      <c r="T366" s="126" t="n">
        <f aca="false">L366/$R$3</f>
        <v>0</v>
      </c>
      <c r="U366" s="126" t="n">
        <f aca="false">I366/$R$3</f>
        <v>0</v>
      </c>
      <c r="V366" s="126" t="n">
        <f aca="false">M366/$R$3</f>
        <v>100.044</v>
      </c>
      <c r="W366" s="126" t="n">
        <f aca="false">N366/$R$3</f>
        <v>1170.46687</v>
      </c>
    </row>
    <row r="367" customFormat="false" ht="12.75" hidden="false" customHeight="false" outlineLevel="0" collapsed="false">
      <c r="A367" s="120" t="n">
        <f aca="false">A366+1</f>
        <v>37253</v>
      </c>
      <c r="B367" s="131" t="str">
        <f aca="false">INDEX('Master Data'!$A$2:$B$8,MATCH(WEEKDAY('Rio Cuarto Power Trading'!A367,3),'Master Data'!$A$2:$A$8,0),2)</f>
        <v>F</v>
      </c>
      <c r="D367" s="124" t="n">
        <v>0</v>
      </c>
      <c r="E367" s="124" t="n">
        <v>0</v>
      </c>
      <c r="F367" s="124" t="n">
        <v>0</v>
      </c>
      <c r="G367" s="124" t="n">
        <v>0</v>
      </c>
      <c r="I367" s="124" t="n">
        <f aca="false">IF(MONTH($A367)=MONTH($A366),IF(G367=0,I366,G367),G367)</f>
        <v>0</v>
      </c>
      <c r="J367" s="124" t="n">
        <f aca="false">IF(MONTH($A367)=MONTH($A366),SUM(I367-I366),I367)</f>
        <v>0</v>
      </c>
      <c r="K367" s="124" t="n">
        <f aca="false">IF(WEEKDAY(A367,3)&gt;4,0,(IF(A367&lt;K$2,0,IF(A367&lt;=K$3,1,0))))</f>
        <v>0</v>
      </c>
      <c r="L367" s="124" t="n">
        <f aca="false">J367*K367</f>
        <v>0</v>
      </c>
      <c r="M367" s="124" t="n">
        <f aca="false">SUM(J$280:J367)</f>
        <v>100044</v>
      </c>
      <c r="N367" s="124" t="n">
        <f aca="false">SUM(J$6:J367)</f>
        <v>1170466.87</v>
      </c>
      <c r="P367" s="124" t="n">
        <f aca="false">D367/P$3</f>
        <v>0</v>
      </c>
      <c r="Q367" s="124" t="n">
        <f aca="false">E367/P$3</f>
        <v>0</v>
      </c>
      <c r="R367" s="124" t="n">
        <f aca="false">F367/R$3</f>
        <v>0</v>
      </c>
      <c r="S367" s="126" t="n">
        <f aca="false">J367/$R$3</f>
        <v>0</v>
      </c>
      <c r="T367" s="126" t="n">
        <f aca="false">L367/$R$3</f>
        <v>0</v>
      </c>
      <c r="U367" s="126" t="n">
        <f aca="false">I367/$R$3</f>
        <v>0</v>
      </c>
      <c r="V367" s="126" t="n">
        <f aca="false">M367/$R$3</f>
        <v>100.044</v>
      </c>
      <c r="W367" s="126" t="n">
        <f aca="false">N367/$R$3</f>
        <v>1170.46687</v>
      </c>
    </row>
    <row r="368" customFormat="false" ht="12.75" hidden="false" customHeight="false" outlineLevel="0" collapsed="false">
      <c r="A368" s="120" t="n">
        <f aca="false">A367+1</f>
        <v>37254</v>
      </c>
      <c r="B368" s="131" t="str">
        <f aca="false">INDEX('Master Data'!$A$2:$B$8,MATCH(WEEKDAY('Rio Cuarto Power Trading'!A368,3),'Master Data'!$A$2:$A$8,0),2)</f>
        <v>Sa</v>
      </c>
      <c r="D368" s="124" t="n">
        <v>0</v>
      </c>
      <c r="E368" s="124" t="n">
        <v>0</v>
      </c>
      <c r="F368" s="124" t="n">
        <v>0</v>
      </c>
      <c r="G368" s="124" t="n">
        <v>0</v>
      </c>
      <c r="I368" s="124" t="n">
        <f aca="false">IF(MONTH($A368)=MONTH($A367),IF(G368=0,I367,G368),G368)</f>
        <v>0</v>
      </c>
      <c r="J368" s="124" t="n">
        <f aca="false">IF(MONTH($A368)=MONTH($A367),SUM(I368-I367),I368)</f>
        <v>0</v>
      </c>
      <c r="K368" s="124" t="n">
        <f aca="false">IF(WEEKDAY(A368,3)&gt;4,0,(IF(A368&lt;K$2,0,IF(A368&lt;=K$3,1,0))))</f>
        <v>0</v>
      </c>
      <c r="L368" s="124" t="n">
        <f aca="false">J368*K368</f>
        <v>0</v>
      </c>
      <c r="M368" s="124" t="n">
        <f aca="false">SUM(J$280:J368)</f>
        <v>100044</v>
      </c>
      <c r="N368" s="124" t="n">
        <f aca="false">SUM(J$6:J368)</f>
        <v>1170466.87</v>
      </c>
      <c r="P368" s="124" t="n">
        <f aca="false">D368/P$3</f>
        <v>0</v>
      </c>
      <c r="Q368" s="124" t="n">
        <f aca="false">E368/P$3</f>
        <v>0</v>
      </c>
      <c r="R368" s="124" t="n">
        <f aca="false">F368/R$3</f>
        <v>0</v>
      </c>
      <c r="S368" s="126" t="n">
        <f aca="false">J368/$R$3</f>
        <v>0</v>
      </c>
      <c r="T368" s="126" t="n">
        <f aca="false">L368/$R$3</f>
        <v>0</v>
      </c>
      <c r="U368" s="126" t="n">
        <f aca="false">I368/$R$3</f>
        <v>0</v>
      </c>
      <c r="V368" s="126" t="n">
        <f aca="false">M368/$R$3</f>
        <v>100.044</v>
      </c>
      <c r="W368" s="126" t="n">
        <f aca="false">N368/$R$3</f>
        <v>1170.46687</v>
      </c>
    </row>
    <row r="369" customFormat="false" ht="12.75" hidden="false" customHeight="false" outlineLevel="0" collapsed="false">
      <c r="A369" s="120" t="n">
        <f aca="false">A368+1</f>
        <v>37255</v>
      </c>
      <c r="B369" s="131" t="str">
        <f aca="false">INDEX('Master Data'!$A$2:$B$8,MATCH(WEEKDAY('Rio Cuarto Power Trading'!A369,3),'Master Data'!$A$2:$A$8,0),2)</f>
        <v>Su</v>
      </c>
      <c r="D369" s="124" t="n">
        <v>0</v>
      </c>
      <c r="E369" s="124" t="n">
        <v>0</v>
      </c>
      <c r="F369" s="124" t="n">
        <v>0</v>
      </c>
      <c r="G369" s="124" t="n">
        <v>0</v>
      </c>
      <c r="I369" s="124" t="n">
        <f aca="false">IF(MONTH($A369)=MONTH($A368),IF(G369=0,I368,G369),G369)</f>
        <v>0</v>
      </c>
      <c r="J369" s="124" t="n">
        <f aca="false">IF(MONTH($A369)=MONTH($A368),SUM(I369-I368),I369)</f>
        <v>0</v>
      </c>
      <c r="K369" s="124" t="n">
        <f aca="false">IF(WEEKDAY(A369,3)&gt;4,0,(IF(A369&lt;K$2,0,IF(A369&lt;=K$3,1,0))))</f>
        <v>0</v>
      </c>
      <c r="L369" s="124" t="n">
        <f aca="false">J369*K369</f>
        <v>0</v>
      </c>
      <c r="M369" s="124" t="n">
        <f aca="false">SUM(J$280:J369)</f>
        <v>100044</v>
      </c>
      <c r="N369" s="124" t="n">
        <f aca="false">SUM(J$6:J369)</f>
        <v>1170466.87</v>
      </c>
      <c r="P369" s="124" t="n">
        <f aca="false">D369/P$3</f>
        <v>0</v>
      </c>
      <c r="Q369" s="124" t="n">
        <f aca="false">E369/P$3</f>
        <v>0</v>
      </c>
      <c r="R369" s="124" t="n">
        <f aca="false">F369/R$3</f>
        <v>0</v>
      </c>
      <c r="S369" s="126" t="n">
        <f aca="false">J369/$R$3</f>
        <v>0</v>
      </c>
      <c r="T369" s="126" t="n">
        <f aca="false">L369/$R$3</f>
        <v>0</v>
      </c>
      <c r="U369" s="126" t="n">
        <f aca="false">I369/$R$3</f>
        <v>0</v>
      </c>
      <c r="V369" s="126" t="n">
        <f aca="false">M369/$R$3</f>
        <v>100.044</v>
      </c>
      <c r="W369" s="126" t="n">
        <f aca="false">N369/$R$3</f>
        <v>1170.46687</v>
      </c>
    </row>
    <row r="370" customFormat="false" ht="12.75" hidden="false" customHeight="false" outlineLevel="0" collapsed="false">
      <c r="A370" s="120" t="n">
        <f aca="false">A369+1</f>
        <v>37256</v>
      </c>
      <c r="B370" s="131" t="str">
        <f aca="false">INDEX('Master Data'!$A$2:$B$8,MATCH(WEEKDAY('Rio Cuarto Power Trading'!A370,3),'Master Data'!$A$2:$A$8,0),2)</f>
        <v>M</v>
      </c>
      <c r="D370" s="124" t="n">
        <v>0</v>
      </c>
      <c r="E370" s="124" t="n">
        <v>0</v>
      </c>
      <c r="F370" s="124" t="n">
        <v>0</v>
      </c>
      <c r="G370" s="124" t="n">
        <v>0</v>
      </c>
      <c r="I370" s="124" t="n">
        <f aca="false">IF(MONTH($A370)=MONTH($A369),IF(G370=0,I369,G370),G370)</f>
        <v>0</v>
      </c>
      <c r="J370" s="124" t="n">
        <f aca="false">IF(MONTH($A370)=MONTH($A369),SUM(I370-I369),I370)</f>
        <v>0</v>
      </c>
      <c r="K370" s="124" t="n">
        <f aca="false">IF(WEEKDAY(A370,3)&gt;4,0,(IF(A370&lt;K$2,0,IF(A370&lt;=K$3,1,0))))</f>
        <v>0</v>
      </c>
      <c r="L370" s="124" t="n">
        <f aca="false">J370*K370</f>
        <v>0</v>
      </c>
      <c r="M370" s="124" t="n">
        <f aca="false">SUM(J$280:J370)</f>
        <v>100044</v>
      </c>
      <c r="N370" s="124" t="n">
        <f aca="false">SUM(J$6:J370)</f>
        <v>1170466.87</v>
      </c>
      <c r="P370" s="124" t="n">
        <f aca="false">D370/P$3</f>
        <v>0</v>
      </c>
      <c r="Q370" s="124" t="n">
        <f aca="false">E370/P$3</f>
        <v>0</v>
      </c>
      <c r="R370" s="124" t="n">
        <f aca="false">F370/R$3</f>
        <v>0</v>
      </c>
      <c r="S370" s="126" t="n">
        <f aca="false">J370/$R$3</f>
        <v>0</v>
      </c>
      <c r="T370" s="126" t="n">
        <f aca="false">L370/$R$3</f>
        <v>0</v>
      </c>
      <c r="U370" s="126" t="n">
        <f aca="false">I370/$R$3</f>
        <v>0</v>
      </c>
      <c r="V370" s="126" t="n">
        <f aca="false">M370/$R$3</f>
        <v>100.044</v>
      </c>
      <c r="W370" s="126" t="n">
        <f aca="false">N370/$R$3</f>
        <v>1170.46687</v>
      </c>
    </row>
    <row r="371" customFormat="false" ht="12.75" hidden="false" customHeight="false" outlineLevel="0" collapsed="false">
      <c r="A371" s="120" t="n">
        <f aca="false">A370+1</f>
        <v>37257</v>
      </c>
      <c r="B371" s="131" t="str">
        <f aca="false">INDEX('Master Data'!$A$2:$B$8,MATCH(WEEKDAY('Rio Cuarto Power Trading'!A371,3),'Master Data'!$A$2:$A$8,0),2)</f>
        <v>T</v>
      </c>
      <c r="D371" s="124" t="n">
        <v>0</v>
      </c>
      <c r="E371" s="124" t="n">
        <v>0</v>
      </c>
      <c r="F371" s="124" t="n">
        <v>0</v>
      </c>
      <c r="G371" s="124" t="n">
        <v>0</v>
      </c>
      <c r="I371" s="124" t="n">
        <f aca="false">IF(MONTH($A371)=MONTH($A370),IF(G371=0,I370,G371),G371)</f>
        <v>0</v>
      </c>
      <c r="J371" s="124" t="n">
        <f aca="false">IF(MONTH($A371)=MONTH($A370),SUM(I371-I370),I371)</f>
        <v>0</v>
      </c>
      <c r="K371" s="124" t="n">
        <f aca="false">IF(WEEKDAY(A371,3)&gt;4,0,(IF(A371&lt;K$2,0,IF(A371&lt;=K$3,1,0))))</f>
        <v>0</v>
      </c>
      <c r="L371" s="124" t="n">
        <f aca="false">J371*K371</f>
        <v>0</v>
      </c>
      <c r="M371" s="124" t="n">
        <f aca="false">SUM(J$280:J371)</f>
        <v>100044</v>
      </c>
      <c r="N371" s="124" t="n">
        <f aca="false">SUM(J$6:J371)</f>
        <v>1170466.87</v>
      </c>
      <c r="P371" s="124" t="n">
        <f aca="false">D371/P$3</f>
        <v>0</v>
      </c>
      <c r="Q371" s="124" t="n">
        <f aca="false">E371/P$3</f>
        <v>0</v>
      </c>
      <c r="R371" s="124" t="n">
        <f aca="false">F371/R$3</f>
        <v>0</v>
      </c>
      <c r="S371" s="126" t="n">
        <f aca="false">J371/$R$3</f>
        <v>0</v>
      </c>
      <c r="T371" s="126" t="n">
        <f aca="false">L371/$R$3</f>
        <v>0</v>
      </c>
      <c r="U371" s="126" t="n">
        <f aca="false">I371/$R$3</f>
        <v>0</v>
      </c>
      <c r="V371" s="126" t="n">
        <f aca="false">M371/$R$3</f>
        <v>100.044</v>
      </c>
      <c r="W371" s="126" t="n">
        <f aca="false">N371/$R$3</f>
        <v>1170.46687</v>
      </c>
    </row>
    <row r="372" customFormat="false" ht="12.75" hidden="false" customHeight="false" outlineLevel="0" collapsed="false">
      <c r="D372" s="124"/>
      <c r="E372" s="124"/>
      <c r="F372" s="124"/>
      <c r="G372" s="124"/>
    </row>
    <row r="373" customFormat="false" ht="12.75" hidden="false" customHeight="false" outlineLevel="0" collapsed="false">
      <c r="D373" s="124"/>
      <c r="E373" s="124"/>
      <c r="F373" s="124"/>
      <c r="G373" s="124"/>
    </row>
    <row r="374" customFormat="false" ht="12.75" hidden="false" customHeight="false" outlineLevel="0" collapsed="false">
      <c r="D374" s="124"/>
      <c r="E374" s="124"/>
      <c r="F374" s="124"/>
      <c r="G374" s="124"/>
    </row>
    <row r="375" customFormat="false" ht="12.75" hidden="false" customHeight="false" outlineLevel="0" collapsed="false">
      <c r="D375" s="124"/>
      <c r="E375" s="124"/>
      <c r="F375" s="124"/>
      <c r="G375" s="124"/>
    </row>
    <row r="376" customFormat="false" ht="12.75" hidden="false" customHeight="false" outlineLevel="0" collapsed="false">
      <c r="D376" s="124"/>
      <c r="E376" s="124"/>
      <c r="F376" s="124"/>
      <c r="G376" s="124"/>
    </row>
    <row r="377" customFormat="false" ht="12.75" hidden="false" customHeight="false" outlineLevel="0" collapsed="false">
      <c r="D377" s="124"/>
      <c r="E377" s="124"/>
      <c r="F377" s="124"/>
      <c r="G377" s="124"/>
    </row>
    <row r="378" customFormat="false" ht="12.75" hidden="false" customHeight="false" outlineLevel="0" collapsed="false">
      <c r="D378" s="124"/>
      <c r="E378" s="124"/>
      <c r="F378" s="124"/>
      <c r="G378" s="124"/>
    </row>
    <row r="379" customFormat="false" ht="12.75" hidden="false" customHeight="false" outlineLevel="0" collapsed="false">
      <c r="D379" s="124"/>
      <c r="E379" s="124"/>
      <c r="F379" s="124"/>
      <c r="G379" s="124"/>
    </row>
    <row r="380" customFormat="false" ht="12.75" hidden="false" customHeight="false" outlineLevel="0" collapsed="false">
      <c r="D380" s="124"/>
      <c r="E380" s="124"/>
      <c r="F380" s="124"/>
      <c r="G380" s="124"/>
    </row>
    <row r="381" customFormat="false" ht="12.75" hidden="false" customHeight="false" outlineLevel="0" collapsed="false">
      <c r="D381" s="124"/>
      <c r="E381" s="124"/>
      <c r="F381" s="124"/>
      <c r="G381" s="124"/>
    </row>
    <row r="382" customFormat="false" ht="12.75" hidden="false" customHeight="false" outlineLevel="0" collapsed="false">
      <c r="D382" s="124"/>
      <c r="E382" s="124"/>
      <c r="F382" s="124"/>
      <c r="G382" s="124"/>
    </row>
    <row r="383" customFormat="false" ht="12.75" hidden="false" customHeight="false" outlineLevel="0" collapsed="false">
      <c r="D383" s="124"/>
      <c r="E383" s="124"/>
      <c r="F383" s="124"/>
      <c r="G383" s="124"/>
    </row>
    <row r="384" customFormat="false" ht="12.75" hidden="false" customHeight="false" outlineLevel="0" collapsed="false">
      <c r="D384" s="124"/>
      <c r="E384" s="124"/>
      <c r="F384" s="124"/>
      <c r="G384" s="124"/>
    </row>
    <row r="385" customFormat="false" ht="12.75" hidden="false" customHeight="false" outlineLevel="0" collapsed="false">
      <c r="D385" s="124"/>
      <c r="E385" s="124"/>
      <c r="F385" s="124"/>
      <c r="G385" s="124"/>
    </row>
    <row r="386" customFormat="false" ht="12.75" hidden="false" customHeight="false" outlineLevel="0" collapsed="false">
      <c r="D386" s="124"/>
      <c r="E386" s="124"/>
      <c r="F386" s="124"/>
      <c r="G386" s="124"/>
    </row>
    <row r="387" customFormat="false" ht="12.75" hidden="false" customHeight="false" outlineLevel="0" collapsed="false">
      <c r="D387" s="124"/>
      <c r="E387" s="124"/>
      <c r="F387" s="124"/>
      <c r="G387" s="124"/>
    </row>
    <row r="388" customFormat="false" ht="12.75" hidden="false" customHeight="false" outlineLevel="0" collapsed="false">
      <c r="D388" s="124"/>
      <c r="E388" s="124"/>
      <c r="F388" s="124"/>
      <c r="G388" s="124"/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88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D310" activeCellId="0" sqref="D310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20" width="7.28"/>
    <col collapsed="false" customWidth="true" hidden="false" outlineLevel="0" max="2" min="2" style="121" width="4.14"/>
    <col collapsed="false" customWidth="true" hidden="false" outlineLevel="0" max="3" min="3" style="122" width="2.7"/>
    <col collapsed="false" customWidth="true" hidden="false" outlineLevel="0" max="7" min="4" style="121" width="14.99"/>
    <col collapsed="false" customWidth="true" hidden="false" outlineLevel="0" max="8" min="8" style="122" width="2.7"/>
    <col collapsed="false" customWidth="true" hidden="false" outlineLevel="0" max="9" min="9" style="123" width="13.14"/>
    <col collapsed="false" customWidth="true" hidden="false" outlineLevel="0" max="10" min="10" style="124" width="13.14"/>
    <col collapsed="false" customWidth="true" hidden="false" outlineLevel="0" max="11" min="11" style="124" width="10.99"/>
    <col collapsed="false" customWidth="true" hidden="false" outlineLevel="0" max="14" min="12" style="124" width="13.14"/>
    <col collapsed="false" customWidth="true" hidden="false" outlineLevel="0" max="15" min="15" style="125" width="2.7"/>
    <col collapsed="false" customWidth="true" hidden="false" outlineLevel="0" max="18" min="16" style="121" width="16.13"/>
    <col collapsed="false" customWidth="true" hidden="false" outlineLevel="0" max="23" min="19" style="126" width="12.7"/>
    <col collapsed="false" customWidth="false" hidden="false" outlineLevel="0" max="257" min="24" style="121" width="9.14"/>
  </cols>
  <sheetData>
    <row r="1" customFormat="false" ht="12.75" hidden="false" customHeight="false" outlineLevel="0" collapsed="false">
      <c r="A1" s="127" t="n">
        <v>1</v>
      </c>
      <c r="B1" s="121" t="n">
        <f aca="false">+A1+1</f>
        <v>2</v>
      </c>
      <c r="C1" s="122" t="n">
        <f aca="false">+B1+1</f>
        <v>3</v>
      </c>
      <c r="D1" s="121" t="n">
        <f aca="false">+C1+1</f>
        <v>4</v>
      </c>
      <c r="E1" s="121" t="n">
        <f aca="false">+D1+1</f>
        <v>5</v>
      </c>
      <c r="F1" s="121" t="n">
        <f aca="false">+E1+1</f>
        <v>6</v>
      </c>
      <c r="G1" s="121" t="n">
        <f aca="false">+F1+1</f>
        <v>7</v>
      </c>
      <c r="H1" s="122" t="n">
        <f aca="false">+G1+1</f>
        <v>8</v>
      </c>
      <c r="I1" s="123" t="n">
        <f aca="false">+H1+1</f>
        <v>9</v>
      </c>
      <c r="J1" s="124" t="n">
        <f aca="false">+I1+1</f>
        <v>10</v>
      </c>
      <c r="K1" s="124" t="n">
        <f aca="false">+J1+1</f>
        <v>11</v>
      </c>
      <c r="L1" s="124" t="n">
        <f aca="false">+K1+1</f>
        <v>12</v>
      </c>
      <c r="M1" s="124" t="n">
        <f aca="false">+L1+1</f>
        <v>13</v>
      </c>
      <c r="N1" s="124" t="n">
        <f aca="false">+M1+1</f>
        <v>14</v>
      </c>
      <c r="O1" s="125" t="n">
        <f aca="false">+N1+1</f>
        <v>15</v>
      </c>
      <c r="P1" s="121" t="n">
        <f aca="false">+O1+1</f>
        <v>16</v>
      </c>
      <c r="Q1" s="121" t="n">
        <f aca="false">+P1+1</f>
        <v>17</v>
      </c>
      <c r="R1" s="121" t="n">
        <f aca="false">+Q1+1</f>
        <v>18</v>
      </c>
      <c r="S1" s="121" t="n">
        <f aca="false">+R1+1</f>
        <v>19</v>
      </c>
      <c r="T1" s="121" t="n">
        <f aca="false">+S1+1</f>
        <v>20</v>
      </c>
      <c r="U1" s="121" t="n">
        <f aca="false">+T1+1</f>
        <v>21</v>
      </c>
      <c r="V1" s="121" t="n">
        <f aca="false">+U1+1</f>
        <v>22</v>
      </c>
      <c r="W1" s="121" t="n">
        <f aca="false">+V1+1</f>
        <v>23</v>
      </c>
    </row>
    <row r="2" customFormat="false" ht="12.75" hidden="false" customHeight="false" outlineLevel="0" collapsed="false">
      <c r="K2" s="128" t="n">
        <f aca="false">WORKDAY(K3,-4)</f>
        <v>37190</v>
      </c>
    </row>
    <row r="3" customFormat="false" ht="12.75" hidden="false" customHeight="false" outlineLevel="0" collapsed="false">
      <c r="I3" s="146"/>
      <c r="K3" s="128" t="n">
        <f aca="false">Summary!B8</f>
        <v>37196</v>
      </c>
      <c r="L3" s="129" t="n">
        <f aca="false">SUM(L6:L371)</f>
        <v>107999</v>
      </c>
      <c r="P3" s="124" t="n">
        <v>1000000</v>
      </c>
      <c r="Q3" s="124"/>
      <c r="R3" s="124" t="n">
        <v>1000</v>
      </c>
      <c r="S3" s="121"/>
      <c r="T3" s="130" t="n">
        <f aca="false">SUM(T6:T371)</f>
        <v>107.999</v>
      </c>
    </row>
    <row r="4" customFormat="false" ht="12.75" hidden="false" customHeight="false" outlineLevel="0" collapsed="false">
      <c r="D4" s="131" t="s">
        <v>57</v>
      </c>
      <c r="E4" s="131" t="s">
        <v>57</v>
      </c>
      <c r="F4" s="131" t="s">
        <v>58</v>
      </c>
      <c r="G4" s="131" t="s">
        <v>58</v>
      </c>
      <c r="I4" s="132" t="s">
        <v>58</v>
      </c>
      <c r="J4" s="132"/>
      <c r="K4" s="132"/>
      <c r="L4" s="132"/>
      <c r="M4" s="132"/>
      <c r="N4" s="132"/>
      <c r="O4" s="133"/>
      <c r="P4" s="134" t="s">
        <v>59</v>
      </c>
      <c r="Q4" s="134"/>
      <c r="R4" s="135" t="s">
        <v>60</v>
      </c>
      <c r="S4" s="135"/>
      <c r="T4" s="135"/>
      <c r="U4" s="135"/>
      <c r="V4" s="135"/>
      <c r="W4" s="135"/>
    </row>
    <row r="5" customFormat="false" ht="12.75" hidden="false" customHeight="false" outlineLevel="0" collapsed="false">
      <c r="A5" s="136" t="s">
        <v>61</v>
      </c>
      <c r="B5" s="131" t="s">
        <v>62</v>
      </c>
      <c r="C5" s="137"/>
      <c r="D5" s="138" t="s">
        <v>63</v>
      </c>
      <c r="E5" s="138" t="s">
        <v>64</v>
      </c>
      <c r="F5" s="138" t="s">
        <v>65</v>
      </c>
      <c r="G5" s="138" t="s">
        <v>66</v>
      </c>
      <c r="H5" s="139"/>
      <c r="I5" s="138" t="s">
        <v>67</v>
      </c>
      <c r="J5" s="140" t="s">
        <v>68</v>
      </c>
      <c r="K5" s="140" t="s">
        <v>69</v>
      </c>
      <c r="L5" s="140" t="s">
        <v>70</v>
      </c>
      <c r="M5" s="140" t="s">
        <v>71</v>
      </c>
      <c r="N5" s="140" t="s">
        <v>72</v>
      </c>
      <c r="O5" s="141"/>
      <c r="P5" s="138" t="s">
        <v>63</v>
      </c>
      <c r="Q5" s="138" t="s">
        <v>64</v>
      </c>
      <c r="R5" s="138" t="s">
        <v>65</v>
      </c>
      <c r="S5" s="142" t="s">
        <v>68</v>
      </c>
      <c r="T5" s="140" t="s">
        <v>70</v>
      </c>
      <c r="U5" s="142" t="s">
        <v>66</v>
      </c>
      <c r="V5" s="142" t="s">
        <v>71</v>
      </c>
      <c r="W5" s="142" t="s">
        <v>72</v>
      </c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1"/>
      <c r="AW5" s="131"/>
      <c r="AX5" s="131"/>
      <c r="AY5" s="131"/>
      <c r="AZ5" s="131"/>
      <c r="BA5" s="131"/>
      <c r="BB5" s="131"/>
      <c r="BC5" s="131"/>
      <c r="BD5" s="131"/>
      <c r="BE5" s="131"/>
      <c r="BF5" s="131"/>
      <c r="BG5" s="131"/>
      <c r="BH5" s="131"/>
      <c r="BI5" s="131"/>
      <c r="BJ5" s="131"/>
      <c r="BK5" s="131"/>
      <c r="BL5" s="131"/>
      <c r="BM5" s="131"/>
      <c r="BN5" s="131"/>
      <c r="BO5" s="131"/>
      <c r="BP5" s="131"/>
      <c r="BQ5" s="131"/>
      <c r="BR5" s="131"/>
      <c r="BS5" s="131"/>
      <c r="BT5" s="131"/>
      <c r="BU5" s="131"/>
      <c r="BV5" s="131"/>
      <c r="BW5" s="131"/>
      <c r="BX5" s="131"/>
      <c r="BY5" s="131"/>
      <c r="BZ5" s="131"/>
      <c r="CA5" s="131"/>
      <c r="CB5" s="131"/>
      <c r="CC5" s="131"/>
      <c r="CD5" s="131"/>
      <c r="CE5" s="131"/>
      <c r="CF5" s="131"/>
      <c r="CG5" s="131"/>
      <c r="CH5" s="131"/>
      <c r="CI5" s="131"/>
      <c r="CJ5" s="131"/>
      <c r="CK5" s="131"/>
      <c r="CL5" s="131"/>
      <c r="CM5" s="131"/>
      <c r="CN5" s="131"/>
      <c r="CO5" s="131"/>
      <c r="CP5" s="131"/>
      <c r="CQ5" s="131"/>
      <c r="CR5" s="131"/>
      <c r="CS5" s="131"/>
      <c r="CT5" s="131"/>
      <c r="CU5" s="131"/>
      <c r="CV5" s="131"/>
      <c r="CW5" s="131"/>
      <c r="CX5" s="131"/>
      <c r="CY5" s="131"/>
      <c r="CZ5" s="131"/>
      <c r="DA5" s="131"/>
      <c r="DB5" s="131"/>
      <c r="DC5" s="131"/>
      <c r="DD5" s="131"/>
      <c r="DE5" s="131"/>
      <c r="DF5" s="131"/>
      <c r="DG5" s="131"/>
      <c r="DH5" s="131"/>
      <c r="DI5" s="131"/>
      <c r="DJ5" s="131"/>
      <c r="DK5" s="131"/>
      <c r="DL5" s="131"/>
      <c r="DM5" s="131"/>
      <c r="DN5" s="131"/>
      <c r="DO5" s="131"/>
      <c r="DP5" s="131"/>
      <c r="DQ5" s="131"/>
      <c r="DR5" s="131"/>
      <c r="DS5" s="131"/>
      <c r="DT5" s="131"/>
      <c r="DU5" s="131"/>
      <c r="DV5" s="131"/>
      <c r="DW5" s="131"/>
      <c r="DX5" s="131"/>
      <c r="DY5" s="131"/>
      <c r="DZ5" s="131"/>
      <c r="EA5" s="131"/>
      <c r="EB5" s="131"/>
      <c r="EC5" s="131"/>
      <c r="ED5" s="131"/>
      <c r="EE5" s="131"/>
      <c r="EF5" s="131"/>
      <c r="EG5" s="131"/>
      <c r="EH5" s="131"/>
      <c r="EI5" s="131"/>
      <c r="EJ5" s="131"/>
      <c r="EK5" s="131"/>
      <c r="EL5" s="131"/>
      <c r="EM5" s="131"/>
      <c r="EN5" s="131"/>
      <c r="EO5" s="131"/>
      <c r="EP5" s="131"/>
      <c r="EQ5" s="131"/>
      <c r="ER5" s="131"/>
      <c r="ES5" s="131"/>
      <c r="ET5" s="131"/>
      <c r="EU5" s="131"/>
      <c r="EV5" s="131"/>
      <c r="EW5" s="131"/>
      <c r="EX5" s="131"/>
      <c r="EY5" s="131"/>
      <c r="EZ5" s="131"/>
      <c r="FA5" s="131"/>
      <c r="FB5" s="131"/>
      <c r="FC5" s="131"/>
      <c r="FD5" s="131"/>
      <c r="FE5" s="131"/>
      <c r="FF5" s="131"/>
      <c r="FG5" s="131"/>
      <c r="FH5" s="131"/>
      <c r="FI5" s="131"/>
      <c r="FJ5" s="131"/>
      <c r="FK5" s="131"/>
      <c r="FL5" s="131"/>
      <c r="FM5" s="131"/>
      <c r="FN5" s="131"/>
      <c r="FO5" s="131"/>
      <c r="FP5" s="131"/>
      <c r="FQ5" s="131"/>
      <c r="FR5" s="131"/>
      <c r="FS5" s="131"/>
      <c r="FT5" s="131"/>
      <c r="FU5" s="131"/>
      <c r="FV5" s="131"/>
      <c r="FW5" s="131"/>
      <c r="FX5" s="131"/>
      <c r="FY5" s="131"/>
      <c r="FZ5" s="131"/>
      <c r="GA5" s="131"/>
      <c r="GB5" s="131"/>
      <c r="GC5" s="131"/>
      <c r="GD5" s="131"/>
      <c r="GE5" s="131"/>
      <c r="GF5" s="131"/>
      <c r="GG5" s="131"/>
      <c r="GH5" s="131"/>
      <c r="GI5" s="131"/>
      <c r="GJ5" s="131"/>
      <c r="GK5" s="131"/>
      <c r="GL5" s="131"/>
      <c r="GM5" s="131"/>
      <c r="GN5" s="131"/>
      <c r="GO5" s="131"/>
      <c r="GP5" s="131"/>
      <c r="GQ5" s="131"/>
      <c r="GR5" s="131"/>
      <c r="GS5" s="131"/>
      <c r="GT5" s="131"/>
      <c r="GU5" s="131"/>
      <c r="GV5" s="131"/>
      <c r="GW5" s="131"/>
      <c r="GX5" s="131"/>
      <c r="GY5" s="131"/>
      <c r="GZ5" s="131"/>
      <c r="HA5" s="131"/>
      <c r="HB5" s="131"/>
      <c r="HC5" s="131"/>
      <c r="HD5" s="131"/>
      <c r="HE5" s="131"/>
      <c r="HF5" s="131"/>
      <c r="HG5" s="131"/>
      <c r="HH5" s="131"/>
      <c r="HI5" s="131"/>
      <c r="HJ5" s="131"/>
      <c r="HK5" s="131"/>
      <c r="HL5" s="131"/>
      <c r="HM5" s="131"/>
      <c r="HN5" s="131"/>
      <c r="HO5" s="131"/>
      <c r="HP5" s="131"/>
      <c r="HQ5" s="131"/>
      <c r="HR5" s="131"/>
      <c r="HS5" s="131"/>
      <c r="HT5" s="131"/>
      <c r="HU5" s="131"/>
      <c r="HV5" s="131"/>
      <c r="HW5" s="131"/>
      <c r="HX5" s="131"/>
      <c r="HY5" s="131"/>
      <c r="HZ5" s="131"/>
      <c r="IA5" s="131"/>
      <c r="IB5" s="131"/>
      <c r="IC5" s="131"/>
      <c r="ID5" s="131"/>
      <c r="IE5" s="131"/>
      <c r="IF5" s="131"/>
      <c r="IG5" s="131"/>
      <c r="IH5" s="131"/>
      <c r="II5" s="131"/>
      <c r="IJ5" s="131"/>
      <c r="IK5" s="131"/>
      <c r="IL5" s="131"/>
      <c r="IM5" s="131"/>
      <c r="IN5" s="131"/>
      <c r="IO5" s="131"/>
      <c r="IP5" s="131"/>
      <c r="IQ5" s="131"/>
      <c r="IR5" s="131"/>
      <c r="IS5" s="131"/>
      <c r="IT5" s="131"/>
      <c r="IU5" s="131"/>
      <c r="IV5" s="131"/>
      <c r="IW5" s="131"/>
    </row>
    <row r="6" customFormat="false" ht="12.75" hidden="true" customHeight="false" outlineLevel="0" collapsed="false">
      <c r="A6" s="120" t="n">
        <v>36892</v>
      </c>
      <c r="B6" s="131" t="str">
        <f aca="false">INDEX('Master Data'!$A$2:$B$8,MATCH(WEEKDAY('Modesto Maranzana Power'!A6,3),'Master Data'!$A$2:$A$8,0),2)</f>
        <v>M</v>
      </c>
      <c r="D6" s="124" t="n">
        <v>0</v>
      </c>
      <c r="E6" s="124" t="n">
        <v>0</v>
      </c>
      <c r="F6" s="124" t="n">
        <v>0</v>
      </c>
      <c r="G6" s="124" t="n">
        <v>0</v>
      </c>
      <c r="I6" s="124" t="n">
        <f aca="false">G6</f>
        <v>0</v>
      </c>
      <c r="J6" s="124" t="n">
        <f aca="false">I6</f>
        <v>0</v>
      </c>
      <c r="K6" s="124" t="n">
        <f aca="false">IF(WEEKDAY(A6,3)&gt;4,0,(IF(A6&lt;K$2,0,IF(A6&lt;=K$3,1,0))))</f>
        <v>0</v>
      </c>
      <c r="L6" s="124" t="n">
        <f aca="false">J6*K6</f>
        <v>0</v>
      </c>
      <c r="M6" s="124" t="n">
        <f aca="false">SUM(J$6:J6)</f>
        <v>0</v>
      </c>
      <c r="N6" s="124" t="n">
        <f aca="false">SUM(J$6:J6)</f>
        <v>0</v>
      </c>
      <c r="P6" s="124" t="n">
        <f aca="false">D6/P$3</f>
        <v>0</v>
      </c>
      <c r="Q6" s="124" t="n">
        <f aca="false">E6/P$3</f>
        <v>0</v>
      </c>
      <c r="R6" s="124" t="n">
        <f aca="false">F6/R$3</f>
        <v>0</v>
      </c>
      <c r="S6" s="126" t="n">
        <f aca="false">J6/$R$3</f>
        <v>0</v>
      </c>
      <c r="T6" s="126" t="n">
        <f aca="false">L6/$R$3</f>
        <v>0</v>
      </c>
      <c r="U6" s="126" t="n">
        <f aca="false">I6/$R$3</f>
        <v>0</v>
      </c>
      <c r="V6" s="126" t="n">
        <f aca="false">M6/$R$3</f>
        <v>0</v>
      </c>
      <c r="W6" s="126" t="n">
        <f aca="false">N6/$R$3</f>
        <v>0</v>
      </c>
    </row>
    <row r="7" customFormat="false" ht="12.75" hidden="true" customHeight="false" outlineLevel="0" collapsed="false">
      <c r="A7" s="120" t="n">
        <f aca="false">A6+1</f>
        <v>36893</v>
      </c>
      <c r="B7" s="131" t="str">
        <f aca="false">INDEX('Master Data'!$A$2:$B$8,MATCH(WEEKDAY('Modesto Maranzana Power'!A7,3),'Master Data'!$A$2:$A$8,0),2)</f>
        <v>T</v>
      </c>
      <c r="D7" s="124" t="n">
        <v>0</v>
      </c>
      <c r="E7" s="124" t="n">
        <v>0</v>
      </c>
      <c r="F7" s="124" t="n">
        <v>0</v>
      </c>
      <c r="G7" s="124" t="n">
        <v>0</v>
      </c>
      <c r="I7" s="124" t="n">
        <f aca="false">IF(MONTH($A7)=MONTH($A6),IF(G7=0,I6,G7),0)</f>
        <v>0</v>
      </c>
      <c r="J7" s="124" t="n">
        <f aca="false">IF(MONTH($A7)=MONTH($A6),SUM(I7-I6),I7)</f>
        <v>0</v>
      </c>
      <c r="K7" s="124" t="n">
        <f aca="false">IF(WEEKDAY(A7,3)&gt;4,0,(IF(A7&lt;K$2,0,IF(A7&lt;=K$3,1,0))))</f>
        <v>0</v>
      </c>
      <c r="L7" s="124" t="n">
        <f aca="false">J7*K7</f>
        <v>0</v>
      </c>
      <c r="M7" s="124" t="n">
        <f aca="false">SUM(J$6:J7)</f>
        <v>0</v>
      </c>
      <c r="N7" s="124" t="n">
        <f aca="false">SUM(J$6:J7)</f>
        <v>0</v>
      </c>
      <c r="P7" s="124" t="n">
        <f aca="false">D7/P$3</f>
        <v>0</v>
      </c>
      <c r="Q7" s="124" t="n">
        <f aca="false">E7/P$3</f>
        <v>0</v>
      </c>
      <c r="R7" s="124" t="n">
        <f aca="false">F7/R$3</f>
        <v>0</v>
      </c>
      <c r="S7" s="126" t="n">
        <f aca="false">J7/$R$3</f>
        <v>0</v>
      </c>
      <c r="T7" s="126" t="n">
        <f aca="false">L7/$R$3</f>
        <v>0</v>
      </c>
      <c r="U7" s="126" t="n">
        <f aca="false">I7/$R$3</f>
        <v>0</v>
      </c>
      <c r="V7" s="126" t="n">
        <f aca="false">M7/$R$3</f>
        <v>0</v>
      </c>
      <c r="W7" s="126" t="n">
        <f aca="false">N7/$R$3</f>
        <v>0</v>
      </c>
    </row>
    <row r="8" customFormat="false" ht="12.75" hidden="true" customHeight="false" outlineLevel="0" collapsed="false">
      <c r="A8" s="120" t="n">
        <f aca="false">A7+1</f>
        <v>36894</v>
      </c>
      <c r="B8" s="131" t="str">
        <f aca="false">INDEX('Master Data'!$A$2:$B$8,MATCH(WEEKDAY('Modesto Maranzana Power'!A8,3),'Master Data'!$A$2:$A$8,0),2)</f>
        <v>W</v>
      </c>
      <c r="D8" s="124" t="n">
        <v>0</v>
      </c>
      <c r="E8" s="124" t="n">
        <v>0</v>
      </c>
      <c r="F8" s="124" t="n">
        <v>0</v>
      </c>
      <c r="G8" s="124" t="n">
        <v>0</v>
      </c>
      <c r="I8" s="124" t="n">
        <f aca="false">IF(MONTH($A8)=MONTH($A7),IF(G8=0,I7,G8),0)</f>
        <v>0</v>
      </c>
      <c r="J8" s="124" t="n">
        <f aca="false">IF(MONTH($A8)=MONTH($A7),SUM(I8-I7),I8)</f>
        <v>0</v>
      </c>
      <c r="K8" s="124" t="n">
        <f aca="false">IF(WEEKDAY(A8,3)&gt;4,0,(IF(A8&lt;K$2,0,IF(A8&lt;=K$3,1,0))))</f>
        <v>0</v>
      </c>
      <c r="L8" s="124" t="n">
        <f aca="false">J8*K8</f>
        <v>0</v>
      </c>
      <c r="M8" s="124" t="n">
        <f aca="false">SUM(J$6:J8)</f>
        <v>0</v>
      </c>
      <c r="N8" s="124" t="n">
        <f aca="false">SUM(J$6:J8)</f>
        <v>0</v>
      </c>
      <c r="P8" s="124" t="n">
        <f aca="false">D8/P$3</f>
        <v>0</v>
      </c>
      <c r="Q8" s="124" t="n">
        <f aca="false">E8/P$3</f>
        <v>0</v>
      </c>
      <c r="R8" s="124" t="n">
        <f aca="false">F8/R$3</f>
        <v>0</v>
      </c>
      <c r="S8" s="126" t="n">
        <f aca="false">J8/$R$3</f>
        <v>0</v>
      </c>
      <c r="T8" s="126" t="n">
        <f aca="false">L8/$R$3</f>
        <v>0</v>
      </c>
      <c r="U8" s="126" t="n">
        <f aca="false">I8/$R$3</f>
        <v>0</v>
      </c>
      <c r="V8" s="126" t="n">
        <f aca="false">M8/$R$3</f>
        <v>0</v>
      </c>
      <c r="W8" s="126" t="n">
        <f aca="false">N8/$R$3</f>
        <v>0</v>
      </c>
    </row>
    <row r="9" customFormat="false" ht="12.75" hidden="true" customHeight="false" outlineLevel="0" collapsed="false">
      <c r="A9" s="120" t="n">
        <f aca="false">A8+1</f>
        <v>36895</v>
      </c>
      <c r="B9" s="131" t="str">
        <f aca="false">INDEX('Master Data'!$A$2:$B$8,MATCH(WEEKDAY('Modesto Maranzana Power'!A9,3),'Master Data'!$A$2:$A$8,0),2)</f>
        <v>Th</v>
      </c>
      <c r="D9" s="124" t="n">
        <v>0</v>
      </c>
      <c r="E9" s="124" t="n">
        <v>0</v>
      </c>
      <c r="F9" s="124" t="n">
        <v>0</v>
      </c>
      <c r="G9" s="124" t="n">
        <v>0</v>
      </c>
      <c r="I9" s="124" t="n">
        <f aca="false">IF(MONTH($A9)=MONTH($A8),IF(G9=0,I8,G9),0)</f>
        <v>0</v>
      </c>
      <c r="J9" s="124" t="n">
        <f aca="false">IF(MONTH($A9)=MONTH($A8),SUM(I9-I8),I9)</f>
        <v>0</v>
      </c>
      <c r="K9" s="124" t="n">
        <f aca="false">IF(WEEKDAY(A9,3)&gt;4,0,(IF(A9&lt;K$2,0,IF(A9&lt;=K$3,1,0))))</f>
        <v>0</v>
      </c>
      <c r="L9" s="124" t="n">
        <f aca="false">J9*K9</f>
        <v>0</v>
      </c>
      <c r="M9" s="124" t="n">
        <f aca="false">SUM(J$6:J9)</f>
        <v>0</v>
      </c>
      <c r="N9" s="124" t="n">
        <f aca="false">SUM(J$6:J9)</f>
        <v>0</v>
      </c>
      <c r="P9" s="124" t="n">
        <f aca="false">D9/P$3</f>
        <v>0</v>
      </c>
      <c r="Q9" s="124" t="n">
        <f aca="false">E9/P$3</f>
        <v>0</v>
      </c>
      <c r="R9" s="124" t="n">
        <f aca="false">F9/R$3</f>
        <v>0</v>
      </c>
      <c r="S9" s="126" t="n">
        <f aca="false">J9/$R$3</f>
        <v>0</v>
      </c>
      <c r="T9" s="126" t="n">
        <f aca="false">L9/$R$3</f>
        <v>0</v>
      </c>
      <c r="U9" s="126" t="n">
        <f aca="false">I9/$R$3</f>
        <v>0</v>
      </c>
      <c r="V9" s="126" t="n">
        <f aca="false">M9/$R$3</f>
        <v>0</v>
      </c>
      <c r="W9" s="126" t="n">
        <f aca="false">N9/$R$3</f>
        <v>0</v>
      </c>
    </row>
    <row r="10" customFormat="false" ht="12.75" hidden="true" customHeight="false" outlineLevel="0" collapsed="false">
      <c r="A10" s="120" t="n">
        <f aca="false">A9+1</f>
        <v>36896</v>
      </c>
      <c r="B10" s="131" t="str">
        <f aca="false">INDEX('Master Data'!$A$2:$B$8,MATCH(WEEKDAY('Modesto Maranzana Power'!A10,3),'Master Data'!$A$2:$A$8,0),2)</f>
        <v>F</v>
      </c>
      <c r="D10" s="124" t="n">
        <v>0</v>
      </c>
      <c r="E10" s="124" t="n">
        <v>0</v>
      </c>
      <c r="F10" s="124" t="n">
        <v>0</v>
      </c>
      <c r="G10" s="124" t="n">
        <v>0</v>
      </c>
      <c r="I10" s="124" t="n">
        <f aca="false">IF(MONTH($A10)=MONTH($A9),IF(G10=0,I9,G10),0)</f>
        <v>0</v>
      </c>
      <c r="J10" s="124" t="n">
        <f aca="false">IF(MONTH($A10)=MONTH($A9),SUM(I10-I9),I10)</f>
        <v>0</v>
      </c>
      <c r="K10" s="124" t="n">
        <f aca="false">IF(WEEKDAY(A10,3)&gt;4,0,(IF(A10&lt;K$2,0,IF(A10&lt;=K$3,1,0))))</f>
        <v>0</v>
      </c>
      <c r="L10" s="124" t="n">
        <f aca="false">J10*K10</f>
        <v>0</v>
      </c>
      <c r="M10" s="124" t="n">
        <f aca="false">SUM(J$6:J10)</f>
        <v>0</v>
      </c>
      <c r="N10" s="124" t="n">
        <f aca="false">SUM(J$6:J10)</f>
        <v>0</v>
      </c>
      <c r="P10" s="124" t="n">
        <f aca="false">D10/P$3</f>
        <v>0</v>
      </c>
      <c r="Q10" s="124" t="n">
        <f aca="false">E10/P$3</f>
        <v>0</v>
      </c>
      <c r="R10" s="124" t="n">
        <f aca="false">F10/R$3</f>
        <v>0</v>
      </c>
      <c r="S10" s="126" t="n">
        <f aca="false">J10/$R$3</f>
        <v>0</v>
      </c>
      <c r="T10" s="126" t="n">
        <f aca="false">L10/$R$3</f>
        <v>0</v>
      </c>
      <c r="U10" s="126" t="n">
        <f aca="false">I10/$R$3</f>
        <v>0</v>
      </c>
      <c r="V10" s="126" t="n">
        <f aca="false">M10/$R$3</f>
        <v>0</v>
      </c>
      <c r="W10" s="126" t="n">
        <f aca="false">N10/$R$3</f>
        <v>0</v>
      </c>
    </row>
    <row r="11" customFormat="false" ht="12.75" hidden="true" customHeight="false" outlineLevel="0" collapsed="false">
      <c r="A11" s="120" t="n">
        <f aca="false">A10+1</f>
        <v>36897</v>
      </c>
      <c r="B11" s="131" t="str">
        <f aca="false">INDEX('Master Data'!$A$2:$B$8,MATCH(WEEKDAY('Modesto Maranzana Power'!A11,3),'Master Data'!$A$2:$A$8,0),2)</f>
        <v>Sa</v>
      </c>
      <c r="D11" s="124" t="n">
        <v>0</v>
      </c>
      <c r="E11" s="124" t="n">
        <v>0</v>
      </c>
      <c r="F11" s="124" t="n">
        <v>0</v>
      </c>
      <c r="G11" s="124" t="n">
        <v>0</v>
      </c>
      <c r="I11" s="124" t="n">
        <f aca="false">IF(MONTH($A11)=MONTH($A10),IF(G11=0,I10,G11),0)</f>
        <v>0</v>
      </c>
      <c r="J11" s="124" t="n">
        <f aca="false">IF(MONTH($A11)=MONTH($A10),SUM(I11-I10),I11)</f>
        <v>0</v>
      </c>
      <c r="K11" s="124" t="n">
        <f aca="false">IF(WEEKDAY(A11,3)&gt;4,0,(IF(A11&lt;K$2,0,IF(A11&lt;=K$3,1,0))))</f>
        <v>0</v>
      </c>
      <c r="L11" s="124" t="n">
        <f aca="false">J11*K11</f>
        <v>0</v>
      </c>
      <c r="M11" s="124" t="n">
        <f aca="false">SUM(J$6:J11)</f>
        <v>0</v>
      </c>
      <c r="N11" s="124" t="n">
        <f aca="false">SUM(J$6:J11)</f>
        <v>0</v>
      </c>
      <c r="P11" s="124" t="n">
        <f aca="false">D11/P$3</f>
        <v>0</v>
      </c>
      <c r="Q11" s="124" t="n">
        <f aca="false">E11/P$3</f>
        <v>0</v>
      </c>
      <c r="R11" s="124" t="n">
        <f aca="false">F11/R$3</f>
        <v>0</v>
      </c>
      <c r="S11" s="126" t="n">
        <f aca="false">J11/$R$3</f>
        <v>0</v>
      </c>
      <c r="T11" s="126" t="n">
        <f aca="false">L11/$R$3</f>
        <v>0</v>
      </c>
      <c r="U11" s="126" t="n">
        <f aca="false">I11/$R$3</f>
        <v>0</v>
      </c>
      <c r="V11" s="126" t="n">
        <f aca="false">M11/$R$3</f>
        <v>0</v>
      </c>
      <c r="W11" s="126" t="n">
        <f aca="false">N11/$R$3</f>
        <v>0</v>
      </c>
    </row>
    <row r="12" customFormat="false" ht="12.75" hidden="true" customHeight="false" outlineLevel="0" collapsed="false">
      <c r="A12" s="120" t="n">
        <f aca="false">A11+1</f>
        <v>36898</v>
      </c>
      <c r="B12" s="131" t="str">
        <f aca="false">INDEX('Master Data'!$A$2:$B$8,MATCH(WEEKDAY('Modesto Maranzana Power'!A12,3),'Master Data'!$A$2:$A$8,0),2)</f>
        <v>Su</v>
      </c>
      <c r="D12" s="124" t="n">
        <v>0</v>
      </c>
      <c r="E12" s="124" t="n">
        <v>0</v>
      </c>
      <c r="F12" s="124" t="n">
        <v>0</v>
      </c>
      <c r="G12" s="124" t="n">
        <v>0</v>
      </c>
      <c r="I12" s="124" t="n">
        <f aca="false">IF(MONTH($A12)=MONTH($A11),IF(G12=0,I11,G12),0)</f>
        <v>0</v>
      </c>
      <c r="J12" s="124" t="n">
        <f aca="false">IF(MONTH($A12)=MONTH($A11),SUM(I12-I11),I12)</f>
        <v>0</v>
      </c>
      <c r="K12" s="124" t="n">
        <f aca="false">IF(WEEKDAY(A12,3)&gt;4,0,(IF(A12&lt;K$2,0,IF(A12&lt;=K$3,1,0))))</f>
        <v>0</v>
      </c>
      <c r="L12" s="124" t="n">
        <f aca="false">J12*K12</f>
        <v>0</v>
      </c>
      <c r="M12" s="124" t="n">
        <f aca="false">SUM(J$6:J12)</f>
        <v>0</v>
      </c>
      <c r="N12" s="124" t="n">
        <f aca="false">SUM(J$6:J12)</f>
        <v>0</v>
      </c>
      <c r="P12" s="124" t="n">
        <f aca="false">D12/P$3</f>
        <v>0</v>
      </c>
      <c r="Q12" s="124" t="n">
        <f aca="false">E12/P$3</f>
        <v>0</v>
      </c>
      <c r="R12" s="124" t="n">
        <f aca="false">F12/R$3</f>
        <v>0</v>
      </c>
      <c r="S12" s="126" t="n">
        <f aca="false">J12/$R$3</f>
        <v>0</v>
      </c>
      <c r="T12" s="126" t="n">
        <f aca="false">L12/$R$3</f>
        <v>0</v>
      </c>
      <c r="U12" s="126" t="n">
        <f aca="false">I12/$R$3</f>
        <v>0</v>
      </c>
      <c r="V12" s="126" t="n">
        <f aca="false">M12/$R$3</f>
        <v>0</v>
      </c>
      <c r="W12" s="126" t="n">
        <f aca="false">N12/$R$3</f>
        <v>0</v>
      </c>
    </row>
    <row r="13" customFormat="false" ht="12.75" hidden="true" customHeight="false" outlineLevel="0" collapsed="false">
      <c r="A13" s="120" t="n">
        <f aca="false">A12+1</f>
        <v>36899</v>
      </c>
      <c r="B13" s="131" t="str">
        <f aca="false">INDEX('Master Data'!$A$2:$B$8,MATCH(WEEKDAY('Modesto Maranzana Power'!A13,3),'Master Data'!$A$2:$A$8,0),2)</f>
        <v>M</v>
      </c>
      <c r="D13" s="124" t="n">
        <v>0</v>
      </c>
      <c r="E13" s="124" t="n">
        <v>0</v>
      </c>
      <c r="F13" s="124" t="n">
        <v>0</v>
      </c>
      <c r="G13" s="124" t="n">
        <v>0</v>
      </c>
      <c r="I13" s="124" t="n">
        <f aca="false">IF(MONTH($A13)=MONTH($A12),IF(G13=0,I12,G13),0)</f>
        <v>0</v>
      </c>
      <c r="J13" s="124" t="n">
        <f aca="false">IF(MONTH($A13)=MONTH($A12),SUM(I13-I12),I13)</f>
        <v>0</v>
      </c>
      <c r="K13" s="124" t="n">
        <f aca="false">IF(WEEKDAY(A13,3)&gt;4,0,(IF(A13&lt;K$2,0,IF(A13&lt;=K$3,1,0))))</f>
        <v>0</v>
      </c>
      <c r="L13" s="124" t="n">
        <f aca="false">J13*K13</f>
        <v>0</v>
      </c>
      <c r="M13" s="124" t="n">
        <f aca="false">SUM(J$6:J13)</f>
        <v>0</v>
      </c>
      <c r="N13" s="124" t="n">
        <f aca="false">SUM(J$6:J13)</f>
        <v>0</v>
      </c>
      <c r="P13" s="124" t="n">
        <f aca="false">D13/P$3</f>
        <v>0</v>
      </c>
      <c r="Q13" s="124" t="n">
        <f aca="false">E13/P$3</f>
        <v>0</v>
      </c>
      <c r="R13" s="124" t="n">
        <f aca="false">F13/R$3</f>
        <v>0</v>
      </c>
      <c r="S13" s="126" t="n">
        <f aca="false">J13/$R$3</f>
        <v>0</v>
      </c>
      <c r="T13" s="126" t="n">
        <f aca="false">L13/$R$3</f>
        <v>0</v>
      </c>
      <c r="U13" s="126" t="n">
        <f aca="false">I13/$R$3</f>
        <v>0</v>
      </c>
      <c r="V13" s="126" t="n">
        <f aca="false">M13/$R$3</f>
        <v>0</v>
      </c>
      <c r="W13" s="126" t="n">
        <f aca="false">N13/$R$3</f>
        <v>0</v>
      </c>
    </row>
    <row r="14" customFormat="false" ht="12.75" hidden="true" customHeight="false" outlineLevel="0" collapsed="false">
      <c r="A14" s="120" t="n">
        <f aca="false">A13+1</f>
        <v>36900</v>
      </c>
      <c r="B14" s="131" t="str">
        <f aca="false">INDEX('Master Data'!$A$2:$B$8,MATCH(WEEKDAY('Modesto Maranzana Power'!A14,3),'Master Data'!$A$2:$A$8,0),2)</f>
        <v>T</v>
      </c>
      <c r="D14" s="124" t="n">
        <v>0</v>
      </c>
      <c r="E14" s="124" t="n">
        <v>0</v>
      </c>
      <c r="F14" s="124" t="n">
        <v>0</v>
      </c>
      <c r="G14" s="124" t="n">
        <v>0</v>
      </c>
      <c r="I14" s="124" t="n">
        <f aca="false">IF(MONTH($A14)=MONTH($A13),IF(G14=0,I13,G14),0)</f>
        <v>0</v>
      </c>
      <c r="J14" s="124" t="n">
        <f aca="false">IF(MONTH($A14)=MONTH($A13),SUM(I14-I13),I14)</f>
        <v>0</v>
      </c>
      <c r="K14" s="124" t="n">
        <f aca="false">IF(WEEKDAY(A14,3)&gt;4,0,(IF(A14&lt;K$2,0,IF(A14&lt;=K$3,1,0))))</f>
        <v>0</v>
      </c>
      <c r="L14" s="124" t="n">
        <f aca="false">J14*K14</f>
        <v>0</v>
      </c>
      <c r="M14" s="124" t="n">
        <f aca="false">SUM(J$6:J14)</f>
        <v>0</v>
      </c>
      <c r="N14" s="124" t="n">
        <f aca="false">SUM(J$6:J14)</f>
        <v>0</v>
      </c>
      <c r="P14" s="124" t="n">
        <f aca="false">D14/P$3</f>
        <v>0</v>
      </c>
      <c r="Q14" s="124" t="n">
        <f aca="false">E14/P$3</f>
        <v>0</v>
      </c>
      <c r="R14" s="124" t="n">
        <f aca="false">F14/R$3</f>
        <v>0</v>
      </c>
      <c r="S14" s="126" t="n">
        <f aca="false">J14/$R$3</f>
        <v>0</v>
      </c>
      <c r="T14" s="126" t="n">
        <f aca="false">L14/$R$3</f>
        <v>0</v>
      </c>
      <c r="U14" s="126" t="n">
        <f aca="false">I14/$R$3</f>
        <v>0</v>
      </c>
      <c r="V14" s="126" t="n">
        <f aca="false">M14/$R$3</f>
        <v>0</v>
      </c>
      <c r="W14" s="126" t="n">
        <f aca="false">N14/$R$3</f>
        <v>0</v>
      </c>
    </row>
    <row r="15" customFormat="false" ht="12.75" hidden="true" customHeight="false" outlineLevel="0" collapsed="false">
      <c r="A15" s="120" t="n">
        <f aca="false">A14+1</f>
        <v>36901</v>
      </c>
      <c r="B15" s="131" t="str">
        <f aca="false">INDEX('Master Data'!$A$2:$B$8,MATCH(WEEKDAY('Modesto Maranzana Power'!A15,3),'Master Data'!$A$2:$A$8,0),2)</f>
        <v>W</v>
      </c>
      <c r="D15" s="124" t="n">
        <v>0</v>
      </c>
      <c r="E15" s="124" t="n">
        <v>0</v>
      </c>
      <c r="F15" s="124" t="n">
        <v>0</v>
      </c>
      <c r="G15" s="124" t="n">
        <v>0</v>
      </c>
      <c r="I15" s="124" t="n">
        <f aca="false">IF(MONTH($A15)=MONTH($A14),IF(G15=0,I14,G15),0)</f>
        <v>0</v>
      </c>
      <c r="J15" s="124" t="n">
        <f aca="false">IF(MONTH($A15)=MONTH($A14),SUM(I15-I14),I15)</f>
        <v>0</v>
      </c>
      <c r="K15" s="124" t="n">
        <f aca="false">IF(WEEKDAY(A15,3)&gt;4,0,(IF(A15&lt;K$2,0,IF(A15&lt;=K$3,1,0))))</f>
        <v>0</v>
      </c>
      <c r="L15" s="124" t="n">
        <f aca="false">J15*K15</f>
        <v>0</v>
      </c>
      <c r="M15" s="124" t="n">
        <f aca="false">SUM(J$6:J15)</f>
        <v>0</v>
      </c>
      <c r="N15" s="124" t="n">
        <f aca="false">SUM(J$6:J15)</f>
        <v>0</v>
      </c>
      <c r="P15" s="124" t="n">
        <f aca="false">D15/P$3</f>
        <v>0</v>
      </c>
      <c r="Q15" s="124" t="n">
        <f aca="false">E15/P$3</f>
        <v>0</v>
      </c>
      <c r="R15" s="124" t="n">
        <f aca="false">F15/R$3</f>
        <v>0</v>
      </c>
      <c r="S15" s="126" t="n">
        <f aca="false">J15/$R$3</f>
        <v>0</v>
      </c>
      <c r="T15" s="126" t="n">
        <f aca="false">L15/$R$3</f>
        <v>0</v>
      </c>
      <c r="U15" s="126" t="n">
        <f aca="false">I15/$R$3</f>
        <v>0</v>
      </c>
      <c r="V15" s="126" t="n">
        <f aca="false">M15/$R$3</f>
        <v>0</v>
      </c>
      <c r="W15" s="126" t="n">
        <f aca="false">N15/$R$3</f>
        <v>0</v>
      </c>
    </row>
    <row r="16" customFormat="false" ht="12.75" hidden="true" customHeight="false" outlineLevel="0" collapsed="false">
      <c r="A16" s="120" t="n">
        <f aca="false">A15+1</f>
        <v>36902</v>
      </c>
      <c r="B16" s="131" t="str">
        <f aca="false">INDEX('Master Data'!$A$2:$B$8,MATCH(WEEKDAY('Modesto Maranzana Power'!A16,3),'Master Data'!$A$2:$A$8,0),2)</f>
        <v>Th</v>
      </c>
      <c r="D16" s="124" t="n">
        <v>0</v>
      </c>
      <c r="E16" s="124" t="n">
        <v>0</v>
      </c>
      <c r="F16" s="124" t="n">
        <v>0</v>
      </c>
      <c r="G16" s="124" t="n">
        <v>0</v>
      </c>
      <c r="I16" s="124" t="n">
        <f aca="false">IF(MONTH($A16)=MONTH($A15),IF(G16=0,I15,G16),0)</f>
        <v>0</v>
      </c>
      <c r="J16" s="124" t="n">
        <f aca="false">IF(MONTH($A16)=MONTH($A15),SUM(I16-I15),I16)</f>
        <v>0</v>
      </c>
      <c r="K16" s="124" t="n">
        <f aca="false">IF(WEEKDAY(A16,3)&gt;4,0,(IF(A16&lt;K$2,0,IF(A16&lt;=K$3,1,0))))</f>
        <v>0</v>
      </c>
      <c r="L16" s="124" t="n">
        <f aca="false">J16*K16</f>
        <v>0</v>
      </c>
      <c r="M16" s="124" t="n">
        <f aca="false">SUM(J$6:J16)</f>
        <v>0</v>
      </c>
      <c r="N16" s="124" t="n">
        <f aca="false">SUM(J$6:J16)</f>
        <v>0</v>
      </c>
      <c r="P16" s="124" t="n">
        <f aca="false">D16/P$3</f>
        <v>0</v>
      </c>
      <c r="Q16" s="124" t="n">
        <f aca="false">E16/P$3</f>
        <v>0</v>
      </c>
      <c r="R16" s="124" t="n">
        <f aca="false">F16/R$3</f>
        <v>0</v>
      </c>
      <c r="S16" s="126" t="n">
        <f aca="false">J16/$R$3</f>
        <v>0</v>
      </c>
      <c r="T16" s="126" t="n">
        <f aca="false">L16/$R$3</f>
        <v>0</v>
      </c>
      <c r="U16" s="126" t="n">
        <f aca="false">I16/$R$3</f>
        <v>0</v>
      </c>
      <c r="V16" s="126" t="n">
        <f aca="false">M16/$R$3</f>
        <v>0</v>
      </c>
      <c r="W16" s="126" t="n">
        <f aca="false">N16/$R$3</f>
        <v>0</v>
      </c>
    </row>
    <row r="17" customFormat="false" ht="12.75" hidden="true" customHeight="false" outlineLevel="0" collapsed="false">
      <c r="A17" s="120" t="n">
        <f aca="false">A16+1</f>
        <v>36903</v>
      </c>
      <c r="B17" s="131" t="str">
        <f aca="false">INDEX('Master Data'!$A$2:$B$8,MATCH(WEEKDAY('Modesto Maranzana Power'!A17,3),'Master Data'!$A$2:$A$8,0),2)</f>
        <v>F</v>
      </c>
      <c r="D17" s="124" t="n">
        <v>0</v>
      </c>
      <c r="E17" s="124" t="n">
        <v>0</v>
      </c>
      <c r="F17" s="124" t="n">
        <v>0</v>
      </c>
      <c r="G17" s="124" t="n">
        <v>0</v>
      </c>
      <c r="I17" s="124" t="n">
        <f aca="false">IF(MONTH($A17)=MONTH($A16),IF(G17=0,I16,G17),0)</f>
        <v>0</v>
      </c>
      <c r="J17" s="124" t="n">
        <f aca="false">IF(MONTH($A17)=MONTH($A16),SUM(I17-I16),I17)</f>
        <v>0</v>
      </c>
      <c r="K17" s="124" t="n">
        <f aca="false">IF(WEEKDAY(A17,3)&gt;4,0,(IF(A17&lt;K$2,0,IF(A17&lt;=K$3,1,0))))</f>
        <v>0</v>
      </c>
      <c r="L17" s="124" t="n">
        <f aca="false">J17*K17</f>
        <v>0</v>
      </c>
      <c r="M17" s="124" t="n">
        <f aca="false">SUM(J$6:J17)</f>
        <v>0</v>
      </c>
      <c r="N17" s="124" t="n">
        <f aca="false">SUM(J$6:J17)</f>
        <v>0</v>
      </c>
      <c r="P17" s="124" t="n">
        <f aca="false">D17/P$3</f>
        <v>0</v>
      </c>
      <c r="Q17" s="124" t="n">
        <f aca="false">E17/P$3</f>
        <v>0</v>
      </c>
      <c r="R17" s="124" t="n">
        <f aca="false">F17/R$3</f>
        <v>0</v>
      </c>
      <c r="S17" s="126" t="n">
        <f aca="false">J17/$R$3</f>
        <v>0</v>
      </c>
      <c r="T17" s="126" t="n">
        <f aca="false">L17/$R$3</f>
        <v>0</v>
      </c>
      <c r="U17" s="126" t="n">
        <f aca="false">I17/$R$3</f>
        <v>0</v>
      </c>
      <c r="V17" s="126" t="n">
        <f aca="false">M17/$R$3</f>
        <v>0</v>
      </c>
      <c r="W17" s="126" t="n">
        <f aca="false">N17/$R$3</f>
        <v>0</v>
      </c>
    </row>
    <row r="18" customFormat="false" ht="12.75" hidden="true" customHeight="false" outlineLevel="0" collapsed="false">
      <c r="A18" s="120" t="n">
        <f aca="false">A17+1</f>
        <v>36904</v>
      </c>
      <c r="B18" s="131" t="str">
        <f aca="false">INDEX('Master Data'!$A$2:$B$8,MATCH(WEEKDAY('Modesto Maranzana Power'!A18,3),'Master Data'!$A$2:$A$8,0),2)</f>
        <v>Sa</v>
      </c>
      <c r="D18" s="124" t="n">
        <v>0</v>
      </c>
      <c r="E18" s="124" t="n">
        <v>0</v>
      </c>
      <c r="F18" s="124" t="n">
        <v>0</v>
      </c>
      <c r="G18" s="124" t="n">
        <v>0</v>
      </c>
      <c r="I18" s="124" t="n">
        <f aca="false">IF(MONTH($A18)=MONTH($A17),IF(G18=0,I17,G18),0)</f>
        <v>0</v>
      </c>
      <c r="J18" s="124" t="n">
        <f aca="false">IF(MONTH($A18)=MONTH($A17),SUM(I18-I17),I18)</f>
        <v>0</v>
      </c>
      <c r="K18" s="124" t="n">
        <f aca="false">IF(WEEKDAY(A18,3)&gt;4,0,(IF(A18&lt;K$2,0,IF(A18&lt;=K$3,1,0))))</f>
        <v>0</v>
      </c>
      <c r="L18" s="124" t="n">
        <f aca="false">J18*K18</f>
        <v>0</v>
      </c>
      <c r="M18" s="124" t="n">
        <f aca="false">SUM(J$6:J18)</f>
        <v>0</v>
      </c>
      <c r="N18" s="124" t="n">
        <f aca="false">SUM(J$6:J18)</f>
        <v>0</v>
      </c>
      <c r="P18" s="124" t="n">
        <f aca="false">D18/P$3</f>
        <v>0</v>
      </c>
      <c r="Q18" s="124" t="n">
        <f aca="false">E18/P$3</f>
        <v>0</v>
      </c>
      <c r="R18" s="124" t="n">
        <f aca="false">F18/R$3</f>
        <v>0</v>
      </c>
      <c r="S18" s="126" t="n">
        <f aca="false">J18/$R$3</f>
        <v>0</v>
      </c>
      <c r="T18" s="126" t="n">
        <f aca="false">L18/$R$3</f>
        <v>0</v>
      </c>
      <c r="U18" s="126" t="n">
        <f aca="false">I18/$R$3</f>
        <v>0</v>
      </c>
      <c r="V18" s="126" t="n">
        <f aca="false">M18/$R$3</f>
        <v>0</v>
      </c>
      <c r="W18" s="126" t="n">
        <f aca="false">N18/$R$3</f>
        <v>0</v>
      </c>
    </row>
    <row r="19" customFormat="false" ht="12.75" hidden="true" customHeight="false" outlineLevel="0" collapsed="false">
      <c r="A19" s="120" t="n">
        <f aca="false">A18+1</f>
        <v>36905</v>
      </c>
      <c r="B19" s="131" t="str">
        <f aca="false">INDEX('Master Data'!$A$2:$B$8,MATCH(WEEKDAY('Modesto Maranzana Power'!A19,3),'Master Data'!$A$2:$A$8,0),2)</f>
        <v>Su</v>
      </c>
      <c r="D19" s="124" t="n">
        <v>0</v>
      </c>
      <c r="E19" s="124" t="n">
        <v>0</v>
      </c>
      <c r="F19" s="124" t="n">
        <v>0</v>
      </c>
      <c r="G19" s="124" t="n">
        <v>0</v>
      </c>
      <c r="I19" s="124" t="n">
        <f aca="false">IF(MONTH($A19)=MONTH($A18),IF(G19=0,I18,G19),0)</f>
        <v>0</v>
      </c>
      <c r="J19" s="124" t="n">
        <f aca="false">IF(MONTH($A19)=MONTH($A18),SUM(I19-I18),I19)</f>
        <v>0</v>
      </c>
      <c r="K19" s="124" t="n">
        <f aca="false">IF(WEEKDAY(A19,3)&gt;4,0,(IF(A19&lt;K$2,0,IF(A19&lt;=K$3,1,0))))</f>
        <v>0</v>
      </c>
      <c r="L19" s="124" t="n">
        <f aca="false">J19*K19</f>
        <v>0</v>
      </c>
      <c r="M19" s="124" t="n">
        <f aca="false">SUM(J$6:J19)</f>
        <v>0</v>
      </c>
      <c r="N19" s="124" t="n">
        <f aca="false">SUM(J$6:J19)</f>
        <v>0</v>
      </c>
      <c r="P19" s="124" t="n">
        <f aca="false">D19/P$3</f>
        <v>0</v>
      </c>
      <c r="Q19" s="124" t="n">
        <f aca="false">E19/P$3</f>
        <v>0</v>
      </c>
      <c r="R19" s="124" t="n">
        <f aca="false">F19/R$3</f>
        <v>0</v>
      </c>
      <c r="S19" s="126" t="n">
        <f aca="false">J19/$R$3</f>
        <v>0</v>
      </c>
      <c r="T19" s="126" t="n">
        <f aca="false">L19/$R$3</f>
        <v>0</v>
      </c>
      <c r="U19" s="126" t="n">
        <f aca="false">I19/$R$3</f>
        <v>0</v>
      </c>
      <c r="V19" s="126" t="n">
        <f aca="false">M19/$R$3</f>
        <v>0</v>
      </c>
      <c r="W19" s="126" t="n">
        <f aca="false">N19/$R$3</f>
        <v>0</v>
      </c>
    </row>
    <row r="20" customFormat="false" ht="12.75" hidden="true" customHeight="false" outlineLevel="0" collapsed="false">
      <c r="A20" s="120" t="n">
        <f aca="false">A19+1</f>
        <v>36906</v>
      </c>
      <c r="B20" s="131" t="str">
        <f aca="false">INDEX('Master Data'!$A$2:$B$8,MATCH(WEEKDAY('Modesto Maranzana Power'!A20,3),'Master Data'!$A$2:$A$8,0),2)</f>
        <v>M</v>
      </c>
      <c r="D20" s="124" t="n">
        <v>0</v>
      </c>
      <c r="E20" s="124" t="n">
        <v>0</v>
      </c>
      <c r="F20" s="124" t="n">
        <v>0</v>
      </c>
      <c r="G20" s="124" t="n">
        <v>0</v>
      </c>
      <c r="I20" s="124" t="n">
        <f aca="false">IF(MONTH($A20)=MONTH($A19),IF(G20=0,I19,G20),0)</f>
        <v>0</v>
      </c>
      <c r="J20" s="124" t="n">
        <f aca="false">IF(MONTH($A20)=MONTH($A19),SUM(I20-I19),I20)</f>
        <v>0</v>
      </c>
      <c r="K20" s="124" t="n">
        <f aca="false">IF(WEEKDAY(A20,3)&gt;4,0,(IF(A20&lt;K$2,0,IF(A20&lt;=K$3,1,0))))</f>
        <v>0</v>
      </c>
      <c r="L20" s="124" t="n">
        <f aca="false">J20*K20</f>
        <v>0</v>
      </c>
      <c r="M20" s="124" t="n">
        <f aca="false">SUM(J$6:J20)</f>
        <v>0</v>
      </c>
      <c r="N20" s="124" t="n">
        <f aca="false">SUM(J$6:J20)</f>
        <v>0</v>
      </c>
      <c r="P20" s="124" t="n">
        <f aca="false">D20/P$3</f>
        <v>0</v>
      </c>
      <c r="Q20" s="124" t="n">
        <f aca="false">E20/P$3</f>
        <v>0</v>
      </c>
      <c r="R20" s="124" t="n">
        <f aca="false">F20/R$3</f>
        <v>0</v>
      </c>
      <c r="S20" s="126" t="n">
        <f aca="false">J20/$R$3</f>
        <v>0</v>
      </c>
      <c r="T20" s="126" t="n">
        <f aca="false">L20/$R$3</f>
        <v>0</v>
      </c>
      <c r="U20" s="126" t="n">
        <f aca="false">I20/$R$3</f>
        <v>0</v>
      </c>
      <c r="V20" s="126" t="n">
        <f aca="false">M20/$R$3</f>
        <v>0</v>
      </c>
      <c r="W20" s="126" t="n">
        <f aca="false">N20/$R$3</f>
        <v>0</v>
      </c>
    </row>
    <row r="21" customFormat="false" ht="12.75" hidden="true" customHeight="false" outlineLevel="0" collapsed="false">
      <c r="A21" s="120" t="n">
        <f aca="false">A20+1</f>
        <v>36907</v>
      </c>
      <c r="B21" s="131" t="str">
        <f aca="false">INDEX('Master Data'!$A$2:$B$8,MATCH(WEEKDAY('Modesto Maranzana Power'!A21,3),'Master Data'!$A$2:$A$8,0),2)</f>
        <v>T</v>
      </c>
      <c r="D21" s="124" t="n">
        <v>0</v>
      </c>
      <c r="E21" s="124" t="n">
        <v>0</v>
      </c>
      <c r="F21" s="124" t="n">
        <v>0</v>
      </c>
      <c r="G21" s="124" t="n">
        <v>0</v>
      </c>
      <c r="I21" s="124" t="n">
        <f aca="false">IF(MONTH($A21)=MONTH($A20),IF(G21=0,I20,G21),0)</f>
        <v>0</v>
      </c>
      <c r="J21" s="124" t="n">
        <f aca="false">IF(MONTH($A21)=MONTH($A20),SUM(I21-I20),I21)</f>
        <v>0</v>
      </c>
      <c r="K21" s="124" t="n">
        <f aca="false">IF(WEEKDAY(A21,3)&gt;4,0,(IF(A21&lt;K$2,0,IF(A21&lt;=K$3,1,0))))</f>
        <v>0</v>
      </c>
      <c r="L21" s="124" t="n">
        <f aca="false">J21*K21</f>
        <v>0</v>
      </c>
      <c r="M21" s="124" t="n">
        <f aca="false">SUM(J$6:J21)</f>
        <v>0</v>
      </c>
      <c r="N21" s="124" t="n">
        <f aca="false">SUM(J$6:J21)</f>
        <v>0</v>
      </c>
      <c r="P21" s="124" t="n">
        <f aca="false">D21/P$3</f>
        <v>0</v>
      </c>
      <c r="Q21" s="124" t="n">
        <f aca="false">E21/P$3</f>
        <v>0</v>
      </c>
      <c r="R21" s="124" t="n">
        <f aca="false">F21/R$3</f>
        <v>0</v>
      </c>
      <c r="S21" s="126" t="n">
        <f aca="false">J21/$R$3</f>
        <v>0</v>
      </c>
      <c r="T21" s="126" t="n">
        <f aca="false">L21/$R$3</f>
        <v>0</v>
      </c>
      <c r="U21" s="126" t="n">
        <f aca="false">I21/$R$3</f>
        <v>0</v>
      </c>
      <c r="V21" s="126" t="n">
        <f aca="false">M21/$R$3</f>
        <v>0</v>
      </c>
      <c r="W21" s="126" t="n">
        <f aca="false">N21/$R$3</f>
        <v>0</v>
      </c>
    </row>
    <row r="22" customFormat="false" ht="12.75" hidden="true" customHeight="false" outlineLevel="0" collapsed="false">
      <c r="A22" s="120" t="n">
        <f aca="false">A21+1</f>
        <v>36908</v>
      </c>
      <c r="B22" s="131" t="str">
        <f aca="false">INDEX('Master Data'!$A$2:$B$8,MATCH(WEEKDAY('Modesto Maranzana Power'!A22,3),'Master Data'!$A$2:$A$8,0),2)</f>
        <v>W</v>
      </c>
      <c r="D22" s="124" t="n">
        <v>0</v>
      </c>
      <c r="E22" s="124" t="n">
        <v>0</v>
      </c>
      <c r="F22" s="124" t="n">
        <v>0</v>
      </c>
      <c r="G22" s="124" t="n">
        <v>0</v>
      </c>
      <c r="I22" s="124" t="n">
        <f aca="false">IF(MONTH($A22)=MONTH($A21),IF(G22=0,I21,G22),0)</f>
        <v>0</v>
      </c>
      <c r="J22" s="124" t="n">
        <f aca="false">IF(MONTH($A22)=MONTH($A21),SUM(I22-I21),I22)</f>
        <v>0</v>
      </c>
      <c r="K22" s="124" t="n">
        <f aca="false">IF(WEEKDAY(A22,3)&gt;4,0,(IF(A22&lt;K$2,0,IF(A22&lt;=K$3,1,0))))</f>
        <v>0</v>
      </c>
      <c r="L22" s="124" t="n">
        <f aca="false">J22*K22</f>
        <v>0</v>
      </c>
      <c r="M22" s="124" t="n">
        <f aca="false">SUM(J$6:J22)</f>
        <v>0</v>
      </c>
      <c r="N22" s="124" t="n">
        <f aca="false">SUM(J$6:J22)</f>
        <v>0</v>
      </c>
      <c r="P22" s="124" t="n">
        <f aca="false">D22/P$3</f>
        <v>0</v>
      </c>
      <c r="Q22" s="124" t="n">
        <f aca="false">E22/P$3</f>
        <v>0</v>
      </c>
      <c r="R22" s="124" t="n">
        <f aca="false">F22/R$3</f>
        <v>0</v>
      </c>
      <c r="S22" s="126" t="n">
        <f aca="false">J22/$R$3</f>
        <v>0</v>
      </c>
      <c r="T22" s="126" t="n">
        <f aca="false">L22/$R$3</f>
        <v>0</v>
      </c>
      <c r="U22" s="126" t="n">
        <f aca="false">I22/$R$3</f>
        <v>0</v>
      </c>
      <c r="V22" s="126" t="n">
        <f aca="false">M22/$R$3</f>
        <v>0</v>
      </c>
      <c r="W22" s="126" t="n">
        <f aca="false">N22/$R$3</f>
        <v>0</v>
      </c>
    </row>
    <row r="23" customFormat="false" ht="12.75" hidden="true" customHeight="false" outlineLevel="0" collapsed="false">
      <c r="A23" s="120" t="n">
        <f aca="false">A22+1</f>
        <v>36909</v>
      </c>
      <c r="B23" s="131" t="str">
        <f aca="false">INDEX('Master Data'!$A$2:$B$8,MATCH(WEEKDAY('Modesto Maranzana Power'!A23,3),'Master Data'!$A$2:$A$8,0),2)</f>
        <v>Th</v>
      </c>
      <c r="D23" s="124" t="n">
        <v>0</v>
      </c>
      <c r="E23" s="124" t="n">
        <v>0</v>
      </c>
      <c r="F23" s="124" t="n">
        <v>0</v>
      </c>
      <c r="G23" s="124" t="n">
        <v>0</v>
      </c>
      <c r="I23" s="124" t="n">
        <f aca="false">IF(MONTH($A23)=MONTH($A22),IF(G23=0,I22,G23),0)</f>
        <v>0</v>
      </c>
      <c r="J23" s="124" t="n">
        <f aca="false">IF(MONTH($A23)=MONTH($A22),SUM(I23-I22),I23)</f>
        <v>0</v>
      </c>
      <c r="K23" s="124" t="n">
        <f aca="false">IF(WEEKDAY(A23,3)&gt;4,0,(IF(A23&lt;K$2,0,IF(A23&lt;=K$3,1,0))))</f>
        <v>0</v>
      </c>
      <c r="L23" s="124" t="n">
        <f aca="false">J23*K23</f>
        <v>0</v>
      </c>
      <c r="M23" s="124" t="n">
        <f aca="false">SUM(J$6:J23)</f>
        <v>0</v>
      </c>
      <c r="N23" s="124" t="n">
        <f aca="false">SUM(J$6:J23)</f>
        <v>0</v>
      </c>
      <c r="P23" s="124" t="n">
        <f aca="false">D23/P$3</f>
        <v>0</v>
      </c>
      <c r="Q23" s="124" t="n">
        <f aca="false">E23/P$3</f>
        <v>0</v>
      </c>
      <c r="R23" s="124" t="n">
        <f aca="false">F23/R$3</f>
        <v>0</v>
      </c>
      <c r="S23" s="126" t="n">
        <f aca="false">J23/$R$3</f>
        <v>0</v>
      </c>
      <c r="T23" s="126" t="n">
        <f aca="false">L23/$R$3</f>
        <v>0</v>
      </c>
      <c r="U23" s="126" t="n">
        <f aca="false">I23/$R$3</f>
        <v>0</v>
      </c>
      <c r="V23" s="126" t="n">
        <f aca="false">M23/$R$3</f>
        <v>0</v>
      </c>
      <c r="W23" s="126" t="n">
        <f aca="false">N23/$R$3</f>
        <v>0</v>
      </c>
    </row>
    <row r="24" customFormat="false" ht="12.75" hidden="true" customHeight="false" outlineLevel="0" collapsed="false">
      <c r="A24" s="120" t="n">
        <f aca="false">A23+1</f>
        <v>36910</v>
      </c>
      <c r="B24" s="131" t="str">
        <f aca="false">INDEX('Master Data'!$A$2:$B$8,MATCH(WEEKDAY('Modesto Maranzana Power'!A24,3),'Master Data'!$A$2:$A$8,0),2)</f>
        <v>F</v>
      </c>
      <c r="D24" s="124" t="n">
        <v>0</v>
      </c>
      <c r="E24" s="124" t="n">
        <v>0</v>
      </c>
      <c r="F24" s="124" t="n">
        <v>0</v>
      </c>
      <c r="G24" s="124" t="n">
        <v>0</v>
      </c>
      <c r="I24" s="124" t="n">
        <f aca="false">IF(MONTH($A24)=MONTH($A23),IF(G24=0,I23,G24),0)</f>
        <v>0</v>
      </c>
      <c r="J24" s="124" t="n">
        <f aca="false">IF(MONTH($A24)=MONTH($A23),SUM(I24-I23),I24)</f>
        <v>0</v>
      </c>
      <c r="K24" s="124" t="n">
        <f aca="false">IF(WEEKDAY(A24,3)&gt;4,0,(IF(A24&lt;K$2,0,IF(A24&lt;=K$3,1,0))))</f>
        <v>0</v>
      </c>
      <c r="L24" s="124" t="n">
        <f aca="false">J24*K24</f>
        <v>0</v>
      </c>
      <c r="M24" s="124" t="n">
        <f aca="false">SUM(J$6:J24)</f>
        <v>0</v>
      </c>
      <c r="N24" s="124" t="n">
        <f aca="false">SUM(J$6:J24)</f>
        <v>0</v>
      </c>
      <c r="P24" s="124" t="n">
        <f aca="false">D24/P$3</f>
        <v>0</v>
      </c>
      <c r="Q24" s="124" t="n">
        <f aca="false">E24/P$3</f>
        <v>0</v>
      </c>
      <c r="R24" s="124" t="n">
        <f aca="false">F24/R$3</f>
        <v>0</v>
      </c>
      <c r="S24" s="126" t="n">
        <f aca="false">J24/$R$3</f>
        <v>0</v>
      </c>
      <c r="T24" s="126" t="n">
        <f aca="false">L24/$R$3</f>
        <v>0</v>
      </c>
      <c r="U24" s="126" t="n">
        <f aca="false">I24/$R$3</f>
        <v>0</v>
      </c>
      <c r="V24" s="126" t="n">
        <f aca="false">M24/$R$3</f>
        <v>0</v>
      </c>
      <c r="W24" s="126" t="n">
        <f aca="false">N24/$R$3</f>
        <v>0</v>
      </c>
    </row>
    <row r="25" customFormat="false" ht="12.75" hidden="true" customHeight="false" outlineLevel="0" collapsed="false">
      <c r="A25" s="120" t="n">
        <f aca="false">A24+1</f>
        <v>36911</v>
      </c>
      <c r="B25" s="131" t="str">
        <f aca="false">INDEX('Master Data'!$A$2:$B$8,MATCH(WEEKDAY('Modesto Maranzana Power'!A25,3),'Master Data'!$A$2:$A$8,0),2)</f>
        <v>Sa</v>
      </c>
      <c r="D25" s="124" t="n">
        <v>0</v>
      </c>
      <c r="E25" s="124" t="n">
        <v>0</v>
      </c>
      <c r="F25" s="124" t="n">
        <v>0</v>
      </c>
      <c r="G25" s="124" t="n">
        <v>0</v>
      </c>
      <c r="I25" s="124" t="n">
        <f aca="false">IF(MONTH($A25)=MONTH($A24),IF(G25=0,I24,G25),0)</f>
        <v>0</v>
      </c>
      <c r="J25" s="124" t="n">
        <f aca="false">IF(MONTH($A25)=MONTH($A24),SUM(I25-I24),I25)</f>
        <v>0</v>
      </c>
      <c r="K25" s="124" t="n">
        <f aca="false">IF(WEEKDAY(A25,3)&gt;4,0,(IF(A25&lt;K$2,0,IF(A25&lt;=K$3,1,0))))</f>
        <v>0</v>
      </c>
      <c r="L25" s="124" t="n">
        <f aca="false">J25*K25</f>
        <v>0</v>
      </c>
      <c r="M25" s="124" t="n">
        <f aca="false">SUM(J$6:J25)</f>
        <v>0</v>
      </c>
      <c r="N25" s="124" t="n">
        <f aca="false">SUM(J$6:J25)</f>
        <v>0</v>
      </c>
      <c r="P25" s="124" t="n">
        <f aca="false">D25/P$3</f>
        <v>0</v>
      </c>
      <c r="Q25" s="124" t="n">
        <f aca="false">E25/P$3</f>
        <v>0</v>
      </c>
      <c r="R25" s="124" t="n">
        <f aca="false">F25/R$3</f>
        <v>0</v>
      </c>
      <c r="S25" s="126" t="n">
        <f aca="false">J25/$R$3</f>
        <v>0</v>
      </c>
      <c r="T25" s="126" t="n">
        <f aca="false">L25/$R$3</f>
        <v>0</v>
      </c>
      <c r="U25" s="126" t="n">
        <f aca="false">I25/$R$3</f>
        <v>0</v>
      </c>
      <c r="V25" s="126" t="n">
        <f aca="false">M25/$R$3</f>
        <v>0</v>
      </c>
      <c r="W25" s="126" t="n">
        <f aca="false">N25/$R$3</f>
        <v>0</v>
      </c>
    </row>
    <row r="26" customFormat="false" ht="12.75" hidden="true" customHeight="false" outlineLevel="0" collapsed="false">
      <c r="A26" s="120" t="n">
        <f aca="false">A25+1</f>
        <v>36912</v>
      </c>
      <c r="B26" s="131" t="str">
        <f aca="false">INDEX('Master Data'!$A$2:$B$8,MATCH(WEEKDAY('Modesto Maranzana Power'!A26,3),'Master Data'!$A$2:$A$8,0),2)</f>
        <v>Su</v>
      </c>
      <c r="D26" s="124" t="n">
        <v>0</v>
      </c>
      <c r="E26" s="124" t="n">
        <v>0</v>
      </c>
      <c r="F26" s="124" t="n">
        <v>0</v>
      </c>
      <c r="G26" s="124" t="n">
        <v>0</v>
      </c>
      <c r="I26" s="124" t="n">
        <f aca="false">IF(MONTH($A26)=MONTH($A25),IF(G26=0,I25,G26),0)</f>
        <v>0</v>
      </c>
      <c r="J26" s="124" t="n">
        <f aca="false">IF(MONTH($A26)=MONTH($A25),SUM(I26-I25),I26)</f>
        <v>0</v>
      </c>
      <c r="K26" s="124" t="n">
        <f aca="false">IF(WEEKDAY(A26,3)&gt;4,0,(IF(A26&lt;K$2,0,IF(A26&lt;=K$3,1,0))))</f>
        <v>0</v>
      </c>
      <c r="L26" s="124" t="n">
        <f aca="false">J26*K26</f>
        <v>0</v>
      </c>
      <c r="M26" s="124" t="n">
        <f aca="false">SUM(J$6:J26)</f>
        <v>0</v>
      </c>
      <c r="N26" s="124" t="n">
        <f aca="false">SUM(J$6:J26)</f>
        <v>0</v>
      </c>
      <c r="P26" s="124" t="n">
        <f aca="false">D26/P$3</f>
        <v>0</v>
      </c>
      <c r="Q26" s="124" t="n">
        <f aca="false">E26/P$3</f>
        <v>0</v>
      </c>
      <c r="R26" s="124" t="n">
        <f aca="false">F26/R$3</f>
        <v>0</v>
      </c>
      <c r="S26" s="126" t="n">
        <f aca="false">J26/$R$3</f>
        <v>0</v>
      </c>
      <c r="T26" s="126" t="n">
        <f aca="false">L26/$R$3</f>
        <v>0</v>
      </c>
      <c r="U26" s="126" t="n">
        <f aca="false">I26/$R$3</f>
        <v>0</v>
      </c>
      <c r="V26" s="126" t="n">
        <f aca="false">M26/$R$3</f>
        <v>0</v>
      </c>
      <c r="W26" s="126" t="n">
        <f aca="false">N26/$R$3</f>
        <v>0</v>
      </c>
    </row>
    <row r="27" customFormat="false" ht="12.75" hidden="true" customHeight="false" outlineLevel="0" collapsed="false">
      <c r="A27" s="120" t="n">
        <f aca="false">A26+1</f>
        <v>36913</v>
      </c>
      <c r="B27" s="131" t="str">
        <f aca="false">INDEX('Master Data'!$A$2:$B$8,MATCH(WEEKDAY('Modesto Maranzana Power'!A27,3),'Master Data'!$A$2:$A$8,0),2)</f>
        <v>M</v>
      </c>
      <c r="D27" s="124" t="n">
        <v>0</v>
      </c>
      <c r="E27" s="124" t="n">
        <v>0</v>
      </c>
      <c r="F27" s="124" t="n">
        <v>0</v>
      </c>
      <c r="G27" s="124" t="n">
        <v>0</v>
      </c>
      <c r="I27" s="124" t="n">
        <f aca="false">IF(MONTH($A27)=MONTH($A26),IF(G27=0,I26,G27),0)</f>
        <v>0</v>
      </c>
      <c r="J27" s="124" t="n">
        <f aca="false">IF(MONTH($A27)=MONTH($A26),SUM(I27-I26),I27)</f>
        <v>0</v>
      </c>
      <c r="K27" s="124" t="n">
        <f aca="false">IF(WEEKDAY(A27,3)&gt;4,0,(IF(A27&lt;K$2,0,IF(A27&lt;=K$3,1,0))))</f>
        <v>0</v>
      </c>
      <c r="L27" s="124" t="n">
        <f aca="false">J27*K27</f>
        <v>0</v>
      </c>
      <c r="M27" s="124" t="n">
        <f aca="false">SUM(J$6:J27)</f>
        <v>0</v>
      </c>
      <c r="N27" s="124" t="n">
        <f aca="false">SUM(J$6:J27)</f>
        <v>0</v>
      </c>
      <c r="P27" s="124" t="n">
        <f aca="false">D27/P$3</f>
        <v>0</v>
      </c>
      <c r="Q27" s="124" t="n">
        <f aca="false">E27/P$3</f>
        <v>0</v>
      </c>
      <c r="R27" s="124" t="n">
        <f aca="false">F27/R$3</f>
        <v>0</v>
      </c>
      <c r="S27" s="126" t="n">
        <f aca="false">J27/$R$3</f>
        <v>0</v>
      </c>
      <c r="T27" s="126" t="n">
        <f aca="false">L27/$R$3</f>
        <v>0</v>
      </c>
      <c r="U27" s="126" t="n">
        <f aca="false">I27/$R$3</f>
        <v>0</v>
      </c>
      <c r="V27" s="126" t="n">
        <f aca="false">M27/$R$3</f>
        <v>0</v>
      </c>
      <c r="W27" s="126" t="n">
        <f aca="false">N27/$R$3</f>
        <v>0</v>
      </c>
    </row>
    <row r="28" customFormat="false" ht="12.75" hidden="true" customHeight="false" outlineLevel="0" collapsed="false">
      <c r="A28" s="120" t="n">
        <f aca="false">A27+1</f>
        <v>36914</v>
      </c>
      <c r="B28" s="131" t="str">
        <f aca="false">INDEX('Master Data'!$A$2:$B$8,MATCH(WEEKDAY('Modesto Maranzana Power'!A28,3),'Master Data'!$A$2:$A$8,0),2)</f>
        <v>T</v>
      </c>
      <c r="D28" s="124" t="n">
        <v>0</v>
      </c>
      <c r="E28" s="124" t="n">
        <v>0</v>
      </c>
      <c r="F28" s="124" t="n">
        <v>0</v>
      </c>
      <c r="G28" s="124" t="n">
        <v>0</v>
      </c>
      <c r="I28" s="124" t="n">
        <f aca="false">IF(MONTH($A28)=MONTH($A27),IF(G28=0,I27,G28),0)</f>
        <v>0</v>
      </c>
      <c r="J28" s="124" t="n">
        <f aca="false">IF(MONTH($A28)=MONTH($A27),SUM(I28-I27),I28)</f>
        <v>0</v>
      </c>
      <c r="K28" s="124" t="n">
        <f aca="false">IF(WEEKDAY(A28,3)&gt;4,0,(IF(A28&lt;K$2,0,IF(A28&lt;=K$3,1,0))))</f>
        <v>0</v>
      </c>
      <c r="L28" s="124" t="n">
        <f aca="false">J28*K28</f>
        <v>0</v>
      </c>
      <c r="M28" s="124" t="n">
        <f aca="false">SUM(J$6:J28)</f>
        <v>0</v>
      </c>
      <c r="N28" s="124" t="n">
        <f aca="false">SUM(J$6:J28)</f>
        <v>0</v>
      </c>
      <c r="P28" s="124" t="n">
        <f aca="false">D28/P$3</f>
        <v>0</v>
      </c>
      <c r="Q28" s="124" t="n">
        <f aca="false">E28/P$3</f>
        <v>0</v>
      </c>
      <c r="R28" s="124" t="n">
        <f aca="false">F28/R$3</f>
        <v>0</v>
      </c>
      <c r="S28" s="126" t="n">
        <f aca="false">J28/$R$3</f>
        <v>0</v>
      </c>
      <c r="T28" s="126" t="n">
        <f aca="false">L28/$R$3</f>
        <v>0</v>
      </c>
      <c r="U28" s="126" t="n">
        <f aca="false">I28/$R$3</f>
        <v>0</v>
      </c>
      <c r="V28" s="126" t="n">
        <f aca="false">M28/$R$3</f>
        <v>0</v>
      </c>
      <c r="W28" s="126" t="n">
        <f aca="false">N28/$R$3</f>
        <v>0</v>
      </c>
    </row>
    <row r="29" customFormat="false" ht="12.75" hidden="true" customHeight="false" outlineLevel="0" collapsed="false">
      <c r="A29" s="120" t="n">
        <f aca="false">A28+1</f>
        <v>36915</v>
      </c>
      <c r="B29" s="131" t="str">
        <f aca="false">INDEX('Master Data'!$A$2:$B$8,MATCH(WEEKDAY('Modesto Maranzana Power'!A29,3),'Master Data'!$A$2:$A$8,0),2)</f>
        <v>W</v>
      </c>
      <c r="D29" s="124" t="n">
        <v>0</v>
      </c>
      <c r="E29" s="124" t="n">
        <v>0</v>
      </c>
      <c r="F29" s="124" t="n">
        <v>0</v>
      </c>
      <c r="G29" s="124" t="n">
        <v>0</v>
      </c>
      <c r="I29" s="124" t="n">
        <f aca="false">IF(MONTH($A29)=MONTH($A28),IF(G29=0,I28,G29),0)</f>
        <v>0</v>
      </c>
      <c r="J29" s="124" t="n">
        <f aca="false">IF(MONTH($A29)=MONTH($A28),SUM(I29-I28),I29)</f>
        <v>0</v>
      </c>
      <c r="K29" s="124" t="n">
        <f aca="false">IF(WEEKDAY(A29,3)&gt;4,0,(IF(A29&lt;K$2,0,IF(A29&lt;=K$3,1,0))))</f>
        <v>0</v>
      </c>
      <c r="L29" s="124" t="n">
        <f aca="false">J29*K29</f>
        <v>0</v>
      </c>
      <c r="M29" s="124" t="n">
        <f aca="false">SUM(J$6:J29)</f>
        <v>0</v>
      </c>
      <c r="N29" s="124" t="n">
        <f aca="false">SUM(J$6:J29)</f>
        <v>0</v>
      </c>
      <c r="P29" s="124" t="n">
        <f aca="false">D29/P$3</f>
        <v>0</v>
      </c>
      <c r="Q29" s="124" t="n">
        <f aca="false">E29/P$3</f>
        <v>0</v>
      </c>
      <c r="R29" s="124" t="n">
        <f aca="false">F29/R$3</f>
        <v>0</v>
      </c>
      <c r="S29" s="126" t="n">
        <f aca="false">J29/$R$3</f>
        <v>0</v>
      </c>
      <c r="T29" s="126" t="n">
        <f aca="false">L29/$R$3</f>
        <v>0</v>
      </c>
      <c r="U29" s="126" t="n">
        <f aca="false">I29/$R$3</f>
        <v>0</v>
      </c>
      <c r="V29" s="126" t="n">
        <f aca="false">M29/$R$3</f>
        <v>0</v>
      </c>
      <c r="W29" s="126" t="n">
        <f aca="false">N29/$R$3</f>
        <v>0</v>
      </c>
    </row>
    <row r="30" customFormat="false" ht="12.75" hidden="true" customHeight="false" outlineLevel="0" collapsed="false">
      <c r="A30" s="120" t="n">
        <f aca="false">A29+1</f>
        <v>36916</v>
      </c>
      <c r="B30" s="131" t="str">
        <f aca="false">INDEX('Master Data'!$A$2:$B$8,MATCH(WEEKDAY('Modesto Maranzana Power'!A30,3),'Master Data'!$A$2:$A$8,0),2)</f>
        <v>Th</v>
      </c>
      <c r="D30" s="124" t="n">
        <v>0</v>
      </c>
      <c r="E30" s="124" t="n">
        <v>0</v>
      </c>
      <c r="F30" s="124" t="n">
        <v>0</v>
      </c>
      <c r="G30" s="124" t="n">
        <v>0</v>
      </c>
      <c r="I30" s="124" t="n">
        <f aca="false">IF(MONTH($A30)=MONTH($A29),IF(G30=0,I29,G30),0)</f>
        <v>0</v>
      </c>
      <c r="J30" s="124" t="n">
        <f aca="false">IF(MONTH($A30)=MONTH($A29),SUM(I30-I29),I30)</f>
        <v>0</v>
      </c>
      <c r="K30" s="124" t="n">
        <f aca="false">IF(WEEKDAY(A30,3)&gt;4,0,(IF(A30&lt;K$2,0,IF(A30&lt;=K$3,1,0))))</f>
        <v>0</v>
      </c>
      <c r="L30" s="124" t="n">
        <f aca="false">J30*K30</f>
        <v>0</v>
      </c>
      <c r="M30" s="124" t="n">
        <f aca="false">SUM(J$6:J30)</f>
        <v>0</v>
      </c>
      <c r="N30" s="124" t="n">
        <f aca="false">SUM(J$6:J30)</f>
        <v>0</v>
      </c>
      <c r="P30" s="124" t="n">
        <f aca="false">D30/P$3</f>
        <v>0</v>
      </c>
      <c r="Q30" s="124" t="n">
        <f aca="false">E30/P$3</f>
        <v>0</v>
      </c>
      <c r="R30" s="124" t="n">
        <f aca="false">F30/R$3</f>
        <v>0</v>
      </c>
      <c r="S30" s="126" t="n">
        <f aca="false">J30/$R$3</f>
        <v>0</v>
      </c>
      <c r="T30" s="126" t="n">
        <f aca="false">L30/$R$3</f>
        <v>0</v>
      </c>
      <c r="U30" s="126" t="n">
        <f aca="false">I30/$R$3</f>
        <v>0</v>
      </c>
      <c r="V30" s="126" t="n">
        <f aca="false">M30/$R$3</f>
        <v>0</v>
      </c>
      <c r="W30" s="126" t="n">
        <f aca="false">N30/$R$3</f>
        <v>0</v>
      </c>
    </row>
    <row r="31" customFormat="false" ht="12.75" hidden="true" customHeight="false" outlineLevel="0" collapsed="false">
      <c r="A31" s="120" t="n">
        <f aca="false">A30+1</f>
        <v>36917</v>
      </c>
      <c r="B31" s="131" t="str">
        <f aca="false">INDEX('Master Data'!$A$2:$B$8,MATCH(WEEKDAY('Modesto Maranzana Power'!A31,3),'Master Data'!$A$2:$A$8,0),2)</f>
        <v>F</v>
      </c>
      <c r="D31" s="124" t="n">
        <v>0</v>
      </c>
      <c r="E31" s="124" t="n">
        <v>0</v>
      </c>
      <c r="F31" s="124" t="n">
        <v>0</v>
      </c>
      <c r="G31" s="124" t="n">
        <v>0</v>
      </c>
      <c r="I31" s="124" t="n">
        <f aca="false">IF(MONTH($A31)=MONTH($A30),IF(G31=0,I30,G31),0)</f>
        <v>0</v>
      </c>
      <c r="J31" s="124" t="n">
        <f aca="false">IF(MONTH($A31)=MONTH($A30),SUM(I31-I30),I31)</f>
        <v>0</v>
      </c>
      <c r="K31" s="124" t="n">
        <f aca="false">IF(WEEKDAY(A31,3)&gt;4,0,(IF(A31&lt;K$2,0,IF(A31&lt;=K$3,1,0))))</f>
        <v>0</v>
      </c>
      <c r="L31" s="124" t="n">
        <f aca="false">J31*K31</f>
        <v>0</v>
      </c>
      <c r="M31" s="124" t="n">
        <f aca="false">SUM(J$6:J31)</f>
        <v>0</v>
      </c>
      <c r="N31" s="124" t="n">
        <f aca="false">SUM(J$6:J31)</f>
        <v>0</v>
      </c>
      <c r="P31" s="124" t="n">
        <f aca="false">D31/P$3</f>
        <v>0</v>
      </c>
      <c r="Q31" s="124" t="n">
        <f aca="false">E31/P$3</f>
        <v>0</v>
      </c>
      <c r="R31" s="124" t="n">
        <f aca="false">F31/R$3</f>
        <v>0</v>
      </c>
      <c r="S31" s="126" t="n">
        <f aca="false">J31/$R$3</f>
        <v>0</v>
      </c>
      <c r="T31" s="126" t="n">
        <f aca="false">L31/$R$3</f>
        <v>0</v>
      </c>
      <c r="U31" s="126" t="n">
        <f aca="false">I31/$R$3</f>
        <v>0</v>
      </c>
      <c r="V31" s="126" t="n">
        <f aca="false">M31/$R$3</f>
        <v>0</v>
      </c>
      <c r="W31" s="126" t="n">
        <f aca="false">N31/$R$3</f>
        <v>0</v>
      </c>
    </row>
    <row r="32" customFormat="false" ht="12.75" hidden="true" customHeight="false" outlineLevel="0" collapsed="false">
      <c r="A32" s="120" t="n">
        <f aca="false">A31+1</f>
        <v>36918</v>
      </c>
      <c r="B32" s="131" t="str">
        <f aca="false">INDEX('Master Data'!$A$2:$B$8,MATCH(WEEKDAY('Modesto Maranzana Power'!A32,3),'Master Data'!$A$2:$A$8,0),2)</f>
        <v>Sa</v>
      </c>
      <c r="D32" s="124" t="n">
        <v>0</v>
      </c>
      <c r="E32" s="124" t="n">
        <v>0</v>
      </c>
      <c r="F32" s="124" t="n">
        <v>0</v>
      </c>
      <c r="G32" s="124" t="n">
        <v>0</v>
      </c>
      <c r="I32" s="124" t="n">
        <f aca="false">IF(MONTH($A32)=MONTH($A31),IF(G32=0,I31,G32),0)</f>
        <v>0</v>
      </c>
      <c r="J32" s="124" t="n">
        <f aca="false">IF(MONTH($A32)=MONTH($A31),SUM(I32-I31),I32)</f>
        <v>0</v>
      </c>
      <c r="K32" s="124" t="n">
        <f aca="false">IF(WEEKDAY(A32,3)&gt;4,0,(IF(A32&lt;K$2,0,IF(A32&lt;=K$3,1,0))))</f>
        <v>0</v>
      </c>
      <c r="L32" s="124" t="n">
        <f aca="false">J32*K32</f>
        <v>0</v>
      </c>
      <c r="M32" s="124" t="n">
        <f aca="false">SUM(J$6:J32)</f>
        <v>0</v>
      </c>
      <c r="N32" s="124" t="n">
        <f aca="false">SUM(J$6:J32)</f>
        <v>0</v>
      </c>
      <c r="P32" s="124" t="n">
        <f aca="false">D32/P$3</f>
        <v>0</v>
      </c>
      <c r="Q32" s="124" t="n">
        <f aca="false">E32/P$3</f>
        <v>0</v>
      </c>
      <c r="R32" s="124" t="n">
        <f aca="false">F32/R$3</f>
        <v>0</v>
      </c>
      <c r="S32" s="126" t="n">
        <f aca="false">J32/$R$3</f>
        <v>0</v>
      </c>
      <c r="T32" s="126" t="n">
        <f aca="false">L32/$R$3</f>
        <v>0</v>
      </c>
      <c r="U32" s="126" t="n">
        <f aca="false">I32/$R$3</f>
        <v>0</v>
      </c>
      <c r="V32" s="126" t="n">
        <f aca="false">M32/$R$3</f>
        <v>0</v>
      </c>
      <c r="W32" s="126" t="n">
        <f aca="false">N32/$R$3</f>
        <v>0</v>
      </c>
    </row>
    <row r="33" customFormat="false" ht="12.75" hidden="true" customHeight="false" outlineLevel="0" collapsed="false">
      <c r="A33" s="120" t="n">
        <f aca="false">A32+1</f>
        <v>36919</v>
      </c>
      <c r="B33" s="131" t="str">
        <f aca="false">INDEX('Master Data'!$A$2:$B$8,MATCH(WEEKDAY('Modesto Maranzana Power'!A33,3),'Master Data'!$A$2:$A$8,0),2)</f>
        <v>Su</v>
      </c>
      <c r="D33" s="124" t="n">
        <v>0</v>
      </c>
      <c r="E33" s="124" t="n">
        <v>0</v>
      </c>
      <c r="F33" s="124" t="n">
        <v>0</v>
      </c>
      <c r="G33" s="124" t="n">
        <v>0</v>
      </c>
      <c r="I33" s="124" t="n">
        <f aca="false">IF(MONTH($A33)=MONTH($A32),IF(G33=0,I32,G33),0)</f>
        <v>0</v>
      </c>
      <c r="J33" s="124" t="n">
        <f aca="false">IF(MONTH($A33)=MONTH($A32),SUM(I33-I32),I33)</f>
        <v>0</v>
      </c>
      <c r="K33" s="124" t="n">
        <f aca="false">IF(WEEKDAY(A33,3)&gt;4,0,(IF(A33&lt;K$2,0,IF(A33&lt;=K$3,1,0))))</f>
        <v>0</v>
      </c>
      <c r="L33" s="124" t="n">
        <f aca="false">J33*K33</f>
        <v>0</v>
      </c>
      <c r="M33" s="124" t="n">
        <f aca="false">SUM(J$6:J33)</f>
        <v>0</v>
      </c>
      <c r="N33" s="124" t="n">
        <f aca="false">SUM(J$6:J33)</f>
        <v>0</v>
      </c>
      <c r="P33" s="124" t="n">
        <f aca="false">D33/P$3</f>
        <v>0</v>
      </c>
      <c r="Q33" s="124" t="n">
        <f aca="false">E33/P$3</f>
        <v>0</v>
      </c>
      <c r="R33" s="124" t="n">
        <f aca="false">F33/R$3</f>
        <v>0</v>
      </c>
      <c r="S33" s="126" t="n">
        <f aca="false">J33/$R$3</f>
        <v>0</v>
      </c>
      <c r="T33" s="126" t="n">
        <f aca="false">L33/$R$3</f>
        <v>0</v>
      </c>
      <c r="U33" s="126" t="n">
        <f aca="false">I33/$R$3</f>
        <v>0</v>
      </c>
      <c r="V33" s="126" t="n">
        <f aca="false">M33/$R$3</f>
        <v>0</v>
      </c>
      <c r="W33" s="126" t="n">
        <f aca="false">N33/$R$3</f>
        <v>0</v>
      </c>
    </row>
    <row r="34" customFormat="false" ht="12.75" hidden="true" customHeight="false" outlineLevel="0" collapsed="false">
      <c r="A34" s="120" t="n">
        <f aca="false">A33+1</f>
        <v>36920</v>
      </c>
      <c r="B34" s="131" t="str">
        <f aca="false">INDEX('Master Data'!$A$2:$B$8,MATCH(WEEKDAY('Modesto Maranzana Power'!A34,3),'Master Data'!$A$2:$A$8,0),2)</f>
        <v>M</v>
      </c>
      <c r="D34" s="124" t="n">
        <v>0</v>
      </c>
      <c r="E34" s="124" t="n">
        <v>0</v>
      </c>
      <c r="F34" s="124" t="n">
        <v>0</v>
      </c>
      <c r="G34" s="124" t="n">
        <v>0</v>
      </c>
      <c r="I34" s="124" t="n">
        <f aca="false">IF(MONTH($A34)=MONTH($A33),IF(G34=0,I33,G34),0)</f>
        <v>0</v>
      </c>
      <c r="J34" s="124" t="n">
        <f aca="false">IF(MONTH($A34)=MONTH($A33),SUM(I34-I33),I34)</f>
        <v>0</v>
      </c>
      <c r="K34" s="124" t="n">
        <f aca="false">IF(WEEKDAY(A34,3)&gt;4,0,(IF(A34&lt;K$2,0,IF(A34&lt;=K$3,1,0))))</f>
        <v>0</v>
      </c>
      <c r="L34" s="124" t="n">
        <f aca="false">J34*K34</f>
        <v>0</v>
      </c>
      <c r="M34" s="124" t="n">
        <f aca="false">SUM(J$6:J34)</f>
        <v>0</v>
      </c>
      <c r="N34" s="124" t="n">
        <f aca="false">SUM(J$6:J34)</f>
        <v>0</v>
      </c>
      <c r="P34" s="124" t="n">
        <f aca="false">D34/P$3</f>
        <v>0</v>
      </c>
      <c r="Q34" s="124" t="n">
        <f aca="false">E34/P$3</f>
        <v>0</v>
      </c>
      <c r="R34" s="124" t="n">
        <f aca="false">F34/R$3</f>
        <v>0</v>
      </c>
      <c r="S34" s="126" t="n">
        <f aca="false">J34/$R$3</f>
        <v>0</v>
      </c>
      <c r="T34" s="126" t="n">
        <f aca="false">L34/$R$3</f>
        <v>0</v>
      </c>
      <c r="U34" s="126" t="n">
        <f aca="false">I34/$R$3</f>
        <v>0</v>
      </c>
      <c r="V34" s="126" t="n">
        <f aca="false">M34/$R$3</f>
        <v>0</v>
      </c>
      <c r="W34" s="126" t="n">
        <f aca="false">N34/$R$3</f>
        <v>0</v>
      </c>
    </row>
    <row r="35" customFormat="false" ht="12.75" hidden="true" customHeight="false" outlineLevel="0" collapsed="false">
      <c r="A35" s="120" t="n">
        <f aca="false">A34+1</f>
        <v>36921</v>
      </c>
      <c r="B35" s="131" t="str">
        <f aca="false">INDEX('Master Data'!$A$2:$B$8,MATCH(WEEKDAY('Modesto Maranzana Power'!A35,3),'Master Data'!$A$2:$A$8,0),2)</f>
        <v>T</v>
      </c>
      <c r="D35" s="124" t="n">
        <v>0</v>
      </c>
      <c r="E35" s="124" t="n">
        <v>0</v>
      </c>
      <c r="F35" s="124" t="n">
        <v>0</v>
      </c>
      <c r="G35" s="124" t="n">
        <v>0</v>
      </c>
      <c r="I35" s="124" t="n">
        <f aca="false">IF(MONTH($A35)=MONTH($A34),IF(G35=0,I34,G35),0)</f>
        <v>0</v>
      </c>
      <c r="J35" s="124" t="n">
        <f aca="false">IF(MONTH($A35)=MONTH($A34),SUM(I35-I34),I35)</f>
        <v>0</v>
      </c>
      <c r="K35" s="124" t="n">
        <f aca="false">IF(WEEKDAY(A35,3)&gt;4,0,(IF(A35&lt;K$2,0,IF(A35&lt;=K$3,1,0))))</f>
        <v>0</v>
      </c>
      <c r="L35" s="124" t="n">
        <f aca="false">J35*K35</f>
        <v>0</v>
      </c>
      <c r="M35" s="124" t="n">
        <f aca="false">SUM(J$6:J35)</f>
        <v>0</v>
      </c>
      <c r="N35" s="124" t="n">
        <f aca="false">SUM(J$6:J35)</f>
        <v>0</v>
      </c>
      <c r="P35" s="124" t="n">
        <f aca="false">D35/P$3</f>
        <v>0</v>
      </c>
      <c r="Q35" s="124" t="n">
        <f aca="false">E35/P$3</f>
        <v>0</v>
      </c>
      <c r="R35" s="124" t="n">
        <f aca="false">F35/R$3</f>
        <v>0</v>
      </c>
      <c r="S35" s="126" t="n">
        <f aca="false">J35/$R$3</f>
        <v>0</v>
      </c>
      <c r="T35" s="126" t="n">
        <f aca="false">L35/$R$3</f>
        <v>0</v>
      </c>
      <c r="U35" s="126" t="n">
        <f aca="false">I35/$R$3</f>
        <v>0</v>
      </c>
      <c r="V35" s="126" t="n">
        <f aca="false">M35/$R$3</f>
        <v>0</v>
      </c>
      <c r="W35" s="126" t="n">
        <f aca="false">N35/$R$3</f>
        <v>0</v>
      </c>
    </row>
    <row r="36" customFormat="false" ht="12.75" hidden="true" customHeight="false" outlineLevel="0" collapsed="false">
      <c r="A36" s="120" t="n">
        <f aca="false">A35+1</f>
        <v>36922</v>
      </c>
      <c r="B36" s="131" t="str">
        <f aca="false">INDEX('Master Data'!$A$2:$B$8,MATCH(WEEKDAY('Modesto Maranzana Power'!A36,3),'Master Data'!$A$2:$A$8,0),2)</f>
        <v>W</v>
      </c>
      <c r="D36" s="124" t="n">
        <v>0</v>
      </c>
      <c r="E36" s="124" t="n">
        <v>0</v>
      </c>
      <c r="F36" s="124" t="n">
        <v>0</v>
      </c>
      <c r="G36" s="124" t="n">
        <v>0</v>
      </c>
      <c r="I36" s="124" t="n">
        <f aca="false">IF(MONTH($A36)=MONTH($A35),IF(G36=0,I35,G36),0)</f>
        <v>0</v>
      </c>
      <c r="J36" s="124" t="n">
        <f aca="false">IF(MONTH($A36)=MONTH($A35),SUM(I36-I35),I36)</f>
        <v>0</v>
      </c>
      <c r="K36" s="124" t="n">
        <f aca="false">IF(WEEKDAY(A36,3)&gt;4,0,(IF(A36&lt;K$2,0,IF(A36&lt;=K$3,1,0))))</f>
        <v>0</v>
      </c>
      <c r="L36" s="124" t="n">
        <f aca="false">J36*K36</f>
        <v>0</v>
      </c>
      <c r="M36" s="124" t="n">
        <f aca="false">SUM(J$6:J36)</f>
        <v>0</v>
      </c>
      <c r="N36" s="124" t="n">
        <f aca="false">SUM(J$6:J36)</f>
        <v>0</v>
      </c>
      <c r="P36" s="124" t="n">
        <f aca="false">D36/P$3</f>
        <v>0</v>
      </c>
      <c r="Q36" s="124" t="n">
        <f aca="false">E36/P$3</f>
        <v>0</v>
      </c>
      <c r="R36" s="124" t="n">
        <f aca="false">F36/R$3</f>
        <v>0</v>
      </c>
      <c r="S36" s="126" t="n">
        <f aca="false">J36/$R$3</f>
        <v>0</v>
      </c>
      <c r="T36" s="126" t="n">
        <f aca="false">L36/$R$3</f>
        <v>0</v>
      </c>
      <c r="U36" s="126" t="n">
        <f aca="false">I36/$R$3</f>
        <v>0</v>
      </c>
      <c r="V36" s="126" t="n">
        <f aca="false">M36/$R$3</f>
        <v>0</v>
      </c>
      <c r="W36" s="126" t="n">
        <f aca="false">N36/$R$3</f>
        <v>0</v>
      </c>
    </row>
    <row r="37" customFormat="false" ht="12.75" hidden="true" customHeight="false" outlineLevel="0" collapsed="false">
      <c r="A37" s="120" t="n">
        <f aca="false">A36+1</f>
        <v>36923</v>
      </c>
      <c r="B37" s="131" t="str">
        <f aca="false">INDEX('Master Data'!$A$2:$B$8,MATCH(WEEKDAY('Modesto Maranzana Power'!A37,3),'Master Data'!$A$2:$A$8,0),2)</f>
        <v>Th</v>
      </c>
      <c r="D37" s="124" t="n">
        <v>0</v>
      </c>
      <c r="E37" s="124" t="n">
        <v>0</v>
      </c>
      <c r="F37" s="124" t="n">
        <v>0</v>
      </c>
      <c r="G37" s="124" t="n">
        <v>0</v>
      </c>
      <c r="I37" s="124" t="n">
        <f aca="false">IF(MONTH($A37)=MONTH($A36),IF(G37=0,I36,G37),G37)</f>
        <v>0</v>
      </c>
      <c r="J37" s="124" t="n">
        <f aca="false">IF(MONTH($A37)=MONTH($A36),SUM(I37-I36),I37)</f>
        <v>0</v>
      </c>
      <c r="K37" s="124" t="n">
        <f aca="false">IF(WEEKDAY(A37,3)&gt;4,0,(IF(A37&lt;K$2,0,IF(A37&lt;=K$3,1,0))))</f>
        <v>0</v>
      </c>
      <c r="L37" s="124" t="n">
        <f aca="false">J37*K37</f>
        <v>0</v>
      </c>
      <c r="M37" s="124" t="n">
        <f aca="false">SUM(J$6:J37)</f>
        <v>0</v>
      </c>
      <c r="N37" s="124" t="n">
        <f aca="false">SUM(J$6:J37)</f>
        <v>0</v>
      </c>
      <c r="P37" s="124" t="n">
        <f aca="false">D37/P$3</f>
        <v>0</v>
      </c>
      <c r="Q37" s="124" t="n">
        <f aca="false">E37/P$3</f>
        <v>0</v>
      </c>
      <c r="R37" s="124" t="n">
        <f aca="false">F37/R$3</f>
        <v>0</v>
      </c>
      <c r="S37" s="126" t="n">
        <f aca="false">J37/$R$3</f>
        <v>0</v>
      </c>
      <c r="T37" s="126" t="n">
        <f aca="false">L37/$R$3</f>
        <v>0</v>
      </c>
      <c r="U37" s="126" t="n">
        <f aca="false">I37/$R$3</f>
        <v>0</v>
      </c>
      <c r="V37" s="126" t="n">
        <f aca="false">M37/$R$3</f>
        <v>0</v>
      </c>
      <c r="W37" s="126" t="n">
        <f aca="false">N37/$R$3</f>
        <v>0</v>
      </c>
    </row>
    <row r="38" customFormat="false" ht="12.75" hidden="true" customHeight="false" outlineLevel="0" collapsed="false">
      <c r="A38" s="120" t="n">
        <f aca="false">A37+1</f>
        <v>36924</v>
      </c>
      <c r="B38" s="131" t="str">
        <f aca="false">INDEX('Master Data'!$A$2:$B$8,MATCH(WEEKDAY('Modesto Maranzana Power'!A38,3),'Master Data'!$A$2:$A$8,0),2)</f>
        <v>F</v>
      </c>
      <c r="D38" s="124" t="n">
        <v>0</v>
      </c>
      <c r="E38" s="124" t="n">
        <v>0</v>
      </c>
      <c r="F38" s="124" t="n">
        <v>0</v>
      </c>
      <c r="G38" s="124" t="n">
        <v>0</v>
      </c>
      <c r="I38" s="124" t="n">
        <f aca="false">IF(MONTH($A38)=MONTH($A37),IF(G38=0,I37,G38),G38)</f>
        <v>0</v>
      </c>
      <c r="J38" s="124" t="n">
        <f aca="false">IF(MONTH($A38)=MONTH($A37),SUM(I38-I37),I38)</f>
        <v>0</v>
      </c>
      <c r="K38" s="124" t="n">
        <f aca="false">IF(WEEKDAY(A38,3)&gt;4,0,(IF(A38&lt;K$2,0,IF(A38&lt;=K$3,1,0))))</f>
        <v>0</v>
      </c>
      <c r="L38" s="124" t="n">
        <f aca="false">J38*K38</f>
        <v>0</v>
      </c>
      <c r="M38" s="124" t="n">
        <f aca="false">SUM(J$6:J38)</f>
        <v>0</v>
      </c>
      <c r="N38" s="124" t="n">
        <f aca="false">SUM(J$6:J38)</f>
        <v>0</v>
      </c>
      <c r="P38" s="124" t="n">
        <f aca="false">D38/P$3</f>
        <v>0</v>
      </c>
      <c r="Q38" s="124" t="n">
        <f aca="false">E38/P$3</f>
        <v>0</v>
      </c>
      <c r="R38" s="124" t="n">
        <f aca="false">F38/R$3</f>
        <v>0</v>
      </c>
      <c r="S38" s="126" t="n">
        <f aca="false">J38/$R$3</f>
        <v>0</v>
      </c>
      <c r="T38" s="126" t="n">
        <f aca="false">L38/$R$3</f>
        <v>0</v>
      </c>
      <c r="U38" s="126" t="n">
        <f aca="false">I38/$R$3</f>
        <v>0</v>
      </c>
      <c r="V38" s="126" t="n">
        <f aca="false">M38/$R$3</f>
        <v>0</v>
      </c>
      <c r="W38" s="126" t="n">
        <f aca="false">N38/$R$3</f>
        <v>0</v>
      </c>
    </row>
    <row r="39" customFormat="false" ht="12.75" hidden="true" customHeight="false" outlineLevel="0" collapsed="false">
      <c r="A39" s="120" t="n">
        <f aca="false">A38+1</f>
        <v>36925</v>
      </c>
      <c r="B39" s="131" t="str">
        <f aca="false">INDEX('Master Data'!$A$2:$B$8,MATCH(WEEKDAY('Modesto Maranzana Power'!A39,3),'Master Data'!$A$2:$A$8,0),2)</f>
        <v>Sa</v>
      </c>
      <c r="D39" s="124" t="n">
        <v>0</v>
      </c>
      <c r="E39" s="124" t="n">
        <v>0</v>
      </c>
      <c r="F39" s="124" t="n">
        <v>0</v>
      </c>
      <c r="G39" s="124" t="n">
        <v>0</v>
      </c>
      <c r="I39" s="124" t="n">
        <f aca="false">IF(MONTH($A39)=MONTH($A38),IF(G39=0,I38,G39),G39)</f>
        <v>0</v>
      </c>
      <c r="J39" s="124" t="n">
        <f aca="false">IF(MONTH($A39)=MONTH($A38),SUM(I39-I38),I39)</f>
        <v>0</v>
      </c>
      <c r="K39" s="124" t="n">
        <f aca="false">IF(WEEKDAY(A39,3)&gt;4,0,(IF(A39&lt;K$2,0,IF(A39&lt;=K$3,1,0))))</f>
        <v>0</v>
      </c>
      <c r="L39" s="124" t="n">
        <f aca="false">J39*K39</f>
        <v>0</v>
      </c>
      <c r="M39" s="124" t="n">
        <f aca="false">SUM(J$6:J39)</f>
        <v>0</v>
      </c>
      <c r="N39" s="124" t="n">
        <f aca="false">SUM(J$6:J39)</f>
        <v>0</v>
      </c>
      <c r="P39" s="124" t="n">
        <f aca="false">D39/P$3</f>
        <v>0</v>
      </c>
      <c r="Q39" s="124" t="n">
        <f aca="false">E39/P$3</f>
        <v>0</v>
      </c>
      <c r="R39" s="124" t="n">
        <f aca="false">F39/R$3</f>
        <v>0</v>
      </c>
      <c r="S39" s="126" t="n">
        <f aca="false">J39/$R$3</f>
        <v>0</v>
      </c>
      <c r="T39" s="126" t="n">
        <f aca="false">L39/$R$3</f>
        <v>0</v>
      </c>
      <c r="U39" s="126" t="n">
        <f aca="false">I39/$R$3</f>
        <v>0</v>
      </c>
      <c r="V39" s="126" t="n">
        <f aca="false">M39/$R$3</f>
        <v>0</v>
      </c>
      <c r="W39" s="126" t="n">
        <f aca="false">N39/$R$3</f>
        <v>0</v>
      </c>
    </row>
    <row r="40" customFormat="false" ht="12.75" hidden="true" customHeight="false" outlineLevel="0" collapsed="false">
      <c r="A40" s="120" t="n">
        <f aca="false">A39+1</f>
        <v>36926</v>
      </c>
      <c r="B40" s="131" t="str">
        <f aca="false">INDEX('Master Data'!$A$2:$B$8,MATCH(WEEKDAY('Modesto Maranzana Power'!A40,3),'Master Data'!$A$2:$A$8,0),2)</f>
        <v>Su</v>
      </c>
      <c r="D40" s="124" t="n">
        <v>0</v>
      </c>
      <c r="E40" s="124" t="n">
        <v>0</v>
      </c>
      <c r="F40" s="124" t="n">
        <v>0</v>
      </c>
      <c r="G40" s="124" t="n">
        <v>0</v>
      </c>
      <c r="I40" s="124" t="n">
        <f aca="false">IF(MONTH($A40)=MONTH($A39),IF(G40=0,I39,G40),G40)</f>
        <v>0</v>
      </c>
      <c r="J40" s="124" t="n">
        <f aca="false">IF(MONTH($A40)=MONTH($A39),SUM(I40-I39),I40)</f>
        <v>0</v>
      </c>
      <c r="K40" s="124" t="n">
        <f aca="false">IF(WEEKDAY(A40,3)&gt;4,0,(IF(A40&lt;K$2,0,IF(A40&lt;=K$3,1,0))))</f>
        <v>0</v>
      </c>
      <c r="L40" s="124" t="n">
        <f aca="false">J40*K40</f>
        <v>0</v>
      </c>
      <c r="M40" s="124" t="n">
        <f aca="false">SUM(J$6:J40)</f>
        <v>0</v>
      </c>
      <c r="N40" s="124" t="n">
        <f aca="false">SUM(J$6:J40)</f>
        <v>0</v>
      </c>
      <c r="P40" s="124" t="n">
        <f aca="false">D40/P$3</f>
        <v>0</v>
      </c>
      <c r="Q40" s="124" t="n">
        <f aca="false">E40/P$3</f>
        <v>0</v>
      </c>
      <c r="R40" s="124" t="n">
        <f aca="false">F40/R$3</f>
        <v>0</v>
      </c>
      <c r="S40" s="126" t="n">
        <f aca="false">J40/$R$3</f>
        <v>0</v>
      </c>
      <c r="T40" s="126" t="n">
        <f aca="false">L40/$R$3</f>
        <v>0</v>
      </c>
      <c r="U40" s="126" t="n">
        <f aca="false">I40/$R$3</f>
        <v>0</v>
      </c>
      <c r="V40" s="126" t="n">
        <f aca="false">M40/$R$3</f>
        <v>0</v>
      </c>
      <c r="W40" s="126" t="n">
        <f aca="false">N40/$R$3</f>
        <v>0</v>
      </c>
    </row>
    <row r="41" customFormat="false" ht="12.75" hidden="true" customHeight="false" outlineLevel="0" collapsed="false">
      <c r="A41" s="120" t="n">
        <f aca="false">A40+1</f>
        <v>36927</v>
      </c>
      <c r="B41" s="131" t="str">
        <f aca="false">INDEX('Master Data'!$A$2:$B$8,MATCH(WEEKDAY('Modesto Maranzana Power'!A41,3),'Master Data'!$A$2:$A$8,0),2)</f>
        <v>M</v>
      </c>
      <c r="D41" s="124" t="n">
        <v>0</v>
      </c>
      <c r="E41" s="124" t="n">
        <v>0</v>
      </c>
      <c r="F41" s="124" t="n">
        <v>0</v>
      </c>
      <c r="G41" s="124" t="n">
        <v>0</v>
      </c>
      <c r="I41" s="124" t="n">
        <f aca="false">IF(MONTH($A41)=MONTH($A40),IF(G41=0,I40,G41),G41)</f>
        <v>0</v>
      </c>
      <c r="J41" s="124" t="n">
        <f aca="false">IF(MONTH($A41)=MONTH($A40),SUM(I41-I40),I41)</f>
        <v>0</v>
      </c>
      <c r="K41" s="124" t="n">
        <f aca="false">IF(WEEKDAY(A41,3)&gt;4,0,(IF(A41&lt;K$2,0,IF(A41&lt;=K$3,1,0))))</f>
        <v>0</v>
      </c>
      <c r="L41" s="124" t="n">
        <f aca="false">J41*K41</f>
        <v>0</v>
      </c>
      <c r="M41" s="124" t="n">
        <f aca="false">SUM(J$6:J41)</f>
        <v>0</v>
      </c>
      <c r="N41" s="124" t="n">
        <f aca="false">SUM(J$6:J41)</f>
        <v>0</v>
      </c>
      <c r="P41" s="124" t="n">
        <f aca="false">D41/P$3</f>
        <v>0</v>
      </c>
      <c r="Q41" s="124" t="n">
        <f aca="false">E41/P$3</f>
        <v>0</v>
      </c>
      <c r="R41" s="124" t="n">
        <f aca="false">F41/R$3</f>
        <v>0</v>
      </c>
      <c r="S41" s="126" t="n">
        <f aca="false">J41/$R$3</f>
        <v>0</v>
      </c>
      <c r="T41" s="126" t="n">
        <f aca="false">L41/$R$3</f>
        <v>0</v>
      </c>
      <c r="U41" s="126" t="n">
        <f aca="false">I41/$R$3</f>
        <v>0</v>
      </c>
      <c r="V41" s="126" t="n">
        <f aca="false">M41/$R$3</f>
        <v>0</v>
      </c>
      <c r="W41" s="126" t="n">
        <f aca="false">N41/$R$3</f>
        <v>0</v>
      </c>
    </row>
    <row r="42" customFormat="false" ht="12.75" hidden="true" customHeight="false" outlineLevel="0" collapsed="false">
      <c r="A42" s="120" t="n">
        <f aca="false">A41+1</f>
        <v>36928</v>
      </c>
      <c r="B42" s="131" t="str">
        <f aca="false">INDEX('Master Data'!$A$2:$B$8,MATCH(WEEKDAY('Modesto Maranzana Power'!A42,3),'Master Data'!$A$2:$A$8,0),2)</f>
        <v>T</v>
      </c>
      <c r="D42" s="124" t="n">
        <v>0</v>
      </c>
      <c r="E42" s="124" t="n">
        <v>0</v>
      </c>
      <c r="F42" s="124" t="n">
        <v>0</v>
      </c>
      <c r="G42" s="124" t="n">
        <v>0</v>
      </c>
      <c r="I42" s="124" t="n">
        <f aca="false">IF(MONTH($A42)=MONTH($A41),IF(G42=0,I41,G42),G42)</f>
        <v>0</v>
      </c>
      <c r="J42" s="124" t="n">
        <f aca="false">IF(MONTH($A42)=MONTH($A41),SUM(I42-I41),I42)</f>
        <v>0</v>
      </c>
      <c r="K42" s="124" t="n">
        <f aca="false">IF(WEEKDAY(A42,3)&gt;4,0,(IF(A42&lt;K$2,0,IF(A42&lt;=K$3,1,0))))</f>
        <v>0</v>
      </c>
      <c r="L42" s="124" t="n">
        <f aca="false">J42*K42</f>
        <v>0</v>
      </c>
      <c r="M42" s="124" t="n">
        <f aca="false">SUM(J$6:J42)</f>
        <v>0</v>
      </c>
      <c r="N42" s="124" t="n">
        <f aca="false">SUM(J$6:J42)</f>
        <v>0</v>
      </c>
      <c r="P42" s="124" t="n">
        <f aca="false">D42/P$3</f>
        <v>0</v>
      </c>
      <c r="Q42" s="124" t="n">
        <f aca="false">E42/P$3</f>
        <v>0</v>
      </c>
      <c r="R42" s="124" t="n">
        <f aca="false">F42/R$3</f>
        <v>0</v>
      </c>
      <c r="S42" s="126" t="n">
        <f aca="false">J42/$R$3</f>
        <v>0</v>
      </c>
      <c r="T42" s="126" t="n">
        <f aca="false">L42/$R$3</f>
        <v>0</v>
      </c>
      <c r="U42" s="126" t="n">
        <f aca="false">I42/$R$3</f>
        <v>0</v>
      </c>
      <c r="V42" s="126" t="n">
        <f aca="false">M42/$R$3</f>
        <v>0</v>
      </c>
      <c r="W42" s="126" t="n">
        <f aca="false">N42/$R$3</f>
        <v>0</v>
      </c>
    </row>
    <row r="43" customFormat="false" ht="12.75" hidden="true" customHeight="false" outlineLevel="0" collapsed="false">
      <c r="A43" s="120" t="n">
        <f aca="false">A42+1</f>
        <v>36929</v>
      </c>
      <c r="B43" s="131" t="str">
        <f aca="false">INDEX('Master Data'!$A$2:$B$8,MATCH(WEEKDAY('Modesto Maranzana Power'!A43,3),'Master Data'!$A$2:$A$8,0),2)</f>
        <v>W</v>
      </c>
      <c r="D43" s="124" t="n">
        <v>0</v>
      </c>
      <c r="E43" s="124" t="n">
        <v>0</v>
      </c>
      <c r="F43" s="124" t="n">
        <v>0</v>
      </c>
      <c r="G43" s="124" t="n">
        <v>0</v>
      </c>
      <c r="I43" s="124" t="n">
        <f aca="false">IF(MONTH($A43)=MONTH($A42),IF(G43=0,I42,G43),G43)</f>
        <v>0</v>
      </c>
      <c r="J43" s="124" t="n">
        <f aca="false">IF(MONTH($A43)=MONTH($A42),SUM(I43-I42),I43)</f>
        <v>0</v>
      </c>
      <c r="K43" s="124" t="n">
        <f aca="false">IF(WEEKDAY(A43,3)&gt;4,0,(IF(A43&lt;K$2,0,IF(A43&lt;=K$3,1,0))))</f>
        <v>0</v>
      </c>
      <c r="L43" s="124" t="n">
        <f aca="false">J43*K43</f>
        <v>0</v>
      </c>
      <c r="M43" s="124" t="n">
        <f aca="false">SUM(J$6:J43)</f>
        <v>0</v>
      </c>
      <c r="N43" s="124" t="n">
        <f aca="false">SUM(J$6:J43)</f>
        <v>0</v>
      </c>
      <c r="P43" s="124" t="n">
        <f aca="false">D43/P$3</f>
        <v>0</v>
      </c>
      <c r="Q43" s="124" t="n">
        <f aca="false">E43/P$3</f>
        <v>0</v>
      </c>
      <c r="R43" s="124" t="n">
        <f aca="false">F43/R$3</f>
        <v>0</v>
      </c>
      <c r="S43" s="126" t="n">
        <f aca="false">J43/$R$3</f>
        <v>0</v>
      </c>
      <c r="T43" s="126" t="n">
        <f aca="false">L43/$R$3</f>
        <v>0</v>
      </c>
      <c r="U43" s="126" t="n">
        <f aca="false">I43/$R$3</f>
        <v>0</v>
      </c>
      <c r="V43" s="126" t="n">
        <f aca="false">M43/$R$3</f>
        <v>0</v>
      </c>
      <c r="W43" s="126" t="n">
        <f aca="false">N43/$R$3</f>
        <v>0</v>
      </c>
    </row>
    <row r="44" customFormat="false" ht="12.75" hidden="true" customHeight="false" outlineLevel="0" collapsed="false">
      <c r="A44" s="120" t="n">
        <f aca="false">A43+1</f>
        <v>36930</v>
      </c>
      <c r="B44" s="131" t="str">
        <f aca="false">INDEX('Master Data'!$A$2:$B$8,MATCH(WEEKDAY('Modesto Maranzana Power'!A44,3),'Master Data'!$A$2:$A$8,0),2)</f>
        <v>Th</v>
      </c>
      <c r="D44" s="124" t="n">
        <v>0</v>
      </c>
      <c r="E44" s="124" t="n">
        <v>0</v>
      </c>
      <c r="F44" s="124" t="n">
        <v>0</v>
      </c>
      <c r="G44" s="124" t="n">
        <v>0</v>
      </c>
      <c r="I44" s="124" t="n">
        <f aca="false">IF(MONTH($A44)=MONTH($A43),IF(G44=0,I43,G44),G44)</f>
        <v>0</v>
      </c>
      <c r="J44" s="124" t="n">
        <f aca="false">IF(MONTH($A44)=MONTH($A43),SUM(I44-I43),I44)</f>
        <v>0</v>
      </c>
      <c r="K44" s="124" t="n">
        <f aca="false">IF(WEEKDAY(A44,3)&gt;4,0,(IF(A44&lt;K$2,0,IF(A44&lt;=K$3,1,0))))</f>
        <v>0</v>
      </c>
      <c r="L44" s="124" t="n">
        <f aca="false">J44*K44</f>
        <v>0</v>
      </c>
      <c r="M44" s="124" t="n">
        <f aca="false">SUM(J$6:J44)</f>
        <v>0</v>
      </c>
      <c r="N44" s="124" t="n">
        <f aca="false">SUM(J$6:J44)</f>
        <v>0</v>
      </c>
      <c r="P44" s="124" t="n">
        <f aca="false">D44/P$3</f>
        <v>0</v>
      </c>
      <c r="Q44" s="124" t="n">
        <f aca="false">E44/P$3</f>
        <v>0</v>
      </c>
      <c r="R44" s="124" t="n">
        <f aca="false">F44/R$3</f>
        <v>0</v>
      </c>
      <c r="S44" s="126" t="n">
        <f aca="false">J44/$R$3</f>
        <v>0</v>
      </c>
      <c r="T44" s="126" t="n">
        <f aca="false">L44/$R$3</f>
        <v>0</v>
      </c>
      <c r="U44" s="126" t="n">
        <f aca="false">I44/$R$3</f>
        <v>0</v>
      </c>
      <c r="V44" s="126" t="n">
        <f aca="false">M44/$R$3</f>
        <v>0</v>
      </c>
      <c r="W44" s="126" t="n">
        <f aca="false">N44/$R$3</f>
        <v>0</v>
      </c>
    </row>
    <row r="45" customFormat="false" ht="12.75" hidden="true" customHeight="false" outlineLevel="0" collapsed="false">
      <c r="A45" s="120" t="n">
        <f aca="false">A44+1</f>
        <v>36931</v>
      </c>
      <c r="B45" s="131" t="str">
        <f aca="false">INDEX('Master Data'!$A$2:$B$8,MATCH(WEEKDAY('Modesto Maranzana Power'!A45,3),'Master Data'!$A$2:$A$8,0),2)</f>
        <v>F</v>
      </c>
      <c r="D45" s="124" t="n">
        <v>0</v>
      </c>
      <c r="E45" s="124" t="n">
        <v>0</v>
      </c>
      <c r="F45" s="124" t="n">
        <v>0</v>
      </c>
      <c r="G45" s="124" t="n">
        <v>0</v>
      </c>
      <c r="I45" s="124" t="n">
        <f aca="false">IF(MONTH($A45)=MONTH($A44),IF(G45=0,I44,G45),G45)</f>
        <v>0</v>
      </c>
      <c r="J45" s="124" t="n">
        <f aca="false">IF(MONTH($A45)=MONTH($A44),SUM(I45-I44),I45)</f>
        <v>0</v>
      </c>
      <c r="K45" s="124" t="n">
        <f aca="false">IF(WEEKDAY(A45,3)&gt;4,0,(IF(A45&lt;K$2,0,IF(A45&lt;=K$3,1,0))))</f>
        <v>0</v>
      </c>
      <c r="L45" s="124" t="n">
        <f aca="false">J45*K45</f>
        <v>0</v>
      </c>
      <c r="M45" s="124" t="n">
        <f aca="false">SUM(J$6:J45)</f>
        <v>0</v>
      </c>
      <c r="N45" s="124" t="n">
        <f aca="false">SUM(J$6:J45)</f>
        <v>0</v>
      </c>
      <c r="P45" s="124" t="n">
        <f aca="false">D45/P$3</f>
        <v>0</v>
      </c>
      <c r="Q45" s="124" t="n">
        <f aca="false">E45/P$3</f>
        <v>0</v>
      </c>
      <c r="R45" s="124" t="n">
        <f aca="false">F45/R$3</f>
        <v>0</v>
      </c>
      <c r="S45" s="126" t="n">
        <f aca="false">J45/$R$3</f>
        <v>0</v>
      </c>
      <c r="T45" s="126" t="n">
        <f aca="false">L45/$R$3</f>
        <v>0</v>
      </c>
      <c r="U45" s="126" t="n">
        <f aca="false">I45/$R$3</f>
        <v>0</v>
      </c>
      <c r="V45" s="126" t="n">
        <f aca="false">M45/$R$3</f>
        <v>0</v>
      </c>
      <c r="W45" s="126" t="n">
        <f aca="false">N45/$R$3</f>
        <v>0</v>
      </c>
    </row>
    <row r="46" customFormat="false" ht="12.75" hidden="true" customHeight="false" outlineLevel="0" collapsed="false">
      <c r="A46" s="120" t="n">
        <f aca="false">A45+1</f>
        <v>36932</v>
      </c>
      <c r="B46" s="131" t="str">
        <f aca="false">INDEX('Master Data'!$A$2:$B$8,MATCH(WEEKDAY('Modesto Maranzana Power'!A46,3),'Master Data'!$A$2:$A$8,0),2)</f>
        <v>Sa</v>
      </c>
      <c r="D46" s="124" t="n">
        <v>0</v>
      </c>
      <c r="E46" s="124" t="n">
        <v>0</v>
      </c>
      <c r="F46" s="124" t="n">
        <v>0</v>
      </c>
      <c r="G46" s="124" t="n">
        <v>0</v>
      </c>
      <c r="I46" s="124" t="n">
        <f aca="false">IF(MONTH($A46)=MONTH($A45),IF(G46=0,I45,G46),G46)</f>
        <v>0</v>
      </c>
      <c r="J46" s="124" t="n">
        <f aca="false">IF(MONTH($A46)=MONTH($A45),SUM(I46-I45),I46)</f>
        <v>0</v>
      </c>
      <c r="K46" s="124" t="n">
        <f aca="false">IF(WEEKDAY(A46,3)&gt;4,0,(IF(A46&lt;K$2,0,IF(A46&lt;=K$3,1,0))))</f>
        <v>0</v>
      </c>
      <c r="L46" s="124" t="n">
        <f aca="false">J46*K46</f>
        <v>0</v>
      </c>
      <c r="M46" s="124" t="n">
        <f aca="false">SUM(J$6:J46)</f>
        <v>0</v>
      </c>
      <c r="N46" s="124" t="n">
        <f aca="false">SUM(J$6:J46)</f>
        <v>0</v>
      </c>
      <c r="P46" s="124" t="n">
        <f aca="false">D46/P$3</f>
        <v>0</v>
      </c>
      <c r="Q46" s="124" t="n">
        <f aca="false">E46/P$3</f>
        <v>0</v>
      </c>
      <c r="R46" s="124" t="n">
        <f aca="false">F46/R$3</f>
        <v>0</v>
      </c>
      <c r="S46" s="126" t="n">
        <f aca="false">J46/$R$3</f>
        <v>0</v>
      </c>
      <c r="T46" s="126" t="n">
        <f aca="false">L46/$R$3</f>
        <v>0</v>
      </c>
      <c r="U46" s="126" t="n">
        <f aca="false">I46/$R$3</f>
        <v>0</v>
      </c>
      <c r="V46" s="126" t="n">
        <f aca="false">M46/$R$3</f>
        <v>0</v>
      </c>
      <c r="W46" s="126" t="n">
        <f aca="false">N46/$R$3</f>
        <v>0</v>
      </c>
    </row>
    <row r="47" customFormat="false" ht="12.75" hidden="true" customHeight="false" outlineLevel="0" collapsed="false">
      <c r="A47" s="120" t="n">
        <f aca="false">A46+1</f>
        <v>36933</v>
      </c>
      <c r="B47" s="131" t="str">
        <f aca="false">INDEX('Master Data'!$A$2:$B$8,MATCH(WEEKDAY('Modesto Maranzana Power'!A47,3),'Master Data'!$A$2:$A$8,0),2)</f>
        <v>Su</v>
      </c>
      <c r="D47" s="124" t="n">
        <v>0</v>
      </c>
      <c r="E47" s="124" t="n">
        <v>0</v>
      </c>
      <c r="F47" s="124" t="n">
        <v>0</v>
      </c>
      <c r="G47" s="124" t="n">
        <v>0</v>
      </c>
      <c r="I47" s="124" t="n">
        <f aca="false">IF(MONTH($A47)=MONTH($A46),IF(G47=0,I46,G47),G47)</f>
        <v>0</v>
      </c>
      <c r="J47" s="124" t="n">
        <f aca="false">IF(MONTH($A47)=MONTH($A46),SUM(I47-I46),I47)</f>
        <v>0</v>
      </c>
      <c r="K47" s="124" t="n">
        <f aca="false">IF(WEEKDAY(A47,3)&gt;4,0,(IF(A47&lt;K$2,0,IF(A47&lt;=K$3,1,0))))</f>
        <v>0</v>
      </c>
      <c r="L47" s="124" t="n">
        <f aca="false">J47*K47</f>
        <v>0</v>
      </c>
      <c r="M47" s="124" t="n">
        <f aca="false">SUM(J$6:J47)</f>
        <v>0</v>
      </c>
      <c r="N47" s="124" t="n">
        <f aca="false">SUM(J$6:J47)</f>
        <v>0</v>
      </c>
      <c r="P47" s="124" t="n">
        <f aca="false">D47/P$3</f>
        <v>0</v>
      </c>
      <c r="Q47" s="124" t="n">
        <f aca="false">E47/P$3</f>
        <v>0</v>
      </c>
      <c r="R47" s="124" t="n">
        <f aca="false">F47/R$3</f>
        <v>0</v>
      </c>
      <c r="S47" s="126" t="n">
        <f aca="false">J47/$R$3</f>
        <v>0</v>
      </c>
      <c r="T47" s="126" t="n">
        <f aca="false">L47/$R$3</f>
        <v>0</v>
      </c>
      <c r="U47" s="126" t="n">
        <f aca="false">I47/$R$3</f>
        <v>0</v>
      </c>
      <c r="V47" s="126" t="n">
        <f aca="false">M47/$R$3</f>
        <v>0</v>
      </c>
      <c r="W47" s="126" t="n">
        <f aca="false">N47/$R$3</f>
        <v>0</v>
      </c>
    </row>
    <row r="48" customFormat="false" ht="12.75" hidden="true" customHeight="false" outlineLevel="0" collapsed="false">
      <c r="A48" s="120" t="n">
        <f aca="false">A47+1</f>
        <v>36934</v>
      </c>
      <c r="B48" s="131" t="str">
        <f aca="false">INDEX('Master Data'!$A$2:$B$8,MATCH(WEEKDAY('Modesto Maranzana Power'!A48,3),'Master Data'!$A$2:$A$8,0),2)</f>
        <v>M</v>
      </c>
      <c r="D48" s="124" t="n">
        <v>0</v>
      </c>
      <c r="E48" s="124" t="n">
        <v>0</v>
      </c>
      <c r="F48" s="124" t="n">
        <v>0</v>
      </c>
      <c r="G48" s="124" t="n">
        <v>0</v>
      </c>
      <c r="I48" s="124" t="n">
        <f aca="false">IF(MONTH($A48)=MONTH($A47),IF(G48=0,I47,G48),G48)</f>
        <v>0</v>
      </c>
      <c r="J48" s="124" t="n">
        <f aca="false">IF(MONTH($A48)=MONTH($A47),SUM(I48-I47),I48)</f>
        <v>0</v>
      </c>
      <c r="K48" s="124" t="n">
        <f aca="false">IF(WEEKDAY(A48,3)&gt;4,0,(IF(A48&lt;K$2,0,IF(A48&lt;=K$3,1,0))))</f>
        <v>0</v>
      </c>
      <c r="L48" s="124" t="n">
        <f aca="false">J48*K48</f>
        <v>0</v>
      </c>
      <c r="M48" s="124" t="n">
        <f aca="false">SUM(J$6:J48)</f>
        <v>0</v>
      </c>
      <c r="N48" s="124" t="n">
        <f aca="false">SUM(J$6:J48)</f>
        <v>0</v>
      </c>
      <c r="P48" s="124" t="n">
        <f aca="false">D48/P$3</f>
        <v>0</v>
      </c>
      <c r="Q48" s="124" t="n">
        <f aca="false">E48/P$3</f>
        <v>0</v>
      </c>
      <c r="R48" s="124" t="n">
        <f aca="false">F48/R$3</f>
        <v>0</v>
      </c>
      <c r="S48" s="126" t="n">
        <f aca="false">J48/$R$3</f>
        <v>0</v>
      </c>
      <c r="T48" s="126" t="n">
        <f aca="false">L48/$R$3</f>
        <v>0</v>
      </c>
      <c r="U48" s="126" t="n">
        <f aca="false">I48/$R$3</f>
        <v>0</v>
      </c>
      <c r="V48" s="126" t="n">
        <f aca="false">M48/$R$3</f>
        <v>0</v>
      </c>
      <c r="W48" s="126" t="n">
        <f aca="false">N48/$R$3</f>
        <v>0</v>
      </c>
    </row>
    <row r="49" customFormat="false" ht="12.75" hidden="true" customHeight="false" outlineLevel="0" collapsed="false">
      <c r="A49" s="120" t="n">
        <f aca="false">A48+1</f>
        <v>36935</v>
      </c>
      <c r="B49" s="131" t="str">
        <f aca="false">INDEX('Master Data'!$A$2:$B$8,MATCH(WEEKDAY('Modesto Maranzana Power'!A49,3),'Master Data'!$A$2:$A$8,0),2)</f>
        <v>T</v>
      </c>
      <c r="D49" s="124" t="n">
        <v>0</v>
      </c>
      <c r="E49" s="124" t="n">
        <v>0</v>
      </c>
      <c r="F49" s="124" t="n">
        <v>0</v>
      </c>
      <c r="G49" s="124" t="n">
        <v>0</v>
      </c>
      <c r="I49" s="124" t="n">
        <f aca="false">IF(MONTH($A49)=MONTH($A48),IF(G49=0,I48,G49),G49)</f>
        <v>0</v>
      </c>
      <c r="J49" s="124" t="n">
        <f aca="false">IF(MONTH($A49)=MONTH($A48),SUM(I49-I48),I49)</f>
        <v>0</v>
      </c>
      <c r="K49" s="124" t="n">
        <f aca="false">IF(WEEKDAY(A49,3)&gt;4,0,(IF(A49&lt;K$2,0,IF(A49&lt;=K$3,1,0))))</f>
        <v>0</v>
      </c>
      <c r="L49" s="124" t="n">
        <f aca="false">J49*K49</f>
        <v>0</v>
      </c>
      <c r="M49" s="124" t="n">
        <f aca="false">SUM(J$6:J49)</f>
        <v>0</v>
      </c>
      <c r="N49" s="124" t="n">
        <f aca="false">SUM(J$6:J49)</f>
        <v>0</v>
      </c>
      <c r="P49" s="124" t="n">
        <f aca="false">D49/P$3</f>
        <v>0</v>
      </c>
      <c r="Q49" s="124" t="n">
        <f aca="false">E49/P$3</f>
        <v>0</v>
      </c>
      <c r="R49" s="124" t="n">
        <f aca="false">F49/R$3</f>
        <v>0</v>
      </c>
      <c r="S49" s="126" t="n">
        <f aca="false">J49/$R$3</f>
        <v>0</v>
      </c>
      <c r="T49" s="126" t="n">
        <f aca="false">L49/$R$3</f>
        <v>0</v>
      </c>
      <c r="U49" s="126" t="n">
        <f aca="false">I49/$R$3</f>
        <v>0</v>
      </c>
      <c r="V49" s="126" t="n">
        <f aca="false">M49/$R$3</f>
        <v>0</v>
      </c>
      <c r="W49" s="126" t="n">
        <f aca="false">N49/$R$3</f>
        <v>0</v>
      </c>
    </row>
    <row r="50" customFormat="false" ht="12.75" hidden="true" customHeight="false" outlineLevel="0" collapsed="false">
      <c r="A50" s="120" t="n">
        <f aca="false">A49+1</f>
        <v>36936</v>
      </c>
      <c r="B50" s="131" t="str">
        <f aca="false">INDEX('Master Data'!$A$2:$B$8,MATCH(WEEKDAY('Modesto Maranzana Power'!A50,3),'Master Data'!$A$2:$A$8,0),2)</f>
        <v>W</v>
      </c>
      <c r="D50" s="124" t="n">
        <v>0</v>
      </c>
      <c r="E50" s="124" t="n">
        <v>0</v>
      </c>
      <c r="F50" s="124" t="n">
        <v>0</v>
      </c>
      <c r="G50" s="124" t="n">
        <v>0</v>
      </c>
      <c r="I50" s="124" t="n">
        <f aca="false">IF(MONTH($A50)=MONTH($A49),IF(G50=0,I49,G50),G50)</f>
        <v>0</v>
      </c>
      <c r="J50" s="124" t="n">
        <f aca="false">IF(MONTH($A50)=MONTH($A49),SUM(I50-I49),I50)</f>
        <v>0</v>
      </c>
      <c r="K50" s="124" t="n">
        <f aca="false">IF(WEEKDAY(A50,3)&gt;4,0,(IF(A50&lt;K$2,0,IF(A50&lt;=K$3,1,0))))</f>
        <v>0</v>
      </c>
      <c r="L50" s="124" t="n">
        <f aca="false">J50*K50</f>
        <v>0</v>
      </c>
      <c r="M50" s="124" t="n">
        <f aca="false">SUM(J$6:J50)</f>
        <v>0</v>
      </c>
      <c r="N50" s="124" t="n">
        <f aca="false">SUM(J$6:J50)</f>
        <v>0</v>
      </c>
      <c r="P50" s="124" t="n">
        <f aca="false">D50/P$3</f>
        <v>0</v>
      </c>
      <c r="Q50" s="124" t="n">
        <f aca="false">E50/P$3</f>
        <v>0</v>
      </c>
      <c r="R50" s="124" t="n">
        <f aca="false">F50/R$3</f>
        <v>0</v>
      </c>
      <c r="S50" s="126" t="n">
        <f aca="false">J50/$R$3</f>
        <v>0</v>
      </c>
      <c r="T50" s="126" t="n">
        <f aca="false">L50/$R$3</f>
        <v>0</v>
      </c>
      <c r="U50" s="126" t="n">
        <f aca="false">I50/$R$3</f>
        <v>0</v>
      </c>
      <c r="V50" s="126" t="n">
        <f aca="false">M50/$R$3</f>
        <v>0</v>
      </c>
      <c r="W50" s="126" t="n">
        <f aca="false">N50/$R$3</f>
        <v>0</v>
      </c>
    </row>
    <row r="51" customFormat="false" ht="12.75" hidden="true" customHeight="false" outlineLevel="0" collapsed="false">
      <c r="A51" s="120" t="n">
        <f aca="false">A50+1</f>
        <v>36937</v>
      </c>
      <c r="B51" s="131" t="str">
        <f aca="false">INDEX('Master Data'!$A$2:$B$8,MATCH(WEEKDAY('Modesto Maranzana Power'!A51,3),'Master Data'!$A$2:$A$8,0),2)</f>
        <v>Th</v>
      </c>
      <c r="D51" s="124" t="n">
        <v>0</v>
      </c>
      <c r="E51" s="124" t="n">
        <v>0</v>
      </c>
      <c r="F51" s="124" t="n">
        <v>0</v>
      </c>
      <c r="G51" s="124" t="n">
        <v>0</v>
      </c>
      <c r="I51" s="124" t="n">
        <f aca="false">IF(MONTH($A51)=MONTH($A50),IF(G51=0,I50,G51),G51)</f>
        <v>0</v>
      </c>
      <c r="J51" s="124" t="n">
        <f aca="false">IF(MONTH($A51)=MONTH($A50),SUM(I51-I50),I51)</f>
        <v>0</v>
      </c>
      <c r="K51" s="124" t="n">
        <f aca="false">IF(WEEKDAY(A51,3)&gt;4,0,(IF(A51&lt;K$2,0,IF(A51&lt;=K$3,1,0))))</f>
        <v>0</v>
      </c>
      <c r="L51" s="124" t="n">
        <f aca="false">J51*K51</f>
        <v>0</v>
      </c>
      <c r="M51" s="124" t="n">
        <f aca="false">SUM(J$6:J51)</f>
        <v>0</v>
      </c>
      <c r="N51" s="124" t="n">
        <f aca="false">SUM(J$6:J51)</f>
        <v>0</v>
      </c>
      <c r="P51" s="124" t="n">
        <f aca="false">D51/P$3</f>
        <v>0</v>
      </c>
      <c r="Q51" s="124" t="n">
        <f aca="false">E51/P$3</f>
        <v>0</v>
      </c>
      <c r="R51" s="124" t="n">
        <f aca="false">F51/R$3</f>
        <v>0</v>
      </c>
      <c r="S51" s="126" t="n">
        <f aca="false">J51/$R$3</f>
        <v>0</v>
      </c>
      <c r="T51" s="126" t="n">
        <f aca="false">L51/$R$3</f>
        <v>0</v>
      </c>
      <c r="U51" s="126" t="n">
        <f aca="false">I51/$R$3</f>
        <v>0</v>
      </c>
      <c r="V51" s="126" t="n">
        <f aca="false">M51/$R$3</f>
        <v>0</v>
      </c>
      <c r="W51" s="126" t="n">
        <f aca="false">N51/$R$3</f>
        <v>0</v>
      </c>
    </row>
    <row r="52" customFormat="false" ht="12.75" hidden="true" customHeight="false" outlineLevel="0" collapsed="false">
      <c r="A52" s="120" t="n">
        <f aca="false">A51+1</f>
        <v>36938</v>
      </c>
      <c r="B52" s="131" t="str">
        <f aca="false">INDEX('Master Data'!$A$2:$B$8,MATCH(WEEKDAY('Modesto Maranzana Power'!A52,3),'Master Data'!$A$2:$A$8,0),2)</f>
        <v>F</v>
      </c>
      <c r="D52" s="124" t="n">
        <v>0</v>
      </c>
      <c r="E52" s="124" t="n">
        <v>0</v>
      </c>
      <c r="F52" s="124" t="n">
        <v>0</v>
      </c>
      <c r="G52" s="124" t="n">
        <v>0</v>
      </c>
      <c r="I52" s="124" t="n">
        <f aca="false">IF(MONTH($A52)=MONTH($A51),IF(G52=0,I51,G52),G52)</f>
        <v>0</v>
      </c>
      <c r="J52" s="124" t="n">
        <f aca="false">IF(MONTH($A52)=MONTH($A51),SUM(I52-I51),I52)</f>
        <v>0</v>
      </c>
      <c r="K52" s="124" t="n">
        <f aca="false">IF(WEEKDAY(A52,3)&gt;4,0,(IF(A52&lt;K$2,0,IF(A52&lt;=K$3,1,0))))</f>
        <v>0</v>
      </c>
      <c r="L52" s="124" t="n">
        <f aca="false">J52*K52</f>
        <v>0</v>
      </c>
      <c r="M52" s="124" t="n">
        <f aca="false">SUM(J$6:J52)</f>
        <v>0</v>
      </c>
      <c r="N52" s="124" t="n">
        <f aca="false">SUM(J$6:J52)</f>
        <v>0</v>
      </c>
      <c r="P52" s="124" t="n">
        <f aca="false">D52/P$3</f>
        <v>0</v>
      </c>
      <c r="Q52" s="124" t="n">
        <f aca="false">E52/P$3</f>
        <v>0</v>
      </c>
      <c r="R52" s="124" t="n">
        <f aca="false">F52/R$3</f>
        <v>0</v>
      </c>
      <c r="S52" s="126" t="n">
        <f aca="false">J52/$R$3</f>
        <v>0</v>
      </c>
      <c r="T52" s="126" t="n">
        <f aca="false">L52/$R$3</f>
        <v>0</v>
      </c>
      <c r="U52" s="126" t="n">
        <f aca="false">I52/$R$3</f>
        <v>0</v>
      </c>
      <c r="V52" s="126" t="n">
        <f aca="false">M52/$R$3</f>
        <v>0</v>
      </c>
      <c r="W52" s="126" t="n">
        <f aca="false">N52/$R$3</f>
        <v>0</v>
      </c>
    </row>
    <row r="53" customFormat="false" ht="12.75" hidden="true" customHeight="false" outlineLevel="0" collapsed="false">
      <c r="A53" s="120" t="n">
        <f aca="false">A52+1</f>
        <v>36939</v>
      </c>
      <c r="B53" s="131" t="str">
        <f aca="false">INDEX('Master Data'!$A$2:$B$8,MATCH(WEEKDAY('Modesto Maranzana Power'!A53,3),'Master Data'!$A$2:$A$8,0),2)</f>
        <v>Sa</v>
      </c>
      <c r="D53" s="124" t="n">
        <v>0</v>
      </c>
      <c r="E53" s="124" t="n">
        <v>0</v>
      </c>
      <c r="F53" s="124" t="n">
        <v>0</v>
      </c>
      <c r="G53" s="124" t="n">
        <v>0</v>
      </c>
      <c r="I53" s="124" t="n">
        <f aca="false">IF(MONTH($A53)=MONTH($A52),IF(G53=0,I52,G53),G53)</f>
        <v>0</v>
      </c>
      <c r="J53" s="124" t="n">
        <f aca="false">IF(MONTH($A53)=MONTH($A52),SUM(I53-I52),I53)</f>
        <v>0</v>
      </c>
      <c r="K53" s="124" t="n">
        <f aca="false">IF(WEEKDAY(A53,3)&gt;4,0,(IF(A53&lt;K$2,0,IF(A53&lt;=K$3,1,0))))</f>
        <v>0</v>
      </c>
      <c r="L53" s="124" t="n">
        <f aca="false">J53*K53</f>
        <v>0</v>
      </c>
      <c r="M53" s="124" t="n">
        <f aca="false">SUM(J$6:J53)</f>
        <v>0</v>
      </c>
      <c r="N53" s="124" t="n">
        <f aca="false">SUM(J$6:J53)</f>
        <v>0</v>
      </c>
      <c r="P53" s="124" t="n">
        <f aca="false">D53/P$3</f>
        <v>0</v>
      </c>
      <c r="Q53" s="124" t="n">
        <f aca="false">E53/P$3</f>
        <v>0</v>
      </c>
      <c r="R53" s="124" t="n">
        <f aca="false">F53/R$3</f>
        <v>0</v>
      </c>
      <c r="S53" s="126" t="n">
        <f aca="false">J53/$R$3</f>
        <v>0</v>
      </c>
      <c r="T53" s="126" t="n">
        <f aca="false">L53/$R$3</f>
        <v>0</v>
      </c>
      <c r="U53" s="126" t="n">
        <f aca="false">I53/$R$3</f>
        <v>0</v>
      </c>
      <c r="V53" s="126" t="n">
        <f aca="false">M53/$R$3</f>
        <v>0</v>
      </c>
      <c r="W53" s="126" t="n">
        <f aca="false">N53/$R$3</f>
        <v>0</v>
      </c>
    </row>
    <row r="54" customFormat="false" ht="12.75" hidden="true" customHeight="false" outlineLevel="0" collapsed="false">
      <c r="A54" s="120" t="n">
        <f aca="false">A53+1</f>
        <v>36940</v>
      </c>
      <c r="B54" s="131" t="str">
        <f aca="false">INDEX('Master Data'!$A$2:$B$8,MATCH(WEEKDAY('Modesto Maranzana Power'!A54,3),'Master Data'!$A$2:$A$8,0),2)</f>
        <v>Su</v>
      </c>
      <c r="D54" s="124" t="n">
        <v>0</v>
      </c>
      <c r="E54" s="124" t="n">
        <v>0</v>
      </c>
      <c r="F54" s="124" t="n">
        <v>0</v>
      </c>
      <c r="G54" s="124" t="n">
        <v>0</v>
      </c>
      <c r="I54" s="124" t="n">
        <f aca="false">IF(MONTH($A54)=MONTH($A53),IF(G54=0,I53,G54),G54)</f>
        <v>0</v>
      </c>
      <c r="J54" s="124" t="n">
        <f aca="false">IF(MONTH($A54)=MONTH($A53),SUM(I54-I53),I54)</f>
        <v>0</v>
      </c>
      <c r="K54" s="124" t="n">
        <f aca="false">IF(WEEKDAY(A54,3)&gt;4,0,(IF(A54&lt;K$2,0,IF(A54&lt;=K$3,1,0))))</f>
        <v>0</v>
      </c>
      <c r="L54" s="124" t="n">
        <f aca="false">J54*K54</f>
        <v>0</v>
      </c>
      <c r="M54" s="124" t="n">
        <f aca="false">SUM(J$6:J54)</f>
        <v>0</v>
      </c>
      <c r="N54" s="124" t="n">
        <f aca="false">SUM(J$6:J54)</f>
        <v>0</v>
      </c>
      <c r="P54" s="124" t="n">
        <f aca="false">D54/P$3</f>
        <v>0</v>
      </c>
      <c r="Q54" s="124" t="n">
        <f aca="false">E54/P$3</f>
        <v>0</v>
      </c>
      <c r="R54" s="124" t="n">
        <f aca="false">F54/R$3</f>
        <v>0</v>
      </c>
      <c r="S54" s="126" t="n">
        <f aca="false">J54/$R$3</f>
        <v>0</v>
      </c>
      <c r="T54" s="126" t="n">
        <f aca="false">L54/$R$3</f>
        <v>0</v>
      </c>
      <c r="U54" s="126" t="n">
        <f aca="false">I54/$R$3</f>
        <v>0</v>
      </c>
      <c r="V54" s="126" t="n">
        <f aca="false">M54/$R$3</f>
        <v>0</v>
      </c>
      <c r="W54" s="126" t="n">
        <f aca="false">N54/$R$3</f>
        <v>0</v>
      </c>
    </row>
    <row r="55" customFormat="false" ht="12.75" hidden="true" customHeight="false" outlineLevel="0" collapsed="false">
      <c r="A55" s="120" t="n">
        <f aca="false">A54+1</f>
        <v>36941</v>
      </c>
      <c r="B55" s="131" t="str">
        <f aca="false">INDEX('Master Data'!$A$2:$B$8,MATCH(WEEKDAY('Modesto Maranzana Power'!A55,3),'Master Data'!$A$2:$A$8,0),2)</f>
        <v>M</v>
      </c>
      <c r="D55" s="124" t="n">
        <v>0</v>
      </c>
      <c r="E55" s="124" t="n">
        <v>0</v>
      </c>
      <c r="F55" s="124" t="n">
        <v>0</v>
      </c>
      <c r="G55" s="124" t="n">
        <v>0</v>
      </c>
      <c r="I55" s="124" t="n">
        <f aca="false">IF(MONTH($A55)=MONTH($A54),IF(G55=0,I54,G55),G55)</f>
        <v>0</v>
      </c>
      <c r="J55" s="124" t="n">
        <f aca="false">IF(MONTH($A55)=MONTH($A54),SUM(I55-I54),I55)</f>
        <v>0</v>
      </c>
      <c r="K55" s="124" t="n">
        <f aca="false">IF(WEEKDAY(A55,3)&gt;4,0,(IF(A55&lt;K$2,0,IF(A55&lt;=K$3,1,0))))</f>
        <v>0</v>
      </c>
      <c r="L55" s="124" t="n">
        <f aca="false">J55*K55</f>
        <v>0</v>
      </c>
      <c r="M55" s="124" t="n">
        <f aca="false">SUM(J$6:J55)</f>
        <v>0</v>
      </c>
      <c r="N55" s="124" t="n">
        <f aca="false">SUM(J$6:J55)</f>
        <v>0</v>
      </c>
      <c r="P55" s="124" t="n">
        <f aca="false">D55/P$3</f>
        <v>0</v>
      </c>
      <c r="Q55" s="124" t="n">
        <f aca="false">E55/P$3</f>
        <v>0</v>
      </c>
      <c r="R55" s="124" t="n">
        <f aca="false">F55/R$3</f>
        <v>0</v>
      </c>
      <c r="S55" s="126" t="n">
        <f aca="false">J55/$R$3</f>
        <v>0</v>
      </c>
      <c r="T55" s="126" t="n">
        <f aca="false">L55/$R$3</f>
        <v>0</v>
      </c>
      <c r="U55" s="126" t="n">
        <f aca="false">I55/$R$3</f>
        <v>0</v>
      </c>
      <c r="V55" s="126" t="n">
        <f aca="false">M55/$R$3</f>
        <v>0</v>
      </c>
      <c r="W55" s="126" t="n">
        <f aca="false">N55/$R$3</f>
        <v>0</v>
      </c>
    </row>
    <row r="56" customFormat="false" ht="12.75" hidden="true" customHeight="false" outlineLevel="0" collapsed="false">
      <c r="A56" s="120" t="n">
        <f aca="false">A55+1</f>
        <v>36942</v>
      </c>
      <c r="B56" s="131" t="str">
        <f aca="false">INDEX('Master Data'!$A$2:$B$8,MATCH(WEEKDAY('Modesto Maranzana Power'!A56,3),'Master Data'!$A$2:$A$8,0),2)</f>
        <v>T</v>
      </c>
      <c r="D56" s="124" t="n">
        <v>0</v>
      </c>
      <c r="E56" s="124" t="n">
        <v>0</v>
      </c>
      <c r="F56" s="124" t="n">
        <v>0</v>
      </c>
      <c r="G56" s="124" t="n">
        <v>0</v>
      </c>
      <c r="I56" s="124" t="n">
        <f aca="false">IF(MONTH($A56)=MONTH($A55),IF(G56=0,I55,G56),G56)</f>
        <v>0</v>
      </c>
      <c r="J56" s="124" t="n">
        <f aca="false">IF(MONTH($A56)=MONTH($A55),SUM(I56-I55),I56)</f>
        <v>0</v>
      </c>
      <c r="K56" s="124" t="n">
        <f aca="false">IF(WEEKDAY(A56,3)&gt;4,0,(IF(A56&lt;K$2,0,IF(A56&lt;=K$3,1,0))))</f>
        <v>0</v>
      </c>
      <c r="L56" s="124" t="n">
        <f aca="false">J56*K56</f>
        <v>0</v>
      </c>
      <c r="M56" s="124" t="n">
        <f aca="false">SUM(J$6:J56)</f>
        <v>0</v>
      </c>
      <c r="N56" s="124" t="n">
        <f aca="false">SUM(J$6:J56)</f>
        <v>0</v>
      </c>
      <c r="P56" s="124" t="n">
        <f aca="false">D56/P$3</f>
        <v>0</v>
      </c>
      <c r="Q56" s="124" t="n">
        <f aca="false">E56/P$3</f>
        <v>0</v>
      </c>
      <c r="R56" s="124" t="n">
        <f aca="false">F56/R$3</f>
        <v>0</v>
      </c>
      <c r="S56" s="126" t="n">
        <f aca="false">J56/$R$3</f>
        <v>0</v>
      </c>
      <c r="T56" s="126" t="n">
        <f aca="false">L56/$R$3</f>
        <v>0</v>
      </c>
      <c r="U56" s="126" t="n">
        <f aca="false">I56/$R$3</f>
        <v>0</v>
      </c>
      <c r="V56" s="126" t="n">
        <f aca="false">M56/$R$3</f>
        <v>0</v>
      </c>
      <c r="W56" s="126" t="n">
        <f aca="false">N56/$R$3</f>
        <v>0</v>
      </c>
    </row>
    <row r="57" customFormat="false" ht="12.75" hidden="true" customHeight="false" outlineLevel="0" collapsed="false">
      <c r="A57" s="120" t="n">
        <f aca="false">A56+1</f>
        <v>36943</v>
      </c>
      <c r="B57" s="131" t="str">
        <f aca="false">INDEX('Master Data'!$A$2:$B$8,MATCH(WEEKDAY('Modesto Maranzana Power'!A57,3),'Master Data'!$A$2:$A$8,0),2)</f>
        <v>W</v>
      </c>
      <c r="D57" s="124" t="n">
        <v>0</v>
      </c>
      <c r="E57" s="124" t="n">
        <v>0</v>
      </c>
      <c r="F57" s="124" t="n">
        <v>0</v>
      </c>
      <c r="G57" s="124" t="n">
        <v>0</v>
      </c>
      <c r="I57" s="124" t="n">
        <f aca="false">IF(MONTH($A57)=MONTH($A56),IF(G57=0,I56,G57),G57)</f>
        <v>0</v>
      </c>
      <c r="J57" s="124" t="n">
        <f aca="false">IF(MONTH($A57)=MONTH($A56),SUM(I57-I56),I57)</f>
        <v>0</v>
      </c>
      <c r="K57" s="124" t="n">
        <f aca="false">IF(WEEKDAY(A57,3)&gt;4,0,(IF(A57&lt;K$2,0,IF(A57&lt;=K$3,1,0))))</f>
        <v>0</v>
      </c>
      <c r="L57" s="124" t="n">
        <f aca="false">J57*K57</f>
        <v>0</v>
      </c>
      <c r="M57" s="124" t="n">
        <f aca="false">SUM(J$6:J57)</f>
        <v>0</v>
      </c>
      <c r="N57" s="124" t="n">
        <f aca="false">SUM(J$6:J57)</f>
        <v>0</v>
      </c>
      <c r="P57" s="124" t="n">
        <f aca="false">D57/P$3</f>
        <v>0</v>
      </c>
      <c r="Q57" s="124" t="n">
        <f aca="false">E57/P$3</f>
        <v>0</v>
      </c>
      <c r="R57" s="124" t="n">
        <f aca="false">F57/R$3</f>
        <v>0</v>
      </c>
      <c r="S57" s="126" t="n">
        <f aca="false">J57/$R$3</f>
        <v>0</v>
      </c>
      <c r="T57" s="126" t="n">
        <f aca="false">L57/$R$3</f>
        <v>0</v>
      </c>
      <c r="U57" s="126" t="n">
        <f aca="false">I57/$R$3</f>
        <v>0</v>
      </c>
      <c r="V57" s="126" t="n">
        <f aca="false">M57/$R$3</f>
        <v>0</v>
      </c>
      <c r="W57" s="126" t="n">
        <f aca="false">N57/$R$3</f>
        <v>0</v>
      </c>
    </row>
    <row r="58" customFormat="false" ht="12.75" hidden="true" customHeight="false" outlineLevel="0" collapsed="false">
      <c r="A58" s="120" t="n">
        <f aca="false">A57+1</f>
        <v>36944</v>
      </c>
      <c r="B58" s="131" t="str">
        <f aca="false">INDEX('Master Data'!$A$2:$B$8,MATCH(WEEKDAY('Modesto Maranzana Power'!A58,3),'Master Data'!$A$2:$A$8,0),2)</f>
        <v>Th</v>
      </c>
      <c r="D58" s="124" t="n">
        <v>0</v>
      </c>
      <c r="E58" s="124" t="n">
        <v>0</v>
      </c>
      <c r="F58" s="124" t="n">
        <v>0</v>
      </c>
      <c r="G58" s="124" t="n">
        <v>0</v>
      </c>
      <c r="I58" s="124" t="n">
        <f aca="false">IF(MONTH($A58)=MONTH($A57),IF(G58=0,I57,G58),G58)</f>
        <v>0</v>
      </c>
      <c r="J58" s="124" t="n">
        <f aca="false">IF(MONTH($A58)=MONTH($A57),SUM(I58-I57),I58)</f>
        <v>0</v>
      </c>
      <c r="K58" s="124" t="n">
        <f aca="false">IF(WEEKDAY(A58,3)&gt;4,0,(IF(A58&lt;K$2,0,IF(A58&lt;=K$3,1,0))))</f>
        <v>0</v>
      </c>
      <c r="L58" s="124" t="n">
        <f aca="false">J58*K58</f>
        <v>0</v>
      </c>
      <c r="M58" s="124" t="n">
        <f aca="false">SUM(J$6:J58)</f>
        <v>0</v>
      </c>
      <c r="N58" s="124" t="n">
        <f aca="false">SUM(J$6:J58)</f>
        <v>0</v>
      </c>
      <c r="P58" s="124" t="n">
        <f aca="false">D58/P$3</f>
        <v>0</v>
      </c>
      <c r="Q58" s="124" t="n">
        <f aca="false">E58/P$3</f>
        <v>0</v>
      </c>
      <c r="R58" s="124" t="n">
        <f aca="false">F58/R$3</f>
        <v>0</v>
      </c>
      <c r="S58" s="126" t="n">
        <f aca="false">J58/$R$3</f>
        <v>0</v>
      </c>
      <c r="T58" s="126" t="n">
        <f aca="false">L58/$R$3</f>
        <v>0</v>
      </c>
      <c r="U58" s="126" t="n">
        <f aca="false">I58/$R$3</f>
        <v>0</v>
      </c>
      <c r="V58" s="126" t="n">
        <f aca="false">M58/$R$3</f>
        <v>0</v>
      </c>
      <c r="W58" s="126" t="n">
        <f aca="false">N58/$R$3</f>
        <v>0</v>
      </c>
    </row>
    <row r="59" customFormat="false" ht="12.75" hidden="true" customHeight="false" outlineLevel="0" collapsed="false">
      <c r="A59" s="120" t="n">
        <f aca="false">A58+1</f>
        <v>36945</v>
      </c>
      <c r="B59" s="131" t="str">
        <f aca="false">INDEX('Master Data'!$A$2:$B$8,MATCH(WEEKDAY('Modesto Maranzana Power'!A59,3),'Master Data'!$A$2:$A$8,0),2)</f>
        <v>F</v>
      </c>
      <c r="D59" s="124" t="n">
        <v>0</v>
      </c>
      <c r="E59" s="124" t="n">
        <v>0</v>
      </c>
      <c r="F59" s="124" t="n">
        <v>0</v>
      </c>
      <c r="G59" s="124" t="n">
        <v>0</v>
      </c>
      <c r="I59" s="124" t="n">
        <f aca="false">IF(MONTH($A59)=MONTH($A58),IF(G59=0,I58,G59),G59)</f>
        <v>0</v>
      </c>
      <c r="J59" s="124" t="n">
        <f aca="false">IF(MONTH($A59)=MONTH($A58),SUM(I59-I58),I59)</f>
        <v>0</v>
      </c>
      <c r="K59" s="124" t="n">
        <f aca="false">IF(WEEKDAY(A59,3)&gt;4,0,(IF(A59&lt;K$2,0,IF(A59&lt;=K$3,1,0))))</f>
        <v>0</v>
      </c>
      <c r="L59" s="124" t="n">
        <f aca="false">J59*K59</f>
        <v>0</v>
      </c>
      <c r="M59" s="124" t="n">
        <f aca="false">SUM(J$6:J59)</f>
        <v>0</v>
      </c>
      <c r="N59" s="124" t="n">
        <f aca="false">SUM(J$6:J59)</f>
        <v>0</v>
      </c>
      <c r="P59" s="124" t="n">
        <f aca="false">D59/P$3</f>
        <v>0</v>
      </c>
      <c r="Q59" s="124" t="n">
        <f aca="false">E59/P$3</f>
        <v>0</v>
      </c>
      <c r="R59" s="124" t="n">
        <f aca="false">F59/R$3</f>
        <v>0</v>
      </c>
      <c r="S59" s="126" t="n">
        <f aca="false">J59/$R$3</f>
        <v>0</v>
      </c>
      <c r="T59" s="126" t="n">
        <f aca="false">L59/$R$3</f>
        <v>0</v>
      </c>
      <c r="U59" s="126" t="n">
        <f aca="false">I59/$R$3</f>
        <v>0</v>
      </c>
      <c r="V59" s="126" t="n">
        <f aca="false">M59/$R$3</f>
        <v>0</v>
      </c>
      <c r="W59" s="126" t="n">
        <f aca="false">N59/$R$3</f>
        <v>0</v>
      </c>
    </row>
    <row r="60" customFormat="false" ht="12.75" hidden="true" customHeight="false" outlineLevel="0" collapsed="false">
      <c r="A60" s="120" t="n">
        <f aca="false">A59+1</f>
        <v>36946</v>
      </c>
      <c r="B60" s="131" t="str">
        <f aca="false">INDEX('Master Data'!$A$2:$B$8,MATCH(WEEKDAY('Modesto Maranzana Power'!A60,3),'Master Data'!$A$2:$A$8,0),2)</f>
        <v>Sa</v>
      </c>
      <c r="D60" s="124" t="n">
        <v>0</v>
      </c>
      <c r="E60" s="124" t="n">
        <v>0</v>
      </c>
      <c r="F60" s="124" t="n">
        <v>0</v>
      </c>
      <c r="G60" s="124" t="n">
        <v>0</v>
      </c>
      <c r="I60" s="124" t="n">
        <f aca="false">IF(MONTH($A60)=MONTH($A59),IF(G60=0,I59,G60),G60)</f>
        <v>0</v>
      </c>
      <c r="J60" s="124" t="n">
        <f aca="false">IF(MONTH($A60)=MONTH($A59),SUM(I60-I59),I60)</f>
        <v>0</v>
      </c>
      <c r="K60" s="124" t="n">
        <f aca="false">IF(WEEKDAY(A60,3)&gt;4,0,(IF(A60&lt;K$2,0,IF(A60&lt;=K$3,1,0))))</f>
        <v>0</v>
      </c>
      <c r="L60" s="124" t="n">
        <f aca="false">J60*K60</f>
        <v>0</v>
      </c>
      <c r="M60" s="124" t="n">
        <f aca="false">SUM(J$6:J60)</f>
        <v>0</v>
      </c>
      <c r="N60" s="124" t="n">
        <f aca="false">SUM(J$6:J60)</f>
        <v>0</v>
      </c>
      <c r="P60" s="124" t="n">
        <f aca="false">D60/P$3</f>
        <v>0</v>
      </c>
      <c r="Q60" s="124" t="n">
        <f aca="false">E60/P$3</f>
        <v>0</v>
      </c>
      <c r="R60" s="124" t="n">
        <f aca="false">F60/R$3</f>
        <v>0</v>
      </c>
      <c r="S60" s="126" t="n">
        <f aca="false">J60/$R$3</f>
        <v>0</v>
      </c>
      <c r="T60" s="126" t="n">
        <f aca="false">L60/$R$3</f>
        <v>0</v>
      </c>
      <c r="U60" s="126" t="n">
        <f aca="false">I60/$R$3</f>
        <v>0</v>
      </c>
      <c r="V60" s="126" t="n">
        <f aca="false">M60/$R$3</f>
        <v>0</v>
      </c>
      <c r="W60" s="126" t="n">
        <f aca="false">N60/$R$3</f>
        <v>0</v>
      </c>
    </row>
    <row r="61" customFormat="false" ht="12.75" hidden="true" customHeight="false" outlineLevel="0" collapsed="false">
      <c r="A61" s="120" t="n">
        <f aca="false">A60+1</f>
        <v>36947</v>
      </c>
      <c r="B61" s="131" t="str">
        <f aca="false">INDEX('Master Data'!$A$2:$B$8,MATCH(WEEKDAY('Modesto Maranzana Power'!A61,3),'Master Data'!$A$2:$A$8,0),2)</f>
        <v>Su</v>
      </c>
      <c r="D61" s="124" t="n">
        <v>0</v>
      </c>
      <c r="E61" s="124" t="n">
        <v>0</v>
      </c>
      <c r="F61" s="124" t="n">
        <v>0</v>
      </c>
      <c r="G61" s="124" t="n">
        <v>0</v>
      </c>
      <c r="I61" s="124" t="n">
        <f aca="false">IF(MONTH($A61)=MONTH($A60),IF(G61=0,I60,G61),G61)</f>
        <v>0</v>
      </c>
      <c r="J61" s="124" t="n">
        <f aca="false">IF(MONTH($A61)=MONTH($A60),SUM(I61-I60),I61)</f>
        <v>0</v>
      </c>
      <c r="K61" s="124" t="n">
        <f aca="false">IF(WEEKDAY(A61,3)&gt;4,0,(IF(A61&lt;K$2,0,IF(A61&lt;=K$3,1,0))))</f>
        <v>0</v>
      </c>
      <c r="L61" s="124" t="n">
        <f aca="false">J61*K61</f>
        <v>0</v>
      </c>
      <c r="M61" s="124" t="n">
        <f aca="false">SUM(J$6:J61)</f>
        <v>0</v>
      </c>
      <c r="N61" s="124" t="n">
        <f aca="false">SUM(J$6:J61)</f>
        <v>0</v>
      </c>
      <c r="P61" s="124" t="n">
        <f aca="false">D61/P$3</f>
        <v>0</v>
      </c>
      <c r="Q61" s="124" t="n">
        <f aca="false">E61/P$3</f>
        <v>0</v>
      </c>
      <c r="R61" s="124" t="n">
        <f aca="false">F61/R$3</f>
        <v>0</v>
      </c>
      <c r="S61" s="126" t="n">
        <f aca="false">J61/$R$3</f>
        <v>0</v>
      </c>
      <c r="T61" s="126" t="n">
        <f aca="false">L61/$R$3</f>
        <v>0</v>
      </c>
      <c r="U61" s="126" t="n">
        <f aca="false">I61/$R$3</f>
        <v>0</v>
      </c>
      <c r="V61" s="126" t="n">
        <f aca="false">M61/$R$3</f>
        <v>0</v>
      </c>
      <c r="W61" s="126" t="n">
        <f aca="false">N61/$R$3</f>
        <v>0</v>
      </c>
    </row>
    <row r="62" customFormat="false" ht="12.75" hidden="true" customHeight="false" outlineLevel="0" collapsed="false">
      <c r="A62" s="120" t="n">
        <f aca="false">A61+1</f>
        <v>36948</v>
      </c>
      <c r="B62" s="131" t="str">
        <f aca="false">INDEX('Master Data'!$A$2:$B$8,MATCH(WEEKDAY('Modesto Maranzana Power'!A62,3),'Master Data'!$A$2:$A$8,0),2)</f>
        <v>M</v>
      </c>
      <c r="D62" s="124" t="n">
        <v>0</v>
      </c>
      <c r="E62" s="124" t="n">
        <v>0</v>
      </c>
      <c r="F62" s="124" t="n">
        <v>0</v>
      </c>
      <c r="G62" s="124" t="n">
        <v>0</v>
      </c>
      <c r="I62" s="124" t="n">
        <f aca="false">IF(MONTH($A62)=MONTH($A61),IF(G62=0,I61,G62),G62)</f>
        <v>0</v>
      </c>
      <c r="J62" s="124" t="n">
        <f aca="false">IF(MONTH($A62)=MONTH($A61),SUM(I62-I61),I62)</f>
        <v>0</v>
      </c>
      <c r="K62" s="124" t="n">
        <f aca="false">IF(WEEKDAY(A62,3)&gt;4,0,(IF(A62&lt;K$2,0,IF(A62&lt;=K$3,1,0))))</f>
        <v>0</v>
      </c>
      <c r="L62" s="124" t="n">
        <f aca="false">J62*K62</f>
        <v>0</v>
      </c>
      <c r="M62" s="124" t="n">
        <f aca="false">SUM(J$6:J62)</f>
        <v>0</v>
      </c>
      <c r="N62" s="124" t="n">
        <f aca="false">SUM(J$6:J62)</f>
        <v>0</v>
      </c>
      <c r="P62" s="124" t="n">
        <f aca="false">D62/P$3</f>
        <v>0</v>
      </c>
      <c r="Q62" s="124" t="n">
        <f aca="false">E62/P$3</f>
        <v>0</v>
      </c>
      <c r="R62" s="124" t="n">
        <f aca="false">F62/R$3</f>
        <v>0</v>
      </c>
      <c r="S62" s="126" t="n">
        <f aca="false">J62/$R$3</f>
        <v>0</v>
      </c>
      <c r="T62" s="126" t="n">
        <f aca="false">L62/$R$3</f>
        <v>0</v>
      </c>
      <c r="U62" s="126" t="n">
        <f aca="false">I62/$R$3</f>
        <v>0</v>
      </c>
      <c r="V62" s="126" t="n">
        <f aca="false">M62/$R$3</f>
        <v>0</v>
      </c>
      <c r="W62" s="126" t="n">
        <f aca="false">N62/$R$3</f>
        <v>0</v>
      </c>
    </row>
    <row r="63" customFormat="false" ht="12.75" hidden="true" customHeight="false" outlineLevel="0" collapsed="false">
      <c r="A63" s="120" t="n">
        <f aca="false">A62+1</f>
        <v>36949</v>
      </c>
      <c r="B63" s="131" t="str">
        <f aca="false">INDEX('Master Data'!$A$2:$B$8,MATCH(WEEKDAY('Modesto Maranzana Power'!A63,3),'Master Data'!$A$2:$A$8,0),2)</f>
        <v>T</v>
      </c>
      <c r="D63" s="124" t="n">
        <v>0</v>
      </c>
      <c r="E63" s="124" t="n">
        <v>0</v>
      </c>
      <c r="F63" s="124" t="n">
        <v>0</v>
      </c>
      <c r="G63" s="124" t="n">
        <v>0</v>
      </c>
      <c r="I63" s="124" t="n">
        <f aca="false">IF(MONTH($A63)=MONTH($A62),IF(G63=0,I62,G63),G63)</f>
        <v>0</v>
      </c>
      <c r="J63" s="124" t="n">
        <f aca="false">IF(MONTH($A63)=MONTH($A62),SUM(I63-I62),I63)</f>
        <v>0</v>
      </c>
      <c r="K63" s="124" t="n">
        <f aca="false">IF(WEEKDAY(A63,3)&gt;4,0,(IF(A63&lt;K$2,0,IF(A63&lt;=K$3,1,0))))</f>
        <v>0</v>
      </c>
      <c r="L63" s="124" t="n">
        <f aca="false">J63*K63</f>
        <v>0</v>
      </c>
      <c r="M63" s="124" t="n">
        <f aca="false">SUM(J$6:J63)</f>
        <v>0</v>
      </c>
      <c r="N63" s="124" t="n">
        <f aca="false">SUM(J$6:J63)</f>
        <v>0</v>
      </c>
      <c r="P63" s="124" t="n">
        <f aca="false">D63/P$3</f>
        <v>0</v>
      </c>
      <c r="Q63" s="124" t="n">
        <f aca="false">E63/P$3</f>
        <v>0</v>
      </c>
      <c r="R63" s="124" t="n">
        <f aca="false">F63/R$3</f>
        <v>0</v>
      </c>
      <c r="S63" s="126" t="n">
        <f aca="false">J63/$R$3</f>
        <v>0</v>
      </c>
      <c r="T63" s="126" t="n">
        <f aca="false">L63/$R$3</f>
        <v>0</v>
      </c>
      <c r="U63" s="126" t="n">
        <f aca="false">I63/$R$3</f>
        <v>0</v>
      </c>
      <c r="V63" s="126" t="n">
        <f aca="false">M63/$R$3</f>
        <v>0</v>
      </c>
      <c r="W63" s="126" t="n">
        <f aca="false">N63/$R$3</f>
        <v>0</v>
      </c>
    </row>
    <row r="64" customFormat="false" ht="12.75" hidden="true" customHeight="false" outlineLevel="0" collapsed="false">
      <c r="A64" s="120" t="n">
        <f aca="false">A63+1</f>
        <v>36950</v>
      </c>
      <c r="B64" s="131" t="str">
        <f aca="false">INDEX('Master Data'!$A$2:$B$8,MATCH(WEEKDAY('Modesto Maranzana Power'!A64,3),'Master Data'!$A$2:$A$8,0),2)</f>
        <v>W</v>
      </c>
      <c r="D64" s="124" t="n">
        <v>0</v>
      </c>
      <c r="E64" s="124" t="n">
        <v>0</v>
      </c>
      <c r="F64" s="124" t="n">
        <v>0</v>
      </c>
      <c r="G64" s="124" t="n">
        <v>0</v>
      </c>
      <c r="I64" s="124" t="n">
        <f aca="false">IF(MONTH($A64)=MONTH($A63),IF(G64=0,I63,G64),G64)</f>
        <v>0</v>
      </c>
      <c r="J64" s="124" t="n">
        <f aca="false">IF(MONTH($A64)=MONTH($A63),SUM(I64-I63),I64)</f>
        <v>0</v>
      </c>
      <c r="K64" s="124" t="n">
        <f aca="false">IF(WEEKDAY(A64,3)&gt;4,0,(IF(A64&lt;K$2,0,IF(A64&lt;=K$3,1,0))))</f>
        <v>0</v>
      </c>
      <c r="L64" s="124" t="n">
        <f aca="false">J64*K64</f>
        <v>0</v>
      </c>
      <c r="M64" s="124" t="n">
        <f aca="false">SUM(J$6:J64)</f>
        <v>0</v>
      </c>
      <c r="N64" s="124" t="n">
        <f aca="false">SUM(J$6:J64)</f>
        <v>0</v>
      </c>
      <c r="P64" s="124" t="n">
        <f aca="false">D64/P$3</f>
        <v>0</v>
      </c>
      <c r="Q64" s="124" t="n">
        <f aca="false">E64/P$3</f>
        <v>0</v>
      </c>
      <c r="R64" s="124" t="n">
        <f aca="false">F64/R$3</f>
        <v>0</v>
      </c>
      <c r="S64" s="126" t="n">
        <f aca="false">J64/$R$3</f>
        <v>0</v>
      </c>
      <c r="T64" s="126" t="n">
        <f aca="false">L64/$R$3</f>
        <v>0</v>
      </c>
      <c r="U64" s="126" t="n">
        <f aca="false">I64/$R$3</f>
        <v>0</v>
      </c>
      <c r="V64" s="126" t="n">
        <f aca="false">M64/$R$3</f>
        <v>0</v>
      </c>
      <c r="W64" s="126" t="n">
        <f aca="false">N64/$R$3</f>
        <v>0</v>
      </c>
    </row>
    <row r="65" customFormat="false" ht="12.75" hidden="true" customHeight="false" outlineLevel="0" collapsed="false">
      <c r="A65" s="120" t="n">
        <f aca="false">A64+1</f>
        <v>36951</v>
      </c>
      <c r="B65" s="131" t="str">
        <f aca="false">INDEX('Master Data'!$A$2:$B$8,MATCH(WEEKDAY('Modesto Maranzana Power'!A65,3),'Master Data'!$A$2:$A$8,0),2)</f>
        <v>Th</v>
      </c>
      <c r="D65" s="124" t="n">
        <v>0</v>
      </c>
      <c r="E65" s="124" t="n">
        <v>0</v>
      </c>
      <c r="F65" s="124" t="n">
        <v>0</v>
      </c>
      <c r="G65" s="124" t="n">
        <v>0</v>
      </c>
      <c r="I65" s="124" t="n">
        <f aca="false">IF(MONTH($A65)=MONTH($A64),IF(G65=0,I64,G65),G65)</f>
        <v>0</v>
      </c>
      <c r="J65" s="124" t="n">
        <f aca="false">IF(MONTH($A65)=MONTH($A64),SUM(I65-I64),I65)</f>
        <v>0</v>
      </c>
      <c r="K65" s="124" t="n">
        <f aca="false">IF(WEEKDAY(A65,3)&gt;4,0,(IF(A65&lt;K$2,0,IF(A65&lt;=K$3,1,0))))</f>
        <v>0</v>
      </c>
      <c r="L65" s="124" t="n">
        <f aca="false">J65*K65</f>
        <v>0</v>
      </c>
      <c r="M65" s="124" t="n">
        <f aca="false">SUM(J$6:J65)</f>
        <v>0</v>
      </c>
      <c r="N65" s="124" t="n">
        <f aca="false">SUM(J$6:J65)</f>
        <v>0</v>
      </c>
      <c r="P65" s="124" t="n">
        <f aca="false">D65/P$3</f>
        <v>0</v>
      </c>
      <c r="Q65" s="124" t="n">
        <f aca="false">E65/P$3</f>
        <v>0</v>
      </c>
      <c r="R65" s="124" t="n">
        <f aca="false">F65/R$3</f>
        <v>0</v>
      </c>
      <c r="S65" s="126" t="n">
        <f aca="false">J65/$R$3</f>
        <v>0</v>
      </c>
      <c r="T65" s="126" t="n">
        <f aca="false">L65/$R$3</f>
        <v>0</v>
      </c>
      <c r="U65" s="126" t="n">
        <f aca="false">I65/$R$3</f>
        <v>0</v>
      </c>
      <c r="V65" s="126" t="n">
        <f aca="false">M65/$R$3</f>
        <v>0</v>
      </c>
      <c r="W65" s="126" t="n">
        <f aca="false">N65/$R$3</f>
        <v>0</v>
      </c>
    </row>
    <row r="66" customFormat="false" ht="12.75" hidden="true" customHeight="false" outlineLevel="0" collapsed="false">
      <c r="A66" s="120" t="n">
        <f aca="false">A65+1</f>
        <v>36952</v>
      </c>
      <c r="B66" s="131" t="str">
        <f aca="false">INDEX('Master Data'!$A$2:$B$8,MATCH(WEEKDAY('Modesto Maranzana Power'!A66,3),'Master Data'!$A$2:$A$8,0),2)</f>
        <v>F</v>
      </c>
      <c r="D66" s="124" t="n">
        <v>0</v>
      </c>
      <c r="E66" s="124" t="n">
        <v>0</v>
      </c>
      <c r="F66" s="124" t="n">
        <v>0</v>
      </c>
      <c r="G66" s="124" t="n">
        <v>0</v>
      </c>
      <c r="I66" s="124" t="n">
        <f aca="false">IF(MONTH($A66)=MONTH($A65),IF(G66=0,I65,G66),G66)</f>
        <v>0</v>
      </c>
      <c r="J66" s="124" t="n">
        <f aca="false">IF(MONTH($A66)=MONTH($A65),SUM(I66-I65),I66)</f>
        <v>0</v>
      </c>
      <c r="K66" s="124" t="n">
        <f aca="false">IF(WEEKDAY(A66,3)&gt;4,0,(IF(A66&lt;K$2,0,IF(A66&lt;=K$3,1,0))))</f>
        <v>0</v>
      </c>
      <c r="L66" s="124" t="n">
        <f aca="false">J66*K66</f>
        <v>0</v>
      </c>
      <c r="M66" s="124" t="n">
        <f aca="false">SUM(J$6:J66)</f>
        <v>0</v>
      </c>
      <c r="N66" s="124" t="n">
        <f aca="false">SUM(J$6:J66)</f>
        <v>0</v>
      </c>
      <c r="P66" s="124" t="n">
        <f aca="false">D66/P$3</f>
        <v>0</v>
      </c>
      <c r="Q66" s="124" t="n">
        <f aca="false">E66/P$3</f>
        <v>0</v>
      </c>
      <c r="R66" s="124" t="n">
        <f aca="false">F66/R$3</f>
        <v>0</v>
      </c>
      <c r="S66" s="126" t="n">
        <f aca="false">J66/$R$3</f>
        <v>0</v>
      </c>
      <c r="T66" s="126" t="n">
        <f aca="false">L66/$R$3</f>
        <v>0</v>
      </c>
      <c r="U66" s="126" t="n">
        <f aca="false">I66/$R$3</f>
        <v>0</v>
      </c>
      <c r="V66" s="126" t="n">
        <f aca="false">M66/$R$3</f>
        <v>0</v>
      </c>
      <c r="W66" s="126" t="n">
        <f aca="false">N66/$R$3</f>
        <v>0</v>
      </c>
    </row>
    <row r="67" customFormat="false" ht="12.75" hidden="true" customHeight="false" outlineLevel="0" collapsed="false">
      <c r="A67" s="120" t="n">
        <f aca="false">A66+1</f>
        <v>36953</v>
      </c>
      <c r="B67" s="131" t="str">
        <f aca="false">INDEX('Master Data'!$A$2:$B$8,MATCH(WEEKDAY('Modesto Maranzana Power'!A67,3),'Master Data'!$A$2:$A$8,0),2)</f>
        <v>Sa</v>
      </c>
      <c r="D67" s="124" t="n">
        <v>0</v>
      </c>
      <c r="E67" s="124" t="n">
        <v>0</v>
      </c>
      <c r="F67" s="124" t="n">
        <v>0</v>
      </c>
      <c r="G67" s="124" t="n">
        <v>0</v>
      </c>
      <c r="I67" s="124" t="n">
        <f aca="false">IF(MONTH($A67)=MONTH($A66),IF(G67=0,I66,G67),G67)</f>
        <v>0</v>
      </c>
      <c r="J67" s="124" t="n">
        <f aca="false">IF(MONTH($A67)=MONTH($A66),SUM(I67-I66),I67)</f>
        <v>0</v>
      </c>
      <c r="K67" s="124" t="n">
        <f aca="false">IF(WEEKDAY(A67,3)&gt;4,0,(IF(A67&lt;K$2,0,IF(A67&lt;=K$3,1,0))))</f>
        <v>0</v>
      </c>
      <c r="L67" s="124" t="n">
        <f aca="false">J67*K67</f>
        <v>0</v>
      </c>
      <c r="M67" s="124" t="n">
        <f aca="false">SUM(J$6:J67)</f>
        <v>0</v>
      </c>
      <c r="N67" s="124" t="n">
        <f aca="false">SUM(J$6:J67)</f>
        <v>0</v>
      </c>
      <c r="P67" s="124" t="n">
        <f aca="false">D67/P$3</f>
        <v>0</v>
      </c>
      <c r="Q67" s="124" t="n">
        <f aca="false">E67/P$3</f>
        <v>0</v>
      </c>
      <c r="R67" s="124" t="n">
        <f aca="false">F67/R$3</f>
        <v>0</v>
      </c>
      <c r="S67" s="126" t="n">
        <f aca="false">J67/$R$3</f>
        <v>0</v>
      </c>
      <c r="T67" s="126" t="n">
        <f aca="false">L67/$R$3</f>
        <v>0</v>
      </c>
      <c r="U67" s="126" t="n">
        <f aca="false">I67/$R$3</f>
        <v>0</v>
      </c>
      <c r="V67" s="126" t="n">
        <f aca="false">M67/$R$3</f>
        <v>0</v>
      </c>
      <c r="W67" s="126" t="n">
        <f aca="false">N67/$R$3</f>
        <v>0</v>
      </c>
    </row>
    <row r="68" customFormat="false" ht="12.75" hidden="true" customHeight="false" outlineLevel="0" collapsed="false">
      <c r="A68" s="120" t="n">
        <f aca="false">A67+1</f>
        <v>36954</v>
      </c>
      <c r="B68" s="131" t="str">
        <f aca="false">INDEX('Master Data'!$A$2:$B$8,MATCH(WEEKDAY('Modesto Maranzana Power'!A68,3),'Master Data'!$A$2:$A$8,0),2)</f>
        <v>Su</v>
      </c>
      <c r="D68" s="124" t="n">
        <v>0</v>
      </c>
      <c r="E68" s="124" t="n">
        <v>0</v>
      </c>
      <c r="F68" s="124" t="n">
        <v>0</v>
      </c>
      <c r="G68" s="124" t="n">
        <v>0</v>
      </c>
      <c r="I68" s="124" t="n">
        <f aca="false">IF(MONTH($A68)=MONTH($A67),IF(G68=0,I67,G68),G68)</f>
        <v>0</v>
      </c>
      <c r="J68" s="124" t="n">
        <f aca="false">IF(MONTH($A68)=MONTH($A67),SUM(I68-I67),I68)</f>
        <v>0</v>
      </c>
      <c r="K68" s="124" t="n">
        <f aca="false">IF(WEEKDAY(A68,3)&gt;4,0,(IF(A68&lt;K$2,0,IF(A68&lt;=K$3,1,0))))</f>
        <v>0</v>
      </c>
      <c r="L68" s="124" t="n">
        <f aca="false">J68*K68</f>
        <v>0</v>
      </c>
      <c r="M68" s="124" t="n">
        <f aca="false">SUM(J$6:J68)</f>
        <v>0</v>
      </c>
      <c r="N68" s="124" t="n">
        <f aca="false">SUM(J$6:J68)</f>
        <v>0</v>
      </c>
      <c r="P68" s="124" t="n">
        <f aca="false">D68/P$3</f>
        <v>0</v>
      </c>
      <c r="Q68" s="124" t="n">
        <f aca="false">E68/P$3</f>
        <v>0</v>
      </c>
      <c r="R68" s="124" t="n">
        <f aca="false">F68/R$3</f>
        <v>0</v>
      </c>
      <c r="S68" s="126" t="n">
        <f aca="false">J68/$R$3</f>
        <v>0</v>
      </c>
      <c r="T68" s="126" t="n">
        <f aca="false">L68/$R$3</f>
        <v>0</v>
      </c>
      <c r="U68" s="126" t="n">
        <f aca="false">I68/$R$3</f>
        <v>0</v>
      </c>
      <c r="V68" s="126" t="n">
        <f aca="false">M68/$R$3</f>
        <v>0</v>
      </c>
      <c r="W68" s="126" t="n">
        <f aca="false">N68/$R$3</f>
        <v>0</v>
      </c>
    </row>
    <row r="69" customFormat="false" ht="12.75" hidden="true" customHeight="false" outlineLevel="0" collapsed="false">
      <c r="A69" s="120" t="n">
        <f aca="false">A68+1</f>
        <v>36955</v>
      </c>
      <c r="B69" s="131" t="str">
        <f aca="false">INDEX('Master Data'!$A$2:$B$8,MATCH(WEEKDAY('Modesto Maranzana Power'!A69,3),'Master Data'!$A$2:$A$8,0),2)</f>
        <v>M</v>
      </c>
      <c r="D69" s="124" t="n">
        <v>0</v>
      </c>
      <c r="E69" s="124" t="n">
        <v>0</v>
      </c>
      <c r="F69" s="124" t="n">
        <v>0</v>
      </c>
      <c r="G69" s="124" t="n">
        <v>0</v>
      </c>
      <c r="I69" s="124" t="n">
        <f aca="false">IF(MONTH($A69)=MONTH($A68),IF(G69=0,I68,G69),G69)</f>
        <v>0</v>
      </c>
      <c r="J69" s="124" t="n">
        <f aca="false">IF(MONTH($A69)=MONTH($A68),SUM(I69-I68),I69)</f>
        <v>0</v>
      </c>
      <c r="K69" s="124" t="n">
        <f aca="false">IF(WEEKDAY(A69,3)&gt;4,0,(IF(A69&lt;K$2,0,IF(A69&lt;=K$3,1,0))))</f>
        <v>0</v>
      </c>
      <c r="L69" s="124" t="n">
        <f aca="false">J69*K69</f>
        <v>0</v>
      </c>
      <c r="M69" s="124" t="n">
        <f aca="false">SUM(J$6:J69)</f>
        <v>0</v>
      </c>
      <c r="N69" s="124" t="n">
        <f aca="false">SUM(J$6:J69)</f>
        <v>0</v>
      </c>
      <c r="P69" s="124" t="n">
        <f aca="false">D69/P$3</f>
        <v>0</v>
      </c>
      <c r="Q69" s="124" t="n">
        <f aca="false">E69/P$3</f>
        <v>0</v>
      </c>
      <c r="R69" s="124" t="n">
        <f aca="false">F69/R$3</f>
        <v>0</v>
      </c>
      <c r="S69" s="126" t="n">
        <f aca="false">J69/$R$3</f>
        <v>0</v>
      </c>
      <c r="T69" s="126" t="n">
        <f aca="false">L69/$R$3</f>
        <v>0</v>
      </c>
      <c r="U69" s="126" t="n">
        <f aca="false">I69/$R$3</f>
        <v>0</v>
      </c>
      <c r="V69" s="126" t="n">
        <f aca="false">M69/$R$3</f>
        <v>0</v>
      </c>
      <c r="W69" s="126" t="n">
        <f aca="false">N69/$R$3</f>
        <v>0</v>
      </c>
    </row>
    <row r="70" customFormat="false" ht="12.75" hidden="true" customHeight="false" outlineLevel="0" collapsed="false">
      <c r="A70" s="120" t="n">
        <f aca="false">A69+1</f>
        <v>36956</v>
      </c>
      <c r="B70" s="131" t="str">
        <f aca="false">INDEX('Master Data'!$A$2:$B$8,MATCH(WEEKDAY('Modesto Maranzana Power'!A70,3),'Master Data'!$A$2:$A$8,0),2)</f>
        <v>T</v>
      </c>
      <c r="D70" s="124" t="n">
        <v>0</v>
      </c>
      <c r="E70" s="124" t="n">
        <v>0</v>
      </c>
      <c r="F70" s="124" t="n">
        <v>0</v>
      </c>
      <c r="G70" s="124" t="n">
        <v>0</v>
      </c>
      <c r="I70" s="124" t="n">
        <f aca="false">IF(MONTH($A70)=MONTH($A69),IF(G70=0,I69,G70),G70)</f>
        <v>0</v>
      </c>
      <c r="J70" s="124" t="n">
        <f aca="false">IF(MONTH($A70)=MONTH($A69),SUM(I70-I69),I70)</f>
        <v>0</v>
      </c>
      <c r="K70" s="124" t="n">
        <f aca="false">IF(WEEKDAY(A70,3)&gt;4,0,(IF(A70&lt;K$2,0,IF(A70&lt;=K$3,1,0))))</f>
        <v>0</v>
      </c>
      <c r="L70" s="124" t="n">
        <f aca="false">J70*K70</f>
        <v>0</v>
      </c>
      <c r="M70" s="124" t="n">
        <f aca="false">SUM(J$6:J70)</f>
        <v>0</v>
      </c>
      <c r="N70" s="124" t="n">
        <f aca="false">SUM(J$6:J70)</f>
        <v>0</v>
      </c>
      <c r="P70" s="124" t="n">
        <f aca="false">D70/P$3</f>
        <v>0</v>
      </c>
      <c r="Q70" s="124" t="n">
        <f aca="false">E70/P$3</f>
        <v>0</v>
      </c>
      <c r="R70" s="124" t="n">
        <f aca="false">F70/R$3</f>
        <v>0</v>
      </c>
      <c r="S70" s="126" t="n">
        <f aca="false">J70/$R$3</f>
        <v>0</v>
      </c>
      <c r="T70" s="126" t="n">
        <f aca="false">L70/$R$3</f>
        <v>0</v>
      </c>
      <c r="U70" s="126" t="n">
        <f aca="false">I70/$R$3</f>
        <v>0</v>
      </c>
      <c r="V70" s="126" t="n">
        <f aca="false">M70/$R$3</f>
        <v>0</v>
      </c>
      <c r="W70" s="126" t="n">
        <f aca="false">N70/$R$3</f>
        <v>0</v>
      </c>
    </row>
    <row r="71" customFormat="false" ht="12.75" hidden="true" customHeight="false" outlineLevel="0" collapsed="false">
      <c r="A71" s="120" t="n">
        <f aca="false">A70+1</f>
        <v>36957</v>
      </c>
      <c r="B71" s="131" t="str">
        <f aca="false">INDEX('Master Data'!$A$2:$B$8,MATCH(WEEKDAY('Modesto Maranzana Power'!A71,3),'Master Data'!$A$2:$A$8,0),2)</f>
        <v>W</v>
      </c>
      <c r="D71" s="124" t="n">
        <v>0</v>
      </c>
      <c r="E71" s="124" t="n">
        <v>0</v>
      </c>
      <c r="F71" s="124" t="n">
        <v>0</v>
      </c>
      <c r="G71" s="124" t="n">
        <v>0</v>
      </c>
      <c r="I71" s="124" t="n">
        <f aca="false">IF(MONTH($A71)=MONTH($A70),IF(G71=0,I70,G71),G71)</f>
        <v>0</v>
      </c>
      <c r="J71" s="124" t="n">
        <f aca="false">IF(MONTH($A71)=MONTH($A70),SUM(I71-I70),I71)</f>
        <v>0</v>
      </c>
      <c r="K71" s="124" t="n">
        <f aca="false">IF(WEEKDAY(A71,3)&gt;4,0,(IF(A71&lt;K$2,0,IF(A71&lt;=K$3,1,0))))</f>
        <v>0</v>
      </c>
      <c r="L71" s="124" t="n">
        <f aca="false">J71*K71</f>
        <v>0</v>
      </c>
      <c r="M71" s="124" t="n">
        <f aca="false">SUM(J$6:J71)</f>
        <v>0</v>
      </c>
      <c r="N71" s="124" t="n">
        <f aca="false">SUM(J$6:J71)</f>
        <v>0</v>
      </c>
      <c r="P71" s="124" t="n">
        <f aca="false">D71/P$3</f>
        <v>0</v>
      </c>
      <c r="Q71" s="124" t="n">
        <f aca="false">E71/P$3</f>
        <v>0</v>
      </c>
      <c r="R71" s="124" t="n">
        <f aca="false">F71/R$3</f>
        <v>0</v>
      </c>
      <c r="S71" s="126" t="n">
        <f aca="false">J71/$R$3</f>
        <v>0</v>
      </c>
      <c r="T71" s="126" t="n">
        <f aca="false">L71/$R$3</f>
        <v>0</v>
      </c>
      <c r="U71" s="126" t="n">
        <f aca="false">I71/$R$3</f>
        <v>0</v>
      </c>
      <c r="V71" s="126" t="n">
        <f aca="false">M71/$R$3</f>
        <v>0</v>
      </c>
      <c r="W71" s="126" t="n">
        <f aca="false">N71/$R$3</f>
        <v>0</v>
      </c>
    </row>
    <row r="72" customFormat="false" ht="12.75" hidden="true" customHeight="false" outlineLevel="0" collapsed="false">
      <c r="A72" s="120" t="n">
        <f aca="false">A71+1</f>
        <v>36958</v>
      </c>
      <c r="B72" s="131" t="str">
        <f aca="false">INDEX('Master Data'!$A$2:$B$8,MATCH(WEEKDAY('Modesto Maranzana Power'!A72,3),'Master Data'!$A$2:$A$8,0),2)</f>
        <v>Th</v>
      </c>
      <c r="D72" s="124" t="n">
        <v>0</v>
      </c>
      <c r="E72" s="124" t="n">
        <v>0</v>
      </c>
      <c r="F72" s="124" t="n">
        <v>0</v>
      </c>
      <c r="G72" s="124" t="n">
        <v>0</v>
      </c>
      <c r="I72" s="124" t="n">
        <f aca="false">IF(MONTH($A72)=MONTH($A71),IF(G72=0,I71,G72),G72)</f>
        <v>0</v>
      </c>
      <c r="J72" s="124" t="n">
        <f aca="false">IF(MONTH($A72)=MONTH($A71),SUM(I72-I71),I72)</f>
        <v>0</v>
      </c>
      <c r="K72" s="124" t="n">
        <f aca="false">IF(WEEKDAY(A72,3)&gt;4,0,(IF(A72&lt;K$2,0,IF(A72&lt;=K$3,1,0))))</f>
        <v>0</v>
      </c>
      <c r="L72" s="124" t="n">
        <f aca="false">J72*K72</f>
        <v>0</v>
      </c>
      <c r="M72" s="124" t="n">
        <f aca="false">SUM(J$6:J72)</f>
        <v>0</v>
      </c>
      <c r="N72" s="124" t="n">
        <f aca="false">SUM(J$6:J72)</f>
        <v>0</v>
      </c>
      <c r="P72" s="124" t="n">
        <f aca="false">D72/P$3</f>
        <v>0</v>
      </c>
      <c r="Q72" s="124" t="n">
        <f aca="false">E72/P$3</f>
        <v>0</v>
      </c>
      <c r="R72" s="124" t="n">
        <f aca="false">F72/R$3</f>
        <v>0</v>
      </c>
      <c r="S72" s="126" t="n">
        <f aca="false">J72/$R$3</f>
        <v>0</v>
      </c>
      <c r="T72" s="126" t="n">
        <f aca="false">L72/$R$3</f>
        <v>0</v>
      </c>
      <c r="U72" s="126" t="n">
        <f aca="false">I72/$R$3</f>
        <v>0</v>
      </c>
      <c r="V72" s="126" t="n">
        <f aca="false">M72/$R$3</f>
        <v>0</v>
      </c>
      <c r="W72" s="126" t="n">
        <f aca="false">N72/$R$3</f>
        <v>0</v>
      </c>
    </row>
    <row r="73" customFormat="false" ht="12.75" hidden="true" customHeight="false" outlineLevel="0" collapsed="false">
      <c r="A73" s="120" t="n">
        <f aca="false">A72+1</f>
        <v>36959</v>
      </c>
      <c r="B73" s="131" t="str">
        <f aca="false">INDEX('Master Data'!$A$2:$B$8,MATCH(WEEKDAY('Modesto Maranzana Power'!A73,3),'Master Data'!$A$2:$A$8,0),2)</f>
        <v>F</v>
      </c>
      <c r="D73" s="124" t="n">
        <v>0</v>
      </c>
      <c r="E73" s="124" t="n">
        <v>0</v>
      </c>
      <c r="F73" s="124" t="n">
        <v>0</v>
      </c>
      <c r="G73" s="124" t="n">
        <v>0</v>
      </c>
      <c r="I73" s="124" t="n">
        <f aca="false">IF(MONTH($A73)=MONTH($A72),IF(G73=0,I72,G73),G73)</f>
        <v>0</v>
      </c>
      <c r="J73" s="124" t="n">
        <f aca="false">IF(MONTH($A73)=MONTH($A72),SUM(I73-I72),I73)</f>
        <v>0</v>
      </c>
      <c r="K73" s="124" t="n">
        <f aca="false">IF(WEEKDAY(A73,3)&gt;4,0,(IF(A73&lt;K$2,0,IF(A73&lt;=K$3,1,0))))</f>
        <v>0</v>
      </c>
      <c r="L73" s="124" t="n">
        <f aca="false">J73*K73</f>
        <v>0</v>
      </c>
      <c r="M73" s="124" t="n">
        <f aca="false">SUM(J$6:J73)</f>
        <v>0</v>
      </c>
      <c r="N73" s="124" t="n">
        <f aca="false">SUM(J$6:J73)</f>
        <v>0</v>
      </c>
      <c r="P73" s="124" t="n">
        <f aca="false">D73/P$3</f>
        <v>0</v>
      </c>
      <c r="Q73" s="124" t="n">
        <f aca="false">E73/P$3</f>
        <v>0</v>
      </c>
      <c r="R73" s="124" t="n">
        <f aca="false">F73/R$3</f>
        <v>0</v>
      </c>
      <c r="S73" s="126" t="n">
        <f aca="false">J73/$R$3</f>
        <v>0</v>
      </c>
      <c r="T73" s="126" t="n">
        <f aca="false">L73/$R$3</f>
        <v>0</v>
      </c>
      <c r="U73" s="126" t="n">
        <f aca="false">I73/$R$3</f>
        <v>0</v>
      </c>
      <c r="V73" s="126" t="n">
        <f aca="false">M73/$R$3</f>
        <v>0</v>
      </c>
      <c r="W73" s="126" t="n">
        <f aca="false">N73/$R$3</f>
        <v>0</v>
      </c>
    </row>
    <row r="74" customFormat="false" ht="12.75" hidden="true" customHeight="false" outlineLevel="0" collapsed="false">
      <c r="A74" s="120" t="n">
        <f aca="false">A73+1</f>
        <v>36960</v>
      </c>
      <c r="B74" s="131" t="str">
        <f aca="false">INDEX('Master Data'!$A$2:$B$8,MATCH(WEEKDAY('Modesto Maranzana Power'!A74,3),'Master Data'!$A$2:$A$8,0),2)</f>
        <v>Sa</v>
      </c>
      <c r="D74" s="124" t="n">
        <v>0</v>
      </c>
      <c r="E74" s="124" t="n">
        <v>0</v>
      </c>
      <c r="F74" s="124" t="n">
        <v>0</v>
      </c>
      <c r="G74" s="124" t="n">
        <v>0</v>
      </c>
      <c r="I74" s="124" t="n">
        <f aca="false">IF(MONTH($A74)=MONTH($A73),IF(G74=0,I73,G74),G74)</f>
        <v>0</v>
      </c>
      <c r="J74" s="124" t="n">
        <f aca="false">IF(MONTH($A74)=MONTH($A73),SUM(I74-I73),I74)</f>
        <v>0</v>
      </c>
      <c r="K74" s="124" t="n">
        <f aca="false">IF(WEEKDAY(A74,3)&gt;4,0,(IF(A74&lt;K$2,0,IF(A74&lt;=K$3,1,0))))</f>
        <v>0</v>
      </c>
      <c r="L74" s="124" t="n">
        <f aca="false">J74*K74</f>
        <v>0</v>
      </c>
      <c r="M74" s="124" t="n">
        <f aca="false">SUM(J$6:J74)</f>
        <v>0</v>
      </c>
      <c r="N74" s="124" t="n">
        <f aca="false">SUM(J$6:J74)</f>
        <v>0</v>
      </c>
      <c r="P74" s="124" t="n">
        <f aca="false">D74/P$3</f>
        <v>0</v>
      </c>
      <c r="Q74" s="124" t="n">
        <f aca="false">E74/P$3</f>
        <v>0</v>
      </c>
      <c r="R74" s="124" t="n">
        <f aca="false">F74/R$3</f>
        <v>0</v>
      </c>
      <c r="S74" s="126" t="n">
        <f aca="false">J74/$R$3</f>
        <v>0</v>
      </c>
      <c r="T74" s="126" t="n">
        <f aca="false">L74/$R$3</f>
        <v>0</v>
      </c>
      <c r="U74" s="126" t="n">
        <f aca="false">I74/$R$3</f>
        <v>0</v>
      </c>
      <c r="V74" s="126" t="n">
        <f aca="false">M74/$R$3</f>
        <v>0</v>
      </c>
      <c r="W74" s="126" t="n">
        <f aca="false">N74/$R$3</f>
        <v>0</v>
      </c>
    </row>
    <row r="75" customFormat="false" ht="12.75" hidden="true" customHeight="false" outlineLevel="0" collapsed="false">
      <c r="A75" s="120" t="n">
        <f aca="false">A74+1</f>
        <v>36961</v>
      </c>
      <c r="B75" s="131" t="str">
        <f aca="false">INDEX('Master Data'!$A$2:$B$8,MATCH(WEEKDAY('Modesto Maranzana Power'!A75,3),'Master Data'!$A$2:$A$8,0),2)</f>
        <v>Su</v>
      </c>
      <c r="D75" s="124" t="n">
        <v>0</v>
      </c>
      <c r="E75" s="124" t="n">
        <v>0</v>
      </c>
      <c r="F75" s="124" t="n">
        <v>0</v>
      </c>
      <c r="G75" s="124" t="n">
        <v>0</v>
      </c>
      <c r="I75" s="124" t="n">
        <f aca="false">IF(MONTH($A75)=MONTH($A74),IF(G75=0,I74,G75),G75)</f>
        <v>0</v>
      </c>
      <c r="J75" s="124" t="n">
        <f aca="false">IF(MONTH($A75)=MONTH($A74),SUM(I75-I74),I75)</f>
        <v>0</v>
      </c>
      <c r="K75" s="124" t="n">
        <f aca="false">IF(WEEKDAY(A75,3)&gt;4,0,(IF(A75&lt;K$2,0,IF(A75&lt;=K$3,1,0))))</f>
        <v>0</v>
      </c>
      <c r="L75" s="124" t="n">
        <f aca="false">J75*K75</f>
        <v>0</v>
      </c>
      <c r="M75" s="124" t="n">
        <f aca="false">SUM(J$6:J75)</f>
        <v>0</v>
      </c>
      <c r="N75" s="124" t="n">
        <f aca="false">SUM(J$6:J75)</f>
        <v>0</v>
      </c>
      <c r="P75" s="124" t="n">
        <f aca="false">D75/P$3</f>
        <v>0</v>
      </c>
      <c r="Q75" s="124" t="n">
        <f aca="false">E75/P$3</f>
        <v>0</v>
      </c>
      <c r="R75" s="124" t="n">
        <f aca="false">F75/R$3</f>
        <v>0</v>
      </c>
      <c r="S75" s="126" t="n">
        <f aca="false">J75/$R$3</f>
        <v>0</v>
      </c>
      <c r="T75" s="126" t="n">
        <f aca="false">L75/$R$3</f>
        <v>0</v>
      </c>
      <c r="U75" s="126" t="n">
        <f aca="false">I75/$R$3</f>
        <v>0</v>
      </c>
      <c r="V75" s="126" t="n">
        <f aca="false">M75/$R$3</f>
        <v>0</v>
      </c>
      <c r="W75" s="126" t="n">
        <f aca="false">N75/$R$3</f>
        <v>0</v>
      </c>
    </row>
    <row r="76" customFormat="false" ht="12.75" hidden="true" customHeight="false" outlineLevel="0" collapsed="false">
      <c r="A76" s="120" t="n">
        <f aca="false">A75+1</f>
        <v>36962</v>
      </c>
      <c r="B76" s="131" t="str">
        <f aca="false">INDEX('Master Data'!$A$2:$B$8,MATCH(WEEKDAY('Modesto Maranzana Power'!A76,3),'Master Data'!$A$2:$A$8,0),2)</f>
        <v>M</v>
      </c>
      <c r="D76" s="124" t="n">
        <v>0</v>
      </c>
      <c r="E76" s="124" t="n">
        <v>0</v>
      </c>
      <c r="F76" s="124" t="n">
        <v>0</v>
      </c>
      <c r="G76" s="124" t="n">
        <v>0</v>
      </c>
      <c r="I76" s="124" t="n">
        <f aca="false">IF(MONTH($A76)=MONTH($A75),IF(G76=0,I75,G76),G76)</f>
        <v>0</v>
      </c>
      <c r="J76" s="124" t="n">
        <f aca="false">IF(MONTH($A76)=MONTH($A75),SUM(I76-I75),I76)</f>
        <v>0</v>
      </c>
      <c r="K76" s="124" t="n">
        <f aca="false">IF(WEEKDAY(A76,3)&gt;4,0,(IF(A76&lt;K$2,0,IF(A76&lt;=K$3,1,0))))</f>
        <v>0</v>
      </c>
      <c r="L76" s="124" t="n">
        <f aca="false">J76*K76</f>
        <v>0</v>
      </c>
      <c r="M76" s="124" t="n">
        <f aca="false">SUM(J$6:J76)</f>
        <v>0</v>
      </c>
      <c r="N76" s="124" t="n">
        <f aca="false">SUM(J$6:J76)</f>
        <v>0</v>
      </c>
      <c r="P76" s="124" t="n">
        <f aca="false">D76/P$3</f>
        <v>0</v>
      </c>
      <c r="Q76" s="124" t="n">
        <f aca="false">E76/P$3</f>
        <v>0</v>
      </c>
      <c r="R76" s="124" t="n">
        <f aca="false">F76/R$3</f>
        <v>0</v>
      </c>
      <c r="S76" s="126" t="n">
        <f aca="false">J76/$R$3</f>
        <v>0</v>
      </c>
      <c r="T76" s="126" t="n">
        <f aca="false">L76/$R$3</f>
        <v>0</v>
      </c>
      <c r="U76" s="126" t="n">
        <f aca="false">I76/$R$3</f>
        <v>0</v>
      </c>
      <c r="V76" s="126" t="n">
        <f aca="false">M76/$R$3</f>
        <v>0</v>
      </c>
      <c r="W76" s="126" t="n">
        <f aca="false">N76/$R$3</f>
        <v>0</v>
      </c>
    </row>
    <row r="77" customFormat="false" ht="12.75" hidden="true" customHeight="false" outlineLevel="0" collapsed="false">
      <c r="A77" s="120" t="n">
        <f aca="false">A76+1</f>
        <v>36963</v>
      </c>
      <c r="B77" s="131" t="str">
        <f aca="false">INDEX('Master Data'!$A$2:$B$8,MATCH(WEEKDAY('Modesto Maranzana Power'!A77,3),'Master Data'!$A$2:$A$8,0),2)</f>
        <v>T</v>
      </c>
      <c r="D77" s="124" t="n">
        <v>0</v>
      </c>
      <c r="E77" s="124" t="n">
        <v>0</v>
      </c>
      <c r="F77" s="124" t="n">
        <v>0</v>
      </c>
      <c r="G77" s="124" t="n">
        <v>0</v>
      </c>
      <c r="I77" s="124" t="n">
        <f aca="false">IF(MONTH($A77)=MONTH($A76),IF(G77=0,I76,G77),G77)</f>
        <v>0</v>
      </c>
      <c r="J77" s="124" t="n">
        <f aca="false">IF(MONTH($A77)=MONTH($A76),SUM(I77-I76),I77)</f>
        <v>0</v>
      </c>
      <c r="K77" s="124" t="n">
        <f aca="false">IF(WEEKDAY(A77,3)&gt;4,0,(IF(A77&lt;K$2,0,IF(A77&lt;=K$3,1,0))))</f>
        <v>0</v>
      </c>
      <c r="L77" s="124" t="n">
        <f aca="false">J77*K77</f>
        <v>0</v>
      </c>
      <c r="M77" s="124" t="n">
        <f aca="false">SUM(J$6:J77)</f>
        <v>0</v>
      </c>
      <c r="N77" s="124" t="n">
        <f aca="false">SUM(J$6:J77)</f>
        <v>0</v>
      </c>
      <c r="P77" s="124" t="n">
        <f aca="false">D77/P$3</f>
        <v>0</v>
      </c>
      <c r="Q77" s="124" t="n">
        <f aca="false">E77/P$3</f>
        <v>0</v>
      </c>
      <c r="R77" s="124" t="n">
        <f aca="false">F77/R$3</f>
        <v>0</v>
      </c>
      <c r="S77" s="126" t="n">
        <f aca="false">J77/$R$3</f>
        <v>0</v>
      </c>
      <c r="T77" s="126" t="n">
        <f aca="false">L77/$R$3</f>
        <v>0</v>
      </c>
      <c r="U77" s="126" t="n">
        <f aca="false">I77/$R$3</f>
        <v>0</v>
      </c>
      <c r="V77" s="126" t="n">
        <f aca="false">M77/$R$3</f>
        <v>0</v>
      </c>
      <c r="W77" s="126" t="n">
        <f aca="false">N77/$R$3</f>
        <v>0</v>
      </c>
    </row>
    <row r="78" customFormat="false" ht="12.75" hidden="true" customHeight="false" outlineLevel="0" collapsed="false">
      <c r="A78" s="120" t="n">
        <f aca="false">A77+1</f>
        <v>36964</v>
      </c>
      <c r="B78" s="131" t="str">
        <f aca="false">INDEX('Master Data'!$A$2:$B$8,MATCH(WEEKDAY('Modesto Maranzana Power'!A78,3),'Master Data'!$A$2:$A$8,0),2)</f>
        <v>W</v>
      </c>
      <c r="D78" s="124" t="n">
        <v>0</v>
      </c>
      <c r="E78" s="124" t="n">
        <v>0</v>
      </c>
      <c r="F78" s="124" t="n">
        <v>0</v>
      </c>
      <c r="G78" s="124" t="n">
        <v>0</v>
      </c>
      <c r="I78" s="124" t="n">
        <f aca="false">IF(MONTH($A78)=MONTH($A77),IF(G78=0,I77,G78),G78)</f>
        <v>0</v>
      </c>
      <c r="J78" s="124" t="n">
        <f aca="false">IF(MONTH($A78)=MONTH($A77),SUM(I78-I77),I78)</f>
        <v>0</v>
      </c>
      <c r="K78" s="124" t="n">
        <f aca="false">IF(WEEKDAY(A78,3)&gt;4,0,(IF(A78&lt;K$2,0,IF(A78&lt;=K$3,1,0))))</f>
        <v>0</v>
      </c>
      <c r="L78" s="124" t="n">
        <f aca="false">J78*K78</f>
        <v>0</v>
      </c>
      <c r="M78" s="124" t="n">
        <f aca="false">SUM(J$6:J78)</f>
        <v>0</v>
      </c>
      <c r="N78" s="124" t="n">
        <f aca="false">SUM(J$6:J78)</f>
        <v>0</v>
      </c>
      <c r="P78" s="124" t="n">
        <f aca="false">D78/P$3</f>
        <v>0</v>
      </c>
      <c r="Q78" s="124" t="n">
        <f aca="false">E78/P$3</f>
        <v>0</v>
      </c>
      <c r="R78" s="124" t="n">
        <f aca="false">F78/R$3</f>
        <v>0</v>
      </c>
      <c r="S78" s="126" t="n">
        <f aca="false">J78/$R$3</f>
        <v>0</v>
      </c>
      <c r="T78" s="126" t="n">
        <f aca="false">L78/$R$3</f>
        <v>0</v>
      </c>
      <c r="U78" s="126" t="n">
        <f aca="false">I78/$R$3</f>
        <v>0</v>
      </c>
      <c r="V78" s="126" t="n">
        <f aca="false">M78/$R$3</f>
        <v>0</v>
      </c>
      <c r="W78" s="126" t="n">
        <f aca="false">N78/$R$3</f>
        <v>0</v>
      </c>
    </row>
    <row r="79" customFormat="false" ht="12.75" hidden="true" customHeight="false" outlineLevel="0" collapsed="false">
      <c r="A79" s="120" t="n">
        <f aca="false">A78+1</f>
        <v>36965</v>
      </c>
      <c r="B79" s="131" t="str">
        <f aca="false">INDEX('Master Data'!$A$2:$B$8,MATCH(WEEKDAY('Modesto Maranzana Power'!A79,3),'Master Data'!$A$2:$A$8,0),2)</f>
        <v>Th</v>
      </c>
      <c r="D79" s="124" t="n">
        <v>0</v>
      </c>
      <c r="E79" s="124" t="n">
        <v>0</v>
      </c>
      <c r="F79" s="124" t="n">
        <v>0</v>
      </c>
      <c r="G79" s="124" t="n">
        <v>0</v>
      </c>
      <c r="I79" s="124" t="n">
        <f aca="false">IF(MONTH($A79)=MONTH($A78),IF(G79=0,I78,G79),G79)</f>
        <v>0</v>
      </c>
      <c r="J79" s="124" t="n">
        <f aca="false">IF(MONTH($A79)=MONTH($A78),SUM(I79-I78),I79)</f>
        <v>0</v>
      </c>
      <c r="K79" s="124" t="n">
        <f aca="false">IF(WEEKDAY(A79,3)&gt;4,0,(IF(A79&lt;K$2,0,IF(A79&lt;=K$3,1,0))))</f>
        <v>0</v>
      </c>
      <c r="L79" s="124" t="n">
        <f aca="false">J79*K79</f>
        <v>0</v>
      </c>
      <c r="M79" s="124" t="n">
        <f aca="false">SUM(J$6:J79)</f>
        <v>0</v>
      </c>
      <c r="N79" s="124" t="n">
        <f aca="false">SUM(J$6:J79)</f>
        <v>0</v>
      </c>
      <c r="P79" s="124" t="n">
        <f aca="false">D79/P$3</f>
        <v>0</v>
      </c>
      <c r="Q79" s="124" t="n">
        <f aca="false">E79/P$3</f>
        <v>0</v>
      </c>
      <c r="R79" s="124" t="n">
        <f aca="false">F79/R$3</f>
        <v>0</v>
      </c>
      <c r="S79" s="126" t="n">
        <f aca="false">J79/$R$3</f>
        <v>0</v>
      </c>
      <c r="T79" s="126" t="n">
        <f aca="false">L79/$R$3</f>
        <v>0</v>
      </c>
      <c r="U79" s="126" t="n">
        <f aca="false">I79/$R$3</f>
        <v>0</v>
      </c>
      <c r="V79" s="126" t="n">
        <f aca="false">M79/$R$3</f>
        <v>0</v>
      </c>
      <c r="W79" s="126" t="n">
        <f aca="false">N79/$R$3</f>
        <v>0</v>
      </c>
    </row>
    <row r="80" customFormat="false" ht="12.75" hidden="true" customHeight="false" outlineLevel="0" collapsed="false">
      <c r="A80" s="120" t="n">
        <f aca="false">A79+1</f>
        <v>36966</v>
      </c>
      <c r="B80" s="131" t="str">
        <f aca="false">INDEX('Master Data'!$A$2:$B$8,MATCH(WEEKDAY('Modesto Maranzana Power'!A80,3),'Master Data'!$A$2:$A$8,0),2)</f>
        <v>F</v>
      </c>
      <c r="D80" s="124" t="n">
        <v>0</v>
      </c>
      <c r="E80" s="124" t="n">
        <v>0</v>
      </c>
      <c r="F80" s="124" t="n">
        <v>0</v>
      </c>
      <c r="G80" s="124" t="n">
        <v>0</v>
      </c>
      <c r="I80" s="124" t="n">
        <f aca="false">IF(MONTH($A80)=MONTH($A79),IF(G80=0,I79,G80),G80)</f>
        <v>0</v>
      </c>
      <c r="J80" s="124" t="n">
        <f aca="false">IF(MONTH($A80)=MONTH($A79),SUM(I80-I79),I80)</f>
        <v>0</v>
      </c>
      <c r="K80" s="124" t="n">
        <f aca="false">IF(WEEKDAY(A80,3)&gt;4,0,(IF(A80&lt;K$2,0,IF(A80&lt;=K$3,1,0))))</f>
        <v>0</v>
      </c>
      <c r="L80" s="124" t="n">
        <f aca="false">J80*K80</f>
        <v>0</v>
      </c>
      <c r="M80" s="124" t="n">
        <f aca="false">SUM(J$6:J80)</f>
        <v>0</v>
      </c>
      <c r="N80" s="124" t="n">
        <f aca="false">SUM(J$6:J80)</f>
        <v>0</v>
      </c>
      <c r="P80" s="124" t="n">
        <f aca="false">D80/P$3</f>
        <v>0</v>
      </c>
      <c r="Q80" s="124" t="n">
        <f aca="false">E80/P$3</f>
        <v>0</v>
      </c>
      <c r="R80" s="124" t="n">
        <f aca="false">F80/R$3</f>
        <v>0</v>
      </c>
      <c r="S80" s="126" t="n">
        <f aca="false">J80/$R$3</f>
        <v>0</v>
      </c>
      <c r="T80" s="126" t="n">
        <f aca="false">L80/$R$3</f>
        <v>0</v>
      </c>
      <c r="U80" s="126" t="n">
        <f aca="false">I80/$R$3</f>
        <v>0</v>
      </c>
      <c r="V80" s="126" t="n">
        <f aca="false">M80/$R$3</f>
        <v>0</v>
      </c>
      <c r="W80" s="126" t="n">
        <f aca="false">N80/$R$3</f>
        <v>0</v>
      </c>
    </row>
    <row r="81" customFormat="false" ht="12.75" hidden="true" customHeight="false" outlineLevel="0" collapsed="false">
      <c r="A81" s="120" t="n">
        <f aca="false">A80+1</f>
        <v>36967</v>
      </c>
      <c r="B81" s="131" t="str">
        <f aca="false">INDEX('Master Data'!$A$2:$B$8,MATCH(WEEKDAY('Modesto Maranzana Power'!A81,3),'Master Data'!$A$2:$A$8,0),2)</f>
        <v>Sa</v>
      </c>
      <c r="D81" s="124" t="n">
        <v>0</v>
      </c>
      <c r="E81" s="124" t="n">
        <v>0</v>
      </c>
      <c r="F81" s="124" t="n">
        <v>0</v>
      </c>
      <c r="G81" s="124" t="n">
        <v>0</v>
      </c>
      <c r="I81" s="124" t="n">
        <f aca="false">IF(MONTH($A81)=MONTH($A80),IF(G81=0,I80,G81),G81)</f>
        <v>0</v>
      </c>
      <c r="J81" s="124" t="n">
        <f aca="false">IF(MONTH($A81)=MONTH($A80),SUM(I81-I80),I81)</f>
        <v>0</v>
      </c>
      <c r="K81" s="124" t="n">
        <f aca="false">IF(WEEKDAY(A81,3)&gt;4,0,(IF(A81&lt;K$2,0,IF(A81&lt;=K$3,1,0))))</f>
        <v>0</v>
      </c>
      <c r="L81" s="124" t="n">
        <f aca="false">J81*K81</f>
        <v>0</v>
      </c>
      <c r="M81" s="124" t="n">
        <f aca="false">SUM(J$6:J81)</f>
        <v>0</v>
      </c>
      <c r="N81" s="124" t="n">
        <f aca="false">SUM(J$6:J81)</f>
        <v>0</v>
      </c>
      <c r="P81" s="124" t="n">
        <f aca="false">D81/P$3</f>
        <v>0</v>
      </c>
      <c r="Q81" s="124" t="n">
        <f aca="false">E81/P$3</f>
        <v>0</v>
      </c>
      <c r="R81" s="124" t="n">
        <f aca="false">F81/R$3</f>
        <v>0</v>
      </c>
      <c r="S81" s="126" t="n">
        <f aca="false">J81/$R$3</f>
        <v>0</v>
      </c>
      <c r="T81" s="126" t="n">
        <f aca="false">L81/$R$3</f>
        <v>0</v>
      </c>
      <c r="U81" s="126" t="n">
        <f aca="false">I81/$R$3</f>
        <v>0</v>
      </c>
      <c r="V81" s="126" t="n">
        <f aca="false">M81/$R$3</f>
        <v>0</v>
      </c>
      <c r="W81" s="126" t="n">
        <f aca="false">N81/$R$3</f>
        <v>0</v>
      </c>
    </row>
    <row r="82" customFormat="false" ht="12.75" hidden="true" customHeight="false" outlineLevel="0" collapsed="false">
      <c r="A82" s="120" t="n">
        <f aca="false">A81+1</f>
        <v>36968</v>
      </c>
      <c r="B82" s="131" t="str">
        <f aca="false">INDEX('Master Data'!$A$2:$B$8,MATCH(WEEKDAY('Modesto Maranzana Power'!A82,3),'Master Data'!$A$2:$A$8,0),2)</f>
        <v>Su</v>
      </c>
      <c r="D82" s="124" t="n">
        <v>0</v>
      </c>
      <c r="E82" s="124" t="n">
        <v>0</v>
      </c>
      <c r="F82" s="124" t="n">
        <v>0</v>
      </c>
      <c r="G82" s="124" t="n">
        <v>0</v>
      </c>
      <c r="I82" s="124" t="n">
        <f aca="false">IF(MONTH($A82)=MONTH($A81),IF(G82=0,I81,G82),G82)</f>
        <v>0</v>
      </c>
      <c r="J82" s="124" t="n">
        <f aca="false">IF(MONTH($A82)=MONTH($A81),SUM(I82-I81),I82)</f>
        <v>0</v>
      </c>
      <c r="K82" s="124" t="n">
        <f aca="false">IF(WEEKDAY(A82,3)&gt;4,0,(IF(A82&lt;K$2,0,IF(A82&lt;=K$3,1,0))))</f>
        <v>0</v>
      </c>
      <c r="L82" s="124" t="n">
        <f aca="false">J82*K82</f>
        <v>0</v>
      </c>
      <c r="M82" s="124" t="n">
        <f aca="false">SUM(J$6:J82)</f>
        <v>0</v>
      </c>
      <c r="N82" s="124" t="n">
        <f aca="false">SUM(J$6:J82)</f>
        <v>0</v>
      </c>
      <c r="P82" s="124" t="n">
        <f aca="false">D82/P$3</f>
        <v>0</v>
      </c>
      <c r="Q82" s="124" t="n">
        <f aca="false">E82/P$3</f>
        <v>0</v>
      </c>
      <c r="R82" s="124" t="n">
        <f aca="false">F82/R$3</f>
        <v>0</v>
      </c>
      <c r="S82" s="126" t="n">
        <f aca="false">J82/$R$3</f>
        <v>0</v>
      </c>
      <c r="T82" s="126" t="n">
        <f aca="false">L82/$R$3</f>
        <v>0</v>
      </c>
      <c r="U82" s="126" t="n">
        <f aca="false">I82/$R$3</f>
        <v>0</v>
      </c>
      <c r="V82" s="126" t="n">
        <f aca="false">M82/$R$3</f>
        <v>0</v>
      </c>
      <c r="W82" s="126" t="n">
        <f aca="false">N82/$R$3</f>
        <v>0</v>
      </c>
    </row>
    <row r="83" customFormat="false" ht="12.75" hidden="true" customHeight="false" outlineLevel="0" collapsed="false">
      <c r="A83" s="120" t="n">
        <f aca="false">A82+1</f>
        <v>36969</v>
      </c>
      <c r="B83" s="131" t="str">
        <f aca="false">INDEX('Master Data'!$A$2:$B$8,MATCH(WEEKDAY('Modesto Maranzana Power'!A83,3),'Master Data'!$A$2:$A$8,0),2)</f>
        <v>M</v>
      </c>
      <c r="D83" s="124" t="n">
        <v>0</v>
      </c>
      <c r="E83" s="124" t="n">
        <v>0</v>
      </c>
      <c r="F83" s="124" t="n">
        <v>0</v>
      </c>
      <c r="G83" s="124" t="n">
        <v>0</v>
      </c>
      <c r="I83" s="124" t="n">
        <f aca="false">IF(MONTH($A83)=MONTH($A82),IF(G83=0,I82,G83),G83)</f>
        <v>0</v>
      </c>
      <c r="J83" s="124" t="n">
        <f aca="false">IF(MONTH($A83)=MONTH($A82),SUM(I83-I82),I83)</f>
        <v>0</v>
      </c>
      <c r="K83" s="124" t="n">
        <f aca="false">IF(WEEKDAY(A83,3)&gt;4,0,(IF(A83&lt;K$2,0,IF(A83&lt;=K$3,1,0))))</f>
        <v>0</v>
      </c>
      <c r="L83" s="124" t="n">
        <f aca="false">J83*K83</f>
        <v>0</v>
      </c>
      <c r="M83" s="124" t="n">
        <f aca="false">SUM(J$6:J83)</f>
        <v>0</v>
      </c>
      <c r="N83" s="124" t="n">
        <f aca="false">SUM(J$6:J83)</f>
        <v>0</v>
      </c>
      <c r="P83" s="124" t="n">
        <f aca="false">D83/P$3</f>
        <v>0</v>
      </c>
      <c r="Q83" s="124" t="n">
        <f aca="false">E83/P$3</f>
        <v>0</v>
      </c>
      <c r="R83" s="124" t="n">
        <f aca="false">F83/R$3</f>
        <v>0</v>
      </c>
      <c r="S83" s="126" t="n">
        <f aca="false">J83/$R$3</f>
        <v>0</v>
      </c>
      <c r="T83" s="126" t="n">
        <f aca="false">L83/$R$3</f>
        <v>0</v>
      </c>
      <c r="U83" s="126" t="n">
        <f aca="false">I83/$R$3</f>
        <v>0</v>
      </c>
      <c r="V83" s="126" t="n">
        <f aca="false">M83/$R$3</f>
        <v>0</v>
      </c>
      <c r="W83" s="126" t="n">
        <f aca="false">N83/$R$3</f>
        <v>0</v>
      </c>
    </row>
    <row r="84" customFormat="false" ht="12.75" hidden="true" customHeight="false" outlineLevel="0" collapsed="false">
      <c r="A84" s="120" t="n">
        <f aca="false">A83+1</f>
        <v>36970</v>
      </c>
      <c r="B84" s="131" t="str">
        <f aca="false">INDEX('Master Data'!$A$2:$B$8,MATCH(WEEKDAY('Modesto Maranzana Power'!A84,3),'Master Data'!$A$2:$A$8,0),2)</f>
        <v>T</v>
      </c>
      <c r="D84" s="124" t="n">
        <v>0</v>
      </c>
      <c r="E84" s="124" t="n">
        <v>0</v>
      </c>
      <c r="F84" s="124" t="n">
        <v>0</v>
      </c>
      <c r="G84" s="124" t="n">
        <v>0</v>
      </c>
      <c r="I84" s="124" t="n">
        <f aca="false">IF(MONTH($A84)=MONTH($A83),IF(G84=0,I83,G84),G84)</f>
        <v>0</v>
      </c>
      <c r="J84" s="124" t="n">
        <f aca="false">IF(MONTH($A84)=MONTH($A83),SUM(I84-I83),I84)</f>
        <v>0</v>
      </c>
      <c r="K84" s="124" t="n">
        <f aca="false">IF(WEEKDAY(A84,3)&gt;4,0,(IF(A84&lt;K$2,0,IF(A84&lt;=K$3,1,0))))</f>
        <v>0</v>
      </c>
      <c r="L84" s="124" t="n">
        <f aca="false">J84*K84</f>
        <v>0</v>
      </c>
      <c r="M84" s="124" t="n">
        <f aca="false">SUM(J$6:J84)</f>
        <v>0</v>
      </c>
      <c r="N84" s="124" t="n">
        <f aca="false">SUM(J$6:J84)</f>
        <v>0</v>
      </c>
      <c r="P84" s="124" t="n">
        <f aca="false">D84/P$3</f>
        <v>0</v>
      </c>
      <c r="Q84" s="124" t="n">
        <f aca="false">E84/P$3</f>
        <v>0</v>
      </c>
      <c r="R84" s="124" t="n">
        <f aca="false">F84/R$3</f>
        <v>0</v>
      </c>
      <c r="S84" s="126" t="n">
        <f aca="false">J84/$R$3</f>
        <v>0</v>
      </c>
      <c r="T84" s="126" t="n">
        <f aca="false">L84/$R$3</f>
        <v>0</v>
      </c>
      <c r="U84" s="126" t="n">
        <f aca="false">I84/$R$3</f>
        <v>0</v>
      </c>
      <c r="V84" s="126" t="n">
        <f aca="false">M84/$R$3</f>
        <v>0</v>
      </c>
      <c r="W84" s="126" t="n">
        <f aca="false">N84/$R$3</f>
        <v>0</v>
      </c>
    </row>
    <row r="85" customFormat="false" ht="12.75" hidden="true" customHeight="false" outlineLevel="0" collapsed="false">
      <c r="A85" s="120" t="n">
        <f aca="false">A84+1</f>
        <v>36971</v>
      </c>
      <c r="B85" s="131" t="str">
        <f aca="false">INDEX('Master Data'!$A$2:$B$8,MATCH(WEEKDAY('Modesto Maranzana Power'!A85,3),'Master Data'!$A$2:$A$8,0),2)</f>
        <v>W</v>
      </c>
      <c r="D85" s="124" t="n">
        <v>0</v>
      </c>
      <c r="E85" s="124" t="n">
        <v>0</v>
      </c>
      <c r="F85" s="124" t="n">
        <v>0</v>
      </c>
      <c r="G85" s="124" t="n">
        <v>0</v>
      </c>
      <c r="I85" s="124" t="n">
        <f aca="false">IF(MONTH($A85)=MONTH($A84),IF(G85=0,I84,G85),G85)</f>
        <v>0</v>
      </c>
      <c r="J85" s="124" t="n">
        <f aca="false">IF(MONTH($A85)=MONTH($A84),SUM(I85-I84),I85)</f>
        <v>0</v>
      </c>
      <c r="K85" s="124" t="n">
        <f aca="false">IF(WEEKDAY(A85,3)&gt;4,0,(IF(A85&lt;K$2,0,IF(A85&lt;=K$3,1,0))))</f>
        <v>0</v>
      </c>
      <c r="L85" s="124" t="n">
        <f aca="false">J85*K85</f>
        <v>0</v>
      </c>
      <c r="M85" s="124" t="n">
        <f aca="false">SUM(J$6:J85)</f>
        <v>0</v>
      </c>
      <c r="N85" s="124" t="n">
        <f aca="false">SUM(J$6:J85)</f>
        <v>0</v>
      </c>
      <c r="P85" s="124" t="n">
        <f aca="false">D85/P$3</f>
        <v>0</v>
      </c>
      <c r="Q85" s="124" t="n">
        <f aca="false">E85/P$3</f>
        <v>0</v>
      </c>
      <c r="R85" s="124" t="n">
        <f aca="false">F85/R$3</f>
        <v>0</v>
      </c>
      <c r="S85" s="126" t="n">
        <f aca="false">J85/$R$3</f>
        <v>0</v>
      </c>
      <c r="T85" s="126" t="n">
        <f aca="false">L85/$R$3</f>
        <v>0</v>
      </c>
      <c r="U85" s="126" t="n">
        <f aca="false">I85/$R$3</f>
        <v>0</v>
      </c>
      <c r="V85" s="126" t="n">
        <f aca="false">M85/$R$3</f>
        <v>0</v>
      </c>
      <c r="W85" s="126" t="n">
        <f aca="false">N85/$R$3</f>
        <v>0</v>
      </c>
    </row>
    <row r="86" customFormat="false" ht="12.75" hidden="true" customHeight="false" outlineLevel="0" collapsed="false">
      <c r="A86" s="120" t="n">
        <f aca="false">A85+1</f>
        <v>36972</v>
      </c>
      <c r="B86" s="131" t="str">
        <f aca="false">INDEX('Master Data'!$A$2:$B$8,MATCH(WEEKDAY('Modesto Maranzana Power'!A86,3),'Master Data'!$A$2:$A$8,0),2)</f>
        <v>Th</v>
      </c>
      <c r="D86" s="124" t="n">
        <v>0</v>
      </c>
      <c r="E86" s="124" t="n">
        <v>0</v>
      </c>
      <c r="F86" s="124" t="n">
        <v>0</v>
      </c>
      <c r="G86" s="124" t="n">
        <v>0</v>
      </c>
      <c r="I86" s="124" t="n">
        <f aca="false">IF(MONTH($A86)=MONTH($A85),IF(G86=0,I85,G86),G86)</f>
        <v>0</v>
      </c>
      <c r="J86" s="124" t="n">
        <f aca="false">IF(MONTH($A86)=MONTH($A85),SUM(I86-I85),I86)</f>
        <v>0</v>
      </c>
      <c r="K86" s="124" t="n">
        <f aca="false">IF(WEEKDAY(A86,3)&gt;4,0,(IF(A86&lt;K$2,0,IF(A86&lt;=K$3,1,0))))</f>
        <v>0</v>
      </c>
      <c r="L86" s="124" t="n">
        <f aca="false">J86*K86</f>
        <v>0</v>
      </c>
      <c r="M86" s="124" t="n">
        <f aca="false">SUM(J$6:J86)</f>
        <v>0</v>
      </c>
      <c r="N86" s="124" t="n">
        <f aca="false">SUM(J$6:J86)</f>
        <v>0</v>
      </c>
      <c r="P86" s="124" t="n">
        <f aca="false">D86/P$3</f>
        <v>0</v>
      </c>
      <c r="Q86" s="124" t="n">
        <f aca="false">E86/P$3</f>
        <v>0</v>
      </c>
      <c r="R86" s="124" t="n">
        <f aca="false">F86/R$3</f>
        <v>0</v>
      </c>
      <c r="S86" s="126" t="n">
        <f aca="false">J86/$R$3</f>
        <v>0</v>
      </c>
      <c r="T86" s="126" t="n">
        <f aca="false">L86/$R$3</f>
        <v>0</v>
      </c>
      <c r="U86" s="126" t="n">
        <f aca="false">I86/$R$3</f>
        <v>0</v>
      </c>
      <c r="V86" s="126" t="n">
        <f aca="false">M86/$R$3</f>
        <v>0</v>
      </c>
      <c r="W86" s="126" t="n">
        <f aca="false">N86/$R$3</f>
        <v>0</v>
      </c>
    </row>
    <row r="87" customFormat="false" ht="12.75" hidden="true" customHeight="false" outlineLevel="0" collapsed="false">
      <c r="A87" s="120" t="n">
        <f aca="false">A86+1</f>
        <v>36973</v>
      </c>
      <c r="B87" s="131" t="str">
        <f aca="false">INDEX('Master Data'!$A$2:$B$8,MATCH(WEEKDAY('Modesto Maranzana Power'!A87,3),'Master Data'!$A$2:$A$8,0),2)</f>
        <v>F</v>
      </c>
      <c r="D87" s="124" t="n">
        <v>0</v>
      </c>
      <c r="E87" s="124" t="n">
        <v>0</v>
      </c>
      <c r="F87" s="124" t="n">
        <v>0</v>
      </c>
      <c r="G87" s="124" t="n">
        <v>0</v>
      </c>
      <c r="I87" s="124" t="n">
        <f aca="false">IF(MONTH($A87)=MONTH($A86),IF(G87=0,I86,G87),G87)</f>
        <v>0</v>
      </c>
      <c r="J87" s="124" t="n">
        <f aca="false">IF(MONTH($A87)=MONTH($A86),SUM(I87-I86),I87)</f>
        <v>0</v>
      </c>
      <c r="K87" s="124" t="n">
        <f aca="false">IF(WEEKDAY(A87,3)&gt;4,0,(IF(A87&lt;K$2,0,IF(A87&lt;=K$3,1,0))))</f>
        <v>0</v>
      </c>
      <c r="L87" s="124" t="n">
        <f aca="false">J87*K87</f>
        <v>0</v>
      </c>
      <c r="M87" s="124" t="n">
        <f aca="false">SUM(J$6:J87)</f>
        <v>0</v>
      </c>
      <c r="N87" s="124" t="n">
        <f aca="false">SUM(J$6:J87)</f>
        <v>0</v>
      </c>
      <c r="P87" s="124" t="n">
        <f aca="false">D87/P$3</f>
        <v>0</v>
      </c>
      <c r="Q87" s="124" t="n">
        <f aca="false">E87/P$3</f>
        <v>0</v>
      </c>
      <c r="R87" s="124" t="n">
        <f aca="false">F87/R$3</f>
        <v>0</v>
      </c>
      <c r="S87" s="126" t="n">
        <f aca="false">J87/$R$3</f>
        <v>0</v>
      </c>
      <c r="T87" s="126" t="n">
        <f aca="false">L87/$R$3</f>
        <v>0</v>
      </c>
      <c r="U87" s="126" t="n">
        <f aca="false">I87/$R$3</f>
        <v>0</v>
      </c>
      <c r="V87" s="126" t="n">
        <f aca="false">M87/$R$3</f>
        <v>0</v>
      </c>
      <c r="W87" s="126" t="n">
        <f aca="false">N87/$R$3</f>
        <v>0</v>
      </c>
    </row>
    <row r="88" customFormat="false" ht="12.75" hidden="true" customHeight="false" outlineLevel="0" collapsed="false">
      <c r="A88" s="120" t="n">
        <f aca="false">A87+1</f>
        <v>36974</v>
      </c>
      <c r="B88" s="131" t="str">
        <f aca="false">INDEX('Master Data'!$A$2:$B$8,MATCH(WEEKDAY('Modesto Maranzana Power'!A88,3),'Master Data'!$A$2:$A$8,0),2)</f>
        <v>Sa</v>
      </c>
      <c r="D88" s="124" t="n">
        <v>0</v>
      </c>
      <c r="E88" s="124" t="n">
        <v>0</v>
      </c>
      <c r="F88" s="124" t="n">
        <v>0</v>
      </c>
      <c r="G88" s="124" t="n">
        <v>0</v>
      </c>
      <c r="I88" s="124" t="n">
        <f aca="false">IF(MONTH($A88)=MONTH($A87),IF(G88=0,I87,G88),G88)</f>
        <v>0</v>
      </c>
      <c r="J88" s="124" t="n">
        <f aca="false">IF(MONTH($A88)=MONTH($A87),SUM(I88-I87),I88)</f>
        <v>0</v>
      </c>
      <c r="K88" s="124" t="n">
        <f aca="false">IF(WEEKDAY(A88,3)&gt;4,0,(IF(A88&lt;K$2,0,IF(A88&lt;=K$3,1,0))))</f>
        <v>0</v>
      </c>
      <c r="L88" s="124" t="n">
        <f aca="false">J88*K88</f>
        <v>0</v>
      </c>
      <c r="M88" s="124" t="n">
        <f aca="false">SUM(J$6:J88)</f>
        <v>0</v>
      </c>
      <c r="N88" s="124" t="n">
        <f aca="false">SUM(J$6:J88)</f>
        <v>0</v>
      </c>
      <c r="P88" s="124" t="n">
        <f aca="false">D88/P$3</f>
        <v>0</v>
      </c>
      <c r="Q88" s="124" t="n">
        <f aca="false">E88/P$3</f>
        <v>0</v>
      </c>
      <c r="R88" s="124" t="n">
        <f aca="false">F88/R$3</f>
        <v>0</v>
      </c>
      <c r="S88" s="126" t="n">
        <f aca="false">J88/$R$3</f>
        <v>0</v>
      </c>
      <c r="T88" s="126" t="n">
        <f aca="false">L88/$R$3</f>
        <v>0</v>
      </c>
      <c r="U88" s="126" t="n">
        <f aca="false">I88/$R$3</f>
        <v>0</v>
      </c>
      <c r="V88" s="126" t="n">
        <f aca="false">M88/$R$3</f>
        <v>0</v>
      </c>
      <c r="W88" s="126" t="n">
        <f aca="false">N88/$R$3</f>
        <v>0</v>
      </c>
    </row>
    <row r="89" customFormat="false" ht="12.75" hidden="true" customHeight="false" outlineLevel="0" collapsed="false">
      <c r="A89" s="120" t="n">
        <f aca="false">A88+1</f>
        <v>36975</v>
      </c>
      <c r="B89" s="131" t="str">
        <f aca="false">INDEX('Master Data'!$A$2:$B$8,MATCH(WEEKDAY('Modesto Maranzana Power'!A89,3),'Master Data'!$A$2:$A$8,0),2)</f>
        <v>Su</v>
      </c>
      <c r="D89" s="124" t="n">
        <v>0</v>
      </c>
      <c r="E89" s="124" t="n">
        <v>0</v>
      </c>
      <c r="F89" s="124" t="n">
        <v>0</v>
      </c>
      <c r="G89" s="124" t="n">
        <v>0</v>
      </c>
      <c r="I89" s="124" t="n">
        <f aca="false">IF(MONTH($A89)=MONTH($A88),IF(G89=0,I88,G89),G89)</f>
        <v>0</v>
      </c>
      <c r="J89" s="124" t="n">
        <f aca="false">IF(MONTH($A89)=MONTH($A88),SUM(I89-I88),I89)</f>
        <v>0</v>
      </c>
      <c r="K89" s="124" t="n">
        <f aca="false">IF(WEEKDAY(A89,3)&gt;4,0,(IF(A89&lt;K$2,0,IF(A89&lt;=K$3,1,0))))</f>
        <v>0</v>
      </c>
      <c r="L89" s="124" t="n">
        <f aca="false">J89*K89</f>
        <v>0</v>
      </c>
      <c r="M89" s="124" t="n">
        <f aca="false">SUM(J$6:J89)</f>
        <v>0</v>
      </c>
      <c r="N89" s="124" t="n">
        <f aca="false">SUM(J$6:J89)</f>
        <v>0</v>
      </c>
      <c r="P89" s="124" t="n">
        <f aca="false">D89/P$3</f>
        <v>0</v>
      </c>
      <c r="Q89" s="124" t="n">
        <f aca="false">E89/P$3</f>
        <v>0</v>
      </c>
      <c r="R89" s="124" t="n">
        <f aca="false">F89/R$3</f>
        <v>0</v>
      </c>
      <c r="S89" s="126" t="n">
        <f aca="false">J89/$R$3</f>
        <v>0</v>
      </c>
      <c r="T89" s="126" t="n">
        <f aca="false">L89/$R$3</f>
        <v>0</v>
      </c>
      <c r="U89" s="126" t="n">
        <f aca="false">I89/$R$3</f>
        <v>0</v>
      </c>
      <c r="V89" s="126" t="n">
        <f aca="false">M89/$R$3</f>
        <v>0</v>
      </c>
      <c r="W89" s="126" t="n">
        <f aca="false">N89/$R$3</f>
        <v>0</v>
      </c>
    </row>
    <row r="90" customFormat="false" ht="12.75" hidden="true" customHeight="false" outlineLevel="0" collapsed="false">
      <c r="A90" s="120" t="n">
        <f aca="false">A89+1</f>
        <v>36976</v>
      </c>
      <c r="B90" s="131" t="str">
        <f aca="false">INDEX('Master Data'!$A$2:$B$8,MATCH(WEEKDAY('Modesto Maranzana Power'!A90,3),'Master Data'!$A$2:$A$8,0),2)</f>
        <v>M</v>
      </c>
      <c r="D90" s="124" t="n">
        <v>0</v>
      </c>
      <c r="E90" s="124" t="n">
        <v>0</v>
      </c>
      <c r="F90" s="124" t="n">
        <v>0</v>
      </c>
      <c r="G90" s="124" t="n">
        <v>0</v>
      </c>
      <c r="I90" s="124" t="n">
        <f aca="false">IF(MONTH($A90)=MONTH($A89),IF(G90=0,I89,G90),G90)</f>
        <v>0</v>
      </c>
      <c r="J90" s="124" t="n">
        <f aca="false">IF(MONTH($A90)=MONTH($A89),SUM(I90-I89),I90)</f>
        <v>0</v>
      </c>
      <c r="K90" s="124" t="n">
        <f aca="false">IF(WEEKDAY(A90,3)&gt;4,0,(IF(A90&lt;K$2,0,IF(A90&lt;=K$3,1,0))))</f>
        <v>0</v>
      </c>
      <c r="L90" s="124" t="n">
        <f aca="false">J90*K90</f>
        <v>0</v>
      </c>
      <c r="M90" s="124" t="n">
        <f aca="false">SUM(J$6:J90)</f>
        <v>0</v>
      </c>
      <c r="N90" s="124" t="n">
        <f aca="false">SUM(J$6:J90)</f>
        <v>0</v>
      </c>
      <c r="P90" s="124" t="n">
        <f aca="false">D90/P$3</f>
        <v>0</v>
      </c>
      <c r="Q90" s="124" t="n">
        <f aca="false">E90/P$3</f>
        <v>0</v>
      </c>
      <c r="R90" s="124" t="n">
        <f aca="false">F90/R$3</f>
        <v>0</v>
      </c>
      <c r="S90" s="126" t="n">
        <f aca="false">J90/$R$3</f>
        <v>0</v>
      </c>
      <c r="T90" s="126" t="n">
        <f aca="false">L90/$R$3</f>
        <v>0</v>
      </c>
      <c r="U90" s="126" t="n">
        <f aca="false">I90/$R$3</f>
        <v>0</v>
      </c>
      <c r="V90" s="126" t="n">
        <f aca="false">M90/$R$3</f>
        <v>0</v>
      </c>
      <c r="W90" s="126" t="n">
        <f aca="false">N90/$R$3</f>
        <v>0</v>
      </c>
    </row>
    <row r="91" customFormat="false" ht="12.75" hidden="true" customHeight="false" outlineLevel="0" collapsed="false">
      <c r="A91" s="120" t="n">
        <f aca="false">A90+1</f>
        <v>36977</v>
      </c>
      <c r="B91" s="131" t="str">
        <f aca="false">INDEX('Master Data'!$A$2:$B$8,MATCH(WEEKDAY('Modesto Maranzana Power'!A91,3),'Master Data'!$A$2:$A$8,0),2)</f>
        <v>T</v>
      </c>
      <c r="D91" s="124" t="n">
        <v>0</v>
      </c>
      <c r="E91" s="124" t="n">
        <v>0</v>
      </c>
      <c r="F91" s="124" t="n">
        <v>0</v>
      </c>
      <c r="G91" s="124" t="n">
        <v>0</v>
      </c>
      <c r="I91" s="124" t="n">
        <f aca="false">IF(MONTH($A91)=MONTH($A90),IF(G91=0,I90,G91),G91)</f>
        <v>0</v>
      </c>
      <c r="J91" s="124" t="n">
        <f aca="false">IF(MONTH($A91)=MONTH($A90),SUM(I91-I90),I91)</f>
        <v>0</v>
      </c>
      <c r="K91" s="124" t="n">
        <f aca="false">IF(WEEKDAY(A91,3)&gt;4,0,(IF(A91&lt;K$2,0,IF(A91&lt;=K$3,1,0))))</f>
        <v>0</v>
      </c>
      <c r="L91" s="124" t="n">
        <f aca="false">J91*K91</f>
        <v>0</v>
      </c>
      <c r="M91" s="124" t="n">
        <f aca="false">SUM(J$6:J91)</f>
        <v>0</v>
      </c>
      <c r="N91" s="124" t="n">
        <f aca="false">SUM(J$6:J91)</f>
        <v>0</v>
      </c>
      <c r="P91" s="124" t="n">
        <f aca="false">D91/P$3</f>
        <v>0</v>
      </c>
      <c r="Q91" s="124" t="n">
        <f aca="false">E91/P$3</f>
        <v>0</v>
      </c>
      <c r="R91" s="124" t="n">
        <f aca="false">F91/R$3</f>
        <v>0</v>
      </c>
      <c r="S91" s="126" t="n">
        <f aca="false">J91/$R$3</f>
        <v>0</v>
      </c>
      <c r="T91" s="126" t="n">
        <f aca="false">L91/$R$3</f>
        <v>0</v>
      </c>
      <c r="U91" s="126" t="n">
        <f aca="false">I91/$R$3</f>
        <v>0</v>
      </c>
      <c r="V91" s="126" t="n">
        <f aca="false">M91/$R$3</f>
        <v>0</v>
      </c>
      <c r="W91" s="126" t="n">
        <f aca="false">N91/$R$3</f>
        <v>0</v>
      </c>
    </row>
    <row r="92" customFormat="false" ht="12.75" hidden="true" customHeight="false" outlineLevel="0" collapsed="false">
      <c r="A92" s="120" t="n">
        <f aca="false">A91+1</f>
        <v>36978</v>
      </c>
      <c r="B92" s="131" t="str">
        <f aca="false">INDEX('Master Data'!$A$2:$B$8,MATCH(WEEKDAY('Modesto Maranzana Power'!A92,3),'Master Data'!$A$2:$A$8,0),2)</f>
        <v>W</v>
      </c>
      <c r="D92" s="124" t="n">
        <v>0</v>
      </c>
      <c r="E92" s="124" t="n">
        <v>0</v>
      </c>
      <c r="F92" s="124" t="n">
        <v>0</v>
      </c>
      <c r="G92" s="124" t="n">
        <v>0</v>
      </c>
      <c r="I92" s="124" t="n">
        <f aca="false">IF(MONTH($A92)=MONTH($A91),IF(G92=0,I91,G92),G92)</f>
        <v>0</v>
      </c>
      <c r="J92" s="124" t="n">
        <f aca="false">IF(MONTH($A92)=MONTH($A91),SUM(I92-I91),I92)</f>
        <v>0</v>
      </c>
      <c r="K92" s="124" t="n">
        <f aca="false">IF(WEEKDAY(A92,3)&gt;4,0,(IF(A92&lt;K$2,0,IF(A92&lt;=K$3,1,0))))</f>
        <v>0</v>
      </c>
      <c r="L92" s="124" t="n">
        <f aca="false">J92*K92</f>
        <v>0</v>
      </c>
      <c r="M92" s="124" t="n">
        <f aca="false">SUM(J$6:J92)</f>
        <v>0</v>
      </c>
      <c r="N92" s="124" t="n">
        <f aca="false">SUM(J$6:J92)</f>
        <v>0</v>
      </c>
      <c r="P92" s="124" t="n">
        <f aca="false">D92/P$3</f>
        <v>0</v>
      </c>
      <c r="Q92" s="124" t="n">
        <f aca="false">E92/P$3</f>
        <v>0</v>
      </c>
      <c r="R92" s="124" t="n">
        <f aca="false">F92/R$3</f>
        <v>0</v>
      </c>
      <c r="S92" s="126" t="n">
        <f aca="false">J92/$R$3</f>
        <v>0</v>
      </c>
      <c r="T92" s="126" t="n">
        <f aca="false">L92/$R$3</f>
        <v>0</v>
      </c>
      <c r="U92" s="126" t="n">
        <f aca="false">I92/$R$3</f>
        <v>0</v>
      </c>
      <c r="V92" s="126" t="n">
        <f aca="false">M92/$R$3</f>
        <v>0</v>
      </c>
      <c r="W92" s="126" t="n">
        <f aca="false">N92/$R$3</f>
        <v>0</v>
      </c>
    </row>
    <row r="93" customFormat="false" ht="12.75" hidden="true" customHeight="false" outlineLevel="0" collapsed="false">
      <c r="A93" s="120" t="n">
        <f aca="false">A92+1</f>
        <v>36979</v>
      </c>
      <c r="B93" s="131" t="str">
        <f aca="false">INDEX('Master Data'!$A$2:$B$8,MATCH(WEEKDAY('Modesto Maranzana Power'!A93,3),'Master Data'!$A$2:$A$8,0),2)</f>
        <v>Th</v>
      </c>
      <c r="D93" s="124" t="n">
        <v>0</v>
      </c>
      <c r="E93" s="124" t="n">
        <v>0</v>
      </c>
      <c r="F93" s="124" t="n">
        <v>0</v>
      </c>
      <c r="G93" s="124" t="n">
        <v>0</v>
      </c>
      <c r="I93" s="124" t="n">
        <f aca="false">IF(MONTH($A93)=MONTH($A92),IF(G93=0,I92,G93),G93)</f>
        <v>0</v>
      </c>
      <c r="J93" s="124" t="n">
        <f aca="false">IF(MONTH($A93)=MONTH($A92),SUM(I93-I92),I93)</f>
        <v>0</v>
      </c>
      <c r="K93" s="124" t="n">
        <f aca="false">IF(WEEKDAY(A93,3)&gt;4,0,(IF(A93&lt;K$2,0,IF(A93&lt;=K$3,1,0))))</f>
        <v>0</v>
      </c>
      <c r="L93" s="124" t="n">
        <f aca="false">J93*K93</f>
        <v>0</v>
      </c>
      <c r="M93" s="124" t="n">
        <f aca="false">SUM(J$6:J93)</f>
        <v>0</v>
      </c>
      <c r="N93" s="124" t="n">
        <f aca="false">SUM(J$6:J93)</f>
        <v>0</v>
      </c>
      <c r="P93" s="124" t="n">
        <f aca="false">D93/P$3</f>
        <v>0</v>
      </c>
      <c r="Q93" s="124" t="n">
        <f aca="false">E93/P$3</f>
        <v>0</v>
      </c>
      <c r="R93" s="124" t="n">
        <f aca="false">F93/R$3</f>
        <v>0</v>
      </c>
      <c r="S93" s="126" t="n">
        <f aca="false">J93/$R$3</f>
        <v>0</v>
      </c>
      <c r="T93" s="126" t="n">
        <f aca="false">L93/$R$3</f>
        <v>0</v>
      </c>
      <c r="U93" s="126" t="n">
        <f aca="false">I93/$R$3</f>
        <v>0</v>
      </c>
      <c r="V93" s="126" t="n">
        <f aca="false">M93/$R$3</f>
        <v>0</v>
      </c>
      <c r="W93" s="126" t="n">
        <f aca="false">N93/$R$3</f>
        <v>0</v>
      </c>
    </row>
    <row r="94" customFormat="false" ht="12.75" hidden="true" customHeight="false" outlineLevel="0" collapsed="false">
      <c r="A94" s="120" t="n">
        <f aca="false">A93+1</f>
        <v>36980</v>
      </c>
      <c r="B94" s="131" t="str">
        <f aca="false">INDEX('Master Data'!$A$2:$B$8,MATCH(WEEKDAY('Modesto Maranzana Power'!A94,3),'Master Data'!$A$2:$A$8,0),2)</f>
        <v>F</v>
      </c>
      <c r="D94" s="124" t="n">
        <v>0</v>
      </c>
      <c r="E94" s="124" t="n">
        <v>0</v>
      </c>
      <c r="F94" s="124" t="n">
        <v>0</v>
      </c>
      <c r="G94" s="124" t="n">
        <v>0</v>
      </c>
      <c r="I94" s="124" t="n">
        <f aca="false">IF(MONTH($A94)=MONTH($A93),IF(G94=0,I93,G94),G94)</f>
        <v>0</v>
      </c>
      <c r="J94" s="124" t="n">
        <f aca="false">IF(MONTH($A94)=MONTH($A93),SUM(I94-I93),I94)</f>
        <v>0</v>
      </c>
      <c r="K94" s="124" t="n">
        <f aca="false">IF(WEEKDAY(A94,3)&gt;4,0,(IF(A94&lt;K$2,0,IF(A94&lt;=K$3,1,0))))</f>
        <v>0</v>
      </c>
      <c r="L94" s="124" t="n">
        <f aca="false">J94*K94</f>
        <v>0</v>
      </c>
      <c r="M94" s="124" t="n">
        <f aca="false">SUM(J$6:J94)</f>
        <v>0</v>
      </c>
      <c r="N94" s="124" t="n">
        <f aca="false">SUM(J$6:J94)</f>
        <v>0</v>
      </c>
      <c r="P94" s="124" t="n">
        <f aca="false">D94/P$3</f>
        <v>0</v>
      </c>
      <c r="Q94" s="124" t="n">
        <f aca="false">E94/P$3</f>
        <v>0</v>
      </c>
      <c r="R94" s="124" t="n">
        <f aca="false">F94/R$3</f>
        <v>0</v>
      </c>
      <c r="S94" s="126" t="n">
        <f aca="false">J94/$R$3</f>
        <v>0</v>
      </c>
      <c r="T94" s="126" t="n">
        <f aca="false">L94/$R$3</f>
        <v>0</v>
      </c>
      <c r="U94" s="126" t="n">
        <f aca="false">I94/$R$3</f>
        <v>0</v>
      </c>
      <c r="V94" s="126" t="n">
        <f aca="false">M94/$R$3</f>
        <v>0</v>
      </c>
      <c r="W94" s="126" t="n">
        <f aca="false">N94/$R$3</f>
        <v>0</v>
      </c>
    </row>
    <row r="95" customFormat="false" ht="12.75" hidden="true" customHeight="false" outlineLevel="0" collapsed="false">
      <c r="A95" s="120" t="n">
        <f aca="false">A94+1</f>
        <v>36981</v>
      </c>
      <c r="B95" s="131" t="str">
        <f aca="false">INDEX('Master Data'!$A$2:$B$8,MATCH(WEEKDAY('Modesto Maranzana Power'!A95,3),'Master Data'!$A$2:$A$8,0),2)</f>
        <v>Sa</v>
      </c>
      <c r="D95" s="124" t="n">
        <v>0</v>
      </c>
      <c r="E95" s="124" t="n">
        <v>0</v>
      </c>
      <c r="F95" s="124" t="n">
        <v>0</v>
      </c>
      <c r="G95" s="124" t="n">
        <v>0</v>
      </c>
      <c r="I95" s="124" t="n">
        <f aca="false">IF(MONTH($A95)=MONTH($A94),IF(G95=0,I94,G95),G95)</f>
        <v>0</v>
      </c>
      <c r="J95" s="124" t="n">
        <f aca="false">IF(MONTH($A95)=MONTH($A94),SUM(I95-I94),I95)</f>
        <v>0</v>
      </c>
      <c r="K95" s="124" t="n">
        <f aca="false">IF(WEEKDAY(A95,3)&gt;4,0,(IF(A95&lt;K$2,0,IF(A95&lt;=K$3,1,0))))</f>
        <v>0</v>
      </c>
      <c r="L95" s="124" t="n">
        <f aca="false">J95*K95</f>
        <v>0</v>
      </c>
      <c r="M95" s="124" t="n">
        <f aca="false">SUM(J$6:J95)</f>
        <v>0</v>
      </c>
      <c r="N95" s="124" t="n">
        <f aca="false">SUM(J$6:J95)</f>
        <v>0</v>
      </c>
      <c r="P95" s="124" t="n">
        <f aca="false">D95/P$3</f>
        <v>0</v>
      </c>
      <c r="Q95" s="124" t="n">
        <f aca="false">E95/P$3</f>
        <v>0</v>
      </c>
      <c r="R95" s="124" t="n">
        <f aca="false">F95/R$3</f>
        <v>0</v>
      </c>
      <c r="S95" s="126" t="n">
        <f aca="false">J95/$R$3</f>
        <v>0</v>
      </c>
      <c r="T95" s="126" t="n">
        <f aca="false">L95/$R$3</f>
        <v>0</v>
      </c>
      <c r="U95" s="126" t="n">
        <f aca="false">I95/$R$3</f>
        <v>0</v>
      </c>
      <c r="V95" s="126" t="n">
        <f aca="false">M95/$R$3</f>
        <v>0</v>
      </c>
      <c r="W95" s="126" t="n">
        <f aca="false">N95/$R$3</f>
        <v>0</v>
      </c>
    </row>
    <row r="96" customFormat="false" ht="12.75" hidden="true" customHeight="false" outlineLevel="0" collapsed="false">
      <c r="A96" s="120" t="n">
        <f aca="false">A95+1</f>
        <v>36982</v>
      </c>
      <c r="B96" s="131" t="str">
        <f aca="false">INDEX('Master Data'!$A$2:$B$8,MATCH(WEEKDAY('Modesto Maranzana Power'!A96,3),'Master Data'!$A$2:$A$8,0),2)</f>
        <v>Su</v>
      </c>
      <c r="D96" s="124" t="n">
        <v>0</v>
      </c>
      <c r="E96" s="124" t="n">
        <v>0</v>
      </c>
      <c r="F96" s="124" t="n">
        <v>0</v>
      </c>
      <c r="G96" s="124" t="n">
        <v>0</v>
      </c>
      <c r="I96" s="124" t="n">
        <f aca="false">IF(MONTH($A96)=MONTH($A95),IF(G96=0,I95,G96),G96)</f>
        <v>0</v>
      </c>
      <c r="J96" s="124" t="n">
        <f aca="false">IF(MONTH($A96)=MONTH($A95),SUM(I96-I95),I96)</f>
        <v>0</v>
      </c>
      <c r="K96" s="124" t="n">
        <f aca="false">IF(WEEKDAY(A96,3)&gt;4,0,(IF(A96&lt;K$2,0,IF(A96&lt;=K$3,1,0))))</f>
        <v>0</v>
      </c>
      <c r="L96" s="124" t="n">
        <f aca="false">J96*K96</f>
        <v>0</v>
      </c>
      <c r="M96" s="124" t="n">
        <f aca="false">SUM(J$6:J96)</f>
        <v>0</v>
      </c>
      <c r="N96" s="124" t="n">
        <f aca="false">SUM(J$6:J96)</f>
        <v>0</v>
      </c>
      <c r="P96" s="124" t="n">
        <f aca="false">D96/P$3</f>
        <v>0</v>
      </c>
      <c r="Q96" s="124" t="n">
        <f aca="false">E96/P$3</f>
        <v>0</v>
      </c>
      <c r="R96" s="124" t="n">
        <f aca="false">F96/R$3</f>
        <v>0</v>
      </c>
      <c r="S96" s="126" t="n">
        <f aca="false">J96/$R$3</f>
        <v>0</v>
      </c>
      <c r="T96" s="126" t="n">
        <f aca="false">L96/$R$3</f>
        <v>0</v>
      </c>
      <c r="U96" s="126" t="n">
        <f aca="false">I96/$R$3</f>
        <v>0</v>
      </c>
      <c r="V96" s="126" t="n">
        <f aca="false">M96/$R$3</f>
        <v>0</v>
      </c>
      <c r="W96" s="126" t="n">
        <f aca="false">N96/$R$3</f>
        <v>0</v>
      </c>
    </row>
    <row r="97" customFormat="false" ht="12.75" hidden="true" customHeight="false" outlineLevel="0" collapsed="false">
      <c r="A97" s="120" t="n">
        <f aca="false">A96+1</f>
        <v>36983</v>
      </c>
      <c r="B97" s="131" t="str">
        <f aca="false">INDEX('Master Data'!$A$2:$B$8,MATCH(WEEKDAY('Modesto Maranzana Power'!A97,3),'Master Data'!$A$2:$A$8,0),2)</f>
        <v>M</v>
      </c>
      <c r="D97" s="124" t="n">
        <v>0</v>
      </c>
      <c r="E97" s="124" t="n">
        <v>0</v>
      </c>
      <c r="F97" s="124" t="n">
        <v>0</v>
      </c>
      <c r="G97" s="124" t="n">
        <v>0</v>
      </c>
      <c r="I97" s="124" t="n">
        <f aca="false">IF(MONTH($A97)=MONTH($A96),IF(G97=0,I96,G97),G97)</f>
        <v>0</v>
      </c>
      <c r="J97" s="124" t="n">
        <f aca="false">IF(MONTH($A97)=MONTH($A96),SUM(I97-I96),I97)</f>
        <v>0</v>
      </c>
      <c r="K97" s="124" t="n">
        <f aca="false">IF(WEEKDAY(A97,3)&gt;4,0,(IF(A97&lt;K$2,0,IF(A97&lt;=K$3,1,0))))</f>
        <v>0</v>
      </c>
      <c r="L97" s="124" t="n">
        <f aca="false">J97*K97</f>
        <v>0</v>
      </c>
      <c r="M97" s="124" t="n">
        <f aca="false">SUM(J$97:J97)</f>
        <v>0</v>
      </c>
      <c r="N97" s="124" t="n">
        <f aca="false">SUM(J$6:J97)</f>
        <v>0</v>
      </c>
      <c r="P97" s="124" t="n">
        <f aca="false">D97/P$3</f>
        <v>0</v>
      </c>
      <c r="Q97" s="124" t="n">
        <f aca="false">E97/P$3</f>
        <v>0</v>
      </c>
      <c r="R97" s="124" t="n">
        <f aca="false">F97/R$3</f>
        <v>0</v>
      </c>
      <c r="S97" s="126" t="n">
        <f aca="false">J97/$R$3</f>
        <v>0</v>
      </c>
      <c r="T97" s="126" t="n">
        <f aca="false">L97/$R$3</f>
        <v>0</v>
      </c>
      <c r="U97" s="126" t="n">
        <f aca="false">I97/$R$3</f>
        <v>0</v>
      </c>
      <c r="V97" s="126" t="n">
        <f aca="false">M97/$R$3</f>
        <v>0</v>
      </c>
      <c r="W97" s="126" t="n">
        <f aca="false">N97/$R$3</f>
        <v>0</v>
      </c>
    </row>
    <row r="98" customFormat="false" ht="12.75" hidden="true" customHeight="false" outlineLevel="0" collapsed="false">
      <c r="A98" s="120" t="n">
        <f aca="false">A97+1</f>
        <v>36984</v>
      </c>
      <c r="B98" s="131" t="str">
        <f aca="false">INDEX('Master Data'!$A$2:$B$8,MATCH(WEEKDAY('Modesto Maranzana Power'!A98,3),'Master Data'!$A$2:$A$8,0),2)</f>
        <v>T</v>
      </c>
      <c r="D98" s="124" t="n">
        <v>0</v>
      </c>
      <c r="E98" s="124" t="n">
        <v>0</v>
      </c>
      <c r="F98" s="124" t="n">
        <v>0</v>
      </c>
      <c r="G98" s="124" t="n">
        <v>0</v>
      </c>
      <c r="I98" s="124" t="n">
        <f aca="false">IF(MONTH($A98)=MONTH($A97),IF(G98=0,I97,G98),G98)</f>
        <v>0</v>
      </c>
      <c r="J98" s="124" t="n">
        <f aca="false">IF(MONTH($A98)=MONTH($A97),SUM(I98-I97),I98)</f>
        <v>0</v>
      </c>
      <c r="K98" s="124" t="n">
        <f aca="false">IF(WEEKDAY(A98,3)&gt;4,0,(IF(A98&lt;K$2,0,IF(A98&lt;=K$3,1,0))))</f>
        <v>0</v>
      </c>
      <c r="L98" s="124" t="n">
        <f aca="false">J98*K98</f>
        <v>0</v>
      </c>
      <c r="M98" s="124" t="n">
        <f aca="false">SUM(J$97:J98)</f>
        <v>0</v>
      </c>
      <c r="N98" s="124" t="n">
        <f aca="false">SUM(J$6:J98)</f>
        <v>0</v>
      </c>
      <c r="P98" s="124" t="n">
        <f aca="false">D98/P$3</f>
        <v>0</v>
      </c>
      <c r="Q98" s="124" t="n">
        <f aca="false">E98/P$3</f>
        <v>0</v>
      </c>
      <c r="R98" s="124" t="n">
        <f aca="false">F98/R$3</f>
        <v>0</v>
      </c>
      <c r="S98" s="126" t="n">
        <f aca="false">J98/$R$3</f>
        <v>0</v>
      </c>
      <c r="T98" s="126" t="n">
        <f aca="false">L98/$R$3</f>
        <v>0</v>
      </c>
      <c r="U98" s="126" t="n">
        <f aca="false">I98/$R$3</f>
        <v>0</v>
      </c>
      <c r="V98" s="126" t="n">
        <f aca="false">M98/$R$3</f>
        <v>0</v>
      </c>
      <c r="W98" s="126" t="n">
        <f aca="false">N98/$R$3</f>
        <v>0</v>
      </c>
    </row>
    <row r="99" customFormat="false" ht="12.75" hidden="true" customHeight="false" outlineLevel="0" collapsed="false">
      <c r="A99" s="120" t="n">
        <f aca="false">A98+1</f>
        <v>36985</v>
      </c>
      <c r="B99" s="131" t="str">
        <f aca="false">INDEX('Master Data'!$A$2:$B$8,MATCH(WEEKDAY('Modesto Maranzana Power'!A99,3),'Master Data'!$A$2:$A$8,0),2)</f>
        <v>W</v>
      </c>
      <c r="D99" s="124" t="n">
        <v>0</v>
      </c>
      <c r="E99" s="124" t="n">
        <v>0</v>
      </c>
      <c r="F99" s="124" t="n">
        <v>0</v>
      </c>
      <c r="G99" s="124" t="n">
        <v>0</v>
      </c>
      <c r="I99" s="124" t="n">
        <f aca="false">IF(MONTH($A99)=MONTH($A98),IF(G99=0,I98,G99),G99)</f>
        <v>0</v>
      </c>
      <c r="J99" s="124" t="n">
        <f aca="false">IF(MONTH($A99)=MONTH($A98),SUM(I99-I98),I99)</f>
        <v>0</v>
      </c>
      <c r="K99" s="124" t="n">
        <f aca="false">IF(WEEKDAY(A99,3)&gt;4,0,(IF(A99&lt;K$2,0,IF(A99&lt;=K$3,1,0))))</f>
        <v>0</v>
      </c>
      <c r="L99" s="124" t="n">
        <f aca="false">J99*K99</f>
        <v>0</v>
      </c>
      <c r="M99" s="124" t="n">
        <f aca="false">SUM(J$97:J99)</f>
        <v>0</v>
      </c>
      <c r="N99" s="124" t="n">
        <f aca="false">SUM(J$6:J99)</f>
        <v>0</v>
      </c>
      <c r="P99" s="124" t="n">
        <f aca="false">D99/P$3</f>
        <v>0</v>
      </c>
      <c r="Q99" s="124" t="n">
        <f aca="false">E99/P$3</f>
        <v>0</v>
      </c>
      <c r="R99" s="124" t="n">
        <f aca="false">F99/R$3</f>
        <v>0</v>
      </c>
      <c r="S99" s="126" t="n">
        <f aca="false">J99/$R$3</f>
        <v>0</v>
      </c>
      <c r="T99" s="126" t="n">
        <f aca="false">L99/$R$3</f>
        <v>0</v>
      </c>
      <c r="U99" s="126" t="n">
        <f aca="false">I99/$R$3</f>
        <v>0</v>
      </c>
      <c r="V99" s="126" t="n">
        <f aca="false">M99/$R$3</f>
        <v>0</v>
      </c>
      <c r="W99" s="126" t="n">
        <f aca="false">N99/$R$3</f>
        <v>0</v>
      </c>
    </row>
    <row r="100" customFormat="false" ht="12.75" hidden="true" customHeight="false" outlineLevel="0" collapsed="false">
      <c r="A100" s="120" t="n">
        <f aca="false">A99+1</f>
        <v>36986</v>
      </c>
      <c r="B100" s="131" t="str">
        <f aca="false">INDEX('Master Data'!$A$2:$B$8,MATCH(WEEKDAY('Modesto Maranzana Power'!A100,3),'Master Data'!$A$2:$A$8,0),2)</f>
        <v>Th</v>
      </c>
      <c r="D100" s="124" t="n">
        <v>0</v>
      </c>
      <c r="E100" s="124" t="n">
        <v>0</v>
      </c>
      <c r="F100" s="124" t="n">
        <v>0</v>
      </c>
      <c r="G100" s="124" t="n">
        <v>0</v>
      </c>
      <c r="I100" s="124" t="n">
        <f aca="false">IF(MONTH($A100)=MONTH($A99),IF(G100=0,I99,G100),G100)</f>
        <v>0</v>
      </c>
      <c r="J100" s="124" t="n">
        <f aca="false">IF(MONTH($A100)=MONTH($A99),SUM(I100-I99),I100)</f>
        <v>0</v>
      </c>
      <c r="K100" s="124" t="n">
        <f aca="false">IF(WEEKDAY(A100,3)&gt;4,0,(IF(A100&lt;K$2,0,IF(A100&lt;=K$3,1,0))))</f>
        <v>0</v>
      </c>
      <c r="L100" s="124" t="n">
        <f aca="false">J100*K100</f>
        <v>0</v>
      </c>
      <c r="M100" s="124" t="n">
        <f aca="false">SUM(J$97:J100)</f>
        <v>0</v>
      </c>
      <c r="N100" s="124" t="n">
        <f aca="false">SUM(J$6:J100)</f>
        <v>0</v>
      </c>
      <c r="P100" s="124" t="n">
        <f aca="false">D100/P$3</f>
        <v>0</v>
      </c>
      <c r="Q100" s="124" t="n">
        <f aca="false">E100/P$3</f>
        <v>0</v>
      </c>
      <c r="R100" s="124" t="n">
        <f aca="false">F100/R$3</f>
        <v>0</v>
      </c>
      <c r="S100" s="126" t="n">
        <f aca="false">J100/$R$3</f>
        <v>0</v>
      </c>
      <c r="T100" s="126" t="n">
        <f aca="false">L100/$R$3</f>
        <v>0</v>
      </c>
      <c r="U100" s="126" t="n">
        <f aca="false">I100/$R$3</f>
        <v>0</v>
      </c>
      <c r="V100" s="126" t="n">
        <f aca="false">M100/$R$3</f>
        <v>0</v>
      </c>
      <c r="W100" s="126" t="n">
        <f aca="false">N100/$R$3</f>
        <v>0</v>
      </c>
    </row>
    <row r="101" customFormat="false" ht="12.75" hidden="true" customHeight="false" outlineLevel="0" collapsed="false">
      <c r="A101" s="120" t="n">
        <f aca="false">A100+1</f>
        <v>36987</v>
      </c>
      <c r="B101" s="131" t="str">
        <f aca="false">INDEX('Master Data'!$A$2:$B$8,MATCH(WEEKDAY('Modesto Maranzana Power'!A101,3),'Master Data'!$A$2:$A$8,0),2)</f>
        <v>F</v>
      </c>
      <c r="D101" s="124" t="n">
        <v>0</v>
      </c>
      <c r="E101" s="124" t="n">
        <v>0</v>
      </c>
      <c r="F101" s="124" t="n">
        <v>0</v>
      </c>
      <c r="G101" s="124" t="n">
        <v>0</v>
      </c>
      <c r="I101" s="124" t="n">
        <f aca="false">IF(MONTH($A101)=MONTH($A100),IF(G101=0,I100,G101),G101)</f>
        <v>0</v>
      </c>
      <c r="J101" s="124" t="n">
        <f aca="false">IF(MONTH($A101)=MONTH($A100),SUM(I101-I100),I101)</f>
        <v>0</v>
      </c>
      <c r="K101" s="124" t="n">
        <f aca="false">IF(WEEKDAY(A101,3)&gt;4,0,(IF(A101&lt;K$2,0,IF(A101&lt;=K$3,1,0))))</f>
        <v>0</v>
      </c>
      <c r="L101" s="124" t="n">
        <f aca="false">J101*K101</f>
        <v>0</v>
      </c>
      <c r="M101" s="124" t="n">
        <f aca="false">SUM(J$97:J101)</f>
        <v>0</v>
      </c>
      <c r="N101" s="124" t="n">
        <f aca="false">SUM(J$6:J101)</f>
        <v>0</v>
      </c>
      <c r="P101" s="124" t="n">
        <f aca="false">D101/P$3</f>
        <v>0</v>
      </c>
      <c r="Q101" s="124" t="n">
        <f aca="false">E101/P$3</f>
        <v>0</v>
      </c>
      <c r="R101" s="124" t="n">
        <f aca="false">F101/R$3</f>
        <v>0</v>
      </c>
      <c r="S101" s="126" t="n">
        <f aca="false">J101/$R$3</f>
        <v>0</v>
      </c>
      <c r="T101" s="126" t="n">
        <f aca="false">L101/$R$3</f>
        <v>0</v>
      </c>
      <c r="U101" s="126" t="n">
        <f aca="false">I101/$R$3</f>
        <v>0</v>
      </c>
      <c r="V101" s="126" t="n">
        <f aca="false">M101/$R$3</f>
        <v>0</v>
      </c>
      <c r="W101" s="126" t="n">
        <f aca="false">N101/$R$3</f>
        <v>0</v>
      </c>
    </row>
    <row r="102" customFormat="false" ht="12.75" hidden="true" customHeight="false" outlineLevel="0" collapsed="false">
      <c r="A102" s="120" t="n">
        <f aca="false">A101+1</f>
        <v>36988</v>
      </c>
      <c r="B102" s="131" t="str">
        <f aca="false">INDEX('Master Data'!$A$2:$B$8,MATCH(WEEKDAY('Modesto Maranzana Power'!A102,3),'Master Data'!$A$2:$A$8,0),2)</f>
        <v>Sa</v>
      </c>
      <c r="D102" s="124" t="n">
        <v>0</v>
      </c>
      <c r="E102" s="124" t="n">
        <v>0</v>
      </c>
      <c r="F102" s="124" t="n">
        <v>0</v>
      </c>
      <c r="G102" s="124" t="n">
        <v>0</v>
      </c>
      <c r="I102" s="124" t="n">
        <f aca="false">IF(MONTH($A102)=MONTH($A101),IF(G102=0,I101,G102),G102)</f>
        <v>0</v>
      </c>
      <c r="J102" s="124" t="n">
        <f aca="false">IF(MONTH($A102)=MONTH($A101),SUM(I102-I101),I102)</f>
        <v>0</v>
      </c>
      <c r="K102" s="124" t="n">
        <f aca="false">IF(WEEKDAY(A102,3)&gt;4,0,(IF(A102&lt;K$2,0,IF(A102&lt;=K$3,1,0))))</f>
        <v>0</v>
      </c>
      <c r="L102" s="124" t="n">
        <f aca="false">J102*K102</f>
        <v>0</v>
      </c>
      <c r="M102" s="124" t="n">
        <f aca="false">SUM(J$97:J102)</f>
        <v>0</v>
      </c>
      <c r="N102" s="124" t="n">
        <f aca="false">SUM(J$6:J102)</f>
        <v>0</v>
      </c>
      <c r="P102" s="124" t="n">
        <f aca="false">D102/P$3</f>
        <v>0</v>
      </c>
      <c r="Q102" s="124" t="n">
        <f aca="false">E102/P$3</f>
        <v>0</v>
      </c>
      <c r="R102" s="124" t="n">
        <f aca="false">F102/R$3</f>
        <v>0</v>
      </c>
      <c r="S102" s="126" t="n">
        <f aca="false">J102/$R$3</f>
        <v>0</v>
      </c>
      <c r="T102" s="126" t="n">
        <f aca="false">L102/$R$3</f>
        <v>0</v>
      </c>
      <c r="U102" s="126" t="n">
        <f aca="false">I102/$R$3</f>
        <v>0</v>
      </c>
      <c r="V102" s="126" t="n">
        <f aca="false">M102/$R$3</f>
        <v>0</v>
      </c>
      <c r="W102" s="126" t="n">
        <f aca="false">N102/$R$3</f>
        <v>0</v>
      </c>
    </row>
    <row r="103" customFormat="false" ht="12.75" hidden="true" customHeight="false" outlineLevel="0" collapsed="false">
      <c r="A103" s="120" t="n">
        <f aca="false">A102+1</f>
        <v>36989</v>
      </c>
      <c r="B103" s="131" t="str">
        <f aca="false">INDEX('Master Data'!$A$2:$B$8,MATCH(WEEKDAY('Modesto Maranzana Power'!A103,3),'Master Data'!$A$2:$A$8,0),2)</f>
        <v>Su</v>
      </c>
      <c r="D103" s="124" t="n">
        <v>0</v>
      </c>
      <c r="E103" s="124" t="n">
        <v>0</v>
      </c>
      <c r="F103" s="124" t="n">
        <v>0</v>
      </c>
      <c r="G103" s="124" t="n">
        <v>0</v>
      </c>
      <c r="I103" s="124" t="n">
        <f aca="false">IF(MONTH($A103)=MONTH($A102),IF(G103=0,I102,G103),G103)</f>
        <v>0</v>
      </c>
      <c r="J103" s="124" t="n">
        <f aca="false">IF(MONTH($A103)=MONTH($A102),SUM(I103-I102),I103)</f>
        <v>0</v>
      </c>
      <c r="K103" s="124" t="n">
        <f aca="false">IF(WEEKDAY(A103,3)&gt;4,0,(IF(A103&lt;K$2,0,IF(A103&lt;=K$3,1,0))))</f>
        <v>0</v>
      </c>
      <c r="L103" s="124" t="n">
        <f aca="false">J103*K103</f>
        <v>0</v>
      </c>
      <c r="M103" s="124" t="n">
        <f aca="false">SUM(J$97:J103)</f>
        <v>0</v>
      </c>
      <c r="N103" s="124" t="n">
        <f aca="false">SUM(J$6:J103)</f>
        <v>0</v>
      </c>
      <c r="P103" s="124" t="n">
        <f aca="false">D103/P$3</f>
        <v>0</v>
      </c>
      <c r="Q103" s="124" t="n">
        <f aca="false">E103/P$3</f>
        <v>0</v>
      </c>
      <c r="R103" s="124" t="n">
        <f aca="false">F103/R$3</f>
        <v>0</v>
      </c>
      <c r="S103" s="126" t="n">
        <f aca="false">J103/$R$3</f>
        <v>0</v>
      </c>
      <c r="T103" s="126" t="n">
        <f aca="false">L103/$R$3</f>
        <v>0</v>
      </c>
      <c r="U103" s="126" t="n">
        <f aca="false">I103/$R$3</f>
        <v>0</v>
      </c>
      <c r="V103" s="126" t="n">
        <f aca="false">M103/$R$3</f>
        <v>0</v>
      </c>
      <c r="W103" s="126" t="n">
        <f aca="false">N103/$R$3</f>
        <v>0</v>
      </c>
    </row>
    <row r="104" customFormat="false" ht="12.75" hidden="true" customHeight="false" outlineLevel="0" collapsed="false">
      <c r="A104" s="120" t="n">
        <f aca="false">A103+1</f>
        <v>36990</v>
      </c>
      <c r="B104" s="131" t="str">
        <f aca="false">INDEX('Master Data'!$A$2:$B$8,MATCH(WEEKDAY('Modesto Maranzana Power'!A104,3),'Master Data'!$A$2:$A$8,0),2)</f>
        <v>M</v>
      </c>
      <c r="D104" s="124" t="n">
        <v>0</v>
      </c>
      <c r="E104" s="124" t="n">
        <v>0</v>
      </c>
      <c r="F104" s="124" t="n">
        <v>0</v>
      </c>
      <c r="G104" s="124" t="n">
        <v>0</v>
      </c>
      <c r="I104" s="124" t="n">
        <f aca="false">IF(MONTH($A104)=MONTH($A103),IF(G104=0,I103,G104),G104)</f>
        <v>0</v>
      </c>
      <c r="J104" s="124" t="n">
        <f aca="false">IF(MONTH($A104)=MONTH($A103),SUM(I104-I103),I104)</f>
        <v>0</v>
      </c>
      <c r="K104" s="124" t="n">
        <f aca="false">IF(WEEKDAY(A104,3)&gt;4,0,(IF(A104&lt;K$2,0,IF(A104&lt;=K$3,1,0))))</f>
        <v>0</v>
      </c>
      <c r="L104" s="124" t="n">
        <f aca="false">J104*K104</f>
        <v>0</v>
      </c>
      <c r="M104" s="124" t="n">
        <f aca="false">SUM(J$97:J104)</f>
        <v>0</v>
      </c>
      <c r="N104" s="124" t="n">
        <f aca="false">SUM(J$6:J104)</f>
        <v>0</v>
      </c>
      <c r="P104" s="124" t="n">
        <f aca="false">D104/P$3</f>
        <v>0</v>
      </c>
      <c r="Q104" s="124" t="n">
        <f aca="false">E104/P$3</f>
        <v>0</v>
      </c>
      <c r="R104" s="124" t="n">
        <f aca="false">F104/R$3</f>
        <v>0</v>
      </c>
      <c r="S104" s="126" t="n">
        <f aca="false">J104/$R$3</f>
        <v>0</v>
      </c>
      <c r="T104" s="126" t="n">
        <f aca="false">L104/$R$3</f>
        <v>0</v>
      </c>
      <c r="U104" s="126" t="n">
        <f aca="false">I104/$R$3</f>
        <v>0</v>
      </c>
      <c r="V104" s="126" t="n">
        <f aca="false">M104/$R$3</f>
        <v>0</v>
      </c>
      <c r="W104" s="126" t="n">
        <f aca="false">N104/$R$3</f>
        <v>0</v>
      </c>
    </row>
    <row r="105" customFormat="false" ht="12.75" hidden="true" customHeight="false" outlineLevel="0" collapsed="false">
      <c r="A105" s="120" t="n">
        <f aca="false">A104+1</f>
        <v>36991</v>
      </c>
      <c r="B105" s="131" t="str">
        <f aca="false">INDEX('Master Data'!$A$2:$B$8,MATCH(WEEKDAY('Modesto Maranzana Power'!A105,3),'Master Data'!$A$2:$A$8,0),2)</f>
        <v>T</v>
      </c>
      <c r="D105" s="124" t="n">
        <v>0</v>
      </c>
      <c r="E105" s="124" t="n">
        <v>0</v>
      </c>
      <c r="F105" s="124" t="n">
        <v>0</v>
      </c>
      <c r="G105" s="124" t="n">
        <v>0</v>
      </c>
      <c r="I105" s="124" t="n">
        <f aca="false">IF(MONTH($A105)=MONTH($A104),IF(G105=0,I104,G105),G105)</f>
        <v>0</v>
      </c>
      <c r="J105" s="124" t="n">
        <f aca="false">IF(MONTH($A105)=MONTH($A104),SUM(I105-I104),I105)</f>
        <v>0</v>
      </c>
      <c r="K105" s="124" t="n">
        <f aca="false">IF(WEEKDAY(A105,3)&gt;4,0,(IF(A105&lt;K$2,0,IF(A105&lt;=K$3,1,0))))</f>
        <v>0</v>
      </c>
      <c r="L105" s="124" t="n">
        <f aca="false">J105*K105</f>
        <v>0</v>
      </c>
      <c r="M105" s="124" t="n">
        <f aca="false">SUM(J$97:J105)</f>
        <v>0</v>
      </c>
      <c r="N105" s="124" t="n">
        <f aca="false">SUM(J$6:J105)</f>
        <v>0</v>
      </c>
      <c r="P105" s="124" t="n">
        <f aca="false">D105/P$3</f>
        <v>0</v>
      </c>
      <c r="Q105" s="124" t="n">
        <f aca="false">E105/P$3</f>
        <v>0</v>
      </c>
      <c r="R105" s="124" t="n">
        <f aca="false">F105/R$3</f>
        <v>0</v>
      </c>
      <c r="S105" s="126" t="n">
        <f aca="false">J105/$R$3</f>
        <v>0</v>
      </c>
      <c r="T105" s="126" t="n">
        <f aca="false">L105/$R$3</f>
        <v>0</v>
      </c>
      <c r="U105" s="126" t="n">
        <f aca="false">I105/$R$3</f>
        <v>0</v>
      </c>
      <c r="V105" s="126" t="n">
        <f aca="false">M105/$R$3</f>
        <v>0</v>
      </c>
      <c r="W105" s="126" t="n">
        <f aca="false">N105/$R$3</f>
        <v>0</v>
      </c>
    </row>
    <row r="106" customFormat="false" ht="12.75" hidden="true" customHeight="false" outlineLevel="0" collapsed="false">
      <c r="A106" s="120" t="n">
        <f aca="false">A105+1</f>
        <v>36992</v>
      </c>
      <c r="B106" s="131" t="str">
        <f aca="false">INDEX('Master Data'!$A$2:$B$8,MATCH(WEEKDAY('Modesto Maranzana Power'!A106,3),'Master Data'!$A$2:$A$8,0),2)</f>
        <v>W</v>
      </c>
      <c r="D106" s="124" t="n">
        <v>0</v>
      </c>
      <c r="E106" s="124" t="n">
        <v>0</v>
      </c>
      <c r="F106" s="124" t="n">
        <v>0</v>
      </c>
      <c r="G106" s="124" t="n">
        <v>0</v>
      </c>
      <c r="I106" s="124" t="n">
        <f aca="false">IF(MONTH($A106)=MONTH($A105),IF(G106=0,I105,G106),G106)</f>
        <v>0</v>
      </c>
      <c r="J106" s="124" t="n">
        <f aca="false">IF(MONTH($A106)=MONTH($A105),SUM(I106-I105),I106)</f>
        <v>0</v>
      </c>
      <c r="K106" s="124" t="n">
        <f aca="false">IF(WEEKDAY(A106,3)&gt;4,0,(IF(A106&lt;K$2,0,IF(A106&lt;=K$3,1,0))))</f>
        <v>0</v>
      </c>
      <c r="L106" s="124" t="n">
        <f aca="false">J106*K106</f>
        <v>0</v>
      </c>
      <c r="M106" s="124" t="n">
        <f aca="false">SUM(J$97:J106)</f>
        <v>0</v>
      </c>
      <c r="N106" s="124" t="n">
        <f aca="false">SUM(J$6:J106)</f>
        <v>0</v>
      </c>
      <c r="P106" s="124" t="n">
        <f aca="false">D106/P$3</f>
        <v>0</v>
      </c>
      <c r="Q106" s="124" t="n">
        <f aca="false">E106/P$3</f>
        <v>0</v>
      </c>
      <c r="R106" s="124" t="n">
        <f aca="false">F106/R$3</f>
        <v>0</v>
      </c>
      <c r="S106" s="126" t="n">
        <f aca="false">J106/$R$3</f>
        <v>0</v>
      </c>
      <c r="T106" s="126" t="n">
        <f aca="false">L106/$R$3</f>
        <v>0</v>
      </c>
      <c r="U106" s="126" t="n">
        <f aca="false">I106/$R$3</f>
        <v>0</v>
      </c>
      <c r="V106" s="126" t="n">
        <f aca="false">M106/$R$3</f>
        <v>0</v>
      </c>
      <c r="W106" s="126" t="n">
        <f aca="false">N106/$R$3</f>
        <v>0</v>
      </c>
    </row>
    <row r="107" customFormat="false" ht="12.75" hidden="true" customHeight="false" outlineLevel="0" collapsed="false">
      <c r="A107" s="120" t="n">
        <f aca="false">A106+1</f>
        <v>36993</v>
      </c>
      <c r="B107" s="131" t="str">
        <f aca="false">INDEX('Master Data'!$A$2:$B$8,MATCH(WEEKDAY('Modesto Maranzana Power'!A107,3),'Master Data'!$A$2:$A$8,0),2)</f>
        <v>Th</v>
      </c>
      <c r="D107" s="124" t="n">
        <v>0</v>
      </c>
      <c r="E107" s="124" t="n">
        <v>0</v>
      </c>
      <c r="F107" s="124" t="n">
        <v>0</v>
      </c>
      <c r="G107" s="124" t="n">
        <v>0</v>
      </c>
      <c r="I107" s="124" t="n">
        <f aca="false">IF(MONTH($A107)=MONTH($A106),IF(G107=0,I106,G107),G107)</f>
        <v>0</v>
      </c>
      <c r="J107" s="124" t="n">
        <f aca="false">IF(MONTH($A107)=MONTH($A106),SUM(I107-I106),I107)</f>
        <v>0</v>
      </c>
      <c r="K107" s="124" t="n">
        <f aca="false">IF(WEEKDAY(A107,3)&gt;4,0,(IF(A107&lt;K$2,0,IF(A107&lt;=K$3,1,0))))</f>
        <v>0</v>
      </c>
      <c r="L107" s="124" t="n">
        <f aca="false">J107*K107</f>
        <v>0</v>
      </c>
      <c r="M107" s="124" t="n">
        <f aca="false">SUM(J$97:J107)</f>
        <v>0</v>
      </c>
      <c r="N107" s="124" t="n">
        <f aca="false">SUM(J$6:J107)</f>
        <v>0</v>
      </c>
      <c r="P107" s="124" t="n">
        <f aca="false">D107/P$3</f>
        <v>0</v>
      </c>
      <c r="Q107" s="124" t="n">
        <f aca="false">E107/P$3</f>
        <v>0</v>
      </c>
      <c r="R107" s="124" t="n">
        <f aca="false">F107/R$3</f>
        <v>0</v>
      </c>
      <c r="S107" s="126" t="n">
        <f aca="false">J107/$R$3</f>
        <v>0</v>
      </c>
      <c r="T107" s="126" t="n">
        <f aca="false">L107/$R$3</f>
        <v>0</v>
      </c>
      <c r="U107" s="126" t="n">
        <f aca="false">I107/$R$3</f>
        <v>0</v>
      </c>
      <c r="V107" s="126" t="n">
        <f aca="false">M107/$R$3</f>
        <v>0</v>
      </c>
      <c r="W107" s="126" t="n">
        <f aca="false">N107/$R$3</f>
        <v>0</v>
      </c>
    </row>
    <row r="108" customFormat="false" ht="12.75" hidden="true" customHeight="false" outlineLevel="0" collapsed="false">
      <c r="A108" s="120" t="n">
        <f aca="false">A107+1</f>
        <v>36994</v>
      </c>
      <c r="B108" s="131" t="str">
        <f aca="false">INDEX('Master Data'!$A$2:$B$8,MATCH(WEEKDAY('Modesto Maranzana Power'!A108,3),'Master Data'!$A$2:$A$8,0),2)</f>
        <v>F</v>
      </c>
      <c r="D108" s="124" t="n">
        <v>0</v>
      </c>
      <c r="E108" s="124" t="n">
        <v>0</v>
      </c>
      <c r="F108" s="124" t="n">
        <v>0</v>
      </c>
      <c r="G108" s="124" t="n">
        <v>0</v>
      </c>
      <c r="I108" s="124" t="n">
        <f aca="false">IF(MONTH($A108)=MONTH($A107),IF(G108=0,I107,G108),G108)</f>
        <v>0</v>
      </c>
      <c r="J108" s="124" t="n">
        <f aca="false">IF(MONTH($A108)=MONTH($A107),SUM(I108-I107),I108)</f>
        <v>0</v>
      </c>
      <c r="K108" s="124" t="n">
        <f aca="false">IF(WEEKDAY(A108,3)&gt;4,0,(IF(A108&lt;K$2,0,IF(A108&lt;=K$3,1,0))))</f>
        <v>0</v>
      </c>
      <c r="L108" s="124" t="n">
        <f aca="false">J108*K108</f>
        <v>0</v>
      </c>
      <c r="M108" s="124" t="n">
        <f aca="false">SUM(J$97:J108)</f>
        <v>0</v>
      </c>
      <c r="N108" s="124" t="n">
        <f aca="false">SUM(J$6:J108)</f>
        <v>0</v>
      </c>
      <c r="P108" s="124" t="n">
        <f aca="false">D108/P$3</f>
        <v>0</v>
      </c>
      <c r="Q108" s="124" t="n">
        <f aca="false">E108/P$3</f>
        <v>0</v>
      </c>
      <c r="R108" s="124" t="n">
        <f aca="false">F108/R$3</f>
        <v>0</v>
      </c>
      <c r="S108" s="126" t="n">
        <f aca="false">J108/$R$3</f>
        <v>0</v>
      </c>
      <c r="T108" s="126" t="n">
        <f aca="false">L108/$R$3</f>
        <v>0</v>
      </c>
      <c r="U108" s="126" t="n">
        <f aca="false">I108/$R$3</f>
        <v>0</v>
      </c>
      <c r="V108" s="126" t="n">
        <f aca="false">M108/$R$3</f>
        <v>0</v>
      </c>
      <c r="W108" s="126" t="n">
        <f aca="false">N108/$R$3</f>
        <v>0</v>
      </c>
    </row>
    <row r="109" customFormat="false" ht="12.75" hidden="true" customHeight="false" outlineLevel="0" collapsed="false">
      <c r="A109" s="120" t="n">
        <f aca="false">A108+1</f>
        <v>36995</v>
      </c>
      <c r="B109" s="131" t="str">
        <f aca="false">INDEX('Master Data'!$A$2:$B$8,MATCH(WEEKDAY('Modesto Maranzana Power'!A109,3),'Master Data'!$A$2:$A$8,0),2)</f>
        <v>Sa</v>
      </c>
      <c r="D109" s="124" t="n">
        <v>0</v>
      </c>
      <c r="E109" s="124" t="n">
        <v>0</v>
      </c>
      <c r="F109" s="124" t="n">
        <v>0</v>
      </c>
      <c r="G109" s="124" t="n">
        <v>0</v>
      </c>
      <c r="I109" s="124" t="n">
        <f aca="false">IF(MONTH($A109)=MONTH($A108),IF(G109=0,I108,G109),G109)</f>
        <v>0</v>
      </c>
      <c r="J109" s="124" t="n">
        <f aca="false">IF(MONTH($A109)=MONTH($A108),SUM(I109-I108),I109)</f>
        <v>0</v>
      </c>
      <c r="K109" s="124" t="n">
        <f aca="false">IF(WEEKDAY(A109,3)&gt;4,0,(IF(A109&lt;K$2,0,IF(A109&lt;=K$3,1,0))))</f>
        <v>0</v>
      </c>
      <c r="L109" s="124" t="n">
        <f aca="false">J109*K109</f>
        <v>0</v>
      </c>
      <c r="M109" s="124" t="n">
        <f aca="false">SUM(J$97:J109)</f>
        <v>0</v>
      </c>
      <c r="N109" s="124" t="n">
        <f aca="false">SUM(J$6:J109)</f>
        <v>0</v>
      </c>
      <c r="P109" s="124" t="n">
        <f aca="false">D109/P$3</f>
        <v>0</v>
      </c>
      <c r="Q109" s="124" t="n">
        <f aca="false">E109/P$3</f>
        <v>0</v>
      </c>
      <c r="R109" s="124" t="n">
        <f aca="false">F109/R$3</f>
        <v>0</v>
      </c>
      <c r="S109" s="126" t="n">
        <f aca="false">J109/$R$3</f>
        <v>0</v>
      </c>
      <c r="T109" s="126" t="n">
        <f aca="false">L109/$R$3</f>
        <v>0</v>
      </c>
      <c r="U109" s="126" t="n">
        <f aca="false">I109/$R$3</f>
        <v>0</v>
      </c>
      <c r="V109" s="126" t="n">
        <f aca="false">M109/$R$3</f>
        <v>0</v>
      </c>
      <c r="W109" s="126" t="n">
        <f aca="false">N109/$R$3</f>
        <v>0</v>
      </c>
    </row>
    <row r="110" customFormat="false" ht="12.75" hidden="true" customHeight="false" outlineLevel="0" collapsed="false">
      <c r="A110" s="120" t="n">
        <f aca="false">A109+1</f>
        <v>36996</v>
      </c>
      <c r="B110" s="131" t="str">
        <f aca="false">INDEX('Master Data'!$A$2:$B$8,MATCH(WEEKDAY('Modesto Maranzana Power'!A110,3),'Master Data'!$A$2:$A$8,0),2)</f>
        <v>Su</v>
      </c>
      <c r="D110" s="124" t="n">
        <v>0</v>
      </c>
      <c r="E110" s="124" t="n">
        <v>0</v>
      </c>
      <c r="F110" s="124" t="n">
        <v>0</v>
      </c>
      <c r="G110" s="124" t="n">
        <v>0</v>
      </c>
      <c r="I110" s="124" t="n">
        <f aca="false">IF(MONTH($A110)=MONTH($A109),IF(G110=0,I109,G110),G110)</f>
        <v>0</v>
      </c>
      <c r="J110" s="124" t="n">
        <f aca="false">IF(MONTH($A110)=MONTH($A109),SUM(I110-I109),I110)</f>
        <v>0</v>
      </c>
      <c r="K110" s="124" t="n">
        <f aca="false">IF(WEEKDAY(A110,3)&gt;4,0,(IF(A110&lt;K$2,0,IF(A110&lt;=K$3,1,0))))</f>
        <v>0</v>
      </c>
      <c r="L110" s="124" t="n">
        <f aca="false">J110*K110</f>
        <v>0</v>
      </c>
      <c r="M110" s="124" t="n">
        <f aca="false">SUM(J$97:J110)</f>
        <v>0</v>
      </c>
      <c r="N110" s="124" t="n">
        <f aca="false">SUM(J$6:J110)</f>
        <v>0</v>
      </c>
      <c r="P110" s="124" t="n">
        <f aca="false">D110/P$3</f>
        <v>0</v>
      </c>
      <c r="Q110" s="124" t="n">
        <f aca="false">E110/P$3</f>
        <v>0</v>
      </c>
      <c r="R110" s="124" t="n">
        <f aca="false">F110/R$3</f>
        <v>0</v>
      </c>
      <c r="S110" s="126" t="n">
        <f aca="false">J110/$R$3</f>
        <v>0</v>
      </c>
      <c r="T110" s="126" t="n">
        <f aca="false">L110/$R$3</f>
        <v>0</v>
      </c>
      <c r="U110" s="126" t="n">
        <f aca="false">I110/$R$3</f>
        <v>0</v>
      </c>
      <c r="V110" s="126" t="n">
        <f aca="false">M110/$R$3</f>
        <v>0</v>
      </c>
      <c r="W110" s="126" t="n">
        <f aca="false">N110/$R$3</f>
        <v>0</v>
      </c>
    </row>
    <row r="111" customFormat="false" ht="12.75" hidden="true" customHeight="false" outlineLevel="0" collapsed="false">
      <c r="A111" s="120" t="n">
        <f aca="false">A110+1</f>
        <v>36997</v>
      </c>
      <c r="B111" s="131" t="str">
        <f aca="false">INDEX('Master Data'!$A$2:$B$8,MATCH(WEEKDAY('Modesto Maranzana Power'!A111,3),'Master Data'!$A$2:$A$8,0),2)</f>
        <v>M</v>
      </c>
      <c r="D111" s="124" t="n">
        <v>0</v>
      </c>
      <c r="E111" s="124" t="n">
        <v>0</v>
      </c>
      <c r="F111" s="124" t="n">
        <v>0</v>
      </c>
      <c r="G111" s="124" t="n">
        <v>0</v>
      </c>
      <c r="I111" s="124" t="n">
        <f aca="false">IF(MONTH($A111)=MONTH($A110),IF(G111=0,I110,G111),G111)</f>
        <v>0</v>
      </c>
      <c r="J111" s="124" t="n">
        <f aca="false">IF(MONTH($A111)=MONTH($A110),SUM(I111-I110),I111)</f>
        <v>0</v>
      </c>
      <c r="K111" s="124" t="n">
        <f aca="false">IF(WEEKDAY(A111,3)&gt;4,0,(IF(A111&lt;K$2,0,IF(A111&lt;=K$3,1,0))))</f>
        <v>0</v>
      </c>
      <c r="L111" s="124" t="n">
        <f aca="false">J111*K111</f>
        <v>0</v>
      </c>
      <c r="M111" s="124" t="n">
        <f aca="false">SUM(J$97:J111)</f>
        <v>0</v>
      </c>
      <c r="N111" s="124" t="n">
        <f aca="false">SUM(J$6:J111)</f>
        <v>0</v>
      </c>
      <c r="P111" s="124" t="n">
        <f aca="false">D111/P$3</f>
        <v>0</v>
      </c>
      <c r="Q111" s="124" t="n">
        <f aca="false">E111/P$3</f>
        <v>0</v>
      </c>
      <c r="R111" s="124" t="n">
        <f aca="false">F111/R$3</f>
        <v>0</v>
      </c>
      <c r="S111" s="126" t="n">
        <f aca="false">J111/$R$3</f>
        <v>0</v>
      </c>
      <c r="T111" s="126" t="n">
        <f aca="false">L111/$R$3</f>
        <v>0</v>
      </c>
      <c r="U111" s="126" t="n">
        <f aca="false">I111/$R$3</f>
        <v>0</v>
      </c>
      <c r="V111" s="126" t="n">
        <f aca="false">M111/$R$3</f>
        <v>0</v>
      </c>
      <c r="W111" s="126" t="n">
        <f aca="false">N111/$R$3</f>
        <v>0</v>
      </c>
    </row>
    <row r="112" customFormat="false" ht="12.75" hidden="true" customHeight="false" outlineLevel="0" collapsed="false">
      <c r="A112" s="120" t="n">
        <f aca="false">A111+1</f>
        <v>36998</v>
      </c>
      <c r="B112" s="131" t="str">
        <f aca="false">INDEX('Master Data'!$A$2:$B$8,MATCH(WEEKDAY('Modesto Maranzana Power'!A112,3),'Master Data'!$A$2:$A$8,0),2)</f>
        <v>T</v>
      </c>
      <c r="D112" s="124" t="n">
        <v>0</v>
      </c>
      <c r="E112" s="124" t="n">
        <v>0</v>
      </c>
      <c r="F112" s="124" t="n">
        <v>0</v>
      </c>
      <c r="G112" s="124" t="n">
        <v>0</v>
      </c>
      <c r="I112" s="124" t="n">
        <f aca="false">IF(MONTH($A112)=MONTH($A111),IF(G112=0,I111,G112),G112)</f>
        <v>0</v>
      </c>
      <c r="J112" s="124" t="n">
        <f aca="false">IF(MONTH($A112)=MONTH($A111),SUM(I112-I111),I112)</f>
        <v>0</v>
      </c>
      <c r="K112" s="124" t="n">
        <f aca="false">IF(WEEKDAY(A112,3)&gt;4,0,(IF(A112&lt;K$2,0,IF(A112&lt;=K$3,1,0))))</f>
        <v>0</v>
      </c>
      <c r="L112" s="124" t="n">
        <f aca="false">J112*K112</f>
        <v>0</v>
      </c>
      <c r="M112" s="124" t="n">
        <f aca="false">SUM(J$97:J112)</f>
        <v>0</v>
      </c>
      <c r="N112" s="124" t="n">
        <f aca="false">SUM(J$6:J112)</f>
        <v>0</v>
      </c>
      <c r="P112" s="124" t="n">
        <f aca="false">D112/P$3</f>
        <v>0</v>
      </c>
      <c r="Q112" s="124" t="n">
        <f aca="false">E112/P$3</f>
        <v>0</v>
      </c>
      <c r="R112" s="124" t="n">
        <f aca="false">F112/R$3</f>
        <v>0</v>
      </c>
      <c r="S112" s="126" t="n">
        <f aca="false">J112/$R$3</f>
        <v>0</v>
      </c>
      <c r="T112" s="126" t="n">
        <f aca="false">L112/$R$3</f>
        <v>0</v>
      </c>
      <c r="U112" s="126" t="n">
        <f aca="false">I112/$R$3</f>
        <v>0</v>
      </c>
      <c r="V112" s="126" t="n">
        <f aca="false">M112/$R$3</f>
        <v>0</v>
      </c>
      <c r="W112" s="126" t="n">
        <f aca="false">N112/$R$3</f>
        <v>0</v>
      </c>
    </row>
    <row r="113" customFormat="false" ht="12.75" hidden="true" customHeight="false" outlineLevel="0" collapsed="false">
      <c r="A113" s="120" t="n">
        <f aca="false">A112+1</f>
        <v>36999</v>
      </c>
      <c r="B113" s="131" t="str">
        <f aca="false">INDEX('Master Data'!$A$2:$B$8,MATCH(WEEKDAY('Modesto Maranzana Power'!A113,3),'Master Data'!$A$2:$A$8,0),2)</f>
        <v>W</v>
      </c>
      <c r="D113" s="124" t="n">
        <v>0</v>
      </c>
      <c r="E113" s="124" t="n">
        <v>0</v>
      </c>
      <c r="F113" s="124" t="n">
        <v>0</v>
      </c>
      <c r="G113" s="124" t="n">
        <v>0</v>
      </c>
      <c r="I113" s="124" t="n">
        <f aca="false">IF(MONTH($A113)=MONTH($A112),IF(G113=0,I112,G113),G113)</f>
        <v>0</v>
      </c>
      <c r="J113" s="124" t="n">
        <f aca="false">IF(MONTH($A113)=MONTH($A112),SUM(I113-I112),I113)</f>
        <v>0</v>
      </c>
      <c r="K113" s="124" t="n">
        <f aca="false">IF(WEEKDAY(A113,3)&gt;4,0,(IF(A113&lt;K$2,0,IF(A113&lt;=K$3,1,0))))</f>
        <v>0</v>
      </c>
      <c r="L113" s="124" t="n">
        <f aca="false">J113*K113</f>
        <v>0</v>
      </c>
      <c r="M113" s="124" t="n">
        <f aca="false">SUM(J$97:J113)</f>
        <v>0</v>
      </c>
      <c r="N113" s="124" t="n">
        <f aca="false">SUM(J$6:J113)</f>
        <v>0</v>
      </c>
      <c r="P113" s="124" t="n">
        <f aca="false">D113/P$3</f>
        <v>0</v>
      </c>
      <c r="Q113" s="124" t="n">
        <f aca="false">E113/P$3</f>
        <v>0</v>
      </c>
      <c r="R113" s="124" t="n">
        <f aca="false">F113/R$3</f>
        <v>0</v>
      </c>
      <c r="S113" s="126" t="n">
        <f aca="false">J113/$R$3</f>
        <v>0</v>
      </c>
      <c r="T113" s="126" t="n">
        <f aca="false">L113/$R$3</f>
        <v>0</v>
      </c>
      <c r="U113" s="126" t="n">
        <f aca="false">I113/$R$3</f>
        <v>0</v>
      </c>
      <c r="V113" s="126" t="n">
        <f aca="false">M113/$R$3</f>
        <v>0</v>
      </c>
      <c r="W113" s="126" t="n">
        <f aca="false">N113/$R$3</f>
        <v>0</v>
      </c>
    </row>
    <row r="114" customFormat="false" ht="12.75" hidden="true" customHeight="false" outlineLevel="0" collapsed="false">
      <c r="A114" s="120" t="n">
        <f aca="false">A113+1</f>
        <v>37000</v>
      </c>
      <c r="B114" s="131" t="str">
        <f aca="false">INDEX('Master Data'!$A$2:$B$8,MATCH(WEEKDAY('Modesto Maranzana Power'!A114,3),'Master Data'!$A$2:$A$8,0),2)</f>
        <v>Th</v>
      </c>
      <c r="D114" s="124" t="n">
        <v>0</v>
      </c>
      <c r="E114" s="124" t="n">
        <v>0</v>
      </c>
      <c r="F114" s="124" t="n">
        <v>0</v>
      </c>
      <c r="G114" s="124" t="n">
        <v>0</v>
      </c>
      <c r="I114" s="124" t="n">
        <f aca="false">IF(MONTH($A114)=MONTH($A113),IF(G114=0,I113,G114),G114)</f>
        <v>0</v>
      </c>
      <c r="J114" s="124" t="n">
        <f aca="false">IF(MONTH($A114)=MONTH($A113),SUM(I114-I113),I114)</f>
        <v>0</v>
      </c>
      <c r="K114" s="124" t="n">
        <f aca="false">IF(WEEKDAY(A114,3)&gt;4,0,(IF(A114&lt;K$2,0,IF(A114&lt;=K$3,1,0))))</f>
        <v>0</v>
      </c>
      <c r="L114" s="124" t="n">
        <f aca="false">J114*K114</f>
        <v>0</v>
      </c>
      <c r="M114" s="124" t="n">
        <f aca="false">SUM(J$97:J114)</f>
        <v>0</v>
      </c>
      <c r="N114" s="124" t="n">
        <f aca="false">SUM(J$6:J114)</f>
        <v>0</v>
      </c>
      <c r="P114" s="124" t="n">
        <f aca="false">D114/P$3</f>
        <v>0</v>
      </c>
      <c r="Q114" s="124" t="n">
        <f aca="false">E114/P$3</f>
        <v>0</v>
      </c>
      <c r="R114" s="124" t="n">
        <f aca="false">F114/R$3</f>
        <v>0</v>
      </c>
      <c r="S114" s="126" t="n">
        <f aca="false">J114/$R$3</f>
        <v>0</v>
      </c>
      <c r="T114" s="126" t="n">
        <f aca="false">L114/$R$3</f>
        <v>0</v>
      </c>
      <c r="U114" s="126" t="n">
        <f aca="false">I114/$R$3</f>
        <v>0</v>
      </c>
      <c r="V114" s="126" t="n">
        <f aca="false">M114/$R$3</f>
        <v>0</v>
      </c>
      <c r="W114" s="126" t="n">
        <f aca="false">N114/$R$3</f>
        <v>0</v>
      </c>
    </row>
    <row r="115" customFormat="false" ht="12.75" hidden="true" customHeight="false" outlineLevel="0" collapsed="false">
      <c r="A115" s="120" t="n">
        <f aca="false">A114+1</f>
        <v>37001</v>
      </c>
      <c r="B115" s="131" t="str">
        <f aca="false">INDEX('Master Data'!$A$2:$B$8,MATCH(WEEKDAY('Modesto Maranzana Power'!A115,3),'Master Data'!$A$2:$A$8,0),2)</f>
        <v>F</v>
      </c>
      <c r="D115" s="124" t="n">
        <v>0</v>
      </c>
      <c r="E115" s="124" t="n">
        <v>0</v>
      </c>
      <c r="F115" s="124" t="n">
        <v>0</v>
      </c>
      <c r="G115" s="124" t="n">
        <v>0</v>
      </c>
      <c r="I115" s="124" t="n">
        <f aca="false">IF(MONTH($A115)=MONTH($A114),IF(G115=0,I114,G115),G115)</f>
        <v>0</v>
      </c>
      <c r="J115" s="124" t="n">
        <f aca="false">IF(MONTH($A115)=MONTH($A114),SUM(I115-I114),I115)</f>
        <v>0</v>
      </c>
      <c r="K115" s="124" t="n">
        <f aca="false">IF(WEEKDAY(A115,3)&gt;4,0,(IF(A115&lt;K$2,0,IF(A115&lt;=K$3,1,0))))</f>
        <v>0</v>
      </c>
      <c r="L115" s="124" t="n">
        <f aca="false">J115*K115</f>
        <v>0</v>
      </c>
      <c r="M115" s="124" t="n">
        <f aca="false">SUM(J$97:J115)</f>
        <v>0</v>
      </c>
      <c r="N115" s="124" t="n">
        <f aca="false">SUM(J$6:J115)</f>
        <v>0</v>
      </c>
      <c r="P115" s="124" t="n">
        <f aca="false">D115/P$3</f>
        <v>0</v>
      </c>
      <c r="Q115" s="124" t="n">
        <f aca="false">E115/P$3</f>
        <v>0</v>
      </c>
      <c r="R115" s="124" t="n">
        <f aca="false">F115/R$3</f>
        <v>0</v>
      </c>
      <c r="S115" s="126" t="n">
        <f aca="false">J115/$R$3</f>
        <v>0</v>
      </c>
      <c r="T115" s="126" t="n">
        <f aca="false">L115/$R$3</f>
        <v>0</v>
      </c>
      <c r="U115" s="126" t="n">
        <f aca="false">I115/$R$3</f>
        <v>0</v>
      </c>
      <c r="V115" s="126" t="n">
        <f aca="false">M115/$R$3</f>
        <v>0</v>
      </c>
      <c r="W115" s="126" t="n">
        <f aca="false">N115/$R$3</f>
        <v>0</v>
      </c>
    </row>
    <row r="116" customFormat="false" ht="12.75" hidden="true" customHeight="false" outlineLevel="0" collapsed="false">
      <c r="A116" s="120" t="n">
        <f aca="false">A115+1</f>
        <v>37002</v>
      </c>
      <c r="B116" s="131" t="str">
        <f aca="false">INDEX('Master Data'!$A$2:$B$8,MATCH(WEEKDAY('Modesto Maranzana Power'!A116,3),'Master Data'!$A$2:$A$8,0),2)</f>
        <v>Sa</v>
      </c>
      <c r="D116" s="124" t="n">
        <v>0</v>
      </c>
      <c r="E116" s="124" t="n">
        <v>0</v>
      </c>
      <c r="F116" s="124" t="n">
        <v>0</v>
      </c>
      <c r="G116" s="124" t="n">
        <v>0</v>
      </c>
      <c r="I116" s="124" t="n">
        <f aca="false">IF(MONTH($A116)=MONTH($A115),IF(G116=0,I115,G116),G116)</f>
        <v>0</v>
      </c>
      <c r="J116" s="124" t="n">
        <f aca="false">IF(MONTH($A116)=MONTH($A115),SUM(I116-I115),I116)</f>
        <v>0</v>
      </c>
      <c r="K116" s="124" t="n">
        <f aca="false">IF(WEEKDAY(A116,3)&gt;4,0,(IF(A116&lt;K$2,0,IF(A116&lt;=K$3,1,0))))</f>
        <v>0</v>
      </c>
      <c r="L116" s="124" t="n">
        <f aca="false">J116*K116</f>
        <v>0</v>
      </c>
      <c r="M116" s="124" t="n">
        <f aca="false">SUM(J$97:J116)</f>
        <v>0</v>
      </c>
      <c r="N116" s="124" t="n">
        <f aca="false">SUM(J$6:J116)</f>
        <v>0</v>
      </c>
      <c r="P116" s="124" t="n">
        <f aca="false">D116/P$3</f>
        <v>0</v>
      </c>
      <c r="Q116" s="124" t="n">
        <f aca="false">E116/P$3</f>
        <v>0</v>
      </c>
      <c r="R116" s="124" t="n">
        <f aca="false">F116/R$3</f>
        <v>0</v>
      </c>
      <c r="S116" s="126" t="n">
        <f aca="false">J116/$R$3</f>
        <v>0</v>
      </c>
      <c r="T116" s="126" t="n">
        <f aca="false">L116/$R$3</f>
        <v>0</v>
      </c>
      <c r="U116" s="126" t="n">
        <f aca="false">I116/$R$3</f>
        <v>0</v>
      </c>
      <c r="V116" s="126" t="n">
        <f aca="false">M116/$R$3</f>
        <v>0</v>
      </c>
      <c r="W116" s="126" t="n">
        <f aca="false">N116/$R$3</f>
        <v>0</v>
      </c>
    </row>
    <row r="117" customFormat="false" ht="12.75" hidden="true" customHeight="false" outlineLevel="0" collapsed="false">
      <c r="A117" s="120" t="n">
        <f aca="false">A116+1</f>
        <v>37003</v>
      </c>
      <c r="B117" s="131" t="str">
        <f aca="false">INDEX('Master Data'!$A$2:$B$8,MATCH(WEEKDAY('Modesto Maranzana Power'!A117,3),'Master Data'!$A$2:$A$8,0),2)</f>
        <v>Su</v>
      </c>
      <c r="D117" s="124" t="n">
        <v>0</v>
      </c>
      <c r="E117" s="124" t="n">
        <v>0</v>
      </c>
      <c r="F117" s="124" t="n">
        <v>0</v>
      </c>
      <c r="G117" s="124" t="n">
        <v>0</v>
      </c>
      <c r="I117" s="124" t="n">
        <f aca="false">IF(MONTH($A117)=MONTH($A116),IF(G117=0,I116,G117),G117)</f>
        <v>0</v>
      </c>
      <c r="J117" s="124" t="n">
        <f aca="false">IF(MONTH($A117)=MONTH($A116),SUM(I117-I116),I117)</f>
        <v>0</v>
      </c>
      <c r="K117" s="124" t="n">
        <f aca="false">IF(WEEKDAY(A117,3)&gt;4,0,(IF(A117&lt;K$2,0,IF(A117&lt;=K$3,1,0))))</f>
        <v>0</v>
      </c>
      <c r="L117" s="124" t="n">
        <f aca="false">J117*K117</f>
        <v>0</v>
      </c>
      <c r="M117" s="124" t="n">
        <f aca="false">SUM(J$97:J117)</f>
        <v>0</v>
      </c>
      <c r="N117" s="124" t="n">
        <f aca="false">SUM(J$6:J117)</f>
        <v>0</v>
      </c>
      <c r="P117" s="124" t="n">
        <f aca="false">D117/P$3</f>
        <v>0</v>
      </c>
      <c r="Q117" s="124" t="n">
        <f aca="false">E117/P$3</f>
        <v>0</v>
      </c>
      <c r="R117" s="124" t="n">
        <f aca="false">F117/R$3</f>
        <v>0</v>
      </c>
      <c r="S117" s="126" t="n">
        <f aca="false">J117/$R$3</f>
        <v>0</v>
      </c>
      <c r="T117" s="126" t="n">
        <f aca="false">L117/$R$3</f>
        <v>0</v>
      </c>
      <c r="U117" s="126" t="n">
        <f aca="false">I117/$R$3</f>
        <v>0</v>
      </c>
      <c r="V117" s="126" t="n">
        <f aca="false">M117/$R$3</f>
        <v>0</v>
      </c>
      <c r="W117" s="126" t="n">
        <f aca="false">N117/$R$3</f>
        <v>0</v>
      </c>
    </row>
    <row r="118" customFormat="false" ht="12.75" hidden="true" customHeight="false" outlineLevel="0" collapsed="false">
      <c r="A118" s="120" t="n">
        <f aca="false">A117+1</f>
        <v>37004</v>
      </c>
      <c r="B118" s="131" t="str">
        <f aca="false">INDEX('Master Data'!$A$2:$B$8,MATCH(WEEKDAY('Modesto Maranzana Power'!A118,3),'Master Data'!$A$2:$A$8,0),2)</f>
        <v>M</v>
      </c>
      <c r="D118" s="124" t="n">
        <v>0</v>
      </c>
      <c r="E118" s="124" t="n">
        <v>0</v>
      </c>
      <c r="F118" s="124" t="n">
        <v>0</v>
      </c>
      <c r="G118" s="124" t="n">
        <v>0</v>
      </c>
      <c r="I118" s="124" t="n">
        <f aca="false">IF(MONTH($A118)=MONTH($A117),IF(G118=0,I117,G118),G118)</f>
        <v>0</v>
      </c>
      <c r="J118" s="124" t="n">
        <f aca="false">IF(MONTH($A118)=MONTH($A117),SUM(I118-I117),I118)</f>
        <v>0</v>
      </c>
      <c r="K118" s="124" t="n">
        <f aca="false">IF(WEEKDAY(A118,3)&gt;4,0,(IF(A118&lt;K$2,0,IF(A118&lt;=K$3,1,0))))</f>
        <v>0</v>
      </c>
      <c r="L118" s="124" t="n">
        <f aca="false">J118*K118</f>
        <v>0</v>
      </c>
      <c r="M118" s="124" t="n">
        <f aca="false">SUM(J$97:J118)</f>
        <v>0</v>
      </c>
      <c r="N118" s="124" t="n">
        <f aca="false">SUM(J$6:J118)</f>
        <v>0</v>
      </c>
      <c r="P118" s="124" t="n">
        <f aca="false">D118/P$3</f>
        <v>0</v>
      </c>
      <c r="Q118" s="124" t="n">
        <f aca="false">E118/P$3</f>
        <v>0</v>
      </c>
      <c r="R118" s="124" t="n">
        <f aca="false">F118/R$3</f>
        <v>0</v>
      </c>
      <c r="S118" s="126" t="n">
        <f aca="false">J118/$R$3</f>
        <v>0</v>
      </c>
      <c r="T118" s="126" t="n">
        <f aca="false">L118/$R$3</f>
        <v>0</v>
      </c>
      <c r="U118" s="126" t="n">
        <f aca="false">I118/$R$3</f>
        <v>0</v>
      </c>
      <c r="V118" s="126" t="n">
        <f aca="false">M118/$R$3</f>
        <v>0</v>
      </c>
      <c r="W118" s="126" t="n">
        <f aca="false">N118/$R$3</f>
        <v>0</v>
      </c>
    </row>
    <row r="119" customFormat="false" ht="12.75" hidden="true" customHeight="false" outlineLevel="0" collapsed="false">
      <c r="A119" s="120" t="n">
        <f aca="false">A118+1</f>
        <v>37005</v>
      </c>
      <c r="B119" s="131" t="str">
        <f aca="false">INDEX('Master Data'!$A$2:$B$8,MATCH(WEEKDAY('Modesto Maranzana Power'!A119,3),'Master Data'!$A$2:$A$8,0),2)</f>
        <v>T</v>
      </c>
      <c r="D119" s="124" t="n">
        <v>0</v>
      </c>
      <c r="E119" s="124" t="n">
        <v>0</v>
      </c>
      <c r="F119" s="124" t="n">
        <v>0</v>
      </c>
      <c r="G119" s="124" t="n">
        <v>0</v>
      </c>
      <c r="I119" s="124" t="n">
        <f aca="false">IF(MONTH($A119)=MONTH($A118),IF(G119=0,I118,G119),G119)</f>
        <v>0</v>
      </c>
      <c r="J119" s="124" t="n">
        <f aca="false">IF(MONTH($A119)=MONTH($A118),SUM(I119-I118),I119)</f>
        <v>0</v>
      </c>
      <c r="K119" s="124" t="n">
        <f aca="false">IF(WEEKDAY(A119,3)&gt;4,0,(IF(A119&lt;K$2,0,IF(A119&lt;=K$3,1,0))))</f>
        <v>0</v>
      </c>
      <c r="L119" s="124" t="n">
        <f aca="false">J119*K119</f>
        <v>0</v>
      </c>
      <c r="M119" s="124" t="n">
        <f aca="false">SUM(J$97:J119)</f>
        <v>0</v>
      </c>
      <c r="N119" s="124" t="n">
        <f aca="false">SUM(J$6:J119)</f>
        <v>0</v>
      </c>
      <c r="P119" s="124" t="n">
        <f aca="false">D119/P$3</f>
        <v>0</v>
      </c>
      <c r="Q119" s="124" t="n">
        <f aca="false">E119/P$3</f>
        <v>0</v>
      </c>
      <c r="R119" s="124" t="n">
        <f aca="false">F119/R$3</f>
        <v>0</v>
      </c>
      <c r="S119" s="126" t="n">
        <f aca="false">J119/$R$3</f>
        <v>0</v>
      </c>
      <c r="T119" s="126" t="n">
        <f aca="false">L119/$R$3</f>
        <v>0</v>
      </c>
      <c r="U119" s="126" t="n">
        <f aca="false">I119/$R$3</f>
        <v>0</v>
      </c>
      <c r="V119" s="126" t="n">
        <f aca="false">M119/$R$3</f>
        <v>0</v>
      </c>
      <c r="W119" s="126" t="n">
        <f aca="false">N119/$R$3</f>
        <v>0</v>
      </c>
    </row>
    <row r="120" customFormat="false" ht="12.75" hidden="true" customHeight="false" outlineLevel="0" collapsed="false">
      <c r="A120" s="120" t="n">
        <f aca="false">A119+1</f>
        <v>37006</v>
      </c>
      <c r="B120" s="131" t="str">
        <f aca="false">INDEX('Master Data'!$A$2:$B$8,MATCH(WEEKDAY('Modesto Maranzana Power'!A120,3),'Master Data'!$A$2:$A$8,0),2)</f>
        <v>W</v>
      </c>
      <c r="D120" s="124" t="n">
        <v>0</v>
      </c>
      <c r="E120" s="124" t="n">
        <v>0</v>
      </c>
      <c r="F120" s="124" t="n">
        <v>0</v>
      </c>
      <c r="G120" s="124" t="n">
        <v>0</v>
      </c>
      <c r="I120" s="124" t="n">
        <f aca="false">IF(MONTH($A120)=MONTH($A119),IF(G120=0,I119,G120),G120)</f>
        <v>0</v>
      </c>
      <c r="J120" s="124" t="n">
        <f aca="false">IF(MONTH($A120)=MONTH($A119),SUM(I120-I119),I120)</f>
        <v>0</v>
      </c>
      <c r="K120" s="124" t="n">
        <f aca="false">IF(WEEKDAY(A120,3)&gt;4,0,(IF(A120&lt;K$2,0,IF(A120&lt;=K$3,1,0))))</f>
        <v>0</v>
      </c>
      <c r="L120" s="124" t="n">
        <f aca="false">J120*K120</f>
        <v>0</v>
      </c>
      <c r="M120" s="124" t="n">
        <f aca="false">SUM(J$97:J120)</f>
        <v>0</v>
      </c>
      <c r="N120" s="124" t="n">
        <f aca="false">SUM(J$6:J120)</f>
        <v>0</v>
      </c>
      <c r="P120" s="124" t="n">
        <f aca="false">D120/P$3</f>
        <v>0</v>
      </c>
      <c r="Q120" s="124" t="n">
        <f aca="false">E120/P$3</f>
        <v>0</v>
      </c>
      <c r="R120" s="124" t="n">
        <f aca="false">F120/R$3</f>
        <v>0</v>
      </c>
      <c r="S120" s="126" t="n">
        <f aca="false">J120/$R$3</f>
        <v>0</v>
      </c>
      <c r="T120" s="126" t="n">
        <f aca="false">L120/$R$3</f>
        <v>0</v>
      </c>
      <c r="U120" s="126" t="n">
        <f aca="false">I120/$R$3</f>
        <v>0</v>
      </c>
      <c r="V120" s="126" t="n">
        <f aca="false">M120/$R$3</f>
        <v>0</v>
      </c>
      <c r="W120" s="126" t="n">
        <f aca="false">N120/$R$3</f>
        <v>0</v>
      </c>
    </row>
    <row r="121" customFormat="false" ht="12.75" hidden="true" customHeight="false" outlineLevel="0" collapsed="false">
      <c r="A121" s="120" t="n">
        <f aca="false">A120+1</f>
        <v>37007</v>
      </c>
      <c r="B121" s="131" t="str">
        <f aca="false">INDEX('Master Data'!$A$2:$B$8,MATCH(WEEKDAY('Modesto Maranzana Power'!A121,3),'Master Data'!$A$2:$A$8,0),2)</f>
        <v>Th</v>
      </c>
      <c r="D121" s="124" t="n">
        <v>0</v>
      </c>
      <c r="E121" s="124" t="n">
        <v>0</v>
      </c>
      <c r="F121" s="124" t="n">
        <v>0</v>
      </c>
      <c r="G121" s="124" t="n">
        <v>0</v>
      </c>
      <c r="I121" s="124" t="n">
        <f aca="false">IF(MONTH($A121)=MONTH($A120),IF(G121=0,I120,G121),G121)</f>
        <v>0</v>
      </c>
      <c r="J121" s="124" t="n">
        <f aca="false">IF(MONTH($A121)=MONTH($A120),SUM(I121-I120),I121)</f>
        <v>0</v>
      </c>
      <c r="K121" s="124" t="n">
        <f aca="false">IF(WEEKDAY(A121,3)&gt;4,0,(IF(A121&lt;K$2,0,IF(A121&lt;=K$3,1,0))))</f>
        <v>0</v>
      </c>
      <c r="L121" s="124" t="n">
        <f aca="false">J121*K121</f>
        <v>0</v>
      </c>
      <c r="M121" s="124" t="n">
        <f aca="false">SUM(J$97:J121)</f>
        <v>0</v>
      </c>
      <c r="N121" s="124" t="n">
        <f aca="false">SUM(J$6:J121)</f>
        <v>0</v>
      </c>
      <c r="P121" s="124" t="n">
        <f aca="false">D121/P$3</f>
        <v>0</v>
      </c>
      <c r="Q121" s="124" t="n">
        <f aca="false">E121/P$3</f>
        <v>0</v>
      </c>
      <c r="R121" s="124" t="n">
        <f aca="false">F121/R$3</f>
        <v>0</v>
      </c>
      <c r="S121" s="126" t="n">
        <f aca="false">J121/$R$3</f>
        <v>0</v>
      </c>
      <c r="T121" s="126" t="n">
        <f aca="false">L121/$R$3</f>
        <v>0</v>
      </c>
      <c r="U121" s="126" t="n">
        <f aca="false">I121/$R$3</f>
        <v>0</v>
      </c>
      <c r="V121" s="126" t="n">
        <f aca="false">M121/$R$3</f>
        <v>0</v>
      </c>
      <c r="W121" s="126" t="n">
        <f aca="false">N121/$R$3</f>
        <v>0</v>
      </c>
    </row>
    <row r="122" customFormat="false" ht="12.75" hidden="true" customHeight="false" outlineLevel="0" collapsed="false">
      <c r="A122" s="120" t="n">
        <f aca="false">A121+1</f>
        <v>37008</v>
      </c>
      <c r="B122" s="131" t="str">
        <f aca="false">INDEX('Master Data'!$A$2:$B$8,MATCH(WEEKDAY('Modesto Maranzana Power'!A122,3),'Master Data'!$A$2:$A$8,0),2)</f>
        <v>F</v>
      </c>
      <c r="D122" s="124" t="n">
        <v>0</v>
      </c>
      <c r="E122" s="124" t="n">
        <v>0</v>
      </c>
      <c r="F122" s="124" t="n">
        <v>0</v>
      </c>
      <c r="G122" s="124" t="n">
        <v>0</v>
      </c>
      <c r="I122" s="124" t="n">
        <f aca="false">IF(MONTH($A122)=MONTH($A121),IF(G122=0,I121,G122),G122)</f>
        <v>0</v>
      </c>
      <c r="J122" s="124" t="n">
        <f aca="false">IF(MONTH($A122)=MONTH($A121),SUM(I122-I121),I122)</f>
        <v>0</v>
      </c>
      <c r="K122" s="124" t="n">
        <f aca="false">IF(WEEKDAY(A122,3)&gt;4,0,(IF(A122&lt;K$2,0,IF(A122&lt;=K$3,1,0))))</f>
        <v>0</v>
      </c>
      <c r="L122" s="124" t="n">
        <f aca="false">J122*K122</f>
        <v>0</v>
      </c>
      <c r="M122" s="124" t="n">
        <f aca="false">SUM(J$97:J122)</f>
        <v>0</v>
      </c>
      <c r="N122" s="124" t="n">
        <f aca="false">SUM(J$6:J122)</f>
        <v>0</v>
      </c>
      <c r="P122" s="124" t="n">
        <f aca="false">D122/P$3</f>
        <v>0</v>
      </c>
      <c r="Q122" s="124" t="n">
        <f aca="false">E122/P$3</f>
        <v>0</v>
      </c>
      <c r="R122" s="124" t="n">
        <f aca="false">F122/R$3</f>
        <v>0</v>
      </c>
      <c r="S122" s="126" t="n">
        <f aca="false">J122/$R$3</f>
        <v>0</v>
      </c>
      <c r="T122" s="126" t="n">
        <f aca="false">L122/$R$3</f>
        <v>0</v>
      </c>
      <c r="U122" s="126" t="n">
        <f aca="false">I122/$R$3</f>
        <v>0</v>
      </c>
      <c r="V122" s="126" t="n">
        <f aca="false">M122/$R$3</f>
        <v>0</v>
      </c>
      <c r="W122" s="126" t="n">
        <f aca="false">N122/$R$3</f>
        <v>0</v>
      </c>
    </row>
    <row r="123" customFormat="false" ht="12.75" hidden="true" customHeight="false" outlineLevel="0" collapsed="false">
      <c r="A123" s="120" t="n">
        <f aca="false">A122+1</f>
        <v>37009</v>
      </c>
      <c r="B123" s="131" t="str">
        <f aca="false">INDEX('Master Data'!$A$2:$B$8,MATCH(WEEKDAY('Modesto Maranzana Power'!A123,3),'Master Data'!$A$2:$A$8,0),2)</f>
        <v>Sa</v>
      </c>
      <c r="D123" s="124" t="n">
        <v>0</v>
      </c>
      <c r="E123" s="124" t="n">
        <v>0</v>
      </c>
      <c r="F123" s="124" t="n">
        <v>0</v>
      </c>
      <c r="G123" s="124" t="n">
        <v>0</v>
      </c>
      <c r="I123" s="124" t="n">
        <f aca="false">IF(MONTH($A123)=MONTH($A122),IF(G123=0,I122,G123),G123)</f>
        <v>0</v>
      </c>
      <c r="J123" s="124" t="n">
        <f aca="false">IF(MONTH($A123)=MONTH($A122),SUM(I123-I122),I123)</f>
        <v>0</v>
      </c>
      <c r="K123" s="124" t="n">
        <f aca="false">IF(WEEKDAY(A123,3)&gt;4,0,(IF(A123&lt;K$2,0,IF(A123&lt;=K$3,1,0))))</f>
        <v>0</v>
      </c>
      <c r="L123" s="124" t="n">
        <f aca="false">J123*K123</f>
        <v>0</v>
      </c>
      <c r="M123" s="124" t="n">
        <f aca="false">SUM(J$97:J123)</f>
        <v>0</v>
      </c>
      <c r="N123" s="124" t="n">
        <f aca="false">SUM(J$6:J123)</f>
        <v>0</v>
      </c>
      <c r="P123" s="124" t="n">
        <f aca="false">D123/P$3</f>
        <v>0</v>
      </c>
      <c r="Q123" s="124" t="n">
        <f aca="false">E123/P$3</f>
        <v>0</v>
      </c>
      <c r="R123" s="124" t="n">
        <f aca="false">F123/R$3</f>
        <v>0</v>
      </c>
      <c r="S123" s="126" t="n">
        <f aca="false">J123/$R$3</f>
        <v>0</v>
      </c>
      <c r="T123" s="126" t="n">
        <f aca="false">L123/$R$3</f>
        <v>0</v>
      </c>
      <c r="U123" s="126" t="n">
        <f aca="false">I123/$R$3</f>
        <v>0</v>
      </c>
      <c r="V123" s="126" t="n">
        <f aca="false">M123/$R$3</f>
        <v>0</v>
      </c>
      <c r="W123" s="126" t="n">
        <f aca="false">N123/$R$3</f>
        <v>0</v>
      </c>
    </row>
    <row r="124" customFormat="false" ht="12.75" hidden="true" customHeight="false" outlineLevel="0" collapsed="false">
      <c r="A124" s="120" t="n">
        <f aca="false">A123+1</f>
        <v>37010</v>
      </c>
      <c r="B124" s="131" t="str">
        <f aca="false">INDEX('Master Data'!$A$2:$B$8,MATCH(WEEKDAY('Modesto Maranzana Power'!A124,3),'Master Data'!$A$2:$A$8,0),2)</f>
        <v>Su</v>
      </c>
      <c r="D124" s="124" t="n">
        <v>0</v>
      </c>
      <c r="E124" s="124" t="n">
        <v>0</v>
      </c>
      <c r="F124" s="124" t="n">
        <v>0</v>
      </c>
      <c r="G124" s="124" t="n">
        <v>0</v>
      </c>
      <c r="I124" s="124" t="n">
        <f aca="false">IF(MONTH($A124)=MONTH($A123),IF(G124=0,I123,G124),G124)</f>
        <v>0</v>
      </c>
      <c r="J124" s="124" t="n">
        <f aca="false">IF(MONTH($A124)=MONTH($A123),SUM(I124-I123),I124)</f>
        <v>0</v>
      </c>
      <c r="K124" s="124" t="n">
        <f aca="false">IF(WEEKDAY(A124,3)&gt;4,0,(IF(A124&lt;K$2,0,IF(A124&lt;=K$3,1,0))))</f>
        <v>0</v>
      </c>
      <c r="L124" s="124" t="n">
        <f aca="false">J124*K124</f>
        <v>0</v>
      </c>
      <c r="M124" s="124" t="n">
        <f aca="false">SUM(J$97:J124)</f>
        <v>0</v>
      </c>
      <c r="N124" s="124" t="n">
        <f aca="false">SUM(J$6:J124)</f>
        <v>0</v>
      </c>
      <c r="P124" s="124" t="n">
        <f aca="false">D124/P$3</f>
        <v>0</v>
      </c>
      <c r="Q124" s="124" t="n">
        <f aca="false">E124/P$3</f>
        <v>0</v>
      </c>
      <c r="R124" s="124" t="n">
        <f aca="false">F124/R$3</f>
        <v>0</v>
      </c>
      <c r="S124" s="126" t="n">
        <f aca="false">J124/$R$3</f>
        <v>0</v>
      </c>
      <c r="T124" s="126" t="n">
        <f aca="false">L124/$R$3</f>
        <v>0</v>
      </c>
      <c r="U124" s="126" t="n">
        <f aca="false">I124/$R$3</f>
        <v>0</v>
      </c>
      <c r="V124" s="126" t="n">
        <f aca="false">M124/$R$3</f>
        <v>0</v>
      </c>
      <c r="W124" s="126" t="n">
        <f aca="false">N124/$R$3</f>
        <v>0</v>
      </c>
    </row>
    <row r="125" customFormat="false" ht="12.75" hidden="true" customHeight="false" outlineLevel="0" collapsed="false">
      <c r="A125" s="120" t="n">
        <f aca="false">A124+1</f>
        <v>37011</v>
      </c>
      <c r="B125" s="131" t="str">
        <f aca="false">INDEX('Master Data'!$A$2:$B$8,MATCH(WEEKDAY('Modesto Maranzana Power'!A125,3),'Master Data'!$A$2:$A$8,0),2)</f>
        <v>M</v>
      </c>
      <c r="D125" s="124" t="n">
        <v>0</v>
      </c>
      <c r="E125" s="124" t="n">
        <v>0</v>
      </c>
      <c r="F125" s="124" t="n">
        <v>0</v>
      </c>
      <c r="G125" s="124" t="n">
        <v>0</v>
      </c>
      <c r="I125" s="124" t="n">
        <f aca="false">IF(MONTH($A125)=MONTH($A124),IF(G125=0,I124,G125),G125)</f>
        <v>0</v>
      </c>
      <c r="J125" s="124" t="n">
        <f aca="false">IF(MONTH($A125)=MONTH($A124),SUM(I125-I124),I125)</f>
        <v>0</v>
      </c>
      <c r="K125" s="124" t="n">
        <f aca="false">IF(WEEKDAY(A125,3)&gt;4,0,(IF(A125&lt;K$2,0,IF(A125&lt;=K$3,1,0))))</f>
        <v>0</v>
      </c>
      <c r="L125" s="124" t="n">
        <f aca="false">J125*K125</f>
        <v>0</v>
      </c>
      <c r="M125" s="124" t="n">
        <f aca="false">SUM(J$97:J125)</f>
        <v>0</v>
      </c>
      <c r="N125" s="124" t="n">
        <f aca="false">SUM(J$6:J125)</f>
        <v>0</v>
      </c>
      <c r="P125" s="124" t="n">
        <f aca="false">D125/P$3</f>
        <v>0</v>
      </c>
      <c r="Q125" s="124" t="n">
        <f aca="false">E125/P$3</f>
        <v>0</v>
      </c>
      <c r="R125" s="124" t="n">
        <f aca="false">F125/R$3</f>
        <v>0</v>
      </c>
      <c r="S125" s="126" t="n">
        <f aca="false">J125/$R$3</f>
        <v>0</v>
      </c>
      <c r="T125" s="126" t="n">
        <f aca="false">L125/$R$3</f>
        <v>0</v>
      </c>
      <c r="U125" s="126" t="n">
        <f aca="false">I125/$R$3</f>
        <v>0</v>
      </c>
      <c r="V125" s="126" t="n">
        <f aca="false">M125/$R$3</f>
        <v>0</v>
      </c>
      <c r="W125" s="126" t="n">
        <f aca="false">N125/$R$3</f>
        <v>0</v>
      </c>
    </row>
    <row r="126" customFormat="false" ht="12.75" hidden="true" customHeight="false" outlineLevel="0" collapsed="false">
      <c r="A126" s="120" t="n">
        <f aca="false">A125+1</f>
        <v>37012</v>
      </c>
      <c r="B126" s="131" t="str">
        <f aca="false">INDEX('Master Data'!$A$2:$B$8,MATCH(WEEKDAY('Modesto Maranzana Power'!A126,3),'Master Data'!$A$2:$A$8,0),2)</f>
        <v>T</v>
      </c>
      <c r="D126" s="124" t="n">
        <v>0</v>
      </c>
      <c r="E126" s="124" t="n">
        <v>0</v>
      </c>
      <c r="F126" s="124" t="n">
        <v>0</v>
      </c>
      <c r="G126" s="124" t="n">
        <v>0</v>
      </c>
      <c r="I126" s="124" t="n">
        <f aca="false">IF(MONTH($A126)=MONTH($A125),IF(G126=0,I125,G126),G126)</f>
        <v>0</v>
      </c>
      <c r="J126" s="124" t="n">
        <f aca="false">IF(MONTH($A126)=MONTH($A125),SUM(I126-I125),I126)</f>
        <v>0</v>
      </c>
      <c r="K126" s="124" t="n">
        <f aca="false">IF(WEEKDAY(A126,3)&gt;4,0,(IF(A126&lt;K$2,0,IF(A126&lt;=K$3,1,0))))</f>
        <v>0</v>
      </c>
      <c r="L126" s="124" t="n">
        <f aca="false">J126*K126</f>
        <v>0</v>
      </c>
      <c r="M126" s="124" t="n">
        <f aca="false">SUM(J$97:J126)</f>
        <v>0</v>
      </c>
      <c r="N126" s="124" t="n">
        <f aca="false">SUM(J$6:J126)</f>
        <v>0</v>
      </c>
      <c r="P126" s="124" t="n">
        <f aca="false">D126/P$3</f>
        <v>0</v>
      </c>
      <c r="Q126" s="124" t="n">
        <f aca="false">E126/P$3</f>
        <v>0</v>
      </c>
      <c r="R126" s="124" t="n">
        <f aca="false">F126/R$3</f>
        <v>0</v>
      </c>
      <c r="S126" s="126" t="n">
        <f aca="false">J126/$R$3</f>
        <v>0</v>
      </c>
      <c r="T126" s="126" t="n">
        <f aca="false">L126/$R$3</f>
        <v>0</v>
      </c>
      <c r="U126" s="126" t="n">
        <f aca="false">I126/$R$3</f>
        <v>0</v>
      </c>
      <c r="V126" s="126" t="n">
        <f aca="false">M126/$R$3</f>
        <v>0</v>
      </c>
      <c r="W126" s="126" t="n">
        <f aca="false">N126/$R$3</f>
        <v>0</v>
      </c>
    </row>
    <row r="127" customFormat="false" ht="12.75" hidden="true" customHeight="false" outlineLevel="0" collapsed="false">
      <c r="A127" s="120" t="n">
        <f aca="false">A126+1</f>
        <v>37013</v>
      </c>
      <c r="B127" s="131" t="str">
        <f aca="false">INDEX('Master Data'!$A$2:$B$8,MATCH(WEEKDAY('Modesto Maranzana Power'!A127,3),'Master Data'!$A$2:$A$8,0),2)</f>
        <v>W</v>
      </c>
      <c r="D127" s="124" t="n">
        <v>0</v>
      </c>
      <c r="E127" s="124" t="n">
        <v>0</v>
      </c>
      <c r="F127" s="124" t="n">
        <v>0</v>
      </c>
      <c r="G127" s="124" t="n">
        <v>0</v>
      </c>
      <c r="I127" s="124" t="n">
        <f aca="false">IF(MONTH($A127)=MONTH($A126),IF(G127=0,I126,G127),G127)</f>
        <v>0</v>
      </c>
      <c r="J127" s="124" t="n">
        <f aca="false">IF(MONTH($A127)=MONTH($A126),SUM(I127-I126),I127)</f>
        <v>0</v>
      </c>
      <c r="K127" s="124" t="n">
        <f aca="false">IF(WEEKDAY(A127,3)&gt;4,0,(IF(A127&lt;K$2,0,IF(A127&lt;=K$3,1,0))))</f>
        <v>0</v>
      </c>
      <c r="L127" s="124" t="n">
        <f aca="false">J127*K127</f>
        <v>0</v>
      </c>
      <c r="M127" s="124" t="n">
        <f aca="false">SUM(J$97:J127)</f>
        <v>0</v>
      </c>
      <c r="N127" s="124" t="n">
        <f aca="false">SUM(J$6:J127)</f>
        <v>0</v>
      </c>
      <c r="P127" s="124" t="n">
        <f aca="false">D127/P$3</f>
        <v>0</v>
      </c>
      <c r="Q127" s="124" t="n">
        <f aca="false">E127/P$3</f>
        <v>0</v>
      </c>
      <c r="R127" s="124" t="n">
        <f aca="false">F127/R$3</f>
        <v>0</v>
      </c>
      <c r="S127" s="126" t="n">
        <f aca="false">J127/$R$3</f>
        <v>0</v>
      </c>
      <c r="T127" s="126" t="n">
        <f aca="false">L127/$R$3</f>
        <v>0</v>
      </c>
      <c r="U127" s="126" t="n">
        <f aca="false">I127/$R$3</f>
        <v>0</v>
      </c>
      <c r="V127" s="126" t="n">
        <f aca="false">M127/$R$3</f>
        <v>0</v>
      </c>
      <c r="W127" s="126" t="n">
        <f aca="false">N127/$R$3</f>
        <v>0</v>
      </c>
    </row>
    <row r="128" customFormat="false" ht="12.75" hidden="true" customHeight="false" outlineLevel="0" collapsed="false">
      <c r="A128" s="120" t="n">
        <f aca="false">A127+1</f>
        <v>37014</v>
      </c>
      <c r="B128" s="131" t="str">
        <f aca="false">INDEX('Master Data'!$A$2:$B$8,MATCH(WEEKDAY('Modesto Maranzana Power'!A128,3),'Master Data'!$A$2:$A$8,0),2)</f>
        <v>Th</v>
      </c>
      <c r="D128" s="124" t="n">
        <v>0</v>
      </c>
      <c r="E128" s="124" t="n">
        <v>0</v>
      </c>
      <c r="F128" s="124" t="n">
        <v>0</v>
      </c>
      <c r="G128" s="124" t="n">
        <v>0</v>
      </c>
      <c r="I128" s="124" t="n">
        <f aca="false">IF(MONTH($A128)=MONTH($A127),IF(G128=0,I127,G128),G128)</f>
        <v>0</v>
      </c>
      <c r="J128" s="124" t="n">
        <f aca="false">IF(MONTH($A128)=MONTH($A127),SUM(I128-I127),I128)</f>
        <v>0</v>
      </c>
      <c r="K128" s="124" t="n">
        <f aca="false">IF(WEEKDAY(A128,3)&gt;4,0,(IF(A128&lt;K$2,0,IF(A128&lt;=K$3,1,0))))</f>
        <v>0</v>
      </c>
      <c r="L128" s="124" t="n">
        <f aca="false">J128*K128</f>
        <v>0</v>
      </c>
      <c r="M128" s="124" t="n">
        <f aca="false">SUM(J$97:J128)</f>
        <v>0</v>
      </c>
      <c r="N128" s="124" t="n">
        <f aca="false">SUM(J$6:J128)</f>
        <v>0</v>
      </c>
      <c r="P128" s="124" t="n">
        <f aca="false">D128/P$3</f>
        <v>0</v>
      </c>
      <c r="Q128" s="124" t="n">
        <f aca="false">E128/P$3</f>
        <v>0</v>
      </c>
      <c r="R128" s="124" t="n">
        <f aca="false">F128/R$3</f>
        <v>0</v>
      </c>
      <c r="S128" s="126" t="n">
        <f aca="false">J128/$R$3</f>
        <v>0</v>
      </c>
      <c r="T128" s="126" t="n">
        <f aca="false">L128/$R$3</f>
        <v>0</v>
      </c>
      <c r="U128" s="126" t="n">
        <f aca="false">I128/$R$3</f>
        <v>0</v>
      </c>
      <c r="V128" s="126" t="n">
        <f aca="false">M128/$R$3</f>
        <v>0</v>
      </c>
      <c r="W128" s="126" t="n">
        <f aca="false">N128/$R$3</f>
        <v>0</v>
      </c>
    </row>
    <row r="129" customFormat="false" ht="12.75" hidden="true" customHeight="false" outlineLevel="0" collapsed="false">
      <c r="A129" s="120" t="n">
        <f aca="false">A128+1</f>
        <v>37015</v>
      </c>
      <c r="B129" s="131" t="str">
        <f aca="false">INDEX('Master Data'!$A$2:$B$8,MATCH(WEEKDAY('Modesto Maranzana Power'!A129,3),'Master Data'!$A$2:$A$8,0),2)</f>
        <v>F</v>
      </c>
      <c r="D129" s="124" t="n">
        <v>0</v>
      </c>
      <c r="E129" s="124" t="n">
        <v>0</v>
      </c>
      <c r="F129" s="124" t="n">
        <v>0</v>
      </c>
      <c r="G129" s="124" t="n">
        <v>0</v>
      </c>
      <c r="I129" s="124" t="n">
        <f aca="false">IF(MONTH($A129)=MONTH($A128),IF(G129=0,I128,G129),G129)</f>
        <v>0</v>
      </c>
      <c r="J129" s="124" t="n">
        <f aca="false">IF(MONTH($A129)=MONTH($A128),SUM(I129-I128),I129)</f>
        <v>0</v>
      </c>
      <c r="K129" s="124" t="n">
        <f aca="false">IF(WEEKDAY(A129,3)&gt;4,0,(IF(A129&lt;K$2,0,IF(A129&lt;=K$3,1,0))))</f>
        <v>0</v>
      </c>
      <c r="L129" s="124" t="n">
        <f aca="false">J129*K129</f>
        <v>0</v>
      </c>
      <c r="M129" s="124" t="n">
        <f aca="false">SUM(J$97:J129)</f>
        <v>0</v>
      </c>
      <c r="N129" s="124" t="n">
        <f aca="false">SUM(J$6:J129)</f>
        <v>0</v>
      </c>
      <c r="P129" s="124" t="n">
        <f aca="false">D129/P$3</f>
        <v>0</v>
      </c>
      <c r="Q129" s="124" t="n">
        <f aca="false">E129/P$3</f>
        <v>0</v>
      </c>
      <c r="R129" s="124" t="n">
        <f aca="false">F129/R$3</f>
        <v>0</v>
      </c>
      <c r="S129" s="126" t="n">
        <f aca="false">J129/$R$3</f>
        <v>0</v>
      </c>
      <c r="T129" s="126" t="n">
        <f aca="false">L129/$R$3</f>
        <v>0</v>
      </c>
      <c r="U129" s="126" t="n">
        <f aca="false">I129/$R$3</f>
        <v>0</v>
      </c>
      <c r="V129" s="126" t="n">
        <f aca="false">M129/$R$3</f>
        <v>0</v>
      </c>
      <c r="W129" s="126" t="n">
        <f aca="false">N129/$R$3</f>
        <v>0</v>
      </c>
    </row>
    <row r="130" customFormat="false" ht="12.75" hidden="true" customHeight="false" outlineLevel="0" collapsed="false">
      <c r="A130" s="120" t="n">
        <f aca="false">A129+1</f>
        <v>37016</v>
      </c>
      <c r="B130" s="131" t="str">
        <f aca="false">INDEX('Master Data'!$A$2:$B$8,MATCH(WEEKDAY('Modesto Maranzana Power'!A130,3),'Master Data'!$A$2:$A$8,0),2)</f>
        <v>Sa</v>
      </c>
      <c r="D130" s="124" t="n">
        <v>0</v>
      </c>
      <c r="E130" s="124" t="n">
        <v>0</v>
      </c>
      <c r="F130" s="124" t="n">
        <v>0</v>
      </c>
      <c r="G130" s="124" t="n">
        <v>0</v>
      </c>
      <c r="I130" s="124" t="n">
        <f aca="false">IF(MONTH($A130)=MONTH($A129),IF(G130=0,I129,G130),G130)</f>
        <v>0</v>
      </c>
      <c r="J130" s="124" t="n">
        <f aca="false">IF(MONTH($A130)=MONTH($A129),SUM(I130-I129),I130)</f>
        <v>0</v>
      </c>
      <c r="K130" s="124" t="n">
        <f aca="false">IF(WEEKDAY(A130,3)&gt;4,0,(IF(A130&lt;K$2,0,IF(A130&lt;=K$3,1,0))))</f>
        <v>0</v>
      </c>
      <c r="L130" s="124" t="n">
        <f aca="false">J130*K130</f>
        <v>0</v>
      </c>
      <c r="M130" s="124" t="n">
        <f aca="false">SUM(J$97:J130)</f>
        <v>0</v>
      </c>
      <c r="N130" s="124" t="n">
        <f aca="false">SUM(J$6:J130)</f>
        <v>0</v>
      </c>
      <c r="P130" s="124" t="n">
        <f aca="false">D130/P$3</f>
        <v>0</v>
      </c>
      <c r="Q130" s="124" t="n">
        <f aca="false">E130/P$3</f>
        <v>0</v>
      </c>
      <c r="R130" s="124" t="n">
        <f aca="false">F130/R$3</f>
        <v>0</v>
      </c>
      <c r="S130" s="126" t="n">
        <f aca="false">J130/$R$3</f>
        <v>0</v>
      </c>
      <c r="T130" s="126" t="n">
        <f aca="false">L130/$R$3</f>
        <v>0</v>
      </c>
      <c r="U130" s="126" t="n">
        <f aca="false">I130/$R$3</f>
        <v>0</v>
      </c>
      <c r="V130" s="126" t="n">
        <f aca="false">M130/$R$3</f>
        <v>0</v>
      </c>
      <c r="W130" s="126" t="n">
        <f aca="false">N130/$R$3</f>
        <v>0</v>
      </c>
    </row>
    <row r="131" customFormat="false" ht="12.75" hidden="true" customHeight="false" outlineLevel="0" collapsed="false">
      <c r="A131" s="120" t="n">
        <f aca="false">A130+1</f>
        <v>37017</v>
      </c>
      <c r="B131" s="131" t="str">
        <f aca="false">INDEX('Master Data'!$A$2:$B$8,MATCH(WEEKDAY('Modesto Maranzana Power'!A131,3),'Master Data'!$A$2:$A$8,0),2)</f>
        <v>Su</v>
      </c>
      <c r="D131" s="124" t="n">
        <v>0</v>
      </c>
      <c r="E131" s="124" t="n">
        <v>0</v>
      </c>
      <c r="F131" s="124" t="n">
        <v>0</v>
      </c>
      <c r="G131" s="124" t="n">
        <v>0</v>
      </c>
      <c r="I131" s="124" t="n">
        <f aca="false">IF(MONTH($A131)=MONTH($A130),IF(G131=0,I130,G131),G131)</f>
        <v>0</v>
      </c>
      <c r="J131" s="124" t="n">
        <f aca="false">IF(MONTH($A131)=MONTH($A130),SUM(I131-I130),I131)</f>
        <v>0</v>
      </c>
      <c r="K131" s="124" t="n">
        <f aca="false">IF(WEEKDAY(A131,3)&gt;4,0,(IF(A131&lt;K$2,0,IF(A131&lt;=K$3,1,0))))</f>
        <v>0</v>
      </c>
      <c r="L131" s="124" t="n">
        <f aca="false">J131*K131</f>
        <v>0</v>
      </c>
      <c r="M131" s="124" t="n">
        <f aca="false">SUM(J$97:J131)</f>
        <v>0</v>
      </c>
      <c r="N131" s="124" t="n">
        <f aca="false">SUM(J$6:J131)</f>
        <v>0</v>
      </c>
      <c r="P131" s="124" t="n">
        <f aca="false">D131/P$3</f>
        <v>0</v>
      </c>
      <c r="Q131" s="124" t="n">
        <f aca="false">E131/P$3</f>
        <v>0</v>
      </c>
      <c r="R131" s="124" t="n">
        <f aca="false">F131/R$3</f>
        <v>0</v>
      </c>
      <c r="S131" s="126" t="n">
        <f aca="false">J131/$R$3</f>
        <v>0</v>
      </c>
      <c r="T131" s="126" t="n">
        <f aca="false">L131/$R$3</f>
        <v>0</v>
      </c>
      <c r="U131" s="126" t="n">
        <f aca="false">I131/$R$3</f>
        <v>0</v>
      </c>
      <c r="V131" s="126" t="n">
        <f aca="false">M131/$R$3</f>
        <v>0</v>
      </c>
      <c r="W131" s="126" t="n">
        <f aca="false">N131/$R$3</f>
        <v>0</v>
      </c>
    </row>
    <row r="132" customFormat="false" ht="12.75" hidden="true" customHeight="false" outlineLevel="0" collapsed="false">
      <c r="A132" s="120" t="n">
        <f aca="false">A131+1</f>
        <v>37018</v>
      </c>
      <c r="B132" s="131" t="str">
        <f aca="false">INDEX('Master Data'!$A$2:$B$8,MATCH(WEEKDAY('Modesto Maranzana Power'!A132,3),'Master Data'!$A$2:$A$8,0),2)</f>
        <v>M</v>
      </c>
      <c r="D132" s="124" t="n">
        <v>0</v>
      </c>
      <c r="E132" s="124" t="n">
        <v>0</v>
      </c>
      <c r="F132" s="124" t="n">
        <v>0</v>
      </c>
      <c r="G132" s="124" t="n">
        <v>0</v>
      </c>
      <c r="I132" s="124" t="n">
        <f aca="false">IF(MONTH($A132)=MONTH($A131),IF(G132=0,I131,G132),G132)</f>
        <v>0</v>
      </c>
      <c r="J132" s="124" t="n">
        <f aca="false">IF(MONTH($A132)=MONTH($A131),SUM(I132-I131),I132)</f>
        <v>0</v>
      </c>
      <c r="K132" s="124" t="n">
        <f aca="false">IF(WEEKDAY(A132,3)&gt;4,0,(IF(A132&lt;K$2,0,IF(A132&lt;=K$3,1,0))))</f>
        <v>0</v>
      </c>
      <c r="L132" s="124" t="n">
        <f aca="false">J132*K132</f>
        <v>0</v>
      </c>
      <c r="M132" s="124" t="n">
        <f aca="false">SUM(J$97:J132)</f>
        <v>0</v>
      </c>
      <c r="N132" s="124" t="n">
        <f aca="false">SUM(J$6:J132)</f>
        <v>0</v>
      </c>
      <c r="P132" s="124" t="n">
        <f aca="false">D132/P$3</f>
        <v>0</v>
      </c>
      <c r="Q132" s="124" t="n">
        <f aca="false">E132/P$3</f>
        <v>0</v>
      </c>
      <c r="R132" s="124" t="n">
        <f aca="false">F132/R$3</f>
        <v>0</v>
      </c>
      <c r="S132" s="126" t="n">
        <f aca="false">J132/$R$3</f>
        <v>0</v>
      </c>
      <c r="T132" s="126" t="n">
        <f aca="false">L132/$R$3</f>
        <v>0</v>
      </c>
      <c r="U132" s="126" t="n">
        <f aca="false">I132/$R$3</f>
        <v>0</v>
      </c>
      <c r="V132" s="126" t="n">
        <f aca="false">M132/$R$3</f>
        <v>0</v>
      </c>
      <c r="W132" s="126" t="n">
        <f aca="false">N132/$R$3</f>
        <v>0</v>
      </c>
    </row>
    <row r="133" customFormat="false" ht="12.75" hidden="true" customHeight="false" outlineLevel="0" collapsed="false">
      <c r="A133" s="120" t="n">
        <f aca="false">A132+1</f>
        <v>37019</v>
      </c>
      <c r="B133" s="131" t="str">
        <f aca="false">INDEX('Master Data'!$A$2:$B$8,MATCH(WEEKDAY('Modesto Maranzana Power'!A133,3),'Master Data'!$A$2:$A$8,0),2)</f>
        <v>T</v>
      </c>
      <c r="D133" s="124" t="n">
        <v>0</v>
      </c>
      <c r="E133" s="124" t="n">
        <v>0</v>
      </c>
      <c r="F133" s="124" t="n">
        <v>0</v>
      </c>
      <c r="G133" s="124" t="n">
        <v>0</v>
      </c>
      <c r="I133" s="124" t="n">
        <f aca="false">IF(MONTH($A133)=MONTH($A132),IF(G133=0,I132,G133),G133)</f>
        <v>0</v>
      </c>
      <c r="J133" s="124" t="n">
        <f aca="false">IF(MONTH($A133)=MONTH($A132),SUM(I133-I132),I133)</f>
        <v>0</v>
      </c>
      <c r="K133" s="124" t="n">
        <f aca="false">IF(WEEKDAY(A133,3)&gt;4,0,(IF(A133&lt;K$2,0,IF(A133&lt;=K$3,1,0))))</f>
        <v>0</v>
      </c>
      <c r="L133" s="124" t="n">
        <f aca="false">J133*K133</f>
        <v>0</v>
      </c>
      <c r="M133" s="124" t="n">
        <f aca="false">SUM(J$97:J133)</f>
        <v>0</v>
      </c>
      <c r="N133" s="124" t="n">
        <f aca="false">SUM(J$6:J133)</f>
        <v>0</v>
      </c>
      <c r="P133" s="124" t="n">
        <f aca="false">D133/P$3</f>
        <v>0</v>
      </c>
      <c r="Q133" s="124" t="n">
        <f aca="false">E133/P$3</f>
        <v>0</v>
      </c>
      <c r="R133" s="124" t="n">
        <f aca="false">F133/R$3</f>
        <v>0</v>
      </c>
      <c r="S133" s="126" t="n">
        <f aca="false">J133/$R$3</f>
        <v>0</v>
      </c>
      <c r="T133" s="126" t="n">
        <f aca="false">L133/$R$3</f>
        <v>0</v>
      </c>
      <c r="U133" s="126" t="n">
        <f aca="false">I133/$R$3</f>
        <v>0</v>
      </c>
      <c r="V133" s="126" t="n">
        <f aca="false">M133/$R$3</f>
        <v>0</v>
      </c>
      <c r="W133" s="126" t="n">
        <f aca="false">N133/$R$3</f>
        <v>0</v>
      </c>
    </row>
    <row r="134" customFormat="false" ht="12.75" hidden="true" customHeight="false" outlineLevel="0" collapsed="false">
      <c r="A134" s="120" t="n">
        <f aca="false">A133+1</f>
        <v>37020</v>
      </c>
      <c r="B134" s="131" t="str">
        <f aca="false">INDEX('Master Data'!$A$2:$B$8,MATCH(WEEKDAY('Modesto Maranzana Power'!A134,3),'Master Data'!$A$2:$A$8,0),2)</f>
        <v>W</v>
      </c>
      <c r="D134" s="124" t="n">
        <v>0</v>
      </c>
      <c r="E134" s="124" t="n">
        <v>0</v>
      </c>
      <c r="F134" s="124" t="n">
        <v>0</v>
      </c>
      <c r="G134" s="124" t="n">
        <v>0</v>
      </c>
      <c r="I134" s="124" t="n">
        <f aca="false">IF(MONTH($A134)=MONTH($A133),IF(G134=0,I133,G134),G134)</f>
        <v>0</v>
      </c>
      <c r="J134" s="124" t="n">
        <f aca="false">IF(MONTH($A134)=MONTH($A133),SUM(I134-I133),I134)</f>
        <v>0</v>
      </c>
      <c r="K134" s="124" t="n">
        <f aca="false">IF(WEEKDAY(A134,3)&gt;4,0,(IF(A134&lt;K$2,0,IF(A134&lt;=K$3,1,0))))</f>
        <v>0</v>
      </c>
      <c r="L134" s="124" t="n">
        <f aca="false">J134*K134</f>
        <v>0</v>
      </c>
      <c r="M134" s="124" t="n">
        <f aca="false">SUM(J$97:J134)</f>
        <v>0</v>
      </c>
      <c r="N134" s="124" t="n">
        <f aca="false">SUM(J$6:J134)</f>
        <v>0</v>
      </c>
      <c r="P134" s="124" t="n">
        <f aca="false">D134/P$3</f>
        <v>0</v>
      </c>
      <c r="Q134" s="124" t="n">
        <f aca="false">E134/P$3</f>
        <v>0</v>
      </c>
      <c r="R134" s="124" t="n">
        <f aca="false">F134/R$3</f>
        <v>0</v>
      </c>
      <c r="S134" s="126" t="n">
        <f aca="false">J134/$R$3</f>
        <v>0</v>
      </c>
      <c r="T134" s="126" t="n">
        <f aca="false">L134/$R$3</f>
        <v>0</v>
      </c>
      <c r="U134" s="126" t="n">
        <f aca="false">I134/$R$3</f>
        <v>0</v>
      </c>
      <c r="V134" s="126" t="n">
        <f aca="false">M134/$R$3</f>
        <v>0</v>
      </c>
      <c r="W134" s="126" t="n">
        <f aca="false">N134/$R$3</f>
        <v>0</v>
      </c>
    </row>
    <row r="135" customFormat="false" ht="12.75" hidden="true" customHeight="false" outlineLevel="0" collapsed="false">
      <c r="A135" s="120" t="n">
        <f aca="false">A134+1</f>
        <v>37021</v>
      </c>
      <c r="B135" s="131" t="str">
        <f aca="false">INDEX('Master Data'!$A$2:$B$8,MATCH(WEEKDAY('Modesto Maranzana Power'!A135,3),'Master Data'!$A$2:$A$8,0),2)</f>
        <v>Th</v>
      </c>
      <c r="D135" s="124" t="n">
        <v>0</v>
      </c>
      <c r="E135" s="124" t="n">
        <v>0</v>
      </c>
      <c r="F135" s="124" t="n">
        <v>0</v>
      </c>
      <c r="G135" s="124" t="n">
        <v>0</v>
      </c>
      <c r="I135" s="124" t="n">
        <f aca="false">IF(MONTH($A135)=MONTH($A134),IF(G135=0,I134,G135),G135)</f>
        <v>0</v>
      </c>
      <c r="J135" s="124" t="n">
        <f aca="false">IF(MONTH($A135)=MONTH($A134),SUM(I135-I134),I135)</f>
        <v>0</v>
      </c>
      <c r="K135" s="124" t="n">
        <f aca="false">IF(WEEKDAY(A135,3)&gt;4,0,(IF(A135&lt;K$2,0,IF(A135&lt;=K$3,1,0))))</f>
        <v>0</v>
      </c>
      <c r="L135" s="124" t="n">
        <f aca="false">J135*K135</f>
        <v>0</v>
      </c>
      <c r="M135" s="124" t="n">
        <f aca="false">SUM(J$97:J135)</f>
        <v>0</v>
      </c>
      <c r="N135" s="124" t="n">
        <f aca="false">SUM(J$6:J135)</f>
        <v>0</v>
      </c>
      <c r="P135" s="124" t="n">
        <f aca="false">D135/P$3</f>
        <v>0</v>
      </c>
      <c r="Q135" s="124" t="n">
        <f aca="false">E135/P$3</f>
        <v>0</v>
      </c>
      <c r="R135" s="124" t="n">
        <f aca="false">F135/R$3</f>
        <v>0</v>
      </c>
      <c r="S135" s="126" t="n">
        <f aca="false">J135/$R$3</f>
        <v>0</v>
      </c>
      <c r="T135" s="126" t="n">
        <f aca="false">L135/$R$3</f>
        <v>0</v>
      </c>
      <c r="U135" s="126" t="n">
        <f aca="false">I135/$R$3</f>
        <v>0</v>
      </c>
      <c r="V135" s="126" t="n">
        <f aca="false">M135/$R$3</f>
        <v>0</v>
      </c>
      <c r="W135" s="126" t="n">
        <f aca="false">N135/$R$3</f>
        <v>0</v>
      </c>
    </row>
    <row r="136" customFormat="false" ht="12.75" hidden="true" customHeight="false" outlineLevel="0" collapsed="false">
      <c r="A136" s="120" t="n">
        <f aca="false">A135+1</f>
        <v>37022</v>
      </c>
      <c r="B136" s="131" t="str">
        <f aca="false">INDEX('Master Data'!$A$2:$B$8,MATCH(WEEKDAY('Modesto Maranzana Power'!A136,3),'Master Data'!$A$2:$A$8,0),2)</f>
        <v>F</v>
      </c>
      <c r="D136" s="124" t="n">
        <v>0</v>
      </c>
      <c r="E136" s="124" t="n">
        <v>0</v>
      </c>
      <c r="F136" s="124" t="n">
        <v>0</v>
      </c>
      <c r="G136" s="124" t="n">
        <v>0</v>
      </c>
      <c r="I136" s="124" t="n">
        <f aca="false">IF(MONTH($A136)=MONTH($A135),IF(G136=0,I135,G136),G136)</f>
        <v>0</v>
      </c>
      <c r="J136" s="124" t="n">
        <f aca="false">IF(MONTH($A136)=MONTH($A135),SUM(I136-I135),I136)</f>
        <v>0</v>
      </c>
      <c r="K136" s="124" t="n">
        <f aca="false">IF(WEEKDAY(A136,3)&gt;4,0,(IF(A136&lt;K$2,0,IF(A136&lt;=K$3,1,0))))</f>
        <v>0</v>
      </c>
      <c r="L136" s="124" t="n">
        <f aca="false">J136*K136</f>
        <v>0</v>
      </c>
      <c r="M136" s="124" t="n">
        <f aca="false">SUM(J$97:J136)</f>
        <v>0</v>
      </c>
      <c r="N136" s="124" t="n">
        <f aca="false">SUM(J$6:J136)</f>
        <v>0</v>
      </c>
      <c r="P136" s="124" t="n">
        <f aca="false">D136/P$3</f>
        <v>0</v>
      </c>
      <c r="Q136" s="124" t="n">
        <f aca="false">E136/P$3</f>
        <v>0</v>
      </c>
      <c r="R136" s="124" t="n">
        <f aca="false">F136/R$3</f>
        <v>0</v>
      </c>
      <c r="S136" s="126" t="n">
        <f aca="false">J136/$R$3</f>
        <v>0</v>
      </c>
      <c r="T136" s="126" t="n">
        <f aca="false">L136/$R$3</f>
        <v>0</v>
      </c>
      <c r="U136" s="126" t="n">
        <f aca="false">I136/$R$3</f>
        <v>0</v>
      </c>
      <c r="V136" s="126" t="n">
        <f aca="false">M136/$R$3</f>
        <v>0</v>
      </c>
      <c r="W136" s="126" t="n">
        <f aca="false">N136/$R$3</f>
        <v>0</v>
      </c>
    </row>
    <row r="137" customFormat="false" ht="12.75" hidden="true" customHeight="false" outlineLevel="0" collapsed="false">
      <c r="A137" s="120" t="n">
        <f aca="false">A136+1</f>
        <v>37023</v>
      </c>
      <c r="B137" s="131" t="str">
        <f aca="false">INDEX('Master Data'!$A$2:$B$8,MATCH(WEEKDAY('Modesto Maranzana Power'!A137,3),'Master Data'!$A$2:$A$8,0),2)</f>
        <v>Sa</v>
      </c>
      <c r="D137" s="124" t="n">
        <v>0</v>
      </c>
      <c r="E137" s="124" t="n">
        <v>0</v>
      </c>
      <c r="F137" s="124" t="n">
        <v>0</v>
      </c>
      <c r="G137" s="124" t="n">
        <v>0</v>
      </c>
      <c r="I137" s="124" t="n">
        <f aca="false">IF(MONTH($A137)=MONTH($A136),IF(G137=0,I136,G137),G137)</f>
        <v>0</v>
      </c>
      <c r="J137" s="124" t="n">
        <f aca="false">IF(MONTH($A137)=MONTH($A136),SUM(I137-I136),I137)</f>
        <v>0</v>
      </c>
      <c r="K137" s="124" t="n">
        <f aca="false">IF(WEEKDAY(A137,3)&gt;4,0,(IF(A137&lt;K$2,0,IF(A137&lt;=K$3,1,0))))</f>
        <v>0</v>
      </c>
      <c r="L137" s="124" t="n">
        <f aca="false">J137*K137</f>
        <v>0</v>
      </c>
      <c r="M137" s="124" t="n">
        <f aca="false">SUM(J$97:J137)</f>
        <v>0</v>
      </c>
      <c r="N137" s="124" t="n">
        <f aca="false">SUM(J$6:J137)</f>
        <v>0</v>
      </c>
      <c r="P137" s="124" t="n">
        <f aca="false">D137/P$3</f>
        <v>0</v>
      </c>
      <c r="Q137" s="124" t="n">
        <f aca="false">E137/P$3</f>
        <v>0</v>
      </c>
      <c r="R137" s="124" t="n">
        <f aca="false">F137/R$3</f>
        <v>0</v>
      </c>
      <c r="S137" s="126" t="n">
        <f aca="false">J137/$R$3</f>
        <v>0</v>
      </c>
      <c r="T137" s="126" t="n">
        <f aca="false">L137/$R$3</f>
        <v>0</v>
      </c>
      <c r="U137" s="126" t="n">
        <f aca="false">I137/$R$3</f>
        <v>0</v>
      </c>
      <c r="V137" s="126" t="n">
        <f aca="false">M137/$R$3</f>
        <v>0</v>
      </c>
      <c r="W137" s="126" t="n">
        <f aca="false">N137/$R$3</f>
        <v>0</v>
      </c>
    </row>
    <row r="138" customFormat="false" ht="12.75" hidden="true" customHeight="false" outlineLevel="0" collapsed="false">
      <c r="A138" s="120" t="n">
        <f aca="false">A137+1</f>
        <v>37024</v>
      </c>
      <c r="B138" s="131" t="str">
        <f aca="false">INDEX('Master Data'!$A$2:$B$8,MATCH(WEEKDAY('Modesto Maranzana Power'!A138,3),'Master Data'!$A$2:$A$8,0),2)</f>
        <v>Su</v>
      </c>
      <c r="D138" s="124" t="n">
        <v>0</v>
      </c>
      <c r="E138" s="124" t="n">
        <v>0</v>
      </c>
      <c r="F138" s="124" t="n">
        <v>0</v>
      </c>
      <c r="G138" s="124" t="n">
        <v>0</v>
      </c>
      <c r="I138" s="124" t="n">
        <f aca="false">IF(MONTH($A138)=MONTH($A137),IF(G138=0,I137,G138),G138)</f>
        <v>0</v>
      </c>
      <c r="J138" s="124" t="n">
        <f aca="false">IF(MONTH($A138)=MONTH($A137),SUM(I138-I137),I138)</f>
        <v>0</v>
      </c>
      <c r="K138" s="124" t="n">
        <f aca="false">IF(WEEKDAY(A138,3)&gt;4,0,(IF(A138&lt;K$2,0,IF(A138&lt;=K$3,1,0))))</f>
        <v>0</v>
      </c>
      <c r="L138" s="124" t="n">
        <f aca="false">J138*K138</f>
        <v>0</v>
      </c>
      <c r="M138" s="124" t="n">
        <f aca="false">SUM(J$97:J138)</f>
        <v>0</v>
      </c>
      <c r="N138" s="124" t="n">
        <f aca="false">SUM(J$6:J138)</f>
        <v>0</v>
      </c>
      <c r="P138" s="124" t="n">
        <f aca="false">D138/P$3</f>
        <v>0</v>
      </c>
      <c r="Q138" s="124" t="n">
        <f aca="false">E138/P$3</f>
        <v>0</v>
      </c>
      <c r="R138" s="124" t="n">
        <f aca="false">F138/R$3</f>
        <v>0</v>
      </c>
      <c r="S138" s="126" t="n">
        <f aca="false">J138/$R$3</f>
        <v>0</v>
      </c>
      <c r="T138" s="126" t="n">
        <f aca="false">L138/$R$3</f>
        <v>0</v>
      </c>
      <c r="U138" s="126" t="n">
        <f aca="false">I138/$R$3</f>
        <v>0</v>
      </c>
      <c r="V138" s="126" t="n">
        <f aca="false">M138/$R$3</f>
        <v>0</v>
      </c>
      <c r="W138" s="126" t="n">
        <f aca="false">N138/$R$3</f>
        <v>0</v>
      </c>
    </row>
    <row r="139" customFormat="false" ht="12.75" hidden="true" customHeight="false" outlineLevel="0" collapsed="false">
      <c r="A139" s="120" t="n">
        <f aca="false">A138+1</f>
        <v>37025</v>
      </c>
      <c r="B139" s="131" t="str">
        <f aca="false">INDEX('Master Data'!$A$2:$B$8,MATCH(WEEKDAY('Modesto Maranzana Power'!A139,3),'Master Data'!$A$2:$A$8,0),2)</f>
        <v>M</v>
      </c>
      <c r="D139" s="124" t="n">
        <v>0</v>
      </c>
      <c r="E139" s="124" t="n">
        <v>0</v>
      </c>
      <c r="F139" s="124" t="n">
        <v>0</v>
      </c>
      <c r="G139" s="124" t="n">
        <v>0</v>
      </c>
      <c r="I139" s="124" t="n">
        <f aca="false">IF(MONTH($A139)=MONTH($A138),IF(G139=0,I138,G139),G139)</f>
        <v>0</v>
      </c>
      <c r="J139" s="124" t="n">
        <f aca="false">IF(MONTH($A139)=MONTH($A138),SUM(I139-I138),I139)</f>
        <v>0</v>
      </c>
      <c r="K139" s="124" t="n">
        <f aca="false">IF(WEEKDAY(A139,3)&gt;4,0,(IF(A139&lt;K$2,0,IF(A139&lt;=K$3,1,0))))</f>
        <v>0</v>
      </c>
      <c r="L139" s="124" t="n">
        <f aca="false">J139*K139</f>
        <v>0</v>
      </c>
      <c r="M139" s="124" t="n">
        <f aca="false">SUM(J$97:J139)</f>
        <v>0</v>
      </c>
      <c r="N139" s="124" t="n">
        <f aca="false">SUM(J$6:J139)</f>
        <v>0</v>
      </c>
      <c r="P139" s="124" t="n">
        <f aca="false">D139/P$3</f>
        <v>0</v>
      </c>
      <c r="Q139" s="124" t="n">
        <f aca="false">E139/P$3</f>
        <v>0</v>
      </c>
      <c r="R139" s="124" t="n">
        <f aca="false">F139/R$3</f>
        <v>0</v>
      </c>
      <c r="S139" s="126" t="n">
        <f aca="false">J139/$R$3</f>
        <v>0</v>
      </c>
      <c r="T139" s="126" t="n">
        <f aca="false">L139/$R$3</f>
        <v>0</v>
      </c>
      <c r="U139" s="126" t="n">
        <f aca="false">I139/$R$3</f>
        <v>0</v>
      </c>
      <c r="V139" s="126" t="n">
        <f aca="false">M139/$R$3</f>
        <v>0</v>
      </c>
      <c r="W139" s="126" t="n">
        <f aca="false">N139/$R$3</f>
        <v>0</v>
      </c>
    </row>
    <row r="140" customFormat="false" ht="12.75" hidden="true" customHeight="false" outlineLevel="0" collapsed="false">
      <c r="A140" s="120" t="n">
        <f aca="false">A139+1</f>
        <v>37026</v>
      </c>
      <c r="B140" s="131" t="str">
        <f aca="false">INDEX('Master Data'!$A$2:$B$8,MATCH(WEEKDAY('Modesto Maranzana Power'!A140,3),'Master Data'!$A$2:$A$8,0),2)</f>
        <v>T</v>
      </c>
      <c r="D140" s="124" t="n">
        <v>0</v>
      </c>
      <c r="E140" s="124" t="n">
        <v>0</v>
      </c>
      <c r="F140" s="124" t="n">
        <v>0</v>
      </c>
      <c r="G140" s="124" t="n">
        <v>0</v>
      </c>
      <c r="I140" s="124" t="n">
        <f aca="false">IF(MONTH($A140)=MONTH($A139),IF(G140=0,I139,G140),G140)</f>
        <v>0</v>
      </c>
      <c r="J140" s="124" t="n">
        <f aca="false">IF(MONTH($A140)=MONTH($A139),SUM(I140-I139),I140)</f>
        <v>0</v>
      </c>
      <c r="K140" s="124" t="n">
        <f aca="false">IF(WEEKDAY(A140,3)&gt;4,0,(IF(A140&lt;K$2,0,IF(A140&lt;=K$3,1,0))))</f>
        <v>0</v>
      </c>
      <c r="L140" s="124" t="n">
        <f aca="false">J140*K140</f>
        <v>0</v>
      </c>
      <c r="M140" s="124" t="n">
        <f aca="false">SUM(J$97:J140)</f>
        <v>0</v>
      </c>
      <c r="N140" s="124" t="n">
        <f aca="false">SUM(J$6:J140)</f>
        <v>0</v>
      </c>
      <c r="P140" s="124" t="n">
        <f aca="false">D140/P$3</f>
        <v>0</v>
      </c>
      <c r="Q140" s="124" t="n">
        <f aca="false">E140/P$3</f>
        <v>0</v>
      </c>
      <c r="R140" s="124" t="n">
        <f aca="false">F140/R$3</f>
        <v>0</v>
      </c>
      <c r="S140" s="126" t="n">
        <f aca="false">J140/$R$3</f>
        <v>0</v>
      </c>
      <c r="T140" s="126" t="n">
        <f aca="false">L140/$R$3</f>
        <v>0</v>
      </c>
      <c r="U140" s="126" t="n">
        <f aca="false">I140/$R$3</f>
        <v>0</v>
      </c>
      <c r="V140" s="126" t="n">
        <f aca="false">M140/$R$3</f>
        <v>0</v>
      </c>
      <c r="W140" s="126" t="n">
        <f aca="false">N140/$R$3</f>
        <v>0</v>
      </c>
    </row>
    <row r="141" customFormat="false" ht="12.75" hidden="true" customHeight="false" outlineLevel="0" collapsed="false">
      <c r="A141" s="120" t="n">
        <f aca="false">A140+1</f>
        <v>37027</v>
      </c>
      <c r="B141" s="131" t="str">
        <f aca="false">INDEX('Master Data'!$A$2:$B$8,MATCH(WEEKDAY('Modesto Maranzana Power'!A141,3),'Master Data'!$A$2:$A$8,0),2)</f>
        <v>W</v>
      </c>
      <c r="D141" s="124" t="n">
        <v>1804892</v>
      </c>
      <c r="E141" s="124" t="n">
        <v>0</v>
      </c>
      <c r="F141" s="124" t="n">
        <v>0</v>
      </c>
      <c r="G141" s="124" t="n">
        <v>0</v>
      </c>
      <c r="I141" s="124" t="n">
        <f aca="false">IF(MONTH($A141)=MONTH($A140),IF(G141=0,I140,G141),G141)</f>
        <v>0</v>
      </c>
      <c r="J141" s="124" t="n">
        <f aca="false">IF(MONTH($A141)=MONTH($A140),SUM(I141-I140),I141)</f>
        <v>0</v>
      </c>
      <c r="K141" s="124" t="n">
        <f aca="false">IF(WEEKDAY(A141,3)&gt;4,0,(IF(A141&lt;K$2,0,IF(A141&lt;=K$3,1,0))))</f>
        <v>0</v>
      </c>
      <c r="L141" s="124" t="n">
        <f aca="false">J141*K141</f>
        <v>0</v>
      </c>
      <c r="M141" s="124" t="n">
        <f aca="false">SUM(J$97:J141)</f>
        <v>0</v>
      </c>
      <c r="N141" s="124" t="n">
        <f aca="false">SUM(J$6:J141)</f>
        <v>0</v>
      </c>
      <c r="P141" s="124" t="n">
        <f aca="false">D141/P$3</f>
        <v>1.804892</v>
      </c>
      <c r="Q141" s="124" t="n">
        <f aca="false">E141/P$3</f>
        <v>0</v>
      </c>
      <c r="R141" s="124" t="n">
        <f aca="false">F141/R$3</f>
        <v>0</v>
      </c>
      <c r="S141" s="126" t="n">
        <f aca="false">J141/$R$3</f>
        <v>0</v>
      </c>
      <c r="T141" s="126" t="n">
        <f aca="false">L141/$R$3</f>
        <v>0</v>
      </c>
      <c r="U141" s="126" t="n">
        <f aca="false">I141/$R$3</f>
        <v>0</v>
      </c>
      <c r="V141" s="126" t="n">
        <f aca="false">M141/$R$3</f>
        <v>0</v>
      </c>
      <c r="W141" s="126" t="n">
        <f aca="false">N141/$R$3</f>
        <v>0</v>
      </c>
    </row>
    <row r="142" customFormat="false" ht="12.75" hidden="true" customHeight="false" outlineLevel="0" collapsed="false">
      <c r="A142" s="120" t="n">
        <f aca="false">A141+1</f>
        <v>37028</v>
      </c>
      <c r="B142" s="131" t="str">
        <f aca="false">INDEX('Master Data'!$A$2:$B$8,MATCH(WEEKDAY('Modesto Maranzana Power'!A142,3),'Master Data'!$A$2:$A$8,0),2)</f>
        <v>Th</v>
      </c>
      <c r="D142" s="124" t="n">
        <v>1803673</v>
      </c>
      <c r="E142" s="124" t="n">
        <v>0</v>
      </c>
      <c r="F142" s="124" t="n">
        <v>0</v>
      </c>
      <c r="G142" s="124" t="n">
        <v>0</v>
      </c>
      <c r="I142" s="124" t="n">
        <f aca="false">IF(MONTH($A142)=MONTH($A141),IF(G142=0,I141,G142),G142)</f>
        <v>0</v>
      </c>
      <c r="J142" s="124" t="n">
        <f aca="false">IF(MONTH($A142)=MONTH($A141),SUM(I142-I141),I142)</f>
        <v>0</v>
      </c>
      <c r="K142" s="124" t="n">
        <f aca="false">IF(WEEKDAY(A142,3)&gt;4,0,(IF(A142&lt;K$2,0,IF(A142&lt;=K$3,1,0))))</f>
        <v>0</v>
      </c>
      <c r="L142" s="124" t="n">
        <f aca="false">J142*K142</f>
        <v>0</v>
      </c>
      <c r="M142" s="124" t="n">
        <f aca="false">SUM(J$97:J142)</f>
        <v>0</v>
      </c>
      <c r="N142" s="124" t="n">
        <f aca="false">SUM(J$6:J142)</f>
        <v>0</v>
      </c>
      <c r="P142" s="124" t="n">
        <f aca="false">D142/P$3</f>
        <v>1.803673</v>
      </c>
      <c r="Q142" s="124" t="n">
        <f aca="false">E142/P$3</f>
        <v>0</v>
      </c>
      <c r="R142" s="124" t="n">
        <f aca="false">F142/R$3</f>
        <v>0</v>
      </c>
      <c r="S142" s="126" t="n">
        <f aca="false">J142/$R$3</f>
        <v>0</v>
      </c>
      <c r="T142" s="126" t="n">
        <f aca="false">L142/$R$3</f>
        <v>0</v>
      </c>
      <c r="U142" s="126" t="n">
        <f aca="false">I142/$R$3</f>
        <v>0</v>
      </c>
      <c r="V142" s="126" t="n">
        <f aca="false">M142/$R$3</f>
        <v>0</v>
      </c>
      <c r="W142" s="126" t="n">
        <f aca="false">N142/$R$3</f>
        <v>0</v>
      </c>
    </row>
    <row r="143" customFormat="false" ht="12.75" hidden="true" customHeight="false" outlineLevel="0" collapsed="false">
      <c r="A143" s="120" t="n">
        <f aca="false">A142+1</f>
        <v>37029</v>
      </c>
      <c r="B143" s="131" t="str">
        <f aca="false">INDEX('Master Data'!$A$2:$B$8,MATCH(WEEKDAY('Modesto Maranzana Power'!A143,3),'Master Data'!$A$2:$A$8,0),2)</f>
        <v>F</v>
      </c>
      <c r="D143" s="124" t="n">
        <v>1801197</v>
      </c>
      <c r="E143" s="124" t="n">
        <v>0</v>
      </c>
      <c r="F143" s="124" t="n">
        <v>0</v>
      </c>
      <c r="G143" s="124" t="n">
        <v>0</v>
      </c>
      <c r="I143" s="124" t="n">
        <f aca="false">IF(MONTH($A143)=MONTH($A142),IF(G143=0,I142,G143),G143)</f>
        <v>0</v>
      </c>
      <c r="J143" s="124" t="n">
        <f aca="false">IF(MONTH($A143)=MONTH($A142),SUM(I143-I142),I143)</f>
        <v>0</v>
      </c>
      <c r="K143" s="124" t="n">
        <f aca="false">IF(WEEKDAY(A143,3)&gt;4,0,(IF(A143&lt;K$2,0,IF(A143&lt;=K$3,1,0))))</f>
        <v>0</v>
      </c>
      <c r="L143" s="124" t="n">
        <f aca="false">J143*K143</f>
        <v>0</v>
      </c>
      <c r="M143" s="124" t="n">
        <f aca="false">SUM(J$97:J143)</f>
        <v>0</v>
      </c>
      <c r="N143" s="124" t="n">
        <f aca="false">SUM(J$6:J143)</f>
        <v>0</v>
      </c>
      <c r="P143" s="124" t="n">
        <f aca="false">D143/P$3</f>
        <v>1.801197</v>
      </c>
      <c r="Q143" s="124" t="n">
        <f aca="false">E143/P$3</f>
        <v>0</v>
      </c>
      <c r="R143" s="124" t="n">
        <f aca="false">F143/R$3</f>
        <v>0</v>
      </c>
      <c r="S143" s="126" t="n">
        <f aca="false">J143/$R$3</f>
        <v>0</v>
      </c>
      <c r="T143" s="126" t="n">
        <f aca="false">L143/$R$3</f>
        <v>0</v>
      </c>
      <c r="U143" s="126" t="n">
        <f aca="false">I143/$R$3</f>
        <v>0</v>
      </c>
      <c r="V143" s="126" t="n">
        <f aca="false">M143/$R$3</f>
        <v>0</v>
      </c>
      <c r="W143" s="126" t="n">
        <f aca="false">N143/$R$3</f>
        <v>0</v>
      </c>
    </row>
    <row r="144" customFormat="false" ht="12.75" hidden="true" customHeight="false" outlineLevel="0" collapsed="false">
      <c r="A144" s="120" t="n">
        <f aca="false">A143+1</f>
        <v>37030</v>
      </c>
      <c r="B144" s="131" t="str">
        <f aca="false">INDEX('Master Data'!$A$2:$B$8,MATCH(WEEKDAY('Modesto Maranzana Power'!A144,3),'Master Data'!$A$2:$A$8,0),2)</f>
        <v>Sa</v>
      </c>
      <c r="D144" s="124" t="n">
        <v>0</v>
      </c>
      <c r="E144" s="124" t="n">
        <v>0</v>
      </c>
      <c r="F144" s="124" t="n">
        <v>0</v>
      </c>
      <c r="G144" s="124" t="n">
        <v>0</v>
      </c>
      <c r="I144" s="124" t="n">
        <f aca="false">IF(MONTH($A144)=MONTH($A143),IF(G144=0,I143,G144),G144)</f>
        <v>0</v>
      </c>
      <c r="J144" s="124" t="n">
        <f aca="false">IF(MONTH($A144)=MONTH($A143),SUM(I144-I143),I144)</f>
        <v>0</v>
      </c>
      <c r="K144" s="124" t="n">
        <f aca="false">IF(WEEKDAY(A144,3)&gt;4,0,(IF(A144&lt;K$2,0,IF(A144&lt;=K$3,1,0))))</f>
        <v>0</v>
      </c>
      <c r="L144" s="124" t="n">
        <f aca="false">J144*K144</f>
        <v>0</v>
      </c>
      <c r="M144" s="124" t="n">
        <f aca="false">SUM(J$97:J144)</f>
        <v>0</v>
      </c>
      <c r="N144" s="124" t="n">
        <f aca="false">SUM(J$6:J144)</f>
        <v>0</v>
      </c>
      <c r="P144" s="124" t="n">
        <f aca="false">D144/P$3</f>
        <v>0</v>
      </c>
      <c r="Q144" s="124" t="n">
        <f aca="false">E144/P$3</f>
        <v>0</v>
      </c>
      <c r="R144" s="124" t="n">
        <f aca="false">F144/R$3</f>
        <v>0</v>
      </c>
      <c r="S144" s="126" t="n">
        <f aca="false">J144/$R$3</f>
        <v>0</v>
      </c>
      <c r="T144" s="126" t="n">
        <f aca="false">L144/$R$3</f>
        <v>0</v>
      </c>
      <c r="U144" s="126" t="n">
        <f aca="false">I144/$R$3</f>
        <v>0</v>
      </c>
      <c r="V144" s="126" t="n">
        <f aca="false">M144/$R$3</f>
        <v>0</v>
      </c>
      <c r="W144" s="126" t="n">
        <f aca="false">N144/$R$3</f>
        <v>0</v>
      </c>
    </row>
    <row r="145" customFormat="false" ht="12.75" hidden="true" customHeight="false" outlineLevel="0" collapsed="false">
      <c r="A145" s="120" t="n">
        <f aca="false">A144+1</f>
        <v>37031</v>
      </c>
      <c r="B145" s="131" t="str">
        <f aca="false">INDEX('Master Data'!$A$2:$B$8,MATCH(WEEKDAY('Modesto Maranzana Power'!A145,3),'Master Data'!$A$2:$A$8,0),2)</f>
        <v>Su</v>
      </c>
      <c r="D145" s="124" t="n">
        <v>0</v>
      </c>
      <c r="E145" s="124" t="n">
        <v>0</v>
      </c>
      <c r="F145" s="124" t="n">
        <v>0</v>
      </c>
      <c r="G145" s="124" t="n">
        <v>0</v>
      </c>
      <c r="I145" s="124" t="n">
        <f aca="false">IF(MONTH($A145)=MONTH($A144),IF(G145=0,I144,G145),G145)</f>
        <v>0</v>
      </c>
      <c r="J145" s="124" t="n">
        <f aca="false">IF(MONTH($A145)=MONTH($A144),SUM(I145-I144),I145)</f>
        <v>0</v>
      </c>
      <c r="K145" s="124" t="n">
        <f aca="false">IF(WEEKDAY(A145,3)&gt;4,0,(IF(A145&lt;K$2,0,IF(A145&lt;=K$3,1,0))))</f>
        <v>0</v>
      </c>
      <c r="L145" s="124" t="n">
        <f aca="false">J145*K145</f>
        <v>0</v>
      </c>
      <c r="M145" s="124" t="n">
        <f aca="false">SUM(J$97:J145)</f>
        <v>0</v>
      </c>
      <c r="N145" s="124" t="n">
        <f aca="false">SUM(J$6:J145)</f>
        <v>0</v>
      </c>
      <c r="P145" s="124" t="n">
        <f aca="false">D145/P$3</f>
        <v>0</v>
      </c>
      <c r="Q145" s="124" t="n">
        <f aca="false">E145/P$3</f>
        <v>0</v>
      </c>
      <c r="R145" s="124" t="n">
        <f aca="false">F145/R$3</f>
        <v>0</v>
      </c>
      <c r="S145" s="126" t="n">
        <f aca="false">J145/$R$3</f>
        <v>0</v>
      </c>
      <c r="T145" s="126" t="n">
        <f aca="false">L145/$R$3</f>
        <v>0</v>
      </c>
      <c r="U145" s="126" t="n">
        <f aca="false">I145/$R$3</f>
        <v>0</v>
      </c>
      <c r="V145" s="126" t="n">
        <f aca="false">M145/$R$3</f>
        <v>0</v>
      </c>
      <c r="W145" s="126" t="n">
        <f aca="false">N145/$R$3</f>
        <v>0</v>
      </c>
    </row>
    <row r="146" customFormat="false" ht="12.75" hidden="true" customHeight="false" outlineLevel="0" collapsed="false">
      <c r="A146" s="120" t="n">
        <f aca="false">A145+1</f>
        <v>37032</v>
      </c>
      <c r="B146" s="131" t="str">
        <f aca="false">INDEX('Master Data'!$A$2:$B$8,MATCH(WEEKDAY('Modesto Maranzana Power'!A146,3),'Master Data'!$A$2:$A$8,0),2)</f>
        <v>M</v>
      </c>
      <c r="D146" s="124" t="n">
        <v>1800657</v>
      </c>
      <c r="E146" s="124" t="n">
        <v>0</v>
      </c>
      <c r="F146" s="124" t="n">
        <v>0</v>
      </c>
      <c r="G146" s="124" t="n">
        <v>0</v>
      </c>
      <c r="I146" s="124" t="n">
        <f aca="false">IF(MONTH($A146)=MONTH($A145),IF(G146=0,I145,G146),G146)</f>
        <v>0</v>
      </c>
      <c r="J146" s="124" t="n">
        <f aca="false">IF(MONTH($A146)=MONTH($A145),SUM(I146-I145),I146)</f>
        <v>0</v>
      </c>
      <c r="K146" s="124" t="n">
        <f aca="false">IF(WEEKDAY(A146,3)&gt;4,0,(IF(A146&lt;K$2,0,IF(A146&lt;=K$3,1,0))))</f>
        <v>0</v>
      </c>
      <c r="L146" s="124" t="n">
        <f aca="false">J146*K146</f>
        <v>0</v>
      </c>
      <c r="M146" s="124" t="n">
        <f aca="false">SUM(J$97:J146)</f>
        <v>0</v>
      </c>
      <c r="N146" s="124" t="n">
        <f aca="false">SUM(J$6:J146)</f>
        <v>0</v>
      </c>
      <c r="P146" s="124" t="n">
        <f aca="false">D146/P$3</f>
        <v>1.800657</v>
      </c>
      <c r="Q146" s="124" t="n">
        <f aca="false">E146/P$3</f>
        <v>0</v>
      </c>
      <c r="R146" s="124" t="n">
        <f aca="false">F146/R$3</f>
        <v>0</v>
      </c>
      <c r="S146" s="126" t="n">
        <f aca="false">J146/$R$3</f>
        <v>0</v>
      </c>
      <c r="T146" s="126" t="n">
        <f aca="false">L146/$R$3</f>
        <v>0</v>
      </c>
      <c r="U146" s="126" t="n">
        <f aca="false">I146/$R$3</f>
        <v>0</v>
      </c>
      <c r="V146" s="126" t="n">
        <f aca="false">M146/$R$3</f>
        <v>0</v>
      </c>
      <c r="W146" s="126" t="n">
        <f aca="false">N146/$R$3</f>
        <v>0</v>
      </c>
    </row>
    <row r="147" customFormat="false" ht="12.75" hidden="true" customHeight="false" outlineLevel="0" collapsed="false">
      <c r="A147" s="120" t="n">
        <f aca="false">A146+1</f>
        <v>37033</v>
      </c>
      <c r="B147" s="131" t="str">
        <f aca="false">INDEX('Master Data'!$A$2:$B$8,MATCH(WEEKDAY('Modesto Maranzana Power'!A147,3),'Master Data'!$A$2:$A$8,0),2)</f>
        <v>T</v>
      </c>
      <c r="D147" s="124" t="n">
        <v>1800432.8</v>
      </c>
      <c r="E147" s="124" t="n">
        <v>0</v>
      </c>
      <c r="F147" s="124" t="n">
        <v>0</v>
      </c>
      <c r="G147" s="124" t="n">
        <v>0</v>
      </c>
      <c r="I147" s="124" t="n">
        <f aca="false">IF(MONTH($A147)=MONTH($A146),IF(G147=0,I146,G147),G147)</f>
        <v>0</v>
      </c>
      <c r="J147" s="124" t="n">
        <f aca="false">IF(MONTH($A147)=MONTH($A146),SUM(I147-I146),I147)</f>
        <v>0</v>
      </c>
      <c r="K147" s="124" t="n">
        <f aca="false">IF(WEEKDAY(A147,3)&gt;4,0,(IF(A147&lt;K$2,0,IF(A147&lt;=K$3,1,0))))</f>
        <v>0</v>
      </c>
      <c r="L147" s="124" t="n">
        <f aca="false">J147*K147</f>
        <v>0</v>
      </c>
      <c r="M147" s="124" t="n">
        <f aca="false">SUM(J$97:J147)</f>
        <v>0</v>
      </c>
      <c r="N147" s="124" t="n">
        <f aca="false">SUM(J$6:J147)</f>
        <v>0</v>
      </c>
      <c r="P147" s="124" t="n">
        <f aca="false">D147/P$3</f>
        <v>1.8004328</v>
      </c>
      <c r="Q147" s="124" t="n">
        <f aca="false">E147/P$3</f>
        <v>0</v>
      </c>
      <c r="R147" s="124" t="n">
        <f aca="false">F147/R$3</f>
        <v>0</v>
      </c>
      <c r="S147" s="126" t="n">
        <f aca="false">J147/$R$3</f>
        <v>0</v>
      </c>
      <c r="T147" s="126" t="n">
        <f aca="false">L147/$R$3</f>
        <v>0</v>
      </c>
      <c r="U147" s="126" t="n">
        <f aca="false">I147/$R$3</f>
        <v>0</v>
      </c>
      <c r="V147" s="126" t="n">
        <f aca="false">M147/$R$3</f>
        <v>0</v>
      </c>
      <c r="W147" s="126" t="n">
        <f aca="false">N147/$R$3</f>
        <v>0</v>
      </c>
    </row>
    <row r="148" customFormat="false" ht="12.75" hidden="true" customHeight="false" outlineLevel="0" collapsed="false">
      <c r="A148" s="120" t="n">
        <f aca="false">A147+1</f>
        <v>37034</v>
      </c>
      <c r="B148" s="131" t="str">
        <f aca="false">INDEX('Master Data'!$A$2:$B$8,MATCH(WEEKDAY('Modesto Maranzana Power'!A148,3),'Master Data'!$A$2:$A$8,0),2)</f>
        <v>W</v>
      </c>
      <c r="D148" s="124" t="n">
        <v>1650888</v>
      </c>
      <c r="E148" s="124" t="n">
        <v>0</v>
      </c>
      <c r="F148" s="124" t="n">
        <v>0</v>
      </c>
      <c r="G148" s="124" t="n">
        <v>0</v>
      </c>
      <c r="I148" s="124" t="n">
        <f aca="false">IF(MONTH($A148)=MONTH($A147),IF(G148=0,I147,G148),G148)</f>
        <v>0</v>
      </c>
      <c r="J148" s="124" t="n">
        <f aca="false">IF(MONTH($A148)=MONTH($A147),SUM(I148-I147),I148)</f>
        <v>0</v>
      </c>
      <c r="K148" s="124" t="n">
        <f aca="false">IF(WEEKDAY(A148,3)&gt;4,0,(IF(A148&lt;K$2,0,IF(A148&lt;=K$3,1,0))))</f>
        <v>0</v>
      </c>
      <c r="L148" s="124" t="n">
        <f aca="false">J148*K148</f>
        <v>0</v>
      </c>
      <c r="M148" s="124" t="n">
        <f aca="false">SUM(J$97:J148)</f>
        <v>0</v>
      </c>
      <c r="N148" s="124" t="n">
        <f aca="false">SUM(J$6:J148)</f>
        <v>0</v>
      </c>
      <c r="P148" s="124" t="n">
        <f aca="false">D148/P$3</f>
        <v>1.650888</v>
      </c>
      <c r="Q148" s="124" t="n">
        <f aca="false">E148/P$3</f>
        <v>0</v>
      </c>
      <c r="R148" s="124" t="n">
        <f aca="false">F148/R$3</f>
        <v>0</v>
      </c>
      <c r="S148" s="126" t="n">
        <f aca="false">J148/$R$3</f>
        <v>0</v>
      </c>
      <c r="T148" s="126" t="n">
        <f aca="false">L148/$R$3</f>
        <v>0</v>
      </c>
      <c r="U148" s="126" t="n">
        <f aca="false">I148/$R$3</f>
        <v>0</v>
      </c>
      <c r="V148" s="126" t="n">
        <f aca="false">M148/$R$3</f>
        <v>0</v>
      </c>
      <c r="W148" s="126" t="n">
        <f aca="false">N148/$R$3</f>
        <v>0</v>
      </c>
    </row>
    <row r="149" customFormat="false" ht="12.75" hidden="true" customHeight="false" outlineLevel="0" collapsed="false">
      <c r="A149" s="120" t="n">
        <f aca="false">A148+1</f>
        <v>37035</v>
      </c>
      <c r="B149" s="131" t="str">
        <f aca="false">INDEX('Master Data'!$A$2:$B$8,MATCH(WEEKDAY('Modesto Maranzana Power'!A149,3),'Master Data'!$A$2:$A$8,0),2)</f>
        <v>Th</v>
      </c>
      <c r="D149" s="124" t="n">
        <v>1651528</v>
      </c>
      <c r="E149" s="124" t="n">
        <v>0</v>
      </c>
      <c r="F149" s="124" t="n">
        <v>0</v>
      </c>
      <c r="G149" s="124" t="n">
        <v>0</v>
      </c>
      <c r="I149" s="124" t="n">
        <f aca="false">IF(MONTH($A149)=MONTH($A148),IF(G149=0,I148,G149),G149)</f>
        <v>0</v>
      </c>
      <c r="J149" s="124" t="n">
        <f aca="false">IF(MONTH($A149)=MONTH($A148),SUM(I149-I148),I149)</f>
        <v>0</v>
      </c>
      <c r="K149" s="124" t="n">
        <f aca="false">IF(WEEKDAY(A149,3)&gt;4,0,(IF(A149&lt;K$2,0,IF(A149&lt;=K$3,1,0))))</f>
        <v>0</v>
      </c>
      <c r="L149" s="124" t="n">
        <f aca="false">J149*K149</f>
        <v>0</v>
      </c>
      <c r="M149" s="124" t="n">
        <f aca="false">SUM(J$97:J149)</f>
        <v>0</v>
      </c>
      <c r="N149" s="124" t="n">
        <f aca="false">SUM(J$6:J149)</f>
        <v>0</v>
      </c>
      <c r="P149" s="124" t="n">
        <f aca="false">D149/P$3</f>
        <v>1.651528</v>
      </c>
      <c r="Q149" s="124" t="n">
        <f aca="false">E149/P$3</f>
        <v>0</v>
      </c>
      <c r="R149" s="124" t="n">
        <f aca="false">F149/R$3</f>
        <v>0</v>
      </c>
      <c r="S149" s="126" t="n">
        <f aca="false">J149/$R$3</f>
        <v>0</v>
      </c>
      <c r="T149" s="126" t="n">
        <f aca="false">L149/$R$3</f>
        <v>0</v>
      </c>
      <c r="U149" s="126" t="n">
        <f aca="false">I149/$R$3</f>
        <v>0</v>
      </c>
      <c r="V149" s="126" t="n">
        <f aca="false">M149/$R$3</f>
        <v>0</v>
      </c>
      <c r="W149" s="126" t="n">
        <f aca="false">N149/$R$3</f>
        <v>0</v>
      </c>
    </row>
    <row r="150" customFormat="false" ht="12.75" hidden="true" customHeight="false" outlineLevel="0" collapsed="false">
      <c r="A150" s="120" t="n">
        <f aca="false">A149+1</f>
        <v>37036</v>
      </c>
      <c r="B150" s="131" t="str">
        <f aca="false">INDEX('Master Data'!$A$2:$B$8,MATCH(WEEKDAY('Modesto Maranzana Power'!A150,3),'Master Data'!$A$2:$A$8,0),2)</f>
        <v>F</v>
      </c>
      <c r="D150" s="124" t="n">
        <v>1651528</v>
      </c>
      <c r="E150" s="124" t="n">
        <v>0</v>
      </c>
      <c r="F150" s="124" t="n">
        <v>0</v>
      </c>
      <c r="G150" s="124" t="n">
        <v>0</v>
      </c>
      <c r="I150" s="124" t="n">
        <f aca="false">IF(MONTH($A150)=MONTH($A149),IF(G150=0,I149,G150),G150)</f>
        <v>0</v>
      </c>
      <c r="J150" s="124" t="n">
        <f aca="false">IF(MONTH($A150)=MONTH($A149),SUM(I150-I149),I150)</f>
        <v>0</v>
      </c>
      <c r="K150" s="124" t="n">
        <f aca="false">IF(WEEKDAY(A150,3)&gt;4,0,(IF(A150&lt;K$2,0,IF(A150&lt;=K$3,1,0))))</f>
        <v>0</v>
      </c>
      <c r="L150" s="124" t="n">
        <f aca="false">J150*K150</f>
        <v>0</v>
      </c>
      <c r="M150" s="124" t="n">
        <f aca="false">SUM(J$97:J150)</f>
        <v>0</v>
      </c>
      <c r="N150" s="124" t="n">
        <f aca="false">SUM(J$6:J150)</f>
        <v>0</v>
      </c>
      <c r="P150" s="124" t="n">
        <f aca="false">D150/P$3</f>
        <v>1.651528</v>
      </c>
      <c r="Q150" s="124" t="n">
        <f aca="false">E150/P$3</f>
        <v>0</v>
      </c>
      <c r="R150" s="124" t="n">
        <f aca="false">F150/R$3</f>
        <v>0</v>
      </c>
      <c r="S150" s="126" t="n">
        <f aca="false">J150/$R$3</f>
        <v>0</v>
      </c>
      <c r="T150" s="126" t="n">
        <f aca="false">L150/$R$3</f>
        <v>0</v>
      </c>
      <c r="U150" s="126" t="n">
        <f aca="false">I150/$R$3</f>
        <v>0</v>
      </c>
      <c r="V150" s="126" t="n">
        <f aca="false">M150/$R$3</f>
        <v>0</v>
      </c>
      <c r="W150" s="126" t="n">
        <f aca="false">N150/$R$3</f>
        <v>0</v>
      </c>
    </row>
    <row r="151" customFormat="false" ht="12.75" hidden="true" customHeight="false" outlineLevel="0" collapsed="false">
      <c r="A151" s="120" t="n">
        <f aca="false">A150+1</f>
        <v>37037</v>
      </c>
      <c r="B151" s="131" t="str">
        <f aca="false">INDEX('Master Data'!$A$2:$B$8,MATCH(WEEKDAY('Modesto Maranzana Power'!A151,3),'Master Data'!$A$2:$A$8,0),2)</f>
        <v>Sa</v>
      </c>
      <c r="D151" s="124" t="n">
        <v>0</v>
      </c>
      <c r="E151" s="124" t="n">
        <v>0</v>
      </c>
      <c r="F151" s="124" t="n">
        <v>0</v>
      </c>
      <c r="G151" s="124" t="n">
        <v>0</v>
      </c>
      <c r="I151" s="124" t="n">
        <f aca="false">IF(MONTH($A151)=MONTH($A150),IF(G151=0,I150,G151),G151)</f>
        <v>0</v>
      </c>
      <c r="J151" s="124" t="n">
        <f aca="false">IF(MONTH($A151)=MONTH($A150),SUM(I151-I150),I151)</f>
        <v>0</v>
      </c>
      <c r="K151" s="124" t="n">
        <f aca="false">IF(WEEKDAY(A151,3)&gt;4,0,(IF(A151&lt;K$2,0,IF(A151&lt;=K$3,1,0))))</f>
        <v>0</v>
      </c>
      <c r="L151" s="124" t="n">
        <f aca="false">J151*K151</f>
        <v>0</v>
      </c>
      <c r="M151" s="124" t="n">
        <f aca="false">SUM(J$97:J151)</f>
        <v>0</v>
      </c>
      <c r="N151" s="124" t="n">
        <f aca="false">SUM(J$6:J151)</f>
        <v>0</v>
      </c>
      <c r="P151" s="124" t="n">
        <f aca="false">D151/P$3</f>
        <v>0</v>
      </c>
      <c r="Q151" s="124" t="n">
        <f aca="false">E151/P$3</f>
        <v>0</v>
      </c>
      <c r="R151" s="124" t="n">
        <f aca="false">F151/R$3</f>
        <v>0</v>
      </c>
      <c r="S151" s="126" t="n">
        <f aca="false">J151/$R$3</f>
        <v>0</v>
      </c>
      <c r="T151" s="126" t="n">
        <f aca="false">L151/$R$3</f>
        <v>0</v>
      </c>
      <c r="U151" s="126" t="n">
        <f aca="false">I151/$R$3</f>
        <v>0</v>
      </c>
      <c r="V151" s="126" t="n">
        <f aca="false">M151/$R$3</f>
        <v>0</v>
      </c>
      <c r="W151" s="126" t="n">
        <f aca="false">N151/$R$3</f>
        <v>0</v>
      </c>
    </row>
    <row r="152" customFormat="false" ht="12.75" hidden="true" customHeight="false" outlineLevel="0" collapsed="false">
      <c r="A152" s="120" t="n">
        <f aca="false">A151+1</f>
        <v>37038</v>
      </c>
      <c r="B152" s="131" t="str">
        <f aca="false">INDEX('Master Data'!$A$2:$B$8,MATCH(WEEKDAY('Modesto Maranzana Power'!A152,3),'Master Data'!$A$2:$A$8,0),2)</f>
        <v>Su</v>
      </c>
      <c r="D152" s="124" t="n">
        <v>0</v>
      </c>
      <c r="E152" s="124" t="n">
        <v>0</v>
      </c>
      <c r="F152" s="124" t="n">
        <v>0</v>
      </c>
      <c r="G152" s="124" t="n">
        <v>0</v>
      </c>
      <c r="I152" s="124" t="n">
        <f aca="false">IF(MONTH($A152)=MONTH($A151),IF(G152=0,I151,G152),G152)</f>
        <v>0</v>
      </c>
      <c r="J152" s="124" t="n">
        <f aca="false">IF(MONTH($A152)=MONTH($A151),SUM(I152-I151),I152)</f>
        <v>0</v>
      </c>
      <c r="K152" s="124" t="n">
        <f aca="false">IF(WEEKDAY(A152,3)&gt;4,0,(IF(A152&lt;K$2,0,IF(A152&lt;=K$3,1,0))))</f>
        <v>0</v>
      </c>
      <c r="L152" s="124" t="n">
        <f aca="false">J152*K152</f>
        <v>0</v>
      </c>
      <c r="M152" s="124" t="n">
        <f aca="false">SUM(J$97:J152)</f>
        <v>0</v>
      </c>
      <c r="N152" s="124" t="n">
        <f aca="false">SUM(J$6:J152)</f>
        <v>0</v>
      </c>
      <c r="P152" s="124" t="n">
        <f aca="false">D152/P$3</f>
        <v>0</v>
      </c>
      <c r="Q152" s="124" t="n">
        <f aca="false">E152/P$3</f>
        <v>0</v>
      </c>
      <c r="R152" s="124" t="n">
        <f aca="false">F152/R$3</f>
        <v>0</v>
      </c>
      <c r="S152" s="126" t="n">
        <f aca="false">J152/$R$3</f>
        <v>0</v>
      </c>
      <c r="T152" s="126" t="n">
        <f aca="false">L152/$R$3</f>
        <v>0</v>
      </c>
      <c r="U152" s="126" t="n">
        <f aca="false">I152/$R$3</f>
        <v>0</v>
      </c>
      <c r="V152" s="126" t="n">
        <f aca="false">M152/$R$3</f>
        <v>0</v>
      </c>
      <c r="W152" s="126" t="n">
        <f aca="false">N152/$R$3</f>
        <v>0</v>
      </c>
    </row>
    <row r="153" customFormat="false" ht="12.75" hidden="true" customHeight="false" outlineLevel="0" collapsed="false">
      <c r="A153" s="120" t="n">
        <f aca="false">A152+1</f>
        <v>37039</v>
      </c>
      <c r="B153" s="131" t="str">
        <f aca="false">INDEX('Master Data'!$A$2:$B$8,MATCH(WEEKDAY('Modesto Maranzana Power'!A153,3),'Master Data'!$A$2:$A$8,0),2)</f>
        <v>M</v>
      </c>
      <c r="D153" s="124" t="n">
        <v>0</v>
      </c>
      <c r="E153" s="124" t="n">
        <v>0</v>
      </c>
      <c r="F153" s="124" t="n">
        <v>0</v>
      </c>
      <c r="G153" s="124" t="n">
        <v>0</v>
      </c>
      <c r="I153" s="124" t="n">
        <f aca="false">IF(MONTH($A153)=MONTH($A152),IF(G153=0,I152,G153),G153)</f>
        <v>0</v>
      </c>
      <c r="J153" s="124" t="n">
        <f aca="false">IF(MONTH($A153)=MONTH($A152),SUM(I153-I152),I153)</f>
        <v>0</v>
      </c>
      <c r="K153" s="124" t="n">
        <f aca="false">IF(WEEKDAY(A153,3)&gt;4,0,(IF(A153&lt;K$2,0,IF(A153&lt;=K$3,1,0))))</f>
        <v>0</v>
      </c>
      <c r="L153" s="124" t="n">
        <f aca="false">J153*K153</f>
        <v>0</v>
      </c>
      <c r="M153" s="124" t="n">
        <f aca="false">SUM(J$97:J153)</f>
        <v>0</v>
      </c>
      <c r="N153" s="124" t="n">
        <f aca="false">SUM(J$6:J153)</f>
        <v>0</v>
      </c>
      <c r="P153" s="124" t="n">
        <f aca="false">D153/P$3</f>
        <v>0</v>
      </c>
      <c r="Q153" s="124" t="n">
        <f aca="false">E153/P$3</f>
        <v>0</v>
      </c>
      <c r="R153" s="124" t="n">
        <f aca="false">F153/R$3</f>
        <v>0</v>
      </c>
      <c r="S153" s="126" t="n">
        <f aca="false">J153/$R$3</f>
        <v>0</v>
      </c>
      <c r="T153" s="126" t="n">
        <f aca="false">L153/$R$3</f>
        <v>0</v>
      </c>
      <c r="U153" s="126" t="n">
        <f aca="false">I153/$R$3</f>
        <v>0</v>
      </c>
      <c r="V153" s="126" t="n">
        <f aca="false">M153/$R$3</f>
        <v>0</v>
      </c>
      <c r="W153" s="126" t="n">
        <f aca="false">N153/$R$3</f>
        <v>0</v>
      </c>
    </row>
    <row r="154" customFormat="false" ht="12.75" hidden="true" customHeight="false" outlineLevel="0" collapsed="false">
      <c r="A154" s="120" t="n">
        <f aca="false">A153+1</f>
        <v>37040</v>
      </c>
      <c r="B154" s="131" t="str">
        <f aca="false">INDEX('Master Data'!$A$2:$B$8,MATCH(WEEKDAY('Modesto Maranzana Power'!A154,3),'Master Data'!$A$2:$A$8,0),2)</f>
        <v>T</v>
      </c>
      <c r="D154" s="124" t="n">
        <v>1876711.32665312</v>
      </c>
      <c r="E154" s="124" t="n">
        <v>0</v>
      </c>
      <c r="F154" s="124" t="n">
        <v>0</v>
      </c>
      <c r="G154" s="124" t="n">
        <v>0</v>
      </c>
      <c r="I154" s="124" t="n">
        <f aca="false">IF(MONTH($A154)=MONTH($A153),IF(G154=0,I153,G154),G154)</f>
        <v>0</v>
      </c>
      <c r="J154" s="124" t="n">
        <f aca="false">IF(MONTH($A154)=MONTH($A153),SUM(I154-I153),I154)</f>
        <v>0</v>
      </c>
      <c r="K154" s="124" t="n">
        <f aca="false">IF(WEEKDAY(A154,3)&gt;4,0,(IF(A154&lt;K$2,0,IF(A154&lt;=K$3,1,0))))</f>
        <v>0</v>
      </c>
      <c r="L154" s="124" t="n">
        <f aca="false">J154*K154</f>
        <v>0</v>
      </c>
      <c r="M154" s="124" t="n">
        <f aca="false">SUM(J$97:J154)</f>
        <v>0</v>
      </c>
      <c r="N154" s="124" t="n">
        <f aca="false">SUM(J$6:J154)</f>
        <v>0</v>
      </c>
      <c r="P154" s="124" t="n">
        <f aca="false">D154/P$3</f>
        <v>1.87671132665312</v>
      </c>
      <c r="Q154" s="124" t="n">
        <f aca="false">E154/P$3</f>
        <v>0</v>
      </c>
      <c r="R154" s="124" t="n">
        <f aca="false">F154/R$3</f>
        <v>0</v>
      </c>
      <c r="S154" s="126" t="n">
        <f aca="false">J154/$R$3</f>
        <v>0</v>
      </c>
      <c r="T154" s="126" t="n">
        <f aca="false">L154/$R$3</f>
        <v>0</v>
      </c>
      <c r="U154" s="126" t="n">
        <f aca="false">I154/$R$3</f>
        <v>0</v>
      </c>
      <c r="V154" s="126" t="n">
        <f aca="false">M154/$R$3</f>
        <v>0</v>
      </c>
      <c r="W154" s="126" t="n">
        <f aca="false">N154/$R$3</f>
        <v>0</v>
      </c>
    </row>
    <row r="155" customFormat="false" ht="12.75" hidden="true" customHeight="false" outlineLevel="0" collapsed="false">
      <c r="A155" s="120" t="n">
        <f aca="false">A154+1</f>
        <v>37041</v>
      </c>
      <c r="B155" s="131" t="str">
        <f aca="false">INDEX('Master Data'!$A$2:$B$8,MATCH(WEEKDAY('Modesto Maranzana Power'!A155,3),'Master Data'!$A$2:$A$8,0),2)</f>
        <v>W</v>
      </c>
      <c r="D155" s="124" t="n">
        <v>1875367.94708649</v>
      </c>
      <c r="E155" s="124" t="n">
        <v>0</v>
      </c>
      <c r="F155" s="124" t="n">
        <v>0</v>
      </c>
      <c r="G155" s="124" t="n">
        <v>0</v>
      </c>
      <c r="I155" s="124" t="n">
        <f aca="false">IF(MONTH($A155)=MONTH($A154),IF(G155=0,I154,G155),G155)</f>
        <v>0</v>
      </c>
      <c r="J155" s="124" t="n">
        <f aca="false">IF(MONTH($A155)=MONTH($A154),SUM(I155-I154),I155)</f>
        <v>0</v>
      </c>
      <c r="K155" s="124" t="n">
        <f aca="false">IF(WEEKDAY(A155,3)&gt;4,0,(IF(A155&lt;K$2,0,IF(A155&lt;=K$3,1,0))))</f>
        <v>0</v>
      </c>
      <c r="L155" s="124" t="n">
        <f aca="false">J155*K155</f>
        <v>0</v>
      </c>
      <c r="M155" s="124" t="n">
        <f aca="false">SUM(J$97:J155)</f>
        <v>0</v>
      </c>
      <c r="N155" s="124" t="n">
        <f aca="false">SUM(J$6:J155)</f>
        <v>0</v>
      </c>
      <c r="P155" s="124" t="n">
        <f aca="false">D155/P$3</f>
        <v>1.87536794708649</v>
      </c>
      <c r="Q155" s="124" t="n">
        <f aca="false">E155/P$3</f>
        <v>0</v>
      </c>
      <c r="R155" s="124" t="n">
        <f aca="false">F155/R$3</f>
        <v>0</v>
      </c>
      <c r="S155" s="126" t="n">
        <f aca="false">J155/$R$3</f>
        <v>0</v>
      </c>
      <c r="T155" s="126" t="n">
        <f aca="false">L155/$R$3</f>
        <v>0</v>
      </c>
      <c r="U155" s="126" t="n">
        <f aca="false">I155/$R$3</f>
        <v>0</v>
      </c>
      <c r="V155" s="126" t="n">
        <f aca="false">M155/$R$3</f>
        <v>0</v>
      </c>
      <c r="W155" s="126" t="n">
        <f aca="false">N155/$R$3</f>
        <v>0</v>
      </c>
    </row>
    <row r="156" customFormat="false" ht="12.75" hidden="true" customHeight="false" outlineLevel="0" collapsed="false">
      <c r="A156" s="120" t="n">
        <f aca="false">A155+1</f>
        <v>37042</v>
      </c>
      <c r="B156" s="131" t="str">
        <f aca="false">INDEX('Master Data'!$A$2:$B$8,MATCH(WEEKDAY('Modesto Maranzana Power'!A156,3),'Master Data'!$A$2:$A$8,0),2)</f>
        <v>Th</v>
      </c>
      <c r="D156" s="124" t="n">
        <v>1875173.51302383</v>
      </c>
      <c r="E156" s="124" t="n">
        <v>0</v>
      </c>
      <c r="F156" s="124" t="n">
        <v>0</v>
      </c>
      <c r="G156" s="124" t="n">
        <v>0</v>
      </c>
      <c r="I156" s="124" t="n">
        <f aca="false">IF(MONTH($A156)=MONTH($A155),IF(G156=0,I155,G156),G156)</f>
        <v>0</v>
      </c>
      <c r="J156" s="124" t="n">
        <f aca="false">IF(MONTH($A156)=MONTH($A155),SUM(I156-I155),I156)</f>
        <v>0</v>
      </c>
      <c r="K156" s="124" t="n">
        <f aca="false">IF(WEEKDAY(A156,3)&gt;4,0,(IF(A156&lt;K$2,0,IF(A156&lt;=K$3,1,0))))</f>
        <v>0</v>
      </c>
      <c r="L156" s="124" t="n">
        <f aca="false">J156*K156</f>
        <v>0</v>
      </c>
      <c r="M156" s="124" t="n">
        <f aca="false">SUM(J$97:J156)</f>
        <v>0</v>
      </c>
      <c r="N156" s="124" t="n">
        <f aca="false">SUM(J$6:J156)</f>
        <v>0</v>
      </c>
      <c r="P156" s="124" t="n">
        <f aca="false">D156/P$3</f>
        <v>1.87517351302383</v>
      </c>
      <c r="Q156" s="124" t="n">
        <f aca="false">E156/P$3</f>
        <v>0</v>
      </c>
      <c r="R156" s="124" t="n">
        <f aca="false">F156/R$3</f>
        <v>0</v>
      </c>
      <c r="S156" s="126" t="n">
        <f aca="false">J156/$R$3</f>
        <v>0</v>
      </c>
      <c r="T156" s="126" t="n">
        <f aca="false">L156/$R$3</f>
        <v>0</v>
      </c>
      <c r="U156" s="126" t="n">
        <f aca="false">I156/$R$3</f>
        <v>0</v>
      </c>
      <c r="V156" s="126" t="n">
        <f aca="false">M156/$R$3</f>
        <v>0</v>
      </c>
      <c r="W156" s="126" t="n">
        <f aca="false">N156/$R$3</f>
        <v>0</v>
      </c>
    </row>
    <row r="157" customFormat="false" ht="12.75" hidden="false" customHeight="false" outlineLevel="0" collapsed="false">
      <c r="A157" s="120" t="n">
        <f aca="false">A156+1</f>
        <v>37043</v>
      </c>
      <c r="B157" s="131" t="str">
        <f aca="false">INDEX('Master Data'!$A$2:$B$8,MATCH(WEEKDAY('Modesto Maranzana Power'!A157,3),'Master Data'!$A$2:$A$8,0),2)</f>
        <v>F</v>
      </c>
      <c r="D157" s="124" t="n">
        <v>1883363.30116451</v>
      </c>
      <c r="E157" s="124" t="n">
        <v>0</v>
      </c>
      <c r="F157" s="124" t="n">
        <v>0</v>
      </c>
      <c r="G157" s="124" t="n">
        <v>0</v>
      </c>
      <c r="I157" s="124" t="n">
        <f aca="false">IF(MONTH($A157)=MONTH($A156),IF(G157=0,I156,G157),G157)</f>
        <v>0</v>
      </c>
      <c r="J157" s="124" t="n">
        <f aca="false">IF(MONTH($A157)=MONTH($A156),SUM(I157-I156),I157)</f>
        <v>0</v>
      </c>
      <c r="K157" s="124" t="n">
        <f aca="false">IF(WEEKDAY(A157,3)&gt;4,0,(IF(A157&lt;K$2,0,IF(A157&lt;=K$3,1,0))))</f>
        <v>0</v>
      </c>
      <c r="L157" s="124" t="n">
        <f aca="false">J157*K157</f>
        <v>0</v>
      </c>
      <c r="M157" s="124" t="n">
        <f aca="false">SUM(J$97:J157)</f>
        <v>0</v>
      </c>
      <c r="N157" s="124" t="n">
        <f aca="false">SUM(J$6:J157)</f>
        <v>0</v>
      </c>
      <c r="P157" s="124" t="n">
        <f aca="false">D157/P$3</f>
        <v>1.88336330116451</v>
      </c>
      <c r="Q157" s="124" t="n">
        <f aca="false">E157/P$3</f>
        <v>0</v>
      </c>
      <c r="R157" s="124" t="n">
        <f aca="false">F157/R$3</f>
        <v>0</v>
      </c>
      <c r="S157" s="126" t="n">
        <f aca="false">J157/$R$3</f>
        <v>0</v>
      </c>
      <c r="T157" s="126" t="n">
        <f aca="false">L157/$R$3</f>
        <v>0</v>
      </c>
      <c r="U157" s="126" t="n">
        <f aca="false">I157/$R$3</f>
        <v>0</v>
      </c>
      <c r="V157" s="126" t="n">
        <f aca="false">M157/$R$3</f>
        <v>0</v>
      </c>
      <c r="W157" s="126" t="n">
        <f aca="false">N157/$R$3</f>
        <v>0</v>
      </c>
    </row>
    <row r="158" customFormat="false" ht="12.75" hidden="true" customHeight="false" outlineLevel="0" collapsed="false">
      <c r="A158" s="120" t="n">
        <f aca="false">A157+1</f>
        <v>37044</v>
      </c>
      <c r="B158" s="131" t="str">
        <f aca="false">INDEX('Master Data'!$A$2:$B$8,MATCH(WEEKDAY('Modesto Maranzana Power'!A158,3),'Master Data'!$A$2:$A$8,0),2)</f>
        <v>Sa</v>
      </c>
      <c r="D158" s="124" t="n">
        <v>0</v>
      </c>
      <c r="E158" s="124" t="n">
        <v>0</v>
      </c>
      <c r="F158" s="124" t="n">
        <v>0</v>
      </c>
      <c r="G158" s="124" t="n">
        <v>0</v>
      </c>
      <c r="I158" s="124" t="n">
        <f aca="false">IF(MONTH($A158)=MONTH($A157),IF(G158=0,I157,G158),G158)</f>
        <v>0</v>
      </c>
      <c r="J158" s="124" t="n">
        <f aca="false">IF(MONTH($A158)=MONTH($A157),SUM(I158-I157),I158)</f>
        <v>0</v>
      </c>
      <c r="K158" s="124" t="n">
        <f aca="false">IF(WEEKDAY(A158,3)&gt;4,0,(IF(A158&lt;K$2,0,IF(A158&lt;=K$3,1,0))))</f>
        <v>0</v>
      </c>
      <c r="L158" s="124" t="n">
        <f aca="false">J158*K158</f>
        <v>0</v>
      </c>
      <c r="M158" s="124" t="n">
        <f aca="false">SUM(J$97:J158)</f>
        <v>0</v>
      </c>
      <c r="N158" s="124" t="n">
        <f aca="false">SUM(J$6:J158)</f>
        <v>0</v>
      </c>
      <c r="P158" s="124" t="n">
        <f aca="false">D158/P$3</f>
        <v>0</v>
      </c>
      <c r="Q158" s="124" t="n">
        <f aca="false">E158/P$3</f>
        <v>0</v>
      </c>
      <c r="R158" s="124" t="n">
        <f aca="false">F158/R$3</f>
        <v>0</v>
      </c>
      <c r="S158" s="126" t="n">
        <f aca="false">J158/$R$3</f>
        <v>0</v>
      </c>
      <c r="T158" s="126" t="n">
        <f aca="false">L158/$R$3</f>
        <v>0</v>
      </c>
      <c r="U158" s="126" t="n">
        <f aca="false">I158/$R$3</f>
        <v>0</v>
      </c>
      <c r="V158" s="126" t="n">
        <f aca="false">M158/$R$3</f>
        <v>0</v>
      </c>
      <c r="W158" s="126" t="n">
        <f aca="false">N158/$R$3</f>
        <v>0</v>
      </c>
    </row>
    <row r="159" customFormat="false" ht="12.75" hidden="true" customHeight="false" outlineLevel="0" collapsed="false">
      <c r="A159" s="120" t="n">
        <f aca="false">A158+1</f>
        <v>37045</v>
      </c>
      <c r="B159" s="131" t="str">
        <f aca="false">INDEX('Master Data'!$A$2:$B$8,MATCH(WEEKDAY('Modesto Maranzana Power'!A159,3),'Master Data'!$A$2:$A$8,0),2)</f>
        <v>Su</v>
      </c>
      <c r="D159" s="124" t="n">
        <v>0</v>
      </c>
      <c r="E159" s="124" t="n">
        <v>0</v>
      </c>
      <c r="F159" s="124" t="n">
        <v>0</v>
      </c>
      <c r="G159" s="124" t="n">
        <v>0</v>
      </c>
      <c r="I159" s="124" t="n">
        <f aca="false">IF(MONTH($A159)=MONTH($A158),IF(G159=0,I158,G159),G159)</f>
        <v>0</v>
      </c>
      <c r="J159" s="124" t="n">
        <f aca="false">IF(MONTH($A159)=MONTH($A158),SUM(I159-I158),I159)</f>
        <v>0</v>
      </c>
      <c r="K159" s="124" t="n">
        <f aca="false">IF(WEEKDAY(A159,3)&gt;4,0,(IF(A159&lt;K$2,0,IF(A159&lt;=K$3,1,0))))</f>
        <v>0</v>
      </c>
      <c r="L159" s="124" t="n">
        <f aca="false">J159*K159</f>
        <v>0</v>
      </c>
      <c r="M159" s="124" t="n">
        <f aca="false">SUM(J$97:J159)</f>
        <v>0</v>
      </c>
      <c r="N159" s="124" t="n">
        <f aca="false">SUM(J$6:J159)</f>
        <v>0</v>
      </c>
      <c r="P159" s="124" t="n">
        <f aca="false">D159/P$3</f>
        <v>0</v>
      </c>
      <c r="Q159" s="124" t="n">
        <f aca="false">E159/P$3</f>
        <v>0</v>
      </c>
      <c r="R159" s="124" t="n">
        <f aca="false">F159/R$3</f>
        <v>0</v>
      </c>
      <c r="S159" s="126" t="n">
        <f aca="false">J159/$R$3</f>
        <v>0</v>
      </c>
      <c r="T159" s="126" t="n">
        <f aca="false">L159/$R$3</f>
        <v>0</v>
      </c>
      <c r="U159" s="126" t="n">
        <f aca="false">I159/$R$3</f>
        <v>0</v>
      </c>
      <c r="V159" s="126" t="n">
        <f aca="false">M159/$R$3</f>
        <v>0</v>
      </c>
      <c r="W159" s="126" t="n">
        <f aca="false">N159/$R$3</f>
        <v>0</v>
      </c>
    </row>
    <row r="160" customFormat="false" ht="12.75" hidden="true" customHeight="false" outlineLevel="0" collapsed="false">
      <c r="A160" s="120" t="n">
        <f aca="false">A159+1</f>
        <v>37046</v>
      </c>
      <c r="B160" s="131" t="str">
        <f aca="false">INDEX('Master Data'!$A$2:$B$8,MATCH(WEEKDAY('Modesto Maranzana Power'!A160,3),'Master Data'!$A$2:$A$8,0),2)</f>
        <v>M</v>
      </c>
      <c r="D160" s="124" t="n">
        <v>1879070.06239188</v>
      </c>
      <c r="E160" s="124" t="n">
        <v>0</v>
      </c>
      <c r="F160" s="124" t="n">
        <v>0</v>
      </c>
      <c r="G160" s="124" t="n">
        <v>0</v>
      </c>
      <c r="I160" s="124" t="n">
        <f aca="false">IF(MONTH($A160)=MONTH($A159),IF(G160=0,I159,G160),G160)</f>
        <v>0</v>
      </c>
      <c r="J160" s="124" t="n">
        <f aca="false">IF(MONTH($A160)=MONTH($A159),SUM(I160-I159),I160)</f>
        <v>0</v>
      </c>
      <c r="K160" s="124" t="n">
        <f aca="false">IF(WEEKDAY(A160,3)&gt;4,0,(IF(A160&lt;K$2,0,IF(A160&lt;=K$3,1,0))))</f>
        <v>0</v>
      </c>
      <c r="L160" s="124" t="n">
        <f aca="false">J160*K160</f>
        <v>0</v>
      </c>
      <c r="M160" s="124" t="n">
        <f aca="false">SUM(J$97:J160)</f>
        <v>0</v>
      </c>
      <c r="N160" s="124" t="n">
        <f aca="false">SUM(J$6:J160)</f>
        <v>0</v>
      </c>
      <c r="P160" s="124" t="n">
        <f aca="false">D160/P$3</f>
        <v>1.87907006239188</v>
      </c>
      <c r="Q160" s="124" t="n">
        <f aca="false">E160/P$3</f>
        <v>0</v>
      </c>
      <c r="R160" s="124" t="n">
        <f aca="false">F160/R$3</f>
        <v>0</v>
      </c>
      <c r="S160" s="126" t="n">
        <f aca="false">J160/$R$3</f>
        <v>0</v>
      </c>
      <c r="T160" s="126" t="n">
        <f aca="false">L160/$R$3</f>
        <v>0</v>
      </c>
      <c r="U160" s="126" t="n">
        <f aca="false">I160/$R$3</f>
        <v>0</v>
      </c>
      <c r="V160" s="126" t="n">
        <f aca="false">M160/$R$3</f>
        <v>0</v>
      </c>
      <c r="W160" s="126" t="n">
        <f aca="false">N160/$R$3</f>
        <v>0</v>
      </c>
    </row>
    <row r="161" customFormat="false" ht="12.75" hidden="true" customHeight="false" outlineLevel="0" collapsed="false">
      <c r="A161" s="120" t="n">
        <f aca="false">A160+1</f>
        <v>37047</v>
      </c>
      <c r="B161" s="131" t="str">
        <f aca="false">INDEX('Master Data'!$A$2:$B$8,MATCH(WEEKDAY('Modesto Maranzana Power'!A161,3),'Master Data'!$A$2:$A$8,0),2)</f>
        <v>T</v>
      </c>
      <c r="D161" s="124" t="n">
        <v>1879111.68233176</v>
      </c>
      <c r="E161" s="124" t="n">
        <v>0</v>
      </c>
      <c r="F161" s="124" t="n">
        <v>0</v>
      </c>
      <c r="G161" s="124" t="n">
        <v>0</v>
      </c>
      <c r="I161" s="124" t="n">
        <f aca="false">IF(MONTH($A161)=MONTH($A160),IF(G161=0,I160,G161),G161)</f>
        <v>0</v>
      </c>
      <c r="J161" s="124" t="n">
        <f aca="false">IF(MONTH($A161)=MONTH($A160),SUM(I161-I160),I161)</f>
        <v>0</v>
      </c>
      <c r="K161" s="124" t="n">
        <f aca="false">IF(WEEKDAY(A161,3)&gt;4,0,(IF(A161&lt;K$2,0,IF(A161&lt;=K$3,1,0))))</f>
        <v>0</v>
      </c>
      <c r="L161" s="124" t="n">
        <f aca="false">J161*K161</f>
        <v>0</v>
      </c>
      <c r="M161" s="124" t="n">
        <f aca="false">SUM(J$97:J161)</f>
        <v>0</v>
      </c>
      <c r="N161" s="124" t="n">
        <f aca="false">SUM(J$6:J161)</f>
        <v>0</v>
      </c>
      <c r="P161" s="124" t="n">
        <f aca="false">D161/P$3</f>
        <v>1.87911168233176</v>
      </c>
      <c r="Q161" s="124" t="n">
        <f aca="false">E161/P$3</f>
        <v>0</v>
      </c>
      <c r="R161" s="124" t="n">
        <f aca="false">F161/R$3</f>
        <v>0</v>
      </c>
      <c r="S161" s="126" t="n">
        <f aca="false">J161/$R$3</f>
        <v>0</v>
      </c>
      <c r="T161" s="126" t="n">
        <f aca="false">L161/$R$3</f>
        <v>0</v>
      </c>
      <c r="U161" s="126" t="n">
        <f aca="false">I161/$R$3</f>
        <v>0</v>
      </c>
      <c r="V161" s="126" t="n">
        <f aca="false">M161/$R$3</f>
        <v>0</v>
      </c>
      <c r="W161" s="126" t="n">
        <f aca="false">N161/$R$3</f>
        <v>0</v>
      </c>
    </row>
    <row r="162" customFormat="false" ht="12.75" hidden="true" customHeight="false" outlineLevel="0" collapsed="false">
      <c r="A162" s="120" t="n">
        <f aca="false">A161+1</f>
        <v>37048</v>
      </c>
      <c r="B162" s="131" t="str">
        <f aca="false">INDEX('Master Data'!$A$2:$B$8,MATCH(WEEKDAY('Modesto Maranzana Power'!A162,3),'Master Data'!$A$2:$A$8,0),2)</f>
        <v>W</v>
      </c>
      <c r="D162" s="124" t="n">
        <v>1881307.57678333</v>
      </c>
      <c r="E162" s="124" t="n">
        <v>0</v>
      </c>
      <c r="F162" s="124" t="n">
        <v>0</v>
      </c>
      <c r="G162" s="124" t="n">
        <v>0</v>
      </c>
      <c r="I162" s="124" t="n">
        <f aca="false">IF(MONTH($A162)=MONTH($A161),IF(G162=0,I161,G162),G162)</f>
        <v>0</v>
      </c>
      <c r="J162" s="124" t="n">
        <f aca="false">IF(MONTH($A162)=MONTH($A161),SUM(I162-I161),I162)</f>
        <v>0</v>
      </c>
      <c r="K162" s="124" t="n">
        <f aca="false">IF(WEEKDAY(A162,3)&gt;4,0,(IF(A162&lt;K$2,0,IF(A162&lt;=K$3,1,0))))</f>
        <v>0</v>
      </c>
      <c r="L162" s="124" t="n">
        <f aca="false">J162*K162</f>
        <v>0</v>
      </c>
      <c r="M162" s="124" t="n">
        <f aca="false">SUM(J$97:J162)</f>
        <v>0</v>
      </c>
      <c r="N162" s="124" t="n">
        <f aca="false">SUM(J$6:J162)</f>
        <v>0</v>
      </c>
      <c r="P162" s="124" t="n">
        <f aca="false">D162/P$3</f>
        <v>1.88130757678333</v>
      </c>
      <c r="Q162" s="124" t="n">
        <f aca="false">E162/P$3</f>
        <v>0</v>
      </c>
      <c r="R162" s="124" t="n">
        <f aca="false">F162/R$3</f>
        <v>0</v>
      </c>
      <c r="S162" s="126" t="n">
        <f aca="false">J162/$R$3</f>
        <v>0</v>
      </c>
      <c r="T162" s="126" t="n">
        <f aca="false">L162/$R$3</f>
        <v>0</v>
      </c>
      <c r="U162" s="126" t="n">
        <f aca="false">I162/$R$3</f>
        <v>0</v>
      </c>
      <c r="V162" s="126" t="n">
        <f aca="false">M162/$R$3</f>
        <v>0</v>
      </c>
      <c r="W162" s="126" t="n">
        <f aca="false">N162/$R$3</f>
        <v>0</v>
      </c>
    </row>
    <row r="163" customFormat="false" ht="12.75" hidden="true" customHeight="false" outlineLevel="0" collapsed="false">
      <c r="A163" s="120" t="n">
        <f aca="false">A162+1</f>
        <v>37049</v>
      </c>
      <c r="B163" s="131" t="str">
        <f aca="false">INDEX('Master Data'!$A$2:$B$8,MATCH(WEEKDAY('Modesto Maranzana Power'!A163,3),'Master Data'!$A$2:$A$8,0),2)</f>
        <v>Th</v>
      </c>
      <c r="D163" s="124" t="n">
        <v>1881447.66821673</v>
      </c>
      <c r="E163" s="124" t="n">
        <v>0</v>
      </c>
      <c r="F163" s="124" t="n">
        <v>0</v>
      </c>
      <c r="G163" s="124" t="n">
        <v>0</v>
      </c>
      <c r="I163" s="124" t="n">
        <f aca="false">IF(MONTH($A163)=MONTH($A162),IF(G163=0,I162,G163),G163)</f>
        <v>0</v>
      </c>
      <c r="J163" s="124" t="n">
        <f aca="false">IF(MONTH($A163)=MONTH($A162),SUM(I163-I162),I163)</f>
        <v>0</v>
      </c>
      <c r="K163" s="124" t="n">
        <f aca="false">IF(WEEKDAY(A163,3)&gt;4,0,(IF(A163&lt;K$2,0,IF(A163&lt;=K$3,1,0))))</f>
        <v>0</v>
      </c>
      <c r="L163" s="124" t="n">
        <f aca="false">J163*K163</f>
        <v>0</v>
      </c>
      <c r="M163" s="124" t="n">
        <f aca="false">SUM(J$97:J163)</f>
        <v>0</v>
      </c>
      <c r="N163" s="124" t="n">
        <f aca="false">SUM(J$6:J163)</f>
        <v>0</v>
      </c>
      <c r="P163" s="124" t="n">
        <f aca="false">D163/P$3</f>
        <v>1.88144766821673</v>
      </c>
      <c r="Q163" s="124" t="n">
        <f aca="false">E163/P$3</f>
        <v>0</v>
      </c>
      <c r="R163" s="124" t="n">
        <f aca="false">F163/R$3</f>
        <v>0</v>
      </c>
      <c r="S163" s="126" t="n">
        <f aca="false">J163/$R$3</f>
        <v>0</v>
      </c>
      <c r="T163" s="126" t="n">
        <f aca="false">L163/$R$3</f>
        <v>0</v>
      </c>
      <c r="U163" s="126" t="n">
        <f aca="false">I163/$R$3</f>
        <v>0</v>
      </c>
      <c r="V163" s="126" t="n">
        <f aca="false">M163/$R$3</f>
        <v>0</v>
      </c>
      <c r="W163" s="126" t="n">
        <f aca="false">N163/$R$3</f>
        <v>0</v>
      </c>
    </row>
    <row r="164" customFormat="false" ht="12.75" hidden="true" customHeight="false" outlineLevel="0" collapsed="false">
      <c r="A164" s="120" t="n">
        <f aca="false">A163+1</f>
        <v>37050</v>
      </c>
      <c r="B164" s="131" t="str">
        <f aca="false">INDEX('Master Data'!$A$2:$B$8,MATCH(WEEKDAY('Modesto Maranzana Power'!A164,3),'Master Data'!$A$2:$A$8,0),2)</f>
        <v>F</v>
      </c>
      <c r="D164" s="124" t="n">
        <v>1880848.49996287</v>
      </c>
      <c r="E164" s="124" t="n">
        <v>0</v>
      </c>
      <c r="F164" s="124" t="n">
        <v>0</v>
      </c>
      <c r="G164" s="124" t="n">
        <v>0</v>
      </c>
      <c r="I164" s="124" t="n">
        <f aca="false">IF(MONTH($A164)=MONTH($A163),IF(G164=0,I163,G164),G164)</f>
        <v>0</v>
      </c>
      <c r="J164" s="124" t="n">
        <f aca="false">IF(MONTH($A164)=MONTH($A163),SUM(I164-I163),I164)</f>
        <v>0</v>
      </c>
      <c r="K164" s="124" t="n">
        <f aca="false">IF(WEEKDAY(A164,3)&gt;4,0,(IF(A164&lt;K$2,0,IF(A164&lt;=K$3,1,0))))</f>
        <v>0</v>
      </c>
      <c r="L164" s="124" t="n">
        <f aca="false">J164*K164</f>
        <v>0</v>
      </c>
      <c r="M164" s="124" t="n">
        <f aca="false">SUM(J$97:J164)</f>
        <v>0</v>
      </c>
      <c r="N164" s="124" t="n">
        <f aca="false">SUM(J$6:J164)</f>
        <v>0</v>
      </c>
      <c r="P164" s="124" t="n">
        <f aca="false">D164/P$3</f>
        <v>1.88084849996287</v>
      </c>
      <c r="Q164" s="124" t="n">
        <f aca="false">E164/P$3</f>
        <v>0</v>
      </c>
      <c r="R164" s="124" t="n">
        <f aca="false">F164/R$3</f>
        <v>0</v>
      </c>
      <c r="S164" s="126" t="n">
        <f aca="false">J164/$R$3</f>
        <v>0</v>
      </c>
      <c r="T164" s="126" t="n">
        <f aca="false">L164/$R$3</f>
        <v>0</v>
      </c>
      <c r="U164" s="126" t="n">
        <f aca="false">I164/$R$3</f>
        <v>0</v>
      </c>
      <c r="V164" s="126" t="n">
        <f aca="false">M164/$R$3</f>
        <v>0</v>
      </c>
      <c r="W164" s="126" t="n">
        <f aca="false">N164/$R$3</f>
        <v>0</v>
      </c>
    </row>
    <row r="165" customFormat="false" ht="12.75" hidden="true" customHeight="false" outlineLevel="0" collapsed="false">
      <c r="A165" s="120" t="n">
        <f aca="false">A164+1</f>
        <v>37051</v>
      </c>
      <c r="B165" s="131" t="str">
        <f aca="false">INDEX('Master Data'!$A$2:$B$8,MATCH(WEEKDAY('Modesto Maranzana Power'!A165,3),'Master Data'!$A$2:$A$8,0),2)</f>
        <v>Sa</v>
      </c>
      <c r="D165" s="124" t="n">
        <v>0</v>
      </c>
      <c r="E165" s="124" t="n">
        <v>0</v>
      </c>
      <c r="F165" s="124" t="n">
        <v>0</v>
      </c>
      <c r="G165" s="124" t="n">
        <v>0</v>
      </c>
      <c r="I165" s="124" t="n">
        <f aca="false">IF(MONTH($A165)=MONTH($A164),IF(G165=0,I164,G165),G165)</f>
        <v>0</v>
      </c>
      <c r="J165" s="124" t="n">
        <f aca="false">IF(MONTH($A165)=MONTH($A164),SUM(I165-I164),I165)</f>
        <v>0</v>
      </c>
      <c r="K165" s="124" t="n">
        <f aca="false">IF(WEEKDAY(A165,3)&gt;4,0,(IF(A165&lt;K$2,0,IF(A165&lt;=K$3,1,0))))</f>
        <v>0</v>
      </c>
      <c r="L165" s="124" t="n">
        <f aca="false">J165*K165</f>
        <v>0</v>
      </c>
      <c r="M165" s="124" t="n">
        <f aca="false">SUM(J$97:J165)</f>
        <v>0</v>
      </c>
      <c r="N165" s="124" t="n">
        <f aca="false">SUM(J$6:J165)</f>
        <v>0</v>
      </c>
      <c r="P165" s="124" t="n">
        <f aca="false">D165/P$3</f>
        <v>0</v>
      </c>
      <c r="Q165" s="124" t="n">
        <f aca="false">E165/P$3</f>
        <v>0</v>
      </c>
      <c r="R165" s="124" t="n">
        <f aca="false">F165/R$3</f>
        <v>0</v>
      </c>
      <c r="S165" s="126" t="n">
        <f aca="false">J165/$R$3</f>
        <v>0</v>
      </c>
      <c r="T165" s="126" t="n">
        <f aca="false">L165/$R$3</f>
        <v>0</v>
      </c>
      <c r="U165" s="126" t="n">
        <f aca="false">I165/$R$3</f>
        <v>0</v>
      </c>
      <c r="V165" s="126" t="n">
        <f aca="false">M165/$R$3</f>
        <v>0</v>
      </c>
      <c r="W165" s="126" t="n">
        <f aca="false">N165/$R$3</f>
        <v>0</v>
      </c>
    </row>
    <row r="166" customFormat="false" ht="12.75" hidden="true" customHeight="false" outlineLevel="0" collapsed="false">
      <c r="A166" s="120" t="n">
        <f aca="false">A165+1</f>
        <v>37052</v>
      </c>
      <c r="B166" s="131" t="str">
        <f aca="false">INDEX('Master Data'!$A$2:$B$8,MATCH(WEEKDAY('Modesto Maranzana Power'!A166,3),'Master Data'!$A$2:$A$8,0),2)</f>
        <v>Su</v>
      </c>
      <c r="D166" s="124" t="n">
        <v>0</v>
      </c>
      <c r="E166" s="124" t="n">
        <v>0</v>
      </c>
      <c r="F166" s="124" t="n">
        <v>0</v>
      </c>
      <c r="G166" s="124" t="n">
        <v>0</v>
      </c>
      <c r="I166" s="124" t="n">
        <f aca="false">IF(MONTH($A166)=MONTH($A165),IF(G166=0,I165,G166),G166)</f>
        <v>0</v>
      </c>
      <c r="J166" s="124" t="n">
        <f aca="false">IF(MONTH($A166)=MONTH($A165),SUM(I166-I165),I166)</f>
        <v>0</v>
      </c>
      <c r="K166" s="124" t="n">
        <f aca="false">IF(WEEKDAY(A166,3)&gt;4,0,(IF(A166&lt;K$2,0,IF(A166&lt;=K$3,1,0))))</f>
        <v>0</v>
      </c>
      <c r="L166" s="124" t="n">
        <f aca="false">J166*K166</f>
        <v>0</v>
      </c>
      <c r="M166" s="124" t="n">
        <f aca="false">SUM(J$97:J166)</f>
        <v>0</v>
      </c>
      <c r="N166" s="124" t="n">
        <f aca="false">SUM(J$6:J166)</f>
        <v>0</v>
      </c>
      <c r="P166" s="124" t="n">
        <f aca="false">D166/P$3</f>
        <v>0</v>
      </c>
      <c r="Q166" s="124" t="n">
        <f aca="false">E166/P$3</f>
        <v>0</v>
      </c>
      <c r="R166" s="124" t="n">
        <f aca="false">F166/R$3</f>
        <v>0</v>
      </c>
      <c r="S166" s="126" t="n">
        <f aca="false">J166/$R$3</f>
        <v>0</v>
      </c>
      <c r="T166" s="126" t="n">
        <f aca="false">L166/$R$3</f>
        <v>0</v>
      </c>
      <c r="U166" s="126" t="n">
        <f aca="false">I166/$R$3</f>
        <v>0</v>
      </c>
      <c r="V166" s="126" t="n">
        <f aca="false">M166/$R$3</f>
        <v>0</v>
      </c>
      <c r="W166" s="126" t="n">
        <f aca="false">N166/$R$3</f>
        <v>0</v>
      </c>
    </row>
    <row r="167" customFormat="false" ht="12.75" hidden="true" customHeight="false" outlineLevel="0" collapsed="false">
      <c r="A167" s="120" t="n">
        <f aca="false">A166+1</f>
        <v>37053</v>
      </c>
      <c r="B167" s="131" t="str">
        <f aca="false">INDEX('Master Data'!$A$2:$B$8,MATCH(WEEKDAY('Modesto Maranzana Power'!A167,3),'Master Data'!$A$2:$A$8,0),2)</f>
        <v>M</v>
      </c>
      <c r="D167" s="124" t="n">
        <v>1876221.54248931</v>
      </c>
      <c r="E167" s="124" t="n">
        <v>0</v>
      </c>
      <c r="F167" s="124" t="n">
        <v>0</v>
      </c>
      <c r="G167" s="124" t="n">
        <v>0</v>
      </c>
      <c r="I167" s="124" t="n">
        <f aca="false">IF(MONTH($A167)=MONTH($A166),IF(G167=0,I166,G167),G167)</f>
        <v>0</v>
      </c>
      <c r="J167" s="124" t="n">
        <f aca="false">IF(MONTH($A167)=MONTH($A166),SUM(I167-I166),I167)</f>
        <v>0</v>
      </c>
      <c r="K167" s="124" t="n">
        <f aca="false">IF(WEEKDAY(A167,3)&gt;4,0,(IF(A167&lt;K$2,0,IF(A167&lt;=K$3,1,0))))</f>
        <v>0</v>
      </c>
      <c r="L167" s="124" t="n">
        <f aca="false">J167*K167</f>
        <v>0</v>
      </c>
      <c r="M167" s="124" t="n">
        <f aca="false">SUM(J$97:J167)</f>
        <v>0</v>
      </c>
      <c r="N167" s="124" t="n">
        <f aca="false">SUM(J$6:J167)</f>
        <v>0</v>
      </c>
      <c r="P167" s="124" t="n">
        <f aca="false">D167/P$3</f>
        <v>1.87622154248931</v>
      </c>
      <c r="Q167" s="124" t="n">
        <f aca="false">E167/P$3</f>
        <v>0</v>
      </c>
      <c r="R167" s="124" t="n">
        <f aca="false">F167/R$3</f>
        <v>0</v>
      </c>
      <c r="S167" s="126" t="n">
        <f aca="false">J167/$R$3</f>
        <v>0</v>
      </c>
      <c r="T167" s="126" t="n">
        <f aca="false">L167/$R$3</f>
        <v>0</v>
      </c>
      <c r="U167" s="126" t="n">
        <f aca="false">I167/$R$3</f>
        <v>0</v>
      </c>
      <c r="V167" s="126" t="n">
        <f aca="false">M167/$R$3</f>
        <v>0</v>
      </c>
      <c r="W167" s="126" t="n">
        <f aca="false">N167/$R$3</f>
        <v>0</v>
      </c>
    </row>
    <row r="168" customFormat="false" ht="12.75" hidden="true" customHeight="false" outlineLevel="0" collapsed="false">
      <c r="A168" s="120" t="n">
        <f aca="false">A167+1</f>
        <v>37054</v>
      </c>
      <c r="B168" s="131" t="str">
        <f aca="false">INDEX('Master Data'!$A$2:$B$8,MATCH(WEEKDAY('Modesto Maranzana Power'!A168,3),'Master Data'!$A$2:$A$8,0),2)</f>
        <v>T</v>
      </c>
      <c r="D168" s="124" t="n">
        <v>1879607.31747572</v>
      </c>
      <c r="E168" s="124" t="n">
        <v>0</v>
      </c>
      <c r="F168" s="124" t="n">
        <v>0</v>
      </c>
      <c r="G168" s="124" t="n">
        <v>0</v>
      </c>
      <c r="I168" s="124" t="n">
        <f aca="false">IF(MONTH($A168)=MONTH($A167),IF(G168=0,I167,G168),G168)</f>
        <v>0</v>
      </c>
      <c r="J168" s="124" t="n">
        <f aca="false">IF(MONTH($A168)=MONTH($A167),SUM(I168-I167),I168)</f>
        <v>0</v>
      </c>
      <c r="K168" s="124" t="n">
        <f aca="false">IF(WEEKDAY(A168,3)&gt;4,0,(IF(A168&lt;K$2,0,IF(A168&lt;=K$3,1,0))))</f>
        <v>0</v>
      </c>
      <c r="L168" s="124" t="n">
        <f aca="false">J168*K168</f>
        <v>0</v>
      </c>
      <c r="M168" s="124" t="n">
        <f aca="false">SUM(J$97:J168)</f>
        <v>0</v>
      </c>
      <c r="N168" s="124" t="n">
        <f aca="false">SUM(J$6:J168)</f>
        <v>0</v>
      </c>
      <c r="P168" s="124" t="n">
        <f aca="false">D168/P$3</f>
        <v>1.87960731747572</v>
      </c>
      <c r="Q168" s="124" t="n">
        <f aca="false">E168/P$3</f>
        <v>0</v>
      </c>
      <c r="R168" s="124" t="n">
        <f aca="false">F168/R$3</f>
        <v>0</v>
      </c>
      <c r="S168" s="126" t="n">
        <f aca="false">J168/$R$3</f>
        <v>0</v>
      </c>
      <c r="T168" s="126" t="n">
        <f aca="false">L168/$R$3</f>
        <v>0</v>
      </c>
      <c r="U168" s="126" t="n">
        <f aca="false">I168/$R$3</f>
        <v>0</v>
      </c>
      <c r="V168" s="126" t="n">
        <f aca="false">M168/$R$3</f>
        <v>0</v>
      </c>
      <c r="W168" s="126" t="n">
        <f aca="false">N168/$R$3</f>
        <v>0</v>
      </c>
    </row>
    <row r="169" customFormat="false" ht="12.75" hidden="true" customHeight="false" outlineLevel="0" collapsed="false">
      <c r="A169" s="120" t="n">
        <f aca="false">A168+1</f>
        <v>37055</v>
      </c>
      <c r="B169" s="131" t="str">
        <f aca="false">INDEX('Master Data'!$A$2:$B$8,MATCH(WEEKDAY('Modesto Maranzana Power'!A169,3),'Master Data'!$A$2:$A$8,0),2)</f>
        <v>W</v>
      </c>
      <c r="D169" s="124" t="n">
        <v>1881417.3378414</v>
      </c>
      <c r="E169" s="124" t="n">
        <v>0</v>
      </c>
      <c r="F169" s="124" t="n">
        <v>0</v>
      </c>
      <c r="G169" s="124" t="n">
        <v>0</v>
      </c>
      <c r="I169" s="124" t="n">
        <f aca="false">IF(MONTH($A169)=MONTH($A168),IF(G169=0,I168,G169),G169)</f>
        <v>0</v>
      </c>
      <c r="J169" s="124" t="n">
        <f aca="false">IF(MONTH($A169)=MONTH($A168),SUM(I169-I168),I169)</f>
        <v>0</v>
      </c>
      <c r="K169" s="124" t="n">
        <f aca="false">IF(WEEKDAY(A169,3)&gt;4,0,(IF(A169&lt;K$2,0,IF(A169&lt;=K$3,1,0))))</f>
        <v>0</v>
      </c>
      <c r="L169" s="124" t="n">
        <f aca="false">J169*K169</f>
        <v>0</v>
      </c>
      <c r="M169" s="124" t="n">
        <f aca="false">SUM(J$97:J169)</f>
        <v>0</v>
      </c>
      <c r="N169" s="124" t="n">
        <f aca="false">SUM(J$6:J169)</f>
        <v>0</v>
      </c>
      <c r="P169" s="124" t="n">
        <f aca="false">D169/P$3</f>
        <v>1.8814173378414</v>
      </c>
      <c r="Q169" s="124" t="n">
        <f aca="false">E169/P$3</f>
        <v>0</v>
      </c>
      <c r="R169" s="124" t="n">
        <f aca="false">F169/R$3</f>
        <v>0</v>
      </c>
      <c r="S169" s="126" t="n">
        <f aca="false">J169/$R$3</f>
        <v>0</v>
      </c>
      <c r="T169" s="126" t="n">
        <f aca="false">L169/$R$3</f>
        <v>0</v>
      </c>
      <c r="U169" s="126" t="n">
        <f aca="false">I169/$R$3</f>
        <v>0</v>
      </c>
      <c r="V169" s="126" t="n">
        <f aca="false">M169/$R$3</f>
        <v>0</v>
      </c>
      <c r="W169" s="126" t="n">
        <f aca="false">N169/$R$3</f>
        <v>0</v>
      </c>
    </row>
    <row r="170" customFormat="false" ht="12.75" hidden="true" customHeight="false" outlineLevel="0" collapsed="false">
      <c r="A170" s="120" t="n">
        <f aca="false">A169+1</f>
        <v>37056</v>
      </c>
      <c r="B170" s="131" t="str">
        <f aca="false">INDEX('Master Data'!$A$2:$B$8,MATCH(WEEKDAY('Modesto Maranzana Power'!A170,3),'Master Data'!$A$2:$A$8,0),2)</f>
        <v>Th</v>
      </c>
      <c r="D170" s="124" t="n">
        <v>1881722.54099825</v>
      </c>
      <c r="E170" s="124" t="n">
        <v>0</v>
      </c>
      <c r="F170" s="124" t="n">
        <v>0</v>
      </c>
      <c r="G170" s="124" t="n">
        <v>0</v>
      </c>
      <c r="I170" s="124" t="n">
        <f aca="false">IF(MONTH($A170)=MONTH($A169),IF(G170=0,I169,G170),G170)</f>
        <v>0</v>
      </c>
      <c r="J170" s="124" t="n">
        <f aca="false">IF(MONTH($A170)=MONTH($A169),SUM(I170-I169),I170)</f>
        <v>0</v>
      </c>
      <c r="K170" s="124" t="n">
        <f aca="false">IF(WEEKDAY(A170,3)&gt;4,0,(IF(A170&lt;K$2,0,IF(A170&lt;=K$3,1,0))))</f>
        <v>0</v>
      </c>
      <c r="L170" s="124" t="n">
        <f aca="false">J170*K170</f>
        <v>0</v>
      </c>
      <c r="M170" s="124" t="n">
        <f aca="false">SUM(J$97:J170)</f>
        <v>0</v>
      </c>
      <c r="N170" s="124" t="n">
        <f aca="false">SUM(J$6:J170)</f>
        <v>0</v>
      </c>
      <c r="P170" s="124" t="n">
        <f aca="false">D170/P$3</f>
        <v>1.88172254099825</v>
      </c>
      <c r="Q170" s="124" t="n">
        <f aca="false">E170/P$3</f>
        <v>0</v>
      </c>
      <c r="R170" s="124" t="n">
        <f aca="false">F170/R$3</f>
        <v>0</v>
      </c>
      <c r="S170" s="126" t="n">
        <f aca="false">J170/$R$3</f>
        <v>0</v>
      </c>
      <c r="T170" s="126" t="n">
        <f aca="false">L170/$R$3</f>
        <v>0</v>
      </c>
      <c r="U170" s="126" t="n">
        <f aca="false">I170/$R$3</f>
        <v>0</v>
      </c>
      <c r="V170" s="126" t="n">
        <f aca="false">M170/$R$3</f>
        <v>0</v>
      </c>
      <c r="W170" s="126" t="n">
        <f aca="false">N170/$R$3</f>
        <v>0</v>
      </c>
    </row>
    <row r="171" customFormat="false" ht="12.75" hidden="true" customHeight="false" outlineLevel="0" collapsed="false">
      <c r="A171" s="120" t="n">
        <f aca="false">A170+1</f>
        <v>37057</v>
      </c>
      <c r="B171" s="131" t="str">
        <f aca="false">INDEX('Master Data'!$A$2:$B$8,MATCH(WEEKDAY('Modesto Maranzana Power'!A171,3),'Master Data'!$A$2:$A$8,0),2)</f>
        <v>F</v>
      </c>
      <c r="D171" s="124" t="n">
        <v>1883146.79349963</v>
      </c>
      <c r="E171" s="124" t="n">
        <v>0</v>
      </c>
      <c r="F171" s="124" t="n">
        <v>0</v>
      </c>
      <c r="G171" s="124" t="n">
        <v>0</v>
      </c>
      <c r="I171" s="124" t="n">
        <f aca="false">IF(MONTH($A171)=MONTH($A170),IF(G171=0,I170,G171),G171)</f>
        <v>0</v>
      </c>
      <c r="J171" s="124" t="n">
        <f aca="false">IF(MONTH($A171)=MONTH($A170),SUM(I171-I170),I171)</f>
        <v>0</v>
      </c>
      <c r="K171" s="124" t="n">
        <f aca="false">IF(WEEKDAY(A171,3)&gt;4,0,(IF(A171&lt;K$2,0,IF(A171&lt;=K$3,1,0))))</f>
        <v>0</v>
      </c>
      <c r="L171" s="124" t="n">
        <f aca="false">J171*K171</f>
        <v>0</v>
      </c>
      <c r="M171" s="124" t="n">
        <f aca="false">SUM(J$97:J171)</f>
        <v>0</v>
      </c>
      <c r="N171" s="124" t="n">
        <f aca="false">SUM(J$6:J171)</f>
        <v>0</v>
      </c>
      <c r="P171" s="124" t="n">
        <f aca="false">D171/P$3</f>
        <v>1.88314679349963</v>
      </c>
      <c r="Q171" s="124" t="n">
        <f aca="false">E171/P$3</f>
        <v>0</v>
      </c>
      <c r="R171" s="124" t="n">
        <f aca="false">F171/R$3</f>
        <v>0</v>
      </c>
      <c r="S171" s="126" t="n">
        <f aca="false">J171/$R$3</f>
        <v>0</v>
      </c>
      <c r="T171" s="126" t="n">
        <f aca="false">L171/$R$3</f>
        <v>0</v>
      </c>
      <c r="U171" s="126" t="n">
        <f aca="false">I171/$R$3</f>
        <v>0</v>
      </c>
      <c r="V171" s="126" t="n">
        <f aca="false">M171/$R$3</f>
        <v>0</v>
      </c>
      <c r="W171" s="126" t="n">
        <f aca="false">N171/$R$3</f>
        <v>0</v>
      </c>
    </row>
    <row r="172" customFormat="false" ht="12.75" hidden="true" customHeight="false" outlineLevel="0" collapsed="false">
      <c r="A172" s="120" t="n">
        <f aca="false">A171+1</f>
        <v>37058</v>
      </c>
      <c r="B172" s="131" t="str">
        <f aca="false">INDEX('Master Data'!$A$2:$B$8,MATCH(WEEKDAY('Modesto Maranzana Power'!A172,3),'Master Data'!$A$2:$A$8,0),2)</f>
        <v>Sa</v>
      </c>
      <c r="D172" s="124" t="n">
        <v>0</v>
      </c>
      <c r="E172" s="124" t="n">
        <v>0</v>
      </c>
      <c r="F172" s="124" t="n">
        <v>0</v>
      </c>
      <c r="G172" s="124" t="n">
        <v>0</v>
      </c>
      <c r="I172" s="124" t="n">
        <f aca="false">IF(MONTH($A172)=MONTH($A171),IF(G172=0,I171,G172),G172)</f>
        <v>0</v>
      </c>
      <c r="J172" s="124" t="n">
        <f aca="false">IF(MONTH($A172)=MONTH($A171),SUM(I172-I171),I172)</f>
        <v>0</v>
      </c>
      <c r="K172" s="124" t="n">
        <f aca="false">IF(WEEKDAY(A172,3)&gt;4,0,(IF(A172&lt;K$2,0,IF(A172&lt;=K$3,1,0))))</f>
        <v>0</v>
      </c>
      <c r="L172" s="124" t="n">
        <f aca="false">J172*K172</f>
        <v>0</v>
      </c>
      <c r="M172" s="124" t="n">
        <f aca="false">SUM(J$97:J172)</f>
        <v>0</v>
      </c>
      <c r="N172" s="124" t="n">
        <f aca="false">SUM(J$6:J172)</f>
        <v>0</v>
      </c>
      <c r="P172" s="124" t="n">
        <f aca="false">D172/P$3</f>
        <v>0</v>
      </c>
      <c r="Q172" s="124" t="n">
        <f aca="false">E172/P$3</f>
        <v>0</v>
      </c>
      <c r="R172" s="124" t="n">
        <f aca="false">F172/R$3</f>
        <v>0</v>
      </c>
      <c r="S172" s="126" t="n">
        <f aca="false">J172/$R$3</f>
        <v>0</v>
      </c>
      <c r="T172" s="126" t="n">
        <f aca="false">L172/$R$3</f>
        <v>0</v>
      </c>
      <c r="U172" s="126" t="n">
        <f aca="false">I172/$R$3</f>
        <v>0</v>
      </c>
      <c r="V172" s="126" t="n">
        <f aca="false">M172/$R$3</f>
        <v>0</v>
      </c>
      <c r="W172" s="126" t="n">
        <f aca="false">N172/$R$3</f>
        <v>0</v>
      </c>
    </row>
    <row r="173" customFormat="false" ht="12.75" hidden="true" customHeight="false" outlineLevel="0" collapsed="false">
      <c r="A173" s="120" t="n">
        <f aca="false">A172+1</f>
        <v>37059</v>
      </c>
      <c r="B173" s="131" t="str">
        <f aca="false">INDEX('Master Data'!$A$2:$B$8,MATCH(WEEKDAY('Modesto Maranzana Power'!A173,3),'Master Data'!$A$2:$A$8,0),2)</f>
        <v>Su</v>
      </c>
      <c r="D173" s="124" t="n">
        <v>0</v>
      </c>
      <c r="E173" s="124" t="n">
        <v>0</v>
      </c>
      <c r="F173" s="124" t="n">
        <v>0</v>
      </c>
      <c r="G173" s="124" t="n">
        <v>0</v>
      </c>
      <c r="I173" s="124" t="n">
        <f aca="false">IF(MONTH($A173)=MONTH($A172),IF(G173=0,I172,G173),G173)</f>
        <v>0</v>
      </c>
      <c r="J173" s="124" t="n">
        <f aca="false">IF(MONTH($A173)=MONTH($A172),SUM(I173-I172),I173)</f>
        <v>0</v>
      </c>
      <c r="K173" s="124" t="n">
        <f aca="false">IF(WEEKDAY(A173,3)&gt;4,0,(IF(A173&lt;K$2,0,IF(A173&lt;=K$3,1,0))))</f>
        <v>0</v>
      </c>
      <c r="L173" s="124" t="n">
        <f aca="false">J173*K173</f>
        <v>0</v>
      </c>
      <c r="M173" s="124" t="n">
        <f aca="false">SUM(J$97:J173)</f>
        <v>0</v>
      </c>
      <c r="N173" s="124" t="n">
        <f aca="false">SUM(J$6:J173)</f>
        <v>0</v>
      </c>
      <c r="P173" s="124" t="n">
        <f aca="false">D173/P$3</f>
        <v>0</v>
      </c>
      <c r="Q173" s="124" t="n">
        <f aca="false">E173/P$3</f>
        <v>0</v>
      </c>
      <c r="R173" s="124" t="n">
        <f aca="false">F173/R$3</f>
        <v>0</v>
      </c>
      <c r="S173" s="126" t="n">
        <f aca="false">J173/$R$3</f>
        <v>0</v>
      </c>
      <c r="T173" s="126" t="n">
        <f aca="false">L173/$R$3</f>
        <v>0</v>
      </c>
      <c r="U173" s="126" t="n">
        <f aca="false">I173/$R$3</f>
        <v>0</v>
      </c>
      <c r="V173" s="126" t="n">
        <f aca="false">M173/$R$3</f>
        <v>0</v>
      </c>
      <c r="W173" s="126" t="n">
        <f aca="false">N173/$R$3</f>
        <v>0</v>
      </c>
    </row>
    <row r="174" customFormat="false" ht="12.75" hidden="true" customHeight="false" outlineLevel="0" collapsed="false">
      <c r="A174" s="120" t="n">
        <f aca="false">A173+1</f>
        <v>37060</v>
      </c>
      <c r="B174" s="131" t="str">
        <f aca="false">INDEX('Master Data'!$A$2:$B$8,MATCH(WEEKDAY('Modesto Maranzana Power'!A174,3),'Master Data'!$A$2:$A$8,0),2)</f>
        <v>M</v>
      </c>
      <c r="D174" s="124" t="n">
        <v>1882794.42253444</v>
      </c>
      <c r="E174" s="124" t="n">
        <v>0</v>
      </c>
      <c r="F174" s="124" t="n">
        <v>0</v>
      </c>
      <c r="G174" s="124" t="n">
        <v>0</v>
      </c>
      <c r="I174" s="124" t="n">
        <f aca="false">IF(MONTH($A174)=MONTH($A173),IF(G174=0,I173,G174),G174)</f>
        <v>0</v>
      </c>
      <c r="J174" s="124" t="n">
        <f aca="false">IF(MONTH($A174)=MONTH($A173),SUM(I174-I173),I174)</f>
        <v>0</v>
      </c>
      <c r="K174" s="124" t="n">
        <f aca="false">IF(WEEKDAY(A174,3)&gt;4,0,(IF(A174&lt;K$2,0,IF(A174&lt;=K$3,1,0))))</f>
        <v>0</v>
      </c>
      <c r="L174" s="124" t="n">
        <f aca="false">J174*K174</f>
        <v>0</v>
      </c>
      <c r="M174" s="124" t="n">
        <f aca="false">SUM(J$97:J174)</f>
        <v>0</v>
      </c>
      <c r="N174" s="124" t="n">
        <f aca="false">SUM(J$6:J174)</f>
        <v>0</v>
      </c>
      <c r="P174" s="124" t="n">
        <f aca="false">D174/P$3</f>
        <v>1.88279442253444</v>
      </c>
      <c r="Q174" s="124" t="n">
        <f aca="false">E174/P$3</f>
        <v>0</v>
      </c>
      <c r="R174" s="124" t="n">
        <f aca="false">F174/R$3</f>
        <v>0</v>
      </c>
      <c r="S174" s="126" t="n">
        <f aca="false">J174/$R$3</f>
        <v>0</v>
      </c>
      <c r="T174" s="126" t="n">
        <f aca="false">L174/$R$3</f>
        <v>0</v>
      </c>
      <c r="U174" s="126" t="n">
        <f aca="false">I174/$R$3</f>
        <v>0</v>
      </c>
      <c r="V174" s="126" t="n">
        <f aca="false">M174/$R$3</f>
        <v>0</v>
      </c>
      <c r="W174" s="126" t="n">
        <f aca="false">N174/$R$3</f>
        <v>0</v>
      </c>
    </row>
    <row r="175" customFormat="false" ht="12.75" hidden="true" customHeight="false" outlineLevel="0" collapsed="false">
      <c r="A175" s="120" t="n">
        <f aca="false">A174+1</f>
        <v>37061</v>
      </c>
      <c r="B175" s="131" t="str">
        <f aca="false">INDEX('Master Data'!$A$2:$B$8,MATCH(WEEKDAY('Modesto Maranzana Power'!A175,3),'Master Data'!$A$2:$A$8,0),2)</f>
        <v>T</v>
      </c>
      <c r="D175" s="124" t="n">
        <v>1883954.56877536</v>
      </c>
      <c r="E175" s="124" t="n">
        <v>0</v>
      </c>
      <c r="F175" s="124" t="n">
        <v>0</v>
      </c>
      <c r="G175" s="124" t="n">
        <v>0</v>
      </c>
      <c r="I175" s="124" t="n">
        <f aca="false">IF(MONTH($A175)=MONTH($A174),IF(G175=0,I174,G175),G175)</f>
        <v>0</v>
      </c>
      <c r="J175" s="124" t="n">
        <f aca="false">IF(MONTH($A175)=MONTH($A174),SUM(I175-I174),I175)</f>
        <v>0</v>
      </c>
      <c r="K175" s="124" t="n">
        <f aca="false">IF(WEEKDAY(A175,3)&gt;4,0,(IF(A175&lt;K$2,0,IF(A175&lt;=K$3,1,0))))</f>
        <v>0</v>
      </c>
      <c r="L175" s="124" t="n">
        <f aca="false">J175*K175</f>
        <v>0</v>
      </c>
      <c r="M175" s="124" t="n">
        <f aca="false">SUM(J$97:J175)</f>
        <v>0</v>
      </c>
      <c r="N175" s="124" t="n">
        <f aca="false">SUM(J$6:J175)</f>
        <v>0</v>
      </c>
      <c r="P175" s="124" t="n">
        <f aca="false">D175/P$3</f>
        <v>1.88395456877536</v>
      </c>
      <c r="Q175" s="124" t="n">
        <f aca="false">E175/P$3</f>
        <v>0</v>
      </c>
      <c r="R175" s="124" t="n">
        <f aca="false">F175/R$3</f>
        <v>0</v>
      </c>
      <c r="S175" s="126" t="n">
        <f aca="false">J175/$R$3</f>
        <v>0</v>
      </c>
      <c r="T175" s="126" t="n">
        <f aca="false">L175/$R$3</f>
        <v>0</v>
      </c>
      <c r="U175" s="126" t="n">
        <f aca="false">I175/$R$3</f>
        <v>0</v>
      </c>
      <c r="V175" s="126" t="n">
        <f aca="false">M175/$R$3</f>
        <v>0</v>
      </c>
      <c r="W175" s="126" t="n">
        <f aca="false">N175/$R$3</f>
        <v>0</v>
      </c>
    </row>
    <row r="176" customFormat="false" ht="12.75" hidden="true" customHeight="false" outlineLevel="0" collapsed="false">
      <c r="A176" s="120" t="n">
        <f aca="false">A175+1</f>
        <v>37062</v>
      </c>
      <c r="B176" s="131" t="str">
        <f aca="false">INDEX('Master Data'!$A$2:$B$8,MATCH(WEEKDAY('Modesto Maranzana Power'!A176,3),'Master Data'!$A$2:$A$8,0),2)</f>
        <v>W</v>
      </c>
      <c r="D176" s="124" t="n">
        <v>1892307.94853185</v>
      </c>
      <c r="E176" s="124" t="n">
        <v>0</v>
      </c>
      <c r="F176" s="124" t="n">
        <v>0</v>
      </c>
      <c r="G176" s="124" t="n">
        <v>0</v>
      </c>
      <c r="I176" s="124" t="n">
        <f aca="false">IF(MONTH($A176)=MONTH($A175),IF(G176=0,I175,G176),G176)</f>
        <v>0</v>
      </c>
      <c r="J176" s="124" t="n">
        <f aca="false">IF(MONTH($A176)=MONTH($A175),SUM(I176-I175),I176)</f>
        <v>0</v>
      </c>
      <c r="K176" s="124" t="n">
        <f aca="false">IF(WEEKDAY(A176,3)&gt;4,0,(IF(A176&lt;K$2,0,IF(A176&lt;=K$3,1,0))))</f>
        <v>0</v>
      </c>
      <c r="L176" s="124" t="n">
        <f aca="false">J176*K176</f>
        <v>0</v>
      </c>
      <c r="M176" s="124" t="n">
        <f aca="false">SUM(J$97:J176)</f>
        <v>0</v>
      </c>
      <c r="N176" s="124" t="n">
        <f aca="false">SUM(J$6:J176)</f>
        <v>0</v>
      </c>
      <c r="P176" s="124" t="n">
        <f aca="false">D176/P$3</f>
        <v>1.89230794853185</v>
      </c>
      <c r="Q176" s="124" t="n">
        <f aca="false">E176/P$3</f>
        <v>0</v>
      </c>
      <c r="R176" s="124" t="n">
        <f aca="false">F176/R$3</f>
        <v>0</v>
      </c>
      <c r="S176" s="126" t="n">
        <f aca="false">J176/$R$3</f>
        <v>0</v>
      </c>
      <c r="T176" s="126" t="n">
        <f aca="false">L176/$R$3</f>
        <v>0</v>
      </c>
      <c r="U176" s="126" t="n">
        <f aca="false">I176/$R$3</f>
        <v>0</v>
      </c>
      <c r="V176" s="126" t="n">
        <f aca="false">M176/$R$3</f>
        <v>0</v>
      </c>
      <c r="W176" s="126" t="n">
        <f aca="false">N176/$R$3</f>
        <v>0</v>
      </c>
    </row>
    <row r="177" customFormat="false" ht="12.75" hidden="true" customHeight="false" outlineLevel="0" collapsed="false">
      <c r="A177" s="120" t="n">
        <f aca="false">A176+1</f>
        <v>37063</v>
      </c>
      <c r="B177" s="131" t="str">
        <f aca="false">INDEX('Master Data'!$A$2:$B$8,MATCH(WEEKDAY('Modesto Maranzana Power'!A177,3),'Master Data'!$A$2:$A$8,0),2)</f>
        <v>Th</v>
      </c>
      <c r="D177" s="124" t="n">
        <v>1885416.01642687</v>
      </c>
      <c r="E177" s="124" t="n">
        <v>0</v>
      </c>
      <c r="F177" s="124" t="n">
        <v>0</v>
      </c>
      <c r="G177" s="124" t="n">
        <v>0</v>
      </c>
      <c r="I177" s="124" t="n">
        <f aca="false">IF(MONTH($A177)=MONTH($A176),IF(G177=0,I176,G177),G177)</f>
        <v>0</v>
      </c>
      <c r="J177" s="124" t="n">
        <f aca="false">IF(MONTH($A177)=MONTH($A176),SUM(I177-I176),I177)</f>
        <v>0</v>
      </c>
      <c r="K177" s="124" t="n">
        <f aca="false">IF(WEEKDAY(A177,3)&gt;4,0,(IF(A177&lt;K$2,0,IF(A177&lt;=K$3,1,0))))</f>
        <v>0</v>
      </c>
      <c r="L177" s="124" t="n">
        <f aca="false">J177*K177</f>
        <v>0</v>
      </c>
      <c r="M177" s="124" t="n">
        <f aca="false">SUM(J$97:J177)</f>
        <v>0</v>
      </c>
      <c r="N177" s="124" t="n">
        <f aca="false">SUM(J$6:J177)</f>
        <v>0</v>
      </c>
      <c r="P177" s="124" t="n">
        <f aca="false">D177/P$3</f>
        <v>1.88541601642687</v>
      </c>
      <c r="Q177" s="124" t="n">
        <f aca="false">E177/P$3</f>
        <v>0</v>
      </c>
      <c r="R177" s="124" t="n">
        <f aca="false">F177/R$3</f>
        <v>0</v>
      </c>
      <c r="S177" s="126" t="n">
        <f aca="false">J177/$R$3</f>
        <v>0</v>
      </c>
      <c r="T177" s="126" t="n">
        <f aca="false">L177/$R$3</f>
        <v>0</v>
      </c>
      <c r="U177" s="126" t="n">
        <f aca="false">I177/$R$3</f>
        <v>0</v>
      </c>
      <c r="V177" s="126" t="n">
        <f aca="false">M177/$R$3</f>
        <v>0</v>
      </c>
      <c r="W177" s="126" t="n">
        <f aca="false">N177/$R$3</f>
        <v>0</v>
      </c>
    </row>
    <row r="178" customFormat="false" ht="12.75" hidden="true" customHeight="false" outlineLevel="0" collapsed="false">
      <c r="A178" s="120" t="n">
        <f aca="false">A177+1</f>
        <v>37064</v>
      </c>
      <c r="B178" s="131" t="str">
        <f aca="false">INDEX('Master Data'!$A$2:$B$8,MATCH(WEEKDAY('Modesto Maranzana Power'!A178,3),'Master Data'!$A$2:$A$8,0),2)</f>
        <v>F</v>
      </c>
      <c r="D178" s="124" t="n">
        <v>1884186.92124649</v>
      </c>
      <c r="E178" s="124" t="n">
        <v>0</v>
      </c>
      <c r="F178" s="124" t="n">
        <v>0</v>
      </c>
      <c r="G178" s="124" t="n">
        <v>0</v>
      </c>
      <c r="I178" s="124" t="n">
        <f aca="false">IF(MONTH($A178)=MONTH($A177),IF(G178=0,I177,G178),G178)</f>
        <v>0</v>
      </c>
      <c r="J178" s="124" t="n">
        <f aca="false">IF(MONTH($A178)=MONTH($A177),SUM(I178-I177),I178)</f>
        <v>0</v>
      </c>
      <c r="K178" s="124" t="n">
        <f aca="false">IF(WEEKDAY(A178,3)&gt;4,0,(IF(A178&lt;K$2,0,IF(A178&lt;=K$3,1,0))))</f>
        <v>0</v>
      </c>
      <c r="L178" s="124" t="n">
        <f aca="false">J178*K178</f>
        <v>0</v>
      </c>
      <c r="M178" s="124" t="n">
        <f aca="false">SUM(J$97:J178)</f>
        <v>0</v>
      </c>
      <c r="N178" s="124" t="n">
        <f aca="false">SUM(J$6:J178)</f>
        <v>0</v>
      </c>
      <c r="P178" s="124" t="n">
        <f aca="false">D178/P$3</f>
        <v>1.88418692124649</v>
      </c>
      <c r="Q178" s="124" t="n">
        <f aca="false">E178/P$3</f>
        <v>0</v>
      </c>
      <c r="R178" s="124" t="n">
        <f aca="false">F178/R$3</f>
        <v>0</v>
      </c>
      <c r="S178" s="126" t="n">
        <f aca="false">J178/$R$3</f>
        <v>0</v>
      </c>
      <c r="T178" s="126" t="n">
        <f aca="false">L178/$R$3</f>
        <v>0</v>
      </c>
      <c r="U178" s="126" t="n">
        <f aca="false">I178/$R$3</f>
        <v>0</v>
      </c>
      <c r="V178" s="126" t="n">
        <f aca="false">M178/$R$3</f>
        <v>0</v>
      </c>
      <c r="W178" s="126" t="n">
        <f aca="false">N178/$R$3</f>
        <v>0</v>
      </c>
    </row>
    <row r="179" customFormat="false" ht="12.75" hidden="true" customHeight="false" outlineLevel="0" collapsed="false">
      <c r="A179" s="120" t="n">
        <f aca="false">A178+1</f>
        <v>37065</v>
      </c>
      <c r="B179" s="131" t="str">
        <f aca="false">INDEX('Master Data'!$A$2:$B$8,MATCH(WEEKDAY('Modesto Maranzana Power'!A179,3),'Master Data'!$A$2:$A$8,0),2)</f>
        <v>Sa</v>
      </c>
      <c r="D179" s="124" t="n">
        <v>0</v>
      </c>
      <c r="E179" s="124" t="n">
        <v>0</v>
      </c>
      <c r="F179" s="124" t="n">
        <v>0</v>
      </c>
      <c r="G179" s="124" t="n">
        <v>0</v>
      </c>
      <c r="I179" s="124" t="n">
        <f aca="false">IF(MONTH($A179)=MONTH($A178),IF(G179=0,I178,G179),G179)</f>
        <v>0</v>
      </c>
      <c r="J179" s="124" t="n">
        <f aca="false">IF(MONTH($A179)=MONTH($A178),SUM(I179-I178),I179)</f>
        <v>0</v>
      </c>
      <c r="K179" s="124" t="n">
        <f aca="false">IF(WEEKDAY(A179,3)&gt;4,0,(IF(A179&lt;K$2,0,IF(A179&lt;=K$3,1,0))))</f>
        <v>0</v>
      </c>
      <c r="L179" s="124" t="n">
        <f aca="false">J179*K179</f>
        <v>0</v>
      </c>
      <c r="M179" s="124" t="n">
        <f aca="false">SUM(J$97:J179)</f>
        <v>0</v>
      </c>
      <c r="N179" s="124" t="n">
        <f aca="false">SUM(J$6:J179)</f>
        <v>0</v>
      </c>
      <c r="P179" s="124" t="n">
        <f aca="false">D179/P$3</f>
        <v>0</v>
      </c>
      <c r="Q179" s="124" t="n">
        <f aca="false">E179/P$3</f>
        <v>0</v>
      </c>
      <c r="R179" s="124" t="n">
        <f aca="false">F179/R$3</f>
        <v>0</v>
      </c>
      <c r="S179" s="126" t="n">
        <f aca="false">J179/$R$3</f>
        <v>0</v>
      </c>
      <c r="T179" s="126" t="n">
        <f aca="false">L179/$R$3</f>
        <v>0</v>
      </c>
      <c r="U179" s="126" t="n">
        <f aca="false">I179/$R$3</f>
        <v>0</v>
      </c>
      <c r="V179" s="126" t="n">
        <f aca="false">M179/$R$3</f>
        <v>0</v>
      </c>
      <c r="W179" s="126" t="n">
        <f aca="false">N179/$R$3</f>
        <v>0</v>
      </c>
    </row>
    <row r="180" customFormat="false" ht="12.75" hidden="true" customHeight="false" outlineLevel="0" collapsed="false">
      <c r="A180" s="120" t="n">
        <f aca="false">A179+1</f>
        <v>37066</v>
      </c>
      <c r="B180" s="131" t="str">
        <f aca="false">INDEX('Master Data'!$A$2:$B$8,MATCH(WEEKDAY('Modesto Maranzana Power'!A180,3),'Master Data'!$A$2:$A$8,0),2)</f>
        <v>Su</v>
      </c>
      <c r="D180" s="124" t="n">
        <v>0</v>
      </c>
      <c r="E180" s="124" t="n">
        <v>0</v>
      </c>
      <c r="F180" s="124" t="n">
        <v>0</v>
      </c>
      <c r="G180" s="124" t="n">
        <v>0</v>
      </c>
      <c r="I180" s="124" t="n">
        <f aca="false">IF(MONTH($A180)=MONTH($A179),IF(G180=0,I179,G180),G180)</f>
        <v>0</v>
      </c>
      <c r="J180" s="124" t="n">
        <f aca="false">IF(MONTH($A180)=MONTH($A179),SUM(I180-I179),I180)</f>
        <v>0</v>
      </c>
      <c r="K180" s="124" t="n">
        <f aca="false">IF(WEEKDAY(A180,3)&gt;4,0,(IF(A180&lt;K$2,0,IF(A180&lt;=K$3,1,0))))</f>
        <v>0</v>
      </c>
      <c r="L180" s="124" t="n">
        <f aca="false">J180*K180</f>
        <v>0</v>
      </c>
      <c r="M180" s="124" t="n">
        <f aca="false">SUM(J$97:J180)</f>
        <v>0</v>
      </c>
      <c r="N180" s="124" t="n">
        <f aca="false">SUM(J$6:J180)</f>
        <v>0</v>
      </c>
      <c r="P180" s="124" t="n">
        <f aca="false">D180/P$3</f>
        <v>0</v>
      </c>
      <c r="Q180" s="124" t="n">
        <f aca="false">E180/P$3</f>
        <v>0</v>
      </c>
      <c r="R180" s="124" t="n">
        <f aca="false">F180/R$3</f>
        <v>0</v>
      </c>
      <c r="S180" s="126" t="n">
        <f aca="false">J180/$R$3</f>
        <v>0</v>
      </c>
      <c r="T180" s="126" t="n">
        <f aca="false">L180/$R$3</f>
        <v>0</v>
      </c>
      <c r="U180" s="126" t="n">
        <f aca="false">I180/$R$3</f>
        <v>0</v>
      </c>
      <c r="V180" s="126" t="n">
        <f aca="false">M180/$R$3</f>
        <v>0</v>
      </c>
      <c r="W180" s="126" t="n">
        <f aca="false">N180/$R$3</f>
        <v>0</v>
      </c>
    </row>
    <row r="181" customFormat="false" ht="12.75" hidden="true" customHeight="false" outlineLevel="0" collapsed="false">
      <c r="A181" s="120" t="n">
        <f aca="false">A180+1</f>
        <v>37067</v>
      </c>
      <c r="B181" s="131" t="str">
        <f aca="false">INDEX('Master Data'!$A$2:$B$8,MATCH(WEEKDAY('Modesto Maranzana Power'!A181,3),'Master Data'!$A$2:$A$8,0),2)</f>
        <v>M</v>
      </c>
      <c r="D181" s="124" t="n">
        <v>1885797.32450614</v>
      </c>
      <c r="E181" s="124" t="n">
        <v>0</v>
      </c>
      <c r="F181" s="124" t="n">
        <v>0</v>
      </c>
      <c r="G181" s="124" t="n">
        <v>0</v>
      </c>
      <c r="I181" s="124" t="n">
        <f aca="false">IF(MONTH($A181)=MONTH($A180),IF(G181=0,I180,G181),G181)</f>
        <v>0</v>
      </c>
      <c r="J181" s="124" t="n">
        <f aca="false">IF(MONTH($A181)=MONTH($A180),SUM(I181-I180),I181)</f>
        <v>0</v>
      </c>
      <c r="K181" s="124" t="n">
        <f aca="false">IF(WEEKDAY(A181,3)&gt;4,0,(IF(A181&lt;K$2,0,IF(A181&lt;=K$3,1,0))))</f>
        <v>0</v>
      </c>
      <c r="L181" s="124" t="n">
        <f aca="false">J181*K181</f>
        <v>0</v>
      </c>
      <c r="M181" s="124" t="n">
        <f aca="false">SUM(J$97:J181)</f>
        <v>0</v>
      </c>
      <c r="N181" s="124" t="n">
        <f aca="false">SUM(J$6:J181)</f>
        <v>0</v>
      </c>
      <c r="P181" s="124" t="n">
        <f aca="false">D181/P$3</f>
        <v>1.88579732450614</v>
      </c>
      <c r="Q181" s="124" t="n">
        <f aca="false">E181/P$3</f>
        <v>0</v>
      </c>
      <c r="R181" s="124" t="n">
        <f aca="false">F181/R$3</f>
        <v>0</v>
      </c>
      <c r="S181" s="126" t="n">
        <f aca="false">J181/$R$3</f>
        <v>0</v>
      </c>
      <c r="T181" s="126" t="n">
        <f aca="false">L181/$R$3</f>
        <v>0</v>
      </c>
      <c r="U181" s="126" t="n">
        <f aca="false">I181/$R$3</f>
        <v>0</v>
      </c>
      <c r="V181" s="126" t="n">
        <f aca="false">M181/$R$3</f>
        <v>0</v>
      </c>
      <c r="W181" s="126" t="n">
        <f aca="false">N181/$R$3</f>
        <v>0</v>
      </c>
    </row>
    <row r="182" customFormat="false" ht="12.75" hidden="true" customHeight="false" outlineLevel="0" collapsed="false">
      <c r="A182" s="120" t="n">
        <f aca="false">A181+1</f>
        <v>37068</v>
      </c>
      <c r="B182" s="131" t="str">
        <f aca="false">INDEX('Master Data'!$A$2:$B$8,MATCH(WEEKDAY('Modesto Maranzana Power'!A182,3),'Master Data'!$A$2:$A$8,0),2)</f>
        <v>T</v>
      </c>
      <c r="D182" s="124" t="n">
        <v>1885160.17822509</v>
      </c>
      <c r="E182" s="124" t="n">
        <v>0</v>
      </c>
      <c r="F182" s="124" t="n">
        <v>0</v>
      </c>
      <c r="G182" s="124" t="n">
        <v>0</v>
      </c>
      <c r="I182" s="124" t="n">
        <f aca="false">IF(MONTH($A182)=MONTH($A181),IF(G182=0,I181,G182),G182)</f>
        <v>0</v>
      </c>
      <c r="J182" s="124" t="n">
        <f aca="false">IF(MONTH($A182)=MONTH($A181),SUM(I182-I181),I182)</f>
        <v>0</v>
      </c>
      <c r="K182" s="124" t="n">
        <f aca="false">IF(WEEKDAY(A182,3)&gt;4,0,(IF(A182&lt;K$2,0,IF(A182&lt;=K$3,1,0))))</f>
        <v>0</v>
      </c>
      <c r="L182" s="124" t="n">
        <f aca="false">J182*K182</f>
        <v>0</v>
      </c>
      <c r="M182" s="124" t="n">
        <f aca="false">SUM(J$97:J182)</f>
        <v>0</v>
      </c>
      <c r="N182" s="124" t="n">
        <f aca="false">SUM(J$6:J182)</f>
        <v>0</v>
      </c>
      <c r="P182" s="124" t="n">
        <f aca="false">D182/P$3</f>
        <v>1.88516017822509</v>
      </c>
      <c r="Q182" s="124" t="n">
        <f aca="false">E182/P$3</f>
        <v>0</v>
      </c>
      <c r="R182" s="124" t="n">
        <f aca="false">F182/R$3</f>
        <v>0</v>
      </c>
      <c r="S182" s="126" t="n">
        <f aca="false">J182/$R$3</f>
        <v>0</v>
      </c>
      <c r="T182" s="126" t="n">
        <f aca="false">L182/$R$3</f>
        <v>0</v>
      </c>
      <c r="U182" s="126" t="n">
        <f aca="false">I182/$R$3</f>
        <v>0</v>
      </c>
      <c r="V182" s="126" t="n">
        <f aca="false">M182/$R$3</f>
        <v>0</v>
      </c>
      <c r="W182" s="126" t="n">
        <f aca="false">N182/$R$3</f>
        <v>0</v>
      </c>
    </row>
    <row r="183" customFormat="false" ht="12.75" hidden="true" customHeight="false" outlineLevel="0" collapsed="false">
      <c r="A183" s="120" t="n">
        <f aca="false">A182+1</f>
        <v>37069</v>
      </c>
      <c r="B183" s="131" t="str">
        <f aca="false">INDEX('Master Data'!$A$2:$B$8,MATCH(WEEKDAY('Modesto Maranzana Power'!A183,3),'Master Data'!$A$2:$A$8,0),2)</f>
        <v>W</v>
      </c>
      <c r="D183" s="124" t="n">
        <v>1881216.12546862</v>
      </c>
      <c r="E183" s="124" t="n">
        <v>0</v>
      </c>
      <c r="F183" s="124" t="n">
        <v>0</v>
      </c>
      <c r="G183" s="124" t="n">
        <v>0</v>
      </c>
      <c r="I183" s="124" t="n">
        <f aca="false">IF(MONTH($A183)=MONTH($A182),IF(G183=0,I182,G183),G183)</f>
        <v>0</v>
      </c>
      <c r="J183" s="124" t="n">
        <f aca="false">IF(MONTH($A183)=MONTH($A182),SUM(I183-I182),I183)</f>
        <v>0</v>
      </c>
      <c r="K183" s="124" t="n">
        <f aca="false">IF(WEEKDAY(A183,3)&gt;4,0,(IF(A183&lt;K$2,0,IF(A183&lt;=K$3,1,0))))</f>
        <v>0</v>
      </c>
      <c r="L183" s="124" t="n">
        <f aca="false">J183*K183</f>
        <v>0</v>
      </c>
      <c r="M183" s="124" t="n">
        <f aca="false">SUM(J$97:J183)</f>
        <v>0</v>
      </c>
      <c r="N183" s="124" t="n">
        <f aca="false">SUM(J$6:J183)</f>
        <v>0</v>
      </c>
      <c r="P183" s="124" t="n">
        <f aca="false">D183/P$3</f>
        <v>1.88121612546862</v>
      </c>
      <c r="Q183" s="124" t="n">
        <f aca="false">E183/P$3</f>
        <v>0</v>
      </c>
      <c r="R183" s="124" t="n">
        <f aca="false">F183/R$3</f>
        <v>0</v>
      </c>
      <c r="S183" s="126" t="n">
        <f aca="false">J183/$R$3</f>
        <v>0</v>
      </c>
      <c r="T183" s="126" t="n">
        <f aca="false">L183/$R$3</f>
        <v>0</v>
      </c>
      <c r="U183" s="126" t="n">
        <f aca="false">I183/$R$3</f>
        <v>0</v>
      </c>
      <c r="V183" s="126" t="n">
        <f aca="false">M183/$R$3</f>
        <v>0</v>
      </c>
      <c r="W183" s="126" t="n">
        <f aca="false">N183/$R$3</f>
        <v>0</v>
      </c>
    </row>
    <row r="184" customFormat="false" ht="12.75" hidden="true" customHeight="false" outlineLevel="0" collapsed="false">
      <c r="A184" s="120" t="n">
        <f aca="false">A183+1</f>
        <v>37070</v>
      </c>
      <c r="B184" s="131" t="str">
        <f aca="false">INDEX('Master Data'!$A$2:$B$8,MATCH(WEEKDAY('Modesto Maranzana Power'!A184,3),'Master Data'!$A$2:$A$8,0),2)</f>
        <v>Th</v>
      </c>
      <c r="D184" s="124" t="n">
        <v>1877748.75681339</v>
      </c>
      <c r="E184" s="124" t="n">
        <v>0</v>
      </c>
      <c r="F184" s="124" t="n">
        <v>0</v>
      </c>
      <c r="G184" s="124" t="n">
        <v>0</v>
      </c>
      <c r="I184" s="124" t="n">
        <f aca="false">IF(MONTH($A184)=MONTH($A183),IF(G184=0,I183,G184),G184)</f>
        <v>0</v>
      </c>
      <c r="J184" s="124" t="n">
        <f aca="false">IF(MONTH($A184)=MONTH($A183),SUM(I184-I183),I184)</f>
        <v>0</v>
      </c>
      <c r="K184" s="124" t="n">
        <f aca="false">IF(WEEKDAY(A184,3)&gt;4,0,(IF(A184&lt;K$2,0,IF(A184&lt;=K$3,1,0))))</f>
        <v>0</v>
      </c>
      <c r="L184" s="124" t="n">
        <f aca="false">J184*K184</f>
        <v>0</v>
      </c>
      <c r="M184" s="124" t="n">
        <f aca="false">SUM(J$97:J184)</f>
        <v>0</v>
      </c>
      <c r="N184" s="124" t="n">
        <f aca="false">SUM(J$6:J184)</f>
        <v>0</v>
      </c>
      <c r="P184" s="124" t="n">
        <f aca="false">D184/P$3</f>
        <v>1.87774875681339</v>
      </c>
      <c r="Q184" s="124" t="n">
        <f aca="false">E184/P$3</f>
        <v>0</v>
      </c>
      <c r="R184" s="124" t="n">
        <f aca="false">F184/R$3</f>
        <v>0</v>
      </c>
      <c r="S184" s="126" t="n">
        <f aca="false">J184/$R$3</f>
        <v>0</v>
      </c>
      <c r="T184" s="126" t="n">
        <f aca="false">L184/$R$3</f>
        <v>0</v>
      </c>
      <c r="U184" s="126" t="n">
        <f aca="false">I184/$R$3</f>
        <v>0</v>
      </c>
      <c r="V184" s="126" t="n">
        <f aca="false">M184/$R$3</f>
        <v>0</v>
      </c>
      <c r="W184" s="126" t="n">
        <f aca="false">N184/$R$3</f>
        <v>0</v>
      </c>
    </row>
    <row r="185" customFormat="false" ht="12.75" hidden="true" customHeight="false" outlineLevel="0" collapsed="false">
      <c r="A185" s="120" t="n">
        <f aca="false">A184+1</f>
        <v>37071</v>
      </c>
      <c r="B185" s="131" t="str">
        <f aca="false">INDEX('Master Data'!$A$2:$B$8,MATCH(WEEKDAY('Modesto Maranzana Power'!A185,3),'Master Data'!$A$2:$A$8,0),2)</f>
        <v>F</v>
      </c>
      <c r="D185" s="124" t="n">
        <v>1870889.68060695</v>
      </c>
      <c r="E185" s="124" t="n">
        <v>0</v>
      </c>
      <c r="F185" s="124" t="n">
        <v>0</v>
      </c>
      <c r="G185" s="124" t="n">
        <v>0</v>
      </c>
      <c r="I185" s="124" t="n">
        <f aca="false">IF(MONTH($A185)=MONTH($A184),IF(G185=0,I184,G185),G185)</f>
        <v>0</v>
      </c>
      <c r="J185" s="124" t="n">
        <f aca="false">IF(MONTH($A185)=MONTH($A184),SUM(I185-I184),I185)</f>
        <v>0</v>
      </c>
      <c r="K185" s="124" t="n">
        <f aca="false">IF(WEEKDAY(A185,3)&gt;4,0,(IF(A185&lt;K$2,0,IF(A185&lt;=K$3,1,0))))</f>
        <v>0</v>
      </c>
      <c r="L185" s="124" t="n">
        <f aca="false">J185*K185</f>
        <v>0</v>
      </c>
      <c r="M185" s="124" t="n">
        <f aca="false">SUM(J$97:J185)</f>
        <v>0</v>
      </c>
      <c r="N185" s="124" t="n">
        <f aca="false">SUM(J$6:J185)</f>
        <v>0</v>
      </c>
      <c r="P185" s="124" t="n">
        <f aca="false">D185/P$3</f>
        <v>1.87088968060695</v>
      </c>
      <c r="Q185" s="124" t="n">
        <f aca="false">E185/P$3</f>
        <v>0</v>
      </c>
      <c r="R185" s="124" t="n">
        <f aca="false">F185/R$3</f>
        <v>0</v>
      </c>
      <c r="S185" s="126" t="n">
        <f aca="false">J185/$R$3</f>
        <v>0</v>
      </c>
      <c r="T185" s="126" t="n">
        <f aca="false">L185/$R$3</f>
        <v>0</v>
      </c>
      <c r="U185" s="126" t="n">
        <f aca="false">I185/$R$3</f>
        <v>0</v>
      </c>
      <c r="V185" s="126" t="n">
        <f aca="false">M185/$R$3</f>
        <v>0</v>
      </c>
      <c r="W185" s="126" t="n">
        <f aca="false">N185/$R$3</f>
        <v>0</v>
      </c>
    </row>
    <row r="186" customFormat="false" ht="12.75" hidden="false" customHeight="false" outlineLevel="0" collapsed="false">
      <c r="A186" s="120" t="n">
        <f aca="false">A185+1</f>
        <v>37072</v>
      </c>
      <c r="B186" s="131" t="str">
        <f aca="false">INDEX('Master Data'!$A$2:$B$8,MATCH(WEEKDAY('Modesto Maranzana Power'!A186,3),'Master Data'!$A$2:$A$8,0),2)</f>
        <v>Sa</v>
      </c>
      <c r="D186" s="124" t="n">
        <v>0</v>
      </c>
      <c r="E186" s="124" t="n">
        <v>0</v>
      </c>
      <c r="F186" s="124" t="n">
        <v>0</v>
      </c>
      <c r="G186" s="124" t="n">
        <v>0</v>
      </c>
      <c r="I186" s="124" t="n">
        <f aca="false">IF(MONTH($A186)=MONTH($A185),IF(G186=0,I185,G186),G186)</f>
        <v>0</v>
      </c>
      <c r="J186" s="124" t="n">
        <f aca="false">IF(MONTH($A186)=MONTH($A185),SUM(I186-I185),I186)</f>
        <v>0</v>
      </c>
      <c r="K186" s="124" t="n">
        <f aca="false">IF(WEEKDAY(A186,3)&gt;4,0,(IF(A186&lt;K$2,0,IF(A186&lt;=K$3,1,0))))</f>
        <v>0</v>
      </c>
      <c r="L186" s="124" t="n">
        <f aca="false">J186*K186</f>
        <v>0</v>
      </c>
      <c r="M186" s="124" t="n">
        <f aca="false">SUM(J$97:J186)</f>
        <v>0</v>
      </c>
      <c r="N186" s="124" t="n">
        <f aca="false">SUM(J$6:J186)</f>
        <v>0</v>
      </c>
      <c r="P186" s="124" t="n">
        <f aca="false">D186/P$3</f>
        <v>0</v>
      </c>
      <c r="Q186" s="124" t="n">
        <f aca="false">E186/P$3</f>
        <v>0</v>
      </c>
      <c r="R186" s="124" t="n">
        <f aca="false">F186/R$3</f>
        <v>0</v>
      </c>
      <c r="S186" s="126" t="n">
        <f aca="false">J186/$R$3</f>
        <v>0</v>
      </c>
      <c r="T186" s="126" t="n">
        <f aca="false">L186/$R$3</f>
        <v>0</v>
      </c>
      <c r="U186" s="126" t="n">
        <f aca="false">I186/$R$3</f>
        <v>0</v>
      </c>
      <c r="V186" s="126" t="n">
        <f aca="false">M186/$R$3</f>
        <v>0</v>
      </c>
      <c r="W186" s="126" t="n">
        <f aca="false">N186/$R$3</f>
        <v>0</v>
      </c>
    </row>
    <row r="187" customFormat="false" ht="12.75" hidden="true" customHeight="false" outlineLevel="0" collapsed="false">
      <c r="A187" s="120" t="n">
        <f aca="false">A186+1</f>
        <v>37073</v>
      </c>
      <c r="B187" s="131" t="str">
        <f aca="false">INDEX('Master Data'!$A$2:$B$8,MATCH(WEEKDAY('Modesto Maranzana Power'!A187,3),'Master Data'!$A$2:$A$8,0),2)</f>
        <v>Su</v>
      </c>
      <c r="D187" s="124" t="n">
        <v>0</v>
      </c>
      <c r="E187" s="124" t="n">
        <v>0</v>
      </c>
      <c r="F187" s="124" t="n">
        <v>0</v>
      </c>
      <c r="G187" s="124" t="n">
        <v>0</v>
      </c>
      <c r="I187" s="124" t="n">
        <f aca="false">IF(MONTH($A187)=MONTH($A186),IF(G187=0,I186,G187),G187)</f>
        <v>0</v>
      </c>
      <c r="J187" s="124" t="n">
        <f aca="false">IF(MONTH($A187)=MONTH($A186),SUM(I187-I186),I187)</f>
        <v>0</v>
      </c>
      <c r="K187" s="124" t="n">
        <f aca="false">IF(WEEKDAY(A187,3)&gt;4,0,(IF(A187&lt;K$2,0,IF(A187&lt;=K$3,1,0))))</f>
        <v>0</v>
      </c>
      <c r="L187" s="124" t="n">
        <f aca="false">J187*K187</f>
        <v>0</v>
      </c>
      <c r="M187" s="124" t="n">
        <f aca="false">SUM(J$97:J187)</f>
        <v>0</v>
      </c>
      <c r="N187" s="124" t="n">
        <f aca="false">SUM(J$6:J187)</f>
        <v>0</v>
      </c>
      <c r="P187" s="124" t="n">
        <f aca="false">D187/P$3</f>
        <v>0</v>
      </c>
      <c r="Q187" s="124" t="n">
        <f aca="false">E187/P$3</f>
        <v>0</v>
      </c>
      <c r="R187" s="124" t="n">
        <f aca="false">F187/R$3</f>
        <v>0</v>
      </c>
      <c r="S187" s="126" t="n">
        <f aca="false">J187/$R$3</f>
        <v>0</v>
      </c>
      <c r="T187" s="126" t="n">
        <f aca="false">L187/$R$3</f>
        <v>0</v>
      </c>
      <c r="U187" s="126" t="n">
        <f aca="false">I187/$R$3</f>
        <v>0</v>
      </c>
      <c r="V187" s="126" t="n">
        <f aca="false">M187/$R$3</f>
        <v>0</v>
      </c>
      <c r="W187" s="126" t="n">
        <f aca="false">N187/$R$3</f>
        <v>0</v>
      </c>
    </row>
    <row r="188" customFormat="false" ht="12.75" hidden="true" customHeight="false" outlineLevel="0" collapsed="false">
      <c r="A188" s="120" t="n">
        <f aca="false">A187+1</f>
        <v>37074</v>
      </c>
      <c r="B188" s="131" t="str">
        <f aca="false">INDEX('Master Data'!$A$2:$B$8,MATCH(WEEKDAY('Modesto Maranzana Power'!A188,3),'Master Data'!$A$2:$A$8,0),2)</f>
        <v>M</v>
      </c>
      <c r="D188" s="124" t="n">
        <v>1869327.16730982</v>
      </c>
      <c r="E188" s="124" t="n">
        <v>0</v>
      </c>
      <c r="F188" s="124" t="n">
        <v>0</v>
      </c>
      <c r="G188" s="124" t="n">
        <v>0</v>
      </c>
      <c r="I188" s="124" t="n">
        <f aca="false">IF(MONTH($A188)=MONTH($A187),IF(G188=0,I187,G188),G188)</f>
        <v>0</v>
      </c>
      <c r="J188" s="124" t="n">
        <f aca="false">IF(MONTH($A188)=MONTH($A187),SUM(I188-I187),I188)</f>
        <v>0</v>
      </c>
      <c r="K188" s="124" t="n">
        <f aca="false">IF(WEEKDAY(A188,3)&gt;4,0,(IF(A188&lt;K$2,0,IF(A188&lt;=K$3,1,0))))</f>
        <v>0</v>
      </c>
      <c r="L188" s="124" t="n">
        <f aca="false">J188*K188</f>
        <v>0</v>
      </c>
      <c r="M188" s="124" t="n">
        <f aca="false">SUM(J$188:J188)</f>
        <v>0</v>
      </c>
      <c r="N188" s="124" t="n">
        <f aca="false">SUM(J$6:J188)</f>
        <v>0</v>
      </c>
      <c r="P188" s="124" t="n">
        <f aca="false">D188/P$3</f>
        <v>1.86932716730982</v>
      </c>
      <c r="Q188" s="124" t="n">
        <f aca="false">E188/P$3</f>
        <v>0</v>
      </c>
      <c r="R188" s="124" t="n">
        <f aca="false">F188/R$3</f>
        <v>0</v>
      </c>
      <c r="S188" s="126" t="n">
        <f aca="false">J188/$R$3</f>
        <v>0</v>
      </c>
      <c r="T188" s="126" t="n">
        <f aca="false">L188/$R$3</f>
        <v>0</v>
      </c>
      <c r="U188" s="126" t="n">
        <f aca="false">I188/$R$3</f>
        <v>0</v>
      </c>
      <c r="V188" s="126" t="n">
        <f aca="false">M188/$R$3</f>
        <v>0</v>
      </c>
      <c r="W188" s="126" t="n">
        <f aca="false">N188/$R$3</f>
        <v>0</v>
      </c>
    </row>
    <row r="189" customFormat="false" ht="12.75" hidden="true" customHeight="false" outlineLevel="0" collapsed="false">
      <c r="A189" s="120" t="n">
        <f aca="false">A188+1</f>
        <v>37075</v>
      </c>
      <c r="B189" s="131" t="str">
        <f aca="false">INDEX('Master Data'!$A$2:$B$8,MATCH(WEEKDAY('Modesto Maranzana Power'!A189,3),'Master Data'!$A$2:$A$8,0),2)</f>
        <v>T</v>
      </c>
      <c r="D189" s="124" t="n">
        <v>1871670.11347638</v>
      </c>
      <c r="E189" s="124" t="n">
        <v>0</v>
      </c>
      <c r="F189" s="124" t="n">
        <v>0</v>
      </c>
      <c r="G189" s="124" t="n">
        <v>0</v>
      </c>
      <c r="I189" s="124" t="n">
        <f aca="false">IF(MONTH($A189)=MONTH($A188),IF(G189=0,I188,G189),G189)</f>
        <v>0</v>
      </c>
      <c r="J189" s="124" t="n">
        <f aca="false">IF(MONTH($A189)=MONTH($A188),SUM(I189-I188),I189)</f>
        <v>0</v>
      </c>
      <c r="K189" s="124" t="n">
        <f aca="false">IF(WEEKDAY(A189,3)&gt;4,0,(IF(A189&lt;K$2,0,IF(A189&lt;=K$3,1,0))))</f>
        <v>0</v>
      </c>
      <c r="L189" s="124" t="n">
        <f aca="false">J189*K189</f>
        <v>0</v>
      </c>
      <c r="M189" s="124" t="n">
        <f aca="false">SUM(J$188:J189)</f>
        <v>0</v>
      </c>
      <c r="N189" s="124" t="n">
        <f aca="false">SUM(J$6:J189)</f>
        <v>0</v>
      </c>
      <c r="P189" s="124" t="n">
        <f aca="false">D189/P$3</f>
        <v>1.87167011347638</v>
      </c>
      <c r="Q189" s="124" t="n">
        <f aca="false">E189/P$3</f>
        <v>0</v>
      </c>
      <c r="R189" s="124" t="n">
        <f aca="false">F189/R$3</f>
        <v>0</v>
      </c>
      <c r="S189" s="126" t="n">
        <f aca="false">J189/$R$3</f>
        <v>0</v>
      </c>
      <c r="T189" s="126" t="n">
        <f aca="false">L189/$R$3</f>
        <v>0</v>
      </c>
      <c r="U189" s="126" t="n">
        <f aca="false">I189/$R$3</f>
        <v>0</v>
      </c>
      <c r="V189" s="126" t="n">
        <f aca="false">M189/$R$3</f>
        <v>0</v>
      </c>
      <c r="W189" s="126" t="n">
        <f aca="false">N189/$R$3</f>
        <v>0</v>
      </c>
    </row>
    <row r="190" customFormat="false" ht="12.75" hidden="true" customHeight="false" outlineLevel="0" collapsed="false">
      <c r="A190" s="120" t="n">
        <f aca="false">A189+1</f>
        <v>37076</v>
      </c>
      <c r="B190" s="131" t="str">
        <f aca="false">INDEX('Master Data'!$A$2:$B$8,MATCH(WEEKDAY('Modesto Maranzana Power'!A190,3),'Master Data'!$A$2:$A$8,0),2)</f>
        <v>W</v>
      </c>
      <c r="D190" s="124" t="n">
        <v>0</v>
      </c>
      <c r="E190" s="124" t="n">
        <v>0</v>
      </c>
      <c r="F190" s="124" t="n">
        <v>0</v>
      </c>
      <c r="G190" s="124" t="n">
        <v>0</v>
      </c>
      <c r="I190" s="124" t="n">
        <f aca="false">IF(MONTH($A190)=MONTH($A189),IF(G190=0,I189,G190),G190)</f>
        <v>0</v>
      </c>
      <c r="J190" s="124" t="n">
        <f aca="false">IF(MONTH($A190)=MONTH($A189),SUM(I190-I189),I190)</f>
        <v>0</v>
      </c>
      <c r="K190" s="124" t="n">
        <f aca="false">IF(WEEKDAY(A190,3)&gt;4,0,(IF(A190&lt;K$2,0,IF(A190&lt;=K$3,1,0))))</f>
        <v>0</v>
      </c>
      <c r="L190" s="124" t="n">
        <f aca="false">J190*K190</f>
        <v>0</v>
      </c>
      <c r="M190" s="124" t="n">
        <f aca="false">SUM(J$188:J190)</f>
        <v>0</v>
      </c>
      <c r="N190" s="124" t="n">
        <f aca="false">SUM(J$6:J190)</f>
        <v>0</v>
      </c>
      <c r="P190" s="124" t="n">
        <f aca="false">D190/P$3</f>
        <v>0</v>
      </c>
      <c r="Q190" s="124" t="n">
        <f aca="false">E190/P$3</f>
        <v>0</v>
      </c>
      <c r="R190" s="124" t="n">
        <f aca="false">F190/R$3</f>
        <v>0</v>
      </c>
      <c r="S190" s="126" t="n">
        <f aca="false">J190/$R$3</f>
        <v>0</v>
      </c>
      <c r="T190" s="126" t="n">
        <f aca="false">L190/$R$3</f>
        <v>0</v>
      </c>
      <c r="U190" s="126" t="n">
        <f aca="false">I190/$R$3</f>
        <v>0</v>
      </c>
      <c r="V190" s="126" t="n">
        <f aca="false">M190/$R$3</f>
        <v>0</v>
      </c>
      <c r="W190" s="126" t="n">
        <f aca="false">N190/$R$3</f>
        <v>0</v>
      </c>
    </row>
    <row r="191" customFormat="false" ht="12.75" hidden="true" customHeight="false" outlineLevel="0" collapsed="false">
      <c r="A191" s="120" t="n">
        <f aca="false">A190+1</f>
        <v>37077</v>
      </c>
      <c r="B191" s="131" t="str">
        <f aca="false">INDEX('Master Data'!$A$2:$B$8,MATCH(WEEKDAY('Modesto Maranzana Power'!A191,3),'Master Data'!$A$2:$A$8,0),2)</f>
        <v>Th</v>
      </c>
      <c r="D191" s="124" t="n">
        <v>1870550.6931555</v>
      </c>
      <c r="E191" s="124" t="n">
        <v>0</v>
      </c>
      <c r="F191" s="124" t="n">
        <v>0</v>
      </c>
      <c r="G191" s="124" t="n">
        <v>0</v>
      </c>
      <c r="I191" s="124" t="n">
        <f aca="false">IF(MONTH($A191)=MONTH($A190),IF(G191=0,I190,G191),G191)</f>
        <v>0</v>
      </c>
      <c r="J191" s="124" t="n">
        <f aca="false">IF(MONTH($A191)=MONTH($A190),SUM(I191-I190),I191)</f>
        <v>0</v>
      </c>
      <c r="K191" s="124" t="n">
        <f aca="false">IF(WEEKDAY(A191,3)&gt;4,0,(IF(A191&lt;K$2,0,IF(A191&lt;=K$3,1,0))))</f>
        <v>0</v>
      </c>
      <c r="L191" s="124" t="n">
        <f aca="false">J191*K191</f>
        <v>0</v>
      </c>
      <c r="M191" s="124" t="n">
        <f aca="false">SUM(J$188:J191)</f>
        <v>0</v>
      </c>
      <c r="N191" s="124" t="n">
        <f aca="false">SUM(J$6:J191)</f>
        <v>0</v>
      </c>
      <c r="P191" s="124" t="n">
        <f aca="false">D191/P$3</f>
        <v>1.8705506931555</v>
      </c>
      <c r="Q191" s="124" t="n">
        <f aca="false">E191/P$3</f>
        <v>0</v>
      </c>
      <c r="R191" s="124" t="n">
        <f aca="false">F191/R$3</f>
        <v>0</v>
      </c>
      <c r="S191" s="126" t="n">
        <f aca="false">J191/$R$3</f>
        <v>0</v>
      </c>
      <c r="T191" s="126" t="n">
        <f aca="false">L191/$R$3</f>
        <v>0</v>
      </c>
      <c r="U191" s="126" t="n">
        <f aca="false">I191/$R$3</f>
        <v>0</v>
      </c>
      <c r="V191" s="126" t="n">
        <f aca="false">M191/$R$3</f>
        <v>0</v>
      </c>
      <c r="W191" s="126" t="n">
        <f aca="false">N191/$R$3</f>
        <v>0</v>
      </c>
    </row>
    <row r="192" customFormat="false" ht="12.75" hidden="true" customHeight="false" outlineLevel="0" collapsed="false">
      <c r="A192" s="120" t="n">
        <f aca="false">A191+1</f>
        <v>37078</v>
      </c>
      <c r="B192" s="131" t="str">
        <f aca="false">INDEX('Master Data'!$A$2:$B$8,MATCH(WEEKDAY('Modesto Maranzana Power'!A192,3),'Master Data'!$A$2:$A$8,0),2)</f>
        <v>F</v>
      </c>
      <c r="D192" s="124" t="n">
        <v>1993421.91991309</v>
      </c>
      <c r="E192" s="124"/>
      <c r="F192" s="124" t="n">
        <v>0</v>
      </c>
      <c r="G192" s="124" t="n">
        <v>0</v>
      </c>
      <c r="I192" s="124" t="n">
        <f aca="false">IF(MONTH($A192)=MONTH($A191),IF(G192=0,I191,G192),G192)</f>
        <v>0</v>
      </c>
      <c r="J192" s="124" t="n">
        <f aca="false">IF(MONTH($A192)=MONTH($A191),SUM(I192-I191),I192)</f>
        <v>0</v>
      </c>
      <c r="K192" s="124" t="n">
        <f aca="false">IF(WEEKDAY(A192,3)&gt;4,0,(IF(A192&lt;K$2,0,IF(A192&lt;=K$3,1,0))))</f>
        <v>0</v>
      </c>
      <c r="L192" s="124" t="n">
        <f aca="false">J192*K192</f>
        <v>0</v>
      </c>
      <c r="M192" s="124" t="n">
        <f aca="false">SUM(J$188:J192)</f>
        <v>0</v>
      </c>
      <c r="N192" s="124" t="n">
        <f aca="false">SUM(J$6:J192)</f>
        <v>0</v>
      </c>
      <c r="P192" s="124" t="n">
        <f aca="false">D192/P$3</f>
        <v>1.99342191991309</v>
      </c>
      <c r="Q192" s="124" t="n">
        <f aca="false">E192/P$3</f>
        <v>0</v>
      </c>
      <c r="R192" s="124" t="n">
        <f aca="false">F192/R$3</f>
        <v>0</v>
      </c>
      <c r="S192" s="126" t="n">
        <f aca="false">J192/$R$3</f>
        <v>0</v>
      </c>
      <c r="T192" s="126" t="n">
        <f aca="false">L192/$R$3</f>
        <v>0</v>
      </c>
      <c r="U192" s="126" t="n">
        <f aca="false">I192/$R$3</f>
        <v>0</v>
      </c>
      <c r="V192" s="126" t="n">
        <f aca="false">M192/$R$3</f>
        <v>0</v>
      </c>
      <c r="W192" s="126" t="n">
        <f aca="false">N192/$R$3</f>
        <v>0</v>
      </c>
    </row>
    <row r="193" customFormat="false" ht="12.75" hidden="true" customHeight="false" outlineLevel="0" collapsed="false">
      <c r="A193" s="120" t="n">
        <f aca="false">A192+1</f>
        <v>37079</v>
      </c>
      <c r="B193" s="131" t="str">
        <f aca="false">INDEX('Master Data'!$A$2:$B$8,MATCH(WEEKDAY('Modesto Maranzana Power'!A193,3),'Master Data'!$A$2:$A$8,0),2)</f>
        <v>Sa</v>
      </c>
      <c r="D193" s="124" t="n">
        <v>0</v>
      </c>
      <c r="E193" s="124" t="n">
        <v>0</v>
      </c>
      <c r="F193" s="124" t="n">
        <v>0</v>
      </c>
      <c r="G193" s="124" t="n">
        <v>0</v>
      </c>
      <c r="I193" s="124" t="n">
        <f aca="false">IF(MONTH($A193)=MONTH($A192),IF(G193=0,I192,G193),G193)</f>
        <v>0</v>
      </c>
      <c r="J193" s="124" t="n">
        <f aca="false">IF(MONTH($A193)=MONTH($A192),SUM(I193-I192),I193)</f>
        <v>0</v>
      </c>
      <c r="K193" s="124" t="n">
        <f aca="false">IF(WEEKDAY(A193,3)&gt;4,0,(IF(A193&lt;K$2,0,IF(A193&lt;=K$3,1,0))))</f>
        <v>0</v>
      </c>
      <c r="L193" s="124" t="n">
        <f aca="false">J193*K193</f>
        <v>0</v>
      </c>
      <c r="M193" s="124" t="n">
        <f aca="false">SUM(J$188:J193)</f>
        <v>0</v>
      </c>
      <c r="N193" s="124" t="n">
        <f aca="false">SUM(J$6:J193)</f>
        <v>0</v>
      </c>
      <c r="P193" s="124" t="n">
        <f aca="false">D193/P$3</f>
        <v>0</v>
      </c>
      <c r="Q193" s="124" t="n">
        <f aca="false">E193/P$3</f>
        <v>0</v>
      </c>
      <c r="R193" s="124" t="n">
        <f aca="false">F193/R$3</f>
        <v>0</v>
      </c>
      <c r="S193" s="126" t="n">
        <f aca="false">J193/$R$3</f>
        <v>0</v>
      </c>
      <c r="T193" s="126" t="n">
        <f aca="false">L193/$R$3</f>
        <v>0</v>
      </c>
      <c r="U193" s="126" t="n">
        <f aca="false">I193/$R$3</f>
        <v>0</v>
      </c>
      <c r="V193" s="126" t="n">
        <f aca="false">M193/$R$3</f>
        <v>0</v>
      </c>
      <c r="W193" s="126" t="n">
        <f aca="false">N193/$R$3</f>
        <v>0</v>
      </c>
    </row>
    <row r="194" customFormat="false" ht="12.75" hidden="true" customHeight="false" outlineLevel="0" collapsed="false">
      <c r="A194" s="120" t="n">
        <f aca="false">A193+1</f>
        <v>37080</v>
      </c>
      <c r="B194" s="131" t="str">
        <f aca="false">INDEX('Master Data'!$A$2:$B$8,MATCH(WEEKDAY('Modesto Maranzana Power'!A194,3),'Master Data'!$A$2:$A$8,0),2)</f>
        <v>Su</v>
      </c>
      <c r="D194" s="124" t="n">
        <v>0</v>
      </c>
      <c r="E194" s="124" t="n">
        <v>0</v>
      </c>
      <c r="F194" s="124" t="n">
        <v>0</v>
      </c>
      <c r="G194" s="124" t="n">
        <v>0</v>
      </c>
      <c r="I194" s="124" t="n">
        <f aca="false">IF(MONTH($A194)=MONTH($A193),IF(G194=0,I193,G194),G194)</f>
        <v>0</v>
      </c>
      <c r="J194" s="124" t="n">
        <f aca="false">IF(MONTH($A194)=MONTH($A193),SUM(I194-I193),I194)</f>
        <v>0</v>
      </c>
      <c r="K194" s="124" t="n">
        <f aca="false">IF(WEEKDAY(A194,3)&gt;4,0,(IF(A194&lt;K$2,0,IF(A194&lt;=K$3,1,0))))</f>
        <v>0</v>
      </c>
      <c r="L194" s="124" t="n">
        <f aca="false">J194*K194</f>
        <v>0</v>
      </c>
      <c r="M194" s="124" t="n">
        <f aca="false">SUM(J$188:J194)</f>
        <v>0</v>
      </c>
      <c r="N194" s="124" t="n">
        <f aca="false">SUM(J$6:J194)</f>
        <v>0</v>
      </c>
      <c r="P194" s="124" t="n">
        <f aca="false">D194/P$3</f>
        <v>0</v>
      </c>
      <c r="Q194" s="124" t="n">
        <f aca="false">E194/P$3</f>
        <v>0</v>
      </c>
      <c r="R194" s="124" t="n">
        <f aca="false">F194/R$3</f>
        <v>0</v>
      </c>
      <c r="S194" s="126" t="n">
        <f aca="false">J194/$R$3</f>
        <v>0</v>
      </c>
      <c r="T194" s="126" t="n">
        <f aca="false">L194/$R$3</f>
        <v>0</v>
      </c>
      <c r="U194" s="126" t="n">
        <f aca="false">I194/$R$3</f>
        <v>0</v>
      </c>
      <c r="V194" s="126" t="n">
        <f aca="false">M194/$R$3</f>
        <v>0</v>
      </c>
      <c r="W194" s="126" t="n">
        <f aca="false">N194/$R$3</f>
        <v>0</v>
      </c>
    </row>
    <row r="195" customFormat="false" ht="12.75" hidden="true" customHeight="false" outlineLevel="0" collapsed="false">
      <c r="A195" s="120" t="n">
        <f aca="false">A194+1</f>
        <v>37081</v>
      </c>
      <c r="B195" s="131" t="str">
        <f aca="false">INDEX('Master Data'!$A$2:$B$8,MATCH(WEEKDAY('Modesto Maranzana Power'!A195,3),'Master Data'!$A$2:$A$8,0),2)</f>
        <v>M</v>
      </c>
      <c r="D195" s="124" t="n">
        <v>1995882.18954609</v>
      </c>
      <c r="E195" s="124" t="n">
        <v>0</v>
      </c>
      <c r="F195" s="124" t="n">
        <v>0</v>
      </c>
      <c r="G195" s="124" t="n">
        <v>0</v>
      </c>
      <c r="I195" s="124" t="n">
        <f aca="false">IF(MONTH($A195)=MONTH($A194),IF(G195=0,I194,G195),G195)</f>
        <v>0</v>
      </c>
      <c r="J195" s="124" t="n">
        <f aca="false">IF(MONTH($A195)=MONTH($A194),SUM(I195-I194),I195)</f>
        <v>0</v>
      </c>
      <c r="K195" s="124" t="n">
        <f aca="false">IF(WEEKDAY(A195,3)&gt;4,0,(IF(A195&lt;K$2,0,IF(A195&lt;=K$3,1,0))))</f>
        <v>0</v>
      </c>
      <c r="L195" s="124" t="n">
        <f aca="false">J195*K195</f>
        <v>0</v>
      </c>
      <c r="M195" s="124" t="n">
        <f aca="false">SUM(J$188:J195)</f>
        <v>0</v>
      </c>
      <c r="N195" s="124" t="n">
        <f aca="false">SUM(J$6:J195)</f>
        <v>0</v>
      </c>
      <c r="P195" s="124" t="n">
        <f aca="false">D195/P$3</f>
        <v>1.99588218954609</v>
      </c>
      <c r="Q195" s="124" t="n">
        <f aca="false">E195/P$3</f>
        <v>0</v>
      </c>
      <c r="R195" s="124" t="n">
        <f aca="false">F195/R$3</f>
        <v>0</v>
      </c>
      <c r="S195" s="126" t="n">
        <f aca="false">J195/$R$3</f>
        <v>0</v>
      </c>
      <c r="T195" s="126" t="n">
        <f aca="false">L195/$R$3</f>
        <v>0</v>
      </c>
      <c r="U195" s="126" t="n">
        <f aca="false">I195/$R$3</f>
        <v>0</v>
      </c>
      <c r="V195" s="126" t="n">
        <f aca="false">M195/$R$3</f>
        <v>0</v>
      </c>
      <c r="W195" s="126" t="n">
        <f aca="false">N195/$R$3</f>
        <v>0</v>
      </c>
    </row>
    <row r="196" customFormat="false" ht="12.75" hidden="true" customHeight="false" outlineLevel="0" collapsed="false">
      <c r="A196" s="120" t="n">
        <f aca="false">A195+1</f>
        <v>37082</v>
      </c>
      <c r="B196" s="131" t="str">
        <f aca="false">INDEX('Master Data'!$A$2:$B$8,MATCH(WEEKDAY('Modesto Maranzana Power'!A196,3),'Master Data'!$A$2:$A$8,0),2)</f>
        <v>T</v>
      </c>
      <c r="D196" s="124" t="n">
        <v>1995877.95785641</v>
      </c>
      <c r="E196" s="124" t="n">
        <v>0</v>
      </c>
      <c r="F196" s="124" t="n">
        <v>0</v>
      </c>
      <c r="G196" s="124" t="n">
        <v>0</v>
      </c>
      <c r="I196" s="124" t="n">
        <f aca="false">IF(MONTH($A196)=MONTH($A195),IF(G196=0,I195,G196),G196)</f>
        <v>0</v>
      </c>
      <c r="J196" s="124" t="n">
        <f aca="false">IF(MONTH($A196)=MONTH($A195),SUM(I196-I195),I196)</f>
        <v>0</v>
      </c>
      <c r="K196" s="124" t="n">
        <f aca="false">IF(WEEKDAY(A196,3)&gt;4,0,(IF(A196&lt;K$2,0,IF(A196&lt;=K$3,1,0))))</f>
        <v>0</v>
      </c>
      <c r="L196" s="124" t="n">
        <f aca="false">J196*K196</f>
        <v>0</v>
      </c>
      <c r="M196" s="124" t="n">
        <f aca="false">SUM(J$188:J196)</f>
        <v>0</v>
      </c>
      <c r="N196" s="124" t="n">
        <f aca="false">SUM(J$6:J196)</f>
        <v>0</v>
      </c>
      <c r="P196" s="124" t="n">
        <f aca="false">D196/P$3</f>
        <v>1.99587795785641</v>
      </c>
      <c r="Q196" s="124" t="n">
        <f aca="false">E196/P$3</f>
        <v>0</v>
      </c>
      <c r="R196" s="124" t="n">
        <f aca="false">F196/R$3</f>
        <v>0</v>
      </c>
      <c r="S196" s="126" t="n">
        <f aca="false">J196/$R$3</f>
        <v>0</v>
      </c>
      <c r="T196" s="126" t="n">
        <f aca="false">L196/$R$3</f>
        <v>0</v>
      </c>
      <c r="U196" s="126" t="n">
        <f aca="false">I196/$R$3</f>
        <v>0</v>
      </c>
      <c r="V196" s="126" t="n">
        <f aca="false">M196/$R$3</f>
        <v>0</v>
      </c>
      <c r="W196" s="126" t="n">
        <f aca="false">N196/$R$3</f>
        <v>0</v>
      </c>
    </row>
    <row r="197" customFormat="false" ht="12.75" hidden="true" customHeight="false" outlineLevel="0" collapsed="false">
      <c r="A197" s="120" t="n">
        <f aca="false">A196+1</f>
        <v>37083</v>
      </c>
      <c r="B197" s="131" t="str">
        <f aca="false">INDEX('Master Data'!$A$2:$B$8,MATCH(WEEKDAY('Modesto Maranzana Power'!A197,3),'Master Data'!$A$2:$A$8,0),2)</f>
        <v>W</v>
      </c>
      <c r="D197" s="124" t="n">
        <v>1997523.83493216</v>
      </c>
      <c r="E197" s="124" t="n">
        <v>0</v>
      </c>
      <c r="F197" s="124" t="n">
        <v>0</v>
      </c>
      <c r="G197" s="124" t="n">
        <v>0</v>
      </c>
      <c r="I197" s="124" t="n">
        <f aca="false">IF(MONTH($A197)=MONTH($A196),IF(G197=0,I196,G197),G197)</f>
        <v>0</v>
      </c>
      <c r="J197" s="124" t="n">
        <f aca="false">IF(MONTH($A197)=MONTH($A196),SUM(I197-I196),I197)</f>
        <v>0</v>
      </c>
      <c r="K197" s="124" t="n">
        <f aca="false">IF(WEEKDAY(A197,3)&gt;4,0,(IF(A197&lt;K$2,0,IF(A197&lt;=K$3,1,0))))</f>
        <v>0</v>
      </c>
      <c r="L197" s="124" t="n">
        <f aca="false">J197*K197</f>
        <v>0</v>
      </c>
      <c r="M197" s="124" t="n">
        <f aca="false">SUM(J$188:J197)</f>
        <v>0</v>
      </c>
      <c r="N197" s="124" t="n">
        <f aca="false">SUM(J$6:J197)</f>
        <v>0</v>
      </c>
      <c r="P197" s="124" t="n">
        <f aca="false">D197/P$3</f>
        <v>1.99752383493216</v>
      </c>
      <c r="Q197" s="124" t="n">
        <f aca="false">E197/P$3</f>
        <v>0</v>
      </c>
      <c r="R197" s="124" t="n">
        <f aca="false">F197/R$3</f>
        <v>0</v>
      </c>
      <c r="S197" s="126" t="n">
        <f aca="false">J197/$R$3</f>
        <v>0</v>
      </c>
      <c r="T197" s="126" t="n">
        <f aca="false">L197/$R$3</f>
        <v>0</v>
      </c>
      <c r="U197" s="126" t="n">
        <f aca="false">I197/$R$3</f>
        <v>0</v>
      </c>
      <c r="V197" s="126" t="n">
        <f aca="false">M197/$R$3</f>
        <v>0</v>
      </c>
      <c r="W197" s="126" t="n">
        <f aca="false">N197/$R$3</f>
        <v>0</v>
      </c>
    </row>
    <row r="198" customFormat="false" ht="12.75" hidden="true" customHeight="false" outlineLevel="0" collapsed="false">
      <c r="A198" s="120" t="n">
        <f aca="false">A197+1</f>
        <v>37084</v>
      </c>
      <c r="B198" s="131" t="str">
        <f aca="false">INDEX('Master Data'!$A$2:$B$8,MATCH(WEEKDAY('Modesto Maranzana Power'!A198,3),'Master Data'!$A$2:$A$8,0),2)</f>
        <v>Th</v>
      </c>
      <c r="D198" s="124" t="n">
        <v>1997446.81883362</v>
      </c>
      <c r="E198" s="124" t="n">
        <v>0</v>
      </c>
      <c r="F198" s="124" t="n">
        <v>0</v>
      </c>
      <c r="G198" s="124" t="n">
        <v>0</v>
      </c>
      <c r="I198" s="124" t="n">
        <f aca="false">IF(MONTH($A198)=MONTH($A197),IF(G198=0,I197,G198),G198)</f>
        <v>0</v>
      </c>
      <c r="J198" s="124" t="n">
        <f aca="false">IF(MONTH($A198)=MONTH($A197),SUM(I198-I197),I198)</f>
        <v>0</v>
      </c>
      <c r="K198" s="124" t="n">
        <f aca="false">IF(WEEKDAY(A198,3)&gt;4,0,(IF(A198&lt;K$2,0,IF(A198&lt;=K$3,1,0))))</f>
        <v>0</v>
      </c>
      <c r="L198" s="124" t="n">
        <f aca="false">J198*K198</f>
        <v>0</v>
      </c>
      <c r="M198" s="124" t="n">
        <f aca="false">SUM(J$188:J198)</f>
        <v>0</v>
      </c>
      <c r="N198" s="124" t="n">
        <f aca="false">SUM(J$6:J198)</f>
        <v>0</v>
      </c>
      <c r="P198" s="124" t="n">
        <f aca="false">D198/P$3</f>
        <v>1.99744681883362</v>
      </c>
      <c r="Q198" s="124" t="n">
        <f aca="false">E198/P$3</f>
        <v>0</v>
      </c>
      <c r="R198" s="124" t="n">
        <f aca="false">F198/R$3</f>
        <v>0</v>
      </c>
      <c r="S198" s="126" t="n">
        <f aca="false">J198/$R$3</f>
        <v>0</v>
      </c>
      <c r="T198" s="126" t="n">
        <f aca="false">L198/$R$3</f>
        <v>0</v>
      </c>
      <c r="U198" s="126" t="n">
        <f aca="false">I198/$R$3</f>
        <v>0</v>
      </c>
      <c r="V198" s="126" t="n">
        <f aca="false">M198/$R$3</f>
        <v>0</v>
      </c>
      <c r="W198" s="126" t="n">
        <f aca="false">N198/$R$3</f>
        <v>0</v>
      </c>
    </row>
    <row r="199" customFormat="false" ht="12.75" hidden="true" customHeight="false" outlineLevel="0" collapsed="false">
      <c r="A199" s="120" t="n">
        <f aca="false">A198+1</f>
        <v>37085</v>
      </c>
      <c r="B199" s="131" t="str">
        <f aca="false">INDEX('Master Data'!$A$2:$B$8,MATCH(WEEKDAY('Modesto Maranzana Power'!A199,3),'Master Data'!$A$2:$A$8,0),2)</f>
        <v>F</v>
      </c>
      <c r="D199" s="124" t="n">
        <v>1995536.45869041</v>
      </c>
      <c r="E199" s="124" t="n">
        <v>0</v>
      </c>
      <c r="F199" s="124" t="n">
        <v>0</v>
      </c>
      <c r="G199" s="124" t="n">
        <v>0</v>
      </c>
      <c r="I199" s="124" t="n">
        <f aca="false">IF(MONTH($A199)=MONTH($A198),IF(G199=0,I198,G199),G199)</f>
        <v>0</v>
      </c>
      <c r="J199" s="124" t="n">
        <f aca="false">IF(MONTH($A199)=MONTH($A198),SUM(I199-I198),I199)</f>
        <v>0</v>
      </c>
      <c r="K199" s="124" t="n">
        <f aca="false">IF(WEEKDAY(A199,3)&gt;4,0,(IF(A199&lt;K$2,0,IF(A199&lt;=K$3,1,0))))</f>
        <v>0</v>
      </c>
      <c r="L199" s="124" t="n">
        <f aca="false">J199*K199</f>
        <v>0</v>
      </c>
      <c r="M199" s="124" t="n">
        <f aca="false">SUM(J$188:J199)</f>
        <v>0</v>
      </c>
      <c r="N199" s="124" t="n">
        <f aca="false">SUM(J$6:J199)</f>
        <v>0</v>
      </c>
      <c r="P199" s="124" t="n">
        <f aca="false">D199/P$3</f>
        <v>1.99553645869041</v>
      </c>
      <c r="Q199" s="124" t="n">
        <f aca="false">E199/P$3</f>
        <v>0</v>
      </c>
      <c r="R199" s="124" t="n">
        <f aca="false">F199/R$3</f>
        <v>0</v>
      </c>
      <c r="S199" s="126" t="n">
        <f aca="false">J199/$R$3</f>
        <v>0</v>
      </c>
      <c r="T199" s="126" t="n">
        <f aca="false">L199/$R$3</f>
        <v>0</v>
      </c>
      <c r="U199" s="126" t="n">
        <f aca="false">I199/$R$3</f>
        <v>0</v>
      </c>
      <c r="V199" s="126" t="n">
        <f aca="false">M199/$R$3</f>
        <v>0</v>
      </c>
      <c r="W199" s="126" t="n">
        <f aca="false">N199/$R$3</f>
        <v>0</v>
      </c>
    </row>
    <row r="200" customFormat="false" ht="12.75" hidden="true" customHeight="false" outlineLevel="0" collapsed="false">
      <c r="A200" s="120" t="n">
        <f aca="false">A199+1</f>
        <v>37086</v>
      </c>
      <c r="B200" s="131" t="str">
        <f aca="false">INDEX('Master Data'!$A$2:$B$8,MATCH(WEEKDAY('Modesto Maranzana Power'!A200,3),'Master Data'!$A$2:$A$8,0),2)</f>
        <v>Sa</v>
      </c>
      <c r="D200" s="124" t="n">
        <v>0</v>
      </c>
      <c r="E200" s="124" t="n">
        <v>0</v>
      </c>
      <c r="F200" s="124" t="n">
        <v>0</v>
      </c>
      <c r="G200" s="124" t="n">
        <v>0</v>
      </c>
      <c r="I200" s="124" t="n">
        <f aca="false">IF(MONTH($A200)=MONTH($A199),IF(G200=0,I199,G200),G200)</f>
        <v>0</v>
      </c>
      <c r="J200" s="124" t="n">
        <f aca="false">IF(MONTH($A200)=MONTH($A199),SUM(I200-I199),I200)</f>
        <v>0</v>
      </c>
      <c r="K200" s="124" t="n">
        <f aca="false">IF(WEEKDAY(A200,3)&gt;4,0,(IF(A200&lt;K$2,0,IF(A200&lt;=K$3,1,0))))</f>
        <v>0</v>
      </c>
      <c r="L200" s="124" t="n">
        <f aca="false">J200*K200</f>
        <v>0</v>
      </c>
      <c r="M200" s="124" t="n">
        <f aca="false">SUM(J$188:J200)</f>
        <v>0</v>
      </c>
      <c r="N200" s="124" t="n">
        <f aca="false">SUM(J$6:J200)</f>
        <v>0</v>
      </c>
      <c r="P200" s="124" t="n">
        <f aca="false">D200/P$3</f>
        <v>0</v>
      </c>
      <c r="Q200" s="124" t="n">
        <f aca="false">E200/P$3</f>
        <v>0</v>
      </c>
      <c r="R200" s="124" t="n">
        <f aca="false">F200/R$3</f>
        <v>0</v>
      </c>
      <c r="S200" s="126" t="n">
        <f aca="false">J200/$R$3</f>
        <v>0</v>
      </c>
      <c r="T200" s="126" t="n">
        <f aca="false">L200/$R$3</f>
        <v>0</v>
      </c>
      <c r="U200" s="126" t="n">
        <f aca="false">I200/$R$3</f>
        <v>0</v>
      </c>
      <c r="V200" s="126" t="n">
        <f aca="false">M200/$R$3</f>
        <v>0</v>
      </c>
      <c r="W200" s="126" t="n">
        <f aca="false">N200/$R$3</f>
        <v>0</v>
      </c>
    </row>
    <row r="201" customFormat="false" ht="12.75" hidden="true" customHeight="false" outlineLevel="0" collapsed="false">
      <c r="A201" s="120" t="n">
        <f aca="false">A200+1</f>
        <v>37087</v>
      </c>
      <c r="B201" s="131" t="str">
        <f aca="false">INDEX('Master Data'!$A$2:$B$8,MATCH(WEEKDAY('Modesto Maranzana Power'!A201,3),'Master Data'!$A$2:$A$8,0),2)</f>
        <v>Su</v>
      </c>
      <c r="D201" s="124" t="n">
        <v>0</v>
      </c>
      <c r="E201" s="124" t="n">
        <v>0</v>
      </c>
      <c r="F201" s="124" t="n">
        <v>0</v>
      </c>
      <c r="G201" s="124" t="n">
        <v>0</v>
      </c>
      <c r="I201" s="124" t="n">
        <f aca="false">IF(MONTH($A201)=MONTH($A200),IF(G201=0,I200,G201),G201)</f>
        <v>0</v>
      </c>
      <c r="J201" s="124" t="n">
        <f aca="false">IF(MONTH($A201)=MONTH($A200),SUM(I201-I200),I201)</f>
        <v>0</v>
      </c>
      <c r="K201" s="124" t="n">
        <f aca="false">IF(WEEKDAY(A201,3)&gt;4,0,(IF(A201&lt;K$2,0,IF(A201&lt;=K$3,1,0))))</f>
        <v>0</v>
      </c>
      <c r="L201" s="124" t="n">
        <f aca="false">J201*K201</f>
        <v>0</v>
      </c>
      <c r="M201" s="124" t="n">
        <f aca="false">SUM(J$188:J201)</f>
        <v>0</v>
      </c>
      <c r="N201" s="124" t="n">
        <f aca="false">SUM(J$6:J201)</f>
        <v>0</v>
      </c>
      <c r="P201" s="124" t="n">
        <f aca="false">D201/P$3</f>
        <v>0</v>
      </c>
      <c r="Q201" s="124" t="n">
        <f aca="false">E201/P$3</f>
        <v>0</v>
      </c>
      <c r="R201" s="124" t="n">
        <f aca="false">F201/R$3</f>
        <v>0</v>
      </c>
      <c r="S201" s="126" t="n">
        <f aca="false">J201/$R$3</f>
        <v>0</v>
      </c>
      <c r="T201" s="126" t="n">
        <f aca="false">L201/$R$3</f>
        <v>0</v>
      </c>
      <c r="U201" s="126" t="n">
        <f aca="false">I201/$R$3</f>
        <v>0</v>
      </c>
      <c r="V201" s="126" t="n">
        <f aca="false">M201/$R$3</f>
        <v>0</v>
      </c>
      <c r="W201" s="126" t="n">
        <f aca="false">N201/$R$3</f>
        <v>0</v>
      </c>
    </row>
    <row r="202" customFormat="false" ht="12.75" hidden="true" customHeight="false" outlineLevel="0" collapsed="false">
      <c r="A202" s="120" t="n">
        <f aca="false">A201+1</f>
        <v>37088</v>
      </c>
      <c r="B202" s="131" t="str">
        <f aca="false">INDEX('Master Data'!$A$2:$B$8,MATCH(WEEKDAY('Modesto Maranzana Power'!A202,3),'Master Data'!$A$2:$A$8,0),2)</f>
        <v>M</v>
      </c>
      <c r="D202" s="124" t="n">
        <v>1994140.66784022</v>
      </c>
      <c r="E202" s="124" t="n">
        <v>0</v>
      </c>
      <c r="F202" s="124" t="n">
        <v>0</v>
      </c>
      <c r="G202" s="124" t="n">
        <v>-647186.49</v>
      </c>
      <c r="I202" s="124" t="n">
        <f aca="false">IF(MONTH($A202)=MONTH($A201),IF(G202=0,I201,G202),G202)</f>
        <v>-647186.49</v>
      </c>
      <c r="J202" s="124" t="n">
        <f aca="false">IF(MONTH($A202)=MONTH($A201),SUM(I202-I201),I202)</f>
        <v>-647186.49</v>
      </c>
      <c r="K202" s="124" t="n">
        <f aca="false">IF(WEEKDAY(A202,3)&gt;4,0,(IF(A202&lt;K$2,0,IF(A202&lt;=K$3,1,0))))</f>
        <v>0</v>
      </c>
      <c r="L202" s="124" t="n">
        <f aca="false">J202*K202</f>
        <v>-0</v>
      </c>
      <c r="M202" s="124" t="n">
        <f aca="false">SUM(J$188:J202)</f>
        <v>-647186.49</v>
      </c>
      <c r="N202" s="124" t="n">
        <f aca="false">SUM(J$6:J202)</f>
        <v>-647186.49</v>
      </c>
      <c r="P202" s="124" t="n">
        <f aca="false">D202/P$3</f>
        <v>1.99414066784022</v>
      </c>
      <c r="Q202" s="124" t="n">
        <f aca="false">E202/P$3</f>
        <v>0</v>
      </c>
      <c r="R202" s="124" t="n">
        <f aca="false">F202/R$3</f>
        <v>0</v>
      </c>
      <c r="S202" s="126" t="n">
        <f aca="false">J202/$R$3</f>
        <v>-647.18649</v>
      </c>
      <c r="T202" s="126" t="n">
        <f aca="false">L202/$R$3</f>
        <v>-0</v>
      </c>
      <c r="U202" s="126" t="n">
        <f aca="false">I202/$R$3</f>
        <v>-647.18649</v>
      </c>
      <c r="V202" s="126" t="n">
        <f aca="false">M202/$R$3</f>
        <v>-647.18649</v>
      </c>
      <c r="W202" s="126" t="n">
        <f aca="false">N202/$R$3</f>
        <v>-647.18649</v>
      </c>
    </row>
    <row r="203" customFormat="false" ht="12.75" hidden="true" customHeight="false" outlineLevel="0" collapsed="false">
      <c r="A203" s="120" t="n">
        <f aca="false">A202+1</f>
        <v>37089</v>
      </c>
      <c r="B203" s="131" t="str">
        <f aca="false">INDEX('Master Data'!$A$2:$B$8,MATCH(WEEKDAY('Modesto Maranzana Power'!A203,3),'Master Data'!$A$2:$A$8,0),2)</f>
        <v>T</v>
      </c>
      <c r="D203" s="124" t="n">
        <v>1995266.25</v>
      </c>
      <c r="E203" s="124" t="n">
        <v>0</v>
      </c>
      <c r="F203" s="124" t="n">
        <v>0</v>
      </c>
      <c r="G203" s="124" t="n">
        <v>-647580.19</v>
      </c>
      <c r="I203" s="124" t="n">
        <f aca="false">IF(MONTH($A203)=MONTH($A202),IF(G203=0,I202,G203),G203)</f>
        <v>-647580.19</v>
      </c>
      <c r="J203" s="124" t="n">
        <f aca="false">IF(MONTH($A203)=MONTH($A202),SUM(I203-I202),I203)</f>
        <v>-393.699999999953</v>
      </c>
      <c r="K203" s="124" t="n">
        <f aca="false">IF(WEEKDAY(A203,3)&gt;4,0,(IF(A203&lt;K$2,0,IF(A203&lt;=K$3,1,0))))</f>
        <v>0</v>
      </c>
      <c r="L203" s="124" t="n">
        <f aca="false">J203*K203</f>
        <v>-0</v>
      </c>
      <c r="M203" s="124" t="n">
        <f aca="false">SUM(J$188:J203)</f>
        <v>-647580.19</v>
      </c>
      <c r="N203" s="124" t="n">
        <f aca="false">SUM(J$6:J203)</f>
        <v>-647580.19</v>
      </c>
      <c r="P203" s="124" t="n">
        <f aca="false">D203/P$3</f>
        <v>1.99526625</v>
      </c>
      <c r="Q203" s="124" t="n">
        <f aca="false">E203/P$3</f>
        <v>0</v>
      </c>
      <c r="R203" s="124" t="n">
        <f aca="false">F203/R$3</f>
        <v>0</v>
      </c>
      <c r="S203" s="126" t="n">
        <f aca="false">J203/$R$3</f>
        <v>-0.393699999999953</v>
      </c>
      <c r="T203" s="126" t="n">
        <f aca="false">L203/$R$3</f>
        <v>-0</v>
      </c>
      <c r="U203" s="126" t="n">
        <f aca="false">I203/$R$3</f>
        <v>-647.58019</v>
      </c>
      <c r="V203" s="126" t="n">
        <f aca="false">M203/$R$3</f>
        <v>-647.58019</v>
      </c>
      <c r="W203" s="126" t="n">
        <f aca="false">N203/$R$3</f>
        <v>-647.58019</v>
      </c>
    </row>
    <row r="204" customFormat="false" ht="12.75" hidden="true" customHeight="false" outlineLevel="0" collapsed="false">
      <c r="A204" s="120" t="n">
        <f aca="false">A203+1</f>
        <v>37090</v>
      </c>
      <c r="B204" s="131" t="str">
        <f aca="false">INDEX('Master Data'!$A$2:$B$8,MATCH(WEEKDAY('Modesto Maranzana Power'!A204,3),'Master Data'!$A$2:$A$8,0),2)</f>
        <v>W</v>
      </c>
      <c r="D204" s="124" t="n">
        <v>1994683.68852632</v>
      </c>
      <c r="E204" s="124" t="n">
        <v>0</v>
      </c>
      <c r="F204" s="124" t="n">
        <v>0</v>
      </c>
      <c r="G204" s="124" t="n">
        <v>-651729</v>
      </c>
      <c r="I204" s="124" t="n">
        <f aca="false">IF(MONTH($A204)=MONTH($A203),IF(G204=0,I203,G204),G204)</f>
        <v>-651729</v>
      </c>
      <c r="J204" s="124" t="n">
        <f aca="false">IF(MONTH($A204)=MONTH($A203),SUM(I204-I203),I204)</f>
        <v>-4148.81000000006</v>
      </c>
      <c r="K204" s="124" t="n">
        <f aca="false">IF(WEEKDAY(A204,3)&gt;4,0,(IF(A204&lt;K$2,0,IF(A204&lt;=K$3,1,0))))</f>
        <v>0</v>
      </c>
      <c r="L204" s="124" t="n">
        <f aca="false">J204*K204</f>
        <v>-0</v>
      </c>
      <c r="M204" s="124" t="n">
        <f aca="false">SUM(J$188:J204)</f>
        <v>-651729</v>
      </c>
      <c r="N204" s="124" t="n">
        <f aca="false">SUM(J$6:J204)</f>
        <v>-651729</v>
      </c>
      <c r="P204" s="124" t="n">
        <f aca="false">D204/P$3</f>
        <v>1.99468368852632</v>
      </c>
      <c r="Q204" s="124" t="n">
        <f aca="false">E204/P$3</f>
        <v>0</v>
      </c>
      <c r="R204" s="124" t="n">
        <f aca="false">F204/R$3</f>
        <v>0</v>
      </c>
      <c r="S204" s="126" t="n">
        <f aca="false">J204/$R$3</f>
        <v>-4.14881000000006</v>
      </c>
      <c r="T204" s="126" t="n">
        <f aca="false">L204/$R$3</f>
        <v>-0</v>
      </c>
      <c r="U204" s="126" t="n">
        <f aca="false">I204/$R$3</f>
        <v>-651.729</v>
      </c>
      <c r="V204" s="126" t="n">
        <f aca="false">M204/$R$3</f>
        <v>-651.729</v>
      </c>
      <c r="W204" s="126" t="n">
        <f aca="false">N204/$R$3</f>
        <v>-651.729</v>
      </c>
    </row>
    <row r="205" customFormat="false" ht="12.75" hidden="true" customHeight="false" outlineLevel="0" collapsed="false">
      <c r="A205" s="120" t="n">
        <f aca="false">A204+1</f>
        <v>37091</v>
      </c>
      <c r="B205" s="131" t="str">
        <f aca="false">INDEX('Master Data'!$A$2:$B$8,MATCH(WEEKDAY('Modesto Maranzana Power'!A205,3),'Master Data'!$A$2:$A$8,0),2)</f>
        <v>Th</v>
      </c>
      <c r="D205" s="124" t="n">
        <v>2000453.84817347</v>
      </c>
      <c r="E205" s="124" t="n">
        <v>0</v>
      </c>
      <c r="F205" s="124" t="n">
        <v>0</v>
      </c>
      <c r="G205" s="124" t="n">
        <v>-644261</v>
      </c>
      <c r="I205" s="124" t="n">
        <f aca="false">IF(MONTH($A205)=MONTH($A204),IF(G205=0,I204,G205),G205)</f>
        <v>-644261</v>
      </c>
      <c r="J205" s="124" t="n">
        <f aca="false">IF(MONTH($A205)=MONTH($A204),SUM(I205-I204),I205)</f>
        <v>7468</v>
      </c>
      <c r="K205" s="124" t="n">
        <f aca="false">IF(WEEKDAY(A205,3)&gt;4,0,(IF(A205&lt;K$2,0,IF(A205&lt;=K$3,1,0))))</f>
        <v>0</v>
      </c>
      <c r="L205" s="124" t="n">
        <f aca="false">J205*K205</f>
        <v>0</v>
      </c>
      <c r="M205" s="124" t="n">
        <f aca="false">SUM(J$188:J205)</f>
        <v>-644261</v>
      </c>
      <c r="N205" s="124" t="n">
        <f aca="false">SUM(J$6:J205)</f>
        <v>-644261</v>
      </c>
      <c r="P205" s="124" t="n">
        <f aca="false">D205/P$3</f>
        <v>2.00045384817347</v>
      </c>
      <c r="Q205" s="124" t="n">
        <f aca="false">E205/P$3</f>
        <v>0</v>
      </c>
      <c r="R205" s="124" t="n">
        <f aca="false">F205/R$3</f>
        <v>0</v>
      </c>
      <c r="S205" s="126" t="n">
        <f aca="false">J205/$R$3</f>
        <v>7.468</v>
      </c>
      <c r="T205" s="126" t="n">
        <f aca="false">L205/$R$3</f>
        <v>0</v>
      </c>
      <c r="U205" s="126" t="n">
        <f aca="false">I205/$R$3</f>
        <v>-644.261</v>
      </c>
      <c r="V205" s="126" t="n">
        <f aca="false">M205/$R$3</f>
        <v>-644.261</v>
      </c>
      <c r="W205" s="126" t="n">
        <f aca="false">N205/$R$3</f>
        <v>-644.261</v>
      </c>
    </row>
    <row r="206" customFormat="false" ht="12.75" hidden="true" customHeight="false" outlineLevel="0" collapsed="false">
      <c r="A206" s="120" t="n">
        <f aca="false">A205+1</f>
        <v>37092</v>
      </c>
      <c r="B206" s="131" t="str">
        <f aca="false">INDEX('Master Data'!$A$2:$B$8,MATCH(WEEKDAY('Modesto Maranzana Power'!A206,3),'Master Data'!$A$2:$A$8,0),2)</f>
        <v>F</v>
      </c>
      <c r="D206" s="124" t="n">
        <v>1999130.97872089</v>
      </c>
      <c r="E206" s="124" t="n">
        <v>0</v>
      </c>
      <c r="F206" s="124" t="n">
        <v>0</v>
      </c>
      <c r="G206" s="124" t="n">
        <v>-651348</v>
      </c>
      <c r="I206" s="124" t="n">
        <f aca="false">IF(MONTH($A206)=MONTH($A205),IF(G206=0,I205,G206),G206)</f>
        <v>-651348</v>
      </c>
      <c r="J206" s="124" t="n">
        <f aca="false">IF(MONTH($A206)=MONTH($A205),SUM(I206-I205),I206)</f>
        <v>-7087</v>
      </c>
      <c r="K206" s="124" t="n">
        <f aca="false">IF(WEEKDAY(A206,3)&gt;4,0,(IF(A206&lt;K$2,0,IF(A206&lt;=K$3,1,0))))</f>
        <v>0</v>
      </c>
      <c r="L206" s="124" t="n">
        <f aca="false">J206*K206</f>
        <v>-0</v>
      </c>
      <c r="M206" s="124" t="n">
        <f aca="false">SUM(J$188:J206)</f>
        <v>-651348</v>
      </c>
      <c r="N206" s="124" t="n">
        <f aca="false">SUM(J$6:J206)</f>
        <v>-651348</v>
      </c>
      <c r="P206" s="124" t="n">
        <f aca="false">D206/P$3</f>
        <v>1.99913097872089</v>
      </c>
      <c r="Q206" s="124" t="n">
        <f aca="false">E206/P$3</f>
        <v>0</v>
      </c>
      <c r="R206" s="124" t="n">
        <f aca="false">F206/R$3</f>
        <v>0</v>
      </c>
      <c r="S206" s="126" t="n">
        <f aca="false">J206/$R$3</f>
        <v>-7.087</v>
      </c>
      <c r="T206" s="126" t="n">
        <f aca="false">L206/$R$3</f>
        <v>-0</v>
      </c>
      <c r="U206" s="126" t="n">
        <f aca="false">I206/$R$3</f>
        <v>-651.348</v>
      </c>
      <c r="V206" s="126" t="n">
        <f aca="false">M206/$R$3</f>
        <v>-651.348</v>
      </c>
      <c r="W206" s="126" t="n">
        <f aca="false">N206/$R$3</f>
        <v>-651.348</v>
      </c>
    </row>
    <row r="207" customFormat="false" ht="12.75" hidden="true" customHeight="false" outlineLevel="0" collapsed="false">
      <c r="A207" s="120" t="n">
        <f aca="false">A206+1</f>
        <v>37093</v>
      </c>
      <c r="B207" s="131" t="str">
        <f aca="false">INDEX('Master Data'!$A$2:$B$8,MATCH(WEEKDAY('Modesto Maranzana Power'!A207,3),'Master Data'!$A$2:$A$8,0),2)</f>
        <v>Sa</v>
      </c>
      <c r="D207" s="124" t="n">
        <v>0</v>
      </c>
      <c r="E207" s="124" t="n">
        <v>0</v>
      </c>
      <c r="F207" s="124" t="n">
        <v>0</v>
      </c>
      <c r="G207" s="124" t="n">
        <v>0</v>
      </c>
      <c r="I207" s="124" t="n">
        <f aca="false">IF(MONTH($A207)=MONTH($A206),IF(G207=0,I206,G207),G207)</f>
        <v>-651348</v>
      </c>
      <c r="J207" s="124" t="n">
        <f aca="false">IF(MONTH($A207)=MONTH($A206),SUM(I207-I206),I207)</f>
        <v>0</v>
      </c>
      <c r="K207" s="124" t="n">
        <f aca="false">IF(WEEKDAY(A207,3)&gt;4,0,(IF(A207&lt;K$2,0,IF(A207&lt;=K$3,1,0))))</f>
        <v>0</v>
      </c>
      <c r="L207" s="124" t="n">
        <f aca="false">J207*K207</f>
        <v>0</v>
      </c>
      <c r="M207" s="124" t="n">
        <f aca="false">SUM(J$188:J207)</f>
        <v>-651348</v>
      </c>
      <c r="N207" s="124" t="n">
        <f aca="false">SUM(J$6:J207)</f>
        <v>-651348</v>
      </c>
      <c r="P207" s="124" t="n">
        <f aca="false">D207/P$3</f>
        <v>0</v>
      </c>
      <c r="Q207" s="124" t="n">
        <f aca="false">E207/P$3</f>
        <v>0</v>
      </c>
      <c r="R207" s="124" t="n">
        <f aca="false">F207/R$3</f>
        <v>0</v>
      </c>
      <c r="S207" s="126" t="n">
        <f aca="false">J207/$R$3</f>
        <v>0</v>
      </c>
      <c r="T207" s="126" t="n">
        <f aca="false">L207/$R$3</f>
        <v>0</v>
      </c>
      <c r="U207" s="126" t="n">
        <f aca="false">I207/$R$3</f>
        <v>-651.348</v>
      </c>
      <c r="V207" s="126" t="n">
        <f aca="false">M207/$R$3</f>
        <v>-651.348</v>
      </c>
      <c r="W207" s="126" t="n">
        <f aca="false">N207/$R$3</f>
        <v>-651.348</v>
      </c>
    </row>
    <row r="208" customFormat="false" ht="12.75" hidden="true" customHeight="false" outlineLevel="0" collapsed="false">
      <c r="A208" s="120" t="n">
        <f aca="false">A207+1</f>
        <v>37094</v>
      </c>
      <c r="B208" s="131" t="str">
        <f aca="false">INDEX('Master Data'!$A$2:$B$8,MATCH(WEEKDAY('Modesto Maranzana Power'!A208,3),'Master Data'!$A$2:$A$8,0),2)</f>
        <v>Su</v>
      </c>
      <c r="D208" s="124" t="n">
        <v>0</v>
      </c>
      <c r="E208" s="124" t="n">
        <v>0</v>
      </c>
      <c r="F208" s="124" t="n">
        <v>0</v>
      </c>
      <c r="G208" s="124" t="n">
        <v>0</v>
      </c>
      <c r="I208" s="124" t="n">
        <f aca="false">IF(MONTH($A208)=MONTH($A207),IF(G208=0,I207,G208),G208)</f>
        <v>-651348</v>
      </c>
      <c r="J208" s="124" t="n">
        <f aca="false">IF(MONTH($A208)=MONTH($A207),SUM(I208-I207),I208)</f>
        <v>0</v>
      </c>
      <c r="K208" s="124" t="n">
        <f aca="false">IF(WEEKDAY(A208,3)&gt;4,0,(IF(A208&lt;K$2,0,IF(A208&lt;=K$3,1,0))))</f>
        <v>0</v>
      </c>
      <c r="L208" s="124" t="n">
        <f aca="false">J208*K208</f>
        <v>0</v>
      </c>
      <c r="M208" s="124" t="n">
        <f aca="false">SUM(J$188:J208)</f>
        <v>-651348</v>
      </c>
      <c r="N208" s="124" t="n">
        <f aca="false">SUM(J$6:J208)</f>
        <v>-651348</v>
      </c>
      <c r="P208" s="124" t="n">
        <f aca="false">D208/P$3</f>
        <v>0</v>
      </c>
      <c r="Q208" s="124" t="n">
        <f aca="false">E208/P$3</f>
        <v>0</v>
      </c>
      <c r="R208" s="124" t="n">
        <f aca="false">F208/R$3</f>
        <v>0</v>
      </c>
      <c r="S208" s="126" t="n">
        <f aca="false">J208/$R$3</f>
        <v>0</v>
      </c>
      <c r="T208" s="126" t="n">
        <f aca="false">L208/$R$3</f>
        <v>0</v>
      </c>
      <c r="U208" s="126" t="n">
        <f aca="false">I208/$R$3</f>
        <v>-651.348</v>
      </c>
      <c r="V208" s="126" t="n">
        <f aca="false">M208/$R$3</f>
        <v>-651.348</v>
      </c>
      <c r="W208" s="126" t="n">
        <f aca="false">N208/$R$3</f>
        <v>-651.348</v>
      </c>
    </row>
    <row r="209" customFormat="false" ht="12.75" hidden="true" customHeight="false" outlineLevel="0" collapsed="false">
      <c r="A209" s="120" t="n">
        <f aca="false">A208+1</f>
        <v>37095</v>
      </c>
      <c r="B209" s="131" t="str">
        <f aca="false">INDEX('Master Data'!$A$2:$B$8,MATCH(WEEKDAY('Modesto Maranzana Power'!A209,3),'Master Data'!$A$2:$A$8,0),2)</f>
        <v>M</v>
      </c>
      <c r="D209" s="124" t="n">
        <v>1997209.57616271</v>
      </c>
      <c r="E209" s="124" t="n">
        <v>0</v>
      </c>
      <c r="F209" s="124" t="n">
        <v>0</v>
      </c>
      <c r="G209" s="124" t="n">
        <v>-656256</v>
      </c>
      <c r="I209" s="124" t="n">
        <f aca="false">IF(MONTH($A209)=MONTH($A208),IF(G209=0,I208,G209),G209)</f>
        <v>-656256</v>
      </c>
      <c r="J209" s="124" t="n">
        <f aca="false">IF(MONTH($A209)=MONTH($A208),SUM(I209-I208),I209)</f>
        <v>-4908</v>
      </c>
      <c r="K209" s="124" t="n">
        <f aca="false">IF(WEEKDAY(A209,3)&gt;4,0,(IF(A209&lt;K$2,0,IF(A209&lt;=K$3,1,0))))</f>
        <v>0</v>
      </c>
      <c r="L209" s="124" t="n">
        <f aca="false">J209*K209</f>
        <v>-0</v>
      </c>
      <c r="M209" s="124" t="n">
        <f aca="false">SUM(J$188:J209)</f>
        <v>-656256</v>
      </c>
      <c r="N209" s="124" t="n">
        <f aca="false">SUM(J$6:J209)</f>
        <v>-656256</v>
      </c>
      <c r="P209" s="124" t="n">
        <f aca="false">D209/P$3</f>
        <v>1.99720957616271</v>
      </c>
      <c r="Q209" s="124" t="n">
        <f aca="false">E209/P$3</f>
        <v>0</v>
      </c>
      <c r="R209" s="124" t="n">
        <f aca="false">F209/R$3</f>
        <v>0</v>
      </c>
      <c r="S209" s="126" t="n">
        <f aca="false">J209/$R$3</f>
        <v>-4.908</v>
      </c>
      <c r="T209" s="126" t="n">
        <f aca="false">L209/$R$3</f>
        <v>-0</v>
      </c>
      <c r="U209" s="126" t="n">
        <f aca="false">I209/$R$3</f>
        <v>-656.256</v>
      </c>
      <c r="V209" s="126" t="n">
        <f aca="false">M209/$R$3</f>
        <v>-656.256</v>
      </c>
      <c r="W209" s="126" t="n">
        <f aca="false">N209/$R$3</f>
        <v>-656.256</v>
      </c>
    </row>
    <row r="210" customFormat="false" ht="12.75" hidden="true" customHeight="false" outlineLevel="0" collapsed="false">
      <c r="A210" s="120" t="n">
        <f aca="false">A209+1</f>
        <v>37096</v>
      </c>
      <c r="B210" s="131" t="str">
        <f aca="false">INDEX('Master Data'!$A$2:$B$8,MATCH(WEEKDAY('Modesto Maranzana Power'!A210,3),'Master Data'!$A$2:$A$8,0),2)</f>
        <v>T</v>
      </c>
      <c r="D210" s="124" t="n">
        <v>1996883.64472392</v>
      </c>
      <c r="E210" s="124" t="n">
        <v>0</v>
      </c>
      <c r="F210" s="124" t="n">
        <v>0</v>
      </c>
      <c r="G210" s="124" t="n">
        <v>-670713</v>
      </c>
      <c r="I210" s="124" t="n">
        <f aca="false">IF(MONTH($A210)=MONTH($A209),IF(G210=0,I209,G210),G210)</f>
        <v>-670713</v>
      </c>
      <c r="J210" s="124" t="n">
        <f aca="false">IF(MONTH($A210)=MONTH($A209),SUM(I210-I209),I210)</f>
        <v>-14457</v>
      </c>
      <c r="K210" s="124" t="n">
        <f aca="false">IF(WEEKDAY(A210,3)&gt;4,0,(IF(A210&lt;K$2,0,IF(A210&lt;=K$3,1,0))))</f>
        <v>0</v>
      </c>
      <c r="L210" s="124" t="n">
        <f aca="false">J210*K210</f>
        <v>-0</v>
      </c>
      <c r="M210" s="124" t="n">
        <f aca="false">SUM(J$188:J210)</f>
        <v>-670713</v>
      </c>
      <c r="N210" s="124" t="n">
        <f aca="false">SUM(J$6:J210)</f>
        <v>-670713</v>
      </c>
      <c r="P210" s="124" t="n">
        <f aca="false">D210/P$3</f>
        <v>1.99688364472392</v>
      </c>
      <c r="Q210" s="124" t="n">
        <f aca="false">E210/P$3</f>
        <v>0</v>
      </c>
      <c r="R210" s="124" t="n">
        <f aca="false">F210/R$3</f>
        <v>0</v>
      </c>
      <c r="S210" s="126" t="n">
        <f aca="false">J210/$R$3</f>
        <v>-14.457</v>
      </c>
      <c r="T210" s="126" t="n">
        <f aca="false">L210/$R$3</f>
        <v>-0</v>
      </c>
      <c r="U210" s="126" t="n">
        <f aca="false">I210/$R$3</f>
        <v>-670.713</v>
      </c>
      <c r="V210" s="126" t="n">
        <f aca="false">M210/$R$3</f>
        <v>-670.713</v>
      </c>
      <c r="W210" s="126" t="n">
        <f aca="false">N210/$R$3</f>
        <v>-670.713</v>
      </c>
    </row>
    <row r="211" customFormat="false" ht="12.75" hidden="true" customHeight="false" outlineLevel="0" collapsed="false">
      <c r="A211" s="120" t="n">
        <f aca="false">A210+1</f>
        <v>37097</v>
      </c>
      <c r="B211" s="131" t="str">
        <f aca="false">INDEX('Master Data'!$A$2:$B$8,MATCH(WEEKDAY('Modesto Maranzana Power'!A211,3),'Master Data'!$A$2:$A$8,0),2)</f>
        <v>W</v>
      </c>
      <c r="D211" s="124" t="n">
        <v>1997054.29</v>
      </c>
      <c r="E211" s="124" t="n">
        <v>0</v>
      </c>
      <c r="F211" s="124" t="n">
        <v>0</v>
      </c>
      <c r="G211" s="124" t="n">
        <v>-664027.77</v>
      </c>
      <c r="I211" s="124" t="n">
        <f aca="false">IF(MONTH($A211)=MONTH($A210),IF(G211=0,I210,G211),G211)</f>
        <v>-664027.77</v>
      </c>
      <c r="J211" s="124" t="n">
        <f aca="false">IF(MONTH($A211)=MONTH($A210),SUM(I211-I210),I211)</f>
        <v>6685.22999999998</v>
      </c>
      <c r="K211" s="124" t="n">
        <f aca="false">IF(WEEKDAY(A211,3)&gt;4,0,(IF(A211&lt;K$2,0,IF(A211&lt;=K$3,1,0))))</f>
        <v>0</v>
      </c>
      <c r="L211" s="124" t="n">
        <f aca="false">J211*K211</f>
        <v>0</v>
      </c>
      <c r="M211" s="124" t="n">
        <f aca="false">SUM(J$188:J211)</f>
        <v>-664027.77</v>
      </c>
      <c r="N211" s="124" t="n">
        <f aca="false">SUM(J$6:J211)</f>
        <v>-664027.77</v>
      </c>
      <c r="P211" s="124" t="n">
        <f aca="false">D211/P$3</f>
        <v>1.99705429</v>
      </c>
      <c r="Q211" s="124" t="n">
        <f aca="false">E211/P$3</f>
        <v>0</v>
      </c>
      <c r="R211" s="124" t="n">
        <f aca="false">F211/R$3</f>
        <v>0</v>
      </c>
      <c r="S211" s="126" t="n">
        <f aca="false">J211/$R$3</f>
        <v>6.68522999999998</v>
      </c>
      <c r="T211" s="126" t="n">
        <f aca="false">L211/$R$3</f>
        <v>0</v>
      </c>
      <c r="U211" s="126" t="n">
        <f aca="false">I211/$R$3</f>
        <v>-664.02777</v>
      </c>
      <c r="V211" s="126" t="n">
        <f aca="false">M211/$R$3</f>
        <v>-664.02777</v>
      </c>
      <c r="W211" s="126" t="n">
        <f aca="false">N211/$R$3</f>
        <v>-664.02777</v>
      </c>
    </row>
    <row r="212" customFormat="false" ht="12.75" hidden="true" customHeight="false" outlineLevel="0" collapsed="false">
      <c r="A212" s="120" t="n">
        <f aca="false">A211+1</f>
        <v>37098</v>
      </c>
      <c r="B212" s="131" t="str">
        <f aca="false">INDEX('Master Data'!$A$2:$B$8,MATCH(WEEKDAY('Modesto Maranzana Power'!A212,3),'Master Data'!$A$2:$A$8,0),2)</f>
        <v>Th</v>
      </c>
      <c r="D212" s="124" t="n">
        <v>1995670.70183433</v>
      </c>
      <c r="E212" s="124" t="n">
        <v>0</v>
      </c>
      <c r="F212" s="124" t="n">
        <v>0</v>
      </c>
      <c r="G212" s="124" t="n">
        <v>-660510</v>
      </c>
      <c r="I212" s="124" t="n">
        <f aca="false">IF(MONTH($A212)=MONTH($A211),IF(G212=0,I211,G212),G212)</f>
        <v>-660510</v>
      </c>
      <c r="J212" s="124" t="n">
        <f aca="false">IF(MONTH($A212)=MONTH($A211),SUM(I212-I211),I212)</f>
        <v>3517.77000000002</v>
      </c>
      <c r="K212" s="124" t="n">
        <f aca="false">IF(WEEKDAY(A212,3)&gt;4,0,(IF(A212&lt;K$2,0,IF(A212&lt;=K$3,1,0))))</f>
        <v>0</v>
      </c>
      <c r="L212" s="124" t="n">
        <f aca="false">J212*K212</f>
        <v>0</v>
      </c>
      <c r="M212" s="124" t="n">
        <f aca="false">SUM(J$188:J212)</f>
        <v>-660510</v>
      </c>
      <c r="N212" s="124" t="n">
        <f aca="false">SUM(J$6:J212)</f>
        <v>-660510</v>
      </c>
      <c r="P212" s="124" t="n">
        <f aca="false">D212/P$3</f>
        <v>1.99567070183433</v>
      </c>
      <c r="Q212" s="124" t="n">
        <f aca="false">E212/P$3</f>
        <v>0</v>
      </c>
      <c r="R212" s="124" t="n">
        <f aca="false">F212/R$3</f>
        <v>0</v>
      </c>
      <c r="S212" s="126" t="n">
        <f aca="false">J212/$R$3</f>
        <v>3.51777000000002</v>
      </c>
      <c r="T212" s="126" t="n">
        <f aca="false">L212/$R$3</f>
        <v>0</v>
      </c>
      <c r="U212" s="126" t="n">
        <f aca="false">I212/$R$3</f>
        <v>-660.51</v>
      </c>
      <c r="V212" s="126" t="n">
        <f aca="false">M212/$R$3</f>
        <v>-660.51</v>
      </c>
      <c r="W212" s="126" t="n">
        <f aca="false">N212/$R$3</f>
        <v>-660.51</v>
      </c>
    </row>
    <row r="213" customFormat="false" ht="12.75" hidden="true" customHeight="false" outlineLevel="0" collapsed="false">
      <c r="A213" s="120" t="n">
        <f aca="false">A212+1</f>
        <v>37099</v>
      </c>
      <c r="B213" s="131" t="str">
        <f aca="false">INDEX('Master Data'!$A$2:$B$8,MATCH(WEEKDAY('Modesto Maranzana Power'!A213,3),'Master Data'!$A$2:$A$8,0),2)</f>
        <v>F</v>
      </c>
      <c r="D213" s="124" t="n">
        <v>1995756.56577164</v>
      </c>
      <c r="E213" s="124" t="n">
        <v>0</v>
      </c>
      <c r="F213" s="124" t="n">
        <v>0</v>
      </c>
      <c r="G213" s="124" t="n">
        <v>-653470</v>
      </c>
      <c r="I213" s="124" t="n">
        <f aca="false">IF(MONTH($A213)=MONTH($A212),IF(G213=0,I212,G213),G213)</f>
        <v>-653470</v>
      </c>
      <c r="J213" s="124" t="n">
        <f aca="false">IF(MONTH($A213)=MONTH($A212),SUM(I213-I212),I213)</f>
        <v>7040</v>
      </c>
      <c r="K213" s="124" t="n">
        <f aca="false">IF(WEEKDAY(A213,3)&gt;4,0,(IF(A213&lt;K$2,0,IF(A213&lt;=K$3,1,0))))</f>
        <v>0</v>
      </c>
      <c r="L213" s="124" t="n">
        <f aca="false">J213*K213</f>
        <v>0</v>
      </c>
      <c r="M213" s="124" t="n">
        <f aca="false">SUM(J$188:J213)</f>
        <v>-653470</v>
      </c>
      <c r="N213" s="124" t="n">
        <f aca="false">SUM(J$6:J213)</f>
        <v>-653470</v>
      </c>
      <c r="P213" s="124" t="n">
        <f aca="false">D213/P$3</f>
        <v>1.99575656577164</v>
      </c>
      <c r="Q213" s="124" t="n">
        <f aca="false">E213/P$3</f>
        <v>0</v>
      </c>
      <c r="R213" s="124" t="n">
        <f aca="false">F213/R$3</f>
        <v>0</v>
      </c>
      <c r="S213" s="126" t="n">
        <f aca="false">J213/$R$3</f>
        <v>7.04</v>
      </c>
      <c r="T213" s="126" t="n">
        <f aca="false">L213/$R$3</f>
        <v>0</v>
      </c>
      <c r="U213" s="126" t="n">
        <f aca="false">I213/$R$3</f>
        <v>-653.47</v>
      </c>
      <c r="V213" s="126" t="n">
        <f aca="false">M213/$R$3</f>
        <v>-653.47</v>
      </c>
      <c r="W213" s="126" t="n">
        <f aca="false">N213/$R$3</f>
        <v>-653.47</v>
      </c>
    </row>
    <row r="214" customFormat="false" ht="12.75" hidden="true" customHeight="false" outlineLevel="0" collapsed="false">
      <c r="A214" s="120" t="n">
        <f aca="false">A213+1</f>
        <v>37100</v>
      </c>
      <c r="B214" s="131" t="str">
        <f aca="false">INDEX('Master Data'!$A$2:$B$8,MATCH(WEEKDAY('Modesto Maranzana Power'!A214,3),'Master Data'!$A$2:$A$8,0),2)</f>
        <v>Sa</v>
      </c>
      <c r="D214" s="124" t="n">
        <v>0</v>
      </c>
      <c r="E214" s="124" t="n">
        <v>0</v>
      </c>
      <c r="F214" s="124" t="n">
        <v>0</v>
      </c>
      <c r="G214" s="124" t="n">
        <v>0</v>
      </c>
      <c r="I214" s="124" t="n">
        <f aca="false">IF(MONTH($A214)=MONTH($A213),IF(G214=0,I213,G214),G214)</f>
        <v>-653470</v>
      </c>
      <c r="J214" s="124" t="n">
        <f aca="false">IF(MONTH($A214)=MONTH($A213),SUM(I214-I213),I214)</f>
        <v>0</v>
      </c>
      <c r="K214" s="124" t="n">
        <f aca="false">IF(WEEKDAY(A214,3)&gt;4,0,(IF(A214&lt;K$2,0,IF(A214&lt;=K$3,1,0))))</f>
        <v>0</v>
      </c>
      <c r="L214" s="124" t="n">
        <f aca="false">J214*K214</f>
        <v>0</v>
      </c>
      <c r="M214" s="124" t="n">
        <f aca="false">SUM(J$188:J214)</f>
        <v>-653470</v>
      </c>
      <c r="N214" s="124" t="n">
        <f aca="false">SUM(J$6:J214)</f>
        <v>-653470</v>
      </c>
      <c r="P214" s="124" t="n">
        <f aca="false">D214/P$3</f>
        <v>0</v>
      </c>
      <c r="Q214" s="124" t="n">
        <f aca="false">E214/P$3</f>
        <v>0</v>
      </c>
      <c r="R214" s="124" t="n">
        <f aca="false">F214/R$3</f>
        <v>0</v>
      </c>
      <c r="S214" s="126" t="n">
        <f aca="false">J214/$R$3</f>
        <v>0</v>
      </c>
      <c r="T214" s="126" t="n">
        <f aca="false">L214/$R$3</f>
        <v>0</v>
      </c>
      <c r="U214" s="126" t="n">
        <f aca="false">I214/$R$3</f>
        <v>-653.47</v>
      </c>
      <c r="V214" s="126" t="n">
        <f aca="false">M214/$R$3</f>
        <v>-653.47</v>
      </c>
      <c r="W214" s="126" t="n">
        <f aca="false">N214/$R$3</f>
        <v>-653.47</v>
      </c>
    </row>
    <row r="215" customFormat="false" ht="12.75" hidden="true" customHeight="false" outlineLevel="0" collapsed="false">
      <c r="A215" s="120" t="n">
        <f aca="false">A214+1</f>
        <v>37101</v>
      </c>
      <c r="B215" s="131" t="str">
        <f aca="false">INDEX('Master Data'!$A$2:$B$8,MATCH(WEEKDAY('Modesto Maranzana Power'!A215,3),'Master Data'!$A$2:$A$8,0),2)</f>
        <v>Su</v>
      </c>
      <c r="D215" s="124" t="n">
        <v>0</v>
      </c>
      <c r="E215" s="124" t="n">
        <v>0</v>
      </c>
      <c r="F215" s="124" t="n">
        <v>0</v>
      </c>
      <c r="G215" s="124" t="n">
        <v>0</v>
      </c>
      <c r="I215" s="124" t="n">
        <f aca="false">IF(MONTH($A215)=MONTH($A214),IF(G215=0,I214,G215),G215)</f>
        <v>-653470</v>
      </c>
      <c r="J215" s="124" t="n">
        <f aca="false">IF(MONTH($A215)=MONTH($A214),SUM(I215-I214),I215)</f>
        <v>0</v>
      </c>
      <c r="K215" s="124" t="n">
        <f aca="false">IF(WEEKDAY(A215,3)&gt;4,0,(IF(A215&lt;K$2,0,IF(A215&lt;=K$3,1,0))))</f>
        <v>0</v>
      </c>
      <c r="L215" s="124" t="n">
        <f aca="false">J215*K215</f>
        <v>0</v>
      </c>
      <c r="M215" s="124" t="n">
        <f aca="false">SUM(J$188:J215)</f>
        <v>-653470</v>
      </c>
      <c r="N215" s="124" t="n">
        <f aca="false">SUM(J$6:J215)</f>
        <v>-653470</v>
      </c>
      <c r="P215" s="124" t="n">
        <f aca="false">D215/P$3</f>
        <v>0</v>
      </c>
      <c r="Q215" s="124" t="n">
        <f aca="false">E215/P$3</f>
        <v>0</v>
      </c>
      <c r="R215" s="124" t="n">
        <f aca="false">F215/R$3</f>
        <v>0</v>
      </c>
      <c r="S215" s="126" t="n">
        <f aca="false">J215/$R$3</f>
        <v>0</v>
      </c>
      <c r="T215" s="126" t="n">
        <f aca="false">L215/$R$3</f>
        <v>0</v>
      </c>
      <c r="U215" s="126" t="n">
        <f aca="false">I215/$R$3</f>
        <v>-653.47</v>
      </c>
      <c r="V215" s="126" t="n">
        <f aca="false">M215/$R$3</f>
        <v>-653.47</v>
      </c>
      <c r="W215" s="126" t="n">
        <f aca="false">N215/$R$3</f>
        <v>-653.47</v>
      </c>
    </row>
    <row r="216" customFormat="false" ht="12.75" hidden="true" customHeight="false" outlineLevel="0" collapsed="false">
      <c r="A216" s="120" t="n">
        <f aca="false">A215+1</f>
        <v>37102</v>
      </c>
      <c r="B216" s="131" t="str">
        <f aca="false">INDEX('Master Data'!$A$2:$B$8,MATCH(WEEKDAY('Modesto Maranzana Power'!A216,3),'Master Data'!$A$2:$A$8,0),2)</f>
        <v>M</v>
      </c>
      <c r="D216" s="124" t="n">
        <v>1997494.22777472</v>
      </c>
      <c r="E216" s="124" t="n">
        <v>0</v>
      </c>
      <c r="F216" s="124" t="n">
        <v>0</v>
      </c>
      <c r="G216" s="124" t="n">
        <v>-642276</v>
      </c>
      <c r="I216" s="124" t="n">
        <f aca="false">IF(MONTH($A216)=MONTH($A215),IF(G216=0,I215,G216),G216)</f>
        <v>-642276</v>
      </c>
      <c r="J216" s="124" t="n">
        <f aca="false">IF(MONTH($A216)=MONTH($A215),SUM(I216-I215),I216)</f>
        <v>11194</v>
      </c>
      <c r="K216" s="124" t="n">
        <f aca="false">IF(WEEKDAY(A216,3)&gt;4,0,(IF(A216&lt;K$2,0,IF(A216&lt;=K$3,1,0))))</f>
        <v>0</v>
      </c>
      <c r="L216" s="124" t="n">
        <f aca="false">J216*K216</f>
        <v>0</v>
      </c>
      <c r="M216" s="124" t="n">
        <f aca="false">SUM(J$188:J216)</f>
        <v>-642276</v>
      </c>
      <c r="N216" s="124" t="n">
        <f aca="false">SUM(J$6:J216)</f>
        <v>-642276</v>
      </c>
      <c r="P216" s="124" t="n">
        <f aca="false">D216/P$3</f>
        <v>1.99749422777472</v>
      </c>
      <c r="Q216" s="124" t="n">
        <f aca="false">E216/P$3</f>
        <v>0</v>
      </c>
      <c r="R216" s="124" t="n">
        <f aca="false">F216/R$3</f>
        <v>0</v>
      </c>
      <c r="S216" s="126" t="n">
        <f aca="false">J216/$R$3</f>
        <v>11.194</v>
      </c>
      <c r="T216" s="126" t="n">
        <f aca="false">L216/$R$3</f>
        <v>0</v>
      </c>
      <c r="U216" s="126" t="n">
        <f aca="false">I216/$R$3</f>
        <v>-642.276</v>
      </c>
      <c r="V216" s="126" t="n">
        <f aca="false">M216/$R$3</f>
        <v>-642.276</v>
      </c>
      <c r="W216" s="126" t="n">
        <f aca="false">N216/$R$3</f>
        <v>-642.276</v>
      </c>
    </row>
    <row r="217" customFormat="false" ht="12.75" hidden="false" customHeight="false" outlineLevel="0" collapsed="false">
      <c r="A217" s="120" t="n">
        <f aca="false">A216+1</f>
        <v>37103</v>
      </c>
      <c r="B217" s="131" t="str">
        <f aca="false">INDEX('Master Data'!$A$2:$B$8,MATCH(WEEKDAY('Modesto Maranzana Power'!A217,3),'Master Data'!$A$2:$A$8,0),2)</f>
        <v>T</v>
      </c>
      <c r="D217" s="124" t="n">
        <v>1997539.63006971</v>
      </c>
      <c r="E217" s="124" t="n">
        <v>0</v>
      </c>
      <c r="F217" s="124" t="n">
        <v>0</v>
      </c>
      <c r="G217" s="124" t="n">
        <v>-640028</v>
      </c>
      <c r="I217" s="124" t="n">
        <f aca="false">IF(MONTH($A217)=MONTH($A216),IF(G217=0,I216,G217),G217)</f>
        <v>-640028</v>
      </c>
      <c r="J217" s="124" t="n">
        <f aca="false">IF(MONTH($A217)=MONTH($A216),SUM(I217-I216),I217)</f>
        <v>2248</v>
      </c>
      <c r="K217" s="124" t="n">
        <f aca="false">IF(WEEKDAY(A217,3)&gt;4,0,(IF(A217&lt;K$2,0,IF(A217&lt;=K$3,1,0))))</f>
        <v>0</v>
      </c>
      <c r="L217" s="124" t="n">
        <f aca="false">J217*K217</f>
        <v>0</v>
      </c>
      <c r="M217" s="124" t="n">
        <f aca="false">SUM(J$188:J217)</f>
        <v>-640028</v>
      </c>
      <c r="N217" s="124" t="n">
        <f aca="false">SUM(J$6:J217)</f>
        <v>-640028</v>
      </c>
      <c r="P217" s="124" t="n">
        <f aca="false">D217/P$3</f>
        <v>1.99753963006971</v>
      </c>
      <c r="Q217" s="124" t="n">
        <f aca="false">E217/P$3</f>
        <v>0</v>
      </c>
      <c r="R217" s="124" t="n">
        <f aca="false">F217/R$3</f>
        <v>0</v>
      </c>
      <c r="S217" s="126" t="n">
        <f aca="false">J217/$R$3</f>
        <v>2.248</v>
      </c>
      <c r="T217" s="126" t="n">
        <f aca="false">L217/$R$3</f>
        <v>0</v>
      </c>
      <c r="U217" s="126" t="n">
        <f aca="false">I217/$R$3</f>
        <v>-640.028</v>
      </c>
      <c r="V217" s="126" t="n">
        <f aca="false">M217/$R$3</f>
        <v>-640.028</v>
      </c>
      <c r="W217" s="126" t="n">
        <f aca="false">N217/$R$3</f>
        <v>-640.028</v>
      </c>
    </row>
    <row r="218" customFormat="false" ht="12.75" hidden="true" customHeight="false" outlineLevel="0" collapsed="false">
      <c r="A218" s="120" t="n">
        <f aca="false">A217+1</f>
        <v>37104</v>
      </c>
      <c r="B218" s="131" t="str">
        <f aca="false">INDEX('Master Data'!$A$2:$B$8,MATCH(WEEKDAY('Modesto Maranzana Power'!A218,3),'Master Data'!$A$2:$A$8,0),2)</f>
        <v>W</v>
      </c>
      <c r="D218" s="124" t="n">
        <v>1998774.69294238</v>
      </c>
      <c r="E218" s="124" t="n">
        <v>0</v>
      </c>
      <c r="F218" s="124" t="n">
        <v>0</v>
      </c>
      <c r="G218" s="124" t="n">
        <v>-3395.5</v>
      </c>
      <c r="I218" s="124" t="n">
        <f aca="false">IF(MONTH($A218)=MONTH($A217),IF(G218=0,I217,G218),G218)</f>
        <v>-3395.5</v>
      </c>
      <c r="J218" s="124" t="n">
        <f aca="false">IF(MONTH($A218)=MONTH($A217),SUM(I218-I217),I218)</f>
        <v>-3395.5</v>
      </c>
      <c r="K218" s="124" t="n">
        <f aca="false">IF(WEEKDAY(A218,3)&gt;4,0,(IF(A218&lt;K$2,0,IF(A218&lt;=K$3,1,0))))</f>
        <v>0</v>
      </c>
      <c r="L218" s="124" t="n">
        <f aca="false">J218*K218</f>
        <v>-0</v>
      </c>
      <c r="M218" s="124" t="n">
        <f aca="false">SUM(J$188:J218)</f>
        <v>-643423.5</v>
      </c>
      <c r="N218" s="124" t="n">
        <f aca="false">SUM(J$6:J218)</f>
        <v>-643423.5</v>
      </c>
      <c r="P218" s="124" t="n">
        <f aca="false">D218/P$3</f>
        <v>1.99877469294238</v>
      </c>
      <c r="Q218" s="124" t="n">
        <f aca="false">E218/P$3</f>
        <v>0</v>
      </c>
      <c r="R218" s="124" t="n">
        <f aca="false">F218/R$3</f>
        <v>0</v>
      </c>
      <c r="S218" s="126" t="n">
        <f aca="false">J218/$R$3</f>
        <v>-3.3955</v>
      </c>
      <c r="T218" s="126" t="n">
        <f aca="false">L218/$R$3</f>
        <v>-0</v>
      </c>
      <c r="U218" s="126" t="n">
        <f aca="false">I218/$R$3</f>
        <v>-3.3955</v>
      </c>
      <c r="V218" s="126" t="n">
        <f aca="false">M218/$R$3</f>
        <v>-643.4235</v>
      </c>
      <c r="W218" s="126" t="n">
        <f aca="false">N218/$R$3</f>
        <v>-643.4235</v>
      </c>
    </row>
    <row r="219" customFormat="false" ht="12.75" hidden="true" customHeight="false" outlineLevel="0" collapsed="false">
      <c r="A219" s="120" t="n">
        <f aca="false">A218+1</f>
        <v>37105</v>
      </c>
      <c r="B219" s="131" t="str">
        <f aca="false">INDEX('Master Data'!$A$2:$B$8,MATCH(WEEKDAY('Modesto Maranzana Power'!A219,3),'Master Data'!$A$2:$A$8,0),2)</f>
        <v>Th</v>
      </c>
      <c r="D219" s="124" t="n">
        <v>1993629</v>
      </c>
      <c r="E219" s="124" t="n">
        <v>0</v>
      </c>
      <c r="F219" s="124" t="n">
        <v>0</v>
      </c>
      <c r="G219" s="124" t="n">
        <v>-12158.5</v>
      </c>
      <c r="I219" s="124" t="n">
        <f aca="false">IF(MONTH($A219)=MONTH($A218),IF(G219=0,I218,G219),G219)</f>
        <v>-12158.5</v>
      </c>
      <c r="J219" s="124" t="n">
        <f aca="false">IF(MONTH($A219)=MONTH($A218),SUM(I219-I218),I219)</f>
        <v>-8763</v>
      </c>
      <c r="K219" s="124" t="n">
        <f aca="false">IF(WEEKDAY(A219,3)&gt;4,0,(IF(A219&lt;K$2,0,IF(A219&lt;=K$3,1,0))))</f>
        <v>0</v>
      </c>
      <c r="L219" s="124" t="n">
        <f aca="false">J219*K219</f>
        <v>-0</v>
      </c>
      <c r="M219" s="124" t="n">
        <f aca="false">SUM(J$188:J219)</f>
        <v>-652186.5</v>
      </c>
      <c r="N219" s="124" t="n">
        <f aca="false">SUM(J$6:J219)</f>
        <v>-652186.5</v>
      </c>
      <c r="P219" s="124" t="n">
        <f aca="false">D219/P$3</f>
        <v>1.993629</v>
      </c>
      <c r="Q219" s="124" t="n">
        <f aca="false">E219/P$3</f>
        <v>0</v>
      </c>
      <c r="R219" s="124" t="n">
        <f aca="false">F219/R$3</f>
        <v>0</v>
      </c>
      <c r="S219" s="126" t="n">
        <f aca="false">J219/$R$3</f>
        <v>-8.763</v>
      </c>
      <c r="T219" s="126" t="n">
        <f aca="false">L219/$R$3</f>
        <v>-0</v>
      </c>
      <c r="U219" s="126" t="n">
        <f aca="false">I219/$R$3</f>
        <v>-12.1585</v>
      </c>
      <c r="V219" s="126" t="n">
        <f aca="false">M219/$R$3</f>
        <v>-652.1865</v>
      </c>
      <c r="W219" s="126" t="n">
        <f aca="false">N219/$R$3</f>
        <v>-652.1865</v>
      </c>
    </row>
    <row r="220" customFormat="false" ht="12.75" hidden="true" customHeight="false" outlineLevel="0" collapsed="false">
      <c r="A220" s="120" t="n">
        <f aca="false">A219+1</f>
        <v>37106</v>
      </c>
      <c r="B220" s="131" t="str">
        <f aca="false">INDEX('Master Data'!$A$2:$B$8,MATCH(WEEKDAY('Modesto Maranzana Power'!A220,3),'Master Data'!$A$2:$A$8,0),2)</f>
        <v>F</v>
      </c>
      <c r="D220" s="124" t="n">
        <v>1992536.56107691</v>
      </c>
      <c r="E220" s="124" t="n">
        <v>0</v>
      </c>
      <c r="F220" s="124" t="n">
        <v>0</v>
      </c>
      <c r="G220" s="124" t="n">
        <v>-16758</v>
      </c>
      <c r="I220" s="124" t="n">
        <f aca="false">IF(MONTH($A220)=MONTH($A219),IF(G220=0,I219,G220),G220)</f>
        <v>-16758</v>
      </c>
      <c r="J220" s="124" t="n">
        <f aca="false">IF(MONTH($A220)=MONTH($A219),SUM(I220-I219),I220)</f>
        <v>-4599.5</v>
      </c>
      <c r="K220" s="124" t="n">
        <f aca="false">IF(WEEKDAY(A220,3)&gt;4,0,(IF(A220&lt;K$2,0,IF(A220&lt;=K$3,1,0))))</f>
        <v>0</v>
      </c>
      <c r="L220" s="124" t="n">
        <f aca="false">J220*K220</f>
        <v>-0</v>
      </c>
      <c r="M220" s="124" t="n">
        <f aca="false">SUM(J$188:J220)</f>
        <v>-656786</v>
      </c>
      <c r="N220" s="124" t="n">
        <f aca="false">SUM(J$6:J220)</f>
        <v>-656786</v>
      </c>
      <c r="P220" s="124" t="n">
        <f aca="false">D220/P$3</f>
        <v>1.99253656107691</v>
      </c>
      <c r="Q220" s="124" t="n">
        <f aca="false">E220/P$3</f>
        <v>0</v>
      </c>
      <c r="R220" s="124" t="n">
        <f aca="false">F220/R$3</f>
        <v>0</v>
      </c>
      <c r="S220" s="126" t="n">
        <f aca="false">J220/$R$3</f>
        <v>-4.5995</v>
      </c>
      <c r="T220" s="126" t="n">
        <f aca="false">L220/$R$3</f>
        <v>-0</v>
      </c>
      <c r="U220" s="126" t="n">
        <f aca="false">I220/$R$3</f>
        <v>-16.758</v>
      </c>
      <c r="V220" s="126" t="n">
        <f aca="false">M220/$R$3</f>
        <v>-656.786</v>
      </c>
      <c r="W220" s="126" t="n">
        <f aca="false">N220/$R$3</f>
        <v>-656.786</v>
      </c>
    </row>
    <row r="221" customFormat="false" ht="12.75" hidden="true" customHeight="false" outlineLevel="0" collapsed="false">
      <c r="A221" s="120" t="n">
        <f aca="false">A220+1</f>
        <v>37107</v>
      </c>
      <c r="B221" s="131" t="str">
        <f aca="false">INDEX('Master Data'!$A$2:$B$8,MATCH(WEEKDAY('Modesto Maranzana Power'!A221,3),'Master Data'!$A$2:$A$8,0),2)</f>
        <v>Sa</v>
      </c>
      <c r="D221" s="124" t="n">
        <v>0</v>
      </c>
      <c r="E221" s="124" t="n">
        <v>0</v>
      </c>
      <c r="F221" s="124" t="n">
        <v>0</v>
      </c>
      <c r="G221" s="124" t="n">
        <v>0</v>
      </c>
      <c r="I221" s="124" t="n">
        <f aca="false">IF(MONTH($A221)=MONTH($A220),IF(G221=0,I220,G221),G221)</f>
        <v>-16758</v>
      </c>
      <c r="J221" s="124" t="n">
        <f aca="false">IF(MONTH($A221)=MONTH($A220),SUM(I221-I220),I221)</f>
        <v>0</v>
      </c>
      <c r="K221" s="124" t="n">
        <f aca="false">IF(WEEKDAY(A221,3)&gt;4,0,(IF(A221&lt;K$2,0,IF(A221&lt;=K$3,1,0))))</f>
        <v>0</v>
      </c>
      <c r="L221" s="124" t="n">
        <f aca="false">J221*K221</f>
        <v>0</v>
      </c>
      <c r="M221" s="124" t="n">
        <f aca="false">SUM(J$188:J221)</f>
        <v>-656786</v>
      </c>
      <c r="N221" s="124" t="n">
        <f aca="false">SUM(J$6:J221)</f>
        <v>-656786</v>
      </c>
      <c r="P221" s="124" t="n">
        <f aca="false">D221/P$3</f>
        <v>0</v>
      </c>
      <c r="Q221" s="124" t="n">
        <f aca="false">E221/P$3</f>
        <v>0</v>
      </c>
      <c r="R221" s="124" t="n">
        <f aca="false">F221/R$3</f>
        <v>0</v>
      </c>
      <c r="S221" s="126" t="n">
        <f aca="false">J221/$R$3</f>
        <v>0</v>
      </c>
      <c r="T221" s="126" t="n">
        <f aca="false">L221/$R$3</f>
        <v>0</v>
      </c>
      <c r="U221" s="126" t="n">
        <f aca="false">I221/$R$3</f>
        <v>-16.758</v>
      </c>
      <c r="V221" s="126" t="n">
        <f aca="false">M221/$R$3</f>
        <v>-656.786</v>
      </c>
      <c r="W221" s="126" t="n">
        <f aca="false">N221/$R$3</f>
        <v>-656.786</v>
      </c>
    </row>
    <row r="222" customFormat="false" ht="12.75" hidden="true" customHeight="false" outlineLevel="0" collapsed="false">
      <c r="A222" s="120" t="n">
        <f aca="false">A221+1</f>
        <v>37108</v>
      </c>
      <c r="B222" s="131" t="str">
        <f aca="false">INDEX('Master Data'!$A$2:$B$8,MATCH(WEEKDAY('Modesto Maranzana Power'!A222,3),'Master Data'!$A$2:$A$8,0),2)</f>
        <v>Su</v>
      </c>
      <c r="D222" s="124" t="n">
        <v>0</v>
      </c>
      <c r="E222" s="124" t="n">
        <v>0</v>
      </c>
      <c r="F222" s="124" t="n">
        <v>0</v>
      </c>
      <c r="G222" s="124" t="n">
        <v>0</v>
      </c>
      <c r="I222" s="124" t="n">
        <f aca="false">IF(MONTH($A222)=MONTH($A221),IF(G222=0,I221,G222),G222)</f>
        <v>-16758</v>
      </c>
      <c r="J222" s="124" t="n">
        <f aca="false">IF(MONTH($A222)=MONTH($A221),SUM(I222-I221),I222)</f>
        <v>0</v>
      </c>
      <c r="K222" s="124" t="n">
        <f aca="false">IF(WEEKDAY(A222,3)&gt;4,0,(IF(A222&lt;K$2,0,IF(A222&lt;=K$3,1,0))))</f>
        <v>0</v>
      </c>
      <c r="L222" s="124" t="n">
        <f aca="false">J222*K222</f>
        <v>0</v>
      </c>
      <c r="M222" s="124" t="n">
        <f aca="false">SUM(J$188:J222)</f>
        <v>-656786</v>
      </c>
      <c r="N222" s="124" t="n">
        <f aca="false">SUM(J$6:J222)</f>
        <v>-656786</v>
      </c>
      <c r="P222" s="124" t="n">
        <f aca="false">D222/P$3</f>
        <v>0</v>
      </c>
      <c r="Q222" s="124" t="n">
        <f aca="false">E222/P$3</f>
        <v>0</v>
      </c>
      <c r="R222" s="124" t="n">
        <f aca="false">F222/R$3</f>
        <v>0</v>
      </c>
      <c r="S222" s="126" t="n">
        <f aca="false">J222/$R$3</f>
        <v>0</v>
      </c>
      <c r="T222" s="126" t="n">
        <f aca="false">L222/$R$3</f>
        <v>0</v>
      </c>
      <c r="U222" s="126" t="n">
        <f aca="false">I222/$R$3</f>
        <v>-16.758</v>
      </c>
      <c r="V222" s="126" t="n">
        <f aca="false">M222/$R$3</f>
        <v>-656.786</v>
      </c>
      <c r="W222" s="126" t="n">
        <f aca="false">N222/$R$3</f>
        <v>-656.786</v>
      </c>
    </row>
    <row r="223" customFormat="false" ht="12.75" hidden="true" customHeight="false" outlineLevel="0" collapsed="false">
      <c r="A223" s="120" t="n">
        <f aca="false">A222+1</f>
        <v>37109</v>
      </c>
      <c r="B223" s="131" t="str">
        <f aca="false">INDEX('Master Data'!$A$2:$B$8,MATCH(WEEKDAY('Modesto Maranzana Power'!A223,3),'Master Data'!$A$2:$A$8,0),2)</f>
        <v>M</v>
      </c>
      <c r="D223" s="124" t="n">
        <v>1989022.54509211</v>
      </c>
      <c r="E223" s="124" t="n">
        <v>0</v>
      </c>
      <c r="F223" s="124" t="n">
        <v>0</v>
      </c>
      <c r="G223" s="124" t="n">
        <v>-47525</v>
      </c>
      <c r="I223" s="124" t="n">
        <f aca="false">IF(MONTH($A223)=MONTH($A222),IF(G223=0,I222,G223),G223)</f>
        <v>-47525</v>
      </c>
      <c r="J223" s="124" t="n">
        <f aca="false">IF(MONTH($A223)=MONTH($A222),SUM(I223-I222),I223)</f>
        <v>-30767</v>
      </c>
      <c r="K223" s="124" t="n">
        <f aca="false">IF(WEEKDAY(A223,3)&gt;4,0,(IF(A223&lt;K$2,0,IF(A223&lt;=K$3,1,0))))</f>
        <v>0</v>
      </c>
      <c r="L223" s="124" t="n">
        <f aca="false">J223*K223</f>
        <v>-0</v>
      </c>
      <c r="M223" s="124" t="n">
        <f aca="false">SUM(J$188:J223)</f>
        <v>-687553</v>
      </c>
      <c r="N223" s="124" t="n">
        <f aca="false">SUM(J$6:J223)</f>
        <v>-687553</v>
      </c>
      <c r="P223" s="124" t="n">
        <f aca="false">D223/P$3</f>
        <v>1.98902254509211</v>
      </c>
      <c r="Q223" s="124" t="n">
        <f aca="false">E223/P$3</f>
        <v>0</v>
      </c>
      <c r="R223" s="124" t="n">
        <f aca="false">F223/R$3</f>
        <v>0</v>
      </c>
      <c r="S223" s="126" t="n">
        <f aca="false">J223/$R$3</f>
        <v>-30.767</v>
      </c>
      <c r="T223" s="126" t="n">
        <f aca="false">L223/$R$3</f>
        <v>-0</v>
      </c>
      <c r="U223" s="126" t="n">
        <f aca="false">I223/$R$3</f>
        <v>-47.525</v>
      </c>
      <c r="V223" s="126" t="n">
        <f aca="false">M223/$R$3</f>
        <v>-687.553</v>
      </c>
      <c r="W223" s="126" t="n">
        <f aca="false">N223/$R$3</f>
        <v>-687.553</v>
      </c>
    </row>
    <row r="224" customFormat="false" ht="12.75" hidden="true" customHeight="false" outlineLevel="0" collapsed="false">
      <c r="A224" s="120" t="n">
        <f aca="false">A223+1</f>
        <v>37110</v>
      </c>
      <c r="B224" s="131" t="str">
        <f aca="false">INDEX('Master Data'!$A$2:$B$8,MATCH(WEEKDAY('Modesto Maranzana Power'!A224,3),'Master Data'!$A$2:$A$8,0),2)</f>
        <v>T</v>
      </c>
      <c r="D224" s="124" t="n">
        <v>1988751.64343705</v>
      </c>
      <c r="E224" s="124" t="n">
        <v>0</v>
      </c>
      <c r="F224" s="124" t="n">
        <v>0</v>
      </c>
      <c r="G224" s="124" t="n">
        <v>-92845</v>
      </c>
      <c r="I224" s="124" t="n">
        <f aca="false">IF(MONTH($A224)=MONTH($A223),IF(G224=0,I223,G224),G224)</f>
        <v>-92845</v>
      </c>
      <c r="J224" s="124" t="n">
        <f aca="false">IF(MONTH($A224)=MONTH($A223),SUM(I224-I223),I224)</f>
        <v>-45320</v>
      </c>
      <c r="K224" s="124" t="n">
        <f aca="false">IF(WEEKDAY(A224,3)&gt;4,0,(IF(A224&lt;K$2,0,IF(A224&lt;=K$3,1,0))))</f>
        <v>0</v>
      </c>
      <c r="L224" s="124" t="n">
        <f aca="false">J224*K224</f>
        <v>-0</v>
      </c>
      <c r="M224" s="124" t="n">
        <f aca="false">SUM(J$188:J224)</f>
        <v>-732873</v>
      </c>
      <c r="N224" s="124" t="n">
        <f aca="false">SUM(J$6:J224)</f>
        <v>-732873</v>
      </c>
      <c r="P224" s="124" t="n">
        <f aca="false">D224/P$3</f>
        <v>1.98875164343705</v>
      </c>
      <c r="Q224" s="124" t="n">
        <f aca="false">E224/P$3</f>
        <v>0</v>
      </c>
      <c r="R224" s="124" t="n">
        <f aca="false">F224/R$3</f>
        <v>0</v>
      </c>
      <c r="S224" s="126" t="n">
        <f aca="false">J224/$R$3</f>
        <v>-45.32</v>
      </c>
      <c r="T224" s="126" t="n">
        <f aca="false">L224/$R$3</f>
        <v>-0</v>
      </c>
      <c r="U224" s="126" t="n">
        <f aca="false">I224/$R$3</f>
        <v>-92.845</v>
      </c>
      <c r="V224" s="126" t="n">
        <f aca="false">M224/$R$3</f>
        <v>-732.873</v>
      </c>
      <c r="W224" s="126" t="n">
        <f aca="false">N224/$R$3</f>
        <v>-732.873</v>
      </c>
    </row>
    <row r="225" customFormat="false" ht="12.75" hidden="true" customHeight="false" outlineLevel="0" collapsed="false">
      <c r="A225" s="120" t="n">
        <f aca="false">A224+1</f>
        <v>37111</v>
      </c>
      <c r="B225" s="131" t="str">
        <f aca="false">INDEX('Master Data'!$A$2:$B$8,MATCH(WEEKDAY('Modesto Maranzana Power'!A225,3),'Master Data'!$A$2:$A$8,0),2)</f>
        <v>W</v>
      </c>
      <c r="D225" s="124" t="n">
        <v>1987444.91909387</v>
      </c>
      <c r="E225" s="124" t="n">
        <v>0</v>
      </c>
      <c r="F225" s="124" t="n">
        <v>0</v>
      </c>
      <c r="G225" s="124" t="n">
        <v>-104652</v>
      </c>
      <c r="I225" s="124" t="n">
        <f aca="false">IF(MONTH($A225)=MONTH($A224),IF(G225=0,I224,G225),G225)</f>
        <v>-104652</v>
      </c>
      <c r="J225" s="124" t="n">
        <f aca="false">IF(MONTH($A225)=MONTH($A224),SUM(I225-I224),I225)</f>
        <v>-11807</v>
      </c>
      <c r="K225" s="124" t="n">
        <f aca="false">IF(WEEKDAY(A225,3)&gt;4,0,(IF(A225&lt;K$2,0,IF(A225&lt;=K$3,1,0))))</f>
        <v>0</v>
      </c>
      <c r="L225" s="124" t="n">
        <f aca="false">J225*K225</f>
        <v>-0</v>
      </c>
      <c r="M225" s="124" t="n">
        <f aca="false">SUM(J$188:J225)</f>
        <v>-744680</v>
      </c>
      <c r="N225" s="124" t="n">
        <f aca="false">SUM(J$6:J225)</f>
        <v>-744680</v>
      </c>
      <c r="P225" s="124" t="n">
        <f aca="false">D225/P$3</f>
        <v>1.98744491909387</v>
      </c>
      <c r="Q225" s="124" t="n">
        <f aca="false">E225/P$3</f>
        <v>0</v>
      </c>
      <c r="R225" s="124" t="n">
        <f aca="false">F225/R$3</f>
        <v>0</v>
      </c>
      <c r="S225" s="126" t="n">
        <f aca="false">J225/$R$3</f>
        <v>-11.807</v>
      </c>
      <c r="T225" s="126" t="n">
        <f aca="false">L225/$R$3</f>
        <v>-0</v>
      </c>
      <c r="U225" s="126" t="n">
        <f aca="false">I225/$R$3</f>
        <v>-104.652</v>
      </c>
      <c r="V225" s="126" t="n">
        <f aca="false">M225/$R$3</f>
        <v>-744.68</v>
      </c>
      <c r="W225" s="126" t="n">
        <f aca="false">N225/$R$3</f>
        <v>-744.68</v>
      </c>
    </row>
    <row r="226" customFormat="false" ht="12.75" hidden="true" customHeight="false" outlineLevel="0" collapsed="false">
      <c r="A226" s="120" t="n">
        <f aca="false">A225+1</f>
        <v>37112</v>
      </c>
      <c r="B226" s="131" t="str">
        <f aca="false">INDEX('Master Data'!$A$2:$B$8,MATCH(WEEKDAY('Modesto Maranzana Power'!A226,3),'Master Data'!$A$2:$A$8,0),2)</f>
        <v>Th</v>
      </c>
      <c r="D226" s="124" t="n">
        <v>1990491.09389103</v>
      </c>
      <c r="E226" s="124" t="n">
        <v>0</v>
      </c>
      <c r="F226" s="124" t="n">
        <v>0</v>
      </c>
      <c r="G226" s="124" t="n">
        <v>-109432</v>
      </c>
      <c r="I226" s="124" t="n">
        <f aca="false">IF(MONTH($A226)=MONTH($A225),IF(G226=0,I225,G226),G226)</f>
        <v>-109432</v>
      </c>
      <c r="J226" s="124" t="n">
        <f aca="false">IF(MONTH($A226)=MONTH($A225),SUM(I226-I225),I226)</f>
        <v>-4780</v>
      </c>
      <c r="K226" s="124" t="n">
        <f aca="false">IF(WEEKDAY(A226,3)&gt;4,0,(IF(A226&lt;K$2,0,IF(A226&lt;=K$3,1,0))))</f>
        <v>0</v>
      </c>
      <c r="L226" s="124" t="n">
        <f aca="false">J226*K226</f>
        <v>-0</v>
      </c>
      <c r="M226" s="124" t="n">
        <f aca="false">SUM(J$188:J226)</f>
        <v>-749460</v>
      </c>
      <c r="N226" s="124" t="n">
        <f aca="false">SUM(J$6:J226)</f>
        <v>-749460</v>
      </c>
      <c r="P226" s="124" t="n">
        <f aca="false">D226/P$3</f>
        <v>1.99049109389103</v>
      </c>
      <c r="Q226" s="124" t="n">
        <f aca="false">E226/P$3</f>
        <v>0</v>
      </c>
      <c r="R226" s="124" t="n">
        <f aca="false">F226/R$3</f>
        <v>0</v>
      </c>
      <c r="S226" s="126" t="n">
        <f aca="false">J226/$R$3</f>
        <v>-4.78</v>
      </c>
      <c r="T226" s="126" t="n">
        <f aca="false">L226/$R$3</f>
        <v>-0</v>
      </c>
      <c r="U226" s="126" t="n">
        <f aca="false">I226/$R$3</f>
        <v>-109.432</v>
      </c>
      <c r="V226" s="126" t="n">
        <f aca="false">M226/$R$3</f>
        <v>-749.46</v>
      </c>
      <c r="W226" s="126" t="n">
        <f aca="false">N226/$R$3</f>
        <v>-749.46</v>
      </c>
    </row>
    <row r="227" customFormat="false" ht="12.75" hidden="true" customHeight="false" outlineLevel="0" collapsed="false">
      <c r="A227" s="120" t="n">
        <f aca="false">A226+1</f>
        <v>37113</v>
      </c>
      <c r="B227" s="131" t="str">
        <f aca="false">INDEX('Master Data'!$A$2:$B$8,MATCH(WEEKDAY('Modesto Maranzana Power'!A227,3),'Master Data'!$A$2:$A$8,0),2)</f>
        <v>F</v>
      </c>
      <c r="D227" s="124" t="n">
        <v>1988255.64458633</v>
      </c>
      <c r="E227" s="124" t="n">
        <v>0</v>
      </c>
      <c r="F227" s="124" t="n">
        <v>0</v>
      </c>
      <c r="G227" s="124" t="n">
        <v>-303970</v>
      </c>
      <c r="I227" s="124" t="n">
        <f aca="false">IF(MONTH($A227)=MONTH($A226),IF(G227=0,I226,G227),G227)</f>
        <v>-303970</v>
      </c>
      <c r="J227" s="124" t="n">
        <f aca="false">IF(MONTH($A227)=MONTH($A226),SUM(I227-I226),I227)</f>
        <v>-194538</v>
      </c>
      <c r="K227" s="124" t="n">
        <f aca="false">IF(WEEKDAY(A227,3)&gt;4,0,(IF(A227&lt;K$2,0,IF(A227&lt;=K$3,1,0))))</f>
        <v>0</v>
      </c>
      <c r="L227" s="124" t="n">
        <f aca="false">J227*K227</f>
        <v>-0</v>
      </c>
      <c r="M227" s="124" t="n">
        <f aca="false">SUM(J$188:J227)</f>
        <v>-943998</v>
      </c>
      <c r="N227" s="124" t="n">
        <f aca="false">SUM(J$6:J227)</f>
        <v>-943998</v>
      </c>
      <c r="P227" s="124" t="n">
        <f aca="false">D227/P$3</f>
        <v>1.98825564458633</v>
      </c>
      <c r="Q227" s="124" t="n">
        <f aca="false">E227/P$3</f>
        <v>0</v>
      </c>
      <c r="R227" s="124" t="n">
        <f aca="false">F227/R$3</f>
        <v>0</v>
      </c>
      <c r="S227" s="126" t="n">
        <f aca="false">J227/$R$3</f>
        <v>-194.538</v>
      </c>
      <c r="T227" s="126" t="n">
        <f aca="false">L227/$R$3</f>
        <v>-0</v>
      </c>
      <c r="U227" s="126" t="n">
        <f aca="false">I227/$R$3</f>
        <v>-303.97</v>
      </c>
      <c r="V227" s="126" t="n">
        <f aca="false">M227/$R$3</f>
        <v>-943.998</v>
      </c>
      <c r="W227" s="126" t="n">
        <f aca="false">N227/$R$3</f>
        <v>-943.998</v>
      </c>
    </row>
    <row r="228" customFormat="false" ht="12.75" hidden="true" customHeight="false" outlineLevel="0" collapsed="false">
      <c r="A228" s="120" t="n">
        <f aca="false">A227+1</f>
        <v>37114</v>
      </c>
      <c r="B228" s="131" t="str">
        <f aca="false">INDEX('Master Data'!$A$2:$B$8,MATCH(WEEKDAY('Modesto Maranzana Power'!A228,3),'Master Data'!$A$2:$A$8,0),2)</f>
        <v>Sa</v>
      </c>
      <c r="D228" s="124" t="n">
        <v>0</v>
      </c>
      <c r="E228" s="124" t="n">
        <v>0</v>
      </c>
      <c r="F228" s="124" t="n">
        <v>0</v>
      </c>
      <c r="G228" s="124" t="n">
        <v>0</v>
      </c>
      <c r="I228" s="124" t="n">
        <f aca="false">IF(MONTH($A228)=MONTH($A227),IF(G228=0,I227,G228),G228)</f>
        <v>-303970</v>
      </c>
      <c r="J228" s="124" t="n">
        <f aca="false">IF(MONTH($A228)=MONTH($A227),SUM(I228-I227),I228)</f>
        <v>0</v>
      </c>
      <c r="K228" s="124" t="n">
        <f aca="false">IF(WEEKDAY(A228,3)&gt;4,0,(IF(A228&lt;K$2,0,IF(A228&lt;=K$3,1,0))))</f>
        <v>0</v>
      </c>
      <c r="L228" s="124" t="n">
        <f aca="false">J228*K228</f>
        <v>0</v>
      </c>
      <c r="M228" s="124" t="n">
        <f aca="false">SUM(J$188:J228)</f>
        <v>-943998</v>
      </c>
      <c r="N228" s="124" t="n">
        <f aca="false">SUM(J$6:J228)</f>
        <v>-943998</v>
      </c>
      <c r="P228" s="124" t="n">
        <f aca="false">D228/P$3</f>
        <v>0</v>
      </c>
      <c r="Q228" s="124" t="n">
        <f aca="false">E228/P$3</f>
        <v>0</v>
      </c>
      <c r="R228" s="124" t="n">
        <f aca="false">F228/R$3</f>
        <v>0</v>
      </c>
      <c r="S228" s="126" t="n">
        <f aca="false">J228/$R$3</f>
        <v>0</v>
      </c>
      <c r="T228" s="126" t="n">
        <f aca="false">L228/$R$3</f>
        <v>0</v>
      </c>
      <c r="U228" s="126" t="n">
        <f aca="false">I228/$R$3</f>
        <v>-303.97</v>
      </c>
      <c r="V228" s="126" t="n">
        <f aca="false">M228/$R$3</f>
        <v>-943.998</v>
      </c>
      <c r="W228" s="126" t="n">
        <f aca="false">N228/$R$3</f>
        <v>-943.998</v>
      </c>
    </row>
    <row r="229" customFormat="false" ht="12.75" hidden="true" customHeight="false" outlineLevel="0" collapsed="false">
      <c r="A229" s="120" t="n">
        <f aca="false">A228+1</f>
        <v>37115</v>
      </c>
      <c r="B229" s="131" t="str">
        <f aca="false">INDEX('Master Data'!$A$2:$B$8,MATCH(WEEKDAY('Modesto Maranzana Power'!A229,3),'Master Data'!$A$2:$A$8,0),2)</f>
        <v>Su</v>
      </c>
      <c r="D229" s="124" t="n">
        <v>0</v>
      </c>
      <c r="E229" s="124" t="n">
        <v>0</v>
      </c>
      <c r="F229" s="124" t="n">
        <v>0</v>
      </c>
      <c r="G229" s="124" t="n">
        <v>0</v>
      </c>
      <c r="I229" s="124" t="n">
        <f aca="false">IF(MONTH($A229)=MONTH($A228),IF(G229=0,I228,G229),G229)</f>
        <v>-303970</v>
      </c>
      <c r="J229" s="124" t="n">
        <f aca="false">IF(MONTH($A229)=MONTH($A228),SUM(I229-I228),I229)</f>
        <v>0</v>
      </c>
      <c r="K229" s="124" t="n">
        <f aca="false">IF(WEEKDAY(A229,3)&gt;4,0,(IF(A229&lt;K$2,0,IF(A229&lt;=K$3,1,0))))</f>
        <v>0</v>
      </c>
      <c r="L229" s="124" t="n">
        <f aca="false">J229*K229</f>
        <v>0</v>
      </c>
      <c r="M229" s="124" t="n">
        <f aca="false">SUM(J$188:J229)</f>
        <v>-943998</v>
      </c>
      <c r="N229" s="124" t="n">
        <f aca="false">SUM(J$6:J229)</f>
        <v>-943998</v>
      </c>
      <c r="P229" s="124" t="n">
        <f aca="false">D229/P$3</f>
        <v>0</v>
      </c>
      <c r="Q229" s="124" t="n">
        <f aca="false">E229/P$3</f>
        <v>0</v>
      </c>
      <c r="R229" s="124" t="n">
        <f aca="false">F229/R$3</f>
        <v>0</v>
      </c>
      <c r="S229" s="126" t="n">
        <f aca="false">J229/$R$3</f>
        <v>0</v>
      </c>
      <c r="T229" s="126" t="n">
        <f aca="false">L229/$R$3</f>
        <v>0</v>
      </c>
      <c r="U229" s="126" t="n">
        <f aca="false">I229/$R$3</f>
        <v>-303.97</v>
      </c>
      <c r="V229" s="126" t="n">
        <f aca="false">M229/$R$3</f>
        <v>-943.998</v>
      </c>
      <c r="W229" s="126" t="n">
        <f aca="false">N229/$R$3</f>
        <v>-943.998</v>
      </c>
    </row>
    <row r="230" customFormat="false" ht="12.75" hidden="true" customHeight="false" outlineLevel="0" collapsed="false">
      <c r="A230" s="120" t="n">
        <f aca="false">A229+1</f>
        <v>37116</v>
      </c>
      <c r="B230" s="131" t="str">
        <f aca="false">INDEX('Master Data'!$A$2:$B$8,MATCH(WEEKDAY('Modesto Maranzana Power'!A230,3),'Master Data'!$A$2:$A$8,0),2)</f>
        <v>M</v>
      </c>
      <c r="D230" s="124" t="n">
        <v>1985134.84371604</v>
      </c>
      <c r="E230" s="124" t="n">
        <v>0</v>
      </c>
      <c r="F230" s="124" t="n">
        <v>0</v>
      </c>
      <c r="G230" s="124" t="n">
        <v>-302798</v>
      </c>
      <c r="I230" s="124" t="n">
        <f aca="false">IF(MONTH($A230)=MONTH($A229),IF(G230=0,I229,G230),G230)</f>
        <v>-302798</v>
      </c>
      <c r="J230" s="124" t="n">
        <f aca="false">IF(MONTH($A230)=MONTH($A229),SUM(I230-I229),I230)</f>
        <v>1172</v>
      </c>
      <c r="K230" s="124" t="n">
        <f aca="false">IF(WEEKDAY(A230,3)&gt;4,0,(IF(A230&lt;K$2,0,IF(A230&lt;=K$3,1,0))))</f>
        <v>0</v>
      </c>
      <c r="L230" s="124" t="n">
        <f aca="false">J230*K230</f>
        <v>0</v>
      </c>
      <c r="M230" s="124" t="n">
        <f aca="false">SUM(J$188:J230)</f>
        <v>-942826</v>
      </c>
      <c r="N230" s="124" t="n">
        <f aca="false">SUM(J$6:J230)</f>
        <v>-942826</v>
      </c>
      <c r="P230" s="124" t="n">
        <f aca="false">D230/P$3</f>
        <v>1.98513484371604</v>
      </c>
      <c r="Q230" s="124" t="n">
        <f aca="false">E230/P$3</f>
        <v>0</v>
      </c>
      <c r="R230" s="124" t="n">
        <f aca="false">F230/R$3</f>
        <v>0</v>
      </c>
      <c r="S230" s="126" t="n">
        <f aca="false">J230/$R$3</f>
        <v>1.172</v>
      </c>
      <c r="T230" s="126" t="n">
        <f aca="false">L230/$R$3</f>
        <v>0</v>
      </c>
      <c r="U230" s="126" t="n">
        <f aca="false">I230/$R$3</f>
        <v>-302.798</v>
      </c>
      <c r="V230" s="126" t="n">
        <f aca="false">M230/$R$3</f>
        <v>-942.826</v>
      </c>
      <c r="W230" s="126" t="n">
        <f aca="false">N230/$R$3</f>
        <v>-942.826</v>
      </c>
    </row>
    <row r="231" customFormat="false" ht="12.75" hidden="true" customHeight="false" outlineLevel="0" collapsed="false">
      <c r="A231" s="120" t="n">
        <f aca="false">A230+1</f>
        <v>37117</v>
      </c>
      <c r="B231" s="131" t="str">
        <f aca="false">INDEX('Master Data'!$A$2:$B$8,MATCH(WEEKDAY('Modesto Maranzana Power'!A231,3),'Master Data'!$A$2:$A$8,0),2)</f>
        <v>T</v>
      </c>
      <c r="D231" s="124" t="n">
        <v>1988902.72192506</v>
      </c>
      <c r="E231" s="124" t="n">
        <v>0</v>
      </c>
      <c r="F231" s="124" t="n">
        <v>0</v>
      </c>
      <c r="G231" s="124" t="n">
        <v>-307009</v>
      </c>
      <c r="I231" s="124" t="n">
        <f aca="false">IF(MONTH($A231)=MONTH($A230),IF(G231=0,I230,G231),G231)</f>
        <v>-307009</v>
      </c>
      <c r="J231" s="124" t="n">
        <f aca="false">IF(MONTH($A231)=MONTH($A230),SUM(I231-I230),I231)</f>
        <v>-4211</v>
      </c>
      <c r="K231" s="124" t="n">
        <f aca="false">IF(WEEKDAY(A231,3)&gt;4,0,(IF(A231&lt;K$2,0,IF(A231&lt;=K$3,1,0))))</f>
        <v>0</v>
      </c>
      <c r="L231" s="124" t="n">
        <f aca="false">J231*K231</f>
        <v>-0</v>
      </c>
      <c r="M231" s="124" t="n">
        <f aca="false">SUM(J$188:J231)</f>
        <v>-947037</v>
      </c>
      <c r="N231" s="124" t="n">
        <f aca="false">SUM(J$6:J231)</f>
        <v>-947037</v>
      </c>
      <c r="P231" s="124" t="n">
        <f aca="false">D231/P$3</f>
        <v>1.98890272192506</v>
      </c>
      <c r="Q231" s="124" t="n">
        <f aca="false">E231/P$3</f>
        <v>0</v>
      </c>
      <c r="R231" s="124" t="n">
        <f aca="false">F231/R$3</f>
        <v>0</v>
      </c>
      <c r="S231" s="126" t="n">
        <f aca="false">J231/$R$3</f>
        <v>-4.211</v>
      </c>
      <c r="T231" s="126" t="n">
        <f aca="false">L231/$R$3</f>
        <v>-0</v>
      </c>
      <c r="U231" s="126" t="n">
        <f aca="false">I231/$R$3</f>
        <v>-307.009</v>
      </c>
      <c r="V231" s="126" t="n">
        <f aca="false">M231/$R$3</f>
        <v>-947.037</v>
      </c>
      <c r="W231" s="126" t="n">
        <f aca="false">N231/$R$3</f>
        <v>-947.037</v>
      </c>
    </row>
    <row r="232" customFormat="false" ht="12.75" hidden="true" customHeight="false" outlineLevel="0" collapsed="false">
      <c r="A232" s="120" t="n">
        <f aca="false">A231+1</f>
        <v>37118</v>
      </c>
      <c r="B232" s="131" t="str">
        <f aca="false">INDEX('Master Data'!$A$2:$B$8,MATCH(WEEKDAY('Modesto Maranzana Power'!A232,3),'Master Data'!$A$2:$A$8,0),2)</f>
        <v>W</v>
      </c>
      <c r="D232" s="124" t="n">
        <v>1986081.51550068</v>
      </c>
      <c r="E232" s="124" t="n">
        <v>0</v>
      </c>
      <c r="F232" s="124" t="n">
        <v>0</v>
      </c>
      <c r="G232" s="124" t="n">
        <v>-314338</v>
      </c>
      <c r="I232" s="124" t="n">
        <f aca="false">IF(MONTH($A232)=MONTH($A231),IF(G232=0,I231,G232),G232)</f>
        <v>-314338</v>
      </c>
      <c r="J232" s="124" t="n">
        <f aca="false">IF(MONTH($A232)=MONTH($A231),SUM(I232-I231),I232)</f>
        <v>-7329</v>
      </c>
      <c r="K232" s="124" t="n">
        <f aca="false">IF(WEEKDAY(A232,3)&gt;4,0,(IF(A232&lt;K$2,0,IF(A232&lt;=K$3,1,0))))</f>
        <v>0</v>
      </c>
      <c r="L232" s="124" t="n">
        <f aca="false">J232*K232</f>
        <v>-0</v>
      </c>
      <c r="M232" s="124" t="n">
        <f aca="false">SUM(J$188:J232)</f>
        <v>-954366</v>
      </c>
      <c r="N232" s="124" t="n">
        <f aca="false">SUM(J$6:J232)</f>
        <v>-954366</v>
      </c>
      <c r="P232" s="124" t="n">
        <f aca="false">D232/P$3</f>
        <v>1.98608151550068</v>
      </c>
      <c r="Q232" s="124" t="n">
        <f aca="false">E232/P$3</f>
        <v>0</v>
      </c>
      <c r="R232" s="124" t="n">
        <f aca="false">F232/R$3</f>
        <v>0</v>
      </c>
      <c r="S232" s="126" t="n">
        <f aca="false">J232/$R$3</f>
        <v>-7.329</v>
      </c>
      <c r="T232" s="126" t="n">
        <f aca="false">L232/$R$3</f>
        <v>-0</v>
      </c>
      <c r="U232" s="126" t="n">
        <f aca="false">I232/$R$3</f>
        <v>-314.338</v>
      </c>
      <c r="V232" s="126" t="n">
        <f aca="false">M232/$R$3</f>
        <v>-954.366</v>
      </c>
      <c r="W232" s="126" t="n">
        <f aca="false">N232/$R$3</f>
        <v>-954.366</v>
      </c>
    </row>
    <row r="233" customFormat="false" ht="12.75" hidden="true" customHeight="false" outlineLevel="0" collapsed="false">
      <c r="A233" s="120" t="n">
        <f aca="false">A232+1</f>
        <v>37119</v>
      </c>
      <c r="B233" s="131" t="str">
        <f aca="false">INDEX('Master Data'!$A$2:$B$8,MATCH(WEEKDAY('Modesto Maranzana Power'!A233,3),'Master Data'!$A$2:$A$8,0),2)</f>
        <v>Th</v>
      </c>
      <c r="D233" s="124" t="n">
        <v>1982102.29163713</v>
      </c>
      <c r="E233" s="124" t="n">
        <v>0</v>
      </c>
      <c r="F233" s="124" t="n">
        <v>0</v>
      </c>
      <c r="G233" s="124" t="n">
        <v>-322097</v>
      </c>
      <c r="I233" s="124" t="n">
        <f aca="false">IF(MONTH($A233)=MONTH($A232),IF(G233=0,I232,G233),G233)</f>
        <v>-322097</v>
      </c>
      <c r="J233" s="124" t="n">
        <f aca="false">IF(MONTH($A233)=MONTH($A232),SUM(I233-I232),I233)</f>
        <v>-7759</v>
      </c>
      <c r="K233" s="124" t="n">
        <f aca="false">IF(WEEKDAY(A233,3)&gt;4,0,(IF(A233&lt;K$2,0,IF(A233&lt;=K$3,1,0))))</f>
        <v>0</v>
      </c>
      <c r="L233" s="124" t="n">
        <f aca="false">J233*K233</f>
        <v>-0</v>
      </c>
      <c r="M233" s="124" t="n">
        <f aca="false">SUM(J$188:J233)</f>
        <v>-962125</v>
      </c>
      <c r="N233" s="124" t="n">
        <f aca="false">SUM(J$6:J233)</f>
        <v>-962125</v>
      </c>
      <c r="P233" s="124" t="n">
        <f aca="false">D233/P$3</f>
        <v>1.98210229163713</v>
      </c>
      <c r="Q233" s="124" t="n">
        <f aca="false">E233/P$3</f>
        <v>0</v>
      </c>
      <c r="R233" s="124" t="n">
        <f aca="false">F233/R$3</f>
        <v>0</v>
      </c>
      <c r="S233" s="126" t="n">
        <f aca="false">J233/$R$3</f>
        <v>-7.759</v>
      </c>
      <c r="T233" s="126" t="n">
        <f aca="false">L233/$R$3</f>
        <v>-0</v>
      </c>
      <c r="U233" s="126" t="n">
        <f aca="false">I233/$R$3</f>
        <v>-322.097</v>
      </c>
      <c r="V233" s="126" t="n">
        <f aca="false">M233/$R$3</f>
        <v>-962.125</v>
      </c>
      <c r="W233" s="126" t="n">
        <f aca="false">N233/$R$3</f>
        <v>-962.125</v>
      </c>
    </row>
    <row r="234" customFormat="false" ht="12.75" hidden="true" customHeight="false" outlineLevel="0" collapsed="false">
      <c r="A234" s="120" t="n">
        <f aca="false">A233+1</f>
        <v>37120</v>
      </c>
      <c r="B234" s="131" t="str">
        <f aca="false">INDEX('Master Data'!$A$2:$B$8,MATCH(WEEKDAY('Modesto Maranzana Power'!A234,3),'Master Data'!$A$2:$A$8,0),2)</f>
        <v>F</v>
      </c>
      <c r="D234" s="124" t="n">
        <v>1983314.0989876</v>
      </c>
      <c r="E234" s="124" t="n">
        <v>0</v>
      </c>
      <c r="F234" s="124" t="n">
        <v>0</v>
      </c>
      <c r="G234" s="124" t="n">
        <v>-320101</v>
      </c>
      <c r="I234" s="124" t="n">
        <f aca="false">IF(MONTH($A234)=MONTH($A233),IF(G234=0,I233,G234),G234)</f>
        <v>-320101</v>
      </c>
      <c r="J234" s="124" t="n">
        <f aca="false">IF(MONTH($A234)=MONTH($A233),SUM(I234-I233),I234)</f>
        <v>1996</v>
      </c>
      <c r="K234" s="124" t="n">
        <f aca="false">IF(WEEKDAY(A234,3)&gt;4,0,(IF(A234&lt;K$2,0,IF(A234&lt;=K$3,1,0))))</f>
        <v>0</v>
      </c>
      <c r="L234" s="124" t="n">
        <f aca="false">J234*K234</f>
        <v>0</v>
      </c>
      <c r="M234" s="124" t="n">
        <f aca="false">SUM(J$188:J234)</f>
        <v>-960129</v>
      </c>
      <c r="N234" s="124" t="n">
        <f aca="false">SUM(J$6:J234)</f>
        <v>-960129</v>
      </c>
      <c r="P234" s="124" t="n">
        <f aca="false">D234/P$3</f>
        <v>1.9833140989876</v>
      </c>
      <c r="Q234" s="124" t="n">
        <f aca="false">E234/P$3</f>
        <v>0</v>
      </c>
      <c r="R234" s="124" t="n">
        <f aca="false">F234/R$3</f>
        <v>0</v>
      </c>
      <c r="S234" s="126" t="n">
        <f aca="false">J234/$R$3</f>
        <v>1.996</v>
      </c>
      <c r="T234" s="126" t="n">
        <f aca="false">L234/$R$3</f>
        <v>0</v>
      </c>
      <c r="U234" s="126" t="n">
        <f aca="false">I234/$R$3</f>
        <v>-320.101</v>
      </c>
      <c r="V234" s="126" t="n">
        <f aca="false">M234/$R$3</f>
        <v>-960.129</v>
      </c>
      <c r="W234" s="126" t="n">
        <f aca="false">N234/$R$3</f>
        <v>-960.129</v>
      </c>
    </row>
    <row r="235" customFormat="false" ht="12.75" hidden="true" customHeight="false" outlineLevel="0" collapsed="false">
      <c r="A235" s="120" t="n">
        <f aca="false">A234+1</f>
        <v>37121</v>
      </c>
      <c r="B235" s="131" t="str">
        <f aca="false">INDEX('Master Data'!$A$2:$B$8,MATCH(WEEKDAY('Modesto Maranzana Power'!A235,3),'Master Data'!$A$2:$A$8,0),2)</f>
        <v>Sa</v>
      </c>
      <c r="D235" s="124" t="n">
        <v>0</v>
      </c>
      <c r="E235" s="124" t="n">
        <v>0</v>
      </c>
      <c r="F235" s="124" t="n">
        <v>0</v>
      </c>
      <c r="G235" s="124" t="n">
        <v>0</v>
      </c>
      <c r="I235" s="124" t="n">
        <f aca="false">IF(MONTH($A235)=MONTH($A234),IF(G235=0,I234,G235),G235)</f>
        <v>-320101</v>
      </c>
      <c r="J235" s="124" t="n">
        <f aca="false">IF(MONTH($A235)=MONTH($A234),SUM(I235-I234),I235)</f>
        <v>0</v>
      </c>
      <c r="K235" s="124" t="n">
        <f aca="false">IF(WEEKDAY(A235,3)&gt;4,0,(IF(A235&lt;K$2,0,IF(A235&lt;=K$3,1,0))))</f>
        <v>0</v>
      </c>
      <c r="L235" s="124" t="n">
        <f aca="false">J235*K235</f>
        <v>0</v>
      </c>
      <c r="M235" s="124" t="n">
        <f aca="false">SUM(J$188:J235)</f>
        <v>-960129</v>
      </c>
      <c r="N235" s="124" t="n">
        <f aca="false">SUM(J$6:J235)</f>
        <v>-960129</v>
      </c>
      <c r="P235" s="124" t="n">
        <f aca="false">D235/P$3</f>
        <v>0</v>
      </c>
      <c r="Q235" s="124" t="n">
        <f aca="false">E235/P$3</f>
        <v>0</v>
      </c>
      <c r="R235" s="124" t="n">
        <f aca="false">F235/R$3</f>
        <v>0</v>
      </c>
      <c r="S235" s="126" t="n">
        <f aca="false">J235/$R$3</f>
        <v>0</v>
      </c>
      <c r="T235" s="126" t="n">
        <f aca="false">L235/$R$3</f>
        <v>0</v>
      </c>
      <c r="U235" s="126" t="n">
        <f aca="false">I235/$R$3</f>
        <v>-320.101</v>
      </c>
      <c r="V235" s="126" t="n">
        <f aca="false">M235/$R$3</f>
        <v>-960.129</v>
      </c>
      <c r="W235" s="126" t="n">
        <f aca="false">N235/$R$3</f>
        <v>-960.129</v>
      </c>
    </row>
    <row r="236" customFormat="false" ht="12.75" hidden="true" customHeight="false" outlineLevel="0" collapsed="false">
      <c r="A236" s="120" t="n">
        <f aca="false">A235+1</f>
        <v>37122</v>
      </c>
      <c r="B236" s="131" t="str">
        <f aca="false">INDEX('Master Data'!$A$2:$B$8,MATCH(WEEKDAY('Modesto Maranzana Power'!A236,3),'Master Data'!$A$2:$A$8,0),2)</f>
        <v>Su</v>
      </c>
      <c r="D236" s="124" t="n">
        <v>0</v>
      </c>
      <c r="E236" s="124" t="n">
        <v>0</v>
      </c>
      <c r="F236" s="124" t="n">
        <v>0</v>
      </c>
      <c r="G236" s="124" t="n">
        <v>0</v>
      </c>
      <c r="I236" s="124" t="n">
        <f aca="false">IF(MONTH($A236)=MONTH($A235),IF(G236=0,I235,G236),G236)</f>
        <v>-320101</v>
      </c>
      <c r="J236" s="124" t="n">
        <f aca="false">IF(MONTH($A236)=MONTH($A235),SUM(I236-I235),I236)</f>
        <v>0</v>
      </c>
      <c r="K236" s="124" t="n">
        <f aca="false">IF(WEEKDAY(A236,3)&gt;4,0,(IF(A236&lt;K$2,0,IF(A236&lt;=K$3,1,0))))</f>
        <v>0</v>
      </c>
      <c r="L236" s="124" t="n">
        <f aca="false">J236*K236</f>
        <v>0</v>
      </c>
      <c r="M236" s="124" t="n">
        <f aca="false">SUM(J$188:J236)</f>
        <v>-960129</v>
      </c>
      <c r="N236" s="124" t="n">
        <f aca="false">SUM(J$6:J236)</f>
        <v>-960129</v>
      </c>
      <c r="P236" s="124" t="n">
        <f aca="false">D236/P$3</f>
        <v>0</v>
      </c>
      <c r="Q236" s="124" t="n">
        <f aca="false">E236/P$3</f>
        <v>0</v>
      </c>
      <c r="R236" s="124" t="n">
        <f aca="false">F236/R$3</f>
        <v>0</v>
      </c>
      <c r="S236" s="126" t="n">
        <f aca="false">J236/$R$3</f>
        <v>0</v>
      </c>
      <c r="T236" s="126" t="n">
        <f aca="false">L236/$R$3</f>
        <v>0</v>
      </c>
      <c r="U236" s="126" t="n">
        <f aca="false">I236/$R$3</f>
        <v>-320.101</v>
      </c>
      <c r="V236" s="126" t="n">
        <f aca="false">M236/$R$3</f>
        <v>-960.129</v>
      </c>
      <c r="W236" s="126" t="n">
        <f aca="false">N236/$R$3</f>
        <v>-960.129</v>
      </c>
    </row>
    <row r="237" customFormat="false" ht="12.75" hidden="true" customHeight="false" outlineLevel="0" collapsed="false">
      <c r="A237" s="120" t="n">
        <f aca="false">A236+1</f>
        <v>37123</v>
      </c>
      <c r="B237" s="131" t="str">
        <f aca="false">INDEX('Master Data'!$A$2:$B$8,MATCH(WEEKDAY('Modesto Maranzana Power'!A237,3),'Master Data'!$A$2:$A$8,0),2)</f>
        <v>M</v>
      </c>
      <c r="D237" s="124" t="n">
        <v>1982945.84591858</v>
      </c>
      <c r="E237" s="124" t="n">
        <v>0</v>
      </c>
      <c r="F237" s="124" t="n">
        <v>0</v>
      </c>
      <c r="G237" s="124" t="n">
        <v>-313171</v>
      </c>
      <c r="I237" s="124" t="n">
        <f aca="false">IF(MONTH($A237)=MONTH($A236),IF(G237=0,I236,G237),G237)</f>
        <v>-313171</v>
      </c>
      <c r="J237" s="124" t="n">
        <f aca="false">IF(MONTH($A237)=MONTH($A236),SUM(I237-I236),I237)</f>
        <v>6930</v>
      </c>
      <c r="K237" s="124" t="n">
        <f aca="false">IF(WEEKDAY(A237,3)&gt;4,0,(IF(A237&lt;K$2,0,IF(A237&lt;=K$3,1,0))))</f>
        <v>0</v>
      </c>
      <c r="L237" s="124" t="n">
        <f aca="false">J237*K237</f>
        <v>0</v>
      </c>
      <c r="M237" s="124" t="n">
        <f aca="false">SUM(J$188:J237)</f>
        <v>-953199</v>
      </c>
      <c r="N237" s="124" t="n">
        <f aca="false">SUM(J$6:J237)</f>
        <v>-953199</v>
      </c>
      <c r="P237" s="124" t="n">
        <f aca="false">D237/P$3</f>
        <v>1.98294584591858</v>
      </c>
      <c r="Q237" s="124" t="n">
        <f aca="false">E237/P$3</f>
        <v>0</v>
      </c>
      <c r="R237" s="124" t="n">
        <f aca="false">F237/R$3</f>
        <v>0</v>
      </c>
      <c r="S237" s="126" t="n">
        <f aca="false">J237/$R$3</f>
        <v>6.93</v>
      </c>
      <c r="T237" s="126" t="n">
        <f aca="false">L237/$R$3</f>
        <v>0</v>
      </c>
      <c r="U237" s="126" t="n">
        <f aca="false">I237/$R$3</f>
        <v>-313.171</v>
      </c>
      <c r="V237" s="126" t="n">
        <f aca="false">M237/$R$3</f>
        <v>-953.199</v>
      </c>
      <c r="W237" s="126" t="n">
        <f aca="false">N237/$R$3</f>
        <v>-953.199</v>
      </c>
    </row>
    <row r="238" customFormat="false" ht="12.75" hidden="true" customHeight="false" outlineLevel="0" collapsed="false">
      <c r="A238" s="120" t="n">
        <f aca="false">A237+1</f>
        <v>37124</v>
      </c>
      <c r="B238" s="131" t="str">
        <f aca="false">INDEX('Master Data'!$A$2:$B$8,MATCH(WEEKDAY('Modesto Maranzana Power'!A238,3),'Master Data'!$A$2:$A$8,0),2)</f>
        <v>T</v>
      </c>
      <c r="D238" s="124" t="n">
        <v>1979575.00845542</v>
      </c>
      <c r="E238" s="124" t="n">
        <v>0</v>
      </c>
      <c r="F238" s="124" t="n">
        <v>0</v>
      </c>
      <c r="G238" s="124" t="n">
        <v>-319700</v>
      </c>
      <c r="I238" s="124" t="n">
        <f aca="false">IF(MONTH($A238)=MONTH($A237),IF(G238=0,I237,G238),G238)</f>
        <v>-319700</v>
      </c>
      <c r="J238" s="124" t="n">
        <f aca="false">IF(MONTH($A238)=MONTH($A237),SUM(I238-I237),I238)</f>
        <v>-6529</v>
      </c>
      <c r="K238" s="124" t="n">
        <f aca="false">IF(WEEKDAY(A238,3)&gt;4,0,(IF(A238&lt;K$2,0,IF(A238&lt;=K$3,1,0))))</f>
        <v>0</v>
      </c>
      <c r="L238" s="124" t="n">
        <f aca="false">J238*K238</f>
        <v>-0</v>
      </c>
      <c r="M238" s="124" t="n">
        <f aca="false">SUM(J$188:J238)</f>
        <v>-959728</v>
      </c>
      <c r="N238" s="124" t="n">
        <f aca="false">SUM(J$6:J238)</f>
        <v>-959728</v>
      </c>
      <c r="P238" s="124" t="n">
        <f aca="false">D238/P$3</f>
        <v>1.97957500845542</v>
      </c>
      <c r="Q238" s="124" t="n">
        <f aca="false">E238/P$3</f>
        <v>0</v>
      </c>
      <c r="R238" s="124" t="n">
        <f aca="false">F238/R$3</f>
        <v>0</v>
      </c>
      <c r="S238" s="126" t="n">
        <f aca="false">J238/$R$3</f>
        <v>-6.529</v>
      </c>
      <c r="T238" s="126" t="n">
        <f aca="false">L238/$R$3</f>
        <v>-0</v>
      </c>
      <c r="U238" s="126" t="n">
        <f aca="false">I238/$R$3</f>
        <v>-319.7</v>
      </c>
      <c r="V238" s="126" t="n">
        <f aca="false">M238/$R$3</f>
        <v>-959.728</v>
      </c>
      <c r="W238" s="126" t="n">
        <f aca="false">N238/$R$3</f>
        <v>-959.728</v>
      </c>
    </row>
    <row r="239" customFormat="false" ht="12.75" hidden="true" customHeight="false" outlineLevel="0" collapsed="false">
      <c r="A239" s="120" t="n">
        <f aca="false">A238+1</f>
        <v>37125</v>
      </c>
      <c r="B239" s="131" t="str">
        <f aca="false">INDEX('Master Data'!$A$2:$B$8,MATCH(WEEKDAY('Modesto Maranzana Power'!A239,3),'Master Data'!$A$2:$A$8,0),2)</f>
        <v>W</v>
      </c>
      <c r="D239" s="124" t="n">
        <v>1980611.39834808</v>
      </c>
      <c r="E239" s="124" t="n">
        <v>0</v>
      </c>
      <c r="F239" s="124" t="n">
        <v>0</v>
      </c>
      <c r="G239" s="124" t="n">
        <v>-160175</v>
      </c>
      <c r="I239" s="124" t="n">
        <f aca="false">IF(MONTH($A239)=MONTH($A238),IF(G239=0,I238,G239),G239)</f>
        <v>-160175</v>
      </c>
      <c r="J239" s="124" t="n">
        <f aca="false">IF(MONTH($A239)=MONTH($A238),SUM(I239-I238),I239)</f>
        <v>159525</v>
      </c>
      <c r="K239" s="124" t="n">
        <f aca="false">IF(WEEKDAY(A239,3)&gt;4,0,(IF(A239&lt;K$2,0,IF(A239&lt;=K$3,1,0))))</f>
        <v>0</v>
      </c>
      <c r="L239" s="124" t="n">
        <f aca="false">J239*K239</f>
        <v>0</v>
      </c>
      <c r="M239" s="124" t="n">
        <f aca="false">SUM(J$188:J239)</f>
        <v>-800203</v>
      </c>
      <c r="N239" s="124" t="n">
        <f aca="false">SUM(J$6:J239)</f>
        <v>-800203</v>
      </c>
      <c r="P239" s="124" t="n">
        <f aca="false">D239/P$3</f>
        <v>1.98061139834808</v>
      </c>
      <c r="Q239" s="124" t="n">
        <f aca="false">E239/P$3</f>
        <v>0</v>
      </c>
      <c r="R239" s="124" t="n">
        <f aca="false">F239/R$3</f>
        <v>0</v>
      </c>
      <c r="S239" s="126" t="n">
        <f aca="false">J239/$R$3</f>
        <v>159.525</v>
      </c>
      <c r="T239" s="126" t="n">
        <f aca="false">L239/$R$3</f>
        <v>0</v>
      </c>
      <c r="U239" s="126" t="n">
        <f aca="false">I239/$R$3</f>
        <v>-160.175</v>
      </c>
      <c r="V239" s="126" t="n">
        <f aca="false">M239/$R$3</f>
        <v>-800.203</v>
      </c>
      <c r="W239" s="126" t="n">
        <f aca="false">N239/$R$3</f>
        <v>-800.203</v>
      </c>
    </row>
    <row r="240" customFormat="false" ht="12.75" hidden="true" customHeight="false" outlineLevel="0" collapsed="false">
      <c r="A240" s="120" t="n">
        <f aca="false">A239+1</f>
        <v>37126</v>
      </c>
      <c r="B240" s="131" t="str">
        <f aca="false">INDEX('Master Data'!$A$2:$B$8,MATCH(WEEKDAY('Modesto Maranzana Power'!A240,3),'Master Data'!$A$2:$A$8,0),2)</f>
        <v>Th</v>
      </c>
      <c r="D240" s="124" t="n">
        <v>1978482.7705854</v>
      </c>
      <c r="E240" s="124" t="n">
        <v>0</v>
      </c>
      <c r="F240" s="124" t="n">
        <v>0</v>
      </c>
      <c r="G240" s="124" t="n">
        <v>-164770</v>
      </c>
      <c r="I240" s="124" t="n">
        <f aca="false">IF(MONTH($A240)=MONTH($A239),IF(G240=0,I239,G240),G240)</f>
        <v>-164770</v>
      </c>
      <c r="J240" s="124" t="n">
        <f aca="false">IF(MONTH($A240)=MONTH($A239),SUM(I240-I239),I240)</f>
        <v>-4595</v>
      </c>
      <c r="K240" s="124" t="n">
        <f aca="false">IF(WEEKDAY(A240,3)&gt;4,0,(IF(A240&lt;K$2,0,IF(A240&lt;=K$3,1,0))))</f>
        <v>0</v>
      </c>
      <c r="L240" s="124" t="n">
        <f aca="false">J240*K240</f>
        <v>-0</v>
      </c>
      <c r="M240" s="124" t="n">
        <f aca="false">SUM(J$188:J240)</f>
        <v>-804798</v>
      </c>
      <c r="N240" s="124" t="n">
        <f aca="false">SUM(J$6:J240)</f>
        <v>-804798</v>
      </c>
      <c r="P240" s="124" t="n">
        <f aca="false">D240/P$3</f>
        <v>1.9784827705854</v>
      </c>
      <c r="Q240" s="124" t="n">
        <f aca="false">E240/P$3</f>
        <v>0</v>
      </c>
      <c r="R240" s="124" t="n">
        <f aca="false">F240/R$3</f>
        <v>0</v>
      </c>
      <c r="S240" s="126" t="n">
        <f aca="false">J240/$R$3</f>
        <v>-4.595</v>
      </c>
      <c r="T240" s="126" t="n">
        <f aca="false">L240/$R$3</f>
        <v>-0</v>
      </c>
      <c r="U240" s="126" t="n">
        <f aca="false">I240/$R$3</f>
        <v>-164.77</v>
      </c>
      <c r="V240" s="126" t="n">
        <f aca="false">M240/$R$3</f>
        <v>-804.798</v>
      </c>
      <c r="W240" s="126" t="n">
        <f aca="false">N240/$R$3</f>
        <v>-804.798</v>
      </c>
    </row>
    <row r="241" customFormat="false" ht="12.75" hidden="true" customHeight="false" outlineLevel="0" collapsed="false">
      <c r="A241" s="120" t="n">
        <f aca="false">A240+1</f>
        <v>37127</v>
      </c>
      <c r="B241" s="131" t="str">
        <f aca="false">INDEX('Master Data'!$A$2:$B$8,MATCH(WEEKDAY('Modesto Maranzana Power'!A241,3),'Master Data'!$A$2:$A$8,0),2)</f>
        <v>F</v>
      </c>
      <c r="D241" s="124" t="n">
        <v>1977430.54634056</v>
      </c>
      <c r="E241" s="124" t="n">
        <v>0</v>
      </c>
      <c r="F241" s="124" t="n">
        <v>0</v>
      </c>
      <c r="G241" s="124" t="n">
        <v>-167749</v>
      </c>
      <c r="I241" s="124" t="n">
        <f aca="false">IF(MONTH($A241)=MONTH($A240),IF(G241=0,I240,G241),G241)</f>
        <v>-167749</v>
      </c>
      <c r="J241" s="124" t="n">
        <f aca="false">IF(MONTH($A241)=MONTH($A240),SUM(I241-I240),I241)</f>
        <v>-2979</v>
      </c>
      <c r="K241" s="124" t="n">
        <f aca="false">IF(WEEKDAY(A241,3)&gt;4,0,(IF(A241&lt;K$2,0,IF(A241&lt;=K$3,1,0))))</f>
        <v>0</v>
      </c>
      <c r="L241" s="124" t="n">
        <f aca="false">J241*K241</f>
        <v>-0</v>
      </c>
      <c r="M241" s="124" t="n">
        <f aca="false">SUM(J$188:J241)</f>
        <v>-807777</v>
      </c>
      <c r="N241" s="124" t="n">
        <f aca="false">SUM(J$6:J241)</f>
        <v>-807777</v>
      </c>
      <c r="P241" s="124" t="n">
        <f aca="false">D241/P$3</f>
        <v>1.97743054634056</v>
      </c>
      <c r="Q241" s="124" t="n">
        <f aca="false">E241/P$3</f>
        <v>0</v>
      </c>
      <c r="R241" s="124" t="n">
        <f aca="false">F241/R$3</f>
        <v>0</v>
      </c>
      <c r="S241" s="126" t="n">
        <f aca="false">J241/$R$3</f>
        <v>-2.979</v>
      </c>
      <c r="T241" s="126" t="n">
        <f aca="false">L241/$R$3</f>
        <v>-0</v>
      </c>
      <c r="U241" s="126" t="n">
        <f aca="false">I241/$R$3</f>
        <v>-167.749</v>
      </c>
      <c r="V241" s="126" t="n">
        <f aca="false">M241/$R$3</f>
        <v>-807.777</v>
      </c>
      <c r="W241" s="126" t="n">
        <f aca="false">N241/$R$3</f>
        <v>-807.777</v>
      </c>
    </row>
    <row r="242" customFormat="false" ht="12.75" hidden="true" customHeight="false" outlineLevel="0" collapsed="false">
      <c r="A242" s="120" t="n">
        <f aca="false">A241+1</f>
        <v>37128</v>
      </c>
      <c r="B242" s="131" t="str">
        <f aca="false">INDEX('Master Data'!$A$2:$B$8,MATCH(WEEKDAY('Modesto Maranzana Power'!A242,3),'Master Data'!$A$2:$A$8,0),2)</f>
        <v>Sa</v>
      </c>
      <c r="D242" s="124" t="n">
        <v>0</v>
      </c>
      <c r="E242" s="124" t="n">
        <v>0</v>
      </c>
      <c r="F242" s="124" t="n">
        <v>0</v>
      </c>
      <c r="G242" s="124" t="n">
        <v>0</v>
      </c>
      <c r="I242" s="124" t="n">
        <f aca="false">IF(MONTH($A242)=MONTH($A241),IF(G242=0,I241,G242),G242)</f>
        <v>-167749</v>
      </c>
      <c r="J242" s="124" t="n">
        <f aca="false">IF(MONTH($A242)=MONTH($A241),SUM(I242-I241),I242)</f>
        <v>0</v>
      </c>
      <c r="K242" s="124" t="n">
        <f aca="false">IF(WEEKDAY(A242,3)&gt;4,0,(IF(A242&lt;K$2,0,IF(A242&lt;=K$3,1,0))))</f>
        <v>0</v>
      </c>
      <c r="L242" s="124" t="n">
        <f aca="false">J242*K242</f>
        <v>0</v>
      </c>
      <c r="M242" s="124" t="n">
        <f aca="false">SUM(J$188:J242)</f>
        <v>-807777</v>
      </c>
      <c r="N242" s="124" t="n">
        <f aca="false">SUM(J$6:J242)</f>
        <v>-807777</v>
      </c>
      <c r="P242" s="124" t="n">
        <f aca="false">D242/P$3</f>
        <v>0</v>
      </c>
      <c r="Q242" s="124" t="n">
        <f aca="false">E242/P$3</f>
        <v>0</v>
      </c>
      <c r="R242" s="124" t="n">
        <f aca="false">F242/R$3</f>
        <v>0</v>
      </c>
      <c r="S242" s="126" t="n">
        <f aca="false">J242/$R$3</f>
        <v>0</v>
      </c>
      <c r="T242" s="126" t="n">
        <f aca="false">L242/$R$3</f>
        <v>0</v>
      </c>
      <c r="U242" s="126" t="n">
        <f aca="false">I242/$R$3</f>
        <v>-167.749</v>
      </c>
      <c r="V242" s="126" t="n">
        <f aca="false">M242/$R$3</f>
        <v>-807.777</v>
      </c>
      <c r="W242" s="126" t="n">
        <f aca="false">N242/$R$3</f>
        <v>-807.777</v>
      </c>
    </row>
    <row r="243" customFormat="false" ht="12.75" hidden="true" customHeight="false" outlineLevel="0" collapsed="false">
      <c r="A243" s="120" t="n">
        <f aca="false">A242+1</f>
        <v>37129</v>
      </c>
      <c r="B243" s="131" t="str">
        <f aca="false">INDEX('Master Data'!$A$2:$B$8,MATCH(WEEKDAY('Modesto Maranzana Power'!A243,3),'Master Data'!$A$2:$A$8,0),2)</f>
        <v>Su</v>
      </c>
      <c r="D243" s="124" t="n">
        <v>0</v>
      </c>
      <c r="E243" s="124" t="n">
        <v>0</v>
      </c>
      <c r="F243" s="124" t="n">
        <v>0</v>
      </c>
      <c r="G243" s="124" t="n">
        <v>0</v>
      </c>
      <c r="I243" s="124" t="n">
        <f aca="false">IF(MONTH($A243)=MONTH($A242),IF(G243=0,I242,G243),G243)</f>
        <v>-167749</v>
      </c>
      <c r="J243" s="124" t="n">
        <f aca="false">IF(MONTH($A243)=MONTH($A242),SUM(I243-I242),I243)</f>
        <v>0</v>
      </c>
      <c r="K243" s="124" t="n">
        <f aca="false">IF(WEEKDAY(A243,3)&gt;4,0,(IF(A243&lt;K$2,0,IF(A243&lt;=K$3,1,0))))</f>
        <v>0</v>
      </c>
      <c r="L243" s="124" t="n">
        <f aca="false">J243*K243</f>
        <v>0</v>
      </c>
      <c r="M243" s="124" t="n">
        <f aca="false">SUM(J$188:J243)</f>
        <v>-807777</v>
      </c>
      <c r="N243" s="124" t="n">
        <f aca="false">SUM(J$6:J243)</f>
        <v>-807777</v>
      </c>
      <c r="P243" s="124" t="n">
        <f aca="false">D243/P$3</f>
        <v>0</v>
      </c>
      <c r="Q243" s="124" t="n">
        <f aca="false">E243/P$3</f>
        <v>0</v>
      </c>
      <c r="R243" s="124" t="n">
        <f aca="false">F243/R$3</f>
        <v>0</v>
      </c>
      <c r="S243" s="126" t="n">
        <f aca="false">J243/$R$3</f>
        <v>0</v>
      </c>
      <c r="T243" s="126" t="n">
        <f aca="false">L243/$R$3</f>
        <v>0</v>
      </c>
      <c r="U243" s="126" t="n">
        <f aca="false">I243/$R$3</f>
        <v>-167.749</v>
      </c>
      <c r="V243" s="126" t="n">
        <f aca="false">M243/$R$3</f>
        <v>-807.777</v>
      </c>
      <c r="W243" s="126" t="n">
        <f aca="false">N243/$R$3</f>
        <v>-807.777</v>
      </c>
    </row>
    <row r="244" customFormat="false" ht="12.75" hidden="true" customHeight="false" outlineLevel="0" collapsed="false">
      <c r="A244" s="120" t="n">
        <f aca="false">A243+1</f>
        <v>37130</v>
      </c>
      <c r="B244" s="131" t="str">
        <f aca="false">INDEX('Master Data'!$A$2:$B$8,MATCH(WEEKDAY('Modesto Maranzana Power'!A244,3),'Master Data'!$A$2:$A$8,0),2)</f>
        <v>M</v>
      </c>
      <c r="D244" s="124" t="n">
        <v>1972589.69928271</v>
      </c>
      <c r="E244" s="124" t="n">
        <v>0</v>
      </c>
      <c r="F244" s="124" t="n">
        <v>0</v>
      </c>
      <c r="G244" s="124" t="n">
        <v>-172070</v>
      </c>
      <c r="I244" s="124" t="n">
        <f aca="false">IF(MONTH($A244)=MONTH($A243),IF(G244=0,I243,G244),G244)</f>
        <v>-172070</v>
      </c>
      <c r="J244" s="124" t="n">
        <f aca="false">IF(MONTH($A244)=MONTH($A243),SUM(I244-I243),I244)</f>
        <v>-4321</v>
      </c>
      <c r="K244" s="124" t="n">
        <f aca="false">IF(WEEKDAY(A244,3)&gt;4,0,(IF(A244&lt;K$2,0,IF(A244&lt;=K$3,1,0))))</f>
        <v>0</v>
      </c>
      <c r="L244" s="124" t="n">
        <f aca="false">J244*K244</f>
        <v>-0</v>
      </c>
      <c r="M244" s="124" t="n">
        <f aca="false">SUM(J$188:J244)</f>
        <v>-812098</v>
      </c>
      <c r="N244" s="124" t="n">
        <f aca="false">SUM(J$6:J244)</f>
        <v>-812098</v>
      </c>
      <c r="P244" s="124" t="n">
        <f aca="false">D244/P$3</f>
        <v>1.97258969928271</v>
      </c>
      <c r="Q244" s="124" t="n">
        <f aca="false">E244/P$3</f>
        <v>0</v>
      </c>
      <c r="R244" s="124" t="n">
        <f aca="false">F244/R$3</f>
        <v>0</v>
      </c>
      <c r="S244" s="126" t="n">
        <f aca="false">J244/$R$3</f>
        <v>-4.321</v>
      </c>
      <c r="T244" s="126" t="n">
        <f aca="false">L244/$R$3</f>
        <v>-0</v>
      </c>
      <c r="U244" s="126" t="n">
        <f aca="false">I244/$R$3</f>
        <v>-172.07</v>
      </c>
      <c r="V244" s="126" t="n">
        <f aca="false">M244/$R$3</f>
        <v>-812.098</v>
      </c>
      <c r="W244" s="126" t="n">
        <f aca="false">N244/$R$3</f>
        <v>-812.098</v>
      </c>
    </row>
    <row r="245" customFormat="false" ht="12.75" hidden="true" customHeight="false" outlineLevel="0" collapsed="false">
      <c r="A245" s="120" t="n">
        <f aca="false">A244+1</f>
        <v>37131</v>
      </c>
      <c r="B245" s="131" t="str">
        <f aca="false">INDEX('Master Data'!$A$2:$B$8,MATCH(WEEKDAY('Modesto Maranzana Power'!A245,3),'Master Data'!$A$2:$A$8,0),2)</f>
        <v>T</v>
      </c>
      <c r="D245" s="124" t="n">
        <v>1957101.46309062</v>
      </c>
      <c r="E245" s="124" t="n">
        <v>0</v>
      </c>
      <c r="F245" s="124" t="n">
        <v>0</v>
      </c>
      <c r="G245" s="124" t="n">
        <v>-186538</v>
      </c>
      <c r="I245" s="124" t="n">
        <f aca="false">IF(MONTH($A245)=MONTH($A244),IF(G245=0,I244,G245),G245)</f>
        <v>-186538</v>
      </c>
      <c r="J245" s="124" t="n">
        <f aca="false">IF(MONTH($A245)=MONTH($A244),SUM(I245-I244),I245)</f>
        <v>-14468</v>
      </c>
      <c r="K245" s="124" t="n">
        <f aca="false">IF(WEEKDAY(A245,3)&gt;4,0,(IF(A245&lt;K$2,0,IF(A245&lt;=K$3,1,0))))</f>
        <v>0</v>
      </c>
      <c r="L245" s="124" t="n">
        <f aca="false">J245*K245</f>
        <v>-0</v>
      </c>
      <c r="M245" s="124" t="n">
        <f aca="false">SUM(J$188:J245)</f>
        <v>-826566</v>
      </c>
      <c r="N245" s="124" t="n">
        <f aca="false">SUM(J$6:J245)</f>
        <v>-826566</v>
      </c>
      <c r="P245" s="124" t="n">
        <f aca="false">D245/P$3</f>
        <v>1.95710146309062</v>
      </c>
      <c r="Q245" s="124" t="n">
        <f aca="false">E245/P$3</f>
        <v>0</v>
      </c>
      <c r="R245" s="124" t="n">
        <f aca="false">F245/R$3</f>
        <v>0</v>
      </c>
      <c r="S245" s="126" t="n">
        <f aca="false">J245/$R$3</f>
        <v>-14.468</v>
      </c>
      <c r="T245" s="126" t="n">
        <f aca="false">L245/$R$3</f>
        <v>-0</v>
      </c>
      <c r="U245" s="126" t="n">
        <f aca="false">I245/$R$3</f>
        <v>-186.538</v>
      </c>
      <c r="V245" s="126" t="n">
        <f aca="false">M245/$R$3</f>
        <v>-826.566</v>
      </c>
      <c r="W245" s="126" t="n">
        <f aca="false">N245/$R$3</f>
        <v>-826.566</v>
      </c>
    </row>
    <row r="246" customFormat="false" ht="12.75" hidden="true" customHeight="false" outlineLevel="0" collapsed="false">
      <c r="A246" s="120" t="n">
        <f aca="false">A245+1</f>
        <v>37132</v>
      </c>
      <c r="B246" s="131" t="str">
        <f aca="false">INDEX('Master Data'!$A$2:$B$8,MATCH(WEEKDAY('Modesto Maranzana Power'!A246,3),'Master Data'!$A$2:$A$8,0),2)</f>
        <v>W</v>
      </c>
      <c r="D246" s="124" t="n">
        <v>1959777.32754694</v>
      </c>
      <c r="E246" s="124" t="n">
        <v>0</v>
      </c>
      <c r="F246" s="124" t="n">
        <v>0</v>
      </c>
      <c r="G246" s="124" t="n">
        <v>-176959</v>
      </c>
      <c r="I246" s="124" t="n">
        <f aca="false">IF(MONTH($A246)=MONTH($A245),IF(G246=0,I245,G246),G246)</f>
        <v>-176959</v>
      </c>
      <c r="J246" s="124" t="n">
        <f aca="false">IF(MONTH($A246)=MONTH($A245),SUM(I246-I245),I246)</f>
        <v>9579</v>
      </c>
      <c r="K246" s="124" t="n">
        <f aca="false">IF(WEEKDAY(A246,3)&gt;4,0,(IF(A246&lt;K$2,0,IF(A246&lt;=K$3,1,0))))</f>
        <v>0</v>
      </c>
      <c r="L246" s="124" t="n">
        <f aca="false">J246*K246</f>
        <v>0</v>
      </c>
      <c r="M246" s="124" t="n">
        <f aca="false">SUM(J$188:J246)</f>
        <v>-816987</v>
      </c>
      <c r="N246" s="124" t="n">
        <f aca="false">SUM(J$6:J246)</f>
        <v>-816987</v>
      </c>
      <c r="P246" s="124" t="n">
        <f aca="false">D246/P$3</f>
        <v>1.95977732754694</v>
      </c>
      <c r="Q246" s="124" t="n">
        <f aca="false">E246/P$3</f>
        <v>0</v>
      </c>
      <c r="R246" s="124" t="n">
        <f aca="false">F246/R$3</f>
        <v>0</v>
      </c>
      <c r="S246" s="126" t="n">
        <f aca="false">J246/$R$3</f>
        <v>9.579</v>
      </c>
      <c r="T246" s="126" t="n">
        <f aca="false">L246/$R$3</f>
        <v>0</v>
      </c>
      <c r="U246" s="126" t="n">
        <f aca="false">I246/$R$3</f>
        <v>-176.959</v>
      </c>
      <c r="V246" s="126" t="n">
        <f aca="false">M246/$R$3</f>
        <v>-816.987</v>
      </c>
      <c r="W246" s="126" t="n">
        <f aca="false">N246/$R$3</f>
        <v>-816.987</v>
      </c>
    </row>
    <row r="247" customFormat="false" ht="12.75" hidden="true" customHeight="false" outlineLevel="0" collapsed="false">
      <c r="A247" s="120" t="n">
        <f aca="false">A246+1</f>
        <v>37133</v>
      </c>
      <c r="B247" s="131" t="str">
        <f aca="false">INDEX('Master Data'!$A$2:$B$8,MATCH(WEEKDAY('Modesto Maranzana Power'!A247,3),'Master Data'!$A$2:$A$8,0),2)</f>
        <v>Th</v>
      </c>
      <c r="D247" s="124" t="n">
        <v>1960402.54281533</v>
      </c>
      <c r="E247" s="124" t="n">
        <v>0</v>
      </c>
      <c r="F247" s="124" t="n">
        <v>0</v>
      </c>
      <c r="G247" s="124" t="n">
        <v>-181517</v>
      </c>
      <c r="I247" s="124" t="n">
        <f aca="false">IF(MONTH($A247)=MONTH($A246),IF(G247=0,I246,G247),G247)</f>
        <v>-181517</v>
      </c>
      <c r="J247" s="124" t="n">
        <f aca="false">IF(MONTH($A247)=MONTH($A246),SUM(I247-I246),I247)</f>
        <v>-4558</v>
      </c>
      <c r="K247" s="124" t="n">
        <f aca="false">IF(WEEKDAY(A247,3)&gt;4,0,(IF(A247&lt;K$2,0,IF(A247&lt;=K$3,1,0))))</f>
        <v>0</v>
      </c>
      <c r="L247" s="124" t="n">
        <f aca="false">J247*K247</f>
        <v>-0</v>
      </c>
      <c r="M247" s="124" t="n">
        <f aca="false">SUM(J$188:J247)</f>
        <v>-821545</v>
      </c>
      <c r="N247" s="124" t="n">
        <f aca="false">SUM(J$6:J247)</f>
        <v>-821545</v>
      </c>
      <c r="P247" s="124" t="n">
        <f aca="false">D247/P$3</f>
        <v>1.96040254281533</v>
      </c>
      <c r="Q247" s="124" t="n">
        <f aca="false">E247/P$3</f>
        <v>0</v>
      </c>
      <c r="R247" s="124" t="n">
        <f aca="false">F247/R$3</f>
        <v>0</v>
      </c>
      <c r="S247" s="126" t="n">
        <f aca="false">J247/$R$3</f>
        <v>-4.558</v>
      </c>
      <c r="T247" s="126" t="n">
        <f aca="false">L247/$R$3</f>
        <v>-0</v>
      </c>
      <c r="U247" s="126" t="n">
        <f aca="false">I247/$R$3</f>
        <v>-181.517</v>
      </c>
      <c r="V247" s="126" t="n">
        <f aca="false">M247/$R$3</f>
        <v>-821.545</v>
      </c>
      <c r="W247" s="126" t="n">
        <f aca="false">N247/$R$3</f>
        <v>-821.545</v>
      </c>
    </row>
    <row r="248" customFormat="false" ht="12.75" hidden="false" customHeight="false" outlineLevel="0" collapsed="false">
      <c r="A248" s="120" t="n">
        <f aca="false">A247+1</f>
        <v>37134</v>
      </c>
      <c r="B248" s="131" t="str">
        <f aca="false">INDEX('Master Data'!$A$2:$B$8,MATCH(WEEKDAY('Modesto Maranzana Power'!A248,3),'Master Data'!$A$2:$A$8,0),2)</f>
        <v>F</v>
      </c>
      <c r="D248" s="124" t="n">
        <v>1961236.49263697</v>
      </c>
      <c r="E248" s="124" t="n">
        <v>0</v>
      </c>
      <c r="F248" s="124" t="n">
        <v>0</v>
      </c>
      <c r="G248" s="124" t="n">
        <v>-198816</v>
      </c>
      <c r="I248" s="124" t="n">
        <f aca="false">IF(MONTH($A248)=MONTH($A247),IF(G248=0,I247,G248),G248)</f>
        <v>-198816</v>
      </c>
      <c r="J248" s="124" t="n">
        <f aca="false">IF(MONTH($A248)=MONTH($A247),SUM(I248-I247),I248)</f>
        <v>-17299</v>
      </c>
      <c r="K248" s="124" t="n">
        <f aca="false">IF(WEEKDAY(A248,3)&gt;4,0,(IF(A248&lt;K$2,0,IF(A248&lt;=K$3,1,0))))</f>
        <v>0</v>
      </c>
      <c r="L248" s="124" t="n">
        <f aca="false">J248*K248</f>
        <v>-0</v>
      </c>
      <c r="M248" s="124" t="n">
        <f aca="false">SUM(J$188:J248)</f>
        <v>-838844</v>
      </c>
      <c r="N248" s="124" t="n">
        <f aca="false">SUM(J$6:J248)</f>
        <v>-838844</v>
      </c>
      <c r="P248" s="124" t="n">
        <f aca="false">D248/P$3</f>
        <v>1.96123649263697</v>
      </c>
      <c r="Q248" s="124" t="n">
        <f aca="false">E248/P$3</f>
        <v>0</v>
      </c>
      <c r="R248" s="124" t="n">
        <f aca="false">F248/R$3</f>
        <v>0</v>
      </c>
      <c r="S248" s="126" t="n">
        <f aca="false">J248/$R$3</f>
        <v>-17.299</v>
      </c>
      <c r="T248" s="126" t="n">
        <f aca="false">L248/$R$3</f>
        <v>-0</v>
      </c>
      <c r="U248" s="126" t="n">
        <f aca="false">I248/$R$3</f>
        <v>-198.816</v>
      </c>
      <c r="V248" s="126" t="n">
        <f aca="false">M248/$R$3</f>
        <v>-838.844</v>
      </c>
      <c r="W248" s="126" t="n">
        <f aca="false">N248/$R$3</f>
        <v>-838.844</v>
      </c>
    </row>
    <row r="249" customFormat="false" ht="12.75" hidden="true" customHeight="false" outlineLevel="0" collapsed="false">
      <c r="A249" s="120" t="n">
        <f aca="false">A248+1</f>
        <v>37135</v>
      </c>
      <c r="B249" s="131" t="str">
        <f aca="false">INDEX('Master Data'!$A$2:$B$8,MATCH(WEEKDAY('Modesto Maranzana Power'!A249,3),'Master Data'!$A$2:$A$8,0),2)</f>
        <v>Sa</v>
      </c>
      <c r="D249" s="124" t="n">
        <v>0</v>
      </c>
      <c r="E249" s="124" t="n">
        <v>0</v>
      </c>
      <c r="F249" s="124" t="n">
        <v>0</v>
      </c>
      <c r="G249" s="124" t="n">
        <v>0</v>
      </c>
      <c r="I249" s="124" t="n">
        <f aca="false">IF(MONTH($A249)=MONTH($A248),IF(G249=0,I248,G249),G249)</f>
        <v>0</v>
      </c>
      <c r="J249" s="124" t="n">
        <f aca="false">IF(MONTH($A249)=MONTH($A248),SUM(I249-I248),I249)</f>
        <v>0</v>
      </c>
      <c r="K249" s="124" t="n">
        <f aca="false">IF(WEEKDAY(A249,3)&gt;4,0,(IF(A249&lt;K$2,0,IF(A249&lt;=K$3,1,0))))</f>
        <v>0</v>
      </c>
      <c r="L249" s="124" t="n">
        <f aca="false">J249*K249</f>
        <v>0</v>
      </c>
      <c r="M249" s="124" t="n">
        <f aca="false">SUM(J$188:J249)</f>
        <v>-838844</v>
      </c>
      <c r="N249" s="124" t="n">
        <f aca="false">SUM(J$6:J249)</f>
        <v>-838844</v>
      </c>
      <c r="P249" s="124" t="n">
        <f aca="false">D249/P$3</f>
        <v>0</v>
      </c>
      <c r="Q249" s="124" t="n">
        <f aca="false">E249/P$3</f>
        <v>0</v>
      </c>
      <c r="R249" s="124" t="n">
        <f aca="false">F249/R$3</f>
        <v>0</v>
      </c>
      <c r="S249" s="126" t="n">
        <f aca="false">J249/$R$3</f>
        <v>0</v>
      </c>
      <c r="T249" s="126" t="n">
        <f aca="false">L249/$R$3</f>
        <v>0</v>
      </c>
      <c r="U249" s="126" t="n">
        <f aca="false">I249/$R$3</f>
        <v>0</v>
      </c>
      <c r="V249" s="126" t="n">
        <f aca="false">M249/$R$3</f>
        <v>-838.844</v>
      </c>
      <c r="W249" s="126" t="n">
        <f aca="false">N249/$R$3</f>
        <v>-838.844</v>
      </c>
    </row>
    <row r="250" customFormat="false" ht="12.75" hidden="true" customHeight="false" outlineLevel="0" collapsed="false">
      <c r="A250" s="120" t="n">
        <f aca="false">A249+1</f>
        <v>37136</v>
      </c>
      <c r="B250" s="131" t="str">
        <f aca="false">INDEX('Master Data'!$A$2:$B$8,MATCH(WEEKDAY('Modesto Maranzana Power'!A250,3),'Master Data'!$A$2:$A$8,0),2)</f>
        <v>Su</v>
      </c>
      <c r="D250" s="124" t="n">
        <v>0</v>
      </c>
      <c r="E250" s="124" t="n">
        <v>0</v>
      </c>
      <c r="F250" s="124" t="n">
        <v>0</v>
      </c>
      <c r="G250" s="124" t="n">
        <v>0</v>
      </c>
      <c r="I250" s="124" t="n">
        <f aca="false">IF(MONTH($A250)=MONTH($A249),IF(G250=0,I249,G250),G250)</f>
        <v>0</v>
      </c>
      <c r="J250" s="124" t="n">
        <f aca="false">IF(MONTH($A250)=MONTH($A249),SUM(I250-I249),I250)</f>
        <v>0</v>
      </c>
      <c r="K250" s="124" t="n">
        <f aca="false">IF(WEEKDAY(A250,3)&gt;4,0,(IF(A250&lt;K$2,0,IF(A250&lt;=K$3,1,0))))</f>
        <v>0</v>
      </c>
      <c r="L250" s="124" t="n">
        <f aca="false">J250*K250</f>
        <v>0</v>
      </c>
      <c r="M250" s="124" t="n">
        <f aca="false">SUM(J$188:J250)</f>
        <v>-838844</v>
      </c>
      <c r="N250" s="124" t="n">
        <f aca="false">SUM(J$6:J250)</f>
        <v>-838844</v>
      </c>
      <c r="P250" s="124" t="n">
        <f aca="false">D250/P$3</f>
        <v>0</v>
      </c>
      <c r="Q250" s="124" t="n">
        <f aca="false">E250/P$3</f>
        <v>0</v>
      </c>
      <c r="R250" s="124" t="n">
        <f aca="false">F250/R$3</f>
        <v>0</v>
      </c>
      <c r="S250" s="126" t="n">
        <f aca="false">J250/$R$3</f>
        <v>0</v>
      </c>
      <c r="T250" s="126" t="n">
        <f aca="false">L250/$R$3</f>
        <v>0</v>
      </c>
      <c r="U250" s="126" t="n">
        <f aca="false">I250/$R$3</f>
        <v>0</v>
      </c>
      <c r="V250" s="126" t="n">
        <f aca="false">M250/$R$3</f>
        <v>-838.844</v>
      </c>
      <c r="W250" s="126" t="n">
        <f aca="false">N250/$R$3</f>
        <v>-838.844</v>
      </c>
    </row>
    <row r="251" customFormat="false" ht="12.75" hidden="true" customHeight="false" outlineLevel="0" collapsed="false">
      <c r="A251" s="120" t="n">
        <f aca="false">A250+1</f>
        <v>37137</v>
      </c>
      <c r="B251" s="131" t="str">
        <f aca="false">INDEX('Master Data'!$A$2:$B$8,MATCH(WEEKDAY('Modesto Maranzana Power'!A251,3),'Master Data'!$A$2:$A$8,0),2)</f>
        <v>M</v>
      </c>
      <c r="D251" s="124" t="n">
        <v>0</v>
      </c>
      <c r="E251" s="124" t="n">
        <v>0</v>
      </c>
      <c r="F251" s="124" t="n">
        <v>0</v>
      </c>
      <c r="G251" s="124" t="n">
        <v>0</v>
      </c>
      <c r="I251" s="124" t="n">
        <f aca="false">IF(MONTH($A251)=MONTH($A250),IF(G251=0,I250,G251),G251)</f>
        <v>0</v>
      </c>
      <c r="J251" s="124" t="n">
        <f aca="false">IF(MONTH($A251)=MONTH($A250),SUM(I251-I250),I251)</f>
        <v>0</v>
      </c>
      <c r="K251" s="124" t="n">
        <f aca="false">IF(WEEKDAY(A251,3)&gt;4,0,(IF(A251&lt;K$2,0,IF(A251&lt;=K$3,1,0))))</f>
        <v>0</v>
      </c>
      <c r="L251" s="124" t="n">
        <f aca="false">J251*K251</f>
        <v>0</v>
      </c>
      <c r="M251" s="124" t="n">
        <f aca="false">SUM(J$188:J251)</f>
        <v>-838844</v>
      </c>
      <c r="N251" s="124" t="n">
        <f aca="false">SUM(J$6:J251)</f>
        <v>-838844</v>
      </c>
      <c r="P251" s="124" t="n">
        <f aca="false">D251/P$3</f>
        <v>0</v>
      </c>
      <c r="Q251" s="124" t="n">
        <f aca="false">E251/P$3</f>
        <v>0</v>
      </c>
      <c r="R251" s="124" t="n">
        <f aca="false">F251/R$3</f>
        <v>0</v>
      </c>
      <c r="S251" s="126" t="n">
        <f aca="false">J251/$R$3</f>
        <v>0</v>
      </c>
      <c r="T251" s="126" t="n">
        <f aca="false">L251/$R$3</f>
        <v>0</v>
      </c>
      <c r="U251" s="126" t="n">
        <f aca="false">I251/$R$3</f>
        <v>0</v>
      </c>
      <c r="V251" s="126" t="n">
        <f aca="false">M251/$R$3</f>
        <v>-838.844</v>
      </c>
      <c r="W251" s="126" t="n">
        <f aca="false">N251/$R$3</f>
        <v>-838.844</v>
      </c>
    </row>
    <row r="252" customFormat="false" ht="12.75" hidden="true" customHeight="false" outlineLevel="0" collapsed="false">
      <c r="A252" s="120" t="n">
        <f aca="false">A251+1</f>
        <v>37138</v>
      </c>
      <c r="B252" s="131" t="str">
        <f aca="false">INDEX('Master Data'!$A$2:$B$8,MATCH(WEEKDAY('Modesto Maranzana Power'!A252,3),'Master Data'!$A$2:$A$8,0),2)</f>
        <v>T</v>
      </c>
      <c r="D252" s="124" t="n">
        <v>1894273.54829678</v>
      </c>
      <c r="E252" s="124" t="n">
        <v>0</v>
      </c>
      <c r="F252" s="124" t="n">
        <v>0</v>
      </c>
      <c r="G252" s="124" t="n">
        <v>-8017</v>
      </c>
      <c r="I252" s="124" t="n">
        <f aca="false">IF(MONTH($A252)=MONTH($A251),IF(G252=0,I251,G252),G252)</f>
        <v>-8017</v>
      </c>
      <c r="J252" s="124" t="n">
        <f aca="false">IF(MONTH($A252)=MONTH($A251),SUM(I252-I251),I252)</f>
        <v>-8017</v>
      </c>
      <c r="K252" s="124" t="n">
        <f aca="false">IF(WEEKDAY(A252,3)&gt;4,0,(IF(A252&lt;K$2,0,IF(A252&lt;=K$3,1,0))))</f>
        <v>0</v>
      </c>
      <c r="L252" s="124" t="n">
        <f aca="false">J252*K252</f>
        <v>-0</v>
      </c>
      <c r="M252" s="124" t="n">
        <f aca="false">SUM(J$188:J252)</f>
        <v>-846861</v>
      </c>
      <c r="N252" s="124" t="n">
        <f aca="false">SUM(J$6:J252)</f>
        <v>-846861</v>
      </c>
      <c r="P252" s="124" t="n">
        <f aca="false">D252/P$3</f>
        <v>1.89427354829678</v>
      </c>
      <c r="Q252" s="124" t="n">
        <f aca="false">E252/P$3</f>
        <v>0</v>
      </c>
      <c r="R252" s="124" t="n">
        <f aca="false">F252/R$3</f>
        <v>0</v>
      </c>
      <c r="S252" s="126" t="n">
        <f aca="false">J252/$R$3</f>
        <v>-8.017</v>
      </c>
      <c r="T252" s="126" t="n">
        <f aca="false">L252/$R$3</f>
        <v>-0</v>
      </c>
      <c r="U252" s="126" t="n">
        <f aca="false">I252/$R$3</f>
        <v>-8.017</v>
      </c>
      <c r="V252" s="126" t="n">
        <f aca="false">M252/$R$3</f>
        <v>-846.861</v>
      </c>
      <c r="W252" s="126" t="n">
        <f aca="false">N252/$R$3</f>
        <v>-846.861</v>
      </c>
    </row>
    <row r="253" customFormat="false" ht="12.75" hidden="true" customHeight="false" outlineLevel="0" collapsed="false">
      <c r="A253" s="120" t="n">
        <f aca="false">A252+1</f>
        <v>37139</v>
      </c>
      <c r="B253" s="131" t="str">
        <f aca="false">INDEX('Master Data'!$A$2:$B$8,MATCH(WEEKDAY('Modesto Maranzana Power'!A253,3),'Master Data'!$A$2:$A$8,0),2)</f>
        <v>W</v>
      </c>
      <c r="D253" s="124" t="n">
        <v>1884932.40047371</v>
      </c>
      <c r="E253" s="124" t="n">
        <v>0</v>
      </c>
      <c r="F253" s="124" t="n">
        <v>0</v>
      </c>
      <c r="G253" s="124" t="n">
        <v>-18647</v>
      </c>
      <c r="I253" s="124" t="n">
        <f aca="false">IF(MONTH($A253)=MONTH($A252),IF(G253=0,I252,G253),G253)</f>
        <v>-18647</v>
      </c>
      <c r="J253" s="124" t="n">
        <f aca="false">IF(MONTH($A253)=MONTH($A252),SUM(I253-I252),I253)</f>
        <v>-10630</v>
      </c>
      <c r="K253" s="124" t="n">
        <f aca="false">IF(WEEKDAY(A253,3)&gt;4,0,(IF(A253&lt;K$2,0,IF(A253&lt;=K$3,1,0))))</f>
        <v>0</v>
      </c>
      <c r="L253" s="124" t="n">
        <f aca="false">J253*K253</f>
        <v>-0</v>
      </c>
      <c r="M253" s="124" t="n">
        <f aca="false">SUM(J$188:J253)</f>
        <v>-857491</v>
      </c>
      <c r="N253" s="124" t="n">
        <f aca="false">SUM(J$6:J253)</f>
        <v>-857491</v>
      </c>
      <c r="P253" s="124" t="n">
        <f aca="false">D253/P$3</f>
        <v>1.88493240047371</v>
      </c>
      <c r="Q253" s="124" t="n">
        <f aca="false">E253/P$3</f>
        <v>0</v>
      </c>
      <c r="R253" s="124" t="n">
        <f aca="false">F253/R$3</f>
        <v>0</v>
      </c>
      <c r="S253" s="126" t="n">
        <f aca="false">J253/$R$3</f>
        <v>-10.63</v>
      </c>
      <c r="T253" s="126" t="n">
        <f aca="false">L253/$R$3</f>
        <v>-0</v>
      </c>
      <c r="U253" s="126" t="n">
        <f aca="false">I253/$R$3</f>
        <v>-18.647</v>
      </c>
      <c r="V253" s="126" t="n">
        <f aca="false">M253/$R$3</f>
        <v>-857.491</v>
      </c>
      <c r="W253" s="126" t="n">
        <f aca="false">N253/$R$3</f>
        <v>-857.491</v>
      </c>
    </row>
    <row r="254" customFormat="false" ht="12.75" hidden="true" customHeight="false" outlineLevel="0" collapsed="false">
      <c r="A254" s="120" t="n">
        <f aca="false">A253+1</f>
        <v>37140</v>
      </c>
      <c r="B254" s="131" t="str">
        <f aca="false">INDEX('Master Data'!$A$2:$B$8,MATCH(WEEKDAY('Modesto Maranzana Power'!A254,3),'Master Data'!$A$2:$A$8,0),2)</f>
        <v>Th</v>
      </c>
      <c r="D254" s="124" t="n">
        <v>1886479.36</v>
      </c>
      <c r="E254" s="124" t="n">
        <v>0</v>
      </c>
      <c r="F254" s="124" t="n">
        <v>0</v>
      </c>
      <c r="G254" s="124" t="n">
        <v>-30238.24</v>
      </c>
      <c r="I254" s="124" t="n">
        <f aca="false">IF(MONTH($A254)=MONTH($A253),IF(G254=0,I253,G254),G254)</f>
        <v>-30238.24</v>
      </c>
      <c r="J254" s="124" t="n">
        <f aca="false">IF(MONTH($A254)=MONTH($A253),SUM(I254-I253),I254)</f>
        <v>-11591.24</v>
      </c>
      <c r="K254" s="124" t="n">
        <f aca="false">IF(WEEKDAY(A254,3)&gt;4,0,(IF(A254&lt;K$2,0,IF(A254&lt;=K$3,1,0))))</f>
        <v>0</v>
      </c>
      <c r="L254" s="124" t="n">
        <f aca="false">J254*K254</f>
        <v>-0</v>
      </c>
      <c r="M254" s="124" t="n">
        <f aca="false">SUM(J$188:J254)</f>
        <v>-869082.24</v>
      </c>
      <c r="N254" s="124" t="n">
        <f aca="false">SUM(J$6:J254)</f>
        <v>-869082.24</v>
      </c>
      <c r="P254" s="124" t="n">
        <f aca="false">D254/P$3</f>
        <v>1.88647936</v>
      </c>
      <c r="Q254" s="124" t="n">
        <f aca="false">E254/P$3</f>
        <v>0</v>
      </c>
      <c r="R254" s="124" t="n">
        <f aca="false">F254/R$3</f>
        <v>0</v>
      </c>
      <c r="S254" s="126" t="n">
        <f aca="false">J254/$R$3</f>
        <v>-11.59124</v>
      </c>
      <c r="T254" s="126" t="n">
        <f aca="false">L254/$R$3</f>
        <v>-0</v>
      </c>
      <c r="U254" s="126" t="n">
        <f aca="false">I254/$R$3</f>
        <v>-30.23824</v>
      </c>
      <c r="V254" s="126" t="n">
        <f aca="false">M254/$R$3</f>
        <v>-869.08224</v>
      </c>
      <c r="W254" s="126" t="n">
        <f aca="false">N254/$R$3</f>
        <v>-869.08224</v>
      </c>
    </row>
    <row r="255" customFormat="false" ht="12.75" hidden="true" customHeight="false" outlineLevel="0" collapsed="false">
      <c r="A255" s="120" t="n">
        <f aca="false">A254+1</f>
        <v>37141</v>
      </c>
      <c r="B255" s="131" t="str">
        <f aca="false">INDEX('Master Data'!$A$2:$B$8,MATCH(WEEKDAY('Modesto Maranzana Power'!A255,3),'Master Data'!$A$2:$A$8,0),2)</f>
        <v>F</v>
      </c>
      <c r="D255" s="124" t="n">
        <v>1890567.87492375</v>
      </c>
      <c r="E255" s="124" t="n">
        <v>0</v>
      </c>
      <c r="F255" s="124" t="n">
        <v>0</v>
      </c>
      <c r="G255" s="124" t="n">
        <v>-40364</v>
      </c>
      <c r="I255" s="124" t="n">
        <f aca="false">IF(MONTH($A255)=MONTH($A254),IF(G255=0,I254,G255),G255)</f>
        <v>-40364</v>
      </c>
      <c r="J255" s="124" t="n">
        <f aca="false">IF(MONTH($A255)=MONTH($A254),SUM(I255-I254),I255)</f>
        <v>-10125.76</v>
      </c>
      <c r="K255" s="124" t="n">
        <f aca="false">IF(WEEKDAY(A255,3)&gt;4,0,(IF(A255&lt;K$2,0,IF(A255&lt;=K$3,1,0))))</f>
        <v>0</v>
      </c>
      <c r="L255" s="124" t="n">
        <f aca="false">J255*K255</f>
        <v>-0</v>
      </c>
      <c r="M255" s="124" t="n">
        <f aca="false">SUM(J$188:J255)</f>
        <v>-879208</v>
      </c>
      <c r="N255" s="124" t="n">
        <f aca="false">SUM(J$6:J255)</f>
        <v>-879208</v>
      </c>
      <c r="P255" s="124" t="n">
        <f aca="false">D255/P$3</f>
        <v>1.89056787492375</v>
      </c>
      <c r="Q255" s="124" t="n">
        <f aca="false">E255/P$3</f>
        <v>0</v>
      </c>
      <c r="R255" s="124" t="n">
        <f aca="false">F255/R$3</f>
        <v>0</v>
      </c>
      <c r="S255" s="126" t="n">
        <f aca="false">J255/$R$3</f>
        <v>-10.12576</v>
      </c>
      <c r="T255" s="126" t="n">
        <f aca="false">L255/$R$3</f>
        <v>-0</v>
      </c>
      <c r="U255" s="126" t="n">
        <f aca="false">I255/$R$3</f>
        <v>-40.364</v>
      </c>
      <c r="V255" s="126" t="n">
        <f aca="false">M255/$R$3</f>
        <v>-879.208</v>
      </c>
      <c r="W255" s="126" t="n">
        <f aca="false">N255/$R$3</f>
        <v>-879.208</v>
      </c>
    </row>
    <row r="256" customFormat="false" ht="12.75" hidden="true" customHeight="false" outlineLevel="0" collapsed="false">
      <c r="A256" s="120" t="n">
        <f aca="false">A255+1</f>
        <v>37142</v>
      </c>
      <c r="B256" s="131" t="str">
        <f aca="false">INDEX('Master Data'!$A$2:$B$8,MATCH(WEEKDAY('Modesto Maranzana Power'!A256,3),'Master Data'!$A$2:$A$8,0),2)</f>
        <v>Sa</v>
      </c>
      <c r="D256" s="124" t="n">
        <v>0</v>
      </c>
      <c r="E256" s="124" t="n">
        <v>0</v>
      </c>
      <c r="F256" s="124" t="n">
        <v>0</v>
      </c>
      <c r="G256" s="124" t="n">
        <v>0</v>
      </c>
      <c r="I256" s="124" t="n">
        <f aca="false">IF(MONTH($A256)=MONTH($A255),IF(G256=0,I255,G256),G256)</f>
        <v>-40364</v>
      </c>
      <c r="J256" s="124" t="n">
        <f aca="false">IF(MONTH($A256)=MONTH($A255),SUM(I256-I255),I256)</f>
        <v>0</v>
      </c>
      <c r="K256" s="124" t="n">
        <f aca="false">IF(WEEKDAY(A256,3)&gt;4,0,(IF(A256&lt;K$2,0,IF(A256&lt;=K$3,1,0))))</f>
        <v>0</v>
      </c>
      <c r="L256" s="124" t="n">
        <f aca="false">J256*K256</f>
        <v>0</v>
      </c>
      <c r="M256" s="124" t="n">
        <f aca="false">SUM(J$188:J256)</f>
        <v>-879208</v>
      </c>
      <c r="N256" s="124" t="n">
        <f aca="false">SUM(J$6:J256)</f>
        <v>-879208</v>
      </c>
      <c r="P256" s="124" t="n">
        <f aca="false">D256/P$3</f>
        <v>0</v>
      </c>
      <c r="Q256" s="124" t="n">
        <f aca="false">E256/P$3</f>
        <v>0</v>
      </c>
      <c r="R256" s="124" t="n">
        <f aca="false">F256/R$3</f>
        <v>0</v>
      </c>
      <c r="S256" s="126" t="n">
        <f aca="false">J256/$R$3</f>
        <v>0</v>
      </c>
      <c r="T256" s="126" t="n">
        <f aca="false">L256/$R$3</f>
        <v>0</v>
      </c>
      <c r="U256" s="126" t="n">
        <f aca="false">I256/$R$3</f>
        <v>-40.364</v>
      </c>
      <c r="V256" s="126" t="n">
        <f aca="false">M256/$R$3</f>
        <v>-879.208</v>
      </c>
      <c r="W256" s="126" t="n">
        <f aca="false">N256/$R$3</f>
        <v>-879.208</v>
      </c>
    </row>
    <row r="257" customFormat="false" ht="12.75" hidden="true" customHeight="false" outlineLevel="0" collapsed="false">
      <c r="A257" s="120" t="n">
        <f aca="false">A256+1</f>
        <v>37143</v>
      </c>
      <c r="B257" s="131" t="str">
        <f aca="false">INDEX('Master Data'!$A$2:$B$8,MATCH(WEEKDAY('Modesto Maranzana Power'!A257,3),'Master Data'!$A$2:$A$8,0),2)</f>
        <v>Su</v>
      </c>
      <c r="D257" s="124" t="n">
        <v>0</v>
      </c>
      <c r="E257" s="124" t="n">
        <v>0</v>
      </c>
      <c r="F257" s="124" t="n">
        <v>0</v>
      </c>
      <c r="G257" s="124" t="n">
        <v>0</v>
      </c>
      <c r="I257" s="124" t="n">
        <f aca="false">IF(MONTH($A257)=MONTH($A256),IF(G257=0,I256,G257),G257)</f>
        <v>-40364</v>
      </c>
      <c r="J257" s="124" t="n">
        <f aca="false">IF(MONTH($A257)=MONTH($A256),SUM(I257-I256),I257)</f>
        <v>0</v>
      </c>
      <c r="K257" s="124" t="n">
        <f aca="false">IF(WEEKDAY(A257,3)&gt;4,0,(IF(A257&lt;K$2,0,IF(A257&lt;=K$3,1,0))))</f>
        <v>0</v>
      </c>
      <c r="L257" s="124" t="n">
        <f aca="false">J257*K257</f>
        <v>0</v>
      </c>
      <c r="M257" s="124" t="n">
        <f aca="false">SUM(J$188:J257)</f>
        <v>-879208</v>
      </c>
      <c r="N257" s="124" t="n">
        <f aca="false">SUM(J$6:J257)</f>
        <v>-879208</v>
      </c>
      <c r="P257" s="124" t="n">
        <f aca="false">D257/P$3</f>
        <v>0</v>
      </c>
      <c r="Q257" s="124" t="n">
        <f aca="false">E257/P$3</f>
        <v>0</v>
      </c>
      <c r="R257" s="124" t="n">
        <f aca="false">F257/R$3</f>
        <v>0</v>
      </c>
      <c r="S257" s="126" t="n">
        <f aca="false">J257/$R$3</f>
        <v>0</v>
      </c>
      <c r="T257" s="126" t="n">
        <f aca="false">L257/$R$3</f>
        <v>0</v>
      </c>
      <c r="U257" s="126" t="n">
        <f aca="false">I257/$R$3</f>
        <v>-40.364</v>
      </c>
      <c r="V257" s="126" t="n">
        <f aca="false">M257/$R$3</f>
        <v>-879.208</v>
      </c>
      <c r="W257" s="126" t="n">
        <f aca="false">N257/$R$3</f>
        <v>-879.208</v>
      </c>
    </row>
    <row r="258" customFormat="false" ht="12.75" hidden="true" customHeight="false" outlineLevel="0" collapsed="false">
      <c r="A258" s="120" t="n">
        <f aca="false">A257+1</f>
        <v>37144</v>
      </c>
      <c r="B258" s="131" t="str">
        <f aca="false">INDEX('Master Data'!$A$2:$B$8,MATCH(WEEKDAY('Modesto Maranzana Power'!A258,3),'Master Data'!$A$2:$A$8,0),2)</f>
        <v>M</v>
      </c>
      <c r="D258" s="124" t="n">
        <v>1892478.97418706</v>
      </c>
      <c r="E258" s="124" t="n">
        <v>0</v>
      </c>
      <c r="F258" s="124" t="n">
        <v>0</v>
      </c>
      <c r="G258" s="124" t="n">
        <v>-53341</v>
      </c>
      <c r="I258" s="124" t="n">
        <f aca="false">IF(MONTH($A258)=MONTH($A257),IF(G258=0,I257,G258),G258)</f>
        <v>-53341</v>
      </c>
      <c r="J258" s="124" t="n">
        <f aca="false">IF(MONTH($A258)=MONTH($A257),SUM(I258-I257),I258)</f>
        <v>-12977</v>
      </c>
      <c r="K258" s="124" t="n">
        <f aca="false">IF(WEEKDAY(A258,3)&gt;4,0,(IF(A258&lt;K$2,0,IF(A258&lt;=K$3,1,0))))</f>
        <v>0</v>
      </c>
      <c r="L258" s="124" t="n">
        <f aca="false">J258*K258</f>
        <v>-0</v>
      </c>
      <c r="M258" s="124" t="n">
        <f aca="false">SUM(J$188:J258)</f>
        <v>-892185</v>
      </c>
      <c r="N258" s="124" t="n">
        <f aca="false">SUM(J$6:J258)</f>
        <v>-892185</v>
      </c>
      <c r="P258" s="124" t="n">
        <f aca="false">D258/P$3</f>
        <v>1.89247897418706</v>
      </c>
      <c r="Q258" s="124" t="n">
        <f aca="false">E258/P$3</f>
        <v>0</v>
      </c>
      <c r="R258" s="124" t="n">
        <f aca="false">F258/R$3</f>
        <v>0</v>
      </c>
      <c r="S258" s="126" t="n">
        <f aca="false">J258/$R$3</f>
        <v>-12.977</v>
      </c>
      <c r="T258" s="126" t="n">
        <f aca="false">L258/$R$3</f>
        <v>-0</v>
      </c>
      <c r="U258" s="126" t="n">
        <f aca="false">I258/$R$3</f>
        <v>-53.341</v>
      </c>
      <c r="V258" s="126" t="n">
        <f aca="false">M258/$R$3</f>
        <v>-892.185</v>
      </c>
      <c r="W258" s="126" t="n">
        <f aca="false">N258/$R$3</f>
        <v>-892.185</v>
      </c>
    </row>
    <row r="259" customFormat="false" ht="12.75" hidden="true" customHeight="false" outlineLevel="0" collapsed="false">
      <c r="A259" s="120" t="n">
        <f aca="false">A258+1</f>
        <v>37145</v>
      </c>
      <c r="B259" s="131" t="str">
        <f aca="false">INDEX('Master Data'!$A$2:$B$8,MATCH(WEEKDAY('Modesto Maranzana Power'!A259,3),'Master Data'!$A$2:$A$8,0),2)</f>
        <v>T</v>
      </c>
      <c r="D259" s="124" t="n">
        <v>0</v>
      </c>
      <c r="E259" s="124" t="n">
        <v>0</v>
      </c>
      <c r="F259" s="124" t="n">
        <v>0</v>
      </c>
      <c r="G259" s="124" t="n">
        <v>0</v>
      </c>
      <c r="I259" s="124" t="n">
        <f aca="false">IF(MONTH($A259)=MONTH($A258),IF(G259=0,I258,G259),G259)</f>
        <v>-53341</v>
      </c>
      <c r="J259" s="124" t="n">
        <f aca="false">IF(MONTH($A259)=MONTH($A258),SUM(I259-I258),I259)</f>
        <v>0</v>
      </c>
      <c r="K259" s="124" t="n">
        <f aca="false">IF(WEEKDAY(A259,3)&gt;4,0,(IF(A259&lt;K$2,0,IF(A259&lt;=K$3,1,0))))</f>
        <v>0</v>
      </c>
      <c r="L259" s="124" t="n">
        <f aca="false">J259*K259</f>
        <v>0</v>
      </c>
      <c r="M259" s="124" t="n">
        <f aca="false">SUM(J$188:J259)</f>
        <v>-892185</v>
      </c>
      <c r="N259" s="124" t="n">
        <f aca="false">SUM(J$6:J259)</f>
        <v>-892185</v>
      </c>
      <c r="P259" s="124" t="n">
        <f aca="false">D259/P$3</f>
        <v>0</v>
      </c>
      <c r="Q259" s="124" t="n">
        <f aca="false">E259/P$3</f>
        <v>0</v>
      </c>
      <c r="R259" s="124" t="n">
        <f aca="false">F259/R$3</f>
        <v>0</v>
      </c>
      <c r="S259" s="126" t="n">
        <f aca="false">J259/$R$3</f>
        <v>0</v>
      </c>
      <c r="T259" s="126" t="n">
        <f aca="false">L259/$R$3</f>
        <v>0</v>
      </c>
      <c r="U259" s="126" t="n">
        <f aca="false">I259/$R$3</f>
        <v>-53.341</v>
      </c>
      <c r="V259" s="126" t="n">
        <f aca="false">M259/$R$3</f>
        <v>-892.185</v>
      </c>
      <c r="W259" s="126" t="n">
        <f aca="false">N259/$R$3</f>
        <v>-892.185</v>
      </c>
    </row>
    <row r="260" customFormat="false" ht="12.75" hidden="true" customHeight="false" outlineLevel="0" collapsed="false">
      <c r="A260" s="120" t="n">
        <f aca="false">A259+1</f>
        <v>37146</v>
      </c>
      <c r="B260" s="131" t="str">
        <f aca="false">INDEX('Master Data'!$A$2:$B$8,MATCH(WEEKDAY('Modesto Maranzana Power'!A260,3),'Master Data'!$A$2:$A$8,0),2)</f>
        <v>W</v>
      </c>
      <c r="D260" s="124" t="n">
        <v>1896222.49</v>
      </c>
      <c r="E260" s="124" t="n">
        <v>0</v>
      </c>
      <c r="F260" s="124" t="n">
        <v>0</v>
      </c>
      <c r="G260" s="124" t="n">
        <v>-70601.45</v>
      </c>
      <c r="I260" s="124" t="n">
        <f aca="false">IF(MONTH($A260)=MONTH($A259),IF(G260=0,I259,G260),G260)</f>
        <v>-70601.45</v>
      </c>
      <c r="J260" s="124" t="n">
        <f aca="false">IF(MONTH($A260)=MONTH($A259),SUM(I260-I259),I260)</f>
        <v>-17260.45</v>
      </c>
      <c r="K260" s="124" t="n">
        <f aca="false">IF(WEEKDAY(A260,3)&gt;4,0,(IF(A260&lt;K$2,0,IF(A260&lt;=K$3,1,0))))</f>
        <v>0</v>
      </c>
      <c r="L260" s="124" t="n">
        <f aca="false">J260*K260</f>
        <v>-0</v>
      </c>
      <c r="M260" s="124" t="n">
        <f aca="false">SUM(J$188:J260)</f>
        <v>-909445.45</v>
      </c>
      <c r="N260" s="124" t="n">
        <f aca="false">SUM(J$6:J260)</f>
        <v>-909445.45</v>
      </c>
      <c r="P260" s="124" t="n">
        <f aca="false">D260/P$3</f>
        <v>1.89622249</v>
      </c>
      <c r="Q260" s="124" t="n">
        <f aca="false">E260/P$3</f>
        <v>0</v>
      </c>
      <c r="R260" s="124" t="n">
        <f aca="false">F260/R$3</f>
        <v>0</v>
      </c>
      <c r="S260" s="126" t="n">
        <f aca="false">J260/$R$3</f>
        <v>-17.26045</v>
      </c>
      <c r="T260" s="126" t="n">
        <f aca="false">L260/$R$3</f>
        <v>-0</v>
      </c>
      <c r="U260" s="126" t="n">
        <f aca="false">I260/$R$3</f>
        <v>-70.60145</v>
      </c>
      <c r="V260" s="126" t="n">
        <f aca="false">M260/$R$3</f>
        <v>-909.44545</v>
      </c>
      <c r="W260" s="126" t="n">
        <f aca="false">N260/$R$3</f>
        <v>-909.44545</v>
      </c>
    </row>
    <row r="261" customFormat="false" ht="12.75" hidden="true" customHeight="false" outlineLevel="0" collapsed="false">
      <c r="A261" s="120" t="n">
        <f aca="false">A260+1</f>
        <v>37147</v>
      </c>
      <c r="B261" s="131" t="str">
        <f aca="false">INDEX('Master Data'!$A$2:$B$8,MATCH(WEEKDAY('Modesto Maranzana Power'!A261,3),'Master Data'!$A$2:$A$8,0),2)</f>
        <v>Th</v>
      </c>
      <c r="D261" s="124" t="n">
        <v>1895264.26477937</v>
      </c>
      <c r="E261" s="124" t="n">
        <v>0</v>
      </c>
      <c r="F261" s="124" t="n">
        <v>0</v>
      </c>
      <c r="G261" s="124" t="n">
        <v>-78719</v>
      </c>
      <c r="I261" s="124" t="n">
        <f aca="false">IF(MONTH($A261)=MONTH($A260),IF(G261=0,I260,G261),G261)</f>
        <v>-78719</v>
      </c>
      <c r="J261" s="124" t="n">
        <f aca="false">IF(MONTH($A261)=MONTH($A260),SUM(I261-I260),I261)</f>
        <v>-8117.55</v>
      </c>
      <c r="K261" s="124" t="n">
        <f aca="false">IF(WEEKDAY(A261,3)&gt;4,0,(IF(A261&lt;K$2,0,IF(A261&lt;=K$3,1,0))))</f>
        <v>0</v>
      </c>
      <c r="L261" s="124" t="n">
        <f aca="false">J261*K261</f>
        <v>-0</v>
      </c>
      <c r="M261" s="124" t="n">
        <f aca="false">SUM(J$188:J261)</f>
        <v>-917563</v>
      </c>
      <c r="N261" s="124" t="n">
        <f aca="false">SUM(J$6:J261)</f>
        <v>-917563</v>
      </c>
      <c r="P261" s="124" t="n">
        <f aca="false">D261/P$3</f>
        <v>1.89526426477937</v>
      </c>
      <c r="Q261" s="124" t="n">
        <f aca="false">E261/P$3</f>
        <v>0</v>
      </c>
      <c r="R261" s="124" t="n">
        <f aca="false">F261/R$3</f>
        <v>0</v>
      </c>
      <c r="S261" s="126" t="n">
        <f aca="false">J261/$R$3</f>
        <v>-8.11755</v>
      </c>
      <c r="T261" s="126" t="n">
        <f aca="false">L261/$R$3</f>
        <v>-0</v>
      </c>
      <c r="U261" s="126" t="n">
        <f aca="false">I261/$R$3</f>
        <v>-78.719</v>
      </c>
      <c r="V261" s="126" t="n">
        <f aca="false">M261/$R$3</f>
        <v>-917.563</v>
      </c>
      <c r="W261" s="126" t="n">
        <f aca="false">N261/$R$3</f>
        <v>-917.563</v>
      </c>
    </row>
    <row r="262" customFormat="false" ht="12.75" hidden="true" customHeight="false" outlineLevel="0" collapsed="false">
      <c r="A262" s="120" t="n">
        <f aca="false">A261+1</f>
        <v>37148</v>
      </c>
      <c r="B262" s="131" t="str">
        <f aca="false">INDEX('Master Data'!$A$2:$B$8,MATCH(WEEKDAY('Modesto Maranzana Power'!A262,3),'Master Data'!$A$2:$A$8,0),2)</f>
        <v>F</v>
      </c>
      <c r="D262" s="124" t="n">
        <v>1901997.01056488</v>
      </c>
      <c r="E262" s="124" t="n">
        <v>0</v>
      </c>
      <c r="F262" s="124" t="n">
        <v>0</v>
      </c>
      <c r="G262" s="124" t="n">
        <v>-104666</v>
      </c>
      <c r="I262" s="124" t="n">
        <f aca="false">IF(MONTH($A262)=MONTH($A261),IF(G262=0,I261,G262),G262)</f>
        <v>-104666</v>
      </c>
      <c r="J262" s="124" t="n">
        <f aca="false">IF(MONTH($A262)=MONTH($A261),SUM(I262-I261),I262)</f>
        <v>-25947</v>
      </c>
      <c r="K262" s="124" t="n">
        <f aca="false">IF(WEEKDAY(A262,3)&gt;4,0,(IF(A262&lt;K$2,0,IF(A262&lt;=K$3,1,0))))</f>
        <v>0</v>
      </c>
      <c r="L262" s="124" t="n">
        <f aca="false">J262*K262</f>
        <v>-0</v>
      </c>
      <c r="M262" s="124" t="n">
        <f aca="false">SUM(J$188:J262)</f>
        <v>-943510</v>
      </c>
      <c r="N262" s="124" t="n">
        <f aca="false">SUM(J$6:J262)</f>
        <v>-943510</v>
      </c>
      <c r="P262" s="124" t="n">
        <f aca="false">D262/P$3</f>
        <v>1.90199701056488</v>
      </c>
      <c r="Q262" s="124" t="n">
        <f aca="false">E262/P$3</f>
        <v>0</v>
      </c>
      <c r="R262" s="124" t="n">
        <f aca="false">F262/R$3</f>
        <v>0</v>
      </c>
      <c r="S262" s="126" t="n">
        <f aca="false">J262/$R$3</f>
        <v>-25.947</v>
      </c>
      <c r="T262" s="126" t="n">
        <f aca="false">L262/$R$3</f>
        <v>-0</v>
      </c>
      <c r="U262" s="126" t="n">
        <f aca="false">I262/$R$3</f>
        <v>-104.666</v>
      </c>
      <c r="V262" s="126" t="n">
        <f aca="false">M262/$R$3</f>
        <v>-943.51</v>
      </c>
      <c r="W262" s="126" t="n">
        <f aca="false">N262/$R$3</f>
        <v>-943.51</v>
      </c>
    </row>
    <row r="263" customFormat="false" ht="12.75" hidden="true" customHeight="false" outlineLevel="0" collapsed="false">
      <c r="A263" s="120" t="n">
        <f aca="false">A262+1</f>
        <v>37149</v>
      </c>
      <c r="B263" s="131" t="str">
        <f aca="false">INDEX('Master Data'!$A$2:$B$8,MATCH(WEEKDAY('Modesto Maranzana Power'!A263,3),'Master Data'!$A$2:$A$8,0),2)</f>
        <v>Sa</v>
      </c>
      <c r="D263" s="124" t="n">
        <v>0</v>
      </c>
      <c r="E263" s="124" t="n">
        <v>0</v>
      </c>
      <c r="F263" s="124" t="n">
        <v>0</v>
      </c>
      <c r="G263" s="124" t="n">
        <v>0</v>
      </c>
      <c r="I263" s="124" t="n">
        <f aca="false">IF(MONTH($A263)=MONTH($A262),IF(G263=0,I262,G263),G263)</f>
        <v>-104666</v>
      </c>
      <c r="J263" s="124" t="n">
        <f aca="false">IF(MONTH($A263)=MONTH($A262),SUM(I263-I262),I263)</f>
        <v>0</v>
      </c>
      <c r="K263" s="124" t="n">
        <f aca="false">IF(WEEKDAY(A263,3)&gt;4,0,(IF(A263&lt;K$2,0,IF(A263&lt;=K$3,1,0))))</f>
        <v>0</v>
      </c>
      <c r="L263" s="124" t="n">
        <f aca="false">J263*K263</f>
        <v>0</v>
      </c>
      <c r="M263" s="124" t="n">
        <f aca="false">SUM(J$188:J263)</f>
        <v>-943510</v>
      </c>
      <c r="N263" s="124" t="n">
        <f aca="false">SUM(J$6:J263)</f>
        <v>-943510</v>
      </c>
      <c r="P263" s="124" t="n">
        <f aca="false">D263/P$3</f>
        <v>0</v>
      </c>
      <c r="Q263" s="124" t="n">
        <f aca="false">E263/P$3</f>
        <v>0</v>
      </c>
      <c r="R263" s="124" t="n">
        <f aca="false">F263/R$3</f>
        <v>0</v>
      </c>
      <c r="S263" s="126" t="n">
        <f aca="false">J263/$R$3</f>
        <v>0</v>
      </c>
      <c r="T263" s="126" t="n">
        <f aca="false">L263/$R$3</f>
        <v>0</v>
      </c>
      <c r="U263" s="126" t="n">
        <f aca="false">I263/$R$3</f>
        <v>-104.666</v>
      </c>
      <c r="V263" s="126" t="n">
        <f aca="false">M263/$R$3</f>
        <v>-943.51</v>
      </c>
      <c r="W263" s="126" t="n">
        <f aca="false">N263/$R$3</f>
        <v>-943.51</v>
      </c>
    </row>
    <row r="264" customFormat="false" ht="12.75" hidden="true" customHeight="false" outlineLevel="0" collapsed="false">
      <c r="A264" s="120" t="n">
        <f aca="false">A263+1</f>
        <v>37150</v>
      </c>
      <c r="B264" s="131" t="str">
        <f aca="false">INDEX('Master Data'!$A$2:$B$8,MATCH(WEEKDAY('Modesto Maranzana Power'!A264,3),'Master Data'!$A$2:$A$8,0),2)</f>
        <v>Su</v>
      </c>
      <c r="D264" s="124" t="n">
        <v>0</v>
      </c>
      <c r="E264" s="124" t="n">
        <v>0</v>
      </c>
      <c r="F264" s="124" t="n">
        <v>0</v>
      </c>
      <c r="G264" s="124" t="n">
        <v>0</v>
      </c>
      <c r="I264" s="124" t="n">
        <f aca="false">IF(MONTH($A264)=MONTH($A263),IF(G264=0,I263,G264),G264)</f>
        <v>-104666</v>
      </c>
      <c r="J264" s="124" t="n">
        <f aca="false">IF(MONTH($A264)=MONTH($A263),SUM(I264-I263),I264)</f>
        <v>0</v>
      </c>
      <c r="K264" s="124" t="n">
        <f aca="false">IF(WEEKDAY(A264,3)&gt;4,0,(IF(A264&lt;K$2,0,IF(A264&lt;=K$3,1,0))))</f>
        <v>0</v>
      </c>
      <c r="L264" s="124" t="n">
        <f aca="false">J264*K264</f>
        <v>0</v>
      </c>
      <c r="M264" s="124" t="n">
        <f aca="false">SUM(J$188:J264)</f>
        <v>-943510</v>
      </c>
      <c r="N264" s="124" t="n">
        <f aca="false">SUM(J$6:J264)</f>
        <v>-943510</v>
      </c>
      <c r="P264" s="124" t="n">
        <f aca="false">D264/P$3</f>
        <v>0</v>
      </c>
      <c r="Q264" s="124" t="n">
        <f aca="false">E264/P$3</f>
        <v>0</v>
      </c>
      <c r="R264" s="124" t="n">
        <f aca="false">F264/R$3</f>
        <v>0</v>
      </c>
      <c r="S264" s="126" t="n">
        <f aca="false">J264/$R$3</f>
        <v>0</v>
      </c>
      <c r="T264" s="126" t="n">
        <f aca="false">L264/$R$3</f>
        <v>0</v>
      </c>
      <c r="U264" s="126" t="n">
        <f aca="false">I264/$R$3</f>
        <v>-104.666</v>
      </c>
      <c r="V264" s="126" t="n">
        <f aca="false">M264/$R$3</f>
        <v>-943.51</v>
      </c>
      <c r="W264" s="126" t="n">
        <f aca="false">N264/$R$3</f>
        <v>-943.51</v>
      </c>
    </row>
    <row r="265" customFormat="false" ht="12.75" hidden="true" customHeight="false" outlineLevel="0" collapsed="false">
      <c r="A265" s="120" t="n">
        <f aca="false">A264+1</f>
        <v>37151</v>
      </c>
      <c r="B265" s="131" t="str">
        <f aca="false">INDEX('Master Data'!$A$2:$B$8,MATCH(WEEKDAY('Modesto Maranzana Power'!A265,3),'Master Data'!$A$2:$A$8,0),2)</f>
        <v>M</v>
      </c>
      <c r="D265" s="124" t="n">
        <v>1902848.92282053</v>
      </c>
      <c r="E265" s="124" t="n">
        <v>0</v>
      </c>
      <c r="F265" s="124" t="n">
        <v>0</v>
      </c>
      <c r="G265" s="124" t="n">
        <v>-114440</v>
      </c>
      <c r="I265" s="124" t="n">
        <f aca="false">IF(MONTH($A265)=MONTH($A264),IF(G265=0,I264,G265),G265)</f>
        <v>-114440</v>
      </c>
      <c r="J265" s="124" t="n">
        <f aca="false">IF(MONTH($A265)=MONTH($A264),SUM(I265-I264),I265)</f>
        <v>-9774</v>
      </c>
      <c r="K265" s="124" t="n">
        <f aca="false">IF(WEEKDAY(A265,3)&gt;4,0,(IF(A265&lt;K$2,0,IF(A265&lt;=K$3,1,0))))</f>
        <v>0</v>
      </c>
      <c r="L265" s="124" t="n">
        <f aca="false">J265*K265</f>
        <v>-0</v>
      </c>
      <c r="M265" s="124" t="n">
        <f aca="false">SUM(J$188:J265)</f>
        <v>-953284</v>
      </c>
      <c r="N265" s="124" t="n">
        <f aca="false">SUM(J$6:J265)</f>
        <v>-953284</v>
      </c>
      <c r="P265" s="124" t="n">
        <f aca="false">D265/P$3</f>
        <v>1.90284892282053</v>
      </c>
      <c r="Q265" s="124" t="n">
        <f aca="false">E265/P$3</f>
        <v>0</v>
      </c>
      <c r="R265" s="124" t="n">
        <f aca="false">F265/R$3</f>
        <v>0</v>
      </c>
      <c r="S265" s="126" t="n">
        <f aca="false">J265/$R$3</f>
        <v>-9.774</v>
      </c>
      <c r="T265" s="126" t="n">
        <f aca="false">L265/$R$3</f>
        <v>-0</v>
      </c>
      <c r="U265" s="126" t="n">
        <f aca="false">I265/$R$3</f>
        <v>-114.44</v>
      </c>
      <c r="V265" s="126" t="n">
        <f aca="false">M265/$R$3</f>
        <v>-953.284</v>
      </c>
      <c r="W265" s="126" t="n">
        <f aca="false">N265/$R$3</f>
        <v>-953.284</v>
      </c>
    </row>
    <row r="266" customFormat="false" ht="12.75" hidden="true" customHeight="false" outlineLevel="0" collapsed="false">
      <c r="A266" s="120" t="n">
        <f aca="false">A265+1</f>
        <v>37152</v>
      </c>
      <c r="B266" s="131" t="str">
        <f aca="false">INDEX('Master Data'!$A$2:$B$8,MATCH(WEEKDAY('Modesto Maranzana Power'!A266,3),'Master Data'!$A$2:$A$8,0),2)</f>
        <v>T</v>
      </c>
      <c r="D266" s="124" t="n">
        <v>1901823.71791915</v>
      </c>
      <c r="E266" s="124" t="n">
        <v>0</v>
      </c>
      <c r="F266" s="124" t="n">
        <v>0</v>
      </c>
      <c r="G266" s="124" t="n">
        <v>-115291</v>
      </c>
      <c r="I266" s="124" t="n">
        <f aca="false">IF(MONTH($A266)=MONTH($A265),IF(G266=0,I265,G266),G266)</f>
        <v>-115291</v>
      </c>
      <c r="J266" s="124" t="n">
        <f aca="false">IF(MONTH($A266)=MONTH($A265),SUM(I266-I265),I266)</f>
        <v>-851</v>
      </c>
      <c r="K266" s="124" t="n">
        <f aca="false">IF(WEEKDAY(A266,3)&gt;4,0,(IF(A266&lt;K$2,0,IF(A266&lt;=K$3,1,0))))</f>
        <v>0</v>
      </c>
      <c r="L266" s="124" t="n">
        <f aca="false">J266*K266</f>
        <v>-0</v>
      </c>
      <c r="M266" s="124" t="n">
        <f aca="false">SUM(J$188:J266)</f>
        <v>-954135</v>
      </c>
      <c r="N266" s="124" t="n">
        <f aca="false">SUM(J$6:J266)</f>
        <v>-954135</v>
      </c>
      <c r="P266" s="124" t="n">
        <f aca="false">D266/P$3</f>
        <v>1.90182371791915</v>
      </c>
      <c r="Q266" s="124" t="n">
        <f aca="false">E266/P$3</f>
        <v>0</v>
      </c>
      <c r="R266" s="124" t="n">
        <f aca="false">F266/R$3</f>
        <v>0</v>
      </c>
      <c r="S266" s="126" t="n">
        <f aca="false">J266/$R$3</f>
        <v>-0.851</v>
      </c>
      <c r="T266" s="126" t="n">
        <f aca="false">L266/$R$3</f>
        <v>-0</v>
      </c>
      <c r="U266" s="126" t="n">
        <f aca="false">I266/$R$3</f>
        <v>-115.291</v>
      </c>
      <c r="V266" s="126" t="n">
        <f aca="false">M266/$R$3</f>
        <v>-954.135</v>
      </c>
      <c r="W266" s="126" t="n">
        <f aca="false">N266/$R$3</f>
        <v>-954.135</v>
      </c>
    </row>
    <row r="267" customFormat="false" ht="12.75" hidden="true" customHeight="false" outlineLevel="0" collapsed="false">
      <c r="A267" s="120" t="n">
        <f aca="false">A266+1</f>
        <v>37153</v>
      </c>
      <c r="B267" s="131" t="str">
        <f aca="false">INDEX('Master Data'!$A$2:$B$8,MATCH(WEEKDAY('Modesto Maranzana Power'!A267,3),'Master Data'!$A$2:$A$8,0),2)</f>
        <v>W</v>
      </c>
      <c r="D267" s="124" t="n">
        <v>1900270.28023258</v>
      </c>
      <c r="E267" s="124" t="n">
        <v>0</v>
      </c>
      <c r="F267" s="124" t="n">
        <v>0</v>
      </c>
      <c r="G267" s="124" t="n">
        <v>-157868</v>
      </c>
      <c r="I267" s="124" t="n">
        <f aca="false">IF(MONTH($A267)=MONTH($A266),IF(G267=0,I266,G267),G267)</f>
        <v>-157868</v>
      </c>
      <c r="J267" s="124" t="n">
        <f aca="false">IF(MONTH($A267)=MONTH($A266),SUM(I267-I266),I267)</f>
        <v>-42577</v>
      </c>
      <c r="K267" s="124" t="n">
        <f aca="false">IF(WEEKDAY(A267,3)&gt;4,0,(IF(A267&lt;K$2,0,IF(A267&lt;=K$3,1,0))))</f>
        <v>0</v>
      </c>
      <c r="L267" s="124" t="n">
        <f aca="false">J267*K267</f>
        <v>-0</v>
      </c>
      <c r="M267" s="124" t="n">
        <f aca="false">SUM(J$188:J267)</f>
        <v>-996712</v>
      </c>
      <c r="N267" s="124" t="n">
        <f aca="false">SUM(J$6:J267)</f>
        <v>-996712</v>
      </c>
      <c r="P267" s="124" t="n">
        <f aca="false">D267/P$3</f>
        <v>1.90027028023258</v>
      </c>
      <c r="Q267" s="124" t="n">
        <f aca="false">E267/P$3</f>
        <v>0</v>
      </c>
      <c r="R267" s="124" t="n">
        <f aca="false">F267/R$3</f>
        <v>0</v>
      </c>
      <c r="S267" s="126" t="n">
        <f aca="false">J267/$R$3</f>
        <v>-42.577</v>
      </c>
      <c r="T267" s="126" t="n">
        <f aca="false">L267/$R$3</f>
        <v>-0</v>
      </c>
      <c r="U267" s="126" t="n">
        <f aca="false">I267/$R$3</f>
        <v>-157.868</v>
      </c>
      <c r="V267" s="126" t="n">
        <f aca="false">M267/$R$3</f>
        <v>-996.712</v>
      </c>
      <c r="W267" s="126" t="n">
        <f aca="false">N267/$R$3</f>
        <v>-996.712</v>
      </c>
    </row>
    <row r="268" customFormat="false" ht="12.75" hidden="true" customHeight="false" outlineLevel="0" collapsed="false">
      <c r="A268" s="120" t="n">
        <f aca="false">A267+1</f>
        <v>37154</v>
      </c>
      <c r="B268" s="131" t="str">
        <f aca="false">INDEX('Master Data'!$A$2:$B$8,MATCH(WEEKDAY('Modesto Maranzana Power'!A268,3),'Master Data'!$A$2:$A$8,0),2)</f>
        <v>Th</v>
      </c>
      <c r="D268" s="124" t="n">
        <v>1904219.9823666</v>
      </c>
      <c r="E268" s="124" t="n">
        <v>0</v>
      </c>
      <c r="F268" s="124" t="n">
        <v>0</v>
      </c>
      <c r="G268" s="124" t="n">
        <v>-132089</v>
      </c>
      <c r="I268" s="124" t="n">
        <f aca="false">IF(MONTH($A268)=MONTH($A267),IF(G268=0,I267,G268),G268)</f>
        <v>-132089</v>
      </c>
      <c r="J268" s="124" t="n">
        <f aca="false">IF(MONTH($A268)=MONTH($A267),SUM(I268-I267),I268)</f>
        <v>25779</v>
      </c>
      <c r="K268" s="124" t="n">
        <f aca="false">IF(WEEKDAY(A268,3)&gt;4,0,(IF(A268&lt;K$2,0,IF(A268&lt;=K$3,1,0))))</f>
        <v>0</v>
      </c>
      <c r="L268" s="124" t="n">
        <f aca="false">J268*K268</f>
        <v>0</v>
      </c>
      <c r="M268" s="124" t="n">
        <f aca="false">SUM(J$188:J268)</f>
        <v>-970933</v>
      </c>
      <c r="N268" s="124" t="n">
        <f aca="false">SUM(J$6:J268)</f>
        <v>-970933</v>
      </c>
      <c r="P268" s="124" t="n">
        <f aca="false">D268/P$3</f>
        <v>1.9042199823666</v>
      </c>
      <c r="Q268" s="124" t="n">
        <f aca="false">E268/P$3</f>
        <v>0</v>
      </c>
      <c r="R268" s="124" t="n">
        <f aca="false">F268/R$3</f>
        <v>0</v>
      </c>
      <c r="S268" s="126" t="n">
        <f aca="false">J268/$R$3</f>
        <v>25.779</v>
      </c>
      <c r="T268" s="126" t="n">
        <f aca="false">L268/$R$3</f>
        <v>0</v>
      </c>
      <c r="U268" s="126" t="n">
        <f aca="false">I268/$R$3</f>
        <v>-132.089</v>
      </c>
      <c r="V268" s="126" t="n">
        <f aca="false">M268/$R$3</f>
        <v>-970.933</v>
      </c>
      <c r="W268" s="126" t="n">
        <f aca="false">N268/$R$3</f>
        <v>-970.933</v>
      </c>
    </row>
    <row r="269" customFormat="false" ht="12.75" hidden="true" customHeight="false" outlineLevel="0" collapsed="false">
      <c r="A269" s="120" t="n">
        <f aca="false">A268+1</f>
        <v>37155</v>
      </c>
      <c r="B269" s="131" t="str">
        <f aca="false">INDEX('Master Data'!$A$2:$B$8,MATCH(WEEKDAY('Modesto Maranzana Power'!A269,3),'Master Data'!$A$2:$A$8,0),2)</f>
        <v>F</v>
      </c>
      <c r="D269" s="124" t="n">
        <v>1906777.95227116</v>
      </c>
      <c r="E269" s="124" t="n">
        <v>0</v>
      </c>
      <c r="F269" s="124" t="n">
        <v>0</v>
      </c>
      <c r="G269" s="124" t="n">
        <v>-141658</v>
      </c>
      <c r="I269" s="124" t="n">
        <f aca="false">IF(MONTH($A269)=MONTH($A268),IF(G269=0,I268,G269),G269)</f>
        <v>-141658</v>
      </c>
      <c r="J269" s="124" t="n">
        <f aca="false">IF(MONTH($A269)=MONTH($A268),SUM(I269-I268),I269)</f>
        <v>-9569</v>
      </c>
      <c r="K269" s="124" t="n">
        <f aca="false">IF(WEEKDAY(A269,3)&gt;4,0,(IF(A269&lt;K$2,0,IF(A269&lt;=K$3,1,0))))</f>
        <v>0</v>
      </c>
      <c r="L269" s="124" t="n">
        <f aca="false">J269*K269</f>
        <v>-0</v>
      </c>
      <c r="M269" s="124" t="n">
        <f aca="false">SUM(J$188:J269)</f>
        <v>-980502</v>
      </c>
      <c r="N269" s="124" t="n">
        <f aca="false">SUM(J$6:J269)</f>
        <v>-980502</v>
      </c>
      <c r="P269" s="124" t="n">
        <f aca="false">D269/P$3</f>
        <v>1.90677795227116</v>
      </c>
      <c r="Q269" s="124" t="n">
        <f aca="false">E269/P$3</f>
        <v>0</v>
      </c>
      <c r="R269" s="124" t="n">
        <f aca="false">F269/R$3</f>
        <v>0</v>
      </c>
      <c r="S269" s="126" t="n">
        <f aca="false">J269/$R$3</f>
        <v>-9.569</v>
      </c>
      <c r="T269" s="126" t="n">
        <f aca="false">L269/$R$3</f>
        <v>-0</v>
      </c>
      <c r="U269" s="126" t="n">
        <f aca="false">I269/$R$3</f>
        <v>-141.658</v>
      </c>
      <c r="V269" s="126" t="n">
        <f aca="false">M269/$R$3</f>
        <v>-980.502</v>
      </c>
      <c r="W269" s="126" t="n">
        <f aca="false">N269/$R$3</f>
        <v>-980.502</v>
      </c>
    </row>
    <row r="270" customFormat="false" ht="12.75" hidden="true" customHeight="false" outlineLevel="0" collapsed="false">
      <c r="A270" s="120" t="n">
        <f aca="false">A269+1</f>
        <v>37156</v>
      </c>
      <c r="B270" s="131" t="str">
        <f aca="false">INDEX('Master Data'!$A$2:$B$8,MATCH(WEEKDAY('Modesto Maranzana Power'!A270,3),'Master Data'!$A$2:$A$8,0),2)</f>
        <v>Sa</v>
      </c>
      <c r="D270" s="124" t="n">
        <v>0</v>
      </c>
      <c r="E270" s="124" t="n">
        <v>0</v>
      </c>
      <c r="F270" s="124" t="n">
        <v>0</v>
      </c>
      <c r="G270" s="124" t="n">
        <v>0</v>
      </c>
      <c r="I270" s="124" t="n">
        <f aca="false">IF(MONTH($A270)=MONTH($A269),IF(G270=0,I269,G270),G270)</f>
        <v>-141658</v>
      </c>
      <c r="J270" s="124" t="n">
        <f aca="false">IF(MONTH($A270)=MONTH($A269),SUM(I270-I269),I270)</f>
        <v>0</v>
      </c>
      <c r="K270" s="124" t="n">
        <f aca="false">IF(WEEKDAY(A270,3)&gt;4,0,(IF(A270&lt;K$2,0,IF(A270&lt;=K$3,1,0))))</f>
        <v>0</v>
      </c>
      <c r="L270" s="124" t="n">
        <f aca="false">J270*K270</f>
        <v>0</v>
      </c>
      <c r="M270" s="124" t="n">
        <f aca="false">SUM(J$188:J270)</f>
        <v>-980502</v>
      </c>
      <c r="N270" s="124" t="n">
        <f aca="false">SUM(J$6:J270)</f>
        <v>-980502</v>
      </c>
      <c r="P270" s="124" t="n">
        <f aca="false">D270/P$3</f>
        <v>0</v>
      </c>
      <c r="Q270" s="124" t="n">
        <f aca="false">E270/P$3</f>
        <v>0</v>
      </c>
      <c r="R270" s="124" t="n">
        <f aca="false">F270/R$3</f>
        <v>0</v>
      </c>
      <c r="S270" s="126" t="n">
        <f aca="false">J270/$R$3</f>
        <v>0</v>
      </c>
      <c r="T270" s="126" t="n">
        <f aca="false">L270/$R$3</f>
        <v>0</v>
      </c>
      <c r="U270" s="126" t="n">
        <f aca="false">I270/$R$3</f>
        <v>-141.658</v>
      </c>
      <c r="V270" s="126" t="n">
        <f aca="false">M270/$R$3</f>
        <v>-980.502</v>
      </c>
      <c r="W270" s="126" t="n">
        <f aca="false">N270/$R$3</f>
        <v>-980.502</v>
      </c>
    </row>
    <row r="271" customFormat="false" ht="12.75" hidden="true" customHeight="false" outlineLevel="0" collapsed="false">
      <c r="A271" s="120" t="n">
        <f aca="false">A270+1</f>
        <v>37157</v>
      </c>
      <c r="B271" s="131" t="str">
        <f aca="false">INDEX('Master Data'!$A$2:$B$8,MATCH(WEEKDAY('Modesto Maranzana Power'!A271,3),'Master Data'!$A$2:$A$8,0),2)</f>
        <v>Su</v>
      </c>
      <c r="D271" s="124" t="n">
        <v>0</v>
      </c>
      <c r="E271" s="124" t="n">
        <v>0</v>
      </c>
      <c r="F271" s="124" t="n">
        <v>0</v>
      </c>
      <c r="G271" s="124" t="n">
        <v>0</v>
      </c>
      <c r="I271" s="124" t="n">
        <f aca="false">IF(MONTH($A271)=MONTH($A270),IF(G271=0,I270,G271),G271)</f>
        <v>-141658</v>
      </c>
      <c r="J271" s="124" t="n">
        <f aca="false">IF(MONTH($A271)=MONTH($A270),SUM(I271-I270),I271)</f>
        <v>0</v>
      </c>
      <c r="K271" s="124" t="n">
        <f aca="false">IF(WEEKDAY(A271,3)&gt;4,0,(IF(A271&lt;K$2,0,IF(A271&lt;=K$3,1,0))))</f>
        <v>0</v>
      </c>
      <c r="L271" s="124" t="n">
        <f aca="false">J271*K271</f>
        <v>0</v>
      </c>
      <c r="M271" s="124" t="n">
        <f aca="false">SUM(J$188:J271)</f>
        <v>-980502</v>
      </c>
      <c r="N271" s="124" t="n">
        <f aca="false">SUM(J$6:J271)</f>
        <v>-980502</v>
      </c>
      <c r="P271" s="124" t="n">
        <f aca="false">D271/P$3</f>
        <v>0</v>
      </c>
      <c r="Q271" s="124" t="n">
        <f aca="false">E271/P$3</f>
        <v>0</v>
      </c>
      <c r="R271" s="124" t="n">
        <f aca="false">F271/R$3</f>
        <v>0</v>
      </c>
      <c r="S271" s="126" t="n">
        <f aca="false">J271/$R$3</f>
        <v>0</v>
      </c>
      <c r="T271" s="126" t="n">
        <f aca="false">L271/$R$3</f>
        <v>0</v>
      </c>
      <c r="U271" s="126" t="n">
        <f aca="false">I271/$R$3</f>
        <v>-141.658</v>
      </c>
      <c r="V271" s="126" t="n">
        <f aca="false">M271/$R$3</f>
        <v>-980.502</v>
      </c>
      <c r="W271" s="126" t="n">
        <f aca="false">N271/$R$3</f>
        <v>-980.502</v>
      </c>
    </row>
    <row r="272" customFormat="false" ht="12.75" hidden="true" customHeight="false" outlineLevel="0" collapsed="false">
      <c r="A272" s="120" t="n">
        <f aca="false">A271+1</f>
        <v>37158</v>
      </c>
      <c r="B272" s="131" t="str">
        <f aca="false">INDEX('Master Data'!$A$2:$B$8,MATCH(WEEKDAY('Modesto Maranzana Power'!A272,3),'Master Data'!$A$2:$A$8,0),2)</f>
        <v>M</v>
      </c>
      <c r="D272" s="124" t="n">
        <v>1904887.02883109</v>
      </c>
      <c r="E272" s="124" t="n">
        <v>0</v>
      </c>
      <c r="F272" s="124" t="n">
        <v>0</v>
      </c>
      <c r="G272" s="124" t="n">
        <v>-148038</v>
      </c>
      <c r="I272" s="124" t="n">
        <f aca="false">IF(MONTH($A272)=MONTH($A271),IF(G272=0,I271,G272),G272)</f>
        <v>-148038</v>
      </c>
      <c r="J272" s="124" t="n">
        <f aca="false">IF(MONTH($A272)=MONTH($A271),SUM(I272-I271),I272)</f>
        <v>-6380</v>
      </c>
      <c r="K272" s="124" t="n">
        <f aca="false">IF(WEEKDAY(A272,3)&gt;4,0,(IF(A272&lt;K$2,0,IF(A272&lt;=K$3,1,0))))</f>
        <v>0</v>
      </c>
      <c r="L272" s="124" t="n">
        <f aca="false">J272*K272</f>
        <v>-0</v>
      </c>
      <c r="M272" s="124" t="n">
        <f aca="false">SUM(J$188:J272)</f>
        <v>-986882</v>
      </c>
      <c r="N272" s="124" t="n">
        <f aca="false">SUM(J$6:J272)</f>
        <v>-986882</v>
      </c>
      <c r="P272" s="124" t="n">
        <f aca="false">D272/P$3</f>
        <v>1.90488702883109</v>
      </c>
      <c r="Q272" s="124" t="n">
        <f aca="false">E272/P$3</f>
        <v>0</v>
      </c>
      <c r="R272" s="124" t="n">
        <f aca="false">F272/R$3</f>
        <v>0</v>
      </c>
      <c r="S272" s="126" t="n">
        <f aca="false">J272/$R$3</f>
        <v>-6.38</v>
      </c>
      <c r="T272" s="126" t="n">
        <f aca="false">L272/$R$3</f>
        <v>-0</v>
      </c>
      <c r="U272" s="126" t="n">
        <f aca="false">I272/$R$3</f>
        <v>-148.038</v>
      </c>
      <c r="V272" s="126" t="n">
        <f aca="false">M272/$R$3</f>
        <v>-986.882</v>
      </c>
      <c r="W272" s="126" t="n">
        <f aca="false">N272/$R$3</f>
        <v>-986.882</v>
      </c>
    </row>
    <row r="273" customFormat="false" ht="12.75" hidden="true" customHeight="false" outlineLevel="0" collapsed="false">
      <c r="A273" s="120" t="n">
        <f aca="false">A272+1</f>
        <v>37159</v>
      </c>
      <c r="B273" s="131" t="str">
        <f aca="false">INDEX('Master Data'!$A$2:$B$8,MATCH(WEEKDAY('Modesto Maranzana Power'!A273,3),'Master Data'!$A$2:$A$8,0),2)</f>
        <v>T</v>
      </c>
      <c r="D273" s="124" t="n">
        <v>1903357.17266026</v>
      </c>
      <c r="E273" s="124" t="n">
        <v>0</v>
      </c>
      <c r="F273" s="124" t="n">
        <v>0</v>
      </c>
      <c r="G273" s="124" t="n">
        <v>-148657</v>
      </c>
      <c r="I273" s="124" t="n">
        <f aca="false">IF(MONTH($A273)=MONTH($A272),IF(G273=0,I272,G273),G273)</f>
        <v>-148657</v>
      </c>
      <c r="J273" s="124" t="n">
        <f aca="false">IF(MONTH($A273)=MONTH($A272),SUM(I273-I272),I273)</f>
        <v>-619</v>
      </c>
      <c r="K273" s="124" t="n">
        <f aca="false">IF(WEEKDAY(A273,3)&gt;4,0,(IF(A273&lt;K$2,0,IF(A273&lt;=K$3,1,0))))</f>
        <v>0</v>
      </c>
      <c r="L273" s="124" t="n">
        <f aca="false">J273*K273</f>
        <v>-0</v>
      </c>
      <c r="M273" s="124" t="n">
        <f aca="false">SUM(J$188:J273)</f>
        <v>-987501</v>
      </c>
      <c r="N273" s="124" t="n">
        <f aca="false">SUM(J$6:J273)</f>
        <v>-987501</v>
      </c>
      <c r="P273" s="124" t="n">
        <f aca="false">D273/P$3</f>
        <v>1.90335717266026</v>
      </c>
      <c r="Q273" s="124" t="n">
        <f aca="false">E273/P$3</f>
        <v>0</v>
      </c>
      <c r="R273" s="124" t="n">
        <f aca="false">F273/R$3</f>
        <v>0</v>
      </c>
      <c r="S273" s="126" t="n">
        <f aca="false">J273/$R$3</f>
        <v>-0.619</v>
      </c>
      <c r="T273" s="126" t="n">
        <f aca="false">L273/$R$3</f>
        <v>-0</v>
      </c>
      <c r="U273" s="126" t="n">
        <f aca="false">I273/$R$3</f>
        <v>-148.657</v>
      </c>
      <c r="V273" s="126" t="n">
        <f aca="false">M273/$R$3</f>
        <v>-987.501</v>
      </c>
      <c r="W273" s="126" t="n">
        <f aca="false">N273/$R$3</f>
        <v>-987.501</v>
      </c>
    </row>
    <row r="274" customFormat="false" ht="12.75" hidden="true" customHeight="false" outlineLevel="0" collapsed="false">
      <c r="A274" s="120" t="n">
        <f aca="false">A273+1</f>
        <v>37160</v>
      </c>
      <c r="B274" s="131" t="str">
        <f aca="false">INDEX('Master Data'!$A$2:$B$8,MATCH(WEEKDAY('Modesto Maranzana Power'!A274,3),'Master Data'!$A$2:$A$8,0),2)</f>
        <v>W</v>
      </c>
      <c r="D274" s="124" t="n">
        <v>1904704.78148089</v>
      </c>
      <c r="E274" s="124" t="n">
        <v>0</v>
      </c>
      <c r="F274" s="124" t="n">
        <v>0</v>
      </c>
      <c r="G274" s="124" t="n">
        <v>22114</v>
      </c>
      <c r="I274" s="124" t="n">
        <f aca="false">IF(MONTH($A274)=MONTH($A273),IF(G274=0,I273,G274),G274)</f>
        <v>22114</v>
      </c>
      <c r="J274" s="124" t="n">
        <f aca="false">IF(MONTH($A274)=MONTH($A273),SUM(I274-I273),I274)</f>
        <v>170771</v>
      </c>
      <c r="K274" s="124" t="n">
        <f aca="false">IF(WEEKDAY(A274,3)&gt;4,0,(IF(A274&lt;K$2,0,IF(A274&lt;=K$3,1,0))))</f>
        <v>0</v>
      </c>
      <c r="L274" s="124" t="n">
        <f aca="false">J274*K274</f>
        <v>0</v>
      </c>
      <c r="M274" s="124" t="n">
        <f aca="false">SUM(J$188:J274)</f>
        <v>-816730</v>
      </c>
      <c r="N274" s="124" t="n">
        <f aca="false">SUM(J$6:J274)</f>
        <v>-816730</v>
      </c>
      <c r="P274" s="124" t="n">
        <f aca="false">D274/P$3</f>
        <v>1.90470478148089</v>
      </c>
      <c r="Q274" s="124" t="n">
        <f aca="false">E274/P$3</f>
        <v>0</v>
      </c>
      <c r="R274" s="124" t="n">
        <f aca="false">F274/R$3</f>
        <v>0</v>
      </c>
      <c r="S274" s="126" t="n">
        <f aca="false">J274/$R$3</f>
        <v>170.771</v>
      </c>
      <c r="T274" s="126" t="n">
        <f aca="false">L274/$R$3</f>
        <v>0</v>
      </c>
      <c r="U274" s="126" t="n">
        <f aca="false">I274/$R$3</f>
        <v>22.114</v>
      </c>
      <c r="V274" s="126" t="n">
        <f aca="false">M274/$R$3</f>
        <v>-816.73</v>
      </c>
      <c r="W274" s="126" t="n">
        <f aca="false">N274/$R$3</f>
        <v>-816.73</v>
      </c>
    </row>
    <row r="275" customFormat="false" ht="12.75" hidden="true" customHeight="false" outlineLevel="0" collapsed="false">
      <c r="A275" s="120" t="n">
        <f aca="false">A274+1</f>
        <v>37161</v>
      </c>
      <c r="B275" s="131" t="str">
        <f aca="false">INDEX('Master Data'!$A$2:$B$8,MATCH(WEEKDAY('Modesto Maranzana Power'!A275,3),'Master Data'!$A$2:$A$8,0),2)</f>
        <v>Th</v>
      </c>
      <c r="D275" s="124" t="n">
        <v>1883850.57834768</v>
      </c>
      <c r="E275" s="124" t="n">
        <v>0</v>
      </c>
      <c r="F275" s="124" t="n">
        <v>0</v>
      </c>
      <c r="G275" s="124" t="n">
        <v>-64804</v>
      </c>
      <c r="I275" s="124" t="n">
        <f aca="false">IF(MONTH($A275)=MONTH($A274),IF(G275=0,I274,G275),G275)</f>
        <v>-64804</v>
      </c>
      <c r="J275" s="124" t="n">
        <f aca="false">IF(MONTH($A275)=MONTH($A274),SUM(I275-I274),I275)</f>
        <v>-86918</v>
      </c>
      <c r="K275" s="124" t="n">
        <f aca="false">IF(WEEKDAY(A275,3)&gt;4,0,(IF(A275&lt;K$2,0,IF(A275&lt;=K$3,1,0))))</f>
        <v>0</v>
      </c>
      <c r="L275" s="124" t="n">
        <f aca="false">J275*K275</f>
        <v>-0</v>
      </c>
      <c r="M275" s="124" t="n">
        <f aca="false">SUM(J$188:J275)</f>
        <v>-903648</v>
      </c>
      <c r="N275" s="124" t="n">
        <f aca="false">SUM(J$6:J275)</f>
        <v>-903648</v>
      </c>
      <c r="P275" s="124" t="n">
        <f aca="false">D275/P$3</f>
        <v>1.88385057834768</v>
      </c>
      <c r="Q275" s="124" t="n">
        <f aca="false">E275/P$3</f>
        <v>0</v>
      </c>
      <c r="R275" s="124" t="n">
        <f aca="false">F275/R$3</f>
        <v>0</v>
      </c>
      <c r="S275" s="126" t="n">
        <f aca="false">J275/$R$3</f>
        <v>-86.918</v>
      </c>
      <c r="T275" s="126" t="n">
        <f aca="false">L275/$R$3</f>
        <v>-0</v>
      </c>
      <c r="U275" s="126" t="n">
        <f aca="false">I275/$R$3</f>
        <v>-64.804</v>
      </c>
      <c r="V275" s="126" t="n">
        <f aca="false">M275/$R$3</f>
        <v>-903.648</v>
      </c>
      <c r="W275" s="126" t="n">
        <f aca="false">N275/$R$3</f>
        <v>-903.648</v>
      </c>
    </row>
    <row r="276" customFormat="false" ht="12.75" hidden="false" customHeight="false" outlineLevel="0" collapsed="false">
      <c r="A276" s="120" t="n">
        <f aca="false">A275+1</f>
        <v>37162</v>
      </c>
      <c r="B276" s="131" t="str">
        <f aca="false">INDEX('Master Data'!$A$2:$B$8,MATCH(WEEKDAY('Modesto Maranzana Power'!A276,3),'Master Data'!$A$2:$A$8,0),2)</f>
        <v>F</v>
      </c>
      <c r="D276" s="124" t="n">
        <v>1882856.23583156</v>
      </c>
      <c r="E276" s="124" t="n">
        <v>0</v>
      </c>
      <c r="F276" s="124" t="n">
        <v>0</v>
      </c>
      <c r="G276" s="124" t="n">
        <v>627404.95</v>
      </c>
      <c r="I276" s="124" t="n">
        <f aca="false">IF(MONTH($A276)=MONTH($A275),IF(G276=0,I275,G276),G276)</f>
        <v>627404.95</v>
      </c>
      <c r="J276" s="124" t="n">
        <f aca="false">IF(MONTH($A276)=MONTH($A275),SUM(I276-I275),I276)</f>
        <v>692208.95</v>
      </c>
      <c r="K276" s="124" t="n">
        <f aca="false">IF(WEEKDAY(A276,3)&gt;4,0,(IF(A276&lt;K$2,0,IF(A276&lt;=K$3,1,0))))</f>
        <v>0</v>
      </c>
      <c r="L276" s="124" t="n">
        <f aca="false">J276*K276</f>
        <v>0</v>
      </c>
      <c r="M276" s="124" t="n">
        <f aca="false">SUM(J$188:J276)</f>
        <v>-211439.05</v>
      </c>
      <c r="N276" s="124" t="n">
        <f aca="false">SUM(J$6:J276)</f>
        <v>-211439.05</v>
      </c>
      <c r="P276" s="124" t="n">
        <f aca="false">D276/P$3</f>
        <v>1.88285623583156</v>
      </c>
      <c r="Q276" s="124" t="n">
        <f aca="false">E276/P$3</f>
        <v>0</v>
      </c>
      <c r="R276" s="124" t="n">
        <f aca="false">F276/R$3</f>
        <v>0</v>
      </c>
      <c r="S276" s="126" t="n">
        <f aca="false">J276/$R$3</f>
        <v>692.20895</v>
      </c>
      <c r="T276" s="126" t="n">
        <f aca="false">L276/$R$3</f>
        <v>0</v>
      </c>
      <c r="U276" s="126" t="n">
        <f aca="false">I276/$R$3</f>
        <v>627.40495</v>
      </c>
      <c r="V276" s="126" t="n">
        <f aca="false">M276/$R$3</f>
        <v>-211.43905</v>
      </c>
      <c r="W276" s="126" t="n">
        <f aca="false">N276/$R$3</f>
        <v>-211.43905</v>
      </c>
    </row>
    <row r="277" customFormat="false" ht="12.75" hidden="false" customHeight="false" outlineLevel="0" collapsed="false">
      <c r="A277" s="120" t="n">
        <f aca="false">A276+1</f>
        <v>37163</v>
      </c>
      <c r="B277" s="131" t="str">
        <f aca="false">INDEX('Master Data'!$A$2:$B$8,MATCH(WEEKDAY('Modesto Maranzana Power'!A277,3),'Master Data'!$A$2:$A$8,0),2)</f>
        <v>Sa</v>
      </c>
      <c r="D277" s="124" t="n">
        <v>0</v>
      </c>
      <c r="E277" s="124" t="n">
        <v>0</v>
      </c>
      <c r="F277" s="124" t="n">
        <v>0</v>
      </c>
      <c r="G277" s="124" t="n">
        <v>0</v>
      </c>
      <c r="I277" s="124" t="n">
        <f aca="false">IF(MONTH($A277)=MONTH($A276),IF(G277=0,I276,G277),G277)</f>
        <v>627404.95</v>
      </c>
      <c r="J277" s="124" t="n">
        <f aca="false">IF(MONTH($A277)=MONTH($A276),SUM(I277-I276),I277)</f>
        <v>0</v>
      </c>
      <c r="K277" s="124" t="n">
        <f aca="false">IF(WEEKDAY(A277,3)&gt;4,0,(IF(A277&lt;K$2,0,IF(A277&lt;=K$3,1,0))))</f>
        <v>0</v>
      </c>
      <c r="L277" s="124" t="n">
        <f aca="false">J277*K277</f>
        <v>0</v>
      </c>
      <c r="M277" s="124" t="n">
        <f aca="false">SUM(J$188:J277)</f>
        <v>-211439.05</v>
      </c>
      <c r="N277" s="124" t="n">
        <f aca="false">SUM(J$6:J277)</f>
        <v>-211439.05</v>
      </c>
      <c r="P277" s="124" t="n">
        <f aca="false">D277/P$3</f>
        <v>0</v>
      </c>
      <c r="Q277" s="124" t="n">
        <f aca="false">E277/P$3</f>
        <v>0</v>
      </c>
      <c r="R277" s="124" t="n">
        <f aca="false">F277/R$3</f>
        <v>0</v>
      </c>
      <c r="S277" s="126" t="n">
        <f aca="false">J277/$R$3</f>
        <v>0</v>
      </c>
      <c r="T277" s="126" t="n">
        <f aca="false">L277/$R$3</f>
        <v>0</v>
      </c>
      <c r="U277" s="126" t="n">
        <f aca="false">I277/$R$3</f>
        <v>627.40495</v>
      </c>
      <c r="V277" s="126" t="n">
        <f aca="false">M277/$R$3</f>
        <v>-211.43905</v>
      </c>
      <c r="W277" s="126" t="n">
        <f aca="false">N277/$R$3</f>
        <v>-211.43905</v>
      </c>
    </row>
    <row r="278" customFormat="false" ht="12.75" hidden="false" customHeight="false" outlineLevel="0" collapsed="false">
      <c r="A278" s="120" t="n">
        <f aca="false">A277+1</f>
        <v>37164</v>
      </c>
      <c r="B278" s="131" t="str">
        <f aca="false">INDEX('Master Data'!$A$2:$B$8,MATCH(WEEKDAY('Modesto Maranzana Power'!A278,3),'Master Data'!$A$2:$A$8,0),2)</f>
        <v>Su</v>
      </c>
      <c r="D278" s="124" t="n">
        <v>0</v>
      </c>
      <c r="E278" s="124" t="n">
        <v>0</v>
      </c>
      <c r="F278" s="124" t="n">
        <v>0</v>
      </c>
      <c r="G278" s="124" t="n">
        <v>0</v>
      </c>
      <c r="I278" s="124" t="n">
        <f aca="false">IF(MONTH($A278)=MONTH($A277),IF(G278=0,I277,G278),G278)</f>
        <v>627404.95</v>
      </c>
      <c r="J278" s="124" t="n">
        <f aca="false">IF(MONTH($A278)=MONTH($A277),SUM(I278-I277),I278)</f>
        <v>0</v>
      </c>
      <c r="K278" s="124" t="n">
        <f aca="false">IF(WEEKDAY(A278,3)&gt;4,0,(IF(A278&lt;K$2,0,IF(A278&lt;=K$3,1,0))))</f>
        <v>0</v>
      </c>
      <c r="L278" s="124" t="n">
        <f aca="false">J278*K278</f>
        <v>0</v>
      </c>
      <c r="M278" s="124" t="n">
        <f aca="false">SUM(J$188:J278)</f>
        <v>-211439.05</v>
      </c>
      <c r="N278" s="124" t="n">
        <f aca="false">SUM(J$6:J278)</f>
        <v>-211439.05</v>
      </c>
      <c r="P278" s="124" t="n">
        <f aca="false">D278/P$3</f>
        <v>0</v>
      </c>
      <c r="Q278" s="124" t="n">
        <f aca="false">E278/P$3</f>
        <v>0</v>
      </c>
      <c r="R278" s="124" t="n">
        <f aca="false">F278/R$3</f>
        <v>0</v>
      </c>
      <c r="S278" s="126" t="n">
        <f aca="false">J278/$R$3</f>
        <v>0</v>
      </c>
      <c r="T278" s="126" t="n">
        <f aca="false">L278/$R$3</f>
        <v>0</v>
      </c>
      <c r="U278" s="126" t="n">
        <f aca="false">I278/$R$3</f>
        <v>627.40495</v>
      </c>
      <c r="V278" s="126" t="n">
        <f aca="false">M278/$R$3</f>
        <v>-211.43905</v>
      </c>
      <c r="W278" s="126" t="n">
        <f aca="false">N278/$R$3</f>
        <v>-211.43905</v>
      </c>
    </row>
    <row r="279" customFormat="false" ht="12.75" hidden="true" customHeight="false" outlineLevel="0" collapsed="false">
      <c r="A279" s="120" t="n">
        <f aca="false">A278+1</f>
        <v>37165</v>
      </c>
      <c r="B279" s="131" t="str">
        <f aca="false">INDEX('Master Data'!$A$2:$B$8,MATCH(WEEKDAY('Modesto Maranzana Power'!A279,3),'Master Data'!$A$2:$A$8,0),2)</f>
        <v>M</v>
      </c>
      <c r="D279" s="124" t="n">
        <v>1880239.52032459</v>
      </c>
      <c r="E279" s="124" t="n">
        <v>0</v>
      </c>
      <c r="F279" s="124" t="n">
        <v>0</v>
      </c>
      <c r="G279" s="124" t="n">
        <v>-2315</v>
      </c>
      <c r="I279" s="124" t="n">
        <f aca="false">IF(MONTH($A279)=MONTH($A278),IF(G279=0,I278,G279),G279)</f>
        <v>-2315</v>
      </c>
      <c r="J279" s="124" t="n">
        <f aca="false">IF(MONTH($A279)=MONTH($A278),SUM(I279-I278),I279)</f>
        <v>-2315</v>
      </c>
      <c r="K279" s="124" t="n">
        <f aca="false">IF(WEEKDAY(A279,3)&gt;4,0,(IF(A279&lt;K$2,0,IF(A279&lt;=K$3,1,0))))</f>
        <v>0</v>
      </c>
      <c r="L279" s="124" t="n">
        <f aca="false">J279*K279</f>
        <v>-0</v>
      </c>
      <c r="M279" s="124" t="n">
        <f aca="false">SUM(J$188:J279)</f>
        <v>-213754.05</v>
      </c>
      <c r="N279" s="124" t="n">
        <f aca="false">SUM(J$6:J279)</f>
        <v>-213754.05</v>
      </c>
      <c r="P279" s="124" t="n">
        <f aca="false">D279/P$3</f>
        <v>1.88023952032459</v>
      </c>
      <c r="Q279" s="124" t="n">
        <f aca="false">E279/P$3</f>
        <v>0</v>
      </c>
      <c r="R279" s="124" t="n">
        <f aca="false">F279/R$3</f>
        <v>0</v>
      </c>
      <c r="S279" s="126" t="n">
        <f aca="false">J279/$R$3</f>
        <v>-2.315</v>
      </c>
      <c r="T279" s="126" t="n">
        <f aca="false">L279/$R$3</f>
        <v>-0</v>
      </c>
      <c r="U279" s="126" t="n">
        <f aca="false">I279/$R$3</f>
        <v>-2.315</v>
      </c>
      <c r="V279" s="126" t="n">
        <f aca="false">M279/$R$3</f>
        <v>-213.75405</v>
      </c>
      <c r="W279" s="126" t="n">
        <f aca="false">N279/$R$3</f>
        <v>-213.75405</v>
      </c>
    </row>
    <row r="280" customFormat="false" ht="12.75" hidden="true" customHeight="false" outlineLevel="0" collapsed="false">
      <c r="A280" s="120" t="n">
        <f aca="false">A279+1</f>
        <v>37166</v>
      </c>
      <c r="B280" s="131" t="str">
        <f aca="false">INDEX('Master Data'!$A$2:$B$8,MATCH(WEEKDAY('Modesto Maranzana Power'!A280,3),'Master Data'!$A$2:$A$8,0),2)</f>
        <v>T</v>
      </c>
      <c r="D280" s="124" t="n">
        <v>1879434.51498466</v>
      </c>
      <c r="E280" s="124" t="n">
        <v>0</v>
      </c>
      <c r="F280" s="124" t="n">
        <v>0</v>
      </c>
      <c r="G280" s="124" t="n">
        <v>-3940</v>
      </c>
      <c r="I280" s="124" t="n">
        <f aca="false">IF(MONTH($A280)=MONTH($A279),IF(G280=0,I279,G280),G280)</f>
        <v>-3940</v>
      </c>
      <c r="J280" s="124" t="n">
        <f aca="false">IF(MONTH($A280)=MONTH($A279),SUM(I280-I279),I280)</f>
        <v>-1625</v>
      </c>
      <c r="K280" s="124" t="n">
        <f aca="false">IF(WEEKDAY(A280,3)&gt;4,0,(IF(A280&lt;K$2,0,IF(A280&lt;=K$3,1,0))))</f>
        <v>0</v>
      </c>
      <c r="L280" s="124" t="n">
        <f aca="false">J280*K280</f>
        <v>-0</v>
      </c>
      <c r="M280" s="124" t="n">
        <f aca="false">SUM(J$280:J280)</f>
        <v>-1625</v>
      </c>
      <c r="N280" s="124" t="n">
        <f aca="false">SUM(J$6:J280)</f>
        <v>-215379.05</v>
      </c>
      <c r="P280" s="124" t="n">
        <f aca="false">D280/P$3</f>
        <v>1.87943451498466</v>
      </c>
      <c r="Q280" s="124" t="n">
        <f aca="false">E280/P$3</f>
        <v>0</v>
      </c>
      <c r="R280" s="124" t="n">
        <f aca="false">F280/R$3</f>
        <v>0</v>
      </c>
      <c r="S280" s="126" t="n">
        <f aca="false">J280/$R$3</f>
        <v>-1.625</v>
      </c>
      <c r="T280" s="126" t="n">
        <f aca="false">L280/$R$3</f>
        <v>-0</v>
      </c>
      <c r="U280" s="126" t="n">
        <f aca="false">I280/$R$3</f>
        <v>-3.94</v>
      </c>
      <c r="V280" s="126" t="n">
        <f aca="false">M280/$R$3</f>
        <v>-1.625</v>
      </c>
      <c r="W280" s="126" t="n">
        <f aca="false">N280/$R$3</f>
        <v>-215.37905</v>
      </c>
    </row>
    <row r="281" customFormat="false" ht="12.75" hidden="true" customHeight="false" outlineLevel="0" collapsed="false">
      <c r="A281" s="120" t="n">
        <f aca="false">A280+1</f>
        <v>37167</v>
      </c>
      <c r="B281" s="131" t="str">
        <f aca="false">INDEX('Master Data'!$A$2:$B$8,MATCH(WEEKDAY('Modesto Maranzana Power'!A281,3),'Master Data'!$A$2:$A$8,0),2)</f>
        <v>W</v>
      </c>
      <c r="D281" s="124" t="n">
        <v>1882130.9715723</v>
      </c>
      <c r="E281" s="124" t="n">
        <v>0</v>
      </c>
      <c r="F281" s="124" t="n">
        <v>0</v>
      </c>
      <c r="G281" s="124" t="n">
        <v>-10183</v>
      </c>
      <c r="I281" s="124" t="n">
        <f aca="false">IF(MONTH($A281)=MONTH($A280),IF(G281=0,I280,G281),G281)</f>
        <v>-10183</v>
      </c>
      <c r="J281" s="124" t="n">
        <f aca="false">IF(MONTH($A281)=MONTH($A280),SUM(I281-I280),I281)</f>
        <v>-6243</v>
      </c>
      <c r="K281" s="124" t="n">
        <f aca="false">IF(WEEKDAY(A281,3)&gt;4,0,(IF(A281&lt;K$2,0,IF(A281&lt;=K$3,1,0))))</f>
        <v>0</v>
      </c>
      <c r="L281" s="124" t="n">
        <f aca="false">J281*K281</f>
        <v>-0</v>
      </c>
      <c r="M281" s="124" t="n">
        <f aca="false">SUM(J$280:J281)</f>
        <v>-7868</v>
      </c>
      <c r="N281" s="124" t="n">
        <f aca="false">SUM(J$6:J281)</f>
        <v>-221622.05</v>
      </c>
      <c r="P281" s="124" t="n">
        <f aca="false">D281/P$3</f>
        <v>1.88213097157231</v>
      </c>
      <c r="Q281" s="124" t="n">
        <f aca="false">E281/P$3</f>
        <v>0</v>
      </c>
      <c r="R281" s="124" t="n">
        <f aca="false">F281/R$3</f>
        <v>0</v>
      </c>
      <c r="S281" s="126" t="n">
        <f aca="false">J281/$R$3</f>
        <v>-6.243</v>
      </c>
      <c r="T281" s="126" t="n">
        <f aca="false">L281/$R$3</f>
        <v>-0</v>
      </c>
      <c r="U281" s="126" t="n">
        <f aca="false">I281/$R$3</f>
        <v>-10.183</v>
      </c>
      <c r="V281" s="126" t="n">
        <f aca="false">M281/$R$3</f>
        <v>-7.868</v>
      </c>
      <c r="W281" s="126" t="n">
        <f aca="false">N281/$R$3</f>
        <v>-221.62205</v>
      </c>
    </row>
    <row r="282" customFormat="false" ht="12.75" hidden="true" customHeight="false" outlineLevel="0" collapsed="false">
      <c r="A282" s="120" t="n">
        <f aca="false">A281+1</f>
        <v>37168</v>
      </c>
      <c r="B282" s="131" t="str">
        <f aca="false">INDEX('Master Data'!$A$2:$B$8,MATCH(WEEKDAY('Modesto Maranzana Power'!A282,3),'Master Data'!$A$2:$A$8,0),2)</f>
        <v>Th</v>
      </c>
      <c r="D282" s="124" t="n">
        <v>1881775.87109628</v>
      </c>
      <c r="E282" s="124" t="n">
        <v>0</v>
      </c>
      <c r="F282" s="124" t="n">
        <v>0</v>
      </c>
      <c r="G282" s="124" t="n">
        <v>-17758</v>
      </c>
      <c r="I282" s="124" t="n">
        <f aca="false">IF(MONTH($A282)=MONTH($A281),IF(G282=0,I281,G282),G282)</f>
        <v>-17758</v>
      </c>
      <c r="J282" s="124" t="n">
        <f aca="false">IF(MONTH($A282)=MONTH($A281),SUM(I282-I281),I282)</f>
        <v>-7575</v>
      </c>
      <c r="K282" s="124" t="n">
        <f aca="false">IF(WEEKDAY(A282,3)&gt;4,0,(IF(A282&lt;K$2,0,IF(A282&lt;=K$3,1,0))))</f>
        <v>0</v>
      </c>
      <c r="L282" s="124" t="n">
        <f aca="false">J282*K282</f>
        <v>-0</v>
      </c>
      <c r="M282" s="124" t="n">
        <f aca="false">SUM(J$280:J282)</f>
        <v>-15443</v>
      </c>
      <c r="N282" s="124" t="n">
        <f aca="false">SUM(J$6:J282)</f>
        <v>-229197.05</v>
      </c>
      <c r="P282" s="124" t="n">
        <f aca="false">D282/P$3</f>
        <v>1.88177587109628</v>
      </c>
      <c r="Q282" s="124" t="n">
        <f aca="false">E282/P$3</f>
        <v>0</v>
      </c>
      <c r="R282" s="124" t="n">
        <f aca="false">F282/R$3</f>
        <v>0</v>
      </c>
      <c r="S282" s="126" t="n">
        <f aca="false">J282/$R$3</f>
        <v>-7.575</v>
      </c>
      <c r="T282" s="126" t="n">
        <f aca="false">L282/$R$3</f>
        <v>-0</v>
      </c>
      <c r="U282" s="126" t="n">
        <f aca="false">I282/$R$3</f>
        <v>-17.758</v>
      </c>
      <c r="V282" s="126" t="n">
        <f aca="false">M282/$R$3</f>
        <v>-15.443</v>
      </c>
      <c r="W282" s="126" t="n">
        <f aca="false">N282/$R$3</f>
        <v>-229.19705</v>
      </c>
    </row>
    <row r="283" customFormat="false" ht="12.75" hidden="true" customHeight="false" outlineLevel="0" collapsed="false">
      <c r="A283" s="120" t="n">
        <f aca="false">A282+1</f>
        <v>37169</v>
      </c>
      <c r="B283" s="131" t="str">
        <f aca="false">INDEX('Master Data'!$A$2:$B$8,MATCH(WEEKDAY('Modesto Maranzana Power'!A283,3),'Master Data'!$A$2:$A$8,0),2)</f>
        <v>F</v>
      </c>
      <c r="D283" s="124" t="n">
        <v>1881820.30801602</v>
      </c>
      <c r="E283" s="124" t="n">
        <v>0</v>
      </c>
      <c r="F283" s="124" t="n">
        <v>0</v>
      </c>
      <c r="G283" s="124" t="n">
        <v>-25984</v>
      </c>
      <c r="I283" s="124" t="n">
        <f aca="false">IF(MONTH($A283)=MONTH($A282),IF(G283=0,I282,G283),G283)</f>
        <v>-25984</v>
      </c>
      <c r="J283" s="124" t="n">
        <f aca="false">IF(MONTH($A283)=MONTH($A282),SUM(I283-I282),I283)</f>
        <v>-8226</v>
      </c>
      <c r="K283" s="124" t="n">
        <f aca="false">IF(WEEKDAY(A283,3)&gt;4,0,(IF(A283&lt;K$2,0,IF(A283&lt;=K$3,1,0))))</f>
        <v>0</v>
      </c>
      <c r="L283" s="124" t="n">
        <f aca="false">J283*K283</f>
        <v>-0</v>
      </c>
      <c r="M283" s="124" t="n">
        <f aca="false">SUM(J$280:J283)</f>
        <v>-23669</v>
      </c>
      <c r="N283" s="124" t="n">
        <f aca="false">SUM(J$6:J283)</f>
        <v>-237423.05</v>
      </c>
      <c r="P283" s="124" t="n">
        <f aca="false">D283/P$3</f>
        <v>1.88182030801602</v>
      </c>
      <c r="Q283" s="124" t="n">
        <f aca="false">E283/P$3</f>
        <v>0</v>
      </c>
      <c r="R283" s="124" t="n">
        <f aca="false">F283/R$3</f>
        <v>0</v>
      </c>
      <c r="S283" s="126" t="n">
        <f aca="false">J283/$R$3</f>
        <v>-8.226</v>
      </c>
      <c r="T283" s="126" t="n">
        <f aca="false">L283/$R$3</f>
        <v>-0</v>
      </c>
      <c r="U283" s="126" t="n">
        <f aca="false">I283/$R$3</f>
        <v>-25.984</v>
      </c>
      <c r="V283" s="126" t="n">
        <f aca="false">M283/$R$3</f>
        <v>-23.669</v>
      </c>
      <c r="W283" s="126" t="n">
        <f aca="false">N283/$R$3</f>
        <v>-237.42305</v>
      </c>
    </row>
    <row r="284" customFormat="false" ht="12.75" hidden="true" customHeight="false" outlineLevel="0" collapsed="false">
      <c r="A284" s="120" t="n">
        <f aca="false">A283+1</f>
        <v>37170</v>
      </c>
      <c r="B284" s="131" t="str">
        <f aca="false">INDEX('Master Data'!$A$2:$B$8,MATCH(WEEKDAY('Modesto Maranzana Power'!A284,3),'Master Data'!$A$2:$A$8,0),2)</f>
        <v>Sa</v>
      </c>
      <c r="D284" s="124" t="n">
        <v>0</v>
      </c>
      <c r="E284" s="124" t="n">
        <v>0</v>
      </c>
      <c r="F284" s="124" t="n">
        <v>0</v>
      </c>
      <c r="G284" s="124" t="n">
        <v>0</v>
      </c>
      <c r="I284" s="124" t="n">
        <f aca="false">IF(MONTH($A284)=MONTH($A283),IF(G284=0,I283,G284),G284)</f>
        <v>-25984</v>
      </c>
      <c r="J284" s="124" t="n">
        <f aca="false">IF(MONTH($A284)=MONTH($A283),SUM(I284-I283),I284)</f>
        <v>0</v>
      </c>
      <c r="K284" s="124" t="n">
        <f aca="false">IF(WEEKDAY(A284,3)&gt;4,0,(IF(A284&lt;K$2,0,IF(A284&lt;=K$3,1,0))))</f>
        <v>0</v>
      </c>
      <c r="L284" s="124" t="n">
        <f aca="false">J284*K284</f>
        <v>0</v>
      </c>
      <c r="M284" s="124" t="n">
        <f aca="false">SUM(J$280:J284)</f>
        <v>-23669</v>
      </c>
      <c r="N284" s="124" t="n">
        <f aca="false">SUM(J$6:J284)</f>
        <v>-237423.05</v>
      </c>
      <c r="P284" s="124" t="n">
        <f aca="false">D284/P$3</f>
        <v>0</v>
      </c>
      <c r="Q284" s="124" t="n">
        <f aca="false">E284/P$3</f>
        <v>0</v>
      </c>
      <c r="R284" s="124" t="n">
        <f aca="false">F284/R$3</f>
        <v>0</v>
      </c>
      <c r="S284" s="126" t="n">
        <f aca="false">J284/$R$3</f>
        <v>0</v>
      </c>
      <c r="T284" s="126" t="n">
        <f aca="false">L284/$R$3</f>
        <v>0</v>
      </c>
      <c r="U284" s="126" t="n">
        <f aca="false">I284/$R$3</f>
        <v>-25.984</v>
      </c>
      <c r="V284" s="126" t="n">
        <f aca="false">M284/$R$3</f>
        <v>-23.669</v>
      </c>
      <c r="W284" s="126" t="n">
        <f aca="false">N284/$R$3</f>
        <v>-237.42305</v>
      </c>
    </row>
    <row r="285" customFormat="false" ht="12.75" hidden="true" customHeight="false" outlineLevel="0" collapsed="false">
      <c r="A285" s="120" t="n">
        <f aca="false">A284+1</f>
        <v>37171</v>
      </c>
      <c r="B285" s="131" t="str">
        <f aca="false">INDEX('Master Data'!$A$2:$B$8,MATCH(WEEKDAY('Modesto Maranzana Power'!A285,3),'Master Data'!$A$2:$A$8,0),2)</f>
        <v>Su</v>
      </c>
      <c r="D285" s="124" t="n">
        <v>0</v>
      </c>
      <c r="E285" s="124" t="n">
        <v>0</v>
      </c>
      <c r="F285" s="124" t="n">
        <v>0</v>
      </c>
      <c r="G285" s="124" t="n">
        <v>0</v>
      </c>
      <c r="I285" s="124" t="n">
        <f aca="false">IF(MONTH($A285)=MONTH($A284),IF(G285=0,I284,G285),G285)</f>
        <v>-25984</v>
      </c>
      <c r="J285" s="124" t="n">
        <f aca="false">IF(MONTH($A285)=MONTH($A284),SUM(I285-I284),I285)</f>
        <v>0</v>
      </c>
      <c r="K285" s="124" t="n">
        <f aca="false">IF(WEEKDAY(A285,3)&gt;4,0,(IF(A285&lt;K$2,0,IF(A285&lt;=K$3,1,0))))</f>
        <v>0</v>
      </c>
      <c r="L285" s="124" t="n">
        <f aca="false">J285*K285</f>
        <v>0</v>
      </c>
      <c r="M285" s="124" t="n">
        <f aca="false">SUM(J$280:J285)</f>
        <v>-23669</v>
      </c>
      <c r="N285" s="124" t="n">
        <f aca="false">SUM(J$6:J285)</f>
        <v>-237423.05</v>
      </c>
      <c r="P285" s="124" t="n">
        <f aca="false">D285/P$3</f>
        <v>0</v>
      </c>
      <c r="Q285" s="124" t="n">
        <f aca="false">E285/P$3</f>
        <v>0</v>
      </c>
      <c r="R285" s="124" t="n">
        <f aca="false">F285/R$3</f>
        <v>0</v>
      </c>
      <c r="S285" s="126" t="n">
        <f aca="false">J285/$R$3</f>
        <v>0</v>
      </c>
      <c r="T285" s="126" t="n">
        <f aca="false">L285/$R$3</f>
        <v>0</v>
      </c>
      <c r="U285" s="126" t="n">
        <f aca="false">I285/$R$3</f>
        <v>-25.984</v>
      </c>
      <c r="V285" s="126" t="n">
        <f aca="false">M285/$R$3</f>
        <v>-23.669</v>
      </c>
      <c r="W285" s="126" t="n">
        <f aca="false">N285/$R$3</f>
        <v>-237.42305</v>
      </c>
    </row>
    <row r="286" customFormat="false" ht="12.75" hidden="true" customHeight="false" outlineLevel="0" collapsed="false">
      <c r="A286" s="120" t="n">
        <f aca="false">A285+1</f>
        <v>37172</v>
      </c>
      <c r="B286" s="131" t="str">
        <f aca="false">INDEX('Master Data'!$A$2:$B$8,MATCH(WEEKDAY('Modesto Maranzana Power'!A286,3),'Master Data'!$A$2:$A$8,0),2)</f>
        <v>M</v>
      </c>
      <c r="D286" s="124" t="n">
        <v>1881475.89160273</v>
      </c>
      <c r="E286" s="124" t="n">
        <v>0</v>
      </c>
      <c r="F286" s="124" t="n">
        <v>0</v>
      </c>
      <c r="G286" s="124" t="n">
        <v>-27576</v>
      </c>
      <c r="I286" s="124" t="n">
        <f aca="false">IF(MONTH($A286)=MONTH($A285),IF(G286=0,I285,G286),G286)</f>
        <v>-27576</v>
      </c>
      <c r="J286" s="124" t="n">
        <f aca="false">IF(MONTH($A286)=MONTH($A285),SUM(I286-I285),I286)</f>
        <v>-1592</v>
      </c>
      <c r="K286" s="124" t="n">
        <f aca="false">IF(WEEKDAY(A286,3)&gt;4,0,(IF(A286&lt;K$2,0,IF(A286&lt;=K$3,1,0))))</f>
        <v>0</v>
      </c>
      <c r="L286" s="124" t="n">
        <f aca="false">J286*K286</f>
        <v>-0</v>
      </c>
      <c r="M286" s="124" t="n">
        <f aca="false">SUM(J$280:J286)</f>
        <v>-25261</v>
      </c>
      <c r="N286" s="124" t="n">
        <f aca="false">SUM(J$6:J286)</f>
        <v>-239015.05</v>
      </c>
      <c r="P286" s="124" t="n">
        <f aca="false">D286/P$3</f>
        <v>1.88147589160273</v>
      </c>
      <c r="Q286" s="124" t="n">
        <f aca="false">E286/P$3</f>
        <v>0</v>
      </c>
      <c r="R286" s="124" t="n">
        <f aca="false">F286/R$3</f>
        <v>0</v>
      </c>
      <c r="S286" s="126" t="n">
        <f aca="false">J286/$R$3</f>
        <v>-1.592</v>
      </c>
      <c r="T286" s="126" t="n">
        <f aca="false">L286/$R$3</f>
        <v>-0</v>
      </c>
      <c r="U286" s="126" t="n">
        <f aca="false">I286/$R$3</f>
        <v>-27.576</v>
      </c>
      <c r="V286" s="126" t="n">
        <f aca="false">M286/$R$3</f>
        <v>-25.261</v>
      </c>
      <c r="W286" s="126" t="n">
        <f aca="false">N286/$R$3</f>
        <v>-239.01505</v>
      </c>
    </row>
    <row r="287" customFormat="false" ht="12.75" hidden="true" customHeight="false" outlineLevel="0" collapsed="false">
      <c r="A287" s="120" t="n">
        <f aca="false">A286+1</f>
        <v>37173</v>
      </c>
      <c r="B287" s="131" t="str">
        <f aca="false">INDEX('Master Data'!$A$2:$B$8,MATCH(WEEKDAY('Modesto Maranzana Power'!A287,3),'Master Data'!$A$2:$A$8,0),2)</f>
        <v>T</v>
      </c>
      <c r="D287" s="124" t="n">
        <v>1880665.97103427</v>
      </c>
      <c r="E287" s="124" t="n">
        <v>0</v>
      </c>
      <c r="F287" s="124" t="n">
        <v>0</v>
      </c>
      <c r="G287" s="124" t="n">
        <v>-34939</v>
      </c>
      <c r="I287" s="124" t="n">
        <f aca="false">IF(MONTH($A287)=MONTH($A286),IF(G287=0,I286,G287),G287)</f>
        <v>-34939</v>
      </c>
      <c r="J287" s="124" t="n">
        <f aca="false">IF(MONTH($A287)=MONTH($A286),SUM(I287-I286),I287)</f>
        <v>-7363</v>
      </c>
      <c r="K287" s="124" t="n">
        <f aca="false">IF(WEEKDAY(A287,3)&gt;4,0,(IF(A287&lt;K$2,0,IF(A287&lt;=K$3,1,0))))</f>
        <v>0</v>
      </c>
      <c r="L287" s="124" t="n">
        <f aca="false">J287*K287</f>
        <v>-0</v>
      </c>
      <c r="M287" s="124" t="n">
        <f aca="false">SUM(J$280:J287)</f>
        <v>-32624</v>
      </c>
      <c r="N287" s="124" t="n">
        <f aca="false">SUM(J$6:J287)</f>
        <v>-246378.05</v>
      </c>
      <c r="P287" s="124" t="n">
        <f aca="false">D287/P$3</f>
        <v>1.88066597103427</v>
      </c>
      <c r="Q287" s="124" t="n">
        <f aca="false">E287/P$3</f>
        <v>0</v>
      </c>
      <c r="R287" s="124" t="n">
        <f aca="false">F287/R$3</f>
        <v>0</v>
      </c>
      <c r="S287" s="126" t="n">
        <f aca="false">J287/$R$3</f>
        <v>-7.363</v>
      </c>
      <c r="T287" s="126" t="n">
        <f aca="false">L287/$R$3</f>
        <v>-0</v>
      </c>
      <c r="U287" s="126" t="n">
        <f aca="false">I287/$R$3</f>
        <v>-34.939</v>
      </c>
      <c r="V287" s="126" t="n">
        <f aca="false">M287/$R$3</f>
        <v>-32.624</v>
      </c>
      <c r="W287" s="126" t="n">
        <f aca="false">N287/$R$3</f>
        <v>-246.37805</v>
      </c>
    </row>
    <row r="288" customFormat="false" ht="12.75" hidden="true" customHeight="false" outlineLevel="0" collapsed="false">
      <c r="A288" s="120" t="n">
        <f aca="false">A287+1</f>
        <v>37174</v>
      </c>
      <c r="B288" s="131" t="str">
        <f aca="false">INDEX('Master Data'!$A$2:$B$8,MATCH(WEEKDAY('Modesto Maranzana Power'!A288,3),'Master Data'!$A$2:$A$8,0),2)</f>
        <v>W</v>
      </c>
      <c r="D288" s="124" t="n">
        <v>1878728.92612735</v>
      </c>
      <c r="E288" s="124" t="n">
        <v>0</v>
      </c>
      <c r="F288" s="124" t="n">
        <v>0</v>
      </c>
      <c r="G288" s="124" t="n">
        <v>-50807</v>
      </c>
      <c r="I288" s="124" t="n">
        <f aca="false">IF(MONTH($A288)=MONTH($A287),IF(G288=0,I287,G288),G288)</f>
        <v>-50807</v>
      </c>
      <c r="J288" s="124" t="n">
        <f aca="false">IF(MONTH($A288)=MONTH($A287),SUM(I288-I287),I288)</f>
        <v>-15868</v>
      </c>
      <c r="K288" s="124" t="n">
        <f aca="false">IF(WEEKDAY(A288,3)&gt;4,0,(IF(A288&lt;K$2,0,IF(A288&lt;=K$3,1,0))))</f>
        <v>0</v>
      </c>
      <c r="L288" s="124" t="n">
        <f aca="false">J288*K288</f>
        <v>-0</v>
      </c>
      <c r="M288" s="124" t="n">
        <f aca="false">SUM(J$280:J288)</f>
        <v>-48492</v>
      </c>
      <c r="N288" s="124" t="n">
        <f aca="false">SUM(J$6:J288)</f>
        <v>-262246.05</v>
      </c>
      <c r="P288" s="124" t="n">
        <f aca="false">D288/P$3</f>
        <v>1.87872892612735</v>
      </c>
      <c r="Q288" s="124" t="n">
        <f aca="false">E288/P$3</f>
        <v>0</v>
      </c>
      <c r="R288" s="124" t="n">
        <f aca="false">F288/R$3</f>
        <v>0</v>
      </c>
      <c r="S288" s="126" t="n">
        <f aca="false">J288/$R$3</f>
        <v>-15.868</v>
      </c>
      <c r="T288" s="126" t="n">
        <f aca="false">L288/$R$3</f>
        <v>-0</v>
      </c>
      <c r="U288" s="126" t="n">
        <f aca="false">I288/$R$3</f>
        <v>-50.807</v>
      </c>
      <c r="V288" s="126" t="n">
        <f aca="false">M288/$R$3</f>
        <v>-48.492</v>
      </c>
      <c r="W288" s="126" t="n">
        <f aca="false">N288/$R$3</f>
        <v>-262.24605</v>
      </c>
    </row>
    <row r="289" customFormat="false" ht="12.75" hidden="true" customHeight="false" outlineLevel="0" collapsed="false">
      <c r="A289" s="120" t="n">
        <f aca="false">A288+1</f>
        <v>37175</v>
      </c>
      <c r="B289" s="131" t="str">
        <f aca="false">INDEX('Master Data'!$A$2:$B$8,MATCH(WEEKDAY('Modesto Maranzana Power'!A289,3),'Master Data'!$A$2:$A$8,0),2)</f>
        <v>Th</v>
      </c>
      <c r="D289" s="124" t="n">
        <v>1877333.30450683</v>
      </c>
      <c r="E289" s="124" t="n">
        <v>0</v>
      </c>
      <c r="F289" s="124" t="n">
        <v>0</v>
      </c>
      <c r="G289" s="124" t="n">
        <v>-57924</v>
      </c>
      <c r="I289" s="124" t="n">
        <f aca="false">IF(MONTH($A289)=MONTH($A288),IF(G289=0,I288,G289),G289)</f>
        <v>-57924</v>
      </c>
      <c r="J289" s="124" t="n">
        <f aca="false">IF(MONTH($A289)=MONTH($A288),SUM(I289-I288),I289)</f>
        <v>-7117</v>
      </c>
      <c r="K289" s="124" t="n">
        <f aca="false">IF(WEEKDAY(A289,3)&gt;4,0,(IF(A289&lt;K$2,0,IF(A289&lt;=K$3,1,0))))</f>
        <v>0</v>
      </c>
      <c r="L289" s="124" t="n">
        <f aca="false">J289*K289</f>
        <v>-0</v>
      </c>
      <c r="M289" s="124" t="n">
        <f aca="false">SUM(J$280:J289)</f>
        <v>-55609</v>
      </c>
      <c r="N289" s="124" t="n">
        <f aca="false">SUM(J$6:J289)</f>
        <v>-269363.05</v>
      </c>
      <c r="P289" s="124" t="n">
        <f aca="false">D289/P$3</f>
        <v>1.87733330450683</v>
      </c>
      <c r="Q289" s="124" t="n">
        <f aca="false">E289/P$3</f>
        <v>0</v>
      </c>
      <c r="R289" s="124" t="n">
        <f aca="false">F289/R$3</f>
        <v>0</v>
      </c>
      <c r="S289" s="126" t="n">
        <f aca="false">J289/$R$3</f>
        <v>-7.117</v>
      </c>
      <c r="T289" s="126" t="n">
        <f aca="false">L289/$R$3</f>
        <v>-0</v>
      </c>
      <c r="U289" s="126" t="n">
        <f aca="false">I289/$R$3</f>
        <v>-57.924</v>
      </c>
      <c r="V289" s="126" t="n">
        <f aca="false">M289/$R$3</f>
        <v>-55.609</v>
      </c>
      <c r="W289" s="126" t="n">
        <f aca="false">N289/$R$3</f>
        <v>-269.36305</v>
      </c>
    </row>
    <row r="290" customFormat="false" ht="12.75" hidden="true" customHeight="false" outlineLevel="0" collapsed="false">
      <c r="A290" s="120" t="n">
        <f aca="false">A289+1</f>
        <v>37176</v>
      </c>
      <c r="B290" s="131" t="str">
        <f aca="false">INDEX('Master Data'!$A$2:$B$8,MATCH(WEEKDAY('Modesto Maranzana Power'!A290,3),'Master Data'!$A$2:$A$8,0),2)</f>
        <v>F</v>
      </c>
      <c r="D290" s="124" t="n">
        <v>1872382.63217231</v>
      </c>
      <c r="E290" s="124" t="n">
        <v>0</v>
      </c>
      <c r="F290" s="124" t="n">
        <v>0</v>
      </c>
      <c r="G290" s="124" t="n">
        <v>-3206</v>
      </c>
      <c r="I290" s="124" t="n">
        <f aca="false">IF(MONTH($A290)=MONTH($A289),IF(G290=0,I289,G290),G290)</f>
        <v>-3206</v>
      </c>
      <c r="J290" s="124" t="n">
        <f aca="false">IF(MONTH($A290)=MONTH($A289),SUM(I290-I289),I290)</f>
        <v>54718</v>
      </c>
      <c r="K290" s="124" t="n">
        <f aca="false">IF(WEEKDAY(A290,3)&gt;4,0,(IF(A290&lt;K$2,0,IF(A290&lt;=K$3,1,0))))</f>
        <v>0</v>
      </c>
      <c r="L290" s="124" t="n">
        <f aca="false">J290*K290</f>
        <v>0</v>
      </c>
      <c r="M290" s="124" t="n">
        <f aca="false">SUM(J$280:J290)</f>
        <v>-891</v>
      </c>
      <c r="N290" s="124" t="n">
        <f aca="false">SUM(J$6:J290)</f>
        <v>-214645.05</v>
      </c>
      <c r="P290" s="124" t="n">
        <f aca="false">D290/P$3</f>
        <v>1.87238263217231</v>
      </c>
      <c r="Q290" s="124" t="n">
        <f aca="false">E290/P$3</f>
        <v>0</v>
      </c>
      <c r="R290" s="124" t="n">
        <f aca="false">F290/R$3</f>
        <v>0</v>
      </c>
      <c r="S290" s="126" t="n">
        <f aca="false">J290/$R$3</f>
        <v>54.718</v>
      </c>
      <c r="T290" s="126" t="n">
        <f aca="false">L290/$R$3</f>
        <v>0</v>
      </c>
      <c r="U290" s="126" t="n">
        <f aca="false">I290/$R$3</f>
        <v>-3.206</v>
      </c>
      <c r="V290" s="126" t="n">
        <f aca="false">M290/$R$3</f>
        <v>-0.891</v>
      </c>
      <c r="W290" s="126" t="n">
        <f aca="false">N290/$R$3</f>
        <v>-214.64505</v>
      </c>
    </row>
    <row r="291" customFormat="false" ht="12.75" hidden="true" customHeight="false" outlineLevel="0" collapsed="false">
      <c r="A291" s="120" t="n">
        <f aca="false">A290+1</f>
        <v>37177</v>
      </c>
      <c r="B291" s="131" t="str">
        <f aca="false">INDEX('Master Data'!$A$2:$B$8,MATCH(WEEKDAY('Modesto Maranzana Power'!A291,3),'Master Data'!$A$2:$A$8,0),2)</f>
        <v>Sa</v>
      </c>
      <c r="D291" s="124" t="n">
        <v>0</v>
      </c>
      <c r="E291" s="124" t="n">
        <v>0</v>
      </c>
      <c r="F291" s="124" t="n">
        <v>0</v>
      </c>
      <c r="G291" s="124" t="n">
        <v>0</v>
      </c>
      <c r="I291" s="124" t="n">
        <f aca="false">IF(MONTH($A291)=MONTH($A290),IF(G291=0,I290,G291),G291)</f>
        <v>-3206</v>
      </c>
      <c r="J291" s="124" t="n">
        <f aca="false">IF(MONTH($A291)=MONTH($A290),SUM(I291-I290),I291)</f>
        <v>0</v>
      </c>
      <c r="K291" s="124" t="n">
        <f aca="false">IF(WEEKDAY(A291,3)&gt;4,0,(IF(A291&lt;K$2,0,IF(A291&lt;=K$3,1,0))))</f>
        <v>0</v>
      </c>
      <c r="L291" s="124" t="n">
        <f aca="false">J291*K291</f>
        <v>0</v>
      </c>
      <c r="M291" s="124" t="n">
        <f aca="false">SUM(J$280:J291)</f>
        <v>-891</v>
      </c>
      <c r="N291" s="124" t="n">
        <f aca="false">SUM(J$6:J291)</f>
        <v>-214645.05</v>
      </c>
      <c r="P291" s="124" t="n">
        <f aca="false">D291/P$3</f>
        <v>0</v>
      </c>
      <c r="Q291" s="124" t="n">
        <f aca="false">E291/P$3</f>
        <v>0</v>
      </c>
      <c r="R291" s="124" t="n">
        <f aca="false">F291/R$3</f>
        <v>0</v>
      </c>
      <c r="S291" s="126" t="n">
        <f aca="false">J291/$R$3</f>
        <v>0</v>
      </c>
      <c r="T291" s="126" t="n">
        <f aca="false">L291/$R$3</f>
        <v>0</v>
      </c>
      <c r="U291" s="126" t="n">
        <f aca="false">I291/$R$3</f>
        <v>-3.206</v>
      </c>
      <c r="V291" s="126" t="n">
        <f aca="false">M291/$R$3</f>
        <v>-0.891</v>
      </c>
      <c r="W291" s="126" t="n">
        <f aca="false">N291/$R$3</f>
        <v>-214.64505</v>
      </c>
    </row>
    <row r="292" customFormat="false" ht="12.75" hidden="true" customHeight="false" outlineLevel="0" collapsed="false">
      <c r="A292" s="120" t="n">
        <f aca="false">A291+1</f>
        <v>37178</v>
      </c>
      <c r="B292" s="131" t="str">
        <f aca="false">INDEX('Master Data'!$A$2:$B$8,MATCH(WEEKDAY('Modesto Maranzana Power'!A292,3),'Master Data'!$A$2:$A$8,0),2)</f>
        <v>Su</v>
      </c>
      <c r="D292" s="124" t="n">
        <v>0</v>
      </c>
      <c r="E292" s="124" t="n">
        <v>0</v>
      </c>
      <c r="F292" s="124" t="n">
        <v>0</v>
      </c>
      <c r="G292" s="124" t="n">
        <v>0</v>
      </c>
      <c r="I292" s="124" t="n">
        <f aca="false">IF(MONTH($A292)=MONTH($A291),IF(G292=0,I291,G292),G292)</f>
        <v>-3206</v>
      </c>
      <c r="J292" s="124" t="n">
        <f aca="false">IF(MONTH($A292)=MONTH($A291),SUM(I292-I291),I292)</f>
        <v>0</v>
      </c>
      <c r="K292" s="124" t="n">
        <f aca="false">IF(WEEKDAY(A292,3)&gt;4,0,(IF(A292&lt;K$2,0,IF(A292&lt;=K$3,1,0))))</f>
        <v>0</v>
      </c>
      <c r="L292" s="124" t="n">
        <f aca="false">J292*K292</f>
        <v>0</v>
      </c>
      <c r="M292" s="124" t="n">
        <f aca="false">SUM(J$280:J292)</f>
        <v>-891</v>
      </c>
      <c r="N292" s="124" t="n">
        <f aca="false">SUM(J$6:J292)</f>
        <v>-214645.05</v>
      </c>
      <c r="P292" s="124" t="n">
        <f aca="false">D292/P$3</f>
        <v>0</v>
      </c>
      <c r="Q292" s="124" t="n">
        <f aca="false">E292/P$3</f>
        <v>0</v>
      </c>
      <c r="R292" s="124" t="n">
        <f aca="false">F292/R$3</f>
        <v>0</v>
      </c>
      <c r="S292" s="126" t="n">
        <f aca="false">J292/$R$3</f>
        <v>0</v>
      </c>
      <c r="T292" s="126" t="n">
        <f aca="false">L292/$R$3</f>
        <v>0</v>
      </c>
      <c r="U292" s="126" t="n">
        <f aca="false">I292/$R$3</f>
        <v>-3.206</v>
      </c>
      <c r="V292" s="126" t="n">
        <f aca="false">M292/$R$3</f>
        <v>-0.891</v>
      </c>
      <c r="W292" s="126" t="n">
        <f aca="false">N292/$R$3</f>
        <v>-214.64505</v>
      </c>
    </row>
    <row r="293" customFormat="false" ht="12.75" hidden="true" customHeight="false" outlineLevel="0" collapsed="false">
      <c r="A293" s="120" t="n">
        <f aca="false">A292+1</f>
        <v>37179</v>
      </c>
      <c r="B293" s="131" t="str">
        <f aca="false">INDEX('Master Data'!$A$2:$B$8,MATCH(WEEKDAY('Modesto Maranzana Power'!A293,3),'Master Data'!$A$2:$A$8,0),2)</f>
        <v>M</v>
      </c>
      <c r="D293" s="124" t="n">
        <v>1871316.21258248</v>
      </c>
      <c r="E293" s="124" t="n">
        <v>0</v>
      </c>
      <c r="F293" s="124" t="n">
        <v>0</v>
      </c>
      <c r="G293" s="124" t="n">
        <v>-10823</v>
      </c>
      <c r="I293" s="124" t="n">
        <f aca="false">IF(MONTH($A293)=MONTH($A292),IF(G293=0,I292,G293),G293)</f>
        <v>-10823</v>
      </c>
      <c r="J293" s="124" t="n">
        <f aca="false">IF(MONTH($A293)=MONTH($A292),SUM(I293-I292),I293)</f>
        <v>-7617</v>
      </c>
      <c r="K293" s="124" t="n">
        <f aca="false">IF(WEEKDAY(A293,3)&gt;4,0,(IF(A293&lt;K$2,0,IF(A293&lt;=K$3,1,0))))</f>
        <v>0</v>
      </c>
      <c r="L293" s="124" t="n">
        <f aca="false">J293*K293</f>
        <v>-0</v>
      </c>
      <c r="M293" s="124" t="n">
        <f aca="false">SUM(J$280:J293)</f>
        <v>-8508</v>
      </c>
      <c r="N293" s="124" t="n">
        <f aca="false">SUM(J$6:J293)</f>
        <v>-222262.05</v>
      </c>
      <c r="P293" s="124" t="n">
        <f aca="false">D293/P$3</f>
        <v>1.87131621258248</v>
      </c>
      <c r="Q293" s="124" t="n">
        <f aca="false">E293/P$3</f>
        <v>0</v>
      </c>
      <c r="R293" s="124" t="n">
        <f aca="false">F293/R$3</f>
        <v>0</v>
      </c>
      <c r="S293" s="126" t="n">
        <f aca="false">J293/$R$3</f>
        <v>-7.617</v>
      </c>
      <c r="T293" s="126" t="n">
        <f aca="false">L293/$R$3</f>
        <v>-0</v>
      </c>
      <c r="U293" s="126" t="n">
        <f aca="false">I293/$R$3</f>
        <v>-10.823</v>
      </c>
      <c r="V293" s="126" t="n">
        <f aca="false">M293/$R$3</f>
        <v>-8.508</v>
      </c>
      <c r="W293" s="126" t="n">
        <f aca="false">N293/$R$3</f>
        <v>-222.26205</v>
      </c>
    </row>
    <row r="294" customFormat="false" ht="12.75" hidden="true" customHeight="false" outlineLevel="0" collapsed="false">
      <c r="A294" s="120" t="n">
        <f aca="false">A293+1</f>
        <v>37180</v>
      </c>
      <c r="B294" s="131" t="str">
        <f aca="false">INDEX('Master Data'!$A$2:$B$8,MATCH(WEEKDAY('Modesto Maranzana Power'!A294,3),'Master Data'!$A$2:$A$8,0),2)</f>
        <v>T</v>
      </c>
      <c r="D294" s="124" t="n">
        <v>1872476.07002354</v>
      </c>
      <c r="E294" s="124" t="n">
        <v>0</v>
      </c>
      <c r="F294" s="124" t="n">
        <v>0</v>
      </c>
      <c r="G294" s="124" t="n">
        <v>5798</v>
      </c>
      <c r="I294" s="124" t="n">
        <f aca="false">IF(MONTH($A294)=MONTH($A293),IF(G294=0,I293,G294),G294)</f>
        <v>5798</v>
      </c>
      <c r="J294" s="124" t="n">
        <f aca="false">IF(MONTH($A294)=MONTH($A293),SUM(I294-I293),I294)</f>
        <v>16621</v>
      </c>
      <c r="K294" s="124" t="n">
        <f aca="false">IF(WEEKDAY(A294,3)&gt;4,0,(IF(A294&lt;K$2,0,IF(A294&lt;=K$3,1,0))))</f>
        <v>0</v>
      </c>
      <c r="L294" s="124" t="n">
        <f aca="false">J294*K294</f>
        <v>0</v>
      </c>
      <c r="M294" s="124" t="n">
        <f aca="false">SUM(J$280:J294)</f>
        <v>8113</v>
      </c>
      <c r="N294" s="124" t="n">
        <f aca="false">SUM(J$6:J294)</f>
        <v>-205641.05</v>
      </c>
      <c r="P294" s="124" t="n">
        <f aca="false">D294/P$3</f>
        <v>1.87247607002354</v>
      </c>
      <c r="Q294" s="124" t="n">
        <f aca="false">E294/P$3</f>
        <v>0</v>
      </c>
      <c r="R294" s="124" t="n">
        <f aca="false">F294/R$3</f>
        <v>0</v>
      </c>
      <c r="S294" s="126" t="n">
        <f aca="false">J294/$R$3</f>
        <v>16.621</v>
      </c>
      <c r="T294" s="126" t="n">
        <f aca="false">L294/$R$3</f>
        <v>0</v>
      </c>
      <c r="U294" s="126" t="n">
        <f aca="false">I294/$R$3</f>
        <v>5.798</v>
      </c>
      <c r="V294" s="126" t="n">
        <f aca="false">M294/$R$3</f>
        <v>8.113</v>
      </c>
      <c r="W294" s="126" t="n">
        <f aca="false">N294/$R$3</f>
        <v>-205.64105</v>
      </c>
    </row>
    <row r="295" customFormat="false" ht="12.75" hidden="true" customHeight="false" outlineLevel="0" collapsed="false">
      <c r="A295" s="120" t="n">
        <f aca="false">A294+1</f>
        <v>37181</v>
      </c>
      <c r="B295" s="131" t="str">
        <f aca="false">INDEX('Master Data'!$A$2:$B$8,MATCH(WEEKDAY('Modesto Maranzana Power'!A295,3),'Master Data'!$A$2:$A$8,0),2)</f>
        <v>W</v>
      </c>
      <c r="D295" s="124" t="n">
        <v>1872031.63746766</v>
      </c>
      <c r="E295" s="124" t="n">
        <v>0</v>
      </c>
      <c r="F295" s="124" t="n">
        <v>0</v>
      </c>
      <c r="G295" s="124" t="n">
        <v>-2789</v>
      </c>
      <c r="I295" s="124" t="n">
        <f aca="false">IF(MONTH($A295)=MONTH($A294),IF(G295=0,I294,G295),G295)</f>
        <v>-2789</v>
      </c>
      <c r="J295" s="124" t="n">
        <f aca="false">IF(MONTH($A295)=MONTH($A294),SUM(I295-I294),I295)</f>
        <v>-8587</v>
      </c>
      <c r="K295" s="124" t="n">
        <f aca="false">IF(WEEKDAY(A295,3)&gt;4,0,(IF(A295&lt;K$2,0,IF(A295&lt;=K$3,1,0))))</f>
        <v>0</v>
      </c>
      <c r="L295" s="124" t="n">
        <f aca="false">J295*K295</f>
        <v>-0</v>
      </c>
      <c r="M295" s="124" t="n">
        <f aca="false">SUM(J$280:J295)</f>
        <v>-474</v>
      </c>
      <c r="N295" s="124" t="n">
        <f aca="false">SUM(J$6:J295)</f>
        <v>-214228.05</v>
      </c>
      <c r="P295" s="124" t="n">
        <f aca="false">D295/P$3</f>
        <v>1.87203163746766</v>
      </c>
      <c r="Q295" s="124" t="n">
        <f aca="false">E295/P$3</f>
        <v>0</v>
      </c>
      <c r="R295" s="124" t="n">
        <f aca="false">F295/R$3</f>
        <v>0</v>
      </c>
      <c r="S295" s="126" t="n">
        <f aca="false">J295/$R$3</f>
        <v>-8.587</v>
      </c>
      <c r="T295" s="126" t="n">
        <f aca="false">L295/$R$3</f>
        <v>-0</v>
      </c>
      <c r="U295" s="126" t="n">
        <f aca="false">I295/$R$3</f>
        <v>-2.789</v>
      </c>
      <c r="V295" s="126" t="n">
        <f aca="false">M295/$R$3</f>
        <v>-0.474</v>
      </c>
      <c r="W295" s="126" t="n">
        <f aca="false">N295/$R$3</f>
        <v>-214.22805</v>
      </c>
    </row>
    <row r="296" customFormat="false" ht="12.75" hidden="true" customHeight="false" outlineLevel="0" collapsed="false">
      <c r="A296" s="120" t="n">
        <f aca="false">A295+1</f>
        <v>37182</v>
      </c>
      <c r="B296" s="131" t="str">
        <f aca="false">INDEX('Master Data'!$A$2:$B$8,MATCH(WEEKDAY('Modesto Maranzana Power'!A296,3),'Master Data'!$A$2:$A$8,0),2)</f>
        <v>Th</v>
      </c>
      <c r="D296" s="124" t="n">
        <v>1941771.37896694</v>
      </c>
      <c r="E296" s="124" t="n">
        <v>0</v>
      </c>
      <c r="F296" s="124" t="n">
        <v>0</v>
      </c>
      <c r="G296" s="124" t="n">
        <v>-1537</v>
      </c>
      <c r="I296" s="124" t="n">
        <f aca="false">IF(MONTH($A296)=MONTH($A295),IF(G296=0,I295,G296),G296)</f>
        <v>-1537</v>
      </c>
      <c r="J296" s="124" t="n">
        <f aca="false">IF(MONTH($A296)=MONTH($A295),SUM(I296-I295),I296)</f>
        <v>1252</v>
      </c>
      <c r="K296" s="124" t="n">
        <f aca="false">IF(WEEKDAY(A296,3)&gt;4,0,(IF(A296&lt;K$2,0,IF(A296&lt;=K$3,1,0))))</f>
        <v>0</v>
      </c>
      <c r="L296" s="124" t="n">
        <f aca="false">J296*K296</f>
        <v>0</v>
      </c>
      <c r="M296" s="124" t="n">
        <f aca="false">SUM(J$280:J296)</f>
        <v>778</v>
      </c>
      <c r="N296" s="124" t="n">
        <f aca="false">SUM(J$6:J296)</f>
        <v>-212976.05</v>
      </c>
      <c r="P296" s="124" t="n">
        <f aca="false">D296/P$3</f>
        <v>1.94177137896694</v>
      </c>
      <c r="Q296" s="124" t="n">
        <f aca="false">E296/P$3</f>
        <v>0</v>
      </c>
      <c r="R296" s="124" t="n">
        <f aca="false">F296/R$3</f>
        <v>0</v>
      </c>
      <c r="S296" s="126" t="n">
        <f aca="false">J296/$R$3</f>
        <v>1.252</v>
      </c>
      <c r="T296" s="126" t="n">
        <f aca="false">L296/$R$3</f>
        <v>0</v>
      </c>
      <c r="U296" s="126" t="n">
        <f aca="false">I296/$R$3</f>
        <v>-1.537</v>
      </c>
      <c r="V296" s="126" t="n">
        <f aca="false">M296/$R$3</f>
        <v>0.778</v>
      </c>
      <c r="W296" s="126" t="n">
        <f aca="false">N296/$R$3</f>
        <v>-212.97605</v>
      </c>
    </row>
    <row r="297" customFormat="false" ht="12.75" hidden="true" customHeight="false" outlineLevel="0" collapsed="false">
      <c r="A297" s="120" t="n">
        <f aca="false">A296+1</f>
        <v>37183</v>
      </c>
      <c r="B297" s="131" t="str">
        <f aca="false">INDEX('Master Data'!$A$2:$B$8,MATCH(WEEKDAY('Modesto Maranzana Power'!A297,3),'Master Data'!$A$2:$A$8,0),2)</f>
        <v>F</v>
      </c>
      <c r="D297" s="124" t="n">
        <v>1942814.36001389</v>
      </c>
      <c r="E297" s="124" t="n">
        <v>0</v>
      </c>
      <c r="F297" s="124" t="n">
        <v>0</v>
      </c>
      <c r="G297" s="124" t="n">
        <v>-1825</v>
      </c>
      <c r="I297" s="124" t="n">
        <f aca="false">IF(MONTH($A297)=MONTH($A296),IF(G297=0,I296,G297),G297)</f>
        <v>-1825</v>
      </c>
      <c r="J297" s="124" t="n">
        <f aca="false">IF(MONTH($A297)=MONTH($A296),SUM(I297-I296),I297)</f>
        <v>-288</v>
      </c>
      <c r="K297" s="124" t="n">
        <f aca="false">IF(WEEKDAY(A297,3)&gt;4,0,(IF(A297&lt;K$2,0,IF(A297&lt;=K$3,1,0))))</f>
        <v>0</v>
      </c>
      <c r="L297" s="124" t="n">
        <f aca="false">J297*K297</f>
        <v>-0</v>
      </c>
      <c r="M297" s="124" t="n">
        <f aca="false">SUM(J$280:J297)</f>
        <v>490</v>
      </c>
      <c r="N297" s="124" t="n">
        <f aca="false">SUM(J$6:J297)</f>
        <v>-213264.05</v>
      </c>
      <c r="P297" s="124" t="n">
        <f aca="false">D297/P$3</f>
        <v>1.94281436001389</v>
      </c>
      <c r="Q297" s="124" t="n">
        <f aca="false">E297/P$3</f>
        <v>0</v>
      </c>
      <c r="R297" s="124" t="n">
        <f aca="false">F297/R$3</f>
        <v>0</v>
      </c>
      <c r="S297" s="126" t="n">
        <f aca="false">J297/$R$3</f>
        <v>-0.288</v>
      </c>
      <c r="T297" s="126" t="n">
        <f aca="false">L297/$R$3</f>
        <v>-0</v>
      </c>
      <c r="U297" s="126" t="n">
        <f aca="false">I297/$R$3</f>
        <v>-1.825</v>
      </c>
      <c r="V297" s="126" t="n">
        <f aca="false">M297/$R$3</f>
        <v>0.49</v>
      </c>
      <c r="W297" s="126" t="n">
        <f aca="false">N297/$R$3</f>
        <v>-213.26405</v>
      </c>
    </row>
    <row r="298" customFormat="false" ht="12.75" hidden="true" customHeight="false" outlineLevel="0" collapsed="false">
      <c r="A298" s="120" t="n">
        <f aca="false">A297+1</f>
        <v>37184</v>
      </c>
      <c r="B298" s="131" t="str">
        <f aca="false">INDEX('Master Data'!$A$2:$B$8,MATCH(WEEKDAY('Modesto Maranzana Power'!A298,3),'Master Data'!$A$2:$A$8,0),2)</f>
        <v>Sa</v>
      </c>
      <c r="D298" s="124" t="n">
        <v>0</v>
      </c>
      <c r="E298" s="124" t="n">
        <v>0</v>
      </c>
      <c r="F298" s="124" t="n">
        <v>0</v>
      </c>
      <c r="G298" s="124" t="n">
        <v>0</v>
      </c>
      <c r="I298" s="124" t="n">
        <f aca="false">IF(MONTH($A298)=MONTH($A297),IF(G298=0,I297,G298),G298)</f>
        <v>-1825</v>
      </c>
      <c r="J298" s="124" t="n">
        <f aca="false">IF(MONTH($A298)=MONTH($A297),SUM(I298-I297),I298)</f>
        <v>0</v>
      </c>
      <c r="K298" s="124" t="n">
        <f aca="false">IF(WEEKDAY(A298,3)&gt;4,0,(IF(A298&lt;K$2,0,IF(A298&lt;=K$3,1,0))))</f>
        <v>0</v>
      </c>
      <c r="L298" s="124" t="n">
        <f aca="false">J298*K298</f>
        <v>0</v>
      </c>
      <c r="M298" s="124" t="n">
        <f aca="false">SUM(J$280:J298)</f>
        <v>490</v>
      </c>
      <c r="N298" s="124" t="n">
        <f aca="false">SUM(J$6:J298)</f>
        <v>-213264.05</v>
      </c>
      <c r="P298" s="124" t="n">
        <f aca="false">D298/P$3</f>
        <v>0</v>
      </c>
      <c r="Q298" s="124" t="n">
        <f aca="false">E298/P$3</f>
        <v>0</v>
      </c>
      <c r="R298" s="124" t="n">
        <f aca="false">F298/R$3</f>
        <v>0</v>
      </c>
      <c r="S298" s="126" t="n">
        <f aca="false">J298/$R$3</f>
        <v>0</v>
      </c>
      <c r="T298" s="126" t="n">
        <f aca="false">L298/$R$3</f>
        <v>0</v>
      </c>
      <c r="U298" s="126" t="n">
        <f aca="false">I298/$R$3</f>
        <v>-1.825</v>
      </c>
      <c r="V298" s="126" t="n">
        <f aca="false">M298/$R$3</f>
        <v>0.49</v>
      </c>
      <c r="W298" s="126" t="n">
        <f aca="false">N298/$R$3</f>
        <v>-213.26405</v>
      </c>
    </row>
    <row r="299" customFormat="false" ht="12.75" hidden="true" customHeight="false" outlineLevel="0" collapsed="false">
      <c r="A299" s="120" t="n">
        <f aca="false">A298+1</f>
        <v>37185</v>
      </c>
      <c r="B299" s="131" t="str">
        <f aca="false">INDEX('Master Data'!$A$2:$B$8,MATCH(WEEKDAY('Modesto Maranzana Power'!A299,3),'Master Data'!$A$2:$A$8,0),2)</f>
        <v>Su</v>
      </c>
      <c r="D299" s="124" t="n">
        <v>0</v>
      </c>
      <c r="E299" s="124" t="n">
        <v>0</v>
      </c>
      <c r="F299" s="124" t="n">
        <v>0</v>
      </c>
      <c r="G299" s="124" t="n">
        <v>0</v>
      </c>
      <c r="I299" s="124" t="n">
        <f aca="false">IF(MONTH($A299)=MONTH($A298),IF(G299=0,I298,G299),G299)</f>
        <v>-1825</v>
      </c>
      <c r="J299" s="124" t="n">
        <f aca="false">IF(MONTH($A299)=MONTH($A298),SUM(I299-I298),I299)</f>
        <v>0</v>
      </c>
      <c r="K299" s="124" t="n">
        <f aca="false">IF(WEEKDAY(A299,3)&gt;4,0,(IF(A299&lt;K$2,0,IF(A299&lt;=K$3,1,0))))</f>
        <v>0</v>
      </c>
      <c r="L299" s="124" t="n">
        <f aca="false">J299*K299</f>
        <v>0</v>
      </c>
      <c r="M299" s="124" t="n">
        <f aca="false">SUM(J$280:J299)</f>
        <v>490</v>
      </c>
      <c r="N299" s="124" t="n">
        <f aca="false">SUM(J$6:J299)</f>
        <v>-213264.05</v>
      </c>
      <c r="P299" s="124" t="n">
        <f aca="false">D299/P$3</f>
        <v>0</v>
      </c>
      <c r="Q299" s="124" t="n">
        <f aca="false">E299/P$3</f>
        <v>0</v>
      </c>
      <c r="R299" s="124" t="n">
        <f aca="false">F299/R$3</f>
        <v>0</v>
      </c>
      <c r="S299" s="126" t="n">
        <f aca="false">J299/$R$3</f>
        <v>0</v>
      </c>
      <c r="T299" s="126" t="n">
        <f aca="false">L299/$R$3</f>
        <v>0</v>
      </c>
      <c r="U299" s="126" t="n">
        <f aca="false">I299/$R$3</f>
        <v>-1.825</v>
      </c>
      <c r="V299" s="126" t="n">
        <f aca="false">M299/$R$3</f>
        <v>0.49</v>
      </c>
      <c r="W299" s="126" t="n">
        <f aca="false">N299/$R$3</f>
        <v>-213.26405</v>
      </c>
    </row>
    <row r="300" customFormat="false" ht="12.75" hidden="true" customHeight="false" outlineLevel="0" collapsed="false">
      <c r="A300" s="120" t="n">
        <f aca="false">A299+1</f>
        <v>37186</v>
      </c>
      <c r="B300" s="131" t="str">
        <f aca="false">INDEX('Master Data'!$A$2:$B$8,MATCH(WEEKDAY('Modesto Maranzana Power'!A300,3),'Master Data'!$A$2:$A$8,0),2)</f>
        <v>M</v>
      </c>
      <c r="D300" s="124" t="n">
        <v>1939376.42301791</v>
      </c>
      <c r="E300" s="124" t="n">
        <v>0</v>
      </c>
      <c r="F300" s="124" t="n">
        <v>0</v>
      </c>
      <c r="G300" s="124" t="n">
        <v>1409</v>
      </c>
      <c r="I300" s="124" t="n">
        <f aca="false">IF(MONTH($A300)=MONTH($A299),IF(G300=0,I299,G300),G300)</f>
        <v>1409</v>
      </c>
      <c r="J300" s="124" t="n">
        <f aca="false">IF(MONTH($A300)=MONTH($A299),SUM(I300-I299),I300)</f>
        <v>3234</v>
      </c>
      <c r="K300" s="124" t="n">
        <f aca="false">IF(WEEKDAY(A300,3)&gt;4,0,(IF(A300&lt;K$2,0,IF(A300&lt;=K$3,1,0))))</f>
        <v>0</v>
      </c>
      <c r="L300" s="124" t="n">
        <f aca="false">J300*K300</f>
        <v>0</v>
      </c>
      <c r="M300" s="124" t="n">
        <f aca="false">SUM(J$280:J300)</f>
        <v>3724</v>
      </c>
      <c r="N300" s="124" t="n">
        <f aca="false">SUM(J$6:J300)</f>
        <v>-210030.05</v>
      </c>
      <c r="P300" s="124" t="n">
        <f aca="false">D300/P$3</f>
        <v>1.93937642301791</v>
      </c>
      <c r="Q300" s="124" t="n">
        <f aca="false">E300/P$3</f>
        <v>0</v>
      </c>
      <c r="R300" s="124" t="n">
        <f aca="false">F300/R$3</f>
        <v>0</v>
      </c>
      <c r="S300" s="126" t="n">
        <f aca="false">J300/$R$3</f>
        <v>3.234</v>
      </c>
      <c r="T300" s="126" t="n">
        <f aca="false">L300/$R$3</f>
        <v>0</v>
      </c>
      <c r="U300" s="126" t="n">
        <f aca="false">I300/$R$3</f>
        <v>1.409</v>
      </c>
      <c r="V300" s="126" t="n">
        <f aca="false">M300/$R$3</f>
        <v>3.724</v>
      </c>
      <c r="W300" s="126" t="n">
        <f aca="false">N300/$R$3</f>
        <v>-210.03005</v>
      </c>
    </row>
    <row r="301" customFormat="false" ht="12.75" hidden="true" customHeight="false" outlineLevel="0" collapsed="false">
      <c r="A301" s="120" t="n">
        <f aca="false">A300+1</f>
        <v>37187</v>
      </c>
      <c r="B301" s="131" t="str">
        <f aca="false">INDEX('Master Data'!$A$2:$B$8,MATCH(WEEKDAY('Modesto Maranzana Power'!A301,3),'Master Data'!$A$2:$A$8,0),2)</f>
        <v>T</v>
      </c>
      <c r="D301" s="124" t="n">
        <v>1937583.35524688</v>
      </c>
      <c r="E301" s="124" t="n">
        <v>0</v>
      </c>
      <c r="F301" s="124" t="n">
        <v>0</v>
      </c>
      <c r="G301" s="124" t="n">
        <v>4476</v>
      </c>
      <c r="I301" s="124" t="n">
        <f aca="false">IF(MONTH($A301)=MONTH($A300),IF(G301=0,I300,G301),G301)</f>
        <v>4476</v>
      </c>
      <c r="J301" s="124" t="n">
        <f aca="false">IF(MONTH($A301)=MONTH($A300),SUM(I301-I300),I301)</f>
        <v>3067</v>
      </c>
      <c r="K301" s="124" t="n">
        <f aca="false">IF(WEEKDAY(A301,3)&gt;4,0,(IF(A301&lt;K$2,0,IF(A301&lt;=K$3,1,0))))</f>
        <v>0</v>
      </c>
      <c r="L301" s="124" t="n">
        <f aca="false">J301*K301</f>
        <v>0</v>
      </c>
      <c r="M301" s="124" t="n">
        <f aca="false">SUM(J$280:J301)</f>
        <v>6791</v>
      </c>
      <c r="N301" s="124" t="n">
        <f aca="false">SUM(J$6:J301)</f>
        <v>-206963.05</v>
      </c>
      <c r="P301" s="124" t="n">
        <f aca="false">D301/P$3</f>
        <v>1.93758335524688</v>
      </c>
      <c r="Q301" s="124" t="n">
        <f aca="false">E301/P$3</f>
        <v>0</v>
      </c>
      <c r="R301" s="124" t="n">
        <f aca="false">F301/R$3</f>
        <v>0</v>
      </c>
      <c r="S301" s="126" t="n">
        <f aca="false">J301/$R$3</f>
        <v>3.067</v>
      </c>
      <c r="T301" s="126" t="n">
        <f aca="false">L301/$R$3</f>
        <v>0</v>
      </c>
      <c r="U301" s="126" t="n">
        <f aca="false">I301/$R$3</f>
        <v>4.476</v>
      </c>
      <c r="V301" s="126" t="n">
        <f aca="false">M301/$R$3</f>
        <v>6.791</v>
      </c>
      <c r="W301" s="126" t="n">
        <f aca="false">N301/$R$3</f>
        <v>-206.96305</v>
      </c>
    </row>
    <row r="302" customFormat="false" ht="12.75" hidden="true" customHeight="false" outlineLevel="0" collapsed="false">
      <c r="A302" s="120" t="n">
        <f aca="false">A301+1</f>
        <v>37188</v>
      </c>
      <c r="B302" s="131" t="str">
        <f aca="false">INDEX('Master Data'!$A$2:$B$8,MATCH(WEEKDAY('Modesto Maranzana Power'!A302,3),'Master Data'!$A$2:$A$8,0),2)</f>
        <v>W</v>
      </c>
      <c r="D302" s="124" t="n">
        <v>1936348.64897216</v>
      </c>
      <c r="E302" s="124" t="n">
        <v>0</v>
      </c>
      <c r="F302" s="124" t="n">
        <v>0</v>
      </c>
      <c r="G302" s="124" t="n">
        <v>5441</v>
      </c>
      <c r="I302" s="124" t="n">
        <f aca="false">IF(MONTH($A302)=MONTH($A301),IF(G302=0,I301,G302),G302)</f>
        <v>5441</v>
      </c>
      <c r="J302" s="124" t="n">
        <f aca="false">IF(MONTH($A302)=MONTH($A301),SUM(I302-I301),I302)</f>
        <v>965</v>
      </c>
      <c r="K302" s="124" t="n">
        <f aca="false">IF(WEEKDAY(A302,3)&gt;4,0,(IF(A302&lt;K$2,0,IF(A302&lt;=K$3,1,0))))</f>
        <v>0</v>
      </c>
      <c r="L302" s="124" t="n">
        <f aca="false">J302*K302</f>
        <v>0</v>
      </c>
      <c r="M302" s="124" t="n">
        <f aca="false">SUM(J$280:J302)</f>
        <v>7756</v>
      </c>
      <c r="N302" s="124" t="n">
        <f aca="false">SUM(J$6:J302)</f>
        <v>-205998.05</v>
      </c>
      <c r="P302" s="124" t="n">
        <f aca="false">D302/P$3</f>
        <v>1.93634864897216</v>
      </c>
      <c r="Q302" s="124" t="n">
        <f aca="false">E302/P$3</f>
        <v>0</v>
      </c>
      <c r="R302" s="124" t="n">
        <f aca="false">F302/R$3</f>
        <v>0</v>
      </c>
      <c r="S302" s="126" t="n">
        <f aca="false">J302/$R$3</f>
        <v>0.965</v>
      </c>
      <c r="T302" s="126" t="n">
        <f aca="false">L302/$R$3</f>
        <v>0</v>
      </c>
      <c r="U302" s="126" t="n">
        <f aca="false">I302/$R$3</f>
        <v>5.441</v>
      </c>
      <c r="V302" s="126" t="n">
        <f aca="false">M302/$R$3</f>
        <v>7.756</v>
      </c>
      <c r="W302" s="126" t="n">
        <f aca="false">N302/$R$3</f>
        <v>-205.99805</v>
      </c>
    </row>
    <row r="303" customFormat="false" ht="12.75" hidden="true" customHeight="false" outlineLevel="0" collapsed="false">
      <c r="A303" s="120" t="n">
        <f aca="false">A302+1</f>
        <v>37189</v>
      </c>
      <c r="B303" s="131" t="str">
        <f aca="false">INDEX('Master Data'!$A$2:$B$8,MATCH(WEEKDAY('Modesto Maranzana Power'!A303,3),'Master Data'!$A$2:$A$8,0),2)</f>
        <v>Th</v>
      </c>
      <c r="D303" s="124" t="n">
        <v>1937879.67661099</v>
      </c>
      <c r="E303" s="124" t="n">
        <v>0</v>
      </c>
      <c r="F303" s="124" t="n">
        <v>0</v>
      </c>
      <c r="G303" s="124" t="n">
        <v>119215</v>
      </c>
      <c r="I303" s="124" t="n">
        <f aca="false">IF(MONTH($A303)=MONTH($A302),IF(G303=0,I302,G303),G303)</f>
        <v>119215</v>
      </c>
      <c r="J303" s="124" t="n">
        <f aca="false">IF(MONTH($A303)=MONTH($A302),SUM(I303-I302),I303)</f>
        <v>113774</v>
      </c>
      <c r="K303" s="124" t="n">
        <f aca="false">IF(WEEKDAY(A303,3)&gt;4,0,(IF(A303&lt;K$2,0,IF(A303&lt;=K$3,1,0))))</f>
        <v>0</v>
      </c>
      <c r="L303" s="124" t="n">
        <f aca="false">J303*K303</f>
        <v>0</v>
      </c>
      <c r="M303" s="124" t="n">
        <f aca="false">SUM(J$280:J303)</f>
        <v>121530</v>
      </c>
      <c r="N303" s="124" t="n">
        <f aca="false">SUM(J$6:J303)</f>
        <v>-92224.0500000001</v>
      </c>
      <c r="P303" s="124" t="n">
        <f aca="false">D303/P$3</f>
        <v>1.93787967661099</v>
      </c>
      <c r="Q303" s="124" t="n">
        <f aca="false">E303/P$3</f>
        <v>0</v>
      </c>
      <c r="R303" s="124" t="n">
        <f aca="false">F303/R$3</f>
        <v>0</v>
      </c>
      <c r="S303" s="126" t="n">
        <f aca="false">J303/$R$3</f>
        <v>113.774</v>
      </c>
      <c r="T303" s="126" t="n">
        <f aca="false">L303/$R$3</f>
        <v>0</v>
      </c>
      <c r="U303" s="126" t="n">
        <f aca="false">I303/$R$3</f>
        <v>119.215</v>
      </c>
      <c r="V303" s="126" t="n">
        <f aca="false">M303/$R$3</f>
        <v>121.53</v>
      </c>
      <c r="W303" s="126" t="n">
        <f aca="false">N303/$R$3</f>
        <v>-92.2240500000001</v>
      </c>
    </row>
    <row r="304" customFormat="false" ht="12.75" hidden="false" customHeight="false" outlineLevel="0" collapsed="false">
      <c r="A304" s="120" t="n">
        <f aca="false">A303+1</f>
        <v>37190</v>
      </c>
      <c r="B304" s="131" t="str">
        <f aca="false">INDEX('Master Data'!$A$2:$B$8,MATCH(WEEKDAY('Modesto Maranzana Power'!A304,3),'Master Data'!$A$2:$A$8,0),2)</f>
        <v>F</v>
      </c>
      <c r="D304" s="124" t="n">
        <v>1940306.19955519</v>
      </c>
      <c r="E304" s="124" t="n">
        <v>0</v>
      </c>
      <c r="F304" s="124" t="n">
        <v>0</v>
      </c>
      <c r="G304" s="124" t="n">
        <v>111046</v>
      </c>
      <c r="I304" s="124" t="n">
        <f aca="false">IF(MONTH($A304)=MONTH($A303),IF(G304=0,I303,G304),G304)</f>
        <v>111046</v>
      </c>
      <c r="J304" s="124" t="n">
        <f aca="false">IF(MONTH($A304)=MONTH($A303),SUM(I304-I303),I304)</f>
        <v>-8169</v>
      </c>
      <c r="K304" s="124" t="n">
        <f aca="false">IF(WEEKDAY(A304,3)&gt;4,0,(IF(A304&lt;K$2,0,IF(A304&lt;=K$3,1,0))))</f>
        <v>1</v>
      </c>
      <c r="L304" s="124" t="n">
        <f aca="false">J304*K304</f>
        <v>-8169</v>
      </c>
      <c r="M304" s="124" t="n">
        <f aca="false">SUM(J$280:J304)</f>
        <v>113361</v>
      </c>
      <c r="N304" s="124" t="n">
        <f aca="false">SUM(J$6:J304)</f>
        <v>-100393.05</v>
      </c>
      <c r="P304" s="124" t="n">
        <f aca="false">D304/P$3</f>
        <v>1.94030619955519</v>
      </c>
      <c r="Q304" s="124" t="n">
        <f aca="false">E304/P$3</f>
        <v>0</v>
      </c>
      <c r="R304" s="124" t="n">
        <f aca="false">F304/R$3</f>
        <v>0</v>
      </c>
      <c r="S304" s="126" t="n">
        <f aca="false">J304/$R$3</f>
        <v>-8.169</v>
      </c>
      <c r="T304" s="126" t="n">
        <f aca="false">L304/$R$3</f>
        <v>-8.169</v>
      </c>
      <c r="U304" s="126" t="n">
        <f aca="false">I304/$R$3</f>
        <v>111.046</v>
      </c>
      <c r="V304" s="126" t="n">
        <f aca="false">M304/$R$3</f>
        <v>113.361</v>
      </c>
      <c r="W304" s="126" t="n">
        <f aca="false">N304/$R$3</f>
        <v>-100.39305</v>
      </c>
    </row>
    <row r="305" customFormat="false" ht="12.75" hidden="false" customHeight="false" outlineLevel="0" collapsed="false">
      <c r="A305" s="120" t="n">
        <f aca="false">A304+1</f>
        <v>37191</v>
      </c>
      <c r="B305" s="131" t="str">
        <f aca="false">INDEX('Master Data'!$A$2:$B$8,MATCH(WEEKDAY('Modesto Maranzana Power'!A305,3),'Master Data'!$A$2:$A$8,0),2)</f>
        <v>Sa</v>
      </c>
      <c r="D305" s="124" t="n">
        <v>0</v>
      </c>
      <c r="E305" s="124" t="n">
        <v>0</v>
      </c>
      <c r="F305" s="124" t="n">
        <v>0</v>
      </c>
      <c r="G305" s="124" t="n">
        <v>0</v>
      </c>
      <c r="I305" s="124" t="n">
        <f aca="false">IF(MONTH($A305)=MONTH($A304),IF(G305=0,I304,G305),G305)</f>
        <v>111046</v>
      </c>
      <c r="J305" s="124" t="n">
        <f aca="false">IF(MONTH($A305)=MONTH($A304),SUM(I305-I304),I305)</f>
        <v>0</v>
      </c>
      <c r="K305" s="124" t="n">
        <f aca="false">IF(WEEKDAY(A305,3)&gt;4,0,(IF(A305&lt;K$2,0,IF(A305&lt;=K$3,1,0))))</f>
        <v>0</v>
      </c>
      <c r="L305" s="124" t="n">
        <f aca="false">J305*K305</f>
        <v>0</v>
      </c>
      <c r="M305" s="124" t="n">
        <f aca="false">SUM(J$280:J305)</f>
        <v>113361</v>
      </c>
      <c r="N305" s="124" t="n">
        <f aca="false">SUM(J$6:J305)</f>
        <v>-100393.05</v>
      </c>
      <c r="P305" s="124" t="n">
        <f aca="false">D305/P$3</f>
        <v>0</v>
      </c>
      <c r="Q305" s="124" t="n">
        <f aca="false">E305/P$3</f>
        <v>0</v>
      </c>
      <c r="R305" s="124" t="n">
        <f aca="false">F305/R$3</f>
        <v>0</v>
      </c>
      <c r="S305" s="126" t="n">
        <f aca="false">J305/$R$3</f>
        <v>0</v>
      </c>
      <c r="T305" s="126" t="n">
        <f aca="false">L305/$R$3</f>
        <v>0</v>
      </c>
      <c r="U305" s="126" t="n">
        <f aca="false">I305/$R$3</f>
        <v>111.046</v>
      </c>
      <c r="V305" s="126" t="n">
        <f aca="false">M305/$R$3</f>
        <v>113.361</v>
      </c>
      <c r="W305" s="126" t="n">
        <f aca="false">N305/$R$3</f>
        <v>-100.39305</v>
      </c>
    </row>
    <row r="306" customFormat="false" ht="12.75" hidden="false" customHeight="false" outlineLevel="0" collapsed="false">
      <c r="A306" s="120" t="n">
        <f aca="false">A305+1</f>
        <v>37192</v>
      </c>
      <c r="B306" s="131" t="str">
        <f aca="false">INDEX('Master Data'!$A$2:$B$8,MATCH(WEEKDAY('Modesto Maranzana Power'!A306,3),'Master Data'!$A$2:$A$8,0),2)</f>
        <v>Su</v>
      </c>
      <c r="D306" s="124" t="n">
        <v>0</v>
      </c>
      <c r="E306" s="124" t="n">
        <v>0</v>
      </c>
      <c r="F306" s="124" t="n">
        <v>0</v>
      </c>
      <c r="G306" s="124" t="n">
        <v>0</v>
      </c>
      <c r="I306" s="124" t="n">
        <f aca="false">IF(MONTH($A306)=MONTH($A305),IF(G306=0,I305,G306),G306)</f>
        <v>111046</v>
      </c>
      <c r="J306" s="124" t="n">
        <f aca="false">IF(MONTH($A306)=MONTH($A305),SUM(I306-I305),I306)</f>
        <v>0</v>
      </c>
      <c r="K306" s="124" t="n">
        <f aca="false">IF(WEEKDAY(A306,3)&gt;4,0,(IF(A306&lt;K$2,0,IF(A306&lt;=K$3,1,0))))</f>
        <v>0</v>
      </c>
      <c r="L306" s="124" t="n">
        <f aca="false">J306*K306</f>
        <v>0</v>
      </c>
      <c r="M306" s="124" t="n">
        <f aca="false">SUM(J$280:J306)</f>
        <v>113361</v>
      </c>
      <c r="N306" s="124" t="n">
        <f aca="false">SUM(J$6:J306)</f>
        <v>-100393.05</v>
      </c>
      <c r="P306" s="124" t="n">
        <f aca="false">D306/P$3</f>
        <v>0</v>
      </c>
      <c r="Q306" s="124" t="n">
        <f aca="false">E306/P$3</f>
        <v>0</v>
      </c>
      <c r="R306" s="124" t="n">
        <f aca="false">F306/R$3</f>
        <v>0</v>
      </c>
      <c r="S306" s="126" t="n">
        <f aca="false">J306/$R$3</f>
        <v>0</v>
      </c>
      <c r="T306" s="126" t="n">
        <f aca="false">L306/$R$3</f>
        <v>0</v>
      </c>
      <c r="U306" s="126" t="n">
        <f aca="false">I306/$R$3</f>
        <v>111.046</v>
      </c>
      <c r="V306" s="126" t="n">
        <f aca="false">M306/$R$3</f>
        <v>113.361</v>
      </c>
      <c r="W306" s="126" t="n">
        <f aca="false">N306/$R$3</f>
        <v>-100.39305</v>
      </c>
    </row>
    <row r="307" customFormat="false" ht="12.75" hidden="false" customHeight="false" outlineLevel="0" collapsed="false">
      <c r="A307" s="120" t="n">
        <f aca="false">A306+1</f>
        <v>37193</v>
      </c>
      <c r="B307" s="131" t="str">
        <f aca="false">INDEX('Master Data'!$A$2:$B$8,MATCH(WEEKDAY('Modesto Maranzana Power'!A307,3),'Master Data'!$A$2:$A$8,0),2)</f>
        <v>M</v>
      </c>
      <c r="D307" s="124" t="n">
        <v>1937116.06520638</v>
      </c>
      <c r="E307" s="124" t="n">
        <v>0</v>
      </c>
      <c r="F307" s="124" t="n">
        <v>0</v>
      </c>
      <c r="G307" s="124" t="n">
        <v>184390</v>
      </c>
      <c r="I307" s="124" t="n">
        <f aca="false">IF(MONTH($A307)=MONTH($A306),IF(G307=0,I306,G307),G307)</f>
        <v>184390</v>
      </c>
      <c r="J307" s="124" t="n">
        <f aca="false">IF(MONTH($A307)=MONTH($A306),SUM(I307-I306),I307)</f>
        <v>73344</v>
      </c>
      <c r="K307" s="124" t="n">
        <f aca="false">IF(WEEKDAY(A307,3)&gt;4,0,(IF(A307&lt;K$2,0,IF(A307&lt;=K$3,1,0))))</f>
        <v>1</v>
      </c>
      <c r="L307" s="124" t="n">
        <f aca="false">J307*K307</f>
        <v>73344</v>
      </c>
      <c r="M307" s="124" t="n">
        <f aca="false">SUM(J$280:J307)</f>
        <v>186705</v>
      </c>
      <c r="N307" s="124" t="n">
        <f aca="false">SUM(J$6:J307)</f>
        <v>-27049.05</v>
      </c>
      <c r="P307" s="124" t="n">
        <f aca="false">D307/P$3</f>
        <v>1.93711606520638</v>
      </c>
      <c r="Q307" s="124" t="n">
        <f aca="false">E307/P$3</f>
        <v>0</v>
      </c>
      <c r="R307" s="124" t="n">
        <f aca="false">F307/R$3</f>
        <v>0</v>
      </c>
      <c r="S307" s="126" t="n">
        <f aca="false">J307/$R$3</f>
        <v>73.344</v>
      </c>
      <c r="T307" s="126" t="n">
        <f aca="false">L307/$R$3</f>
        <v>73.344</v>
      </c>
      <c r="U307" s="126" t="n">
        <f aca="false">I307/$R$3</f>
        <v>184.39</v>
      </c>
      <c r="V307" s="126" t="n">
        <f aca="false">M307/$R$3</f>
        <v>186.705</v>
      </c>
      <c r="W307" s="126" t="n">
        <f aca="false">N307/$R$3</f>
        <v>-27.04905</v>
      </c>
    </row>
    <row r="308" customFormat="false" ht="12.75" hidden="false" customHeight="false" outlineLevel="0" collapsed="false">
      <c r="A308" s="120" t="n">
        <f aca="false">A307+1</f>
        <v>37194</v>
      </c>
      <c r="B308" s="131" t="str">
        <f aca="false">INDEX('Master Data'!$A$2:$B$8,MATCH(WEEKDAY('Modesto Maranzana Power'!A308,3),'Master Data'!$A$2:$A$8,0),2)</f>
        <v>T</v>
      </c>
      <c r="D308" s="124" t="n">
        <v>1938789.19239289</v>
      </c>
      <c r="E308" s="124" t="n">
        <v>0</v>
      </c>
      <c r="F308" s="124" t="n">
        <v>0</v>
      </c>
      <c r="G308" s="124" t="n">
        <v>272137</v>
      </c>
      <c r="I308" s="124" t="n">
        <f aca="false">IF(MONTH($A308)=MONTH($A307),IF(G308=0,I307,G308),G308)</f>
        <v>272137</v>
      </c>
      <c r="J308" s="124" t="n">
        <f aca="false">IF(MONTH($A308)=MONTH($A307),SUM(I308-I307),I308)</f>
        <v>87747</v>
      </c>
      <c r="K308" s="124" t="n">
        <f aca="false">IF(WEEKDAY(A308,3)&gt;4,0,(IF(A308&lt;K$2,0,IF(A308&lt;=K$3,1,0))))</f>
        <v>1</v>
      </c>
      <c r="L308" s="124" t="n">
        <f aca="false">J308*K308</f>
        <v>87747</v>
      </c>
      <c r="M308" s="124" t="n">
        <f aca="false">SUM(J$280:J308)</f>
        <v>274452</v>
      </c>
      <c r="N308" s="124" t="n">
        <f aca="false">SUM(J$6:J308)</f>
        <v>60697.95</v>
      </c>
      <c r="P308" s="124" t="n">
        <f aca="false">D308/P$3</f>
        <v>1.93878919239289</v>
      </c>
      <c r="Q308" s="124" t="n">
        <f aca="false">E308/P$3</f>
        <v>0</v>
      </c>
      <c r="R308" s="124" t="n">
        <f aca="false">F308/R$3</f>
        <v>0</v>
      </c>
      <c r="S308" s="126" t="n">
        <f aca="false">J308/$R$3</f>
        <v>87.747</v>
      </c>
      <c r="T308" s="126" t="n">
        <f aca="false">L308/$R$3</f>
        <v>87.747</v>
      </c>
      <c r="U308" s="126" t="n">
        <f aca="false">I308/$R$3</f>
        <v>272.137</v>
      </c>
      <c r="V308" s="126" t="n">
        <f aca="false">M308/$R$3</f>
        <v>274.452</v>
      </c>
      <c r="W308" s="126" t="n">
        <f aca="false">N308/$R$3</f>
        <v>60.69795</v>
      </c>
    </row>
    <row r="309" customFormat="false" ht="12.75" hidden="false" customHeight="false" outlineLevel="0" collapsed="false">
      <c r="A309" s="120" t="n">
        <f aca="false">A308+1</f>
        <v>37195</v>
      </c>
      <c r="B309" s="131" t="str">
        <f aca="false">INDEX('Master Data'!$A$2:$B$8,MATCH(WEEKDAY('Modesto Maranzana Power'!A309,3),'Master Data'!$A$2:$A$8,0),2)</f>
        <v>W</v>
      </c>
      <c r="D309" s="124" t="n">
        <v>1941345.38334441</v>
      </c>
      <c r="E309" s="124" t="n">
        <v>0</v>
      </c>
      <c r="F309" s="124" t="n">
        <v>0</v>
      </c>
      <c r="G309" s="124" t="n">
        <v>231713</v>
      </c>
      <c r="I309" s="124" t="n">
        <f aca="false">IF(MONTH($A309)=MONTH($A308),IF(G309=0,I308,G309),G309)</f>
        <v>231713</v>
      </c>
      <c r="J309" s="124" t="n">
        <f aca="false">IF(MONTH($A309)=MONTH($A308),SUM(I309-I308),I309)</f>
        <v>-40424</v>
      </c>
      <c r="K309" s="124" t="n">
        <f aca="false">IF(WEEKDAY(A309,3)&gt;4,0,(IF(A309&lt;K$2,0,IF(A309&lt;=K$3,1,0))))</f>
        <v>1</v>
      </c>
      <c r="L309" s="124" t="n">
        <f aca="false">J309*K309</f>
        <v>-40424</v>
      </c>
      <c r="M309" s="124" t="n">
        <f aca="false">SUM(J$280:J309)</f>
        <v>234028</v>
      </c>
      <c r="N309" s="124" t="n">
        <f aca="false">SUM(J$6:J309)</f>
        <v>20273.95</v>
      </c>
      <c r="P309" s="124" t="n">
        <f aca="false">D309/P$3</f>
        <v>1.94134538334441</v>
      </c>
      <c r="Q309" s="124" t="n">
        <f aca="false">E309/P$3</f>
        <v>0</v>
      </c>
      <c r="R309" s="124" t="n">
        <f aca="false">F309/R$3</f>
        <v>0</v>
      </c>
      <c r="S309" s="126" t="n">
        <f aca="false">J309/$R$3</f>
        <v>-40.424</v>
      </c>
      <c r="T309" s="126" t="n">
        <f aca="false">L309/$R$3</f>
        <v>-40.424</v>
      </c>
      <c r="U309" s="126" t="n">
        <f aca="false">I309/$R$3</f>
        <v>231.713</v>
      </c>
      <c r="V309" s="126" t="n">
        <f aca="false">M309/$R$3</f>
        <v>234.028</v>
      </c>
      <c r="W309" s="126" t="n">
        <f aca="false">N309/$R$3</f>
        <v>20.27395</v>
      </c>
    </row>
    <row r="310" customFormat="false" ht="12.75" hidden="false" customHeight="false" outlineLevel="0" collapsed="false">
      <c r="A310" s="120" t="n">
        <f aca="false">A309+1</f>
        <v>37196</v>
      </c>
      <c r="B310" s="131" t="str">
        <f aca="false">INDEX('Master Data'!$A$2:$B$8,MATCH(WEEKDAY('Modesto Maranzana Power'!A310,3),'Master Data'!$A$2:$A$8,0),2)</f>
        <v>Th</v>
      </c>
      <c r="D310" s="124" t="n">
        <v>1942754.53472369</v>
      </c>
      <c r="E310" s="124" t="n">
        <v>0</v>
      </c>
      <c r="F310" s="124" t="n">
        <v>0</v>
      </c>
      <c r="G310" s="124" t="n">
        <v>-4499</v>
      </c>
      <c r="I310" s="124" t="n">
        <f aca="false">IF(MONTH($A310)=MONTH($A309),IF(G310=0,I309,G310),G310)</f>
        <v>-4499</v>
      </c>
      <c r="J310" s="124" t="n">
        <f aca="false">IF(MONTH($A310)=MONTH($A309),SUM(I310-I309),I310)</f>
        <v>-4499</v>
      </c>
      <c r="K310" s="124" t="n">
        <f aca="false">IF(WEEKDAY(A310,3)&gt;4,0,(IF(A310&lt;K$2,0,IF(A310&lt;=K$3,1,0))))</f>
        <v>1</v>
      </c>
      <c r="L310" s="124" t="n">
        <f aca="false">J310*K310</f>
        <v>-4499</v>
      </c>
      <c r="M310" s="124" t="n">
        <f aca="false">SUM(J$280:J310)</f>
        <v>229529</v>
      </c>
      <c r="N310" s="124" t="n">
        <f aca="false">SUM(J$6:J310)</f>
        <v>15774.95</v>
      </c>
      <c r="P310" s="124" t="n">
        <f aca="false">D310/P$3</f>
        <v>1.94275453472369</v>
      </c>
      <c r="Q310" s="124" t="n">
        <f aca="false">E310/P$3</f>
        <v>0</v>
      </c>
      <c r="R310" s="124" t="n">
        <f aca="false">F310/R$3</f>
        <v>0</v>
      </c>
      <c r="S310" s="126" t="n">
        <f aca="false">J310/$R$3</f>
        <v>-4.499</v>
      </c>
      <c r="T310" s="126" t="n">
        <f aca="false">L310/$R$3</f>
        <v>-4.499</v>
      </c>
      <c r="U310" s="126" t="n">
        <f aca="false">I310/$R$3</f>
        <v>-4.499</v>
      </c>
      <c r="V310" s="126" t="n">
        <f aca="false">M310/$R$3</f>
        <v>229.529</v>
      </c>
      <c r="W310" s="126" t="n">
        <f aca="false">N310/$R$3</f>
        <v>15.77495</v>
      </c>
    </row>
    <row r="311" customFormat="false" ht="12.75" hidden="false" customHeight="false" outlineLevel="0" collapsed="false">
      <c r="A311" s="120" t="n">
        <f aca="false">A310+1</f>
        <v>37197</v>
      </c>
      <c r="B311" s="131" t="str">
        <f aca="false">INDEX('Master Data'!$A$2:$B$8,MATCH(WEEKDAY('Modesto Maranzana Power'!A311,3),'Master Data'!$A$2:$A$8,0),2)</f>
        <v>F</v>
      </c>
      <c r="D311" s="124" t="n">
        <v>0</v>
      </c>
      <c r="E311" s="124" t="n">
        <v>0</v>
      </c>
      <c r="F311" s="124" t="n">
        <v>0</v>
      </c>
      <c r="G311" s="124" t="n">
        <v>0</v>
      </c>
      <c r="I311" s="124" t="n">
        <f aca="false">IF(MONTH($A311)=MONTH($A310),IF(G311=0,I310,G311),G311)</f>
        <v>-4499</v>
      </c>
      <c r="J311" s="124" t="n">
        <f aca="false">IF(MONTH($A311)=MONTH($A310),SUM(I311-I310),I311)</f>
        <v>0</v>
      </c>
      <c r="K311" s="124" t="n">
        <f aca="false">IF(WEEKDAY(A311,3)&gt;4,0,(IF(A311&lt;K$2,0,IF(A311&lt;=K$3,1,0))))</f>
        <v>0</v>
      </c>
      <c r="L311" s="124" t="n">
        <f aca="false">J311*K311</f>
        <v>0</v>
      </c>
      <c r="M311" s="124" t="n">
        <f aca="false">SUM(J$280:J311)</f>
        <v>229529</v>
      </c>
      <c r="N311" s="124" t="n">
        <f aca="false">SUM(J$6:J311)</f>
        <v>15774.95</v>
      </c>
      <c r="P311" s="124" t="n">
        <f aca="false">D311/P$3</f>
        <v>0</v>
      </c>
      <c r="Q311" s="124" t="n">
        <f aca="false">E311/P$3</f>
        <v>0</v>
      </c>
      <c r="R311" s="124" t="n">
        <f aca="false">F311/R$3</f>
        <v>0</v>
      </c>
      <c r="S311" s="126" t="n">
        <f aca="false">J311/$R$3</f>
        <v>0</v>
      </c>
      <c r="T311" s="126" t="n">
        <f aca="false">L311/$R$3</f>
        <v>0</v>
      </c>
      <c r="U311" s="126" t="n">
        <f aca="false">I311/$R$3</f>
        <v>-4.499</v>
      </c>
      <c r="V311" s="126" t="n">
        <f aca="false">M311/$R$3</f>
        <v>229.529</v>
      </c>
      <c r="W311" s="126" t="n">
        <f aca="false">N311/$R$3</f>
        <v>15.77495</v>
      </c>
    </row>
    <row r="312" customFormat="false" ht="12.75" hidden="false" customHeight="false" outlineLevel="0" collapsed="false">
      <c r="A312" s="120" t="n">
        <f aca="false">A311+1</f>
        <v>37198</v>
      </c>
      <c r="B312" s="131" t="str">
        <f aca="false">INDEX('Master Data'!$A$2:$B$8,MATCH(WEEKDAY('Modesto Maranzana Power'!A312,3),'Master Data'!$A$2:$A$8,0),2)</f>
        <v>Sa</v>
      </c>
      <c r="D312" s="124" t="n">
        <v>0</v>
      </c>
      <c r="E312" s="124" t="n">
        <v>0</v>
      </c>
      <c r="F312" s="124" t="n">
        <v>0</v>
      </c>
      <c r="G312" s="124" t="n">
        <v>0</v>
      </c>
      <c r="I312" s="124" t="n">
        <f aca="false">IF(MONTH($A312)=MONTH($A311),IF(G312=0,I311,G312),G312)</f>
        <v>-4499</v>
      </c>
      <c r="J312" s="124" t="n">
        <f aca="false">IF(MONTH($A312)=MONTH($A311),SUM(I312-I311),I312)</f>
        <v>0</v>
      </c>
      <c r="K312" s="124" t="n">
        <f aca="false">IF(WEEKDAY(A312,3)&gt;4,0,(IF(A312&lt;K$2,0,IF(A312&lt;=K$3,1,0))))</f>
        <v>0</v>
      </c>
      <c r="L312" s="124" t="n">
        <f aca="false">J312*K312</f>
        <v>0</v>
      </c>
      <c r="M312" s="124" t="n">
        <f aca="false">SUM(J$280:J312)</f>
        <v>229529</v>
      </c>
      <c r="N312" s="124" t="n">
        <f aca="false">SUM(J$6:J312)</f>
        <v>15774.95</v>
      </c>
      <c r="P312" s="124" t="n">
        <f aca="false">D312/P$3</f>
        <v>0</v>
      </c>
      <c r="Q312" s="124" t="n">
        <f aca="false">E312/P$3</f>
        <v>0</v>
      </c>
      <c r="R312" s="124" t="n">
        <f aca="false">F312/R$3</f>
        <v>0</v>
      </c>
      <c r="S312" s="126" t="n">
        <f aca="false">J312/$R$3</f>
        <v>0</v>
      </c>
      <c r="T312" s="126" t="n">
        <f aca="false">L312/$R$3</f>
        <v>0</v>
      </c>
      <c r="U312" s="126" t="n">
        <f aca="false">I312/$R$3</f>
        <v>-4.499</v>
      </c>
      <c r="V312" s="126" t="n">
        <f aca="false">M312/$R$3</f>
        <v>229.529</v>
      </c>
      <c r="W312" s="126" t="n">
        <f aca="false">N312/$R$3</f>
        <v>15.77495</v>
      </c>
    </row>
    <row r="313" customFormat="false" ht="12.75" hidden="false" customHeight="false" outlineLevel="0" collapsed="false">
      <c r="A313" s="120" t="n">
        <f aca="false">A312+1</f>
        <v>37199</v>
      </c>
      <c r="B313" s="131" t="str">
        <f aca="false">INDEX('Master Data'!$A$2:$B$8,MATCH(WEEKDAY('Modesto Maranzana Power'!A313,3),'Master Data'!$A$2:$A$8,0),2)</f>
        <v>Su</v>
      </c>
      <c r="D313" s="124" t="n">
        <v>0</v>
      </c>
      <c r="E313" s="124" t="n">
        <v>0</v>
      </c>
      <c r="F313" s="124" t="n">
        <v>0</v>
      </c>
      <c r="G313" s="124" t="n">
        <v>0</v>
      </c>
      <c r="I313" s="124" t="n">
        <f aca="false">IF(MONTH($A313)=MONTH($A312),IF(G313=0,I312,G313),G313)</f>
        <v>-4499</v>
      </c>
      <c r="J313" s="124" t="n">
        <f aca="false">IF(MONTH($A313)=MONTH($A312),SUM(I313-I312),I313)</f>
        <v>0</v>
      </c>
      <c r="K313" s="124" t="n">
        <f aca="false">IF(WEEKDAY(A313,3)&gt;4,0,(IF(A313&lt;K$2,0,IF(A313&lt;=K$3,1,0))))</f>
        <v>0</v>
      </c>
      <c r="L313" s="124" t="n">
        <f aca="false">J313*K313</f>
        <v>0</v>
      </c>
      <c r="M313" s="124" t="n">
        <f aca="false">SUM(J$280:J313)</f>
        <v>229529</v>
      </c>
      <c r="N313" s="124" t="n">
        <f aca="false">SUM(J$6:J313)</f>
        <v>15774.95</v>
      </c>
      <c r="P313" s="124" t="n">
        <f aca="false">D313/P$3</f>
        <v>0</v>
      </c>
      <c r="Q313" s="124" t="n">
        <f aca="false">E313/P$3</f>
        <v>0</v>
      </c>
      <c r="R313" s="124" t="n">
        <f aca="false">F313/R$3</f>
        <v>0</v>
      </c>
      <c r="S313" s="126" t="n">
        <f aca="false">J313/$R$3</f>
        <v>0</v>
      </c>
      <c r="T313" s="126" t="n">
        <f aca="false">L313/$R$3</f>
        <v>0</v>
      </c>
      <c r="U313" s="126" t="n">
        <f aca="false">I313/$R$3</f>
        <v>-4.499</v>
      </c>
      <c r="V313" s="126" t="n">
        <f aca="false">M313/$R$3</f>
        <v>229.529</v>
      </c>
      <c r="W313" s="126" t="n">
        <f aca="false">N313/$R$3</f>
        <v>15.77495</v>
      </c>
    </row>
    <row r="314" customFormat="false" ht="12.75" hidden="false" customHeight="false" outlineLevel="0" collapsed="false">
      <c r="A314" s="120" t="n">
        <f aca="false">A313+1</f>
        <v>37200</v>
      </c>
      <c r="B314" s="131" t="str">
        <f aca="false">INDEX('Master Data'!$A$2:$B$8,MATCH(WEEKDAY('Modesto Maranzana Power'!A314,3),'Master Data'!$A$2:$A$8,0),2)</f>
        <v>M</v>
      </c>
      <c r="D314" s="124" t="n">
        <v>0</v>
      </c>
      <c r="E314" s="124" t="n">
        <v>0</v>
      </c>
      <c r="F314" s="124" t="n">
        <v>0</v>
      </c>
      <c r="G314" s="124" t="n">
        <v>0</v>
      </c>
      <c r="I314" s="124" t="n">
        <f aca="false">IF(MONTH($A314)=MONTH($A313),IF(G314=0,I313,G314),G314)</f>
        <v>-4499</v>
      </c>
      <c r="J314" s="124" t="n">
        <f aca="false">IF(MONTH($A314)=MONTH($A313),SUM(I314-I313),I314)</f>
        <v>0</v>
      </c>
      <c r="K314" s="124" t="n">
        <f aca="false">IF(WEEKDAY(A314,3)&gt;4,0,(IF(A314&lt;K$2,0,IF(A314&lt;=K$3,1,0))))</f>
        <v>0</v>
      </c>
      <c r="L314" s="124" t="n">
        <f aca="false">J314*K314</f>
        <v>0</v>
      </c>
      <c r="M314" s="124" t="n">
        <f aca="false">SUM(J$280:J314)</f>
        <v>229529</v>
      </c>
      <c r="N314" s="124" t="n">
        <f aca="false">SUM(J$6:J314)</f>
        <v>15774.95</v>
      </c>
      <c r="P314" s="124" t="n">
        <f aca="false">D314/P$3</f>
        <v>0</v>
      </c>
      <c r="Q314" s="124" t="n">
        <f aca="false">E314/P$3</f>
        <v>0</v>
      </c>
      <c r="R314" s="124" t="n">
        <f aca="false">F314/R$3</f>
        <v>0</v>
      </c>
      <c r="S314" s="126" t="n">
        <f aca="false">J314/$R$3</f>
        <v>0</v>
      </c>
      <c r="T314" s="126" t="n">
        <f aca="false">L314/$R$3</f>
        <v>0</v>
      </c>
      <c r="U314" s="126" t="n">
        <f aca="false">I314/$R$3</f>
        <v>-4.499</v>
      </c>
      <c r="V314" s="126" t="n">
        <f aca="false">M314/$R$3</f>
        <v>229.529</v>
      </c>
      <c r="W314" s="126" t="n">
        <f aca="false">N314/$R$3</f>
        <v>15.77495</v>
      </c>
    </row>
    <row r="315" customFormat="false" ht="12.75" hidden="false" customHeight="false" outlineLevel="0" collapsed="false">
      <c r="A315" s="120" t="n">
        <f aca="false">A314+1</f>
        <v>37201</v>
      </c>
      <c r="B315" s="131" t="str">
        <f aca="false">INDEX('Master Data'!$A$2:$B$8,MATCH(WEEKDAY('Modesto Maranzana Power'!A315,3),'Master Data'!$A$2:$A$8,0),2)</f>
        <v>T</v>
      </c>
      <c r="D315" s="124" t="n">
        <v>0</v>
      </c>
      <c r="E315" s="124" t="n">
        <v>0</v>
      </c>
      <c r="F315" s="124" t="n">
        <v>0</v>
      </c>
      <c r="G315" s="124" t="n">
        <v>0</v>
      </c>
      <c r="I315" s="124" t="n">
        <f aca="false">IF(MONTH($A315)=MONTH($A314),IF(G315=0,I314,G315),G315)</f>
        <v>-4499</v>
      </c>
      <c r="J315" s="124" t="n">
        <f aca="false">IF(MONTH($A315)=MONTH($A314),SUM(I315-I314),I315)</f>
        <v>0</v>
      </c>
      <c r="K315" s="124" t="n">
        <f aca="false">IF(WEEKDAY(A315,3)&gt;4,0,(IF(A315&lt;K$2,0,IF(A315&lt;=K$3,1,0))))</f>
        <v>0</v>
      </c>
      <c r="L315" s="124" t="n">
        <f aca="false">J315*K315</f>
        <v>0</v>
      </c>
      <c r="M315" s="124" t="n">
        <f aca="false">SUM(J$280:J315)</f>
        <v>229529</v>
      </c>
      <c r="N315" s="124" t="n">
        <f aca="false">SUM(J$6:J315)</f>
        <v>15774.95</v>
      </c>
      <c r="P315" s="124" t="n">
        <f aca="false">D315/P$3</f>
        <v>0</v>
      </c>
      <c r="Q315" s="124" t="n">
        <f aca="false">E315/P$3</f>
        <v>0</v>
      </c>
      <c r="R315" s="124" t="n">
        <f aca="false">F315/R$3</f>
        <v>0</v>
      </c>
      <c r="S315" s="126" t="n">
        <f aca="false">J315/$R$3</f>
        <v>0</v>
      </c>
      <c r="T315" s="126" t="n">
        <f aca="false">L315/$R$3</f>
        <v>0</v>
      </c>
      <c r="U315" s="126" t="n">
        <f aca="false">I315/$R$3</f>
        <v>-4.499</v>
      </c>
      <c r="V315" s="126" t="n">
        <f aca="false">M315/$R$3</f>
        <v>229.529</v>
      </c>
      <c r="W315" s="126" t="n">
        <f aca="false">N315/$R$3</f>
        <v>15.77495</v>
      </c>
    </row>
    <row r="316" customFormat="false" ht="12.75" hidden="false" customHeight="false" outlineLevel="0" collapsed="false">
      <c r="A316" s="120" t="n">
        <f aca="false">A315+1</f>
        <v>37202</v>
      </c>
      <c r="B316" s="131" t="str">
        <f aca="false">INDEX('Master Data'!$A$2:$B$8,MATCH(WEEKDAY('Modesto Maranzana Power'!A316,3),'Master Data'!$A$2:$A$8,0),2)</f>
        <v>W</v>
      </c>
      <c r="D316" s="124" t="n">
        <v>0</v>
      </c>
      <c r="E316" s="124" t="n">
        <v>0</v>
      </c>
      <c r="F316" s="124" t="n">
        <v>0</v>
      </c>
      <c r="G316" s="124" t="n">
        <v>0</v>
      </c>
      <c r="I316" s="124" t="n">
        <f aca="false">IF(MONTH($A316)=MONTH($A315),IF(G316=0,I315,G316),G316)</f>
        <v>-4499</v>
      </c>
      <c r="J316" s="124" t="n">
        <f aca="false">IF(MONTH($A316)=MONTH($A315),SUM(I316-I315),I316)</f>
        <v>0</v>
      </c>
      <c r="K316" s="124" t="n">
        <f aca="false">IF(WEEKDAY(A316,3)&gt;4,0,(IF(A316&lt;K$2,0,IF(A316&lt;=K$3,1,0))))</f>
        <v>0</v>
      </c>
      <c r="L316" s="124" t="n">
        <f aca="false">J316*K316</f>
        <v>0</v>
      </c>
      <c r="M316" s="124" t="n">
        <f aca="false">SUM(J$280:J316)</f>
        <v>229529</v>
      </c>
      <c r="N316" s="124" t="n">
        <f aca="false">SUM(J$6:J316)</f>
        <v>15774.95</v>
      </c>
      <c r="P316" s="124" t="n">
        <f aca="false">D316/P$3</f>
        <v>0</v>
      </c>
      <c r="Q316" s="124" t="n">
        <f aca="false">E316/P$3</f>
        <v>0</v>
      </c>
      <c r="R316" s="124" t="n">
        <f aca="false">F316/R$3</f>
        <v>0</v>
      </c>
      <c r="S316" s="126" t="n">
        <f aca="false">J316/$R$3</f>
        <v>0</v>
      </c>
      <c r="T316" s="126" t="n">
        <f aca="false">L316/$R$3</f>
        <v>0</v>
      </c>
      <c r="U316" s="126" t="n">
        <f aca="false">I316/$R$3</f>
        <v>-4.499</v>
      </c>
      <c r="V316" s="126" t="n">
        <f aca="false">M316/$R$3</f>
        <v>229.529</v>
      </c>
      <c r="W316" s="126" t="n">
        <f aca="false">N316/$R$3</f>
        <v>15.77495</v>
      </c>
    </row>
    <row r="317" customFormat="false" ht="12.75" hidden="false" customHeight="false" outlineLevel="0" collapsed="false">
      <c r="A317" s="120" t="n">
        <f aca="false">A316+1</f>
        <v>37203</v>
      </c>
      <c r="B317" s="131" t="str">
        <f aca="false">INDEX('Master Data'!$A$2:$B$8,MATCH(WEEKDAY('Modesto Maranzana Power'!A317,3),'Master Data'!$A$2:$A$8,0),2)</f>
        <v>Th</v>
      </c>
      <c r="D317" s="124" t="n">
        <v>0</v>
      </c>
      <c r="E317" s="124" t="n">
        <v>0</v>
      </c>
      <c r="F317" s="124" t="n">
        <v>0</v>
      </c>
      <c r="G317" s="124" t="n">
        <v>0</v>
      </c>
      <c r="I317" s="124" t="n">
        <f aca="false">IF(MONTH($A317)=MONTH($A316),IF(G317=0,I316,G317),G317)</f>
        <v>-4499</v>
      </c>
      <c r="J317" s="124" t="n">
        <f aca="false">IF(MONTH($A317)=MONTH($A316),SUM(I317-I316),I317)</f>
        <v>0</v>
      </c>
      <c r="K317" s="124" t="n">
        <f aca="false">IF(WEEKDAY(A317,3)&gt;4,0,(IF(A317&lt;K$2,0,IF(A317&lt;=K$3,1,0))))</f>
        <v>0</v>
      </c>
      <c r="L317" s="124" t="n">
        <f aca="false">J317*K317</f>
        <v>0</v>
      </c>
      <c r="M317" s="124" t="n">
        <f aca="false">SUM(J$280:J317)</f>
        <v>229529</v>
      </c>
      <c r="N317" s="124" t="n">
        <f aca="false">SUM(J$6:J317)</f>
        <v>15774.95</v>
      </c>
      <c r="P317" s="124" t="n">
        <f aca="false">D317/P$3</f>
        <v>0</v>
      </c>
      <c r="Q317" s="124" t="n">
        <f aca="false">E317/P$3</f>
        <v>0</v>
      </c>
      <c r="R317" s="124" t="n">
        <f aca="false">F317/R$3</f>
        <v>0</v>
      </c>
      <c r="S317" s="126" t="n">
        <f aca="false">J317/$R$3</f>
        <v>0</v>
      </c>
      <c r="T317" s="126" t="n">
        <f aca="false">L317/$R$3</f>
        <v>0</v>
      </c>
      <c r="U317" s="126" t="n">
        <f aca="false">I317/$R$3</f>
        <v>-4.499</v>
      </c>
      <c r="V317" s="126" t="n">
        <f aca="false">M317/$R$3</f>
        <v>229.529</v>
      </c>
      <c r="W317" s="126" t="n">
        <f aca="false">N317/$R$3</f>
        <v>15.77495</v>
      </c>
    </row>
    <row r="318" customFormat="false" ht="12.75" hidden="false" customHeight="false" outlineLevel="0" collapsed="false">
      <c r="A318" s="120" t="n">
        <f aca="false">A317+1</f>
        <v>37204</v>
      </c>
      <c r="B318" s="131" t="str">
        <f aca="false">INDEX('Master Data'!$A$2:$B$8,MATCH(WEEKDAY('Modesto Maranzana Power'!A318,3),'Master Data'!$A$2:$A$8,0),2)</f>
        <v>F</v>
      </c>
      <c r="D318" s="124" t="n">
        <v>0</v>
      </c>
      <c r="E318" s="124" t="n">
        <v>0</v>
      </c>
      <c r="F318" s="124" t="n">
        <v>0</v>
      </c>
      <c r="G318" s="124" t="n">
        <v>0</v>
      </c>
      <c r="I318" s="124" t="n">
        <f aca="false">IF(MONTH($A318)=MONTH($A317),IF(G318=0,I317,G318),G318)</f>
        <v>-4499</v>
      </c>
      <c r="J318" s="124" t="n">
        <f aca="false">IF(MONTH($A318)=MONTH($A317),SUM(I318-I317),I318)</f>
        <v>0</v>
      </c>
      <c r="K318" s="124" t="n">
        <f aca="false">IF(WEEKDAY(A318,3)&gt;4,0,(IF(A318&lt;K$2,0,IF(A318&lt;=K$3,1,0))))</f>
        <v>0</v>
      </c>
      <c r="L318" s="124" t="n">
        <f aca="false">J318*K318</f>
        <v>0</v>
      </c>
      <c r="M318" s="124" t="n">
        <f aca="false">SUM(J$280:J318)</f>
        <v>229529</v>
      </c>
      <c r="N318" s="124" t="n">
        <f aca="false">SUM(J$6:J318)</f>
        <v>15774.95</v>
      </c>
      <c r="P318" s="124" t="n">
        <f aca="false">D318/P$3</f>
        <v>0</v>
      </c>
      <c r="Q318" s="124" t="n">
        <f aca="false">E318/P$3</f>
        <v>0</v>
      </c>
      <c r="R318" s="124" t="n">
        <f aca="false">F318/R$3</f>
        <v>0</v>
      </c>
      <c r="S318" s="126" t="n">
        <f aca="false">J318/$R$3</f>
        <v>0</v>
      </c>
      <c r="T318" s="126" t="n">
        <f aca="false">L318/$R$3</f>
        <v>0</v>
      </c>
      <c r="U318" s="126" t="n">
        <f aca="false">I318/$R$3</f>
        <v>-4.499</v>
      </c>
      <c r="V318" s="126" t="n">
        <f aca="false">M318/$R$3</f>
        <v>229.529</v>
      </c>
      <c r="W318" s="126" t="n">
        <f aca="false">N318/$R$3</f>
        <v>15.77495</v>
      </c>
    </row>
    <row r="319" customFormat="false" ht="12.75" hidden="false" customHeight="false" outlineLevel="0" collapsed="false">
      <c r="A319" s="120" t="n">
        <f aca="false">A318+1</f>
        <v>37205</v>
      </c>
      <c r="B319" s="131" t="str">
        <f aca="false">INDEX('Master Data'!$A$2:$B$8,MATCH(WEEKDAY('Modesto Maranzana Power'!A319,3),'Master Data'!$A$2:$A$8,0),2)</f>
        <v>Sa</v>
      </c>
      <c r="D319" s="124" t="n">
        <v>0</v>
      </c>
      <c r="E319" s="124" t="n">
        <v>0</v>
      </c>
      <c r="F319" s="124" t="n">
        <v>0</v>
      </c>
      <c r="G319" s="124" t="n">
        <v>0</v>
      </c>
      <c r="I319" s="124" t="n">
        <f aca="false">IF(MONTH($A319)=MONTH($A318),IF(G319=0,I318,G319),G319)</f>
        <v>-4499</v>
      </c>
      <c r="J319" s="124" t="n">
        <f aca="false">IF(MONTH($A319)=MONTH($A318),SUM(I319-I318),I319)</f>
        <v>0</v>
      </c>
      <c r="K319" s="124" t="n">
        <f aca="false">IF(WEEKDAY(A319,3)&gt;4,0,(IF(A319&lt;K$2,0,IF(A319&lt;=K$3,1,0))))</f>
        <v>0</v>
      </c>
      <c r="L319" s="124" t="n">
        <f aca="false">J319*K319</f>
        <v>0</v>
      </c>
      <c r="M319" s="124" t="n">
        <f aca="false">SUM(J$280:J319)</f>
        <v>229529</v>
      </c>
      <c r="N319" s="124" t="n">
        <f aca="false">SUM(J$6:J319)</f>
        <v>15774.95</v>
      </c>
      <c r="P319" s="124" t="n">
        <f aca="false">D319/P$3</f>
        <v>0</v>
      </c>
      <c r="Q319" s="124" t="n">
        <f aca="false">E319/P$3</f>
        <v>0</v>
      </c>
      <c r="R319" s="124" t="n">
        <f aca="false">F319/R$3</f>
        <v>0</v>
      </c>
      <c r="S319" s="126" t="n">
        <f aca="false">J319/$R$3</f>
        <v>0</v>
      </c>
      <c r="T319" s="126" t="n">
        <f aca="false">L319/$R$3</f>
        <v>0</v>
      </c>
      <c r="U319" s="126" t="n">
        <f aca="false">I319/$R$3</f>
        <v>-4.499</v>
      </c>
      <c r="V319" s="126" t="n">
        <f aca="false">M319/$R$3</f>
        <v>229.529</v>
      </c>
      <c r="W319" s="126" t="n">
        <f aca="false">N319/$R$3</f>
        <v>15.77495</v>
      </c>
    </row>
    <row r="320" customFormat="false" ht="12.75" hidden="false" customHeight="false" outlineLevel="0" collapsed="false">
      <c r="A320" s="120" t="n">
        <f aca="false">A319+1</f>
        <v>37206</v>
      </c>
      <c r="B320" s="131" t="str">
        <f aca="false">INDEX('Master Data'!$A$2:$B$8,MATCH(WEEKDAY('Modesto Maranzana Power'!A320,3),'Master Data'!$A$2:$A$8,0),2)</f>
        <v>Su</v>
      </c>
      <c r="D320" s="124" t="n">
        <v>0</v>
      </c>
      <c r="E320" s="124" t="n">
        <v>0</v>
      </c>
      <c r="F320" s="124" t="n">
        <v>0</v>
      </c>
      <c r="G320" s="124" t="n">
        <v>0</v>
      </c>
      <c r="I320" s="124" t="n">
        <f aca="false">IF(MONTH($A320)=MONTH($A319),IF(G320=0,I319,G320),G320)</f>
        <v>-4499</v>
      </c>
      <c r="J320" s="124" t="n">
        <f aca="false">IF(MONTH($A320)=MONTH($A319),SUM(I320-I319),I320)</f>
        <v>0</v>
      </c>
      <c r="K320" s="124" t="n">
        <f aca="false">IF(WEEKDAY(A320,3)&gt;4,0,(IF(A320&lt;K$2,0,IF(A320&lt;=K$3,1,0))))</f>
        <v>0</v>
      </c>
      <c r="L320" s="124" t="n">
        <f aca="false">J320*K320</f>
        <v>0</v>
      </c>
      <c r="M320" s="124" t="n">
        <f aca="false">SUM(J$280:J320)</f>
        <v>229529</v>
      </c>
      <c r="N320" s="124" t="n">
        <f aca="false">SUM(J$6:J320)</f>
        <v>15774.95</v>
      </c>
      <c r="P320" s="124" t="n">
        <f aca="false">D320/P$3</f>
        <v>0</v>
      </c>
      <c r="Q320" s="124" t="n">
        <f aca="false">E320/P$3</f>
        <v>0</v>
      </c>
      <c r="R320" s="124" t="n">
        <f aca="false">F320/R$3</f>
        <v>0</v>
      </c>
      <c r="S320" s="126" t="n">
        <f aca="false">J320/$R$3</f>
        <v>0</v>
      </c>
      <c r="T320" s="126" t="n">
        <f aca="false">L320/$R$3</f>
        <v>0</v>
      </c>
      <c r="U320" s="126" t="n">
        <f aca="false">I320/$R$3</f>
        <v>-4.499</v>
      </c>
      <c r="V320" s="126" t="n">
        <f aca="false">M320/$R$3</f>
        <v>229.529</v>
      </c>
      <c r="W320" s="126" t="n">
        <f aca="false">N320/$R$3</f>
        <v>15.77495</v>
      </c>
    </row>
    <row r="321" customFormat="false" ht="12.75" hidden="false" customHeight="false" outlineLevel="0" collapsed="false">
      <c r="A321" s="120" t="n">
        <f aca="false">A320+1</f>
        <v>37207</v>
      </c>
      <c r="B321" s="131" t="str">
        <f aca="false">INDEX('Master Data'!$A$2:$B$8,MATCH(WEEKDAY('Modesto Maranzana Power'!A321,3),'Master Data'!$A$2:$A$8,0),2)</f>
        <v>M</v>
      </c>
      <c r="D321" s="124" t="n">
        <v>0</v>
      </c>
      <c r="E321" s="124" t="n">
        <v>0</v>
      </c>
      <c r="F321" s="124" t="n">
        <v>0</v>
      </c>
      <c r="G321" s="124" t="n">
        <v>0</v>
      </c>
      <c r="I321" s="124" t="n">
        <f aca="false">IF(MONTH($A321)=MONTH($A320),IF(G321=0,I320,G321),G321)</f>
        <v>-4499</v>
      </c>
      <c r="J321" s="124" t="n">
        <f aca="false">IF(MONTH($A321)=MONTH($A320),SUM(I321-I320),I321)</f>
        <v>0</v>
      </c>
      <c r="K321" s="124" t="n">
        <f aca="false">IF(WEEKDAY(A321,3)&gt;4,0,(IF(A321&lt;K$2,0,IF(A321&lt;=K$3,1,0))))</f>
        <v>0</v>
      </c>
      <c r="L321" s="124" t="n">
        <f aca="false">J321*K321</f>
        <v>0</v>
      </c>
      <c r="M321" s="124" t="n">
        <f aca="false">SUM(J$280:J321)</f>
        <v>229529</v>
      </c>
      <c r="N321" s="124" t="n">
        <f aca="false">SUM(J$6:J321)</f>
        <v>15774.95</v>
      </c>
      <c r="P321" s="124" t="n">
        <f aca="false">D321/P$3</f>
        <v>0</v>
      </c>
      <c r="Q321" s="124" t="n">
        <f aca="false">E321/P$3</f>
        <v>0</v>
      </c>
      <c r="R321" s="124" t="n">
        <f aca="false">F321/R$3</f>
        <v>0</v>
      </c>
      <c r="S321" s="126" t="n">
        <f aca="false">J321/$R$3</f>
        <v>0</v>
      </c>
      <c r="T321" s="126" t="n">
        <f aca="false">L321/$R$3</f>
        <v>0</v>
      </c>
      <c r="U321" s="126" t="n">
        <f aca="false">I321/$R$3</f>
        <v>-4.499</v>
      </c>
      <c r="V321" s="126" t="n">
        <f aca="false">M321/$R$3</f>
        <v>229.529</v>
      </c>
      <c r="W321" s="126" t="n">
        <f aca="false">N321/$R$3</f>
        <v>15.77495</v>
      </c>
    </row>
    <row r="322" customFormat="false" ht="12.75" hidden="false" customHeight="false" outlineLevel="0" collapsed="false">
      <c r="A322" s="120" t="n">
        <f aca="false">A321+1</f>
        <v>37208</v>
      </c>
      <c r="B322" s="131" t="str">
        <f aca="false">INDEX('Master Data'!$A$2:$B$8,MATCH(WEEKDAY('Modesto Maranzana Power'!A322,3),'Master Data'!$A$2:$A$8,0),2)</f>
        <v>T</v>
      </c>
      <c r="D322" s="124" t="n">
        <v>0</v>
      </c>
      <c r="E322" s="124" t="n">
        <v>0</v>
      </c>
      <c r="F322" s="124" t="n">
        <v>0</v>
      </c>
      <c r="G322" s="124" t="n">
        <v>0</v>
      </c>
      <c r="I322" s="124" t="n">
        <f aca="false">IF(MONTH($A322)=MONTH($A321),IF(G322=0,I321,G322),G322)</f>
        <v>-4499</v>
      </c>
      <c r="J322" s="124" t="n">
        <f aca="false">IF(MONTH($A322)=MONTH($A321),SUM(I322-I321),I322)</f>
        <v>0</v>
      </c>
      <c r="K322" s="124" t="n">
        <f aca="false">IF(WEEKDAY(A322,3)&gt;4,0,(IF(A322&lt;K$2,0,IF(A322&lt;=K$3,1,0))))</f>
        <v>0</v>
      </c>
      <c r="L322" s="124" t="n">
        <f aca="false">J322*K322</f>
        <v>0</v>
      </c>
      <c r="M322" s="124" t="n">
        <f aca="false">SUM(J$280:J322)</f>
        <v>229529</v>
      </c>
      <c r="N322" s="124" t="n">
        <f aca="false">SUM(J$6:J322)</f>
        <v>15774.95</v>
      </c>
      <c r="P322" s="124" t="n">
        <f aca="false">D322/P$3</f>
        <v>0</v>
      </c>
      <c r="Q322" s="124" t="n">
        <f aca="false">E322/P$3</f>
        <v>0</v>
      </c>
      <c r="R322" s="124" t="n">
        <f aca="false">F322/R$3</f>
        <v>0</v>
      </c>
      <c r="S322" s="126" t="n">
        <f aca="false">J322/$R$3</f>
        <v>0</v>
      </c>
      <c r="T322" s="126" t="n">
        <f aca="false">L322/$R$3</f>
        <v>0</v>
      </c>
      <c r="U322" s="126" t="n">
        <f aca="false">I322/$R$3</f>
        <v>-4.499</v>
      </c>
      <c r="V322" s="126" t="n">
        <f aca="false">M322/$R$3</f>
        <v>229.529</v>
      </c>
      <c r="W322" s="126" t="n">
        <f aca="false">N322/$R$3</f>
        <v>15.77495</v>
      </c>
    </row>
    <row r="323" customFormat="false" ht="12.75" hidden="false" customHeight="false" outlineLevel="0" collapsed="false">
      <c r="A323" s="120" t="n">
        <f aca="false">A322+1</f>
        <v>37209</v>
      </c>
      <c r="B323" s="131" t="str">
        <f aca="false">INDEX('Master Data'!$A$2:$B$8,MATCH(WEEKDAY('Modesto Maranzana Power'!A323,3),'Master Data'!$A$2:$A$8,0),2)</f>
        <v>W</v>
      </c>
      <c r="D323" s="124" t="n">
        <v>0</v>
      </c>
      <c r="E323" s="124" t="n">
        <v>0</v>
      </c>
      <c r="F323" s="124" t="n">
        <v>0</v>
      </c>
      <c r="G323" s="124" t="n">
        <v>0</v>
      </c>
      <c r="I323" s="124" t="n">
        <f aca="false">IF(MONTH($A323)=MONTH($A322),IF(G323=0,I322,G323),G323)</f>
        <v>-4499</v>
      </c>
      <c r="J323" s="124" t="n">
        <f aca="false">IF(MONTH($A323)=MONTH($A322),SUM(I323-I322),I323)</f>
        <v>0</v>
      </c>
      <c r="K323" s="124" t="n">
        <f aca="false">IF(WEEKDAY(A323,3)&gt;4,0,(IF(A323&lt;K$2,0,IF(A323&lt;=K$3,1,0))))</f>
        <v>0</v>
      </c>
      <c r="L323" s="124" t="n">
        <f aca="false">J323*K323</f>
        <v>0</v>
      </c>
      <c r="M323" s="124" t="n">
        <f aca="false">SUM(J$280:J323)</f>
        <v>229529</v>
      </c>
      <c r="N323" s="124" t="n">
        <f aca="false">SUM(J$6:J323)</f>
        <v>15774.95</v>
      </c>
      <c r="P323" s="124" t="n">
        <f aca="false">D323/P$3</f>
        <v>0</v>
      </c>
      <c r="Q323" s="124" t="n">
        <f aca="false">E323/P$3</f>
        <v>0</v>
      </c>
      <c r="R323" s="124" t="n">
        <f aca="false">F323/R$3</f>
        <v>0</v>
      </c>
      <c r="S323" s="126" t="n">
        <f aca="false">J323/$R$3</f>
        <v>0</v>
      </c>
      <c r="T323" s="126" t="n">
        <f aca="false">L323/$R$3</f>
        <v>0</v>
      </c>
      <c r="U323" s="126" t="n">
        <f aca="false">I323/$R$3</f>
        <v>-4.499</v>
      </c>
      <c r="V323" s="126" t="n">
        <f aca="false">M323/$R$3</f>
        <v>229.529</v>
      </c>
      <c r="W323" s="126" t="n">
        <f aca="false">N323/$R$3</f>
        <v>15.77495</v>
      </c>
    </row>
    <row r="324" customFormat="false" ht="12.75" hidden="false" customHeight="false" outlineLevel="0" collapsed="false">
      <c r="A324" s="120" t="n">
        <f aca="false">A323+1</f>
        <v>37210</v>
      </c>
      <c r="B324" s="131" t="str">
        <f aca="false">INDEX('Master Data'!$A$2:$B$8,MATCH(WEEKDAY('Modesto Maranzana Power'!A324,3),'Master Data'!$A$2:$A$8,0),2)</f>
        <v>Th</v>
      </c>
      <c r="D324" s="124" t="n">
        <v>0</v>
      </c>
      <c r="E324" s="124" t="n">
        <v>0</v>
      </c>
      <c r="F324" s="124" t="n">
        <v>0</v>
      </c>
      <c r="G324" s="124" t="n">
        <v>0</v>
      </c>
      <c r="I324" s="124" t="n">
        <f aca="false">IF(MONTH($A324)=MONTH($A323),IF(G324=0,I323,G324),G324)</f>
        <v>-4499</v>
      </c>
      <c r="J324" s="124" t="n">
        <f aca="false">IF(MONTH($A324)=MONTH($A323),SUM(I324-I323),I324)</f>
        <v>0</v>
      </c>
      <c r="K324" s="124" t="n">
        <f aca="false">IF(WEEKDAY(A324,3)&gt;4,0,(IF(A324&lt;K$2,0,IF(A324&lt;=K$3,1,0))))</f>
        <v>0</v>
      </c>
      <c r="L324" s="124" t="n">
        <f aca="false">J324*K324</f>
        <v>0</v>
      </c>
      <c r="M324" s="124" t="n">
        <f aca="false">SUM(J$280:J324)</f>
        <v>229529</v>
      </c>
      <c r="N324" s="124" t="n">
        <f aca="false">SUM(J$6:J324)</f>
        <v>15774.95</v>
      </c>
      <c r="P324" s="124" t="n">
        <f aca="false">D324/P$3</f>
        <v>0</v>
      </c>
      <c r="Q324" s="124" t="n">
        <f aca="false">E324/P$3</f>
        <v>0</v>
      </c>
      <c r="R324" s="124" t="n">
        <f aca="false">F324/R$3</f>
        <v>0</v>
      </c>
      <c r="S324" s="126" t="n">
        <f aca="false">J324/$R$3</f>
        <v>0</v>
      </c>
      <c r="T324" s="126" t="n">
        <f aca="false">L324/$R$3</f>
        <v>0</v>
      </c>
      <c r="U324" s="126" t="n">
        <f aca="false">I324/$R$3</f>
        <v>-4.499</v>
      </c>
      <c r="V324" s="126" t="n">
        <f aca="false">M324/$R$3</f>
        <v>229.529</v>
      </c>
      <c r="W324" s="126" t="n">
        <f aca="false">N324/$R$3</f>
        <v>15.77495</v>
      </c>
    </row>
    <row r="325" customFormat="false" ht="12.75" hidden="false" customHeight="false" outlineLevel="0" collapsed="false">
      <c r="A325" s="120" t="n">
        <f aca="false">A324+1</f>
        <v>37211</v>
      </c>
      <c r="B325" s="131" t="str">
        <f aca="false">INDEX('Master Data'!$A$2:$B$8,MATCH(WEEKDAY('Modesto Maranzana Power'!A325,3),'Master Data'!$A$2:$A$8,0),2)</f>
        <v>F</v>
      </c>
      <c r="D325" s="124" t="n">
        <v>0</v>
      </c>
      <c r="E325" s="124" t="n">
        <v>0</v>
      </c>
      <c r="F325" s="124" t="n">
        <v>0</v>
      </c>
      <c r="G325" s="124" t="n">
        <v>0</v>
      </c>
      <c r="I325" s="124" t="n">
        <f aca="false">IF(MONTH($A325)=MONTH($A324),IF(G325=0,I324,G325),G325)</f>
        <v>-4499</v>
      </c>
      <c r="J325" s="124" t="n">
        <f aca="false">IF(MONTH($A325)=MONTH($A324),SUM(I325-I324),I325)</f>
        <v>0</v>
      </c>
      <c r="K325" s="124" t="n">
        <f aca="false">IF(WEEKDAY(A325,3)&gt;4,0,(IF(A325&lt;K$2,0,IF(A325&lt;=K$3,1,0))))</f>
        <v>0</v>
      </c>
      <c r="L325" s="124" t="n">
        <f aca="false">J325*K325</f>
        <v>0</v>
      </c>
      <c r="M325" s="124" t="n">
        <f aca="false">SUM(J$280:J325)</f>
        <v>229529</v>
      </c>
      <c r="N325" s="124" t="n">
        <f aca="false">SUM(J$6:J325)</f>
        <v>15774.95</v>
      </c>
      <c r="P325" s="124" t="n">
        <f aca="false">D325/P$3</f>
        <v>0</v>
      </c>
      <c r="Q325" s="124" t="n">
        <f aca="false">E325/P$3</f>
        <v>0</v>
      </c>
      <c r="R325" s="124" t="n">
        <f aca="false">F325/R$3</f>
        <v>0</v>
      </c>
      <c r="S325" s="126" t="n">
        <f aca="false">J325/$R$3</f>
        <v>0</v>
      </c>
      <c r="T325" s="126" t="n">
        <f aca="false">L325/$R$3</f>
        <v>0</v>
      </c>
      <c r="U325" s="126" t="n">
        <f aca="false">I325/$R$3</f>
        <v>-4.499</v>
      </c>
      <c r="V325" s="126" t="n">
        <f aca="false">M325/$R$3</f>
        <v>229.529</v>
      </c>
      <c r="W325" s="126" t="n">
        <f aca="false">N325/$R$3</f>
        <v>15.77495</v>
      </c>
    </row>
    <row r="326" customFormat="false" ht="12.75" hidden="false" customHeight="false" outlineLevel="0" collapsed="false">
      <c r="A326" s="120" t="n">
        <f aca="false">A325+1</f>
        <v>37212</v>
      </c>
      <c r="B326" s="131" t="str">
        <f aca="false">INDEX('Master Data'!$A$2:$B$8,MATCH(WEEKDAY('Modesto Maranzana Power'!A326,3),'Master Data'!$A$2:$A$8,0),2)</f>
        <v>Sa</v>
      </c>
      <c r="D326" s="124" t="n">
        <v>0</v>
      </c>
      <c r="E326" s="124" t="n">
        <v>0</v>
      </c>
      <c r="F326" s="124" t="n">
        <v>0</v>
      </c>
      <c r="G326" s="124" t="n">
        <v>0</v>
      </c>
      <c r="I326" s="124" t="n">
        <f aca="false">IF(MONTH($A326)=MONTH($A325),IF(G326=0,I325,G326),G326)</f>
        <v>-4499</v>
      </c>
      <c r="J326" s="124" t="n">
        <f aca="false">IF(MONTH($A326)=MONTH($A325),SUM(I326-I325),I326)</f>
        <v>0</v>
      </c>
      <c r="K326" s="124" t="n">
        <f aca="false">IF(WEEKDAY(A326,3)&gt;4,0,(IF(A326&lt;K$2,0,IF(A326&lt;=K$3,1,0))))</f>
        <v>0</v>
      </c>
      <c r="L326" s="124" t="n">
        <f aca="false">J326*K326</f>
        <v>0</v>
      </c>
      <c r="M326" s="124" t="n">
        <f aca="false">SUM(J$280:J326)</f>
        <v>229529</v>
      </c>
      <c r="N326" s="124" t="n">
        <f aca="false">SUM(J$6:J326)</f>
        <v>15774.95</v>
      </c>
      <c r="P326" s="124" t="n">
        <f aca="false">D326/P$3</f>
        <v>0</v>
      </c>
      <c r="Q326" s="124" t="n">
        <f aca="false">E326/P$3</f>
        <v>0</v>
      </c>
      <c r="R326" s="124" t="n">
        <f aca="false">F326/R$3</f>
        <v>0</v>
      </c>
      <c r="S326" s="126" t="n">
        <f aca="false">J326/$R$3</f>
        <v>0</v>
      </c>
      <c r="T326" s="126" t="n">
        <f aca="false">L326/$R$3</f>
        <v>0</v>
      </c>
      <c r="U326" s="126" t="n">
        <f aca="false">I326/$R$3</f>
        <v>-4.499</v>
      </c>
      <c r="V326" s="126" t="n">
        <f aca="false">M326/$R$3</f>
        <v>229.529</v>
      </c>
      <c r="W326" s="126" t="n">
        <f aca="false">N326/$R$3</f>
        <v>15.77495</v>
      </c>
    </row>
    <row r="327" customFormat="false" ht="12.75" hidden="false" customHeight="false" outlineLevel="0" collapsed="false">
      <c r="A327" s="120" t="n">
        <f aca="false">A326+1</f>
        <v>37213</v>
      </c>
      <c r="B327" s="131" t="str">
        <f aca="false">INDEX('Master Data'!$A$2:$B$8,MATCH(WEEKDAY('Modesto Maranzana Power'!A327,3),'Master Data'!$A$2:$A$8,0),2)</f>
        <v>Su</v>
      </c>
      <c r="D327" s="124" t="n">
        <v>0</v>
      </c>
      <c r="E327" s="124" t="n">
        <v>0</v>
      </c>
      <c r="F327" s="124" t="n">
        <v>0</v>
      </c>
      <c r="G327" s="124" t="n">
        <v>0</v>
      </c>
      <c r="I327" s="124" t="n">
        <f aca="false">IF(MONTH($A327)=MONTH($A326),IF(G327=0,I326,G327),G327)</f>
        <v>-4499</v>
      </c>
      <c r="J327" s="124" t="n">
        <f aca="false">IF(MONTH($A327)=MONTH($A326),SUM(I327-I326),I327)</f>
        <v>0</v>
      </c>
      <c r="K327" s="124" t="n">
        <f aca="false">IF(WEEKDAY(A327,3)&gt;4,0,(IF(A327&lt;K$2,0,IF(A327&lt;=K$3,1,0))))</f>
        <v>0</v>
      </c>
      <c r="L327" s="124" t="n">
        <f aca="false">J327*K327</f>
        <v>0</v>
      </c>
      <c r="M327" s="124" t="n">
        <f aca="false">SUM(J$280:J327)</f>
        <v>229529</v>
      </c>
      <c r="N327" s="124" t="n">
        <f aca="false">SUM(J$6:J327)</f>
        <v>15774.95</v>
      </c>
      <c r="P327" s="124" t="n">
        <f aca="false">D327/P$3</f>
        <v>0</v>
      </c>
      <c r="Q327" s="124" t="n">
        <f aca="false">E327/P$3</f>
        <v>0</v>
      </c>
      <c r="R327" s="124" t="n">
        <f aca="false">F327/R$3</f>
        <v>0</v>
      </c>
      <c r="S327" s="126" t="n">
        <f aca="false">J327/$R$3</f>
        <v>0</v>
      </c>
      <c r="T327" s="126" t="n">
        <f aca="false">L327/$R$3</f>
        <v>0</v>
      </c>
      <c r="U327" s="126" t="n">
        <f aca="false">I327/$R$3</f>
        <v>-4.499</v>
      </c>
      <c r="V327" s="126" t="n">
        <f aca="false">M327/$R$3</f>
        <v>229.529</v>
      </c>
      <c r="W327" s="126" t="n">
        <f aca="false">N327/$R$3</f>
        <v>15.77495</v>
      </c>
    </row>
    <row r="328" customFormat="false" ht="12.75" hidden="false" customHeight="false" outlineLevel="0" collapsed="false">
      <c r="A328" s="120" t="n">
        <f aca="false">A327+1</f>
        <v>37214</v>
      </c>
      <c r="B328" s="131" t="str">
        <f aca="false">INDEX('Master Data'!$A$2:$B$8,MATCH(WEEKDAY('Modesto Maranzana Power'!A328,3),'Master Data'!$A$2:$A$8,0),2)</f>
        <v>M</v>
      </c>
      <c r="D328" s="124" t="n">
        <v>0</v>
      </c>
      <c r="E328" s="124" t="n">
        <v>0</v>
      </c>
      <c r="F328" s="124" t="n">
        <v>0</v>
      </c>
      <c r="G328" s="124" t="n">
        <v>0</v>
      </c>
      <c r="I328" s="124" t="n">
        <f aca="false">IF(MONTH($A328)=MONTH($A327),IF(G328=0,I327,G328),G328)</f>
        <v>-4499</v>
      </c>
      <c r="J328" s="124" t="n">
        <f aca="false">IF(MONTH($A328)=MONTH($A327),SUM(I328-I327),I328)</f>
        <v>0</v>
      </c>
      <c r="K328" s="124" t="n">
        <f aca="false">IF(WEEKDAY(A328,3)&gt;4,0,(IF(A328&lt;K$2,0,IF(A328&lt;=K$3,1,0))))</f>
        <v>0</v>
      </c>
      <c r="L328" s="124" t="n">
        <f aca="false">J328*K328</f>
        <v>0</v>
      </c>
      <c r="M328" s="124" t="n">
        <f aca="false">SUM(J$280:J328)</f>
        <v>229529</v>
      </c>
      <c r="N328" s="124" t="n">
        <f aca="false">SUM(J$6:J328)</f>
        <v>15774.95</v>
      </c>
      <c r="P328" s="124" t="n">
        <f aca="false">D328/P$3</f>
        <v>0</v>
      </c>
      <c r="Q328" s="124" t="n">
        <f aca="false">E328/P$3</f>
        <v>0</v>
      </c>
      <c r="R328" s="124" t="n">
        <f aca="false">F328/R$3</f>
        <v>0</v>
      </c>
      <c r="S328" s="126" t="n">
        <f aca="false">J328/$R$3</f>
        <v>0</v>
      </c>
      <c r="T328" s="126" t="n">
        <f aca="false">L328/$R$3</f>
        <v>0</v>
      </c>
      <c r="U328" s="126" t="n">
        <f aca="false">I328/$R$3</f>
        <v>-4.499</v>
      </c>
      <c r="V328" s="126" t="n">
        <f aca="false">M328/$R$3</f>
        <v>229.529</v>
      </c>
      <c r="W328" s="126" t="n">
        <f aca="false">N328/$R$3</f>
        <v>15.77495</v>
      </c>
    </row>
    <row r="329" customFormat="false" ht="12.75" hidden="false" customHeight="false" outlineLevel="0" collapsed="false">
      <c r="A329" s="120" t="n">
        <f aca="false">A328+1</f>
        <v>37215</v>
      </c>
      <c r="B329" s="131" t="str">
        <f aca="false">INDEX('Master Data'!$A$2:$B$8,MATCH(WEEKDAY('Modesto Maranzana Power'!A329,3),'Master Data'!$A$2:$A$8,0),2)</f>
        <v>T</v>
      </c>
      <c r="D329" s="124" t="n">
        <v>0</v>
      </c>
      <c r="E329" s="124" t="n">
        <v>0</v>
      </c>
      <c r="F329" s="124" t="n">
        <v>0</v>
      </c>
      <c r="G329" s="124" t="n">
        <v>0</v>
      </c>
      <c r="I329" s="124" t="n">
        <f aca="false">IF(MONTH($A329)=MONTH($A328),IF(G329=0,I328,G329),G329)</f>
        <v>-4499</v>
      </c>
      <c r="J329" s="124" t="n">
        <f aca="false">IF(MONTH($A329)=MONTH($A328),SUM(I329-I328),I329)</f>
        <v>0</v>
      </c>
      <c r="K329" s="124" t="n">
        <f aca="false">IF(WEEKDAY(A329,3)&gt;4,0,(IF(A329&lt;K$2,0,IF(A329&lt;=K$3,1,0))))</f>
        <v>0</v>
      </c>
      <c r="L329" s="124" t="n">
        <f aca="false">J329*K329</f>
        <v>0</v>
      </c>
      <c r="M329" s="124" t="n">
        <f aca="false">SUM(J$280:J329)</f>
        <v>229529</v>
      </c>
      <c r="N329" s="124" t="n">
        <f aca="false">SUM(J$6:J329)</f>
        <v>15774.95</v>
      </c>
      <c r="P329" s="124" t="n">
        <f aca="false">D329/P$3</f>
        <v>0</v>
      </c>
      <c r="Q329" s="124" t="n">
        <f aca="false">E329/P$3</f>
        <v>0</v>
      </c>
      <c r="R329" s="124" t="n">
        <f aca="false">F329/R$3</f>
        <v>0</v>
      </c>
      <c r="S329" s="126" t="n">
        <f aca="false">J329/$R$3</f>
        <v>0</v>
      </c>
      <c r="T329" s="126" t="n">
        <f aca="false">L329/$R$3</f>
        <v>0</v>
      </c>
      <c r="U329" s="126" t="n">
        <f aca="false">I329/$R$3</f>
        <v>-4.499</v>
      </c>
      <c r="V329" s="126" t="n">
        <f aca="false">M329/$R$3</f>
        <v>229.529</v>
      </c>
      <c r="W329" s="126" t="n">
        <f aca="false">N329/$R$3</f>
        <v>15.77495</v>
      </c>
    </row>
    <row r="330" customFormat="false" ht="12.75" hidden="false" customHeight="false" outlineLevel="0" collapsed="false">
      <c r="A330" s="120" t="n">
        <f aca="false">A329+1</f>
        <v>37216</v>
      </c>
      <c r="B330" s="131" t="str">
        <f aca="false">INDEX('Master Data'!$A$2:$B$8,MATCH(WEEKDAY('Modesto Maranzana Power'!A330,3),'Master Data'!$A$2:$A$8,0),2)</f>
        <v>W</v>
      </c>
      <c r="D330" s="124" t="n">
        <v>0</v>
      </c>
      <c r="E330" s="124" t="n">
        <v>0</v>
      </c>
      <c r="F330" s="124" t="n">
        <v>0</v>
      </c>
      <c r="G330" s="124" t="n">
        <v>0</v>
      </c>
      <c r="I330" s="124" t="n">
        <f aca="false">IF(MONTH($A330)=MONTH($A329),IF(G330=0,I329,G330),G330)</f>
        <v>-4499</v>
      </c>
      <c r="J330" s="124" t="n">
        <f aca="false">IF(MONTH($A330)=MONTH($A329),SUM(I330-I329),I330)</f>
        <v>0</v>
      </c>
      <c r="K330" s="124" t="n">
        <f aca="false">IF(WEEKDAY(A330,3)&gt;4,0,(IF(A330&lt;K$2,0,IF(A330&lt;=K$3,1,0))))</f>
        <v>0</v>
      </c>
      <c r="L330" s="124" t="n">
        <f aca="false">J330*K330</f>
        <v>0</v>
      </c>
      <c r="M330" s="124" t="n">
        <f aca="false">SUM(J$280:J330)</f>
        <v>229529</v>
      </c>
      <c r="N330" s="124" t="n">
        <f aca="false">SUM(J$6:J330)</f>
        <v>15774.95</v>
      </c>
      <c r="P330" s="124" t="n">
        <f aca="false">D330/P$3</f>
        <v>0</v>
      </c>
      <c r="Q330" s="124" t="n">
        <f aca="false">E330/P$3</f>
        <v>0</v>
      </c>
      <c r="R330" s="124" t="n">
        <f aca="false">F330/R$3</f>
        <v>0</v>
      </c>
      <c r="S330" s="126" t="n">
        <f aca="false">J330/$R$3</f>
        <v>0</v>
      </c>
      <c r="T330" s="126" t="n">
        <f aca="false">L330/$R$3</f>
        <v>0</v>
      </c>
      <c r="U330" s="126" t="n">
        <f aca="false">I330/$R$3</f>
        <v>-4.499</v>
      </c>
      <c r="V330" s="126" t="n">
        <f aca="false">M330/$R$3</f>
        <v>229.529</v>
      </c>
      <c r="W330" s="126" t="n">
        <f aca="false">N330/$R$3</f>
        <v>15.77495</v>
      </c>
    </row>
    <row r="331" customFormat="false" ht="12.75" hidden="false" customHeight="false" outlineLevel="0" collapsed="false">
      <c r="A331" s="120" t="n">
        <f aca="false">A330+1</f>
        <v>37217</v>
      </c>
      <c r="B331" s="131" t="str">
        <f aca="false">INDEX('Master Data'!$A$2:$B$8,MATCH(WEEKDAY('Modesto Maranzana Power'!A331,3),'Master Data'!$A$2:$A$8,0),2)</f>
        <v>Th</v>
      </c>
      <c r="D331" s="124" t="n">
        <v>0</v>
      </c>
      <c r="E331" s="124" t="n">
        <v>0</v>
      </c>
      <c r="F331" s="124" t="n">
        <v>0</v>
      </c>
      <c r="G331" s="124" t="n">
        <v>0</v>
      </c>
      <c r="I331" s="124" t="n">
        <f aca="false">IF(MONTH($A331)=MONTH($A330),IF(G331=0,I330,G331),G331)</f>
        <v>-4499</v>
      </c>
      <c r="J331" s="124" t="n">
        <f aca="false">IF(MONTH($A331)=MONTH($A330),SUM(I331-I330),I331)</f>
        <v>0</v>
      </c>
      <c r="K331" s="124" t="n">
        <f aca="false">IF(WEEKDAY(A331,3)&gt;4,0,(IF(A331&lt;K$2,0,IF(A331&lt;=K$3,1,0))))</f>
        <v>0</v>
      </c>
      <c r="L331" s="124" t="n">
        <f aca="false">J331*K331</f>
        <v>0</v>
      </c>
      <c r="M331" s="124" t="n">
        <f aca="false">SUM(J$280:J331)</f>
        <v>229529</v>
      </c>
      <c r="N331" s="124" t="n">
        <f aca="false">SUM(J$6:J331)</f>
        <v>15774.95</v>
      </c>
      <c r="P331" s="124" t="n">
        <f aca="false">D331/P$3</f>
        <v>0</v>
      </c>
      <c r="Q331" s="124" t="n">
        <f aca="false">E331/P$3</f>
        <v>0</v>
      </c>
      <c r="R331" s="124" t="n">
        <f aca="false">F331/R$3</f>
        <v>0</v>
      </c>
      <c r="S331" s="126" t="n">
        <f aca="false">J331/$R$3</f>
        <v>0</v>
      </c>
      <c r="T331" s="126" t="n">
        <f aca="false">L331/$R$3</f>
        <v>0</v>
      </c>
      <c r="U331" s="126" t="n">
        <f aca="false">I331/$R$3</f>
        <v>-4.499</v>
      </c>
      <c r="V331" s="126" t="n">
        <f aca="false">M331/$R$3</f>
        <v>229.529</v>
      </c>
      <c r="W331" s="126" t="n">
        <f aca="false">N331/$R$3</f>
        <v>15.77495</v>
      </c>
    </row>
    <row r="332" customFormat="false" ht="12.75" hidden="false" customHeight="false" outlineLevel="0" collapsed="false">
      <c r="A332" s="120" t="n">
        <f aca="false">A331+1</f>
        <v>37218</v>
      </c>
      <c r="B332" s="131" t="str">
        <f aca="false">INDEX('Master Data'!$A$2:$B$8,MATCH(WEEKDAY('Modesto Maranzana Power'!A332,3),'Master Data'!$A$2:$A$8,0),2)</f>
        <v>F</v>
      </c>
      <c r="D332" s="124" t="n">
        <v>0</v>
      </c>
      <c r="E332" s="124" t="n">
        <v>0</v>
      </c>
      <c r="F332" s="124" t="n">
        <v>0</v>
      </c>
      <c r="G332" s="124" t="n">
        <v>0</v>
      </c>
      <c r="I332" s="124" t="n">
        <f aca="false">IF(MONTH($A332)=MONTH($A331),IF(G332=0,I331,G332),G332)</f>
        <v>-4499</v>
      </c>
      <c r="J332" s="124" t="n">
        <f aca="false">IF(MONTH($A332)=MONTH($A331),SUM(I332-I331),I332)</f>
        <v>0</v>
      </c>
      <c r="K332" s="124" t="n">
        <f aca="false">IF(WEEKDAY(A332,3)&gt;4,0,(IF(A332&lt;K$2,0,IF(A332&lt;=K$3,1,0))))</f>
        <v>0</v>
      </c>
      <c r="L332" s="124" t="n">
        <f aca="false">J332*K332</f>
        <v>0</v>
      </c>
      <c r="M332" s="124" t="n">
        <f aca="false">SUM(J$280:J332)</f>
        <v>229529</v>
      </c>
      <c r="N332" s="124" t="n">
        <f aca="false">SUM(J$6:J332)</f>
        <v>15774.95</v>
      </c>
      <c r="P332" s="124" t="n">
        <f aca="false">D332/P$3</f>
        <v>0</v>
      </c>
      <c r="Q332" s="124" t="n">
        <f aca="false">E332/P$3</f>
        <v>0</v>
      </c>
      <c r="R332" s="124" t="n">
        <f aca="false">F332/R$3</f>
        <v>0</v>
      </c>
      <c r="S332" s="126" t="n">
        <f aca="false">J332/$R$3</f>
        <v>0</v>
      </c>
      <c r="T332" s="126" t="n">
        <f aca="false">L332/$R$3</f>
        <v>0</v>
      </c>
      <c r="U332" s="126" t="n">
        <f aca="false">I332/$R$3</f>
        <v>-4.499</v>
      </c>
      <c r="V332" s="126" t="n">
        <f aca="false">M332/$R$3</f>
        <v>229.529</v>
      </c>
      <c r="W332" s="126" t="n">
        <f aca="false">N332/$R$3</f>
        <v>15.77495</v>
      </c>
    </row>
    <row r="333" customFormat="false" ht="12.75" hidden="false" customHeight="false" outlineLevel="0" collapsed="false">
      <c r="A333" s="120" t="n">
        <f aca="false">A332+1</f>
        <v>37219</v>
      </c>
      <c r="B333" s="131" t="str">
        <f aca="false">INDEX('Master Data'!$A$2:$B$8,MATCH(WEEKDAY('Modesto Maranzana Power'!A333,3),'Master Data'!$A$2:$A$8,0),2)</f>
        <v>Sa</v>
      </c>
      <c r="D333" s="124" t="n">
        <v>0</v>
      </c>
      <c r="E333" s="124" t="n">
        <v>0</v>
      </c>
      <c r="F333" s="124" t="n">
        <v>0</v>
      </c>
      <c r="G333" s="124" t="n">
        <v>0</v>
      </c>
      <c r="I333" s="124" t="n">
        <f aca="false">IF(MONTH($A333)=MONTH($A332),IF(G333=0,I332,G333),G333)</f>
        <v>-4499</v>
      </c>
      <c r="J333" s="124" t="n">
        <f aca="false">IF(MONTH($A333)=MONTH($A332),SUM(I333-I332),I333)</f>
        <v>0</v>
      </c>
      <c r="K333" s="124" t="n">
        <f aca="false">IF(WEEKDAY(A333,3)&gt;4,0,(IF(A333&lt;K$2,0,IF(A333&lt;=K$3,1,0))))</f>
        <v>0</v>
      </c>
      <c r="L333" s="124" t="n">
        <f aca="false">J333*K333</f>
        <v>0</v>
      </c>
      <c r="M333" s="124" t="n">
        <f aca="false">SUM(J$280:J333)</f>
        <v>229529</v>
      </c>
      <c r="N333" s="124" t="n">
        <f aca="false">SUM(J$6:J333)</f>
        <v>15774.95</v>
      </c>
      <c r="P333" s="124" t="n">
        <f aca="false">D333/P$3</f>
        <v>0</v>
      </c>
      <c r="Q333" s="124" t="n">
        <f aca="false">E333/P$3</f>
        <v>0</v>
      </c>
      <c r="R333" s="124" t="n">
        <f aca="false">F333/R$3</f>
        <v>0</v>
      </c>
      <c r="S333" s="126" t="n">
        <f aca="false">J333/$R$3</f>
        <v>0</v>
      </c>
      <c r="T333" s="126" t="n">
        <f aca="false">L333/$R$3</f>
        <v>0</v>
      </c>
      <c r="U333" s="126" t="n">
        <f aca="false">I333/$R$3</f>
        <v>-4.499</v>
      </c>
      <c r="V333" s="126" t="n">
        <f aca="false">M333/$R$3</f>
        <v>229.529</v>
      </c>
      <c r="W333" s="126" t="n">
        <f aca="false">N333/$R$3</f>
        <v>15.77495</v>
      </c>
    </row>
    <row r="334" customFormat="false" ht="12.75" hidden="false" customHeight="false" outlineLevel="0" collapsed="false">
      <c r="A334" s="120" t="n">
        <f aca="false">A333+1</f>
        <v>37220</v>
      </c>
      <c r="B334" s="131" t="str">
        <f aca="false">INDEX('Master Data'!$A$2:$B$8,MATCH(WEEKDAY('Modesto Maranzana Power'!A334,3),'Master Data'!$A$2:$A$8,0),2)</f>
        <v>Su</v>
      </c>
      <c r="D334" s="124" t="n">
        <v>0</v>
      </c>
      <c r="E334" s="124" t="n">
        <v>0</v>
      </c>
      <c r="F334" s="124" t="n">
        <v>0</v>
      </c>
      <c r="G334" s="124" t="n">
        <v>0</v>
      </c>
      <c r="I334" s="124" t="n">
        <f aca="false">IF(MONTH($A334)=MONTH($A333),IF(G334=0,I333,G334),G334)</f>
        <v>-4499</v>
      </c>
      <c r="J334" s="124" t="n">
        <f aca="false">IF(MONTH($A334)=MONTH($A333),SUM(I334-I333),I334)</f>
        <v>0</v>
      </c>
      <c r="K334" s="124" t="n">
        <f aca="false">IF(WEEKDAY(A334,3)&gt;4,0,(IF(A334&lt;K$2,0,IF(A334&lt;=K$3,1,0))))</f>
        <v>0</v>
      </c>
      <c r="L334" s="124" t="n">
        <f aca="false">J334*K334</f>
        <v>0</v>
      </c>
      <c r="M334" s="124" t="n">
        <f aca="false">SUM(J$280:J334)</f>
        <v>229529</v>
      </c>
      <c r="N334" s="124" t="n">
        <f aca="false">SUM(J$6:J334)</f>
        <v>15774.95</v>
      </c>
      <c r="P334" s="124" t="n">
        <f aca="false">D334/P$3</f>
        <v>0</v>
      </c>
      <c r="Q334" s="124" t="n">
        <f aca="false">E334/P$3</f>
        <v>0</v>
      </c>
      <c r="R334" s="124" t="n">
        <f aca="false">F334/R$3</f>
        <v>0</v>
      </c>
      <c r="S334" s="126" t="n">
        <f aca="false">J334/$R$3</f>
        <v>0</v>
      </c>
      <c r="T334" s="126" t="n">
        <f aca="false">L334/$R$3</f>
        <v>0</v>
      </c>
      <c r="U334" s="126" t="n">
        <f aca="false">I334/$R$3</f>
        <v>-4.499</v>
      </c>
      <c r="V334" s="126" t="n">
        <f aca="false">M334/$R$3</f>
        <v>229.529</v>
      </c>
      <c r="W334" s="126" t="n">
        <f aca="false">N334/$R$3</f>
        <v>15.77495</v>
      </c>
    </row>
    <row r="335" customFormat="false" ht="12.75" hidden="false" customHeight="false" outlineLevel="0" collapsed="false">
      <c r="A335" s="120" t="n">
        <f aca="false">A334+1</f>
        <v>37221</v>
      </c>
      <c r="B335" s="131" t="str">
        <f aca="false">INDEX('Master Data'!$A$2:$B$8,MATCH(WEEKDAY('Modesto Maranzana Power'!A335,3),'Master Data'!$A$2:$A$8,0),2)</f>
        <v>M</v>
      </c>
      <c r="D335" s="124" t="n">
        <v>0</v>
      </c>
      <c r="E335" s="124" t="n">
        <v>0</v>
      </c>
      <c r="F335" s="124" t="n">
        <v>0</v>
      </c>
      <c r="G335" s="124" t="n">
        <v>0</v>
      </c>
      <c r="I335" s="124" t="n">
        <f aca="false">IF(MONTH($A335)=MONTH($A334),IF(G335=0,I334,G335),G335)</f>
        <v>-4499</v>
      </c>
      <c r="J335" s="124" t="n">
        <f aca="false">IF(MONTH($A335)=MONTH($A334),SUM(I335-I334),I335)</f>
        <v>0</v>
      </c>
      <c r="K335" s="124" t="n">
        <f aca="false">IF(WEEKDAY(A335,3)&gt;4,0,(IF(A335&lt;K$2,0,IF(A335&lt;=K$3,1,0))))</f>
        <v>0</v>
      </c>
      <c r="L335" s="124" t="n">
        <f aca="false">J335*K335</f>
        <v>0</v>
      </c>
      <c r="M335" s="124" t="n">
        <f aca="false">SUM(J$280:J335)</f>
        <v>229529</v>
      </c>
      <c r="N335" s="124" t="n">
        <f aca="false">SUM(J$6:J335)</f>
        <v>15774.95</v>
      </c>
      <c r="P335" s="124" t="n">
        <f aca="false">D335/P$3</f>
        <v>0</v>
      </c>
      <c r="Q335" s="124" t="n">
        <f aca="false">E335/P$3</f>
        <v>0</v>
      </c>
      <c r="R335" s="124" t="n">
        <f aca="false">F335/R$3</f>
        <v>0</v>
      </c>
      <c r="S335" s="126" t="n">
        <f aca="false">J335/$R$3</f>
        <v>0</v>
      </c>
      <c r="T335" s="126" t="n">
        <f aca="false">L335/$R$3</f>
        <v>0</v>
      </c>
      <c r="U335" s="126" t="n">
        <f aca="false">I335/$R$3</f>
        <v>-4.499</v>
      </c>
      <c r="V335" s="126" t="n">
        <f aca="false">M335/$R$3</f>
        <v>229.529</v>
      </c>
      <c r="W335" s="126" t="n">
        <f aca="false">N335/$R$3</f>
        <v>15.77495</v>
      </c>
    </row>
    <row r="336" customFormat="false" ht="12.75" hidden="false" customHeight="false" outlineLevel="0" collapsed="false">
      <c r="A336" s="120" t="n">
        <f aca="false">A335+1</f>
        <v>37222</v>
      </c>
      <c r="B336" s="131" t="str">
        <f aca="false">INDEX('Master Data'!$A$2:$B$8,MATCH(WEEKDAY('Modesto Maranzana Power'!A336,3),'Master Data'!$A$2:$A$8,0),2)</f>
        <v>T</v>
      </c>
      <c r="D336" s="124" t="n">
        <v>0</v>
      </c>
      <c r="E336" s="124" t="n">
        <v>0</v>
      </c>
      <c r="F336" s="124" t="n">
        <v>0</v>
      </c>
      <c r="G336" s="124" t="n">
        <v>0</v>
      </c>
      <c r="I336" s="124" t="n">
        <f aca="false">IF(MONTH($A336)=MONTH($A335),IF(G336=0,I335,G336),G336)</f>
        <v>-4499</v>
      </c>
      <c r="J336" s="124" t="n">
        <f aca="false">IF(MONTH($A336)=MONTH($A335),SUM(I336-I335),I336)</f>
        <v>0</v>
      </c>
      <c r="K336" s="124" t="n">
        <f aca="false">IF(WEEKDAY(A336,3)&gt;4,0,(IF(A336&lt;K$2,0,IF(A336&lt;=K$3,1,0))))</f>
        <v>0</v>
      </c>
      <c r="L336" s="124" t="n">
        <f aca="false">J336*K336</f>
        <v>0</v>
      </c>
      <c r="M336" s="124" t="n">
        <f aca="false">SUM(J$280:J336)</f>
        <v>229529</v>
      </c>
      <c r="N336" s="124" t="n">
        <f aca="false">SUM(J$6:J336)</f>
        <v>15774.95</v>
      </c>
      <c r="P336" s="124" t="n">
        <f aca="false">D336/P$3</f>
        <v>0</v>
      </c>
      <c r="Q336" s="124" t="n">
        <f aca="false">E336/P$3</f>
        <v>0</v>
      </c>
      <c r="R336" s="124" t="n">
        <f aca="false">F336/R$3</f>
        <v>0</v>
      </c>
      <c r="S336" s="126" t="n">
        <f aca="false">J336/$R$3</f>
        <v>0</v>
      </c>
      <c r="T336" s="126" t="n">
        <f aca="false">L336/$R$3</f>
        <v>0</v>
      </c>
      <c r="U336" s="126" t="n">
        <f aca="false">I336/$R$3</f>
        <v>-4.499</v>
      </c>
      <c r="V336" s="126" t="n">
        <f aca="false">M336/$R$3</f>
        <v>229.529</v>
      </c>
      <c r="W336" s="126" t="n">
        <f aca="false">N336/$R$3</f>
        <v>15.77495</v>
      </c>
    </row>
    <row r="337" customFormat="false" ht="12.75" hidden="false" customHeight="false" outlineLevel="0" collapsed="false">
      <c r="A337" s="120" t="n">
        <f aca="false">A336+1</f>
        <v>37223</v>
      </c>
      <c r="B337" s="131" t="str">
        <f aca="false">INDEX('Master Data'!$A$2:$B$8,MATCH(WEEKDAY('Modesto Maranzana Power'!A337,3),'Master Data'!$A$2:$A$8,0),2)</f>
        <v>W</v>
      </c>
      <c r="D337" s="124" t="n">
        <v>0</v>
      </c>
      <c r="E337" s="124" t="n">
        <v>0</v>
      </c>
      <c r="F337" s="124" t="n">
        <v>0</v>
      </c>
      <c r="G337" s="124" t="n">
        <v>0</v>
      </c>
      <c r="I337" s="124" t="n">
        <f aca="false">IF(MONTH($A337)=MONTH($A336),IF(G337=0,I336,G337),G337)</f>
        <v>-4499</v>
      </c>
      <c r="J337" s="124" t="n">
        <f aca="false">IF(MONTH($A337)=MONTH($A336),SUM(I337-I336),I337)</f>
        <v>0</v>
      </c>
      <c r="K337" s="124" t="n">
        <f aca="false">IF(WEEKDAY(A337,3)&gt;4,0,(IF(A337&lt;K$2,0,IF(A337&lt;=K$3,1,0))))</f>
        <v>0</v>
      </c>
      <c r="L337" s="124" t="n">
        <f aca="false">J337*K337</f>
        <v>0</v>
      </c>
      <c r="M337" s="124" t="n">
        <f aca="false">SUM(J$280:J337)</f>
        <v>229529</v>
      </c>
      <c r="N337" s="124" t="n">
        <f aca="false">SUM(J$6:J337)</f>
        <v>15774.95</v>
      </c>
      <c r="P337" s="124" t="n">
        <f aca="false">D337/P$3</f>
        <v>0</v>
      </c>
      <c r="Q337" s="124" t="n">
        <f aca="false">E337/P$3</f>
        <v>0</v>
      </c>
      <c r="R337" s="124" t="n">
        <f aca="false">F337/R$3</f>
        <v>0</v>
      </c>
      <c r="S337" s="126" t="n">
        <f aca="false">J337/$R$3</f>
        <v>0</v>
      </c>
      <c r="T337" s="126" t="n">
        <f aca="false">L337/$R$3</f>
        <v>0</v>
      </c>
      <c r="U337" s="126" t="n">
        <f aca="false">I337/$R$3</f>
        <v>-4.499</v>
      </c>
      <c r="V337" s="126" t="n">
        <f aca="false">M337/$R$3</f>
        <v>229.529</v>
      </c>
      <c r="W337" s="126" t="n">
        <f aca="false">N337/$R$3</f>
        <v>15.77495</v>
      </c>
    </row>
    <row r="338" customFormat="false" ht="12.75" hidden="false" customHeight="false" outlineLevel="0" collapsed="false">
      <c r="A338" s="120" t="n">
        <f aca="false">A337+1</f>
        <v>37224</v>
      </c>
      <c r="B338" s="131" t="str">
        <f aca="false">INDEX('Master Data'!$A$2:$B$8,MATCH(WEEKDAY('Modesto Maranzana Power'!A338,3),'Master Data'!$A$2:$A$8,0),2)</f>
        <v>Th</v>
      </c>
      <c r="D338" s="124" t="n">
        <v>0</v>
      </c>
      <c r="E338" s="124" t="n">
        <v>0</v>
      </c>
      <c r="F338" s="124" t="n">
        <v>0</v>
      </c>
      <c r="G338" s="124" t="n">
        <v>0</v>
      </c>
      <c r="I338" s="124" t="n">
        <f aca="false">IF(MONTH($A338)=MONTH($A337),IF(G338=0,I337,G338),G338)</f>
        <v>-4499</v>
      </c>
      <c r="J338" s="124" t="n">
        <f aca="false">IF(MONTH($A338)=MONTH($A337),SUM(I338-I337),I338)</f>
        <v>0</v>
      </c>
      <c r="K338" s="124" t="n">
        <f aca="false">IF(WEEKDAY(A338,3)&gt;4,0,(IF(A338&lt;K$2,0,IF(A338&lt;=K$3,1,0))))</f>
        <v>0</v>
      </c>
      <c r="L338" s="124" t="n">
        <f aca="false">J338*K338</f>
        <v>0</v>
      </c>
      <c r="M338" s="124" t="n">
        <f aca="false">SUM(J$280:J338)</f>
        <v>229529</v>
      </c>
      <c r="N338" s="124" t="n">
        <f aca="false">SUM(J$6:J338)</f>
        <v>15774.95</v>
      </c>
      <c r="P338" s="124" t="n">
        <f aca="false">D338/P$3</f>
        <v>0</v>
      </c>
      <c r="Q338" s="124" t="n">
        <f aca="false">E338/P$3</f>
        <v>0</v>
      </c>
      <c r="R338" s="124" t="n">
        <f aca="false">F338/R$3</f>
        <v>0</v>
      </c>
      <c r="S338" s="126" t="n">
        <f aca="false">J338/$R$3</f>
        <v>0</v>
      </c>
      <c r="T338" s="126" t="n">
        <f aca="false">L338/$R$3</f>
        <v>0</v>
      </c>
      <c r="U338" s="126" t="n">
        <f aca="false">I338/$R$3</f>
        <v>-4.499</v>
      </c>
      <c r="V338" s="126" t="n">
        <f aca="false">M338/$R$3</f>
        <v>229.529</v>
      </c>
      <c r="W338" s="126" t="n">
        <f aca="false">N338/$R$3</f>
        <v>15.77495</v>
      </c>
    </row>
    <row r="339" customFormat="false" ht="12.75" hidden="false" customHeight="false" outlineLevel="0" collapsed="false">
      <c r="A339" s="120" t="n">
        <f aca="false">A338+1</f>
        <v>37225</v>
      </c>
      <c r="B339" s="131" t="str">
        <f aca="false">INDEX('Master Data'!$A$2:$B$8,MATCH(WEEKDAY('Modesto Maranzana Power'!A339,3),'Master Data'!$A$2:$A$8,0),2)</f>
        <v>F</v>
      </c>
      <c r="D339" s="124" t="n">
        <v>0</v>
      </c>
      <c r="E339" s="124" t="n">
        <v>0</v>
      </c>
      <c r="F339" s="124" t="n">
        <v>0</v>
      </c>
      <c r="G339" s="124" t="n">
        <v>0</v>
      </c>
      <c r="I339" s="124" t="n">
        <f aca="false">IF(MONTH($A339)=MONTH($A338),IF(G339=0,I338,G339),G339)</f>
        <v>-4499</v>
      </c>
      <c r="J339" s="124" t="n">
        <f aca="false">IF(MONTH($A339)=MONTH($A338),SUM(I339-I338),I339)</f>
        <v>0</v>
      </c>
      <c r="K339" s="124" t="n">
        <f aca="false">IF(WEEKDAY(A339,3)&gt;4,0,(IF(A339&lt;K$2,0,IF(A339&lt;=K$3,1,0))))</f>
        <v>0</v>
      </c>
      <c r="L339" s="124" t="n">
        <f aca="false">J339*K339</f>
        <v>0</v>
      </c>
      <c r="M339" s="124" t="n">
        <f aca="false">SUM(J$280:J339)</f>
        <v>229529</v>
      </c>
      <c r="N339" s="124" t="n">
        <f aca="false">SUM(J$6:J339)</f>
        <v>15774.95</v>
      </c>
      <c r="P339" s="124" t="n">
        <f aca="false">D339/P$3</f>
        <v>0</v>
      </c>
      <c r="Q339" s="124" t="n">
        <f aca="false">E339/P$3</f>
        <v>0</v>
      </c>
      <c r="R339" s="124" t="n">
        <f aca="false">F339/R$3</f>
        <v>0</v>
      </c>
      <c r="S339" s="126" t="n">
        <f aca="false">J339/$R$3</f>
        <v>0</v>
      </c>
      <c r="T339" s="126" t="n">
        <f aca="false">L339/$R$3</f>
        <v>0</v>
      </c>
      <c r="U339" s="126" t="n">
        <f aca="false">I339/$R$3</f>
        <v>-4.499</v>
      </c>
      <c r="V339" s="126" t="n">
        <f aca="false">M339/$R$3</f>
        <v>229.529</v>
      </c>
      <c r="W339" s="126" t="n">
        <f aca="false">N339/$R$3</f>
        <v>15.77495</v>
      </c>
    </row>
    <row r="340" customFormat="false" ht="12.75" hidden="false" customHeight="false" outlineLevel="0" collapsed="false">
      <c r="A340" s="120" t="n">
        <f aca="false">A339+1</f>
        <v>37226</v>
      </c>
      <c r="B340" s="131" t="str">
        <f aca="false">INDEX('Master Data'!$A$2:$B$8,MATCH(WEEKDAY('Modesto Maranzana Power'!A340,3),'Master Data'!$A$2:$A$8,0),2)</f>
        <v>Sa</v>
      </c>
      <c r="D340" s="124" t="n">
        <v>0</v>
      </c>
      <c r="E340" s="124" t="n">
        <v>0</v>
      </c>
      <c r="F340" s="124" t="n">
        <v>0</v>
      </c>
      <c r="G340" s="124" t="n">
        <v>0</v>
      </c>
      <c r="I340" s="124" t="n">
        <f aca="false">IF(MONTH($A340)=MONTH($A339),IF(G340=0,I339,G340),G340)</f>
        <v>0</v>
      </c>
      <c r="J340" s="124" t="n">
        <f aca="false">IF(MONTH($A340)=MONTH($A339),SUM(I340-I339),I340)</f>
        <v>0</v>
      </c>
      <c r="K340" s="124" t="n">
        <f aca="false">IF(WEEKDAY(A340,3)&gt;4,0,(IF(A340&lt;K$2,0,IF(A340&lt;=K$3,1,0))))</f>
        <v>0</v>
      </c>
      <c r="L340" s="124" t="n">
        <f aca="false">J340*K340</f>
        <v>0</v>
      </c>
      <c r="M340" s="124" t="n">
        <f aca="false">SUM(J$280:J340)</f>
        <v>229529</v>
      </c>
      <c r="N340" s="124" t="n">
        <f aca="false">SUM(J$6:J340)</f>
        <v>15774.95</v>
      </c>
      <c r="P340" s="124" t="n">
        <f aca="false">D340/P$3</f>
        <v>0</v>
      </c>
      <c r="Q340" s="124" t="n">
        <f aca="false">E340/P$3</f>
        <v>0</v>
      </c>
      <c r="R340" s="124" t="n">
        <f aca="false">F340/R$3</f>
        <v>0</v>
      </c>
      <c r="S340" s="126" t="n">
        <f aca="false">J340/$R$3</f>
        <v>0</v>
      </c>
      <c r="T340" s="126" t="n">
        <f aca="false">L340/$R$3</f>
        <v>0</v>
      </c>
      <c r="U340" s="126" t="n">
        <f aca="false">I340/$R$3</f>
        <v>0</v>
      </c>
      <c r="V340" s="126" t="n">
        <f aca="false">M340/$R$3</f>
        <v>229.529</v>
      </c>
      <c r="W340" s="126" t="n">
        <f aca="false">N340/$R$3</f>
        <v>15.77495</v>
      </c>
    </row>
    <row r="341" customFormat="false" ht="12.75" hidden="false" customHeight="false" outlineLevel="0" collapsed="false">
      <c r="A341" s="120" t="n">
        <f aca="false">A340+1</f>
        <v>37227</v>
      </c>
      <c r="B341" s="131" t="str">
        <f aca="false">INDEX('Master Data'!$A$2:$B$8,MATCH(WEEKDAY('Modesto Maranzana Power'!A341,3),'Master Data'!$A$2:$A$8,0),2)</f>
        <v>Su</v>
      </c>
      <c r="D341" s="124" t="n">
        <v>0</v>
      </c>
      <c r="E341" s="124" t="n">
        <v>0</v>
      </c>
      <c r="F341" s="124" t="n">
        <v>0</v>
      </c>
      <c r="G341" s="124" t="n">
        <v>0</v>
      </c>
      <c r="I341" s="124" t="n">
        <f aca="false">IF(MONTH($A341)=MONTH($A340),IF(G341=0,I340,G341),G341)</f>
        <v>0</v>
      </c>
      <c r="J341" s="124" t="n">
        <f aca="false">IF(MONTH($A341)=MONTH($A340),SUM(I341-I340),I341)</f>
        <v>0</v>
      </c>
      <c r="K341" s="124" t="n">
        <f aca="false">IF(WEEKDAY(A341,3)&gt;4,0,(IF(A341&lt;K$2,0,IF(A341&lt;=K$3,1,0))))</f>
        <v>0</v>
      </c>
      <c r="L341" s="124" t="n">
        <f aca="false">J341*K341</f>
        <v>0</v>
      </c>
      <c r="M341" s="124" t="n">
        <f aca="false">SUM(J$280:J341)</f>
        <v>229529</v>
      </c>
      <c r="N341" s="124" t="n">
        <f aca="false">SUM(J$6:J341)</f>
        <v>15774.95</v>
      </c>
      <c r="P341" s="124" t="n">
        <f aca="false">D341/P$3</f>
        <v>0</v>
      </c>
      <c r="Q341" s="124" t="n">
        <f aca="false">E341/P$3</f>
        <v>0</v>
      </c>
      <c r="R341" s="124" t="n">
        <f aca="false">F341/R$3</f>
        <v>0</v>
      </c>
      <c r="S341" s="126" t="n">
        <f aca="false">J341/$R$3</f>
        <v>0</v>
      </c>
      <c r="T341" s="126" t="n">
        <f aca="false">L341/$R$3</f>
        <v>0</v>
      </c>
      <c r="U341" s="126" t="n">
        <f aca="false">I341/$R$3</f>
        <v>0</v>
      </c>
      <c r="V341" s="126" t="n">
        <f aca="false">M341/$R$3</f>
        <v>229.529</v>
      </c>
      <c r="W341" s="126" t="n">
        <f aca="false">N341/$R$3</f>
        <v>15.77495</v>
      </c>
    </row>
    <row r="342" customFormat="false" ht="12.75" hidden="false" customHeight="false" outlineLevel="0" collapsed="false">
      <c r="A342" s="120" t="n">
        <f aca="false">A341+1</f>
        <v>37228</v>
      </c>
      <c r="B342" s="131" t="str">
        <f aca="false">INDEX('Master Data'!$A$2:$B$8,MATCH(WEEKDAY('Modesto Maranzana Power'!A342,3),'Master Data'!$A$2:$A$8,0),2)</f>
        <v>M</v>
      </c>
      <c r="D342" s="124" t="n">
        <v>0</v>
      </c>
      <c r="E342" s="124" t="n">
        <v>0</v>
      </c>
      <c r="F342" s="124" t="n">
        <v>0</v>
      </c>
      <c r="G342" s="124" t="n">
        <v>0</v>
      </c>
      <c r="I342" s="124" t="n">
        <f aca="false">IF(MONTH($A342)=MONTH($A341),IF(G342=0,I341,G342),G342)</f>
        <v>0</v>
      </c>
      <c r="J342" s="124" t="n">
        <f aca="false">IF(MONTH($A342)=MONTH($A341),SUM(I342-I341),I342)</f>
        <v>0</v>
      </c>
      <c r="K342" s="124" t="n">
        <f aca="false">IF(WEEKDAY(A342,3)&gt;4,0,(IF(A342&lt;K$2,0,IF(A342&lt;=K$3,1,0))))</f>
        <v>0</v>
      </c>
      <c r="L342" s="124" t="n">
        <f aca="false">J342*K342</f>
        <v>0</v>
      </c>
      <c r="M342" s="124" t="n">
        <f aca="false">SUM(J$280:J342)</f>
        <v>229529</v>
      </c>
      <c r="N342" s="124" t="n">
        <f aca="false">SUM(J$6:J342)</f>
        <v>15774.95</v>
      </c>
      <c r="P342" s="124" t="n">
        <f aca="false">D342/P$3</f>
        <v>0</v>
      </c>
      <c r="Q342" s="124" t="n">
        <f aca="false">E342/P$3</f>
        <v>0</v>
      </c>
      <c r="R342" s="124" t="n">
        <f aca="false">F342/R$3</f>
        <v>0</v>
      </c>
      <c r="S342" s="126" t="n">
        <f aca="false">J342/$R$3</f>
        <v>0</v>
      </c>
      <c r="T342" s="126" t="n">
        <f aca="false">L342/$R$3</f>
        <v>0</v>
      </c>
      <c r="U342" s="126" t="n">
        <f aca="false">I342/$R$3</f>
        <v>0</v>
      </c>
      <c r="V342" s="126" t="n">
        <f aca="false">M342/$R$3</f>
        <v>229.529</v>
      </c>
      <c r="W342" s="126" t="n">
        <f aca="false">N342/$R$3</f>
        <v>15.77495</v>
      </c>
    </row>
    <row r="343" customFormat="false" ht="12.75" hidden="false" customHeight="false" outlineLevel="0" collapsed="false">
      <c r="A343" s="120" t="n">
        <f aca="false">A342+1</f>
        <v>37229</v>
      </c>
      <c r="B343" s="131" t="str">
        <f aca="false">INDEX('Master Data'!$A$2:$B$8,MATCH(WEEKDAY('Modesto Maranzana Power'!A343,3),'Master Data'!$A$2:$A$8,0),2)</f>
        <v>T</v>
      </c>
      <c r="D343" s="124" t="n">
        <v>0</v>
      </c>
      <c r="E343" s="124" t="n">
        <v>0</v>
      </c>
      <c r="F343" s="124" t="n">
        <v>0</v>
      </c>
      <c r="G343" s="124" t="n">
        <v>0</v>
      </c>
      <c r="I343" s="124" t="n">
        <f aca="false">IF(MONTH($A343)=MONTH($A342),IF(G343=0,I342,G343),G343)</f>
        <v>0</v>
      </c>
      <c r="J343" s="124" t="n">
        <f aca="false">IF(MONTH($A343)=MONTH($A342),SUM(I343-I342),I343)</f>
        <v>0</v>
      </c>
      <c r="K343" s="124" t="n">
        <f aca="false">IF(WEEKDAY(A343,3)&gt;4,0,(IF(A343&lt;K$2,0,IF(A343&lt;=K$3,1,0))))</f>
        <v>0</v>
      </c>
      <c r="L343" s="124" t="n">
        <f aca="false">J343*K343</f>
        <v>0</v>
      </c>
      <c r="M343" s="124" t="n">
        <f aca="false">SUM(J$280:J343)</f>
        <v>229529</v>
      </c>
      <c r="N343" s="124" t="n">
        <f aca="false">SUM(J$6:J343)</f>
        <v>15774.95</v>
      </c>
      <c r="P343" s="124" t="n">
        <f aca="false">D343/P$3</f>
        <v>0</v>
      </c>
      <c r="Q343" s="124" t="n">
        <f aca="false">E343/P$3</f>
        <v>0</v>
      </c>
      <c r="R343" s="124" t="n">
        <f aca="false">F343/R$3</f>
        <v>0</v>
      </c>
      <c r="S343" s="126" t="n">
        <f aca="false">J343/$R$3</f>
        <v>0</v>
      </c>
      <c r="T343" s="126" t="n">
        <f aca="false">L343/$R$3</f>
        <v>0</v>
      </c>
      <c r="U343" s="126" t="n">
        <f aca="false">I343/$R$3</f>
        <v>0</v>
      </c>
      <c r="V343" s="126" t="n">
        <f aca="false">M343/$R$3</f>
        <v>229.529</v>
      </c>
      <c r="W343" s="126" t="n">
        <f aca="false">N343/$R$3</f>
        <v>15.77495</v>
      </c>
    </row>
    <row r="344" customFormat="false" ht="12.75" hidden="false" customHeight="false" outlineLevel="0" collapsed="false">
      <c r="A344" s="120" t="n">
        <f aca="false">A343+1</f>
        <v>37230</v>
      </c>
      <c r="B344" s="131" t="str">
        <f aca="false">INDEX('Master Data'!$A$2:$B$8,MATCH(WEEKDAY('Modesto Maranzana Power'!A344,3),'Master Data'!$A$2:$A$8,0),2)</f>
        <v>W</v>
      </c>
      <c r="D344" s="124" t="n">
        <v>0</v>
      </c>
      <c r="E344" s="124" t="n">
        <v>0</v>
      </c>
      <c r="F344" s="124" t="n">
        <v>0</v>
      </c>
      <c r="G344" s="124" t="n">
        <v>0</v>
      </c>
      <c r="I344" s="124" t="n">
        <f aca="false">IF(MONTH($A344)=MONTH($A343),IF(G344=0,I343,G344),G344)</f>
        <v>0</v>
      </c>
      <c r="J344" s="124" t="n">
        <f aca="false">IF(MONTH($A344)=MONTH($A343),SUM(I344-I343),I344)</f>
        <v>0</v>
      </c>
      <c r="K344" s="124" t="n">
        <f aca="false">IF(WEEKDAY(A344,3)&gt;4,0,(IF(A344&lt;K$2,0,IF(A344&lt;=K$3,1,0))))</f>
        <v>0</v>
      </c>
      <c r="L344" s="124" t="n">
        <f aca="false">J344*K344</f>
        <v>0</v>
      </c>
      <c r="M344" s="124" t="n">
        <f aca="false">SUM(J$280:J344)</f>
        <v>229529</v>
      </c>
      <c r="N344" s="124" t="n">
        <f aca="false">SUM(J$6:J344)</f>
        <v>15774.95</v>
      </c>
      <c r="P344" s="124" t="n">
        <f aca="false">D344/P$3</f>
        <v>0</v>
      </c>
      <c r="Q344" s="124" t="n">
        <f aca="false">E344/P$3</f>
        <v>0</v>
      </c>
      <c r="R344" s="124" t="n">
        <f aca="false">F344/R$3</f>
        <v>0</v>
      </c>
      <c r="S344" s="126" t="n">
        <f aca="false">J344/$R$3</f>
        <v>0</v>
      </c>
      <c r="T344" s="126" t="n">
        <f aca="false">L344/$R$3</f>
        <v>0</v>
      </c>
      <c r="U344" s="126" t="n">
        <f aca="false">I344/$R$3</f>
        <v>0</v>
      </c>
      <c r="V344" s="126" t="n">
        <f aca="false">M344/$R$3</f>
        <v>229.529</v>
      </c>
      <c r="W344" s="126" t="n">
        <f aca="false">N344/$R$3</f>
        <v>15.77495</v>
      </c>
    </row>
    <row r="345" customFormat="false" ht="12.75" hidden="false" customHeight="false" outlineLevel="0" collapsed="false">
      <c r="A345" s="120" t="n">
        <f aca="false">A344+1</f>
        <v>37231</v>
      </c>
      <c r="B345" s="131" t="str">
        <f aca="false">INDEX('Master Data'!$A$2:$B$8,MATCH(WEEKDAY('Modesto Maranzana Power'!A345,3),'Master Data'!$A$2:$A$8,0),2)</f>
        <v>Th</v>
      </c>
      <c r="D345" s="124" t="n">
        <v>0</v>
      </c>
      <c r="E345" s="124" t="n">
        <v>0</v>
      </c>
      <c r="F345" s="124" t="n">
        <v>0</v>
      </c>
      <c r="G345" s="124" t="n">
        <v>0</v>
      </c>
      <c r="I345" s="124" t="n">
        <f aca="false">IF(MONTH($A345)=MONTH($A344),IF(G345=0,I344,G345),G345)</f>
        <v>0</v>
      </c>
      <c r="J345" s="124" t="n">
        <f aca="false">IF(MONTH($A345)=MONTH($A344),SUM(I345-I344),I345)</f>
        <v>0</v>
      </c>
      <c r="K345" s="124" t="n">
        <f aca="false">IF(WEEKDAY(A345,3)&gt;4,0,(IF(A345&lt;K$2,0,IF(A345&lt;=K$3,1,0))))</f>
        <v>0</v>
      </c>
      <c r="L345" s="124" t="n">
        <f aca="false">J345*K345</f>
        <v>0</v>
      </c>
      <c r="M345" s="124" t="n">
        <f aca="false">SUM(J$280:J345)</f>
        <v>229529</v>
      </c>
      <c r="N345" s="124" t="n">
        <f aca="false">SUM(J$6:J345)</f>
        <v>15774.95</v>
      </c>
      <c r="P345" s="124" t="n">
        <f aca="false">D345/P$3</f>
        <v>0</v>
      </c>
      <c r="Q345" s="124" t="n">
        <f aca="false">E345/P$3</f>
        <v>0</v>
      </c>
      <c r="R345" s="124" t="n">
        <f aca="false">F345/R$3</f>
        <v>0</v>
      </c>
      <c r="S345" s="126" t="n">
        <f aca="false">J345/$R$3</f>
        <v>0</v>
      </c>
      <c r="T345" s="126" t="n">
        <f aca="false">L345/$R$3</f>
        <v>0</v>
      </c>
      <c r="U345" s="126" t="n">
        <f aca="false">I345/$R$3</f>
        <v>0</v>
      </c>
      <c r="V345" s="126" t="n">
        <f aca="false">M345/$R$3</f>
        <v>229.529</v>
      </c>
      <c r="W345" s="126" t="n">
        <f aca="false">N345/$R$3</f>
        <v>15.77495</v>
      </c>
    </row>
    <row r="346" customFormat="false" ht="12.75" hidden="false" customHeight="false" outlineLevel="0" collapsed="false">
      <c r="A346" s="120" t="n">
        <f aca="false">A345+1</f>
        <v>37232</v>
      </c>
      <c r="B346" s="131" t="str">
        <f aca="false">INDEX('Master Data'!$A$2:$B$8,MATCH(WEEKDAY('Modesto Maranzana Power'!A346,3),'Master Data'!$A$2:$A$8,0),2)</f>
        <v>F</v>
      </c>
      <c r="D346" s="124" t="n">
        <v>0</v>
      </c>
      <c r="E346" s="124" t="n">
        <v>0</v>
      </c>
      <c r="F346" s="124" t="n">
        <v>0</v>
      </c>
      <c r="G346" s="124" t="n">
        <v>0</v>
      </c>
      <c r="I346" s="124" t="n">
        <f aca="false">IF(MONTH($A346)=MONTH($A345),IF(G346=0,I345,G346),G346)</f>
        <v>0</v>
      </c>
      <c r="J346" s="124" t="n">
        <f aca="false">IF(MONTH($A346)=MONTH($A345),SUM(I346-I345),I346)</f>
        <v>0</v>
      </c>
      <c r="K346" s="124" t="n">
        <f aca="false">IF(WEEKDAY(A346,3)&gt;4,0,(IF(A346&lt;K$2,0,IF(A346&lt;=K$3,1,0))))</f>
        <v>0</v>
      </c>
      <c r="L346" s="124" t="n">
        <f aca="false">J346*K346</f>
        <v>0</v>
      </c>
      <c r="M346" s="124" t="n">
        <f aca="false">SUM(J$280:J346)</f>
        <v>229529</v>
      </c>
      <c r="N346" s="124" t="n">
        <f aca="false">SUM(J$6:J346)</f>
        <v>15774.95</v>
      </c>
      <c r="P346" s="124" t="n">
        <f aca="false">D346/P$3</f>
        <v>0</v>
      </c>
      <c r="Q346" s="124" t="n">
        <f aca="false">E346/P$3</f>
        <v>0</v>
      </c>
      <c r="R346" s="124" t="n">
        <f aca="false">F346/R$3</f>
        <v>0</v>
      </c>
      <c r="S346" s="126" t="n">
        <f aca="false">J346/$R$3</f>
        <v>0</v>
      </c>
      <c r="T346" s="126" t="n">
        <f aca="false">L346/$R$3</f>
        <v>0</v>
      </c>
      <c r="U346" s="126" t="n">
        <f aca="false">I346/$R$3</f>
        <v>0</v>
      </c>
      <c r="V346" s="126" t="n">
        <f aca="false">M346/$R$3</f>
        <v>229.529</v>
      </c>
      <c r="W346" s="126" t="n">
        <f aca="false">N346/$R$3</f>
        <v>15.77495</v>
      </c>
    </row>
    <row r="347" customFormat="false" ht="12.75" hidden="false" customHeight="false" outlineLevel="0" collapsed="false">
      <c r="A347" s="120" t="n">
        <f aca="false">A346+1</f>
        <v>37233</v>
      </c>
      <c r="B347" s="131" t="str">
        <f aca="false">INDEX('Master Data'!$A$2:$B$8,MATCH(WEEKDAY('Modesto Maranzana Power'!A347,3),'Master Data'!$A$2:$A$8,0),2)</f>
        <v>Sa</v>
      </c>
      <c r="D347" s="124" t="n">
        <v>0</v>
      </c>
      <c r="E347" s="124" t="n">
        <v>0</v>
      </c>
      <c r="F347" s="124" t="n">
        <v>0</v>
      </c>
      <c r="G347" s="124" t="n">
        <v>0</v>
      </c>
      <c r="I347" s="124" t="n">
        <f aca="false">IF(MONTH($A347)=MONTH($A346),IF(G347=0,I346,G347),G347)</f>
        <v>0</v>
      </c>
      <c r="J347" s="124" t="n">
        <f aca="false">IF(MONTH($A347)=MONTH($A346),SUM(I347-I346),I347)</f>
        <v>0</v>
      </c>
      <c r="K347" s="124" t="n">
        <f aca="false">IF(WEEKDAY(A347,3)&gt;4,0,(IF(A347&lt;K$2,0,IF(A347&lt;=K$3,1,0))))</f>
        <v>0</v>
      </c>
      <c r="L347" s="124" t="n">
        <f aca="false">J347*K347</f>
        <v>0</v>
      </c>
      <c r="M347" s="124" t="n">
        <f aca="false">SUM(J$280:J347)</f>
        <v>229529</v>
      </c>
      <c r="N347" s="124" t="n">
        <f aca="false">SUM(J$6:J347)</f>
        <v>15774.95</v>
      </c>
      <c r="P347" s="124" t="n">
        <f aca="false">D347/P$3</f>
        <v>0</v>
      </c>
      <c r="Q347" s="124" t="n">
        <f aca="false">E347/P$3</f>
        <v>0</v>
      </c>
      <c r="R347" s="124" t="n">
        <f aca="false">F347/R$3</f>
        <v>0</v>
      </c>
      <c r="S347" s="126" t="n">
        <f aca="false">J347/$R$3</f>
        <v>0</v>
      </c>
      <c r="T347" s="126" t="n">
        <f aca="false">L347/$R$3</f>
        <v>0</v>
      </c>
      <c r="U347" s="126" t="n">
        <f aca="false">I347/$R$3</f>
        <v>0</v>
      </c>
      <c r="V347" s="126" t="n">
        <f aca="false">M347/$R$3</f>
        <v>229.529</v>
      </c>
      <c r="W347" s="126" t="n">
        <f aca="false">N347/$R$3</f>
        <v>15.77495</v>
      </c>
    </row>
    <row r="348" customFormat="false" ht="12.75" hidden="false" customHeight="false" outlineLevel="0" collapsed="false">
      <c r="A348" s="120" t="n">
        <f aca="false">A347+1</f>
        <v>37234</v>
      </c>
      <c r="B348" s="131" t="str">
        <f aca="false">INDEX('Master Data'!$A$2:$B$8,MATCH(WEEKDAY('Modesto Maranzana Power'!A348,3),'Master Data'!$A$2:$A$8,0),2)</f>
        <v>Su</v>
      </c>
      <c r="D348" s="124" t="n">
        <v>0</v>
      </c>
      <c r="E348" s="124" t="n">
        <v>0</v>
      </c>
      <c r="F348" s="124" t="n">
        <v>0</v>
      </c>
      <c r="G348" s="124" t="n">
        <v>0</v>
      </c>
      <c r="I348" s="124" t="n">
        <f aca="false">IF(MONTH($A348)=MONTH($A347),IF(G348=0,I347,G348),G348)</f>
        <v>0</v>
      </c>
      <c r="J348" s="124" t="n">
        <f aca="false">IF(MONTH($A348)=MONTH($A347),SUM(I348-I347),I348)</f>
        <v>0</v>
      </c>
      <c r="K348" s="124" t="n">
        <f aca="false">IF(WEEKDAY(A348,3)&gt;4,0,(IF(A348&lt;K$2,0,IF(A348&lt;=K$3,1,0))))</f>
        <v>0</v>
      </c>
      <c r="L348" s="124" t="n">
        <f aca="false">J348*K348</f>
        <v>0</v>
      </c>
      <c r="M348" s="124" t="n">
        <f aca="false">SUM(J$280:J348)</f>
        <v>229529</v>
      </c>
      <c r="N348" s="124" t="n">
        <f aca="false">SUM(J$6:J348)</f>
        <v>15774.95</v>
      </c>
      <c r="P348" s="124" t="n">
        <f aca="false">D348/P$3</f>
        <v>0</v>
      </c>
      <c r="Q348" s="124" t="n">
        <f aca="false">E348/P$3</f>
        <v>0</v>
      </c>
      <c r="R348" s="124" t="n">
        <f aca="false">F348/R$3</f>
        <v>0</v>
      </c>
      <c r="S348" s="126" t="n">
        <f aca="false">J348/$R$3</f>
        <v>0</v>
      </c>
      <c r="T348" s="126" t="n">
        <f aca="false">L348/$R$3</f>
        <v>0</v>
      </c>
      <c r="U348" s="126" t="n">
        <f aca="false">I348/$R$3</f>
        <v>0</v>
      </c>
      <c r="V348" s="126" t="n">
        <f aca="false">M348/$R$3</f>
        <v>229.529</v>
      </c>
      <c r="W348" s="126" t="n">
        <f aca="false">N348/$R$3</f>
        <v>15.77495</v>
      </c>
    </row>
    <row r="349" customFormat="false" ht="12.75" hidden="false" customHeight="false" outlineLevel="0" collapsed="false">
      <c r="A349" s="120" t="n">
        <f aca="false">A348+1</f>
        <v>37235</v>
      </c>
      <c r="B349" s="131" t="str">
        <f aca="false">INDEX('Master Data'!$A$2:$B$8,MATCH(WEEKDAY('Modesto Maranzana Power'!A349,3),'Master Data'!$A$2:$A$8,0),2)</f>
        <v>M</v>
      </c>
      <c r="D349" s="124" t="n">
        <v>0</v>
      </c>
      <c r="E349" s="124" t="n">
        <v>0</v>
      </c>
      <c r="F349" s="124" t="n">
        <v>0</v>
      </c>
      <c r="G349" s="124" t="n">
        <v>0</v>
      </c>
      <c r="I349" s="124" t="n">
        <f aca="false">IF(MONTH($A349)=MONTH($A348),IF(G349=0,I348,G349),G349)</f>
        <v>0</v>
      </c>
      <c r="J349" s="124" t="n">
        <f aca="false">IF(MONTH($A349)=MONTH($A348),SUM(I349-I348),I349)</f>
        <v>0</v>
      </c>
      <c r="K349" s="124" t="n">
        <f aca="false">IF(WEEKDAY(A349,3)&gt;4,0,(IF(A349&lt;K$2,0,IF(A349&lt;=K$3,1,0))))</f>
        <v>0</v>
      </c>
      <c r="L349" s="124" t="n">
        <f aca="false">J349*K349</f>
        <v>0</v>
      </c>
      <c r="M349" s="124" t="n">
        <f aca="false">SUM(J$280:J349)</f>
        <v>229529</v>
      </c>
      <c r="N349" s="124" t="n">
        <f aca="false">SUM(J$6:J349)</f>
        <v>15774.95</v>
      </c>
      <c r="P349" s="124" t="n">
        <f aca="false">D349/P$3</f>
        <v>0</v>
      </c>
      <c r="Q349" s="124" t="n">
        <f aca="false">E349/P$3</f>
        <v>0</v>
      </c>
      <c r="R349" s="124" t="n">
        <f aca="false">F349/R$3</f>
        <v>0</v>
      </c>
      <c r="S349" s="126" t="n">
        <f aca="false">J349/$R$3</f>
        <v>0</v>
      </c>
      <c r="T349" s="126" t="n">
        <f aca="false">L349/$R$3</f>
        <v>0</v>
      </c>
      <c r="U349" s="126" t="n">
        <f aca="false">I349/$R$3</f>
        <v>0</v>
      </c>
      <c r="V349" s="126" t="n">
        <f aca="false">M349/$R$3</f>
        <v>229.529</v>
      </c>
      <c r="W349" s="126" t="n">
        <f aca="false">N349/$R$3</f>
        <v>15.77495</v>
      </c>
    </row>
    <row r="350" customFormat="false" ht="12.75" hidden="false" customHeight="false" outlineLevel="0" collapsed="false">
      <c r="A350" s="120" t="n">
        <f aca="false">A349+1</f>
        <v>37236</v>
      </c>
      <c r="B350" s="131" t="str">
        <f aca="false">INDEX('Master Data'!$A$2:$B$8,MATCH(WEEKDAY('Modesto Maranzana Power'!A350,3),'Master Data'!$A$2:$A$8,0),2)</f>
        <v>T</v>
      </c>
      <c r="D350" s="124" t="n">
        <v>0</v>
      </c>
      <c r="E350" s="124" t="n">
        <v>0</v>
      </c>
      <c r="F350" s="124" t="n">
        <v>0</v>
      </c>
      <c r="G350" s="124" t="n">
        <v>0</v>
      </c>
      <c r="I350" s="124" t="n">
        <f aca="false">IF(MONTH($A350)=MONTH($A349),IF(G350=0,I349,G350),G350)</f>
        <v>0</v>
      </c>
      <c r="J350" s="124" t="n">
        <f aca="false">IF(MONTH($A350)=MONTH($A349),SUM(I350-I349),I350)</f>
        <v>0</v>
      </c>
      <c r="K350" s="124" t="n">
        <f aca="false">IF(WEEKDAY(A350,3)&gt;4,0,(IF(A350&lt;K$2,0,IF(A350&lt;=K$3,1,0))))</f>
        <v>0</v>
      </c>
      <c r="L350" s="124" t="n">
        <f aca="false">J350*K350</f>
        <v>0</v>
      </c>
      <c r="M350" s="124" t="n">
        <f aca="false">SUM(J$280:J350)</f>
        <v>229529</v>
      </c>
      <c r="N350" s="124" t="n">
        <f aca="false">SUM(J$6:J350)</f>
        <v>15774.95</v>
      </c>
      <c r="P350" s="124" t="n">
        <f aca="false">D350/P$3</f>
        <v>0</v>
      </c>
      <c r="Q350" s="124" t="n">
        <f aca="false">E350/P$3</f>
        <v>0</v>
      </c>
      <c r="R350" s="124" t="n">
        <f aca="false">F350/R$3</f>
        <v>0</v>
      </c>
      <c r="S350" s="126" t="n">
        <f aca="false">J350/$R$3</f>
        <v>0</v>
      </c>
      <c r="T350" s="126" t="n">
        <f aca="false">L350/$R$3</f>
        <v>0</v>
      </c>
      <c r="U350" s="126" t="n">
        <f aca="false">I350/$R$3</f>
        <v>0</v>
      </c>
      <c r="V350" s="126" t="n">
        <f aca="false">M350/$R$3</f>
        <v>229.529</v>
      </c>
      <c r="W350" s="126" t="n">
        <f aca="false">N350/$R$3</f>
        <v>15.77495</v>
      </c>
    </row>
    <row r="351" customFormat="false" ht="12.75" hidden="false" customHeight="false" outlineLevel="0" collapsed="false">
      <c r="A351" s="120" t="n">
        <f aca="false">A350+1</f>
        <v>37237</v>
      </c>
      <c r="B351" s="131" t="str">
        <f aca="false">INDEX('Master Data'!$A$2:$B$8,MATCH(WEEKDAY('Modesto Maranzana Power'!A351,3),'Master Data'!$A$2:$A$8,0),2)</f>
        <v>W</v>
      </c>
      <c r="D351" s="124" t="n">
        <v>0</v>
      </c>
      <c r="E351" s="124" t="n">
        <v>0</v>
      </c>
      <c r="F351" s="124" t="n">
        <v>0</v>
      </c>
      <c r="G351" s="124" t="n">
        <v>0</v>
      </c>
      <c r="I351" s="124" t="n">
        <f aca="false">IF(MONTH($A351)=MONTH($A350),IF(G351=0,I350,G351),G351)</f>
        <v>0</v>
      </c>
      <c r="J351" s="124" t="n">
        <f aca="false">IF(MONTH($A351)=MONTH($A350),SUM(I351-I350),I351)</f>
        <v>0</v>
      </c>
      <c r="K351" s="124" t="n">
        <f aca="false">IF(WEEKDAY(A351,3)&gt;4,0,(IF(A351&lt;K$2,0,IF(A351&lt;=K$3,1,0))))</f>
        <v>0</v>
      </c>
      <c r="L351" s="124" t="n">
        <f aca="false">J351*K351</f>
        <v>0</v>
      </c>
      <c r="M351" s="124" t="n">
        <f aca="false">SUM(J$280:J351)</f>
        <v>229529</v>
      </c>
      <c r="N351" s="124" t="n">
        <f aca="false">SUM(J$6:J351)</f>
        <v>15774.95</v>
      </c>
      <c r="P351" s="124" t="n">
        <f aca="false">D351/P$3</f>
        <v>0</v>
      </c>
      <c r="Q351" s="124" t="n">
        <f aca="false">E351/P$3</f>
        <v>0</v>
      </c>
      <c r="R351" s="124" t="n">
        <f aca="false">F351/R$3</f>
        <v>0</v>
      </c>
      <c r="S351" s="126" t="n">
        <f aca="false">J351/$R$3</f>
        <v>0</v>
      </c>
      <c r="T351" s="126" t="n">
        <f aca="false">L351/$R$3</f>
        <v>0</v>
      </c>
      <c r="U351" s="126" t="n">
        <f aca="false">I351/$R$3</f>
        <v>0</v>
      </c>
      <c r="V351" s="126" t="n">
        <f aca="false">M351/$R$3</f>
        <v>229.529</v>
      </c>
      <c r="W351" s="126" t="n">
        <f aca="false">N351/$R$3</f>
        <v>15.77495</v>
      </c>
    </row>
    <row r="352" customFormat="false" ht="12.75" hidden="false" customHeight="false" outlineLevel="0" collapsed="false">
      <c r="A352" s="120" t="n">
        <f aca="false">A351+1</f>
        <v>37238</v>
      </c>
      <c r="B352" s="131" t="str">
        <f aca="false">INDEX('Master Data'!$A$2:$B$8,MATCH(WEEKDAY('Modesto Maranzana Power'!A352,3),'Master Data'!$A$2:$A$8,0),2)</f>
        <v>Th</v>
      </c>
      <c r="D352" s="124" t="n">
        <v>0</v>
      </c>
      <c r="E352" s="124" t="n">
        <v>0</v>
      </c>
      <c r="F352" s="124" t="n">
        <v>0</v>
      </c>
      <c r="G352" s="124" t="n">
        <v>0</v>
      </c>
      <c r="I352" s="124" t="n">
        <f aca="false">IF(MONTH($A352)=MONTH($A351),IF(G352=0,I351,G352),G352)</f>
        <v>0</v>
      </c>
      <c r="J352" s="124" t="n">
        <f aca="false">IF(MONTH($A352)=MONTH($A351),SUM(I352-I351),I352)</f>
        <v>0</v>
      </c>
      <c r="K352" s="124" t="n">
        <f aca="false">IF(WEEKDAY(A352,3)&gt;4,0,(IF(A352&lt;K$2,0,IF(A352&lt;=K$3,1,0))))</f>
        <v>0</v>
      </c>
      <c r="L352" s="124" t="n">
        <f aca="false">J352*K352</f>
        <v>0</v>
      </c>
      <c r="M352" s="124" t="n">
        <f aca="false">SUM(J$280:J352)</f>
        <v>229529</v>
      </c>
      <c r="N352" s="124" t="n">
        <f aca="false">SUM(J$6:J352)</f>
        <v>15774.95</v>
      </c>
      <c r="P352" s="124" t="n">
        <f aca="false">D352/P$3</f>
        <v>0</v>
      </c>
      <c r="Q352" s="124" t="n">
        <f aca="false">E352/P$3</f>
        <v>0</v>
      </c>
      <c r="R352" s="124" t="n">
        <f aca="false">F352/R$3</f>
        <v>0</v>
      </c>
      <c r="S352" s="126" t="n">
        <f aca="false">J352/$R$3</f>
        <v>0</v>
      </c>
      <c r="T352" s="126" t="n">
        <f aca="false">L352/$R$3</f>
        <v>0</v>
      </c>
      <c r="U352" s="126" t="n">
        <f aca="false">I352/$R$3</f>
        <v>0</v>
      </c>
      <c r="V352" s="126" t="n">
        <f aca="false">M352/$R$3</f>
        <v>229.529</v>
      </c>
      <c r="W352" s="126" t="n">
        <f aca="false">N352/$R$3</f>
        <v>15.77495</v>
      </c>
    </row>
    <row r="353" customFormat="false" ht="12.75" hidden="false" customHeight="false" outlineLevel="0" collapsed="false">
      <c r="A353" s="120" t="n">
        <f aca="false">A352+1</f>
        <v>37239</v>
      </c>
      <c r="B353" s="131" t="str">
        <f aca="false">INDEX('Master Data'!$A$2:$B$8,MATCH(WEEKDAY('Modesto Maranzana Power'!A353,3),'Master Data'!$A$2:$A$8,0),2)</f>
        <v>F</v>
      </c>
      <c r="D353" s="124" t="n">
        <v>0</v>
      </c>
      <c r="E353" s="124" t="n">
        <v>0</v>
      </c>
      <c r="F353" s="124" t="n">
        <v>0</v>
      </c>
      <c r="G353" s="124" t="n">
        <v>0</v>
      </c>
      <c r="I353" s="124" t="n">
        <f aca="false">IF(MONTH($A353)=MONTH($A352),IF(G353=0,I352,G353),G353)</f>
        <v>0</v>
      </c>
      <c r="J353" s="124" t="n">
        <f aca="false">IF(MONTH($A353)=MONTH($A352),SUM(I353-I352),I353)</f>
        <v>0</v>
      </c>
      <c r="K353" s="124" t="n">
        <f aca="false">IF(WEEKDAY(A353,3)&gt;4,0,(IF(A353&lt;K$2,0,IF(A353&lt;=K$3,1,0))))</f>
        <v>0</v>
      </c>
      <c r="L353" s="124" t="n">
        <f aca="false">J353*K353</f>
        <v>0</v>
      </c>
      <c r="M353" s="124" t="n">
        <f aca="false">SUM(J$280:J353)</f>
        <v>229529</v>
      </c>
      <c r="N353" s="124" t="n">
        <f aca="false">SUM(J$6:J353)</f>
        <v>15774.95</v>
      </c>
      <c r="P353" s="124" t="n">
        <f aca="false">D353/P$3</f>
        <v>0</v>
      </c>
      <c r="Q353" s="124" t="n">
        <f aca="false">E353/P$3</f>
        <v>0</v>
      </c>
      <c r="R353" s="124" t="n">
        <f aca="false">F353/R$3</f>
        <v>0</v>
      </c>
      <c r="S353" s="126" t="n">
        <f aca="false">J353/$R$3</f>
        <v>0</v>
      </c>
      <c r="T353" s="126" t="n">
        <f aca="false">L353/$R$3</f>
        <v>0</v>
      </c>
      <c r="U353" s="126" t="n">
        <f aca="false">I353/$R$3</f>
        <v>0</v>
      </c>
      <c r="V353" s="126" t="n">
        <f aca="false">M353/$R$3</f>
        <v>229.529</v>
      </c>
      <c r="W353" s="126" t="n">
        <f aca="false">N353/$R$3</f>
        <v>15.77495</v>
      </c>
    </row>
    <row r="354" customFormat="false" ht="12.75" hidden="false" customHeight="false" outlineLevel="0" collapsed="false">
      <c r="A354" s="120" t="n">
        <f aca="false">A353+1</f>
        <v>37240</v>
      </c>
      <c r="B354" s="131" t="str">
        <f aca="false">INDEX('Master Data'!$A$2:$B$8,MATCH(WEEKDAY('Modesto Maranzana Power'!A354,3),'Master Data'!$A$2:$A$8,0),2)</f>
        <v>Sa</v>
      </c>
      <c r="D354" s="124" t="n">
        <v>0</v>
      </c>
      <c r="E354" s="124" t="n">
        <v>0</v>
      </c>
      <c r="F354" s="124" t="n">
        <v>0</v>
      </c>
      <c r="G354" s="124" t="n">
        <v>0</v>
      </c>
      <c r="I354" s="124" t="n">
        <f aca="false">IF(MONTH($A354)=MONTH($A353),IF(G354=0,I353,G354),G354)</f>
        <v>0</v>
      </c>
      <c r="J354" s="124" t="n">
        <f aca="false">IF(MONTH($A354)=MONTH($A353),SUM(I354-I353),I354)</f>
        <v>0</v>
      </c>
      <c r="K354" s="124" t="n">
        <f aca="false">IF(WEEKDAY(A354,3)&gt;4,0,(IF(A354&lt;K$2,0,IF(A354&lt;=K$3,1,0))))</f>
        <v>0</v>
      </c>
      <c r="L354" s="124" t="n">
        <f aca="false">J354*K354</f>
        <v>0</v>
      </c>
      <c r="M354" s="124" t="n">
        <f aca="false">SUM(J$280:J354)</f>
        <v>229529</v>
      </c>
      <c r="N354" s="124" t="n">
        <f aca="false">SUM(J$6:J354)</f>
        <v>15774.95</v>
      </c>
      <c r="P354" s="124" t="n">
        <f aca="false">D354/P$3</f>
        <v>0</v>
      </c>
      <c r="Q354" s="124" t="n">
        <f aca="false">E354/P$3</f>
        <v>0</v>
      </c>
      <c r="R354" s="124" t="n">
        <f aca="false">F354/R$3</f>
        <v>0</v>
      </c>
      <c r="S354" s="126" t="n">
        <f aca="false">J354/$R$3</f>
        <v>0</v>
      </c>
      <c r="T354" s="126" t="n">
        <f aca="false">L354/$R$3</f>
        <v>0</v>
      </c>
      <c r="U354" s="126" t="n">
        <f aca="false">I354/$R$3</f>
        <v>0</v>
      </c>
      <c r="V354" s="126" t="n">
        <f aca="false">M354/$R$3</f>
        <v>229.529</v>
      </c>
      <c r="W354" s="126" t="n">
        <f aca="false">N354/$R$3</f>
        <v>15.77495</v>
      </c>
    </row>
    <row r="355" customFormat="false" ht="12.75" hidden="false" customHeight="false" outlineLevel="0" collapsed="false">
      <c r="A355" s="120" t="n">
        <f aca="false">A354+1</f>
        <v>37241</v>
      </c>
      <c r="B355" s="131" t="str">
        <f aca="false">INDEX('Master Data'!$A$2:$B$8,MATCH(WEEKDAY('Modesto Maranzana Power'!A355,3),'Master Data'!$A$2:$A$8,0),2)</f>
        <v>Su</v>
      </c>
      <c r="D355" s="124" t="n">
        <v>0</v>
      </c>
      <c r="E355" s="124" t="n">
        <v>0</v>
      </c>
      <c r="F355" s="124" t="n">
        <v>0</v>
      </c>
      <c r="G355" s="124" t="n">
        <v>0</v>
      </c>
      <c r="I355" s="124" t="n">
        <f aca="false">IF(MONTH($A355)=MONTH($A354),IF(G355=0,I354,G355),G355)</f>
        <v>0</v>
      </c>
      <c r="J355" s="124" t="n">
        <f aca="false">IF(MONTH($A355)=MONTH($A354),SUM(I355-I354),I355)</f>
        <v>0</v>
      </c>
      <c r="K355" s="124" t="n">
        <f aca="false">IF(WEEKDAY(A355,3)&gt;4,0,(IF(A355&lt;K$2,0,IF(A355&lt;=K$3,1,0))))</f>
        <v>0</v>
      </c>
      <c r="L355" s="124" t="n">
        <f aca="false">J355*K355</f>
        <v>0</v>
      </c>
      <c r="M355" s="124" t="n">
        <f aca="false">SUM(J$280:J355)</f>
        <v>229529</v>
      </c>
      <c r="N355" s="124" t="n">
        <f aca="false">SUM(J$6:J355)</f>
        <v>15774.95</v>
      </c>
      <c r="P355" s="124" t="n">
        <f aca="false">D355/P$3</f>
        <v>0</v>
      </c>
      <c r="Q355" s="124" t="n">
        <f aca="false">E355/P$3</f>
        <v>0</v>
      </c>
      <c r="R355" s="124" t="n">
        <f aca="false">F355/R$3</f>
        <v>0</v>
      </c>
      <c r="S355" s="126" t="n">
        <f aca="false">J355/$R$3</f>
        <v>0</v>
      </c>
      <c r="T355" s="126" t="n">
        <f aca="false">L355/$R$3</f>
        <v>0</v>
      </c>
      <c r="U355" s="126" t="n">
        <f aca="false">I355/$R$3</f>
        <v>0</v>
      </c>
      <c r="V355" s="126" t="n">
        <f aca="false">M355/$R$3</f>
        <v>229.529</v>
      </c>
      <c r="W355" s="126" t="n">
        <f aca="false">N355/$R$3</f>
        <v>15.77495</v>
      </c>
    </row>
    <row r="356" customFormat="false" ht="12.75" hidden="false" customHeight="false" outlineLevel="0" collapsed="false">
      <c r="A356" s="120" t="n">
        <f aca="false">A355+1</f>
        <v>37242</v>
      </c>
      <c r="B356" s="131" t="str">
        <f aca="false">INDEX('Master Data'!$A$2:$B$8,MATCH(WEEKDAY('Modesto Maranzana Power'!A356,3),'Master Data'!$A$2:$A$8,0),2)</f>
        <v>M</v>
      </c>
      <c r="D356" s="124" t="n">
        <v>0</v>
      </c>
      <c r="E356" s="124" t="n">
        <v>0</v>
      </c>
      <c r="F356" s="124" t="n">
        <v>0</v>
      </c>
      <c r="G356" s="124" t="n">
        <v>0</v>
      </c>
      <c r="I356" s="124" t="n">
        <f aca="false">IF(MONTH($A356)=MONTH($A355),IF(G356=0,I355,G356),G356)</f>
        <v>0</v>
      </c>
      <c r="J356" s="124" t="n">
        <f aca="false">IF(MONTH($A356)=MONTH($A355),SUM(I356-I355),I356)</f>
        <v>0</v>
      </c>
      <c r="K356" s="124" t="n">
        <f aca="false">IF(WEEKDAY(A356,3)&gt;4,0,(IF(A356&lt;K$2,0,IF(A356&lt;=K$3,1,0))))</f>
        <v>0</v>
      </c>
      <c r="L356" s="124" t="n">
        <f aca="false">J356*K356</f>
        <v>0</v>
      </c>
      <c r="M356" s="124" t="n">
        <f aca="false">SUM(J$280:J356)</f>
        <v>229529</v>
      </c>
      <c r="N356" s="124" t="n">
        <f aca="false">SUM(J$6:J356)</f>
        <v>15774.95</v>
      </c>
      <c r="P356" s="124" t="n">
        <f aca="false">D356/P$3</f>
        <v>0</v>
      </c>
      <c r="Q356" s="124" t="n">
        <f aca="false">E356/P$3</f>
        <v>0</v>
      </c>
      <c r="R356" s="124" t="n">
        <f aca="false">F356/R$3</f>
        <v>0</v>
      </c>
      <c r="S356" s="126" t="n">
        <f aca="false">J356/$R$3</f>
        <v>0</v>
      </c>
      <c r="T356" s="126" t="n">
        <f aca="false">L356/$R$3</f>
        <v>0</v>
      </c>
      <c r="U356" s="126" t="n">
        <f aca="false">I356/$R$3</f>
        <v>0</v>
      </c>
      <c r="V356" s="126" t="n">
        <f aca="false">M356/$R$3</f>
        <v>229.529</v>
      </c>
      <c r="W356" s="126" t="n">
        <f aca="false">N356/$R$3</f>
        <v>15.77495</v>
      </c>
    </row>
    <row r="357" customFormat="false" ht="12.75" hidden="false" customHeight="false" outlineLevel="0" collapsed="false">
      <c r="A357" s="120" t="n">
        <f aca="false">A356+1</f>
        <v>37243</v>
      </c>
      <c r="B357" s="131" t="str">
        <f aca="false">INDEX('Master Data'!$A$2:$B$8,MATCH(WEEKDAY('Modesto Maranzana Power'!A357,3),'Master Data'!$A$2:$A$8,0),2)</f>
        <v>T</v>
      </c>
      <c r="D357" s="124" t="n">
        <v>0</v>
      </c>
      <c r="E357" s="124" t="n">
        <v>0</v>
      </c>
      <c r="F357" s="124" t="n">
        <v>0</v>
      </c>
      <c r="G357" s="124" t="n">
        <v>0</v>
      </c>
      <c r="I357" s="124" t="n">
        <f aca="false">IF(MONTH($A357)=MONTH($A356),IF(G357=0,I356,G357),G357)</f>
        <v>0</v>
      </c>
      <c r="J357" s="124" t="n">
        <f aca="false">IF(MONTH($A357)=MONTH($A356),SUM(I357-I356),I357)</f>
        <v>0</v>
      </c>
      <c r="K357" s="124" t="n">
        <f aca="false">IF(WEEKDAY(A357,3)&gt;4,0,(IF(A357&lt;K$2,0,IF(A357&lt;=K$3,1,0))))</f>
        <v>0</v>
      </c>
      <c r="L357" s="124" t="n">
        <f aca="false">J357*K357</f>
        <v>0</v>
      </c>
      <c r="M357" s="124" t="n">
        <f aca="false">SUM(J$280:J357)</f>
        <v>229529</v>
      </c>
      <c r="N357" s="124" t="n">
        <f aca="false">SUM(J$6:J357)</f>
        <v>15774.95</v>
      </c>
      <c r="P357" s="124" t="n">
        <f aca="false">D357/P$3</f>
        <v>0</v>
      </c>
      <c r="Q357" s="124" t="n">
        <f aca="false">E357/P$3</f>
        <v>0</v>
      </c>
      <c r="R357" s="124" t="n">
        <f aca="false">F357/R$3</f>
        <v>0</v>
      </c>
      <c r="S357" s="126" t="n">
        <f aca="false">J357/$R$3</f>
        <v>0</v>
      </c>
      <c r="T357" s="126" t="n">
        <f aca="false">L357/$R$3</f>
        <v>0</v>
      </c>
      <c r="U357" s="126" t="n">
        <f aca="false">I357/$R$3</f>
        <v>0</v>
      </c>
      <c r="V357" s="126" t="n">
        <f aca="false">M357/$R$3</f>
        <v>229.529</v>
      </c>
      <c r="W357" s="126" t="n">
        <f aca="false">N357/$R$3</f>
        <v>15.77495</v>
      </c>
    </row>
    <row r="358" customFormat="false" ht="12.75" hidden="false" customHeight="false" outlineLevel="0" collapsed="false">
      <c r="A358" s="120" t="n">
        <f aca="false">A357+1</f>
        <v>37244</v>
      </c>
      <c r="B358" s="131" t="str">
        <f aca="false">INDEX('Master Data'!$A$2:$B$8,MATCH(WEEKDAY('Modesto Maranzana Power'!A358,3),'Master Data'!$A$2:$A$8,0),2)</f>
        <v>W</v>
      </c>
      <c r="D358" s="124" t="n">
        <v>0</v>
      </c>
      <c r="E358" s="124" t="n">
        <v>0</v>
      </c>
      <c r="F358" s="124" t="n">
        <v>0</v>
      </c>
      <c r="G358" s="124" t="n">
        <v>0</v>
      </c>
      <c r="I358" s="124" t="n">
        <f aca="false">IF(MONTH($A358)=MONTH($A357),IF(G358=0,I357,G358),G358)</f>
        <v>0</v>
      </c>
      <c r="J358" s="124" t="n">
        <f aca="false">IF(MONTH($A358)=MONTH($A357),SUM(I358-I357),I358)</f>
        <v>0</v>
      </c>
      <c r="K358" s="124" t="n">
        <f aca="false">IF(WEEKDAY(A358,3)&gt;4,0,(IF(A358&lt;K$2,0,IF(A358&lt;=K$3,1,0))))</f>
        <v>0</v>
      </c>
      <c r="L358" s="124" t="n">
        <f aca="false">J358*K358</f>
        <v>0</v>
      </c>
      <c r="M358" s="124" t="n">
        <f aca="false">SUM(J$280:J358)</f>
        <v>229529</v>
      </c>
      <c r="N358" s="124" t="n">
        <f aca="false">SUM(J$6:J358)</f>
        <v>15774.95</v>
      </c>
      <c r="P358" s="124" t="n">
        <f aca="false">D358/P$3</f>
        <v>0</v>
      </c>
      <c r="Q358" s="124" t="n">
        <f aca="false">E358/P$3</f>
        <v>0</v>
      </c>
      <c r="R358" s="124" t="n">
        <f aca="false">F358/R$3</f>
        <v>0</v>
      </c>
      <c r="S358" s="126" t="n">
        <f aca="false">J358/$R$3</f>
        <v>0</v>
      </c>
      <c r="T358" s="126" t="n">
        <f aca="false">L358/$R$3</f>
        <v>0</v>
      </c>
      <c r="U358" s="126" t="n">
        <f aca="false">I358/$R$3</f>
        <v>0</v>
      </c>
      <c r="V358" s="126" t="n">
        <f aca="false">M358/$R$3</f>
        <v>229.529</v>
      </c>
      <c r="W358" s="126" t="n">
        <f aca="false">N358/$R$3</f>
        <v>15.77495</v>
      </c>
    </row>
    <row r="359" customFormat="false" ht="12.75" hidden="false" customHeight="false" outlineLevel="0" collapsed="false">
      <c r="A359" s="120" t="n">
        <f aca="false">A358+1</f>
        <v>37245</v>
      </c>
      <c r="B359" s="131" t="str">
        <f aca="false">INDEX('Master Data'!$A$2:$B$8,MATCH(WEEKDAY('Modesto Maranzana Power'!A359,3),'Master Data'!$A$2:$A$8,0),2)</f>
        <v>Th</v>
      </c>
      <c r="D359" s="124" t="n">
        <v>0</v>
      </c>
      <c r="E359" s="124" t="n">
        <v>0</v>
      </c>
      <c r="F359" s="124" t="n">
        <v>0</v>
      </c>
      <c r="G359" s="124" t="n">
        <v>0</v>
      </c>
      <c r="I359" s="124" t="n">
        <f aca="false">IF(MONTH($A359)=MONTH($A358),IF(G359=0,I358,G359),G359)</f>
        <v>0</v>
      </c>
      <c r="J359" s="124" t="n">
        <f aca="false">IF(MONTH($A359)=MONTH($A358),SUM(I359-I358),I359)</f>
        <v>0</v>
      </c>
      <c r="K359" s="124" t="n">
        <f aca="false">IF(WEEKDAY(A359,3)&gt;4,0,(IF(A359&lt;K$2,0,IF(A359&lt;=K$3,1,0))))</f>
        <v>0</v>
      </c>
      <c r="L359" s="124" t="n">
        <f aca="false">J359*K359</f>
        <v>0</v>
      </c>
      <c r="M359" s="124" t="n">
        <f aca="false">SUM(J$280:J359)</f>
        <v>229529</v>
      </c>
      <c r="N359" s="124" t="n">
        <f aca="false">SUM(J$6:J359)</f>
        <v>15774.95</v>
      </c>
      <c r="P359" s="124" t="n">
        <f aca="false">D359/P$3</f>
        <v>0</v>
      </c>
      <c r="Q359" s="124" t="n">
        <f aca="false">E359/P$3</f>
        <v>0</v>
      </c>
      <c r="R359" s="124" t="n">
        <f aca="false">F359/R$3</f>
        <v>0</v>
      </c>
      <c r="S359" s="126" t="n">
        <f aca="false">J359/$R$3</f>
        <v>0</v>
      </c>
      <c r="T359" s="126" t="n">
        <f aca="false">L359/$R$3</f>
        <v>0</v>
      </c>
      <c r="U359" s="126" t="n">
        <f aca="false">I359/$R$3</f>
        <v>0</v>
      </c>
      <c r="V359" s="126" t="n">
        <f aca="false">M359/$R$3</f>
        <v>229.529</v>
      </c>
      <c r="W359" s="126" t="n">
        <f aca="false">N359/$R$3</f>
        <v>15.77495</v>
      </c>
    </row>
    <row r="360" customFormat="false" ht="12.75" hidden="false" customHeight="false" outlineLevel="0" collapsed="false">
      <c r="A360" s="120" t="n">
        <f aca="false">A359+1</f>
        <v>37246</v>
      </c>
      <c r="B360" s="131" t="str">
        <f aca="false">INDEX('Master Data'!$A$2:$B$8,MATCH(WEEKDAY('Modesto Maranzana Power'!A360,3),'Master Data'!$A$2:$A$8,0),2)</f>
        <v>F</v>
      </c>
      <c r="D360" s="124" t="n">
        <v>0</v>
      </c>
      <c r="E360" s="124" t="n">
        <v>0</v>
      </c>
      <c r="F360" s="124" t="n">
        <v>0</v>
      </c>
      <c r="G360" s="124" t="n">
        <v>0</v>
      </c>
      <c r="I360" s="124" t="n">
        <f aca="false">IF(MONTH($A360)=MONTH($A359),IF(G360=0,I359,G360),G360)</f>
        <v>0</v>
      </c>
      <c r="J360" s="124" t="n">
        <f aca="false">IF(MONTH($A360)=MONTH($A359),SUM(I360-I359),I360)</f>
        <v>0</v>
      </c>
      <c r="K360" s="124" t="n">
        <f aca="false">IF(WEEKDAY(A360,3)&gt;4,0,(IF(A360&lt;K$2,0,IF(A360&lt;=K$3,1,0))))</f>
        <v>0</v>
      </c>
      <c r="L360" s="124" t="n">
        <f aca="false">J360*K360</f>
        <v>0</v>
      </c>
      <c r="M360" s="124" t="n">
        <f aca="false">SUM(J$280:J360)</f>
        <v>229529</v>
      </c>
      <c r="N360" s="124" t="n">
        <f aca="false">SUM(J$6:J360)</f>
        <v>15774.95</v>
      </c>
      <c r="P360" s="124" t="n">
        <f aca="false">D360/P$3</f>
        <v>0</v>
      </c>
      <c r="Q360" s="124" t="n">
        <f aca="false">E360/P$3</f>
        <v>0</v>
      </c>
      <c r="R360" s="124" t="n">
        <f aca="false">F360/R$3</f>
        <v>0</v>
      </c>
      <c r="S360" s="126" t="n">
        <f aca="false">J360/$R$3</f>
        <v>0</v>
      </c>
      <c r="T360" s="126" t="n">
        <f aca="false">L360/$R$3</f>
        <v>0</v>
      </c>
      <c r="U360" s="126" t="n">
        <f aca="false">I360/$R$3</f>
        <v>0</v>
      </c>
      <c r="V360" s="126" t="n">
        <f aca="false">M360/$R$3</f>
        <v>229.529</v>
      </c>
      <c r="W360" s="126" t="n">
        <f aca="false">N360/$R$3</f>
        <v>15.77495</v>
      </c>
    </row>
    <row r="361" customFormat="false" ht="12.75" hidden="false" customHeight="false" outlineLevel="0" collapsed="false">
      <c r="A361" s="120" t="n">
        <f aca="false">A360+1</f>
        <v>37247</v>
      </c>
      <c r="B361" s="131" t="str">
        <f aca="false">INDEX('Master Data'!$A$2:$B$8,MATCH(WEEKDAY('Modesto Maranzana Power'!A361,3),'Master Data'!$A$2:$A$8,0),2)</f>
        <v>Sa</v>
      </c>
      <c r="D361" s="124" t="n">
        <v>0</v>
      </c>
      <c r="E361" s="124" t="n">
        <v>0</v>
      </c>
      <c r="F361" s="124" t="n">
        <v>0</v>
      </c>
      <c r="G361" s="124" t="n">
        <v>0</v>
      </c>
      <c r="I361" s="124" t="n">
        <f aca="false">IF(MONTH($A361)=MONTH($A360),IF(G361=0,I360,G361),G361)</f>
        <v>0</v>
      </c>
      <c r="J361" s="124" t="n">
        <f aca="false">IF(MONTH($A361)=MONTH($A360),SUM(I361-I360),I361)</f>
        <v>0</v>
      </c>
      <c r="K361" s="124" t="n">
        <f aca="false">IF(WEEKDAY(A361,3)&gt;4,0,(IF(A361&lt;K$2,0,IF(A361&lt;=K$3,1,0))))</f>
        <v>0</v>
      </c>
      <c r="L361" s="124" t="n">
        <f aca="false">J361*K361</f>
        <v>0</v>
      </c>
      <c r="M361" s="124" t="n">
        <f aca="false">SUM(J$280:J361)</f>
        <v>229529</v>
      </c>
      <c r="N361" s="124" t="n">
        <f aca="false">SUM(J$6:J361)</f>
        <v>15774.95</v>
      </c>
      <c r="P361" s="124" t="n">
        <f aca="false">D361/P$3</f>
        <v>0</v>
      </c>
      <c r="Q361" s="124" t="n">
        <f aca="false">E361/P$3</f>
        <v>0</v>
      </c>
      <c r="R361" s="124" t="n">
        <f aca="false">F361/R$3</f>
        <v>0</v>
      </c>
      <c r="S361" s="126" t="n">
        <f aca="false">J361/$R$3</f>
        <v>0</v>
      </c>
      <c r="T361" s="126" t="n">
        <f aca="false">L361/$R$3</f>
        <v>0</v>
      </c>
      <c r="U361" s="126" t="n">
        <f aca="false">I361/$R$3</f>
        <v>0</v>
      </c>
      <c r="V361" s="126" t="n">
        <f aca="false">M361/$R$3</f>
        <v>229.529</v>
      </c>
      <c r="W361" s="126" t="n">
        <f aca="false">N361/$R$3</f>
        <v>15.77495</v>
      </c>
    </row>
    <row r="362" customFormat="false" ht="12.75" hidden="false" customHeight="false" outlineLevel="0" collapsed="false">
      <c r="A362" s="120" t="n">
        <f aca="false">A361+1</f>
        <v>37248</v>
      </c>
      <c r="B362" s="131" t="str">
        <f aca="false">INDEX('Master Data'!$A$2:$B$8,MATCH(WEEKDAY('Modesto Maranzana Power'!A362,3),'Master Data'!$A$2:$A$8,0),2)</f>
        <v>Su</v>
      </c>
      <c r="D362" s="124" t="n">
        <v>0</v>
      </c>
      <c r="E362" s="124" t="n">
        <v>0</v>
      </c>
      <c r="F362" s="124" t="n">
        <v>0</v>
      </c>
      <c r="G362" s="124" t="n">
        <v>0</v>
      </c>
      <c r="I362" s="124" t="n">
        <f aca="false">IF(MONTH($A362)=MONTH($A361),IF(G362=0,I361,G362),G362)</f>
        <v>0</v>
      </c>
      <c r="J362" s="124" t="n">
        <f aca="false">IF(MONTH($A362)=MONTH($A361),SUM(I362-I361),I362)</f>
        <v>0</v>
      </c>
      <c r="K362" s="124" t="n">
        <f aca="false">IF(WEEKDAY(A362,3)&gt;4,0,(IF(A362&lt;K$2,0,IF(A362&lt;=K$3,1,0))))</f>
        <v>0</v>
      </c>
      <c r="L362" s="124" t="n">
        <f aca="false">J362*K362</f>
        <v>0</v>
      </c>
      <c r="M362" s="124" t="n">
        <f aca="false">SUM(J$280:J362)</f>
        <v>229529</v>
      </c>
      <c r="N362" s="124" t="n">
        <f aca="false">SUM(J$6:J362)</f>
        <v>15774.95</v>
      </c>
      <c r="P362" s="124" t="n">
        <f aca="false">D362/P$3</f>
        <v>0</v>
      </c>
      <c r="Q362" s="124" t="n">
        <f aca="false">E362/P$3</f>
        <v>0</v>
      </c>
      <c r="R362" s="124" t="n">
        <f aca="false">F362/R$3</f>
        <v>0</v>
      </c>
      <c r="S362" s="126" t="n">
        <f aca="false">J362/$R$3</f>
        <v>0</v>
      </c>
      <c r="T362" s="126" t="n">
        <f aca="false">L362/$R$3</f>
        <v>0</v>
      </c>
      <c r="U362" s="126" t="n">
        <f aca="false">I362/$R$3</f>
        <v>0</v>
      </c>
      <c r="V362" s="126" t="n">
        <f aca="false">M362/$R$3</f>
        <v>229.529</v>
      </c>
      <c r="W362" s="126" t="n">
        <f aca="false">N362/$R$3</f>
        <v>15.77495</v>
      </c>
    </row>
    <row r="363" customFormat="false" ht="12.75" hidden="false" customHeight="false" outlineLevel="0" collapsed="false">
      <c r="A363" s="120" t="n">
        <f aca="false">A362+1</f>
        <v>37249</v>
      </c>
      <c r="B363" s="131" t="str">
        <f aca="false">INDEX('Master Data'!$A$2:$B$8,MATCH(WEEKDAY('Modesto Maranzana Power'!A363,3),'Master Data'!$A$2:$A$8,0),2)</f>
        <v>M</v>
      </c>
      <c r="D363" s="124" t="n">
        <v>0</v>
      </c>
      <c r="E363" s="124" t="n">
        <v>0</v>
      </c>
      <c r="F363" s="124" t="n">
        <v>0</v>
      </c>
      <c r="G363" s="124" t="n">
        <v>0</v>
      </c>
      <c r="I363" s="124" t="n">
        <f aca="false">IF(MONTH($A363)=MONTH($A362),IF(G363=0,I362,G363),G363)</f>
        <v>0</v>
      </c>
      <c r="J363" s="124" t="n">
        <f aca="false">IF(MONTH($A363)=MONTH($A362),SUM(I363-I362),I363)</f>
        <v>0</v>
      </c>
      <c r="K363" s="124" t="n">
        <f aca="false">IF(WEEKDAY(A363,3)&gt;4,0,(IF(A363&lt;K$2,0,IF(A363&lt;=K$3,1,0))))</f>
        <v>0</v>
      </c>
      <c r="L363" s="124" t="n">
        <f aca="false">J363*K363</f>
        <v>0</v>
      </c>
      <c r="M363" s="124" t="n">
        <f aca="false">SUM(J$280:J363)</f>
        <v>229529</v>
      </c>
      <c r="N363" s="124" t="n">
        <f aca="false">SUM(J$6:J363)</f>
        <v>15774.95</v>
      </c>
      <c r="P363" s="124" t="n">
        <f aca="false">D363/P$3</f>
        <v>0</v>
      </c>
      <c r="Q363" s="124" t="n">
        <f aca="false">E363/P$3</f>
        <v>0</v>
      </c>
      <c r="R363" s="124" t="n">
        <f aca="false">F363/R$3</f>
        <v>0</v>
      </c>
      <c r="S363" s="126" t="n">
        <f aca="false">J363/$R$3</f>
        <v>0</v>
      </c>
      <c r="T363" s="126" t="n">
        <f aca="false">L363/$R$3</f>
        <v>0</v>
      </c>
      <c r="U363" s="126" t="n">
        <f aca="false">I363/$R$3</f>
        <v>0</v>
      </c>
      <c r="V363" s="126" t="n">
        <f aca="false">M363/$R$3</f>
        <v>229.529</v>
      </c>
      <c r="W363" s="126" t="n">
        <f aca="false">N363/$R$3</f>
        <v>15.77495</v>
      </c>
    </row>
    <row r="364" customFormat="false" ht="12.75" hidden="false" customHeight="false" outlineLevel="0" collapsed="false">
      <c r="A364" s="120" t="n">
        <f aca="false">A363+1</f>
        <v>37250</v>
      </c>
      <c r="B364" s="131" t="str">
        <f aca="false">INDEX('Master Data'!$A$2:$B$8,MATCH(WEEKDAY('Modesto Maranzana Power'!A364,3),'Master Data'!$A$2:$A$8,0),2)</f>
        <v>T</v>
      </c>
      <c r="D364" s="124" t="n">
        <v>0</v>
      </c>
      <c r="E364" s="124" t="n">
        <v>0</v>
      </c>
      <c r="F364" s="124" t="n">
        <v>0</v>
      </c>
      <c r="G364" s="124" t="n">
        <v>0</v>
      </c>
      <c r="I364" s="124" t="n">
        <f aca="false">IF(MONTH($A364)=MONTH($A363),IF(G364=0,I363,G364),G364)</f>
        <v>0</v>
      </c>
      <c r="J364" s="124" t="n">
        <f aca="false">IF(MONTH($A364)=MONTH($A363),SUM(I364-I363),I364)</f>
        <v>0</v>
      </c>
      <c r="K364" s="124" t="n">
        <f aca="false">IF(WEEKDAY(A364,3)&gt;4,0,(IF(A364&lt;K$2,0,IF(A364&lt;=K$3,1,0))))</f>
        <v>0</v>
      </c>
      <c r="L364" s="124" t="n">
        <f aca="false">J364*K364</f>
        <v>0</v>
      </c>
      <c r="M364" s="124" t="n">
        <f aca="false">SUM(J$280:J364)</f>
        <v>229529</v>
      </c>
      <c r="N364" s="124" t="n">
        <f aca="false">SUM(J$6:J364)</f>
        <v>15774.95</v>
      </c>
      <c r="P364" s="124" t="n">
        <f aca="false">D364/P$3</f>
        <v>0</v>
      </c>
      <c r="Q364" s="124" t="n">
        <f aca="false">E364/P$3</f>
        <v>0</v>
      </c>
      <c r="R364" s="124" t="n">
        <f aca="false">F364/R$3</f>
        <v>0</v>
      </c>
      <c r="S364" s="126" t="n">
        <f aca="false">J364/$R$3</f>
        <v>0</v>
      </c>
      <c r="T364" s="126" t="n">
        <f aca="false">L364/$R$3</f>
        <v>0</v>
      </c>
      <c r="U364" s="126" t="n">
        <f aca="false">I364/$R$3</f>
        <v>0</v>
      </c>
      <c r="V364" s="126" t="n">
        <f aca="false">M364/$R$3</f>
        <v>229.529</v>
      </c>
      <c r="W364" s="126" t="n">
        <f aca="false">N364/$R$3</f>
        <v>15.77495</v>
      </c>
    </row>
    <row r="365" customFormat="false" ht="12.75" hidden="false" customHeight="false" outlineLevel="0" collapsed="false">
      <c r="A365" s="120" t="n">
        <f aca="false">A364+1</f>
        <v>37251</v>
      </c>
      <c r="B365" s="131" t="str">
        <f aca="false">INDEX('Master Data'!$A$2:$B$8,MATCH(WEEKDAY('Modesto Maranzana Power'!A365,3),'Master Data'!$A$2:$A$8,0),2)</f>
        <v>W</v>
      </c>
      <c r="D365" s="124" t="n">
        <v>0</v>
      </c>
      <c r="E365" s="124" t="n">
        <v>0</v>
      </c>
      <c r="F365" s="124" t="n">
        <v>0</v>
      </c>
      <c r="G365" s="124" t="n">
        <v>0</v>
      </c>
      <c r="I365" s="124" t="n">
        <f aca="false">IF(MONTH($A365)=MONTH($A364),IF(G365=0,I364,G365),G365)</f>
        <v>0</v>
      </c>
      <c r="J365" s="124" t="n">
        <f aca="false">IF(MONTH($A365)=MONTH($A364),SUM(I365-I364),I365)</f>
        <v>0</v>
      </c>
      <c r="K365" s="124" t="n">
        <f aca="false">IF(WEEKDAY(A365,3)&gt;4,0,(IF(A365&lt;K$2,0,IF(A365&lt;=K$3,1,0))))</f>
        <v>0</v>
      </c>
      <c r="L365" s="124" t="n">
        <f aca="false">J365*K365</f>
        <v>0</v>
      </c>
      <c r="M365" s="124" t="n">
        <f aca="false">SUM(J$280:J365)</f>
        <v>229529</v>
      </c>
      <c r="N365" s="124" t="n">
        <f aca="false">SUM(J$6:J365)</f>
        <v>15774.95</v>
      </c>
      <c r="P365" s="124" t="n">
        <f aca="false">D365/P$3</f>
        <v>0</v>
      </c>
      <c r="Q365" s="124" t="n">
        <f aca="false">E365/P$3</f>
        <v>0</v>
      </c>
      <c r="R365" s="124" t="n">
        <f aca="false">F365/R$3</f>
        <v>0</v>
      </c>
      <c r="S365" s="126" t="n">
        <f aca="false">J365/$R$3</f>
        <v>0</v>
      </c>
      <c r="T365" s="126" t="n">
        <f aca="false">L365/$R$3</f>
        <v>0</v>
      </c>
      <c r="U365" s="126" t="n">
        <f aca="false">I365/$R$3</f>
        <v>0</v>
      </c>
      <c r="V365" s="126" t="n">
        <f aca="false">M365/$R$3</f>
        <v>229.529</v>
      </c>
      <c r="W365" s="126" t="n">
        <f aca="false">N365/$R$3</f>
        <v>15.77495</v>
      </c>
    </row>
    <row r="366" customFormat="false" ht="12.75" hidden="false" customHeight="false" outlineLevel="0" collapsed="false">
      <c r="A366" s="120" t="n">
        <f aca="false">A365+1</f>
        <v>37252</v>
      </c>
      <c r="B366" s="131" t="str">
        <f aca="false">INDEX('Master Data'!$A$2:$B$8,MATCH(WEEKDAY('Modesto Maranzana Power'!A366,3),'Master Data'!$A$2:$A$8,0),2)</f>
        <v>Th</v>
      </c>
      <c r="D366" s="124" t="n">
        <v>0</v>
      </c>
      <c r="E366" s="124" t="n">
        <v>0</v>
      </c>
      <c r="F366" s="124" t="n">
        <v>0</v>
      </c>
      <c r="G366" s="124" t="n">
        <v>0</v>
      </c>
      <c r="I366" s="124" t="n">
        <f aca="false">IF(MONTH($A366)=MONTH($A365),IF(G366=0,I365,G366),G366)</f>
        <v>0</v>
      </c>
      <c r="J366" s="124" t="n">
        <f aca="false">IF(MONTH($A366)=MONTH($A365),SUM(I366-I365),I366)</f>
        <v>0</v>
      </c>
      <c r="K366" s="124" t="n">
        <f aca="false">IF(WEEKDAY(A366,3)&gt;4,0,(IF(A366&lt;K$2,0,IF(A366&lt;=K$3,1,0))))</f>
        <v>0</v>
      </c>
      <c r="L366" s="124" t="n">
        <f aca="false">J366*K366</f>
        <v>0</v>
      </c>
      <c r="M366" s="124" t="n">
        <f aca="false">SUM(J$280:J366)</f>
        <v>229529</v>
      </c>
      <c r="N366" s="124" t="n">
        <f aca="false">SUM(J$6:J366)</f>
        <v>15774.95</v>
      </c>
      <c r="P366" s="124" t="n">
        <f aca="false">D366/P$3</f>
        <v>0</v>
      </c>
      <c r="Q366" s="124" t="n">
        <f aca="false">E366/P$3</f>
        <v>0</v>
      </c>
      <c r="R366" s="124" t="n">
        <f aca="false">F366/R$3</f>
        <v>0</v>
      </c>
      <c r="S366" s="126" t="n">
        <f aca="false">J366/$R$3</f>
        <v>0</v>
      </c>
      <c r="T366" s="126" t="n">
        <f aca="false">L366/$R$3</f>
        <v>0</v>
      </c>
      <c r="U366" s="126" t="n">
        <f aca="false">I366/$R$3</f>
        <v>0</v>
      </c>
      <c r="V366" s="126" t="n">
        <f aca="false">M366/$R$3</f>
        <v>229.529</v>
      </c>
      <c r="W366" s="126" t="n">
        <f aca="false">N366/$R$3</f>
        <v>15.77495</v>
      </c>
    </row>
    <row r="367" customFormat="false" ht="12.75" hidden="false" customHeight="false" outlineLevel="0" collapsed="false">
      <c r="A367" s="120" t="n">
        <f aca="false">A366+1</f>
        <v>37253</v>
      </c>
      <c r="B367" s="131" t="str">
        <f aca="false">INDEX('Master Data'!$A$2:$B$8,MATCH(WEEKDAY('Modesto Maranzana Power'!A367,3),'Master Data'!$A$2:$A$8,0),2)</f>
        <v>F</v>
      </c>
      <c r="D367" s="124" t="n">
        <v>0</v>
      </c>
      <c r="E367" s="124" t="n">
        <v>0</v>
      </c>
      <c r="F367" s="124" t="n">
        <v>0</v>
      </c>
      <c r="G367" s="124" t="n">
        <v>0</v>
      </c>
      <c r="I367" s="124" t="n">
        <f aca="false">IF(MONTH($A367)=MONTH($A366),IF(G367=0,I366,G367),G367)</f>
        <v>0</v>
      </c>
      <c r="J367" s="124" t="n">
        <f aca="false">IF(MONTH($A367)=MONTH($A366),SUM(I367-I366),I367)</f>
        <v>0</v>
      </c>
      <c r="K367" s="124" t="n">
        <f aca="false">IF(WEEKDAY(A367,3)&gt;4,0,(IF(A367&lt;K$2,0,IF(A367&lt;=K$3,1,0))))</f>
        <v>0</v>
      </c>
      <c r="L367" s="124" t="n">
        <f aca="false">J367*K367</f>
        <v>0</v>
      </c>
      <c r="M367" s="124" t="n">
        <f aca="false">SUM(J$280:J367)</f>
        <v>229529</v>
      </c>
      <c r="N367" s="124" t="n">
        <f aca="false">SUM(J$6:J367)</f>
        <v>15774.95</v>
      </c>
      <c r="P367" s="124" t="n">
        <f aca="false">D367/P$3</f>
        <v>0</v>
      </c>
      <c r="Q367" s="124" t="n">
        <f aca="false">E367/P$3</f>
        <v>0</v>
      </c>
      <c r="R367" s="124" t="n">
        <f aca="false">F367/R$3</f>
        <v>0</v>
      </c>
      <c r="S367" s="126" t="n">
        <f aca="false">J367/$R$3</f>
        <v>0</v>
      </c>
      <c r="T367" s="126" t="n">
        <f aca="false">L367/$R$3</f>
        <v>0</v>
      </c>
      <c r="U367" s="126" t="n">
        <f aca="false">I367/$R$3</f>
        <v>0</v>
      </c>
      <c r="V367" s="126" t="n">
        <f aca="false">M367/$R$3</f>
        <v>229.529</v>
      </c>
      <c r="W367" s="126" t="n">
        <f aca="false">N367/$R$3</f>
        <v>15.77495</v>
      </c>
    </row>
    <row r="368" customFormat="false" ht="12.75" hidden="false" customHeight="false" outlineLevel="0" collapsed="false">
      <c r="A368" s="120" t="n">
        <f aca="false">A367+1</f>
        <v>37254</v>
      </c>
      <c r="B368" s="131" t="str">
        <f aca="false">INDEX('Master Data'!$A$2:$B$8,MATCH(WEEKDAY('Modesto Maranzana Power'!A368,3),'Master Data'!$A$2:$A$8,0),2)</f>
        <v>Sa</v>
      </c>
      <c r="D368" s="124" t="n">
        <v>0</v>
      </c>
      <c r="E368" s="124" t="n">
        <v>0</v>
      </c>
      <c r="F368" s="124" t="n">
        <v>0</v>
      </c>
      <c r="G368" s="124" t="n">
        <v>0</v>
      </c>
      <c r="I368" s="124" t="n">
        <f aca="false">IF(MONTH($A368)=MONTH($A367),IF(G368=0,I367,G368),G368)</f>
        <v>0</v>
      </c>
      <c r="J368" s="124" t="n">
        <f aca="false">IF(MONTH($A368)=MONTH($A367),SUM(I368-I367),I368)</f>
        <v>0</v>
      </c>
      <c r="K368" s="124" t="n">
        <f aca="false">IF(WEEKDAY(A368,3)&gt;4,0,(IF(A368&lt;K$2,0,IF(A368&lt;=K$3,1,0))))</f>
        <v>0</v>
      </c>
      <c r="L368" s="124" t="n">
        <f aca="false">J368*K368</f>
        <v>0</v>
      </c>
      <c r="M368" s="124" t="n">
        <f aca="false">SUM(J$280:J368)</f>
        <v>229529</v>
      </c>
      <c r="N368" s="124" t="n">
        <f aca="false">SUM(J$6:J368)</f>
        <v>15774.95</v>
      </c>
      <c r="P368" s="124" t="n">
        <f aca="false">D368/P$3</f>
        <v>0</v>
      </c>
      <c r="Q368" s="124" t="n">
        <f aca="false">E368/P$3</f>
        <v>0</v>
      </c>
      <c r="R368" s="124" t="n">
        <f aca="false">F368/R$3</f>
        <v>0</v>
      </c>
      <c r="S368" s="126" t="n">
        <f aca="false">J368/$R$3</f>
        <v>0</v>
      </c>
      <c r="T368" s="126" t="n">
        <f aca="false">L368/$R$3</f>
        <v>0</v>
      </c>
      <c r="U368" s="126" t="n">
        <f aca="false">I368/$R$3</f>
        <v>0</v>
      </c>
      <c r="V368" s="126" t="n">
        <f aca="false">M368/$R$3</f>
        <v>229.529</v>
      </c>
      <c r="W368" s="126" t="n">
        <f aca="false">N368/$R$3</f>
        <v>15.77495</v>
      </c>
    </row>
    <row r="369" customFormat="false" ht="12.75" hidden="false" customHeight="false" outlineLevel="0" collapsed="false">
      <c r="A369" s="120" t="n">
        <f aca="false">A368+1</f>
        <v>37255</v>
      </c>
      <c r="B369" s="131" t="str">
        <f aca="false">INDEX('Master Data'!$A$2:$B$8,MATCH(WEEKDAY('Modesto Maranzana Power'!A369,3),'Master Data'!$A$2:$A$8,0),2)</f>
        <v>Su</v>
      </c>
      <c r="D369" s="124" t="n">
        <v>0</v>
      </c>
      <c r="E369" s="124" t="n">
        <v>0</v>
      </c>
      <c r="F369" s="124" t="n">
        <v>0</v>
      </c>
      <c r="G369" s="124" t="n">
        <v>0</v>
      </c>
      <c r="I369" s="124" t="n">
        <f aca="false">IF(MONTH($A369)=MONTH($A368),IF(G369=0,I368,G369),G369)</f>
        <v>0</v>
      </c>
      <c r="J369" s="124" t="n">
        <f aca="false">IF(MONTH($A369)=MONTH($A368),SUM(I369-I368),I369)</f>
        <v>0</v>
      </c>
      <c r="K369" s="124" t="n">
        <f aca="false">IF(WEEKDAY(A369,3)&gt;4,0,(IF(A369&lt;K$2,0,IF(A369&lt;=K$3,1,0))))</f>
        <v>0</v>
      </c>
      <c r="L369" s="124" t="n">
        <f aca="false">J369*K369</f>
        <v>0</v>
      </c>
      <c r="M369" s="124" t="n">
        <f aca="false">SUM(J$280:J369)</f>
        <v>229529</v>
      </c>
      <c r="N369" s="124" t="n">
        <f aca="false">SUM(J$6:J369)</f>
        <v>15774.95</v>
      </c>
      <c r="P369" s="124" t="n">
        <f aca="false">D369/P$3</f>
        <v>0</v>
      </c>
      <c r="Q369" s="124" t="n">
        <f aca="false">E369/P$3</f>
        <v>0</v>
      </c>
      <c r="R369" s="124" t="n">
        <f aca="false">F369/R$3</f>
        <v>0</v>
      </c>
      <c r="S369" s="126" t="n">
        <f aca="false">J369/$R$3</f>
        <v>0</v>
      </c>
      <c r="T369" s="126" t="n">
        <f aca="false">L369/$R$3</f>
        <v>0</v>
      </c>
      <c r="U369" s="126" t="n">
        <f aca="false">I369/$R$3</f>
        <v>0</v>
      </c>
      <c r="V369" s="126" t="n">
        <f aca="false">M369/$R$3</f>
        <v>229.529</v>
      </c>
      <c r="W369" s="126" t="n">
        <f aca="false">N369/$R$3</f>
        <v>15.77495</v>
      </c>
    </row>
    <row r="370" customFormat="false" ht="12.75" hidden="false" customHeight="false" outlineLevel="0" collapsed="false">
      <c r="A370" s="120" t="n">
        <f aca="false">A369+1</f>
        <v>37256</v>
      </c>
      <c r="B370" s="131" t="str">
        <f aca="false">INDEX('Master Data'!$A$2:$B$8,MATCH(WEEKDAY('Modesto Maranzana Power'!A370,3),'Master Data'!$A$2:$A$8,0),2)</f>
        <v>M</v>
      </c>
      <c r="D370" s="124" t="n">
        <v>0</v>
      </c>
      <c r="E370" s="124" t="n">
        <v>0</v>
      </c>
      <c r="F370" s="124" t="n">
        <v>0</v>
      </c>
      <c r="G370" s="124" t="n">
        <v>0</v>
      </c>
      <c r="I370" s="124" t="n">
        <f aca="false">IF(MONTH($A370)=MONTH($A369),IF(G370=0,I369,G370),G370)</f>
        <v>0</v>
      </c>
      <c r="J370" s="124" t="n">
        <f aca="false">IF(MONTH($A370)=MONTH($A369),SUM(I370-I369),I370)</f>
        <v>0</v>
      </c>
      <c r="K370" s="124" t="n">
        <f aca="false">IF(WEEKDAY(A370,3)&gt;4,0,(IF(A370&lt;K$2,0,IF(A370&lt;=K$3,1,0))))</f>
        <v>0</v>
      </c>
      <c r="L370" s="124" t="n">
        <f aca="false">J370*K370</f>
        <v>0</v>
      </c>
      <c r="M370" s="124" t="n">
        <f aca="false">SUM(J$280:J370)</f>
        <v>229529</v>
      </c>
      <c r="N370" s="124" t="n">
        <f aca="false">SUM(J$6:J370)</f>
        <v>15774.95</v>
      </c>
      <c r="P370" s="124" t="n">
        <f aca="false">D370/P$3</f>
        <v>0</v>
      </c>
      <c r="Q370" s="124" t="n">
        <f aca="false">E370/P$3</f>
        <v>0</v>
      </c>
      <c r="R370" s="124" t="n">
        <f aca="false">F370/R$3</f>
        <v>0</v>
      </c>
      <c r="S370" s="126" t="n">
        <f aca="false">J370/$R$3</f>
        <v>0</v>
      </c>
      <c r="T370" s="126" t="n">
        <f aca="false">L370/$R$3</f>
        <v>0</v>
      </c>
      <c r="U370" s="126" t="n">
        <f aca="false">I370/$R$3</f>
        <v>0</v>
      </c>
      <c r="V370" s="126" t="n">
        <f aca="false">M370/$R$3</f>
        <v>229.529</v>
      </c>
      <c r="W370" s="126" t="n">
        <f aca="false">N370/$R$3</f>
        <v>15.77495</v>
      </c>
    </row>
    <row r="371" customFormat="false" ht="12.75" hidden="false" customHeight="false" outlineLevel="0" collapsed="false">
      <c r="A371" s="120" t="n">
        <f aca="false">A370+1</f>
        <v>37257</v>
      </c>
      <c r="B371" s="131" t="str">
        <f aca="false">INDEX('Master Data'!$A$2:$B$8,MATCH(WEEKDAY('Modesto Maranzana Power'!A371,3),'Master Data'!$A$2:$A$8,0),2)</f>
        <v>T</v>
      </c>
      <c r="D371" s="124" t="n">
        <v>0</v>
      </c>
      <c r="E371" s="124" t="n">
        <v>0</v>
      </c>
      <c r="F371" s="124" t="n">
        <v>0</v>
      </c>
      <c r="G371" s="124" t="n">
        <v>0</v>
      </c>
      <c r="I371" s="124" t="n">
        <f aca="false">IF(MONTH($A371)=MONTH($A370),IF(G371=0,I370,G371),G371)</f>
        <v>0</v>
      </c>
      <c r="J371" s="124" t="n">
        <f aca="false">IF(MONTH($A371)=MONTH($A370),SUM(I371-I370),I371)</f>
        <v>0</v>
      </c>
      <c r="K371" s="124" t="n">
        <f aca="false">IF(WEEKDAY(A371,3)&gt;4,0,(IF(A371&lt;K$2,0,IF(A371&lt;=K$3,1,0))))</f>
        <v>0</v>
      </c>
      <c r="L371" s="124" t="n">
        <f aca="false">J371*K371</f>
        <v>0</v>
      </c>
      <c r="M371" s="124" t="n">
        <f aca="false">SUM(J$280:J371)</f>
        <v>229529</v>
      </c>
      <c r="N371" s="124" t="n">
        <f aca="false">SUM(J$6:J371)</f>
        <v>15774.95</v>
      </c>
      <c r="P371" s="124" t="n">
        <f aca="false">D371/P$3</f>
        <v>0</v>
      </c>
      <c r="Q371" s="124" t="n">
        <f aca="false">E371/P$3</f>
        <v>0</v>
      </c>
      <c r="R371" s="124" t="n">
        <f aca="false">F371/R$3</f>
        <v>0</v>
      </c>
      <c r="S371" s="126" t="n">
        <f aca="false">J371/$R$3</f>
        <v>0</v>
      </c>
      <c r="T371" s="126" t="n">
        <f aca="false">L371/$R$3</f>
        <v>0</v>
      </c>
      <c r="U371" s="126" t="n">
        <f aca="false">I371/$R$3</f>
        <v>0</v>
      </c>
      <c r="V371" s="126" t="n">
        <f aca="false">M371/$R$3</f>
        <v>229.529</v>
      </c>
      <c r="W371" s="126" t="n">
        <f aca="false">N371/$R$3</f>
        <v>15.77495</v>
      </c>
    </row>
    <row r="372" customFormat="false" ht="12.75" hidden="false" customHeight="false" outlineLevel="0" collapsed="false">
      <c r="D372" s="124"/>
      <c r="E372" s="124"/>
      <c r="F372" s="124"/>
      <c r="G372" s="124"/>
    </row>
    <row r="373" customFormat="false" ht="12.75" hidden="false" customHeight="false" outlineLevel="0" collapsed="false">
      <c r="D373" s="124"/>
      <c r="E373" s="124"/>
      <c r="F373" s="124"/>
      <c r="G373" s="124"/>
    </row>
    <row r="374" customFormat="false" ht="12.75" hidden="false" customHeight="false" outlineLevel="0" collapsed="false">
      <c r="D374" s="124"/>
      <c r="E374" s="124"/>
      <c r="F374" s="124"/>
      <c r="G374" s="124"/>
    </row>
    <row r="375" customFormat="false" ht="12.75" hidden="false" customHeight="false" outlineLevel="0" collapsed="false">
      <c r="D375" s="124"/>
      <c r="E375" s="124"/>
      <c r="F375" s="124"/>
      <c r="G375" s="124"/>
    </row>
    <row r="376" customFormat="false" ht="12.75" hidden="false" customHeight="false" outlineLevel="0" collapsed="false">
      <c r="D376" s="124"/>
      <c r="E376" s="124"/>
      <c r="F376" s="124"/>
      <c r="G376" s="124"/>
    </row>
    <row r="377" customFormat="false" ht="12.75" hidden="false" customHeight="false" outlineLevel="0" collapsed="false">
      <c r="D377" s="124"/>
      <c r="E377" s="124"/>
      <c r="F377" s="124"/>
      <c r="G377" s="124"/>
    </row>
    <row r="378" customFormat="false" ht="12.75" hidden="false" customHeight="false" outlineLevel="0" collapsed="false">
      <c r="D378" s="124"/>
      <c r="E378" s="124"/>
      <c r="F378" s="124"/>
      <c r="G378" s="124"/>
    </row>
    <row r="379" customFormat="false" ht="12.75" hidden="false" customHeight="false" outlineLevel="0" collapsed="false">
      <c r="D379" s="124"/>
      <c r="E379" s="124"/>
      <c r="F379" s="124"/>
      <c r="G379" s="124"/>
    </row>
    <row r="380" customFormat="false" ht="12.75" hidden="false" customHeight="false" outlineLevel="0" collapsed="false">
      <c r="D380" s="124"/>
      <c r="E380" s="124"/>
      <c r="F380" s="124"/>
      <c r="G380" s="124"/>
    </row>
    <row r="381" customFormat="false" ht="12.75" hidden="false" customHeight="false" outlineLevel="0" collapsed="false">
      <c r="D381" s="124"/>
      <c r="E381" s="124"/>
      <c r="F381" s="124"/>
      <c r="G381" s="124"/>
    </row>
    <row r="382" customFormat="false" ht="12.75" hidden="false" customHeight="false" outlineLevel="0" collapsed="false">
      <c r="D382" s="124"/>
      <c r="E382" s="124"/>
      <c r="F382" s="124"/>
      <c r="G382" s="124"/>
    </row>
    <row r="383" customFormat="false" ht="12.75" hidden="false" customHeight="false" outlineLevel="0" collapsed="false">
      <c r="D383" s="124"/>
      <c r="E383" s="124"/>
      <c r="F383" s="124"/>
      <c r="G383" s="124"/>
    </row>
    <row r="384" customFormat="false" ht="12.75" hidden="false" customHeight="false" outlineLevel="0" collapsed="false">
      <c r="D384" s="124"/>
      <c r="E384" s="124"/>
      <c r="F384" s="124"/>
      <c r="G384" s="124"/>
    </row>
    <row r="385" customFormat="false" ht="12.75" hidden="false" customHeight="false" outlineLevel="0" collapsed="false">
      <c r="D385" s="124"/>
      <c r="E385" s="124"/>
      <c r="F385" s="124"/>
      <c r="G385" s="124"/>
    </row>
    <row r="386" customFormat="false" ht="12.75" hidden="false" customHeight="false" outlineLevel="0" collapsed="false">
      <c r="D386" s="124"/>
      <c r="E386" s="124"/>
      <c r="F386" s="124"/>
      <c r="G386" s="124"/>
    </row>
    <row r="387" customFormat="false" ht="12.75" hidden="false" customHeight="false" outlineLevel="0" collapsed="false">
      <c r="D387" s="124"/>
      <c r="E387" s="124"/>
      <c r="F387" s="124"/>
      <c r="G387" s="124"/>
    </row>
    <row r="388" customFormat="false" ht="12.75" hidden="false" customHeight="false" outlineLevel="0" collapsed="false">
      <c r="D388" s="124"/>
      <c r="E388" s="124"/>
      <c r="F388" s="124"/>
      <c r="G388" s="124"/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88"/>
  <sheetViews>
    <sheetView showFormulas="false" showGridLines="true" showRowColHeaders="true" showZeros="true" rightToLeft="false" tabSelected="false" showOutlineSymbols="true" defaultGridColor="true" view="normal" topLeftCell="A292" colorId="64" zoomScale="100" zoomScaleNormal="100" zoomScalePageLayoutView="100" workbookViewId="0">
      <selection pane="topLeft" activeCell="B309" activeCellId="0" sqref="B309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20" width="7.28"/>
    <col collapsed="false" customWidth="true" hidden="false" outlineLevel="0" max="2" min="2" style="121" width="4.14"/>
    <col collapsed="false" customWidth="true" hidden="false" outlineLevel="0" max="3" min="3" style="122" width="2.7"/>
    <col collapsed="false" customWidth="true" hidden="false" outlineLevel="0" max="7" min="4" style="121" width="14.99"/>
    <col collapsed="false" customWidth="true" hidden="false" outlineLevel="0" max="8" min="8" style="122" width="2.7"/>
    <col collapsed="false" customWidth="true" hidden="false" outlineLevel="0" max="9" min="9" style="123" width="13.14"/>
    <col collapsed="false" customWidth="true" hidden="false" outlineLevel="0" max="10" min="10" style="124" width="13.14"/>
    <col collapsed="false" customWidth="true" hidden="false" outlineLevel="0" max="11" min="11" style="124" width="10.99"/>
    <col collapsed="false" customWidth="true" hidden="false" outlineLevel="0" max="14" min="12" style="124" width="13.14"/>
    <col collapsed="false" customWidth="true" hidden="false" outlineLevel="0" max="15" min="15" style="125" width="2.7"/>
    <col collapsed="false" customWidth="true" hidden="false" outlineLevel="0" max="18" min="16" style="121" width="16.13"/>
    <col collapsed="false" customWidth="true" hidden="false" outlineLevel="0" max="23" min="19" style="126" width="12.7"/>
    <col collapsed="false" customWidth="false" hidden="false" outlineLevel="0" max="257" min="24" style="121" width="9.14"/>
  </cols>
  <sheetData>
    <row r="1" customFormat="false" ht="12.75" hidden="false" customHeight="false" outlineLevel="0" collapsed="false">
      <c r="A1" s="127" t="n">
        <v>1</v>
      </c>
      <c r="B1" s="121" t="n">
        <f aca="false">+A1+1</f>
        <v>2</v>
      </c>
      <c r="C1" s="122" t="n">
        <f aca="false">+B1+1</f>
        <v>3</v>
      </c>
      <c r="D1" s="121" t="n">
        <f aca="false">+C1+1</f>
        <v>4</v>
      </c>
      <c r="E1" s="121" t="n">
        <f aca="false">+D1+1</f>
        <v>5</v>
      </c>
      <c r="F1" s="121" t="n">
        <f aca="false">+E1+1</f>
        <v>6</v>
      </c>
      <c r="G1" s="121" t="n">
        <f aca="false">+F1+1</f>
        <v>7</v>
      </c>
      <c r="H1" s="122" t="n">
        <f aca="false">+G1+1</f>
        <v>8</v>
      </c>
      <c r="I1" s="123" t="n">
        <f aca="false">+H1+1</f>
        <v>9</v>
      </c>
      <c r="J1" s="124" t="n">
        <f aca="false">+I1+1</f>
        <v>10</v>
      </c>
      <c r="K1" s="124" t="n">
        <f aca="false">+J1+1</f>
        <v>11</v>
      </c>
      <c r="L1" s="124" t="n">
        <f aca="false">+K1+1</f>
        <v>12</v>
      </c>
      <c r="M1" s="124" t="n">
        <f aca="false">+L1+1</f>
        <v>13</v>
      </c>
      <c r="N1" s="124" t="n">
        <f aca="false">+M1+1</f>
        <v>14</v>
      </c>
      <c r="O1" s="125" t="n">
        <f aca="false">+N1+1</f>
        <v>15</v>
      </c>
      <c r="P1" s="121" t="n">
        <f aca="false">+O1+1</f>
        <v>16</v>
      </c>
      <c r="Q1" s="121" t="n">
        <f aca="false">+P1+1</f>
        <v>17</v>
      </c>
      <c r="R1" s="121" t="n">
        <f aca="false">+Q1+1</f>
        <v>18</v>
      </c>
      <c r="S1" s="121" t="n">
        <f aca="false">+R1+1</f>
        <v>19</v>
      </c>
      <c r="T1" s="121" t="n">
        <f aca="false">+S1+1</f>
        <v>20</v>
      </c>
      <c r="U1" s="121" t="n">
        <f aca="false">+T1+1</f>
        <v>21</v>
      </c>
      <c r="V1" s="121" t="n">
        <f aca="false">+U1+1</f>
        <v>22</v>
      </c>
      <c r="W1" s="121" t="n">
        <f aca="false">+V1+1</f>
        <v>23</v>
      </c>
    </row>
    <row r="2" customFormat="false" ht="12.75" hidden="false" customHeight="false" outlineLevel="0" collapsed="false">
      <c r="K2" s="128" t="n">
        <f aca="false">WORKDAY(K3,-4)</f>
        <v>37190</v>
      </c>
    </row>
    <row r="3" customFormat="false" ht="12.75" hidden="false" customHeight="false" outlineLevel="0" collapsed="false">
      <c r="I3" s="146"/>
      <c r="K3" s="128" t="n">
        <f aca="false">Summary!B8</f>
        <v>37196</v>
      </c>
      <c r="L3" s="129" t="n">
        <f aca="false">SUM(L6:L371)</f>
        <v>0</v>
      </c>
      <c r="P3" s="124" t="n">
        <v>1000000</v>
      </c>
      <c r="Q3" s="124"/>
      <c r="R3" s="124" t="n">
        <v>1000</v>
      </c>
      <c r="S3" s="121"/>
      <c r="T3" s="130" t="n">
        <f aca="false">SUM(T6:T371)</f>
        <v>0</v>
      </c>
    </row>
    <row r="4" customFormat="false" ht="12.75" hidden="false" customHeight="false" outlineLevel="0" collapsed="false">
      <c r="D4" s="131" t="s">
        <v>57</v>
      </c>
      <c r="E4" s="131" t="s">
        <v>57</v>
      </c>
      <c r="F4" s="131" t="s">
        <v>58</v>
      </c>
      <c r="G4" s="131" t="s">
        <v>58</v>
      </c>
      <c r="I4" s="132" t="s">
        <v>58</v>
      </c>
      <c r="J4" s="132"/>
      <c r="K4" s="132"/>
      <c r="L4" s="132"/>
      <c r="M4" s="132"/>
      <c r="N4" s="132"/>
      <c r="O4" s="133"/>
      <c r="P4" s="134" t="s">
        <v>59</v>
      </c>
      <c r="Q4" s="134"/>
      <c r="R4" s="135" t="s">
        <v>60</v>
      </c>
      <c r="S4" s="135"/>
      <c r="T4" s="135"/>
      <c r="U4" s="135"/>
      <c r="V4" s="135"/>
      <c r="W4" s="135"/>
    </row>
    <row r="5" customFormat="false" ht="12.75" hidden="false" customHeight="false" outlineLevel="0" collapsed="false">
      <c r="A5" s="136" t="s">
        <v>61</v>
      </c>
      <c r="B5" s="131" t="s">
        <v>62</v>
      </c>
      <c r="C5" s="137"/>
      <c r="D5" s="138" t="s">
        <v>63</v>
      </c>
      <c r="E5" s="138" t="s">
        <v>64</v>
      </c>
      <c r="F5" s="138" t="s">
        <v>65</v>
      </c>
      <c r="G5" s="138" t="s">
        <v>66</v>
      </c>
      <c r="H5" s="139"/>
      <c r="I5" s="138" t="s">
        <v>67</v>
      </c>
      <c r="J5" s="140" t="s">
        <v>68</v>
      </c>
      <c r="K5" s="140" t="s">
        <v>69</v>
      </c>
      <c r="L5" s="140" t="s">
        <v>70</v>
      </c>
      <c r="M5" s="140" t="s">
        <v>71</v>
      </c>
      <c r="N5" s="140" t="s">
        <v>72</v>
      </c>
      <c r="O5" s="141"/>
      <c r="P5" s="138" t="s">
        <v>63</v>
      </c>
      <c r="Q5" s="138" t="s">
        <v>64</v>
      </c>
      <c r="R5" s="138" t="s">
        <v>65</v>
      </c>
      <c r="S5" s="142" t="s">
        <v>68</v>
      </c>
      <c r="T5" s="140" t="s">
        <v>70</v>
      </c>
      <c r="U5" s="142" t="s">
        <v>66</v>
      </c>
      <c r="V5" s="142" t="s">
        <v>71</v>
      </c>
      <c r="W5" s="142" t="s">
        <v>72</v>
      </c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1"/>
      <c r="AW5" s="131"/>
      <c r="AX5" s="131"/>
      <c r="AY5" s="131"/>
      <c r="AZ5" s="131"/>
      <c r="BA5" s="131"/>
      <c r="BB5" s="131"/>
      <c r="BC5" s="131"/>
      <c r="BD5" s="131"/>
      <c r="BE5" s="131"/>
      <c r="BF5" s="131"/>
      <c r="BG5" s="131"/>
      <c r="BH5" s="131"/>
      <c r="BI5" s="131"/>
      <c r="BJ5" s="131"/>
      <c r="BK5" s="131"/>
      <c r="BL5" s="131"/>
      <c r="BM5" s="131"/>
      <c r="BN5" s="131"/>
      <c r="BO5" s="131"/>
      <c r="BP5" s="131"/>
      <c r="BQ5" s="131"/>
      <c r="BR5" s="131"/>
      <c r="BS5" s="131"/>
      <c r="BT5" s="131"/>
      <c r="BU5" s="131"/>
      <c r="BV5" s="131"/>
      <c r="BW5" s="131"/>
      <c r="BX5" s="131"/>
      <c r="BY5" s="131"/>
      <c r="BZ5" s="131"/>
      <c r="CA5" s="131"/>
      <c r="CB5" s="131"/>
      <c r="CC5" s="131"/>
      <c r="CD5" s="131"/>
      <c r="CE5" s="131"/>
      <c r="CF5" s="131"/>
      <c r="CG5" s="131"/>
      <c r="CH5" s="131"/>
      <c r="CI5" s="131"/>
      <c r="CJ5" s="131"/>
      <c r="CK5" s="131"/>
      <c r="CL5" s="131"/>
      <c r="CM5" s="131"/>
      <c r="CN5" s="131"/>
      <c r="CO5" s="131"/>
      <c r="CP5" s="131"/>
      <c r="CQ5" s="131"/>
      <c r="CR5" s="131"/>
      <c r="CS5" s="131"/>
      <c r="CT5" s="131"/>
      <c r="CU5" s="131"/>
      <c r="CV5" s="131"/>
      <c r="CW5" s="131"/>
      <c r="CX5" s="131"/>
      <c r="CY5" s="131"/>
      <c r="CZ5" s="131"/>
      <c r="DA5" s="131"/>
      <c r="DB5" s="131"/>
      <c r="DC5" s="131"/>
      <c r="DD5" s="131"/>
      <c r="DE5" s="131"/>
      <c r="DF5" s="131"/>
      <c r="DG5" s="131"/>
      <c r="DH5" s="131"/>
      <c r="DI5" s="131"/>
      <c r="DJ5" s="131"/>
      <c r="DK5" s="131"/>
      <c r="DL5" s="131"/>
      <c r="DM5" s="131"/>
      <c r="DN5" s="131"/>
      <c r="DO5" s="131"/>
      <c r="DP5" s="131"/>
      <c r="DQ5" s="131"/>
      <c r="DR5" s="131"/>
      <c r="DS5" s="131"/>
      <c r="DT5" s="131"/>
      <c r="DU5" s="131"/>
      <c r="DV5" s="131"/>
      <c r="DW5" s="131"/>
      <c r="DX5" s="131"/>
      <c r="DY5" s="131"/>
      <c r="DZ5" s="131"/>
      <c r="EA5" s="131"/>
      <c r="EB5" s="131"/>
      <c r="EC5" s="131"/>
      <c r="ED5" s="131"/>
      <c r="EE5" s="131"/>
      <c r="EF5" s="131"/>
      <c r="EG5" s="131"/>
      <c r="EH5" s="131"/>
      <c r="EI5" s="131"/>
      <c r="EJ5" s="131"/>
      <c r="EK5" s="131"/>
      <c r="EL5" s="131"/>
      <c r="EM5" s="131"/>
      <c r="EN5" s="131"/>
      <c r="EO5" s="131"/>
      <c r="EP5" s="131"/>
      <c r="EQ5" s="131"/>
      <c r="ER5" s="131"/>
      <c r="ES5" s="131"/>
      <c r="ET5" s="131"/>
      <c r="EU5" s="131"/>
      <c r="EV5" s="131"/>
      <c r="EW5" s="131"/>
      <c r="EX5" s="131"/>
      <c r="EY5" s="131"/>
      <c r="EZ5" s="131"/>
      <c r="FA5" s="131"/>
      <c r="FB5" s="131"/>
      <c r="FC5" s="131"/>
      <c r="FD5" s="131"/>
      <c r="FE5" s="131"/>
      <c r="FF5" s="131"/>
      <c r="FG5" s="131"/>
      <c r="FH5" s="131"/>
      <c r="FI5" s="131"/>
      <c r="FJ5" s="131"/>
      <c r="FK5" s="131"/>
      <c r="FL5" s="131"/>
      <c r="FM5" s="131"/>
      <c r="FN5" s="131"/>
      <c r="FO5" s="131"/>
      <c r="FP5" s="131"/>
      <c r="FQ5" s="131"/>
      <c r="FR5" s="131"/>
      <c r="FS5" s="131"/>
      <c r="FT5" s="131"/>
      <c r="FU5" s="131"/>
      <c r="FV5" s="131"/>
      <c r="FW5" s="131"/>
      <c r="FX5" s="131"/>
      <c r="FY5" s="131"/>
      <c r="FZ5" s="131"/>
      <c r="GA5" s="131"/>
      <c r="GB5" s="131"/>
      <c r="GC5" s="131"/>
      <c r="GD5" s="131"/>
      <c r="GE5" s="131"/>
      <c r="GF5" s="131"/>
      <c r="GG5" s="131"/>
      <c r="GH5" s="131"/>
      <c r="GI5" s="131"/>
      <c r="GJ5" s="131"/>
      <c r="GK5" s="131"/>
      <c r="GL5" s="131"/>
      <c r="GM5" s="131"/>
      <c r="GN5" s="131"/>
      <c r="GO5" s="131"/>
      <c r="GP5" s="131"/>
      <c r="GQ5" s="131"/>
      <c r="GR5" s="131"/>
      <c r="GS5" s="131"/>
      <c r="GT5" s="131"/>
      <c r="GU5" s="131"/>
      <c r="GV5" s="131"/>
      <c r="GW5" s="131"/>
      <c r="GX5" s="131"/>
      <c r="GY5" s="131"/>
      <c r="GZ5" s="131"/>
      <c r="HA5" s="131"/>
      <c r="HB5" s="131"/>
      <c r="HC5" s="131"/>
      <c r="HD5" s="131"/>
      <c r="HE5" s="131"/>
      <c r="HF5" s="131"/>
      <c r="HG5" s="131"/>
      <c r="HH5" s="131"/>
      <c r="HI5" s="131"/>
      <c r="HJ5" s="131"/>
      <c r="HK5" s="131"/>
      <c r="HL5" s="131"/>
      <c r="HM5" s="131"/>
      <c r="HN5" s="131"/>
      <c r="HO5" s="131"/>
      <c r="HP5" s="131"/>
      <c r="HQ5" s="131"/>
      <c r="HR5" s="131"/>
      <c r="HS5" s="131"/>
      <c r="HT5" s="131"/>
      <c r="HU5" s="131"/>
      <c r="HV5" s="131"/>
      <c r="HW5" s="131"/>
      <c r="HX5" s="131"/>
      <c r="HY5" s="131"/>
      <c r="HZ5" s="131"/>
      <c r="IA5" s="131"/>
      <c r="IB5" s="131"/>
      <c r="IC5" s="131"/>
      <c r="ID5" s="131"/>
      <c r="IE5" s="131"/>
      <c r="IF5" s="131"/>
      <c r="IG5" s="131"/>
      <c r="IH5" s="131"/>
      <c r="II5" s="131"/>
      <c r="IJ5" s="131"/>
      <c r="IK5" s="131"/>
      <c r="IL5" s="131"/>
      <c r="IM5" s="131"/>
      <c r="IN5" s="131"/>
      <c r="IO5" s="131"/>
      <c r="IP5" s="131"/>
      <c r="IQ5" s="131"/>
      <c r="IR5" s="131"/>
      <c r="IS5" s="131"/>
      <c r="IT5" s="131"/>
      <c r="IU5" s="131"/>
      <c r="IV5" s="131"/>
      <c r="IW5" s="131"/>
    </row>
    <row r="6" customFormat="false" ht="12.75" hidden="true" customHeight="false" outlineLevel="0" collapsed="false">
      <c r="A6" s="120" t="n">
        <v>36892</v>
      </c>
      <c r="B6" s="131" t="str">
        <f aca="false">INDEX('Master Data'!$A$2:$B$8,MATCH(WEEKDAY('MM PLANT'!A6,3),'Master Data'!$A$2:$A$8,0),2)</f>
        <v>M</v>
      </c>
      <c r="D6" s="124" t="n">
        <v>0</v>
      </c>
      <c r="E6" s="124" t="n">
        <v>0</v>
      </c>
      <c r="F6" s="124" t="n">
        <v>0</v>
      </c>
      <c r="G6" s="124" t="n">
        <v>0</v>
      </c>
      <c r="I6" s="124" t="n">
        <f aca="false">G6</f>
        <v>0</v>
      </c>
      <c r="J6" s="124" t="n">
        <f aca="false">I6</f>
        <v>0</v>
      </c>
      <c r="K6" s="124" t="n">
        <f aca="false">IF(WEEKDAY(A6,3)&gt;4,0,(IF(A6&lt;K$2,0,IF(A6&lt;=K$3,1,0))))</f>
        <v>0</v>
      </c>
      <c r="L6" s="124" t="n">
        <f aca="false">J6*K6</f>
        <v>0</v>
      </c>
      <c r="M6" s="124" t="n">
        <f aca="false">SUM(J$6:J6)</f>
        <v>0</v>
      </c>
      <c r="N6" s="124" t="n">
        <f aca="false">SUM(J$6:J6)</f>
        <v>0</v>
      </c>
      <c r="P6" s="124" t="n">
        <f aca="false">D6/P$3</f>
        <v>0</v>
      </c>
      <c r="Q6" s="124" t="n">
        <f aca="false">E6/P$3</f>
        <v>0</v>
      </c>
      <c r="R6" s="124" t="n">
        <f aca="false">F6/R$3</f>
        <v>0</v>
      </c>
      <c r="S6" s="126" t="n">
        <f aca="false">J6/$R$3</f>
        <v>0</v>
      </c>
      <c r="T6" s="126" t="n">
        <f aca="false">L6/$R$3</f>
        <v>0</v>
      </c>
      <c r="U6" s="126" t="n">
        <f aca="false">I6/$R$3</f>
        <v>0</v>
      </c>
      <c r="V6" s="126" t="n">
        <f aca="false">M6/$R$3</f>
        <v>0</v>
      </c>
      <c r="W6" s="126" t="n">
        <f aca="false">N6/$R$3</f>
        <v>0</v>
      </c>
    </row>
    <row r="7" customFormat="false" ht="12.75" hidden="true" customHeight="false" outlineLevel="0" collapsed="false">
      <c r="A7" s="120" t="n">
        <f aca="false">A6+1</f>
        <v>36893</v>
      </c>
      <c r="B7" s="131" t="str">
        <f aca="false">INDEX('Master Data'!$A$2:$B$8,MATCH(WEEKDAY('MM PLANT'!A7,3),'Master Data'!$A$2:$A$8,0),2)</f>
        <v>T</v>
      </c>
      <c r="D7" s="124" t="n">
        <v>0</v>
      </c>
      <c r="E7" s="124" t="n">
        <v>0</v>
      </c>
      <c r="F7" s="124" t="n">
        <v>0</v>
      </c>
      <c r="G7" s="124" t="n">
        <v>0</v>
      </c>
      <c r="I7" s="124" t="n">
        <f aca="false">IF(MONTH($A7)=MONTH($A6),IF(G7=0,I6,G7),0)</f>
        <v>0</v>
      </c>
      <c r="J7" s="124" t="n">
        <f aca="false">IF(MONTH($A7)=MONTH($A6),SUM(I7-I6),I7)</f>
        <v>0</v>
      </c>
      <c r="K7" s="124" t="n">
        <f aca="false">IF(WEEKDAY(A7,3)&gt;4,0,(IF(A7&lt;K$2,0,IF(A7&lt;=K$3,1,0))))</f>
        <v>0</v>
      </c>
      <c r="L7" s="124" t="n">
        <f aca="false">J7*K7</f>
        <v>0</v>
      </c>
      <c r="M7" s="124" t="n">
        <f aca="false">SUM(J$6:J7)</f>
        <v>0</v>
      </c>
      <c r="N7" s="124" t="n">
        <f aca="false">SUM(J$6:J7)</f>
        <v>0</v>
      </c>
      <c r="P7" s="124" t="n">
        <f aca="false">D7/P$3</f>
        <v>0</v>
      </c>
      <c r="Q7" s="124" t="n">
        <f aca="false">E7/P$3</f>
        <v>0</v>
      </c>
      <c r="R7" s="124" t="n">
        <f aca="false">F7/R$3</f>
        <v>0</v>
      </c>
      <c r="S7" s="126" t="n">
        <f aca="false">J7/$R$3</f>
        <v>0</v>
      </c>
      <c r="T7" s="126" t="n">
        <f aca="false">L7/$R$3</f>
        <v>0</v>
      </c>
      <c r="U7" s="126" t="n">
        <f aca="false">I7/$R$3</f>
        <v>0</v>
      </c>
      <c r="V7" s="126" t="n">
        <f aca="false">M7/$R$3</f>
        <v>0</v>
      </c>
      <c r="W7" s="126" t="n">
        <f aca="false">N7/$R$3</f>
        <v>0</v>
      </c>
    </row>
    <row r="8" customFormat="false" ht="12.75" hidden="true" customHeight="false" outlineLevel="0" collapsed="false">
      <c r="A8" s="120" t="n">
        <f aca="false">A7+1</f>
        <v>36894</v>
      </c>
      <c r="B8" s="131" t="str">
        <f aca="false">INDEX('Master Data'!$A$2:$B$8,MATCH(WEEKDAY('MM PLANT'!A8,3),'Master Data'!$A$2:$A$8,0),2)</f>
        <v>W</v>
      </c>
      <c r="D8" s="124" t="n">
        <v>0</v>
      </c>
      <c r="E8" s="124" t="n">
        <v>0</v>
      </c>
      <c r="F8" s="124" t="n">
        <v>0</v>
      </c>
      <c r="G8" s="124" t="n">
        <v>0</v>
      </c>
      <c r="I8" s="124" t="n">
        <f aca="false">IF(MONTH($A8)=MONTH($A7),IF(G8=0,I7,G8),0)</f>
        <v>0</v>
      </c>
      <c r="J8" s="124" t="n">
        <f aca="false">IF(MONTH($A8)=MONTH($A7),SUM(I8-I7),I8)</f>
        <v>0</v>
      </c>
      <c r="K8" s="124" t="n">
        <f aca="false">IF(WEEKDAY(A8,3)&gt;4,0,(IF(A8&lt;K$2,0,IF(A8&lt;=K$3,1,0))))</f>
        <v>0</v>
      </c>
      <c r="L8" s="124" t="n">
        <f aca="false">J8*K8</f>
        <v>0</v>
      </c>
      <c r="M8" s="124" t="n">
        <f aca="false">SUM(J$6:J8)</f>
        <v>0</v>
      </c>
      <c r="N8" s="124" t="n">
        <f aca="false">SUM(J$6:J8)</f>
        <v>0</v>
      </c>
      <c r="P8" s="124" t="n">
        <f aca="false">D8/P$3</f>
        <v>0</v>
      </c>
      <c r="Q8" s="124" t="n">
        <f aca="false">E8/P$3</f>
        <v>0</v>
      </c>
      <c r="R8" s="124" t="n">
        <f aca="false">F8/R$3</f>
        <v>0</v>
      </c>
      <c r="S8" s="126" t="n">
        <f aca="false">J8/$R$3</f>
        <v>0</v>
      </c>
      <c r="T8" s="126" t="n">
        <f aca="false">L8/$R$3</f>
        <v>0</v>
      </c>
      <c r="U8" s="126" t="n">
        <f aca="false">I8/$R$3</f>
        <v>0</v>
      </c>
      <c r="V8" s="126" t="n">
        <f aca="false">M8/$R$3</f>
        <v>0</v>
      </c>
      <c r="W8" s="126" t="n">
        <f aca="false">N8/$R$3</f>
        <v>0</v>
      </c>
    </row>
    <row r="9" customFormat="false" ht="12.75" hidden="true" customHeight="false" outlineLevel="0" collapsed="false">
      <c r="A9" s="120" t="n">
        <f aca="false">A8+1</f>
        <v>36895</v>
      </c>
      <c r="B9" s="131" t="str">
        <f aca="false">INDEX('Master Data'!$A$2:$B$8,MATCH(WEEKDAY('MM PLANT'!A9,3),'Master Data'!$A$2:$A$8,0),2)</f>
        <v>Th</v>
      </c>
      <c r="D9" s="124" t="n">
        <v>0</v>
      </c>
      <c r="E9" s="124" t="n">
        <v>0</v>
      </c>
      <c r="F9" s="124" t="n">
        <v>0</v>
      </c>
      <c r="G9" s="124" t="n">
        <v>0</v>
      </c>
      <c r="I9" s="124" t="n">
        <f aca="false">IF(MONTH($A9)=MONTH($A8),IF(G9=0,I8,G9),0)</f>
        <v>0</v>
      </c>
      <c r="J9" s="124" t="n">
        <f aca="false">IF(MONTH($A9)=MONTH($A8),SUM(I9-I8),I9)</f>
        <v>0</v>
      </c>
      <c r="K9" s="124" t="n">
        <f aca="false">IF(WEEKDAY(A9,3)&gt;4,0,(IF(A9&lt;K$2,0,IF(A9&lt;=K$3,1,0))))</f>
        <v>0</v>
      </c>
      <c r="L9" s="124" t="n">
        <f aca="false">J9*K9</f>
        <v>0</v>
      </c>
      <c r="M9" s="124" t="n">
        <f aca="false">SUM(J$6:J9)</f>
        <v>0</v>
      </c>
      <c r="N9" s="124" t="n">
        <f aca="false">SUM(J$6:J9)</f>
        <v>0</v>
      </c>
      <c r="P9" s="124" t="n">
        <f aca="false">D9/P$3</f>
        <v>0</v>
      </c>
      <c r="Q9" s="124" t="n">
        <f aca="false">E9/P$3</f>
        <v>0</v>
      </c>
      <c r="R9" s="124" t="n">
        <f aca="false">F9/R$3</f>
        <v>0</v>
      </c>
      <c r="S9" s="126" t="n">
        <f aca="false">J9/$R$3</f>
        <v>0</v>
      </c>
      <c r="T9" s="126" t="n">
        <f aca="false">L9/$R$3</f>
        <v>0</v>
      </c>
      <c r="U9" s="126" t="n">
        <f aca="false">I9/$R$3</f>
        <v>0</v>
      </c>
      <c r="V9" s="126" t="n">
        <f aca="false">M9/$R$3</f>
        <v>0</v>
      </c>
      <c r="W9" s="126" t="n">
        <f aca="false">N9/$R$3</f>
        <v>0</v>
      </c>
    </row>
    <row r="10" customFormat="false" ht="12.75" hidden="true" customHeight="false" outlineLevel="0" collapsed="false">
      <c r="A10" s="120" t="n">
        <f aca="false">A9+1</f>
        <v>36896</v>
      </c>
      <c r="B10" s="131" t="str">
        <f aca="false">INDEX('Master Data'!$A$2:$B$8,MATCH(WEEKDAY('MM PLANT'!A10,3),'Master Data'!$A$2:$A$8,0),2)</f>
        <v>F</v>
      </c>
      <c r="D10" s="124" t="n">
        <v>0</v>
      </c>
      <c r="E10" s="124" t="n">
        <v>0</v>
      </c>
      <c r="F10" s="124" t="n">
        <v>0</v>
      </c>
      <c r="G10" s="124" t="n">
        <v>0</v>
      </c>
      <c r="I10" s="124" t="n">
        <f aca="false">IF(MONTH($A10)=MONTH($A9),IF(G10=0,I9,G10),0)</f>
        <v>0</v>
      </c>
      <c r="J10" s="124" t="n">
        <f aca="false">IF(MONTH($A10)=MONTH($A9),SUM(I10-I9),I10)</f>
        <v>0</v>
      </c>
      <c r="K10" s="124" t="n">
        <f aca="false">IF(WEEKDAY(A10,3)&gt;4,0,(IF(A10&lt;K$2,0,IF(A10&lt;=K$3,1,0))))</f>
        <v>0</v>
      </c>
      <c r="L10" s="124" t="n">
        <f aca="false">J10*K10</f>
        <v>0</v>
      </c>
      <c r="M10" s="124" t="n">
        <f aca="false">SUM(J$6:J10)</f>
        <v>0</v>
      </c>
      <c r="N10" s="124" t="n">
        <f aca="false">SUM(J$6:J10)</f>
        <v>0</v>
      </c>
      <c r="P10" s="124" t="n">
        <f aca="false">D10/P$3</f>
        <v>0</v>
      </c>
      <c r="Q10" s="124" t="n">
        <f aca="false">E10/P$3</f>
        <v>0</v>
      </c>
      <c r="R10" s="124" t="n">
        <f aca="false">F10/R$3</f>
        <v>0</v>
      </c>
      <c r="S10" s="126" t="n">
        <f aca="false">J10/$R$3</f>
        <v>0</v>
      </c>
      <c r="T10" s="126" t="n">
        <f aca="false">L10/$R$3</f>
        <v>0</v>
      </c>
      <c r="U10" s="126" t="n">
        <f aca="false">I10/$R$3</f>
        <v>0</v>
      </c>
      <c r="V10" s="126" t="n">
        <f aca="false">M10/$R$3</f>
        <v>0</v>
      </c>
      <c r="W10" s="126" t="n">
        <f aca="false">N10/$R$3</f>
        <v>0</v>
      </c>
    </row>
    <row r="11" customFormat="false" ht="12.75" hidden="true" customHeight="false" outlineLevel="0" collapsed="false">
      <c r="A11" s="120" t="n">
        <f aca="false">A10+1</f>
        <v>36897</v>
      </c>
      <c r="B11" s="131" t="str">
        <f aca="false">INDEX('Master Data'!$A$2:$B$8,MATCH(WEEKDAY('MM PLANT'!A11,3),'Master Data'!$A$2:$A$8,0),2)</f>
        <v>Sa</v>
      </c>
      <c r="D11" s="124" t="n">
        <v>0</v>
      </c>
      <c r="E11" s="124" t="n">
        <v>0</v>
      </c>
      <c r="F11" s="124" t="n">
        <v>0</v>
      </c>
      <c r="G11" s="124" t="n">
        <v>0</v>
      </c>
      <c r="I11" s="124" t="n">
        <f aca="false">IF(MONTH($A11)=MONTH($A10),IF(G11=0,I10,G11),0)</f>
        <v>0</v>
      </c>
      <c r="J11" s="124" t="n">
        <f aca="false">IF(MONTH($A11)=MONTH($A10),SUM(I11-I10),I11)</f>
        <v>0</v>
      </c>
      <c r="K11" s="124" t="n">
        <f aca="false">IF(WEEKDAY(A11,3)&gt;4,0,(IF(A11&lt;K$2,0,IF(A11&lt;=K$3,1,0))))</f>
        <v>0</v>
      </c>
      <c r="L11" s="124" t="n">
        <f aca="false">J11*K11</f>
        <v>0</v>
      </c>
      <c r="M11" s="124" t="n">
        <f aca="false">SUM(J$6:J11)</f>
        <v>0</v>
      </c>
      <c r="N11" s="124" t="n">
        <f aca="false">SUM(J$6:J11)</f>
        <v>0</v>
      </c>
      <c r="P11" s="124" t="n">
        <f aca="false">D11/P$3</f>
        <v>0</v>
      </c>
      <c r="Q11" s="124" t="n">
        <f aca="false">E11/P$3</f>
        <v>0</v>
      </c>
      <c r="R11" s="124" t="n">
        <f aca="false">F11/R$3</f>
        <v>0</v>
      </c>
      <c r="S11" s="126" t="n">
        <f aca="false">J11/$R$3</f>
        <v>0</v>
      </c>
      <c r="T11" s="126" t="n">
        <f aca="false">L11/$R$3</f>
        <v>0</v>
      </c>
      <c r="U11" s="126" t="n">
        <f aca="false">I11/$R$3</f>
        <v>0</v>
      </c>
      <c r="V11" s="126" t="n">
        <f aca="false">M11/$R$3</f>
        <v>0</v>
      </c>
      <c r="W11" s="126" t="n">
        <f aca="false">N11/$R$3</f>
        <v>0</v>
      </c>
    </row>
    <row r="12" customFormat="false" ht="12.75" hidden="true" customHeight="false" outlineLevel="0" collapsed="false">
      <c r="A12" s="120" t="n">
        <f aca="false">A11+1</f>
        <v>36898</v>
      </c>
      <c r="B12" s="131" t="str">
        <f aca="false">INDEX('Master Data'!$A$2:$B$8,MATCH(WEEKDAY('MM PLANT'!A12,3),'Master Data'!$A$2:$A$8,0),2)</f>
        <v>Su</v>
      </c>
      <c r="D12" s="124" t="n">
        <v>0</v>
      </c>
      <c r="E12" s="124" t="n">
        <v>0</v>
      </c>
      <c r="F12" s="124" t="n">
        <v>0</v>
      </c>
      <c r="G12" s="124" t="n">
        <v>0</v>
      </c>
      <c r="I12" s="124" t="n">
        <f aca="false">IF(MONTH($A12)=MONTH($A11),IF(G12=0,I11,G12),0)</f>
        <v>0</v>
      </c>
      <c r="J12" s="124" t="n">
        <f aca="false">IF(MONTH($A12)=MONTH($A11),SUM(I12-I11),I12)</f>
        <v>0</v>
      </c>
      <c r="K12" s="124" t="n">
        <f aca="false">IF(WEEKDAY(A12,3)&gt;4,0,(IF(A12&lt;K$2,0,IF(A12&lt;=K$3,1,0))))</f>
        <v>0</v>
      </c>
      <c r="L12" s="124" t="n">
        <f aca="false">J12*K12</f>
        <v>0</v>
      </c>
      <c r="M12" s="124" t="n">
        <f aca="false">SUM(J$6:J12)</f>
        <v>0</v>
      </c>
      <c r="N12" s="124" t="n">
        <f aca="false">SUM(J$6:J12)</f>
        <v>0</v>
      </c>
      <c r="P12" s="124" t="n">
        <f aca="false">D12/P$3</f>
        <v>0</v>
      </c>
      <c r="Q12" s="124" t="n">
        <f aca="false">E12/P$3</f>
        <v>0</v>
      </c>
      <c r="R12" s="124" t="n">
        <f aca="false">F12/R$3</f>
        <v>0</v>
      </c>
      <c r="S12" s="126" t="n">
        <f aca="false">J12/$R$3</f>
        <v>0</v>
      </c>
      <c r="T12" s="126" t="n">
        <f aca="false">L12/$R$3</f>
        <v>0</v>
      </c>
      <c r="U12" s="126" t="n">
        <f aca="false">I12/$R$3</f>
        <v>0</v>
      </c>
      <c r="V12" s="126" t="n">
        <f aca="false">M12/$R$3</f>
        <v>0</v>
      </c>
      <c r="W12" s="126" t="n">
        <f aca="false">N12/$R$3</f>
        <v>0</v>
      </c>
    </row>
    <row r="13" customFormat="false" ht="12.75" hidden="true" customHeight="false" outlineLevel="0" collapsed="false">
      <c r="A13" s="120" t="n">
        <f aca="false">A12+1</f>
        <v>36899</v>
      </c>
      <c r="B13" s="131" t="str">
        <f aca="false">INDEX('Master Data'!$A$2:$B$8,MATCH(WEEKDAY('MM PLANT'!A13,3),'Master Data'!$A$2:$A$8,0),2)</f>
        <v>M</v>
      </c>
      <c r="D13" s="124" t="n">
        <v>0</v>
      </c>
      <c r="E13" s="124" t="n">
        <v>0</v>
      </c>
      <c r="F13" s="124" t="n">
        <v>0</v>
      </c>
      <c r="G13" s="124" t="n">
        <v>0</v>
      </c>
      <c r="I13" s="124" t="n">
        <f aca="false">IF(MONTH($A13)=MONTH($A12),IF(G13=0,I12,G13),0)</f>
        <v>0</v>
      </c>
      <c r="J13" s="124" t="n">
        <f aca="false">IF(MONTH($A13)=MONTH($A12),SUM(I13-I12),I13)</f>
        <v>0</v>
      </c>
      <c r="K13" s="124" t="n">
        <f aca="false">IF(WEEKDAY(A13,3)&gt;4,0,(IF(A13&lt;K$2,0,IF(A13&lt;=K$3,1,0))))</f>
        <v>0</v>
      </c>
      <c r="L13" s="124" t="n">
        <f aca="false">J13*K13</f>
        <v>0</v>
      </c>
      <c r="M13" s="124" t="n">
        <f aca="false">SUM(J$6:J13)</f>
        <v>0</v>
      </c>
      <c r="N13" s="124" t="n">
        <f aca="false">SUM(J$6:J13)</f>
        <v>0</v>
      </c>
      <c r="P13" s="124" t="n">
        <f aca="false">D13/P$3</f>
        <v>0</v>
      </c>
      <c r="Q13" s="124" t="n">
        <f aca="false">E13/P$3</f>
        <v>0</v>
      </c>
      <c r="R13" s="124" t="n">
        <f aca="false">F13/R$3</f>
        <v>0</v>
      </c>
      <c r="S13" s="126" t="n">
        <f aca="false">J13/$R$3</f>
        <v>0</v>
      </c>
      <c r="T13" s="126" t="n">
        <f aca="false">L13/$R$3</f>
        <v>0</v>
      </c>
      <c r="U13" s="126" t="n">
        <f aca="false">I13/$R$3</f>
        <v>0</v>
      </c>
      <c r="V13" s="126" t="n">
        <f aca="false">M13/$R$3</f>
        <v>0</v>
      </c>
      <c r="W13" s="126" t="n">
        <f aca="false">N13/$R$3</f>
        <v>0</v>
      </c>
    </row>
    <row r="14" customFormat="false" ht="12.75" hidden="true" customHeight="false" outlineLevel="0" collapsed="false">
      <c r="A14" s="120" t="n">
        <f aca="false">A13+1</f>
        <v>36900</v>
      </c>
      <c r="B14" s="131" t="str">
        <f aca="false">INDEX('Master Data'!$A$2:$B$8,MATCH(WEEKDAY('MM PLANT'!A14,3),'Master Data'!$A$2:$A$8,0),2)</f>
        <v>T</v>
      </c>
      <c r="D14" s="124" t="n">
        <v>0</v>
      </c>
      <c r="E14" s="124" t="n">
        <v>0</v>
      </c>
      <c r="F14" s="124" t="n">
        <v>0</v>
      </c>
      <c r="G14" s="124" t="n">
        <v>0</v>
      </c>
      <c r="I14" s="124" t="n">
        <f aca="false">IF(MONTH($A14)=MONTH($A13),IF(G14=0,I13,G14),0)</f>
        <v>0</v>
      </c>
      <c r="J14" s="124" t="n">
        <f aca="false">IF(MONTH($A14)=MONTH($A13),SUM(I14-I13),I14)</f>
        <v>0</v>
      </c>
      <c r="K14" s="124" t="n">
        <f aca="false">IF(WEEKDAY(A14,3)&gt;4,0,(IF(A14&lt;K$2,0,IF(A14&lt;=K$3,1,0))))</f>
        <v>0</v>
      </c>
      <c r="L14" s="124" t="n">
        <f aca="false">J14*K14</f>
        <v>0</v>
      </c>
      <c r="M14" s="124" t="n">
        <f aca="false">SUM(J$6:J14)</f>
        <v>0</v>
      </c>
      <c r="N14" s="124" t="n">
        <f aca="false">SUM(J$6:J14)</f>
        <v>0</v>
      </c>
      <c r="P14" s="124" t="n">
        <f aca="false">D14/P$3</f>
        <v>0</v>
      </c>
      <c r="Q14" s="124" t="n">
        <f aca="false">E14/P$3</f>
        <v>0</v>
      </c>
      <c r="R14" s="124" t="n">
        <f aca="false">F14/R$3</f>
        <v>0</v>
      </c>
      <c r="S14" s="126" t="n">
        <f aca="false">J14/$R$3</f>
        <v>0</v>
      </c>
      <c r="T14" s="126" t="n">
        <f aca="false">L14/$R$3</f>
        <v>0</v>
      </c>
      <c r="U14" s="126" t="n">
        <f aca="false">I14/$R$3</f>
        <v>0</v>
      </c>
      <c r="V14" s="126" t="n">
        <f aca="false">M14/$R$3</f>
        <v>0</v>
      </c>
      <c r="W14" s="126" t="n">
        <f aca="false">N14/$R$3</f>
        <v>0</v>
      </c>
    </row>
    <row r="15" customFormat="false" ht="12.75" hidden="true" customHeight="false" outlineLevel="0" collapsed="false">
      <c r="A15" s="120" t="n">
        <f aca="false">A14+1</f>
        <v>36901</v>
      </c>
      <c r="B15" s="131" t="str">
        <f aca="false">INDEX('Master Data'!$A$2:$B$8,MATCH(WEEKDAY('MM PLANT'!A15,3),'Master Data'!$A$2:$A$8,0),2)</f>
        <v>W</v>
      </c>
      <c r="D15" s="124" t="n">
        <v>0</v>
      </c>
      <c r="E15" s="124" t="n">
        <v>0</v>
      </c>
      <c r="F15" s="124" t="n">
        <v>0</v>
      </c>
      <c r="G15" s="124" t="n">
        <v>0</v>
      </c>
      <c r="I15" s="124" t="n">
        <f aca="false">IF(MONTH($A15)=MONTH($A14),IF(G15=0,I14,G15),0)</f>
        <v>0</v>
      </c>
      <c r="J15" s="124" t="n">
        <f aca="false">IF(MONTH($A15)=MONTH($A14),SUM(I15-I14),I15)</f>
        <v>0</v>
      </c>
      <c r="K15" s="124" t="n">
        <f aca="false">IF(WEEKDAY(A15,3)&gt;4,0,(IF(A15&lt;K$2,0,IF(A15&lt;=K$3,1,0))))</f>
        <v>0</v>
      </c>
      <c r="L15" s="124" t="n">
        <f aca="false">J15*K15</f>
        <v>0</v>
      </c>
      <c r="M15" s="124" t="n">
        <f aca="false">SUM(J$6:J15)</f>
        <v>0</v>
      </c>
      <c r="N15" s="124" t="n">
        <f aca="false">SUM(J$6:J15)</f>
        <v>0</v>
      </c>
      <c r="P15" s="124" t="n">
        <f aca="false">D15/P$3</f>
        <v>0</v>
      </c>
      <c r="Q15" s="124" t="n">
        <f aca="false">E15/P$3</f>
        <v>0</v>
      </c>
      <c r="R15" s="124" t="n">
        <f aca="false">F15/R$3</f>
        <v>0</v>
      </c>
      <c r="S15" s="126" t="n">
        <f aca="false">J15/$R$3</f>
        <v>0</v>
      </c>
      <c r="T15" s="126" t="n">
        <f aca="false">L15/$R$3</f>
        <v>0</v>
      </c>
      <c r="U15" s="126" t="n">
        <f aca="false">I15/$R$3</f>
        <v>0</v>
      </c>
      <c r="V15" s="126" t="n">
        <f aca="false">M15/$R$3</f>
        <v>0</v>
      </c>
      <c r="W15" s="126" t="n">
        <f aca="false">N15/$R$3</f>
        <v>0</v>
      </c>
    </row>
    <row r="16" customFormat="false" ht="12.75" hidden="true" customHeight="false" outlineLevel="0" collapsed="false">
      <c r="A16" s="120" t="n">
        <f aca="false">A15+1</f>
        <v>36902</v>
      </c>
      <c r="B16" s="131" t="str">
        <f aca="false">INDEX('Master Data'!$A$2:$B$8,MATCH(WEEKDAY('MM PLANT'!A16,3),'Master Data'!$A$2:$A$8,0),2)</f>
        <v>Th</v>
      </c>
      <c r="D16" s="124" t="n">
        <v>0</v>
      </c>
      <c r="E16" s="124" t="n">
        <v>0</v>
      </c>
      <c r="F16" s="124" t="n">
        <v>0</v>
      </c>
      <c r="G16" s="124" t="n">
        <v>0</v>
      </c>
      <c r="I16" s="124" t="n">
        <f aca="false">IF(MONTH($A16)=MONTH($A15),IF(G16=0,I15,G16),0)</f>
        <v>0</v>
      </c>
      <c r="J16" s="124" t="n">
        <f aca="false">IF(MONTH($A16)=MONTH($A15),SUM(I16-I15),I16)</f>
        <v>0</v>
      </c>
      <c r="K16" s="124" t="n">
        <f aca="false">IF(WEEKDAY(A16,3)&gt;4,0,(IF(A16&lt;K$2,0,IF(A16&lt;=K$3,1,0))))</f>
        <v>0</v>
      </c>
      <c r="L16" s="124" t="n">
        <f aca="false">J16*K16</f>
        <v>0</v>
      </c>
      <c r="M16" s="124" t="n">
        <f aca="false">SUM(J$6:J16)</f>
        <v>0</v>
      </c>
      <c r="N16" s="124" t="n">
        <f aca="false">SUM(J$6:J16)</f>
        <v>0</v>
      </c>
      <c r="P16" s="124" t="n">
        <f aca="false">D16/P$3</f>
        <v>0</v>
      </c>
      <c r="Q16" s="124" t="n">
        <f aca="false">E16/P$3</f>
        <v>0</v>
      </c>
      <c r="R16" s="124" t="n">
        <f aca="false">F16/R$3</f>
        <v>0</v>
      </c>
      <c r="S16" s="126" t="n">
        <f aca="false">J16/$R$3</f>
        <v>0</v>
      </c>
      <c r="T16" s="126" t="n">
        <f aca="false">L16/$R$3</f>
        <v>0</v>
      </c>
      <c r="U16" s="126" t="n">
        <f aca="false">I16/$R$3</f>
        <v>0</v>
      </c>
      <c r="V16" s="126" t="n">
        <f aca="false">M16/$R$3</f>
        <v>0</v>
      </c>
      <c r="W16" s="126" t="n">
        <f aca="false">N16/$R$3</f>
        <v>0</v>
      </c>
    </row>
    <row r="17" customFormat="false" ht="12.75" hidden="true" customHeight="false" outlineLevel="0" collapsed="false">
      <c r="A17" s="120" t="n">
        <f aca="false">A16+1</f>
        <v>36903</v>
      </c>
      <c r="B17" s="131" t="str">
        <f aca="false">INDEX('Master Data'!$A$2:$B$8,MATCH(WEEKDAY('MM PLANT'!A17,3),'Master Data'!$A$2:$A$8,0),2)</f>
        <v>F</v>
      </c>
      <c r="D17" s="124" t="n">
        <v>0</v>
      </c>
      <c r="E17" s="124" t="n">
        <v>0</v>
      </c>
      <c r="F17" s="124" t="n">
        <v>0</v>
      </c>
      <c r="G17" s="124" t="n">
        <v>0</v>
      </c>
      <c r="I17" s="124" t="n">
        <f aca="false">IF(MONTH($A17)=MONTH($A16),IF(G17=0,I16,G17),0)</f>
        <v>0</v>
      </c>
      <c r="J17" s="124" t="n">
        <f aca="false">IF(MONTH($A17)=MONTH($A16),SUM(I17-I16),I17)</f>
        <v>0</v>
      </c>
      <c r="K17" s="124" t="n">
        <f aca="false">IF(WEEKDAY(A17,3)&gt;4,0,(IF(A17&lt;K$2,0,IF(A17&lt;=K$3,1,0))))</f>
        <v>0</v>
      </c>
      <c r="L17" s="124" t="n">
        <f aca="false">J17*K17</f>
        <v>0</v>
      </c>
      <c r="M17" s="124" t="n">
        <f aca="false">SUM(J$6:J17)</f>
        <v>0</v>
      </c>
      <c r="N17" s="124" t="n">
        <f aca="false">SUM(J$6:J17)</f>
        <v>0</v>
      </c>
      <c r="P17" s="124" t="n">
        <f aca="false">D17/P$3</f>
        <v>0</v>
      </c>
      <c r="Q17" s="124" t="n">
        <f aca="false">E17/P$3</f>
        <v>0</v>
      </c>
      <c r="R17" s="124" t="n">
        <f aca="false">F17/R$3</f>
        <v>0</v>
      </c>
      <c r="S17" s="126" t="n">
        <f aca="false">J17/$R$3</f>
        <v>0</v>
      </c>
      <c r="T17" s="126" t="n">
        <f aca="false">L17/$R$3</f>
        <v>0</v>
      </c>
      <c r="U17" s="126" t="n">
        <f aca="false">I17/$R$3</f>
        <v>0</v>
      </c>
      <c r="V17" s="126" t="n">
        <f aca="false">M17/$R$3</f>
        <v>0</v>
      </c>
      <c r="W17" s="126" t="n">
        <f aca="false">N17/$R$3</f>
        <v>0</v>
      </c>
    </row>
    <row r="18" customFormat="false" ht="12.75" hidden="true" customHeight="false" outlineLevel="0" collapsed="false">
      <c r="A18" s="120" t="n">
        <f aca="false">A17+1</f>
        <v>36904</v>
      </c>
      <c r="B18" s="131" t="str">
        <f aca="false">INDEX('Master Data'!$A$2:$B$8,MATCH(WEEKDAY('MM PLANT'!A18,3),'Master Data'!$A$2:$A$8,0),2)</f>
        <v>Sa</v>
      </c>
      <c r="D18" s="124" t="n">
        <v>0</v>
      </c>
      <c r="E18" s="124" t="n">
        <v>0</v>
      </c>
      <c r="F18" s="124" t="n">
        <v>0</v>
      </c>
      <c r="G18" s="124" t="n">
        <v>0</v>
      </c>
      <c r="I18" s="124" t="n">
        <f aca="false">IF(MONTH($A18)=MONTH($A17),IF(G18=0,I17,G18),0)</f>
        <v>0</v>
      </c>
      <c r="J18" s="124" t="n">
        <f aca="false">IF(MONTH($A18)=MONTH($A17),SUM(I18-I17),I18)</f>
        <v>0</v>
      </c>
      <c r="K18" s="124" t="n">
        <f aca="false">IF(WEEKDAY(A18,3)&gt;4,0,(IF(A18&lt;K$2,0,IF(A18&lt;=K$3,1,0))))</f>
        <v>0</v>
      </c>
      <c r="L18" s="124" t="n">
        <f aca="false">J18*K18</f>
        <v>0</v>
      </c>
      <c r="M18" s="124" t="n">
        <f aca="false">SUM(J$6:J18)</f>
        <v>0</v>
      </c>
      <c r="N18" s="124" t="n">
        <f aca="false">SUM(J$6:J18)</f>
        <v>0</v>
      </c>
      <c r="P18" s="124" t="n">
        <f aca="false">D18/P$3</f>
        <v>0</v>
      </c>
      <c r="Q18" s="124" t="n">
        <f aca="false">E18/P$3</f>
        <v>0</v>
      </c>
      <c r="R18" s="124" t="n">
        <f aca="false">F18/R$3</f>
        <v>0</v>
      </c>
      <c r="S18" s="126" t="n">
        <f aca="false">J18/$R$3</f>
        <v>0</v>
      </c>
      <c r="T18" s="126" t="n">
        <f aca="false">L18/$R$3</f>
        <v>0</v>
      </c>
      <c r="U18" s="126" t="n">
        <f aca="false">I18/$R$3</f>
        <v>0</v>
      </c>
      <c r="V18" s="126" t="n">
        <f aca="false">M18/$R$3</f>
        <v>0</v>
      </c>
      <c r="W18" s="126" t="n">
        <f aca="false">N18/$R$3</f>
        <v>0</v>
      </c>
    </row>
    <row r="19" customFormat="false" ht="12.75" hidden="true" customHeight="false" outlineLevel="0" collapsed="false">
      <c r="A19" s="120" t="n">
        <f aca="false">A18+1</f>
        <v>36905</v>
      </c>
      <c r="B19" s="131" t="str">
        <f aca="false">INDEX('Master Data'!$A$2:$B$8,MATCH(WEEKDAY('MM PLANT'!A19,3),'Master Data'!$A$2:$A$8,0),2)</f>
        <v>Su</v>
      </c>
      <c r="D19" s="124" t="n">
        <v>0</v>
      </c>
      <c r="E19" s="124" t="n">
        <v>0</v>
      </c>
      <c r="F19" s="124" t="n">
        <v>0</v>
      </c>
      <c r="G19" s="124" t="n">
        <v>0</v>
      </c>
      <c r="I19" s="124" t="n">
        <f aca="false">IF(MONTH($A19)=MONTH($A18),IF(G19=0,I18,G19),0)</f>
        <v>0</v>
      </c>
      <c r="J19" s="124" t="n">
        <f aca="false">IF(MONTH($A19)=MONTH($A18),SUM(I19-I18),I19)</f>
        <v>0</v>
      </c>
      <c r="K19" s="124" t="n">
        <f aca="false">IF(WEEKDAY(A19,3)&gt;4,0,(IF(A19&lt;K$2,0,IF(A19&lt;=K$3,1,0))))</f>
        <v>0</v>
      </c>
      <c r="L19" s="124" t="n">
        <f aca="false">J19*K19</f>
        <v>0</v>
      </c>
      <c r="M19" s="124" t="n">
        <f aca="false">SUM(J$6:J19)</f>
        <v>0</v>
      </c>
      <c r="N19" s="124" t="n">
        <f aca="false">SUM(J$6:J19)</f>
        <v>0</v>
      </c>
      <c r="P19" s="124" t="n">
        <f aca="false">D19/P$3</f>
        <v>0</v>
      </c>
      <c r="Q19" s="124" t="n">
        <f aca="false">E19/P$3</f>
        <v>0</v>
      </c>
      <c r="R19" s="124" t="n">
        <f aca="false">F19/R$3</f>
        <v>0</v>
      </c>
      <c r="S19" s="126" t="n">
        <f aca="false">J19/$R$3</f>
        <v>0</v>
      </c>
      <c r="T19" s="126" t="n">
        <f aca="false">L19/$R$3</f>
        <v>0</v>
      </c>
      <c r="U19" s="126" t="n">
        <f aca="false">I19/$R$3</f>
        <v>0</v>
      </c>
      <c r="V19" s="126" t="n">
        <f aca="false">M19/$R$3</f>
        <v>0</v>
      </c>
      <c r="W19" s="126" t="n">
        <f aca="false">N19/$R$3</f>
        <v>0</v>
      </c>
    </row>
    <row r="20" customFormat="false" ht="12.75" hidden="true" customHeight="false" outlineLevel="0" collapsed="false">
      <c r="A20" s="120" t="n">
        <f aca="false">A19+1</f>
        <v>36906</v>
      </c>
      <c r="B20" s="131" t="str">
        <f aca="false">INDEX('Master Data'!$A$2:$B$8,MATCH(WEEKDAY('MM PLANT'!A20,3),'Master Data'!$A$2:$A$8,0),2)</f>
        <v>M</v>
      </c>
      <c r="D20" s="124" t="n">
        <v>0</v>
      </c>
      <c r="E20" s="124" t="n">
        <v>0</v>
      </c>
      <c r="F20" s="124" t="n">
        <v>0</v>
      </c>
      <c r="G20" s="124" t="n">
        <v>0</v>
      </c>
      <c r="I20" s="124" t="n">
        <f aca="false">IF(MONTH($A20)=MONTH($A19),IF(G20=0,I19,G20),0)</f>
        <v>0</v>
      </c>
      <c r="J20" s="124" t="n">
        <f aca="false">IF(MONTH($A20)=MONTH($A19),SUM(I20-I19),I20)</f>
        <v>0</v>
      </c>
      <c r="K20" s="124" t="n">
        <f aca="false">IF(WEEKDAY(A20,3)&gt;4,0,(IF(A20&lt;K$2,0,IF(A20&lt;=K$3,1,0))))</f>
        <v>0</v>
      </c>
      <c r="L20" s="124" t="n">
        <f aca="false">J20*K20</f>
        <v>0</v>
      </c>
      <c r="M20" s="124" t="n">
        <f aca="false">SUM(J$6:J20)</f>
        <v>0</v>
      </c>
      <c r="N20" s="124" t="n">
        <f aca="false">SUM(J$6:J20)</f>
        <v>0</v>
      </c>
      <c r="P20" s="124" t="n">
        <f aca="false">D20/P$3</f>
        <v>0</v>
      </c>
      <c r="Q20" s="124" t="n">
        <f aca="false">E20/P$3</f>
        <v>0</v>
      </c>
      <c r="R20" s="124" t="n">
        <f aca="false">F20/R$3</f>
        <v>0</v>
      </c>
      <c r="S20" s="126" t="n">
        <f aca="false">J20/$R$3</f>
        <v>0</v>
      </c>
      <c r="T20" s="126" t="n">
        <f aca="false">L20/$R$3</f>
        <v>0</v>
      </c>
      <c r="U20" s="126" t="n">
        <f aca="false">I20/$R$3</f>
        <v>0</v>
      </c>
      <c r="V20" s="126" t="n">
        <f aca="false">M20/$R$3</f>
        <v>0</v>
      </c>
      <c r="W20" s="126" t="n">
        <f aca="false">N20/$R$3</f>
        <v>0</v>
      </c>
    </row>
    <row r="21" customFormat="false" ht="12.75" hidden="true" customHeight="false" outlineLevel="0" collapsed="false">
      <c r="A21" s="120" t="n">
        <f aca="false">A20+1</f>
        <v>36907</v>
      </c>
      <c r="B21" s="131" t="str">
        <f aca="false">INDEX('Master Data'!$A$2:$B$8,MATCH(WEEKDAY('MM PLANT'!A21,3),'Master Data'!$A$2:$A$8,0),2)</f>
        <v>T</v>
      </c>
      <c r="D21" s="124" t="n">
        <v>0</v>
      </c>
      <c r="E21" s="124" t="n">
        <v>0</v>
      </c>
      <c r="F21" s="124" t="n">
        <v>0</v>
      </c>
      <c r="G21" s="124" t="n">
        <v>0</v>
      </c>
      <c r="I21" s="124" t="n">
        <f aca="false">IF(MONTH($A21)=MONTH($A20),IF(G21=0,I20,G21),0)</f>
        <v>0</v>
      </c>
      <c r="J21" s="124" t="n">
        <f aca="false">IF(MONTH($A21)=MONTH($A20),SUM(I21-I20),I21)</f>
        <v>0</v>
      </c>
      <c r="K21" s="124" t="n">
        <f aca="false">IF(WEEKDAY(A21,3)&gt;4,0,(IF(A21&lt;K$2,0,IF(A21&lt;=K$3,1,0))))</f>
        <v>0</v>
      </c>
      <c r="L21" s="124" t="n">
        <f aca="false">J21*K21</f>
        <v>0</v>
      </c>
      <c r="M21" s="124" t="n">
        <f aca="false">SUM(J$6:J21)</f>
        <v>0</v>
      </c>
      <c r="N21" s="124" t="n">
        <f aca="false">SUM(J$6:J21)</f>
        <v>0</v>
      </c>
      <c r="P21" s="124" t="n">
        <f aca="false">D21/P$3</f>
        <v>0</v>
      </c>
      <c r="Q21" s="124" t="n">
        <f aca="false">E21/P$3</f>
        <v>0</v>
      </c>
      <c r="R21" s="124" t="n">
        <f aca="false">F21/R$3</f>
        <v>0</v>
      </c>
      <c r="S21" s="126" t="n">
        <f aca="false">J21/$R$3</f>
        <v>0</v>
      </c>
      <c r="T21" s="126" t="n">
        <f aca="false">L21/$R$3</f>
        <v>0</v>
      </c>
      <c r="U21" s="126" t="n">
        <f aca="false">I21/$R$3</f>
        <v>0</v>
      </c>
      <c r="V21" s="126" t="n">
        <f aca="false">M21/$R$3</f>
        <v>0</v>
      </c>
      <c r="W21" s="126" t="n">
        <f aca="false">N21/$R$3</f>
        <v>0</v>
      </c>
    </row>
    <row r="22" customFormat="false" ht="12.75" hidden="true" customHeight="false" outlineLevel="0" collapsed="false">
      <c r="A22" s="120" t="n">
        <f aca="false">A21+1</f>
        <v>36908</v>
      </c>
      <c r="B22" s="131" t="str">
        <f aca="false">INDEX('Master Data'!$A$2:$B$8,MATCH(WEEKDAY('MM PLANT'!A22,3),'Master Data'!$A$2:$A$8,0),2)</f>
        <v>W</v>
      </c>
      <c r="D22" s="124" t="n">
        <v>0</v>
      </c>
      <c r="E22" s="124" t="n">
        <v>0</v>
      </c>
      <c r="F22" s="124" t="n">
        <v>0</v>
      </c>
      <c r="G22" s="124" t="n">
        <v>0</v>
      </c>
      <c r="I22" s="124" t="n">
        <f aca="false">IF(MONTH($A22)=MONTH($A21),IF(G22=0,I21,G22),0)</f>
        <v>0</v>
      </c>
      <c r="J22" s="124" t="n">
        <f aca="false">IF(MONTH($A22)=MONTH($A21),SUM(I22-I21),I22)</f>
        <v>0</v>
      </c>
      <c r="K22" s="124" t="n">
        <f aca="false">IF(WEEKDAY(A22,3)&gt;4,0,(IF(A22&lt;K$2,0,IF(A22&lt;=K$3,1,0))))</f>
        <v>0</v>
      </c>
      <c r="L22" s="124" t="n">
        <f aca="false">J22*K22</f>
        <v>0</v>
      </c>
      <c r="M22" s="124" t="n">
        <f aca="false">SUM(J$6:J22)</f>
        <v>0</v>
      </c>
      <c r="N22" s="124" t="n">
        <f aca="false">SUM(J$6:J22)</f>
        <v>0</v>
      </c>
      <c r="P22" s="124" t="n">
        <f aca="false">D22/P$3</f>
        <v>0</v>
      </c>
      <c r="Q22" s="124" t="n">
        <f aca="false">E22/P$3</f>
        <v>0</v>
      </c>
      <c r="R22" s="124" t="n">
        <f aca="false">F22/R$3</f>
        <v>0</v>
      </c>
      <c r="S22" s="126" t="n">
        <f aca="false">J22/$R$3</f>
        <v>0</v>
      </c>
      <c r="T22" s="126" t="n">
        <f aca="false">L22/$R$3</f>
        <v>0</v>
      </c>
      <c r="U22" s="126" t="n">
        <f aca="false">I22/$R$3</f>
        <v>0</v>
      </c>
      <c r="V22" s="126" t="n">
        <f aca="false">M22/$R$3</f>
        <v>0</v>
      </c>
      <c r="W22" s="126" t="n">
        <f aca="false">N22/$R$3</f>
        <v>0</v>
      </c>
    </row>
    <row r="23" customFormat="false" ht="12.75" hidden="true" customHeight="false" outlineLevel="0" collapsed="false">
      <c r="A23" s="120" t="n">
        <f aca="false">A22+1</f>
        <v>36909</v>
      </c>
      <c r="B23" s="131" t="str">
        <f aca="false">INDEX('Master Data'!$A$2:$B$8,MATCH(WEEKDAY('MM PLANT'!A23,3),'Master Data'!$A$2:$A$8,0),2)</f>
        <v>Th</v>
      </c>
      <c r="D23" s="124" t="n">
        <v>0</v>
      </c>
      <c r="E23" s="124" t="n">
        <v>0</v>
      </c>
      <c r="F23" s="124" t="n">
        <v>0</v>
      </c>
      <c r="G23" s="124" t="n">
        <v>0</v>
      </c>
      <c r="I23" s="124" t="n">
        <f aca="false">IF(MONTH($A23)=MONTH($A22),IF(G23=0,I22,G23),0)</f>
        <v>0</v>
      </c>
      <c r="J23" s="124" t="n">
        <f aca="false">IF(MONTH($A23)=MONTH($A22),SUM(I23-I22),I23)</f>
        <v>0</v>
      </c>
      <c r="K23" s="124" t="n">
        <f aca="false">IF(WEEKDAY(A23,3)&gt;4,0,(IF(A23&lt;K$2,0,IF(A23&lt;=K$3,1,0))))</f>
        <v>0</v>
      </c>
      <c r="L23" s="124" t="n">
        <f aca="false">J23*K23</f>
        <v>0</v>
      </c>
      <c r="M23" s="124" t="n">
        <f aca="false">SUM(J$6:J23)</f>
        <v>0</v>
      </c>
      <c r="N23" s="124" t="n">
        <f aca="false">SUM(J$6:J23)</f>
        <v>0</v>
      </c>
      <c r="P23" s="124" t="n">
        <f aca="false">D23/P$3</f>
        <v>0</v>
      </c>
      <c r="Q23" s="124" t="n">
        <f aca="false">E23/P$3</f>
        <v>0</v>
      </c>
      <c r="R23" s="124" t="n">
        <f aca="false">F23/R$3</f>
        <v>0</v>
      </c>
      <c r="S23" s="126" t="n">
        <f aca="false">J23/$R$3</f>
        <v>0</v>
      </c>
      <c r="T23" s="126" t="n">
        <f aca="false">L23/$R$3</f>
        <v>0</v>
      </c>
      <c r="U23" s="126" t="n">
        <f aca="false">I23/$R$3</f>
        <v>0</v>
      </c>
      <c r="V23" s="126" t="n">
        <f aca="false">M23/$R$3</f>
        <v>0</v>
      </c>
      <c r="W23" s="126" t="n">
        <f aca="false">N23/$R$3</f>
        <v>0</v>
      </c>
    </row>
    <row r="24" customFormat="false" ht="12.75" hidden="true" customHeight="false" outlineLevel="0" collapsed="false">
      <c r="A24" s="120" t="n">
        <f aca="false">A23+1</f>
        <v>36910</v>
      </c>
      <c r="B24" s="131" t="str">
        <f aca="false">INDEX('Master Data'!$A$2:$B$8,MATCH(WEEKDAY('MM PLANT'!A24,3),'Master Data'!$A$2:$A$8,0),2)</f>
        <v>F</v>
      </c>
      <c r="D24" s="124" t="n">
        <v>0</v>
      </c>
      <c r="E24" s="124" t="n">
        <v>0</v>
      </c>
      <c r="F24" s="124" t="n">
        <v>0</v>
      </c>
      <c r="G24" s="124" t="n">
        <v>0</v>
      </c>
      <c r="I24" s="124" t="n">
        <f aca="false">IF(MONTH($A24)=MONTH($A23),IF(G24=0,I23,G24),0)</f>
        <v>0</v>
      </c>
      <c r="J24" s="124" t="n">
        <f aca="false">IF(MONTH($A24)=MONTH($A23),SUM(I24-I23),I24)</f>
        <v>0</v>
      </c>
      <c r="K24" s="124" t="n">
        <f aca="false">IF(WEEKDAY(A24,3)&gt;4,0,(IF(A24&lt;K$2,0,IF(A24&lt;=K$3,1,0))))</f>
        <v>0</v>
      </c>
      <c r="L24" s="124" t="n">
        <f aca="false">J24*K24</f>
        <v>0</v>
      </c>
      <c r="M24" s="124" t="n">
        <f aca="false">SUM(J$6:J24)</f>
        <v>0</v>
      </c>
      <c r="N24" s="124" t="n">
        <f aca="false">SUM(J$6:J24)</f>
        <v>0</v>
      </c>
      <c r="P24" s="124" t="n">
        <f aca="false">D24/P$3</f>
        <v>0</v>
      </c>
      <c r="Q24" s="124" t="n">
        <f aca="false">E24/P$3</f>
        <v>0</v>
      </c>
      <c r="R24" s="124" t="n">
        <f aca="false">F24/R$3</f>
        <v>0</v>
      </c>
      <c r="S24" s="126" t="n">
        <f aca="false">J24/$R$3</f>
        <v>0</v>
      </c>
      <c r="T24" s="126" t="n">
        <f aca="false">L24/$R$3</f>
        <v>0</v>
      </c>
      <c r="U24" s="126" t="n">
        <f aca="false">I24/$R$3</f>
        <v>0</v>
      </c>
      <c r="V24" s="126" t="n">
        <f aca="false">M24/$R$3</f>
        <v>0</v>
      </c>
      <c r="W24" s="126" t="n">
        <f aca="false">N24/$R$3</f>
        <v>0</v>
      </c>
    </row>
    <row r="25" customFormat="false" ht="12.75" hidden="true" customHeight="false" outlineLevel="0" collapsed="false">
      <c r="A25" s="120" t="n">
        <f aca="false">A24+1</f>
        <v>36911</v>
      </c>
      <c r="B25" s="131" t="str">
        <f aca="false">INDEX('Master Data'!$A$2:$B$8,MATCH(WEEKDAY('MM PLANT'!A25,3),'Master Data'!$A$2:$A$8,0),2)</f>
        <v>Sa</v>
      </c>
      <c r="D25" s="124" t="n">
        <v>0</v>
      </c>
      <c r="E25" s="124" t="n">
        <v>0</v>
      </c>
      <c r="F25" s="124" t="n">
        <v>0</v>
      </c>
      <c r="G25" s="124" t="n">
        <v>0</v>
      </c>
      <c r="I25" s="124" t="n">
        <f aca="false">IF(MONTH($A25)=MONTH($A24),IF(G25=0,I24,G25),0)</f>
        <v>0</v>
      </c>
      <c r="J25" s="124" t="n">
        <f aca="false">IF(MONTH($A25)=MONTH($A24),SUM(I25-I24),I25)</f>
        <v>0</v>
      </c>
      <c r="K25" s="124" t="n">
        <f aca="false">IF(WEEKDAY(A25,3)&gt;4,0,(IF(A25&lt;K$2,0,IF(A25&lt;=K$3,1,0))))</f>
        <v>0</v>
      </c>
      <c r="L25" s="124" t="n">
        <f aca="false">J25*K25</f>
        <v>0</v>
      </c>
      <c r="M25" s="124" t="n">
        <f aca="false">SUM(J$6:J25)</f>
        <v>0</v>
      </c>
      <c r="N25" s="124" t="n">
        <f aca="false">SUM(J$6:J25)</f>
        <v>0</v>
      </c>
      <c r="P25" s="124" t="n">
        <f aca="false">D25/P$3</f>
        <v>0</v>
      </c>
      <c r="Q25" s="124" t="n">
        <f aca="false">E25/P$3</f>
        <v>0</v>
      </c>
      <c r="R25" s="124" t="n">
        <f aca="false">F25/R$3</f>
        <v>0</v>
      </c>
      <c r="S25" s="126" t="n">
        <f aca="false">J25/$R$3</f>
        <v>0</v>
      </c>
      <c r="T25" s="126" t="n">
        <f aca="false">L25/$R$3</f>
        <v>0</v>
      </c>
      <c r="U25" s="126" t="n">
        <f aca="false">I25/$R$3</f>
        <v>0</v>
      </c>
      <c r="V25" s="126" t="n">
        <f aca="false">M25/$R$3</f>
        <v>0</v>
      </c>
      <c r="W25" s="126" t="n">
        <f aca="false">N25/$R$3</f>
        <v>0</v>
      </c>
    </row>
    <row r="26" customFormat="false" ht="12.75" hidden="true" customHeight="false" outlineLevel="0" collapsed="false">
      <c r="A26" s="120" t="n">
        <f aca="false">A25+1</f>
        <v>36912</v>
      </c>
      <c r="B26" s="131" t="str">
        <f aca="false">INDEX('Master Data'!$A$2:$B$8,MATCH(WEEKDAY('MM PLANT'!A26,3),'Master Data'!$A$2:$A$8,0),2)</f>
        <v>Su</v>
      </c>
      <c r="D26" s="124" t="n">
        <v>0</v>
      </c>
      <c r="E26" s="124" t="n">
        <v>0</v>
      </c>
      <c r="F26" s="124" t="n">
        <v>0</v>
      </c>
      <c r="G26" s="124" t="n">
        <v>0</v>
      </c>
      <c r="I26" s="124" t="n">
        <f aca="false">IF(MONTH($A26)=MONTH($A25),IF(G26=0,I25,G26),0)</f>
        <v>0</v>
      </c>
      <c r="J26" s="124" t="n">
        <f aca="false">IF(MONTH($A26)=MONTH($A25),SUM(I26-I25),I26)</f>
        <v>0</v>
      </c>
      <c r="K26" s="124" t="n">
        <f aca="false">IF(WEEKDAY(A26,3)&gt;4,0,(IF(A26&lt;K$2,0,IF(A26&lt;=K$3,1,0))))</f>
        <v>0</v>
      </c>
      <c r="L26" s="124" t="n">
        <f aca="false">J26*K26</f>
        <v>0</v>
      </c>
      <c r="M26" s="124" t="n">
        <f aca="false">SUM(J$6:J26)</f>
        <v>0</v>
      </c>
      <c r="N26" s="124" t="n">
        <f aca="false">SUM(J$6:J26)</f>
        <v>0</v>
      </c>
      <c r="P26" s="124" t="n">
        <f aca="false">D26/P$3</f>
        <v>0</v>
      </c>
      <c r="Q26" s="124" t="n">
        <f aca="false">E26/P$3</f>
        <v>0</v>
      </c>
      <c r="R26" s="124" t="n">
        <f aca="false">F26/R$3</f>
        <v>0</v>
      </c>
      <c r="S26" s="126" t="n">
        <f aca="false">J26/$R$3</f>
        <v>0</v>
      </c>
      <c r="T26" s="126" t="n">
        <f aca="false">L26/$R$3</f>
        <v>0</v>
      </c>
      <c r="U26" s="126" t="n">
        <f aca="false">I26/$R$3</f>
        <v>0</v>
      </c>
      <c r="V26" s="126" t="n">
        <f aca="false">M26/$R$3</f>
        <v>0</v>
      </c>
      <c r="W26" s="126" t="n">
        <f aca="false">N26/$R$3</f>
        <v>0</v>
      </c>
    </row>
    <row r="27" customFormat="false" ht="12.75" hidden="true" customHeight="false" outlineLevel="0" collapsed="false">
      <c r="A27" s="120" t="n">
        <f aca="false">A26+1</f>
        <v>36913</v>
      </c>
      <c r="B27" s="131" t="str">
        <f aca="false">INDEX('Master Data'!$A$2:$B$8,MATCH(WEEKDAY('MM PLANT'!A27,3),'Master Data'!$A$2:$A$8,0),2)</f>
        <v>M</v>
      </c>
      <c r="D27" s="124" t="n">
        <v>0</v>
      </c>
      <c r="E27" s="124" t="n">
        <v>0</v>
      </c>
      <c r="F27" s="124" t="n">
        <v>0</v>
      </c>
      <c r="G27" s="124" t="n">
        <v>0</v>
      </c>
      <c r="I27" s="124" t="n">
        <f aca="false">IF(MONTH($A27)=MONTH($A26),IF(G27=0,I26,G27),0)</f>
        <v>0</v>
      </c>
      <c r="J27" s="124" t="n">
        <f aca="false">IF(MONTH($A27)=MONTH($A26),SUM(I27-I26),I27)</f>
        <v>0</v>
      </c>
      <c r="K27" s="124" t="n">
        <f aca="false">IF(WEEKDAY(A27,3)&gt;4,0,(IF(A27&lt;K$2,0,IF(A27&lt;=K$3,1,0))))</f>
        <v>0</v>
      </c>
      <c r="L27" s="124" t="n">
        <f aca="false">J27*K27</f>
        <v>0</v>
      </c>
      <c r="M27" s="124" t="n">
        <f aca="false">SUM(J$6:J27)</f>
        <v>0</v>
      </c>
      <c r="N27" s="124" t="n">
        <f aca="false">SUM(J$6:J27)</f>
        <v>0</v>
      </c>
      <c r="P27" s="124" t="n">
        <f aca="false">D27/P$3</f>
        <v>0</v>
      </c>
      <c r="Q27" s="124" t="n">
        <f aca="false">E27/P$3</f>
        <v>0</v>
      </c>
      <c r="R27" s="124" t="n">
        <f aca="false">F27/R$3</f>
        <v>0</v>
      </c>
      <c r="S27" s="126" t="n">
        <f aca="false">J27/$R$3</f>
        <v>0</v>
      </c>
      <c r="T27" s="126" t="n">
        <f aca="false">L27/$R$3</f>
        <v>0</v>
      </c>
      <c r="U27" s="126" t="n">
        <f aca="false">I27/$R$3</f>
        <v>0</v>
      </c>
      <c r="V27" s="126" t="n">
        <f aca="false">M27/$R$3</f>
        <v>0</v>
      </c>
      <c r="W27" s="126" t="n">
        <f aca="false">N27/$R$3</f>
        <v>0</v>
      </c>
    </row>
    <row r="28" customFormat="false" ht="12.75" hidden="true" customHeight="false" outlineLevel="0" collapsed="false">
      <c r="A28" s="120" t="n">
        <f aca="false">A27+1</f>
        <v>36914</v>
      </c>
      <c r="B28" s="131" t="str">
        <f aca="false">INDEX('Master Data'!$A$2:$B$8,MATCH(WEEKDAY('MM PLANT'!A28,3),'Master Data'!$A$2:$A$8,0),2)</f>
        <v>T</v>
      </c>
      <c r="D28" s="124" t="n">
        <v>0</v>
      </c>
      <c r="E28" s="124" t="n">
        <v>0</v>
      </c>
      <c r="F28" s="124" t="n">
        <v>0</v>
      </c>
      <c r="G28" s="124" t="n">
        <v>0</v>
      </c>
      <c r="I28" s="124" t="n">
        <f aca="false">IF(MONTH($A28)=MONTH($A27),IF(G28=0,I27,G28),0)</f>
        <v>0</v>
      </c>
      <c r="J28" s="124" t="n">
        <f aca="false">IF(MONTH($A28)=MONTH($A27),SUM(I28-I27),I28)</f>
        <v>0</v>
      </c>
      <c r="K28" s="124" t="n">
        <f aca="false">IF(WEEKDAY(A28,3)&gt;4,0,(IF(A28&lt;K$2,0,IF(A28&lt;=K$3,1,0))))</f>
        <v>0</v>
      </c>
      <c r="L28" s="124" t="n">
        <f aca="false">J28*K28</f>
        <v>0</v>
      </c>
      <c r="M28" s="124" t="n">
        <f aca="false">SUM(J$6:J28)</f>
        <v>0</v>
      </c>
      <c r="N28" s="124" t="n">
        <f aca="false">SUM(J$6:J28)</f>
        <v>0</v>
      </c>
      <c r="P28" s="124" t="n">
        <f aca="false">D28/P$3</f>
        <v>0</v>
      </c>
      <c r="Q28" s="124" t="n">
        <f aca="false">E28/P$3</f>
        <v>0</v>
      </c>
      <c r="R28" s="124" t="n">
        <f aca="false">F28/R$3</f>
        <v>0</v>
      </c>
      <c r="S28" s="126" t="n">
        <f aca="false">J28/$R$3</f>
        <v>0</v>
      </c>
      <c r="T28" s="126" t="n">
        <f aca="false">L28/$R$3</f>
        <v>0</v>
      </c>
      <c r="U28" s="126" t="n">
        <f aca="false">I28/$R$3</f>
        <v>0</v>
      </c>
      <c r="V28" s="126" t="n">
        <f aca="false">M28/$R$3</f>
        <v>0</v>
      </c>
      <c r="W28" s="126" t="n">
        <f aca="false">N28/$R$3</f>
        <v>0</v>
      </c>
    </row>
    <row r="29" customFormat="false" ht="12.75" hidden="true" customHeight="false" outlineLevel="0" collapsed="false">
      <c r="A29" s="120" t="n">
        <f aca="false">A28+1</f>
        <v>36915</v>
      </c>
      <c r="B29" s="131" t="str">
        <f aca="false">INDEX('Master Data'!$A$2:$B$8,MATCH(WEEKDAY('MM PLANT'!A29,3),'Master Data'!$A$2:$A$8,0),2)</f>
        <v>W</v>
      </c>
      <c r="D29" s="124" t="n">
        <v>0</v>
      </c>
      <c r="E29" s="124" t="n">
        <v>0</v>
      </c>
      <c r="F29" s="124" t="n">
        <v>0</v>
      </c>
      <c r="G29" s="124" t="n">
        <v>0</v>
      </c>
      <c r="I29" s="124" t="n">
        <f aca="false">IF(MONTH($A29)=MONTH($A28),IF(G29=0,I28,G29),0)</f>
        <v>0</v>
      </c>
      <c r="J29" s="124" t="n">
        <f aca="false">IF(MONTH($A29)=MONTH($A28),SUM(I29-I28),I29)</f>
        <v>0</v>
      </c>
      <c r="K29" s="124" t="n">
        <f aca="false">IF(WEEKDAY(A29,3)&gt;4,0,(IF(A29&lt;K$2,0,IF(A29&lt;=K$3,1,0))))</f>
        <v>0</v>
      </c>
      <c r="L29" s="124" t="n">
        <f aca="false">J29*K29</f>
        <v>0</v>
      </c>
      <c r="M29" s="124" t="n">
        <f aca="false">SUM(J$6:J29)</f>
        <v>0</v>
      </c>
      <c r="N29" s="124" t="n">
        <f aca="false">SUM(J$6:J29)</f>
        <v>0</v>
      </c>
      <c r="P29" s="124" t="n">
        <f aca="false">D29/P$3</f>
        <v>0</v>
      </c>
      <c r="Q29" s="124" t="n">
        <f aca="false">E29/P$3</f>
        <v>0</v>
      </c>
      <c r="R29" s="124" t="n">
        <f aca="false">F29/R$3</f>
        <v>0</v>
      </c>
      <c r="S29" s="126" t="n">
        <f aca="false">J29/$R$3</f>
        <v>0</v>
      </c>
      <c r="T29" s="126" t="n">
        <f aca="false">L29/$R$3</f>
        <v>0</v>
      </c>
      <c r="U29" s="126" t="n">
        <f aca="false">I29/$R$3</f>
        <v>0</v>
      </c>
      <c r="V29" s="126" t="n">
        <f aca="false">M29/$R$3</f>
        <v>0</v>
      </c>
      <c r="W29" s="126" t="n">
        <f aca="false">N29/$R$3</f>
        <v>0</v>
      </c>
    </row>
    <row r="30" customFormat="false" ht="12.75" hidden="true" customHeight="false" outlineLevel="0" collapsed="false">
      <c r="A30" s="120" t="n">
        <f aca="false">A29+1</f>
        <v>36916</v>
      </c>
      <c r="B30" s="131" t="str">
        <f aca="false">INDEX('Master Data'!$A$2:$B$8,MATCH(WEEKDAY('MM PLANT'!A30,3),'Master Data'!$A$2:$A$8,0),2)</f>
        <v>Th</v>
      </c>
      <c r="D30" s="124" t="n">
        <v>0</v>
      </c>
      <c r="E30" s="124" t="n">
        <v>0</v>
      </c>
      <c r="F30" s="124" t="n">
        <v>0</v>
      </c>
      <c r="G30" s="124" t="n">
        <v>0</v>
      </c>
      <c r="I30" s="124" t="n">
        <f aca="false">IF(MONTH($A30)=MONTH($A29),IF(G30=0,I29,G30),0)</f>
        <v>0</v>
      </c>
      <c r="J30" s="124" t="n">
        <f aca="false">IF(MONTH($A30)=MONTH($A29),SUM(I30-I29),I30)</f>
        <v>0</v>
      </c>
      <c r="K30" s="124" t="n">
        <f aca="false">IF(WEEKDAY(A30,3)&gt;4,0,(IF(A30&lt;K$2,0,IF(A30&lt;=K$3,1,0))))</f>
        <v>0</v>
      </c>
      <c r="L30" s="124" t="n">
        <f aca="false">J30*K30</f>
        <v>0</v>
      </c>
      <c r="M30" s="124" t="n">
        <f aca="false">SUM(J$6:J30)</f>
        <v>0</v>
      </c>
      <c r="N30" s="124" t="n">
        <f aca="false">SUM(J$6:J30)</f>
        <v>0</v>
      </c>
      <c r="P30" s="124" t="n">
        <f aca="false">D30/P$3</f>
        <v>0</v>
      </c>
      <c r="Q30" s="124" t="n">
        <f aca="false">E30/P$3</f>
        <v>0</v>
      </c>
      <c r="R30" s="124" t="n">
        <f aca="false">F30/R$3</f>
        <v>0</v>
      </c>
      <c r="S30" s="126" t="n">
        <f aca="false">J30/$R$3</f>
        <v>0</v>
      </c>
      <c r="T30" s="126" t="n">
        <f aca="false">L30/$R$3</f>
        <v>0</v>
      </c>
      <c r="U30" s="126" t="n">
        <f aca="false">I30/$R$3</f>
        <v>0</v>
      </c>
      <c r="V30" s="126" t="n">
        <f aca="false">M30/$R$3</f>
        <v>0</v>
      </c>
      <c r="W30" s="126" t="n">
        <f aca="false">N30/$R$3</f>
        <v>0</v>
      </c>
    </row>
    <row r="31" customFormat="false" ht="12.75" hidden="true" customHeight="false" outlineLevel="0" collapsed="false">
      <c r="A31" s="120" t="n">
        <f aca="false">A30+1</f>
        <v>36917</v>
      </c>
      <c r="B31" s="131" t="str">
        <f aca="false">INDEX('Master Data'!$A$2:$B$8,MATCH(WEEKDAY('MM PLANT'!A31,3),'Master Data'!$A$2:$A$8,0),2)</f>
        <v>F</v>
      </c>
      <c r="D31" s="124" t="n">
        <v>0</v>
      </c>
      <c r="E31" s="124" t="n">
        <v>0</v>
      </c>
      <c r="F31" s="124" t="n">
        <v>0</v>
      </c>
      <c r="G31" s="124" t="n">
        <v>0</v>
      </c>
      <c r="I31" s="124" t="n">
        <f aca="false">IF(MONTH($A31)=MONTH($A30),IF(G31=0,I30,G31),0)</f>
        <v>0</v>
      </c>
      <c r="J31" s="124" t="n">
        <f aca="false">IF(MONTH($A31)=MONTH($A30),SUM(I31-I30),I31)</f>
        <v>0</v>
      </c>
      <c r="K31" s="124" t="n">
        <f aca="false">IF(WEEKDAY(A31,3)&gt;4,0,(IF(A31&lt;K$2,0,IF(A31&lt;=K$3,1,0))))</f>
        <v>0</v>
      </c>
      <c r="L31" s="124" t="n">
        <f aca="false">J31*K31</f>
        <v>0</v>
      </c>
      <c r="M31" s="124" t="n">
        <f aca="false">SUM(J$6:J31)</f>
        <v>0</v>
      </c>
      <c r="N31" s="124" t="n">
        <f aca="false">SUM(J$6:J31)</f>
        <v>0</v>
      </c>
      <c r="P31" s="124" t="n">
        <f aca="false">D31/P$3</f>
        <v>0</v>
      </c>
      <c r="Q31" s="124" t="n">
        <f aca="false">E31/P$3</f>
        <v>0</v>
      </c>
      <c r="R31" s="124" t="n">
        <f aca="false">F31/R$3</f>
        <v>0</v>
      </c>
      <c r="S31" s="126" t="n">
        <f aca="false">J31/$R$3</f>
        <v>0</v>
      </c>
      <c r="T31" s="126" t="n">
        <f aca="false">L31/$R$3</f>
        <v>0</v>
      </c>
      <c r="U31" s="126" t="n">
        <f aca="false">I31/$R$3</f>
        <v>0</v>
      </c>
      <c r="V31" s="126" t="n">
        <f aca="false">M31/$R$3</f>
        <v>0</v>
      </c>
      <c r="W31" s="126" t="n">
        <f aca="false">N31/$R$3</f>
        <v>0</v>
      </c>
    </row>
    <row r="32" customFormat="false" ht="12.75" hidden="true" customHeight="false" outlineLevel="0" collapsed="false">
      <c r="A32" s="120" t="n">
        <f aca="false">A31+1</f>
        <v>36918</v>
      </c>
      <c r="B32" s="131" t="str">
        <f aca="false">INDEX('Master Data'!$A$2:$B$8,MATCH(WEEKDAY('MM PLANT'!A32,3),'Master Data'!$A$2:$A$8,0),2)</f>
        <v>Sa</v>
      </c>
      <c r="D32" s="124" t="n">
        <v>0</v>
      </c>
      <c r="E32" s="124" t="n">
        <v>0</v>
      </c>
      <c r="F32" s="124" t="n">
        <v>0</v>
      </c>
      <c r="G32" s="124" t="n">
        <v>0</v>
      </c>
      <c r="I32" s="124" t="n">
        <f aca="false">IF(MONTH($A32)=MONTH($A31),IF(G32=0,I31,G32),0)</f>
        <v>0</v>
      </c>
      <c r="J32" s="124" t="n">
        <f aca="false">IF(MONTH($A32)=MONTH($A31),SUM(I32-I31),I32)</f>
        <v>0</v>
      </c>
      <c r="K32" s="124" t="n">
        <f aca="false">IF(WEEKDAY(A32,3)&gt;4,0,(IF(A32&lt;K$2,0,IF(A32&lt;=K$3,1,0))))</f>
        <v>0</v>
      </c>
      <c r="L32" s="124" t="n">
        <f aca="false">J32*K32</f>
        <v>0</v>
      </c>
      <c r="M32" s="124" t="n">
        <f aca="false">SUM(J$6:J32)</f>
        <v>0</v>
      </c>
      <c r="N32" s="124" t="n">
        <f aca="false">SUM(J$6:J32)</f>
        <v>0</v>
      </c>
      <c r="P32" s="124" t="n">
        <f aca="false">D32/P$3</f>
        <v>0</v>
      </c>
      <c r="Q32" s="124" t="n">
        <f aca="false">E32/P$3</f>
        <v>0</v>
      </c>
      <c r="R32" s="124" t="n">
        <f aca="false">F32/R$3</f>
        <v>0</v>
      </c>
      <c r="S32" s="126" t="n">
        <f aca="false">J32/$R$3</f>
        <v>0</v>
      </c>
      <c r="T32" s="126" t="n">
        <f aca="false">L32/$R$3</f>
        <v>0</v>
      </c>
      <c r="U32" s="126" t="n">
        <f aca="false">I32/$R$3</f>
        <v>0</v>
      </c>
      <c r="V32" s="126" t="n">
        <f aca="false">M32/$R$3</f>
        <v>0</v>
      </c>
      <c r="W32" s="126" t="n">
        <f aca="false">N32/$R$3</f>
        <v>0</v>
      </c>
    </row>
    <row r="33" customFormat="false" ht="12.75" hidden="true" customHeight="false" outlineLevel="0" collapsed="false">
      <c r="A33" s="120" t="n">
        <f aca="false">A32+1</f>
        <v>36919</v>
      </c>
      <c r="B33" s="131" t="str">
        <f aca="false">INDEX('Master Data'!$A$2:$B$8,MATCH(WEEKDAY('MM PLANT'!A33,3),'Master Data'!$A$2:$A$8,0),2)</f>
        <v>Su</v>
      </c>
      <c r="D33" s="124" t="n">
        <v>0</v>
      </c>
      <c r="E33" s="124" t="n">
        <v>0</v>
      </c>
      <c r="F33" s="124" t="n">
        <v>0</v>
      </c>
      <c r="G33" s="124" t="n">
        <v>0</v>
      </c>
      <c r="I33" s="124" t="n">
        <f aca="false">IF(MONTH($A33)=MONTH($A32),IF(G33=0,I32,G33),0)</f>
        <v>0</v>
      </c>
      <c r="J33" s="124" t="n">
        <f aca="false">IF(MONTH($A33)=MONTH($A32),SUM(I33-I32),I33)</f>
        <v>0</v>
      </c>
      <c r="K33" s="124" t="n">
        <f aca="false">IF(WEEKDAY(A33,3)&gt;4,0,(IF(A33&lt;K$2,0,IF(A33&lt;=K$3,1,0))))</f>
        <v>0</v>
      </c>
      <c r="L33" s="124" t="n">
        <f aca="false">J33*K33</f>
        <v>0</v>
      </c>
      <c r="M33" s="124" t="n">
        <f aca="false">SUM(J$6:J33)</f>
        <v>0</v>
      </c>
      <c r="N33" s="124" t="n">
        <f aca="false">SUM(J$6:J33)</f>
        <v>0</v>
      </c>
      <c r="P33" s="124" t="n">
        <f aca="false">D33/P$3</f>
        <v>0</v>
      </c>
      <c r="Q33" s="124" t="n">
        <f aca="false">E33/P$3</f>
        <v>0</v>
      </c>
      <c r="R33" s="124" t="n">
        <f aca="false">F33/R$3</f>
        <v>0</v>
      </c>
      <c r="S33" s="126" t="n">
        <f aca="false">J33/$R$3</f>
        <v>0</v>
      </c>
      <c r="T33" s="126" t="n">
        <f aca="false">L33/$R$3</f>
        <v>0</v>
      </c>
      <c r="U33" s="126" t="n">
        <f aca="false">I33/$R$3</f>
        <v>0</v>
      </c>
      <c r="V33" s="126" t="n">
        <f aca="false">M33/$R$3</f>
        <v>0</v>
      </c>
      <c r="W33" s="126" t="n">
        <f aca="false">N33/$R$3</f>
        <v>0</v>
      </c>
    </row>
    <row r="34" customFormat="false" ht="12.75" hidden="true" customHeight="false" outlineLevel="0" collapsed="false">
      <c r="A34" s="120" t="n">
        <f aca="false">A33+1</f>
        <v>36920</v>
      </c>
      <c r="B34" s="131" t="str">
        <f aca="false">INDEX('Master Data'!$A$2:$B$8,MATCH(WEEKDAY('MM PLANT'!A34,3),'Master Data'!$A$2:$A$8,0),2)</f>
        <v>M</v>
      </c>
      <c r="D34" s="124" t="n">
        <v>0</v>
      </c>
      <c r="E34" s="124" t="n">
        <v>0</v>
      </c>
      <c r="F34" s="124" t="n">
        <v>0</v>
      </c>
      <c r="G34" s="124" t="n">
        <v>0</v>
      </c>
      <c r="I34" s="124" t="n">
        <f aca="false">IF(MONTH($A34)=MONTH($A33),IF(G34=0,I33,G34),0)</f>
        <v>0</v>
      </c>
      <c r="J34" s="124" t="n">
        <f aca="false">IF(MONTH($A34)=MONTH($A33),SUM(I34-I33),I34)</f>
        <v>0</v>
      </c>
      <c r="K34" s="124" t="n">
        <f aca="false">IF(WEEKDAY(A34,3)&gt;4,0,(IF(A34&lt;K$2,0,IF(A34&lt;=K$3,1,0))))</f>
        <v>0</v>
      </c>
      <c r="L34" s="124" t="n">
        <f aca="false">J34*K34</f>
        <v>0</v>
      </c>
      <c r="M34" s="124" t="n">
        <f aca="false">SUM(J$6:J34)</f>
        <v>0</v>
      </c>
      <c r="N34" s="124" t="n">
        <f aca="false">SUM(J$6:J34)</f>
        <v>0</v>
      </c>
      <c r="P34" s="124" t="n">
        <f aca="false">D34/P$3</f>
        <v>0</v>
      </c>
      <c r="Q34" s="124" t="n">
        <f aca="false">E34/P$3</f>
        <v>0</v>
      </c>
      <c r="R34" s="124" t="n">
        <f aca="false">F34/R$3</f>
        <v>0</v>
      </c>
      <c r="S34" s="126" t="n">
        <f aca="false">J34/$R$3</f>
        <v>0</v>
      </c>
      <c r="T34" s="126" t="n">
        <f aca="false">L34/$R$3</f>
        <v>0</v>
      </c>
      <c r="U34" s="126" t="n">
        <f aca="false">I34/$R$3</f>
        <v>0</v>
      </c>
      <c r="V34" s="126" t="n">
        <f aca="false">M34/$R$3</f>
        <v>0</v>
      </c>
      <c r="W34" s="126" t="n">
        <f aca="false">N34/$R$3</f>
        <v>0</v>
      </c>
    </row>
    <row r="35" customFormat="false" ht="12.75" hidden="true" customHeight="false" outlineLevel="0" collapsed="false">
      <c r="A35" s="120" t="n">
        <f aca="false">A34+1</f>
        <v>36921</v>
      </c>
      <c r="B35" s="131" t="str">
        <f aca="false">INDEX('Master Data'!$A$2:$B$8,MATCH(WEEKDAY('MM PLANT'!A35,3),'Master Data'!$A$2:$A$8,0),2)</f>
        <v>T</v>
      </c>
      <c r="D35" s="124" t="n">
        <v>0</v>
      </c>
      <c r="E35" s="124" t="n">
        <v>0</v>
      </c>
      <c r="F35" s="124" t="n">
        <v>0</v>
      </c>
      <c r="G35" s="124" t="n">
        <v>0</v>
      </c>
      <c r="I35" s="124" t="n">
        <f aca="false">IF(MONTH($A35)=MONTH($A34),IF(G35=0,I34,G35),0)</f>
        <v>0</v>
      </c>
      <c r="J35" s="124" t="n">
        <f aca="false">IF(MONTH($A35)=MONTH($A34),SUM(I35-I34),I35)</f>
        <v>0</v>
      </c>
      <c r="K35" s="124" t="n">
        <f aca="false">IF(WEEKDAY(A35,3)&gt;4,0,(IF(A35&lt;K$2,0,IF(A35&lt;=K$3,1,0))))</f>
        <v>0</v>
      </c>
      <c r="L35" s="124" t="n">
        <f aca="false">J35*K35</f>
        <v>0</v>
      </c>
      <c r="M35" s="124" t="n">
        <f aca="false">SUM(J$6:J35)</f>
        <v>0</v>
      </c>
      <c r="N35" s="124" t="n">
        <f aca="false">SUM(J$6:J35)</f>
        <v>0</v>
      </c>
      <c r="P35" s="124" t="n">
        <f aca="false">D35/P$3</f>
        <v>0</v>
      </c>
      <c r="Q35" s="124" t="n">
        <f aca="false">E35/P$3</f>
        <v>0</v>
      </c>
      <c r="R35" s="124" t="n">
        <f aca="false">F35/R$3</f>
        <v>0</v>
      </c>
      <c r="S35" s="126" t="n">
        <f aca="false">J35/$R$3</f>
        <v>0</v>
      </c>
      <c r="T35" s="126" t="n">
        <f aca="false">L35/$R$3</f>
        <v>0</v>
      </c>
      <c r="U35" s="126" t="n">
        <f aca="false">I35/$R$3</f>
        <v>0</v>
      </c>
      <c r="V35" s="126" t="n">
        <f aca="false">M35/$R$3</f>
        <v>0</v>
      </c>
      <c r="W35" s="126" t="n">
        <f aca="false">N35/$R$3</f>
        <v>0</v>
      </c>
    </row>
    <row r="36" customFormat="false" ht="12" hidden="false" customHeight="true" outlineLevel="0" collapsed="false">
      <c r="A36" s="120" t="n">
        <f aca="false">A35+1</f>
        <v>36922</v>
      </c>
      <c r="B36" s="131" t="str">
        <f aca="false">INDEX('Master Data'!$A$2:$B$8,MATCH(WEEKDAY('MM PLANT'!A36,3),'Master Data'!$A$2:$A$8,0),2)</f>
        <v>W</v>
      </c>
      <c r="D36" s="124" t="n">
        <v>0</v>
      </c>
      <c r="E36" s="124" t="n">
        <v>0</v>
      </c>
      <c r="F36" s="124" t="n">
        <v>0</v>
      </c>
      <c r="G36" s="124" t="n">
        <v>0</v>
      </c>
      <c r="I36" s="124" t="n">
        <f aca="false">IF(MONTH($A36)=MONTH($A35),IF(G36=0,I35,G36),0)</f>
        <v>0</v>
      </c>
      <c r="J36" s="124" t="n">
        <f aca="false">IF(MONTH($A36)=MONTH($A35),SUM(I36-I35),I36)</f>
        <v>0</v>
      </c>
      <c r="K36" s="124" t="n">
        <f aca="false">IF(WEEKDAY(A36,3)&gt;4,0,(IF(A36&lt;K$2,0,IF(A36&lt;=K$3,1,0))))</f>
        <v>0</v>
      </c>
      <c r="L36" s="124" t="n">
        <f aca="false">J36*K36</f>
        <v>0</v>
      </c>
      <c r="M36" s="124" t="n">
        <f aca="false">SUM(J$6:J36)</f>
        <v>0</v>
      </c>
      <c r="N36" s="124" t="n">
        <f aca="false">SUM(J$6:J36)</f>
        <v>0</v>
      </c>
      <c r="P36" s="124" t="n">
        <f aca="false">D36/P$3</f>
        <v>0</v>
      </c>
      <c r="Q36" s="124" t="n">
        <f aca="false">E36/P$3</f>
        <v>0</v>
      </c>
      <c r="R36" s="124" t="n">
        <f aca="false">F36/R$3</f>
        <v>0</v>
      </c>
      <c r="S36" s="126" t="n">
        <f aca="false">J36/$R$3</f>
        <v>0</v>
      </c>
      <c r="T36" s="126" t="n">
        <f aca="false">L36/$R$3</f>
        <v>0</v>
      </c>
      <c r="U36" s="126" t="n">
        <f aca="false">I36/$R$3</f>
        <v>0</v>
      </c>
      <c r="V36" s="126" t="n">
        <f aca="false">M36/$R$3</f>
        <v>0</v>
      </c>
      <c r="W36" s="126" t="n">
        <f aca="false">N36/$R$3</f>
        <v>0</v>
      </c>
    </row>
    <row r="37" customFormat="false" ht="12.75" hidden="true" customHeight="false" outlineLevel="0" collapsed="false">
      <c r="A37" s="120" t="n">
        <f aca="false">A36+1</f>
        <v>36923</v>
      </c>
      <c r="B37" s="131" t="str">
        <f aca="false">INDEX('Master Data'!$A$2:$B$8,MATCH(WEEKDAY('MM PLANT'!A37,3),'Master Data'!$A$2:$A$8,0),2)</f>
        <v>Th</v>
      </c>
      <c r="D37" s="124" t="n">
        <v>0</v>
      </c>
      <c r="E37" s="124" t="n">
        <v>0</v>
      </c>
      <c r="F37" s="124" t="n">
        <v>0</v>
      </c>
      <c r="G37" s="124" t="n">
        <v>0</v>
      </c>
      <c r="I37" s="124" t="n">
        <f aca="false">IF(MONTH($A37)=MONTH($A36),IF(G37=0,I36,G37),G37)</f>
        <v>0</v>
      </c>
      <c r="J37" s="124" t="n">
        <f aca="false">IF(MONTH($A37)=MONTH($A36),SUM(I37-I36),I37)</f>
        <v>0</v>
      </c>
      <c r="K37" s="124" t="n">
        <f aca="false">IF(WEEKDAY(A37,3)&gt;4,0,(IF(A37&lt;K$2,0,IF(A37&lt;=K$3,1,0))))</f>
        <v>0</v>
      </c>
      <c r="L37" s="124" t="n">
        <f aca="false">J37*K37</f>
        <v>0</v>
      </c>
      <c r="M37" s="124" t="n">
        <f aca="false">SUM(J$6:J37)</f>
        <v>0</v>
      </c>
      <c r="N37" s="124" t="n">
        <f aca="false">SUM(J$6:J37)</f>
        <v>0</v>
      </c>
      <c r="P37" s="124" t="n">
        <f aca="false">D37/P$3</f>
        <v>0</v>
      </c>
      <c r="Q37" s="124" t="n">
        <f aca="false">E37/P$3</f>
        <v>0</v>
      </c>
      <c r="R37" s="124" t="n">
        <f aca="false">F37/R$3</f>
        <v>0</v>
      </c>
      <c r="S37" s="126" t="n">
        <f aca="false">J37/$R$3</f>
        <v>0</v>
      </c>
      <c r="T37" s="126" t="n">
        <f aca="false">L37/$R$3</f>
        <v>0</v>
      </c>
      <c r="U37" s="126" t="n">
        <f aca="false">I37/$R$3</f>
        <v>0</v>
      </c>
      <c r="V37" s="126" t="n">
        <f aca="false">M37/$R$3</f>
        <v>0</v>
      </c>
      <c r="W37" s="126" t="n">
        <f aca="false">N37/$R$3</f>
        <v>0</v>
      </c>
    </row>
    <row r="38" customFormat="false" ht="12.75" hidden="true" customHeight="false" outlineLevel="0" collapsed="false">
      <c r="A38" s="120" t="n">
        <f aca="false">A37+1</f>
        <v>36924</v>
      </c>
      <c r="B38" s="131" t="str">
        <f aca="false">INDEX('Master Data'!$A$2:$B$8,MATCH(WEEKDAY('MM PLANT'!A38,3),'Master Data'!$A$2:$A$8,0),2)</f>
        <v>F</v>
      </c>
      <c r="D38" s="124" t="n">
        <v>0</v>
      </c>
      <c r="E38" s="124" t="n">
        <v>0</v>
      </c>
      <c r="F38" s="124" t="n">
        <v>0</v>
      </c>
      <c r="G38" s="124" t="n">
        <v>0</v>
      </c>
      <c r="I38" s="124" t="n">
        <f aca="false">IF(MONTH($A38)=MONTH($A37),IF(G38=0,I37,G38),G38)</f>
        <v>0</v>
      </c>
      <c r="J38" s="124" t="n">
        <f aca="false">IF(MONTH($A38)=MONTH($A37),SUM(I38-I37),I38)</f>
        <v>0</v>
      </c>
      <c r="K38" s="124" t="n">
        <f aca="false">IF(WEEKDAY(A38,3)&gt;4,0,(IF(A38&lt;K$2,0,IF(A38&lt;=K$3,1,0))))</f>
        <v>0</v>
      </c>
      <c r="L38" s="124" t="n">
        <f aca="false">J38*K38</f>
        <v>0</v>
      </c>
      <c r="M38" s="124" t="n">
        <f aca="false">SUM(J$6:J38)</f>
        <v>0</v>
      </c>
      <c r="N38" s="124" t="n">
        <f aca="false">SUM(J$6:J38)</f>
        <v>0</v>
      </c>
      <c r="P38" s="124" t="n">
        <f aca="false">D38/P$3</f>
        <v>0</v>
      </c>
      <c r="Q38" s="124" t="n">
        <f aca="false">E38/P$3</f>
        <v>0</v>
      </c>
      <c r="R38" s="124" t="n">
        <f aca="false">F38/R$3</f>
        <v>0</v>
      </c>
      <c r="S38" s="126" t="n">
        <f aca="false">J38/$R$3</f>
        <v>0</v>
      </c>
      <c r="T38" s="126" t="n">
        <f aca="false">L38/$R$3</f>
        <v>0</v>
      </c>
      <c r="U38" s="126" t="n">
        <f aca="false">I38/$R$3</f>
        <v>0</v>
      </c>
      <c r="V38" s="126" t="n">
        <f aca="false">M38/$R$3</f>
        <v>0</v>
      </c>
      <c r="W38" s="126" t="n">
        <f aca="false">N38/$R$3</f>
        <v>0</v>
      </c>
    </row>
    <row r="39" customFormat="false" ht="12.75" hidden="true" customHeight="false" outlineLevel="0" collapsed="false">
      <c r="A39" s="120" t="n">
        <f aca="false">A38+1</f>
        <v>36925</v>
      </c>
      <c r="B39" s="131" t="str">
        <f aca="false">INDEX('Master Data'!$A$2:$B$8,MATCH(WEEKDAY('MM PLANT'!A39,3),'Master Data'!$A$2:$A$8,0),2)</f>
        <v>Sa</v>
      </c>
      <c r="D39" s="124" t="n">
        <v>0</v>
      </c>
      <c r="E39" s="124" t="n">
        <v>0</v>
      </c>
      <c r="F39" s="124" t="n">
        <v>0</v>
      </c>
      <c r="G39" s="124" t="n">
        <v>0</v>
      </c>
      <c r="I39" s="124" t="n">
        <f aca="false">IF(MONTH($A39)=MONTH($A38),IF(G39=0,I38,G39),G39)</f>
        <v>0</v>
      </c>
      <c r="J39" s="124" t="n">
        <f aca="false">IF(MONTH($A39)=MONTH($A38),SUM(I39-I38),I39)</f>
        <v>0</v>
      </c>
      <c r="K39" s="124" t="n">
        <f aca="false">IF(WEEKDAY(A39,3)&gt;4,0,(IF(A39&lt;K$2,0,IF(A39&lt;=K$3,1,0))))</f>
        <v>0</v>
      </c>
      <c r="L39" s="124" t="n">
        <f aca="false">J39*K39</f>
        <v>0</v>
      </c>
      <c r="M39" s="124" t="n">
        <f aca="false">SUM(J$6:J39)</f>
        <v>0</v>
      </c>
      <c r="N39" s="124" t="n">
        <f aca="false">SUM(J$6:J39)</f>
        <v>0</v>
      </c>
      <c r="P39" s="124" t="n">
        <f aca="false">D39/P$3</f>
        <v>0</v>
      </c>
      <c r="Q39" s="124" t="n">
        <f aca="false">E39/P$3</f>
        <v>0</v>
      </c>
      <c r="R39" s="124" t="n">
        <f aca="false">F39/R$3</f>
        <v>0</v>
      </c>
      <c r="S39" s="126" t="n">
        <f aca="false">J39/$R$3</f>
        <v>0</v>
      </c>
      <c r="T39" s="126" t="n">
        <f aca="false">L39/$R$3</f>
        <v>0</v>
      </c>
      <c r="U39" s="126" t="n">
        <f aca="false">I39/$R$3</f>
        <v>0</v>
      </c>
      <c r="V39" s="126" t="n">
        <f aca="false">M39/$R$3</f>
        <v>0</v>
      </c>
      <c r="W39" s="126" t="n">
        <f aca="false">N39/$R$3</f>
        <v>0</v>
      </c>
    </row>
    <row r="40" customFormat="false" ht="12.75" hidden="true" customHeight="false" outlineLevel="0" collapsed="false">
      <c r="A40" s="120" t="n">
        <f aca="false">A39+1</f>
        <v>36926</v>
      </c>
      <c r="B40" s="131" t="str">
        <f aca="false">INDEX('Master Data'!$A$2:$B$8,MATCH(WEEKDAY('MM PLANT'!A40,3),'Master Data'!$A$2:$A$8,0),2)</f>
        <v>Su</v>
      </c>
      <c r="D40" s="124" t="n">
        <v>0</v>
      </c>
      <c r="E40" s="124" t="n">
        <v>0</v>
      </c>
      <c r="F40" s="124" t="n">
        <v>0</v>
      </c>
      <c r="G40" s="124" t="n">
        <v>0</v>
      </c>
      <c r="I40" s="124" t="n">
        <f aca="false">IF(MONTH($A40)=MONTH($A39),IF(G40=0,I39,G40),G40)</f>
        <v>0</v>
      </c>
      <c r="J40" s="124" t="n">
        <f aca="false">IF(MONTH($A40)=MONTH($A39),SUM(I40-I39),I40)</f>
        <v>0</v>
      </c>
      <c r="K40" s="124" t="n">
        <f aca="false">IF(WEEKDAY(A40,3)&gt;4,0,(IF(A40&lt;K$2,0,IF(A40&lt;=K$3,1,0))))</f>
        <v>0</v>
      </c>
      <c r="L40" s="124" t="n">
        <f aca="false">J40*K40</f>
        <v>0</v>
      </c>
      <c r="M40" s="124" t="n">
        <f aca="false">SUM(J$6:J40)</f>
        <v>0</v>
      </c>
      <c r="N40" s="124" t="n">
        <f aca="false">SUM(J$6:J40)</f>
        <v>0</v>
      </c>
      <c r="P40" s="124" t="n">
        <f aca="false">D40/P$3</f>
        <v>0</v>
      </c>
      <c r="Q40" s="124" t="n">
        <f aca="false">E40/P$3</f>
        <v>0</v>
      </c>
      <c r="R40" s="124" t="n">
        <f aca="false">F40/R$3</f>
        <v>0</v>
      </c>
      <c r="S40" s="126" t="n">
        <f aca="false">J40/$R$3</f>
        <v>0</v>
      </c>
      <c r="T40" s="126" t="n">
        <f aca="false">L40/$R$3</f>
        <v>0</v>
      </c>
      <c r="U40" s="126" t="n">
        <f aca="false">I40/$R$3</f>
        <v>0</v>
      </c>
      <c r="V40" s="126" t="n">
        <f aca="false">M40/$R$3</f>
        <v>0</v>
      </c>
      <c r="W40" s="126" t="n">
        <f aca="false">N40/$R$3</f>
        <v>0</v>
      </c>
    </row>
    <row r="41" customFormat="false" ht="12.75" hidden="true" customHeight="false" outlineLevel="0" collapsed="false">
      <c r="A41" s="120" t="n">
        <f aca="false">A40+1</f>
        <v>36927</v>
      </c>
      <c r="B41" s="131" t="str">
        <f aca="false">INDEX('Master Data'!$A$2:$B$8,MATCH(WEEKDAY('MM PLANT'!A41,3),'Master Data'!$A$2:$A$8,0),2)</f>
        <v>M</v>
      </c>
      <c r="D41" s="124" t="n">
        <v>0</v>
      </c>
      <c r="E41" s="124" t="n">
        <v>0</v>
      </c>
      <c r="F41" s="124" t="n">
        <v>0</v>
      </c>
      <c r="G41" s="124" t="n">
        <v>0</v>
      </c>
      <c r="I41" s="124" t="n">
        <f aca="false">IF(MONTH($A41)=MONTH($A40),IF(G41=0,I40,G41),G41)</f>
        <v>0</v>
      </c>
      <c r="J41" s="124" t="n">
        <f aca="false">IF(MONTH($A41)=MONTH($A40),SUM(I41-I40),I41)</f>
        <v>0</v>
      </c>
      <c r="K41" s="124" t="n">
        <f aca="false">IF(WEEKDAY(A41,3)&gt;4,0,(IF(A41&lt;K$2,0,IF(A41&lt;=K$3,1,0))))</f>
        <v>0</v>
      </c>
      <c r="L41" s="124" t="n">
        <f aca="false">J41*K41</f>
        <v>0</v>
      </c>
      <c r="M41" s="124" t="n">
        <f aca="false">SUM(J$6:J41)</f>
        <v>0</v>
      </c>
      <c r="N41" s="124" t="n">
        <f aca="false">SUM(J$6:J41)</f>
        <v>0</v>
      </c>
      <c r="P41" s="124" t="n">
        <f aca="false">D41/P$3</f>
        <v>0</v>
      </c>
      <c r="Q41" s="124" t="n">
        <f aca="false">E41/P$3</f>
        <v>0</v>
      </c>
      <c r="R41" s="124" t="n">
        <f aca="false">F41/R$3</f>
        <v>0</v>
      </c>
      <c r="S41" s="126" t="n">
        <f aca="false">J41/$R$3</f>
        <v>0</v>
      </c>
      <c r="T41" s="126" t="n">
        <f aca="false">L41/$R$3</f>
        <v>0</v>
      </c>
      <c r="U41" s="126" t="n">
        <f aca="false">I41/$R$3</f>
        <v>0</v>
      </c>
      <c r="V41" s="126" t="n">
        <f aca="false">M41/$R$3</f>
        <v>0</v>
      </c>
      <c r="W41" s="126" t="n">
        <f aca="false">N41/$R$3</f>
        <v>0</v>
      </c>
    </row>
    <row r="42" customFormat="false" ht="12.75" hidden="true" customHeight="false" outlineLevel="0" collapsed="false">
      <c r="A42" s="120" t="n">
        <f aca="false">A41+1</f>
        <v>36928</v>
      </c>
      <c r="B42" s="131" t="str">
        <f aca="false">INDEX('Master Data'!$A$2:$B$8,MATCH(WEEKDAY('MM PLANT'!A42,3),'Master Data'!$A$2:$A$8,0),2)</f>
        <v>T</v>
      </c>
      <c r="D42" s="124" t="n">
        <v>0</v>
      </c>
      <c r="E42" s="124" t="n">
        <v>0</v>
      </c>
      <c r="F42" s="124" t="n">
        <v>0</v>
      </c>
      <c r="G42" s="124" t="n">
        <v>0</v>
      </c>
      <c r="I42" s="124" t="n">
        <f aca="false">IF(MONTH($A42)=MONTH($A41),IF(G42=0,I41,G42),G42)</f>
        <v>0</v>
      </c>
      <c r="J42" s="124" t="n">
        <f aca="false">IF(MONTH($A42)=MONTH($A41),SUM(I42-I41),I42)</f>
        <v>0</v>
      </c>
      <c r="K42" s="124" t="n">
        <f aca="false">IF(WEEKDAY(A42,3)&gt;4,0,(IF(A42&lt;K$2,0,IF(A42&lt;=K$3,1,0))))</f>
        <v>0</v>
      </c>
      <c r="L42" s="124" t="n">
        <f aca="false">J42*K42</f>
        <v>0</v>
      </c>
      <c r="M42" s="124" t="n">
        <f aca="false">SUM(J$6:J42)</f>
        <v>0</v>
      </c>
      <c r="N42" s="124" t="n">
        <f aca="false">SUM(J$6:J42)</f>
        <v>0</v>
      </c>
      <c r="P42" s="124" t="n">
        <f aca="false">D42/P$3</f>
        <v>0</v>
      </c>
      <c r="Q42" s="124" t="n">
        <f aca="false">E42/P$3</f>
        <v>0</v>
      </c>
      <c r="R42" s="124" t="n">
        <f aca="false">F42/R$3</f>
        <v>0</v>
      </c>
      <c r="S42" s="126" t="n">
        <f aca="false">J42/$R$3</f>
        <v>0</v>
      </c>
      <c r="T42" s="126" t="n">
        <f aca="false">L42/$R$3</f>
        <v>0</v>
      </c>
      <c r="U42" s="126" t="n">
        <f aca="false">I42/$R$3</f>
        <v>0</v>
      </c>
      <c r="V42" s="126" t="n">
        <f aca="false">M42/$R$3</f>
        <v>0</v>
      </c>
      <c r="W42" s="126" t="n">
        <f aca="false">N42/$R$3</f>
        <v>0</v>
      </c>
    </row>
    <row r="43" customFormat="false" ht="12.75" hidden="true" customHeight="false" outlineLevel="0" collapsed="false">
      <c r="A43" s="120" t="n">
        <f aca="false">A42+1</f>
        <v>36929</v>
      </c>
      <c r="B43" s="131" t="str">
        <f aca="false">INDEX('Master Data'!$A$2:$B$8,MATCH(WEEKDAY('MM PLANT'!A43,3),'Master Data'!$A$2:$A$8,0),2)</f>
        <v>W</v>
      </c>
      <c r="D43" s="124" t="n">
        <v>0</v>
      </c>
      <c r="E43" s="124" t="n">
        <v>0</v>
      </c>
      <c r="F43" s="124" t="n">
        <v>0</v>
      </c>
      <c r="G43" s="124" t="n">
        <v>0</v>
      </c>
      <c r="I43" s="124" t="n">
        <f aca="false">IF(MONTH($A43)=MONTH($A42),IF(G43=0,I42,G43),G43)</f>
        <v>0</v>
      </c>
      <c r="J43" s="124" t="n">
        <f aca="false">IF(MONTH($A43)=MONTH($A42),SUM(I43-I42),I43)</f>
        <v>0</v>
      </c>
      <c r="K43" s="124" t="n">
        <f aca="false">IF(WEEKDAY(A43,3)&gt;4,0,(IF(A43&lt;K$2,0,IF(A43&lt;=K$3,1,0))))</f>
        <v>0</v>
      </c>
      <c r="L43" s="124" t="n">
        <f aca="false">J43*K43</f>
        <v>0</v>
      </c>
      <c r="M43" s="124" t="n">
        <f aca="false">SUM(J$6:J43)</f>
        <v>0</v>
      </c>
      <c r="N43" s="124" t="n">
        <f aca="false">SUM(J$6:J43)</f>
        <v>0</v>
      </c>
      <c r="P43" s="124" t="n">
        <f aca="false">D43/P$3</f>
        <v>0</v>
      </c>
      <c r="Q43" s="124" t="n">
        <f aca="false">E43/P$3</f>
        <v>0</v>
      </c>
      <c r="R43" s="124" t="n">
        <f aca="false">F43/R$3</f>
        <v>0</v>
      </c>
      <c r="S43" s="126" t="n">
        <f aca="false">J43/$R$3</f>
        <v>0</v>
      </c>
      <c r="T43" s="126" t="n">
        <f aca="false">L43/$R$3</f>
        <v>0</v>
      </c>
      <c r="U43" s="126" t="n">
        <f aca="false">I43/$R$3</f>
        <v>0</v>
      </c>
      <c r="V43" s="126" t="n">
        <f aca="false">M43/$R$3</f>
        <v>0</v>
      </c>
      <c r="W43" s="126" t="n">
        <f aca="false">N43/$R$3</f>
        <v>0</v>
      </c>
    </row>
    <row r="44" customFormat="false" ht="12.75" hidden="true" customHeight="false" outlineLevel="0" collapsed="false">
      <c r="A44" s="120" t="n">
        <f aca="false">A43+1</f>
        <v>36930</v>
      </c>
      <c r="B44" s="131" t="str">
        <f aca="false">INDEX('Master Data'!$A$2:$B$8,MATCH(WEEKDAY('MM PLANT'!A44,3),'Master Data'!$A$2:$A$8,0),2)</f>
        <v>Th</v>
      </c>
      <c r="D44" s="124" t="n">
        <v>0</v>
      </c>
      <c r="E44" s="124" t="n">
        <v>0</v>
      </c>
      <c r="F44" s="124" t="n">
        <v>0</v>
      </c>
      <c r="G44" s="124" t="n">
        <v>0</v>
      </c>
      <c r="I44" s="124" t="n">
        <f aca="false">IF(MONTH($A44)=MONTH($A43),IF(G44=0,I43,G44),G44)</f>
        <v>0</v>
      </c>
      <c r="J44" s="124" t="n">
        <f aca="false">IF(MONTH($A44)=MONTH($A43),SUM(I44-I43),I44)</f>
        <v>0</v>
      </c>
      <c r="K44" s="124" t="n">
        <f aca="false">IF(WEEKDAY(A44,3)&gt;4,0,(IF(A44&lt;K$2,0,IF(A44&lt;=K$3,1,0))))</f>
        <v>0</v>
      </c>
      <c r="L44" s="124" t="n">
        <f aca="false">J44*K44</f>
        <v>0</v>
      </c>
      <c r="M44" s="124" t="n">
        <f aca="false">SUM(J$6:J44)</f>
        <v>0</v>
      </c>
      <c r="N44" s="124" t="n">
        <f aca="false">SUM(J$6:J44)</f>
        <v>0</v>
      </c>
      <c r="P44" s="124" t="n">
        <f aca="false">D44/P$3</f>
        <v>0</v>
      </c>
      <c r="Q44" s="124" t="n">
        <f aca="false">E44/P$3</f>
        <v>0</v>
      </c>
      <c r="R44" s="124" t="n">
        <f aca="false">F44/R$3</f>
        <v>0</v>
      </c>
      <c r="S44" s="126" t="n">
        <f aca="false">J44/$R$3</f>
        <v>0</v>
      </c>
      <c r="T44" s="126" t="n">
        <f aca="false">L44/$R$3</f>
        <v>0</v>
      </c>
      <c r="U44" s="126" t="n">
        <f aca="false">I44/$R$3</f>
        <v>0</v>
      </c>
      <c r="V44" s="126" t="n">
        <f aca="false">M44/$R$3</f>
        <v>0</v>
      </c>
      <c r="W44" s="126" t="n">
        <f aca="false">N44/$R$3</f>
        <v>0</v>
      </c>
    </row>
    <row r="45" customFormat="false" ht="12.75" hidden="true" customHeight="false" outlineLevel="0" collapsed="false">
      <c r="A45" s="120" t="n">
        <f aca="false">A44+1</f>
        <v>36931</v>
      </c>
      <c r="B45" s="131" t="str">
        <f aca="false">INDEX('Master Data'!$A$2:$B$8,MATCH(WEEKDAY('MM PLANT'!A45,3),'Master Data'!$A$2:$A$8,0),2)</f>
        <v>F</v>
      </c>
      <c r="D45" s="124" t="n">
        <v>0</v>
      </c>
      <c r="E45" s="124" t="n">
        <v>0</v>
      </c>
      <c r="F45" s="124" t="n">
        <v>0</v>
      </c>
      <c r="G45" s="124" t="n">
        <v>0</v>
      </c>
      <c r="I45" s="124" t="n">
        <f aca="false">IF(MONTH($A45)=MONTH($A44),IF(G45=0,I44,G45),G45)</f>
        <v>0</v>
      </c>
      <c r="J45" s="124" t="n">
        <f aca="false">IF(MONTH($A45)=MONTH($A44),SUM(I45-I44),I45)</f>
        <v>0</v>
      </c>
      <c r="K45" s="124" t="n">
        <f aca="false">IF(WEEKDAY(A45,3)&gt;4,0,(IF(A45&lt;K$2,0,IF(A45&lt;=K$3,1,0))))</f>
        <v>0</v>
      </c>
      <c r="L45" s="124" t="n">
        <f aca="false">J45*K45</f>
        <v>0</v>
      </c>
      <c r="M45" s="124" t="n">
        <f aca="false">SUM(J$6:J45)</f>
        <v>0</v>
      </c>
      <c r="N45" s="124" t="n">
        <f aca="false">SUM(J$6:J45)</f>
        <v>0</v>
      </c>
      <c r="P45" s="124" t="n">
        <f aca="false">D45/P$3</f>
        <v>0</v>
      </c>
      <c r="Q45" s="124" t="n">
        <f aca="false">E45/P$3</f>
        <v>0</v>
      </c>
      <c r="R45" s="124" t="n">
        <f aca="false">F45/R$3</f>
        <v>0</v>
      </c>
      <c r="S45" s="126" t="n">
        <f aca="false">J45/$R$3</f>
        <v>0</v>
      </c>
      <c r="T45" s="126" t="n">
        <f aca="false">L45/$R$3</f>
        <v>0</v>
      </c>
      <c r="U45" s="126" t="n">
        <f aca="false">I45/$R$3</f>
        <v>0</v>
      </c>
      <c r="V45" s="126" t="n">
        <f aca="false">M45/$R$3</f>
        <v>0</v>
      </c>
      <c r="W45" s="126" t="n">
        <f aca="false">N45/$R$3</f>
        <v>0</v>
      </c>
    </row>
    <row r="46" customFormat="false" ht="12.75" hidden="true" customHeight="false" outlineLevel="0" collapsed="false">
      <c r="A46" s="120" t="n">
        <f aca="false">A45+1</f>
        <v>36932</v>
      </c>
      <c r="B46" s="131" t="str">
        <f aca="false">INDEX('Master Data'!$A$2:$B$8,MATCH(WEEKDAY('MM PLANT'!A46,3),'Master Data'!$A$2:$A$8,0),2)</f>
        <v>Sa</v>
      </c>
      <c r="D46" s="124" t="n">
        <v>0</v>
      </c>
      <c r="E46" s="124" t="n">
        <v>0</v>
      </c>
      <c r="F46" s="124" t="n">
        <v>0</v>
      </c>
      <c r="G46" s="124" t="n">
        <v>0</v>
      </c>
      <c r="I46" s="124" t="n">
        <f aca="false">IF(MONTH($A46)=MONTH($A45),IF(G46=0,I45,G46),G46)</f>
        <v>0</v>
      </c>
      <c r="J46" s="124" t="n">
        <f aca="false">IF(MONTH($A46)=MONTH($A45),SUM(I46-I45),I46)</f>
        <v>0</v>
      </c>
      <c r="K46" s="124" t="n">
        <f aca="false">IF(WEEKDAY(A46,3)&gt;4,0,(IF(A46&lt;K$2,0,IF(A46&lt;=K$3,1,0))))</f>
        <v>0</v>
      </c>
      <c r="L46" s="124" t="n">
        <f aca="false">J46*K46</f>
        <v>0</v>
      </c>
      <c r="M46" s="124" t="n">
        <f aca="false">SUM(J$6:J46)</f>
        <v>0</v>
      </c>
      <c r="N46" s="124" t="n">
        <f aca="false">SUM(J$6:J46)</f>
        <v>0</v>
      </c>
      <c r="P46" s="124" t="n">
        <f aca="false">D46/P$3</f>
        <v>0</v>
      </c>
      <c r="Q46" s="124" t="n">
        <f aca="false">E46/P$3</f>
        <v>0</v>
      </c>
      <c r="R46" s="124" t="n">
        <f aca="false">F46/R$3</f>
        <v>0</v>
      </c>
      <c r="S46" s="126" t="n">
        <f aca="false">J46/$R$3</f>
        <v>0</v>
      </c>
      <c r="T46" s="126" t="n">
        <f aca="false">L46/$R$3</f>
        <v>0</v>
      </c>
      <c r="U46" s="126" t="n">
        <f aca="false">I46/$R$3</f>
        <v>0</v>
      </c>
      <c r="V46" s="126" t="n">
        <f aca="false">M46/$R$3</f>
        <v>0</v>
      </c>
      <c r="W46" s="126" t="n">
        <f aca="false">N46/$R$3</f>
        <v>0</v>
      </c>
    </row>
    <row r="47" customFormat="false" ht="12.75" hidden="true" customHeight="false" outlineLevel="0" collapsed="false">
      <c r="A47" s="120" t="n">
        <f aca="false">A46+1</f>
        <v>36933</v>
      </c>
      <c r="B47" s="131" t="str">
        <f aca="false">INDEX('Master Data'!$A$2:$B$8,MATCH(WEEKDAY('MM PLANT'!A47,3),'Master Data'!$A$2:$A$8,0),2)</f>
        <v>Su</v>
      </c>
      <c r="D47" s="124" t="n">
        <v>0</v>
      </c>
      <c r="E47" s="124" t="n">
        <v>0</v>
      </c>
      <c r="F47" s="124" t="n">
        <v>0</v>
      </c>
      <c r="G47" s="124" t="n">
        <v>0</v>
      </c>
      <c r="I47" s="124" t="n">
        <f aca="false">IF(MONTH($A47)=MONTH($A46),IF(G47=0,I46,G47),G47)</f>
        <v>0</v>
      </c>
      <c r="J47" s="124" t="n">
        <f aca="false">IF(MONTH($A47)=MONTH($A46),SUM(I47-I46),I47)</f>
        <v>0</v>
      </c>
      <c r="K47" s="124" t="n">
        <f aca="false">IF(WEEKDAY(A47,3)&gt;4,0,(IF(A47&lt;K$2,0,IF(A47&lt;=K$3,1,0))))</f>
        <v>0</v>
      </c>
      <c r="L47" s="124" t="n">
        <f aca="false">J47*K47</f>
        <v>0</v>
      </c>
      <c r="M47" s="124" t="n">
        <f aca="false">SUM(J$6:J47)</f>
        <v>0</v>
      </c>
      <c r="N47" s="124" t="n">
        <f aca="false">SUM(J$6:J47)</f>
        <v>0</v>
      </c>
      <c r="P47" s="124" t="n">
        <f aca="false">D47/P$3</f>
        <v>0</v>
      </c>
      <c r="Q47" s="124" t="n">
        <f aca="false">E47/P$3</f>
        <v>0</v>
      </c>
      <c r="R47" s="124" t="n">
        <f aca="false">F47/R$3</f>
        <v>0</v>
      </c>
      <c r="S47" s="126" t="n">
        <f aca="false">J47/$R$3</f>
        <v>0</v>
      </c>
      <c r="T47" s="126" t="n">
        <f aca="false">L47/$R$3</f>
        <v>0</v>
      </c>
      <c r="U47" s="126" t="n">
        <f aca="false">I47/$R$3</f>
        <v>0</v>
      </c>
      <c r="V47" s="126" t="n">
        <f aca="false">M47/$R$3</f>
        <v>0</v>
      </c>
      <c r="W47" s="126" t="n">
        <f aca="false">N47/$R$3</f>
        <v>0</v>
      </c>
    </row>
    <row r="48" customFormat="false" ht="12.75" hidden="true" customHeight="false" outlineLevel="0" collapsed="false">
      <c r="A48" s="120" t="n">
        <f aca="false">A47+1</f>
        <v>36934</v>
      </c>
      <c r="B48" s="131" t="str">
        <f aca="false">INDEX('Master Data'!$A$2:$B$8,MATCH(WEEKDAY('MM PLANT'!A48,3),'Master Data'!$A$2:$A$8,0),2)</f>
        <v>M</v>
      </c>
      <c r="D48" s="124" t="n">
        <v>0</v>
      </c>
      <c r="E48" s="124" t="n">
        <v>0</v>
      </c>
      <c r="F48" s="124" t="n">
        <v>0</v>
      </c>
      <c r="G48" s="124" t="n">
        <v>0</v>
      </c>
      <c r="I48" s="124" t="n">
        <f aca="false">IF(MONTH($A48)=MONTH($A47),IF(G48=0,I47,G48),G48)</f>
        <v>0</v>
      </c>
      <c r="J48" s="124" t="n">
        <f aca="false">IF(MONTH($A48)=MONTH($A47),SUM(I48-I47),I48)</f>
        <v>0</v>
      </c>
      <c r="K48" s="124" t="n">
        <f aca="false">IF(WEEKDAY(A48,3)&gt;4,0,(IF(A48&lt;K$2,0,IF(A48&lt;=K$3,1,0))))</f>
        <v>0</v>
      </c>
      <c r="L48" s="124" t="n">
        <f aca="false">J48*K48</f>
        <v>0</v>
      </c>
      <c r="M48" s="124" t="n">
        <f aca="false">SUM(J$6:J48)</f>
        <v>0</v>
      </c>
      <c r="N48" s="124" t="n">
        <f aca="false">SUM(J$6:J48)</f>
        <v>0</v>
      </c>
      <c r="P48" s="124" t="n">
        <f aca="false">D48/P$3</f>
        <v>0</v>
      </c>
      <c r="Q48" s="124" t="n">
        <f aca="false">E48/P$3</f>
        <v>0</v>
      </c>
      <c r="R48" s="124" t="n">
        <f aca="false">F48/R$3</f>
        <v>0</v>
      </c>
      <c r="S48" s="126" t="n">
        <f aca="false">J48/$R$3</f>
        <v>0</v>
      </c>
      <c r="T48" s="126" t="n">
        <f aca="false">L48/$R$3</f>
        <v>0</v>
      </c>
      <c r="U48" s="126" t="n">
        <f aca="false">I48/$R$3</f>
        <v>0</v>
      </c>
      <c r="V48" s="126" t="n">
        <f aca="false">M48/$R$3</f>
        <v>0</v>
      </c>
      <c r="W48" s="126" t="n">
        <f aca="false">N48/$R$3</f>
        <v>0</v>
      </c>
    </row>
    <row r="49" customFormat="false" ht="12.75" hidden="true" customHeight="false" outlineLevel="0" collapsed="false">
      <c r="A49" s="120" t="n">
        <f aca="false">A48+1</f>
        <v>36935</v>
      </c>
      <c r="B49" s="131" t="str">
        <f aca="false">INDEX('Master Data'!$A$2:$B$8,MATCH(WEEKDAY('MM PLANT'!A49,3),'Master Data'!$A$2:$A$8,0),2)</f>
        <v>T</v>
      </c>
      <c r="D49" s="124" t="n">
        <v>0</v>
      </c>
      <c r="E49" s="124" t="n">
        <v>0</v>
      </c>
      <c r="F49" s="124" t="n">
        <v>0</v>
      </c>
      <c r="G49" s="124" t="n">
        <v>0</v>
      </c>
      <c r="I49" s="124" t="n">
        <f aca="false">IF(MONTH($A49)=MONTH($A48),IF(G49=0,I48,G49),G49)</f>
        <v>0</v>
      </c>
      <c r="J49" s="124" t="n">
        <f aca="false">IF(MONTH($A49)=MONTH($A48),SUM(I49-I48),I49)</f>
        <v>0</v>
      </c>
      <c r="K49" s="124" t="n">
        <f aca="false">IF(WEEKDAY(A49,3)&gt;4,0,(IF(A49&lt;K$2,0,IF(A49&lt;=K$3,1,0))))</f>
        <v>0</v>
      </c>
      <c r="L49" s="124" t="n">
        <f aca="false">J49*K49</f>
        <v>0</v>
      </c>
      <c r="M49" s="124" t="n">
        <f aca="false">SUM(J$6:J49)</f>
        <v>0</v>
      </c>
      <c r="N49" s="124" t="n">
        <f aca="false">SUM(J$6:J49)</f>
        <v>0</v>
      </c>
      <c r="P49" s="124" t="n">
        <f aca="false">D49/P$3</f>
        <v>0</v>
      </c>
      <c r="Q49" s="124" t="n">
        <f aca="false">E49/P$3</f>
        <v>0</v>
      </c>
      <c r="R49" s="124" t="n">
        <f aca="false">F49/R$3</f>
        <v>0</v>
      </c>
      <c r="S49" s="126" t="n">
        <f aca="false">J49/$R$3</f>
        <v>0</v>
      </c>
      <c r="T49" s="126" t="n">
        <f aca="false">L49/$R$3</f>
        <v>0</v>
      </c>
      <c r="U49" s="126" t="n">
        <f aca="false">I49/$R$3</f>
        <v>0</v>
      </c>
      <c r="V49" s="126" t="n">
        <f aca="false">M49/$R$3</f>
        <v>0</v>
      </c>
      <c r="W49" s="126" t="n">
        <f aca="false">N49/$R$3</f>
        <v>0</v>
      </c>
    </row>
    <row r="50" customFormat="false" ht="12.75" hidden="true" customHeight="false" outlineLevel="0" collapsed="false">
      <c r="A50" s="120" t="n">
        <f aca="false">A49+1</f>
        <v>36936</v>
      </c>
      <c r="B50" s="131" t="str">
        <f aca="false">INDEX('Master Data'!$A$2:$B$8,MATCH(WEEKDAY('MM PLANT'!A50,3),'Master Data'!$A$2:$A$8,0),2)</f>
        <v>W</v>
      </c>
      <c r="D50" s="124" t="n">
        <v>0</v>
      </c>
      <c r="E50" s="124" t="n">
        <v>0</v>
      </c>
      <c r="F50" s="124" t="n">
        <v>0</v>
      </c>
      <c r="G50" s="124" t="n">
        <v>0</v>
      </c>
      <c r="I50" s="124" t="n">
        <f aca="false">IF(MONTH($A50)=MONTH($A49),IF(G50=0,I49,G50),G50)</f>
        <v>0</v>
      </c>
      <c r="J50" s="124" t="n">
        <f aca="false">IF(MONTH($A50)=MONTH($A49),SUM(I50-I49),I50)</f>
        <v>0</v>
      </c>
      <c r="K50" s="124" t="n">
        <f aca="false">IF(WEEKDAY(A50,3)&gt;4,0,(IF(A50&lt;K$2,0,IF(A50&lt;=K$3,1,0))))</f>
        <v>0</v>
      </c>
      <c r="L50" s="124" t="n">
        <f aca="false">J50*K50</f>
        <v>0</v>
      </c>
      <c r="M50" s="124" t="n">
        <f aca="false">SUM(J$6:J50)</f>
        <v>0</v>
      </c>
      <c r="N50" s="124" t="n">
        <f aca="false">SUM(J$6:J50)</f>
        <v>0</v>
      </c>
      <c r="P50" s="124" t="n">
        <f aca="false">D50/P$3</f>
        <v>0</v>
      </c>
      <c r="Q50" s="124" t="n">
        <f aca="false">E50/P$3</f>
        <v>0</v>
      </c>
      <c r="R50" s="124" t="n">
        <f aca="false">F50/R$3</f>
        <v>0</v>
      </c>
      <c r="S50" s="126" t="n">
        <f aca="false">J50/$R$3</f>
        <v>0</v>
      </c>
      <c r="T50" s="126" t="n">
        <f aca="false">L50/$R$3</f>
        <v>0</v>
      </c>
      <c r="U50" s="126" t="n">
        <f aca="false">I50/$R$3</f>
        <v>0</v>
      </c>
      <c r="V50" s="126" t="n">
        <f aca="false">M50/$R$3</f>
        <v>0</v>
      </c>
      <c r="W50" s="126" t="n">
        <f aca="false">N50/$R$3</f>
        <v>0</v>
      </c>
    </row>
    <row r="51" customFormat="false" ht="12.75" hidden="true" customHeight="false" outlineLevel="0" collapsed="false">
      <c r="A51" s="120" t="n">
        <f aca="false">A50+1</f>
        <v>36937</v>
      </c>
      <c r="B51" s="131" t="str">
        <f aca="false">INDEX('Master Data'!$A$2:$B$8,MATCH(WEEKDAY('MM PLANT'!A51,3),'Master Data'!$A$2:$A$8,0),2)</f>
        <v>Th</v>
      </c>
      <c r="D51" s="124" t="n">
        <v>0</v>
      </c>
      <c r="E51" s="124" t="n">
        <v>0</v>
      </c>
      <c r="F51" s="124" t="n">
        <v>0</v>
      </c>
      <c r="G51" s="124" t="n">
        <v>0</v>
      </c>
      <c r="I51" s="124" t="n">
        <f aca="false">IF(MONTH($A51)=MONTH($A50),IF(G51=0,I50,G51),G51)</f>
        <v>0</v>
      </c>
      <c r="J51" s="124" t="n">
        <f aca="false">IF(MONTH($A51)=MONTH($A50),SUM(I51-I50),I51)</f>
        <v>0</v>
      </c>
      <c r="K51" s="124" t="n">
        <f aca="false">IF(WEEKDAY(A51,3)&gt;4,0,(IF(A51&lt;K$2,0,IF(A51&lt;=K$3,1,0))))</f>
        <v>0</v>
      </c>
      <c r="L51" s="124" t="n">
        <f aca="false">J51*K51</f>
        <v>0</v>
      </c>
      <c r="M51" s="124" t="n">
        <f aca="false">SUM(J$6:J51)</f>
        <v>0</v>
      </c>
      <c r="N51" s="124" t="n">
        <f aca="false">SUM(J$6:J51)</f>
        <v>0</v>
      </c>
      <c r="P51" s="124" t="n">
        <f aca="false">D51/P$3</f>
        <v>0</v>
      </c>
      <c r="Q51" s="124" t="n">
        <f aca="false">E51/P$3</f>
        <v>0</v>
      </c>
      <c r="R51" s="124" t="n">
        <f aca="false">F51/R$3</f>
        <v>0</v>
      </c>
      <c r="S51" s="126" t="n">
        <f aca="false">J51/$R$3</f>
        <v>0</v>
      </c>
      <c r="T51" s="126" t="n">
        <f aca="false">L51/$R$3</f>
        <v>0</v>
      </c>
      <c r="U51" s="126" t="n">
        <f aca="false">I51/$R$3</f>
        <v>0</v>
      </c>
      <c r="V51" s="126" t="n">
        <f aca="false">M51/$R$3</f>
        <v>0</v>
      </c>
      <c r="W51" s="126" t="n">
        <f aca="false">N51/$R$3</f>
        <v>0</v>
      </c>
    </row>
    <row r="52" customFormat="false" ht="12.75" hidden="true" customHeight="false" outlineLevel="0" collapsed="false">
      <c r="A52" s="120" t="n">
        <f aca="false">A51+1</f>
        <v>36938</v>
      </c>
      <c r="B52" s="131" t="str">
        <f aca="false">INDEX('Master Data'!$A$2:$B$8,MATCH(WEEKDAY('MM PLANT'!A52,3),'Master Data'!$A$2:$A$8,0),2)</f>
        <v>F</v>
      </c>
      <c r="D52" s="124" t="n">
        <v>0</v>
      </c>
      <c r="E52" s="124" t="n">
        <v>0</v>
      </c>
      <c r="F52" s="124" t="n">
        <v>0</v>
      </c>
      <c r="G52" s="124" t="n">
        <v>0</v>
      </c>
      <c r="I52" s="124" t="n">
        <f aca="false">IF(MONTH($A52)=MONTH($A51),IF(G52=0,I51,G52),G52)</f>
        <v>0</v>
      </c>
      <c r="J52" s="124" t="n">
        <f aca="false">IF(MONTH($A52)=MONTH($A51),SUM(I52-I51),I52)</f>
        <v>0</v>
      </c>
      <c r="K52" s="124" t="n">
        <f aca="false">IF(WEEKDAY(A52,3)&gt;4,0,(IF(A52&lt;K$2,0,IF(A52&lt;=K$3,1,0))))</f>
        <v>0</v>
      </c>
      <c r="L52" s="124" t="n">
        <f aca="false">J52*K52</f>
        <v>0</v>
      </c>
      <c r="M52" s="124" t="n">
        <f aca="false">SUM(J$6:J52)</f>
        <v>0</v>
      </c>
      <c r="N52" s="124" t="n">
        <f aca="false">SUM(J$6:J52)</f>
        <v>0</v>
      </c>
      <c r="P52" s="124" t="n">
        <f aca="false">D52/P$3</f>
        <v>0</v>
      </c>
      <c r="Q52" s="124" t="n">
        <f aca="false">E52/P$3</f>
        <v>0</v>
      </c>
      <c r="R52" s="124" t="n">
        <f aca="false">F52/R$3</f>
        <v>0</v>
      </c>
      <c r="S52" s="126" t="n">
        <f aca="false">J52/$R$3</f>
        <v>0</v>
      </c>
      <c r="T52" s="126" t="n">
        <f aca="false">L52/$R$3</f>
        <v>0</v>
      </c>
      <c r="U52" s="126" t="n">
        <f aca="false">I52/$R$3</f>
        <v>0</v>
      </c>
      <c r="V52" s="126" t="n">
        <f aca="false">M52/$R$3</f>
        <v>0</v>
      </c>
      <c r="W52" s="126" t="n">
        <f aca="false">N52/$R$3</f>
        <v>0</v>
      </c>
    </row>
    <row r="53" customFormat="false" ht="12.75" hidden="true" customHeight="false" outlineLevel="0" collapsed="false">
      <c r="A53" s="120" t="n">
        <f aca="false">A52+1</f>
        <v>36939</v>
      </c>
      <c r="B53" s="131" t="str">
        <f aca="false">INDEX('Master Data'!$A$2:$B$8,MATCH(WEEKDAY('MM PLANT'!A53,3),'Master Data'!$A$2:$A$8,0),2)</f>
        <v>Sa</v>
      </c>
      <c r="D53" s="124" t="n">
        <v>0</v>
      </c>
      <c r="E53" s="124" t="n">
        <v>0</v>
      </c>
      <c r="F53" s="124" t="n">
        <v>0</v>
      </c>
      <c r="G53" s="124" t="n">
        <v>0</v>
      </c>
      <c r="I53" s="124" t="n">
        <f aca="false">IF(MONTH($A53)=MONTH($A52),IF(G53=0,I52,G53),G53)</f>
        <v>0</v>
      </c>
      <c r="J53" s="124" t="n">
        <f aca="false">IF(MONTH($A53)=MONTH($A52),SUM(I53-I52),I53)</f>
        <v>0</v>
      </c>
      <c r="K53" s="124" t="n">
        <f aca="false">IF(WEEKDAY(A53,3)&gt;4,0,(IF(A53&lt;K$2,0,IF(A53&lt;=K$3,1,0))))</f>
        <v>0</v>
      </c>
      <c r="L53" s="124" t="n">
        <f aca="false">J53*K53</f>
        <v>0</v>
      </c>
      <c r="M53" s="124" t="n">
        <f aca="false">SUM(J$6:J53)</f>
        <v>0</v>
      </c>
      <c r="N53" s="124" t="n">
        <f aca="false">SUM(J$6:J53)</f>
        <v>0</v>
      </c>
      <c r="P53" s="124" t="n">
        <f aca="false">D53/P$3</f>
        <v>0</v>
      </c>
      <c r="Q53" s="124" t="n">
        <f aca="false">E53/P$3</f>
        <v>0</v>
      </c>
      <c r="R53" s="124" t="n">
        <f aca="false">F53/R$3</f>
        <v>0</v>
      </c>
      <c r="S53" s="126" t="n">
        <f aca="false">J53/$R$3</f>
        <v>0</v>
      </c>
      <c r="T53" s="126" t="n">
        <f aca="false">L53/$R$3</f>
        <v>0</v>
      </c>
      <c r="U53" s="126" t="n">
        <f aca="false">I53/$R$3</f>
        <v>0</v>
      </c>
      <c r="V53" s="126" t="n">
        <f aca="false">M53/$R$3</f>
        <v>0</v>
      </c>
      <c r="W53" s="126" t="n">
        <f aca="false">N53/$R$3</f>
        <v>0</v>
      </c>
    </row>
    <row r="54" customFormat="false" ht="12.75" hidden="true" customHeight="false" outlineLevel="0" collapsed="false">
      <c r="A54" s="120" t="n">
        <f aca="false">A53+1</f>
        <v>36940</v>
      </c>
      <c r="B54" s="131" t="str">
        <f aca="false">INDEX('Master Data'!$A$2:$B$8,MATCH(WEEKDAY('MM PLANT'!A54,3),'Master Data'!$A$2:$A$8,0),2)</f>
        <v>Su</v>
      </c>
      <c r="D54" s="124" t="n">
        <v>0</v>
      </c>
      <c r="E54" s="124" t="n">
        <v>0</v>
      </c>
      <c r="F54" s="124" t="n">
        <v>0</v>
      </c>
      <c r="G54" s="124" t="n">
        <v>0</v>
      </c>
      <c r="I54" s="124" t="n">
        <f aca="false">IF(MONTH($A54)=MONTH($A53),IF(G54=0,I53,G54),G54)</f>
        <v>0</v>
      </c>
      <c r="J54" s="124" t="n">
        <f aca="false">IF(MONTH($A54)=MONTH($A53),SUM(I54-I53),I54)</f>
        <v>0</v>
      </c>
      <c r="K54" s="124" t="n">
        <f aca="false">IF(WEEKDAY(A54,3)&gt;4,0,(IF(A54&lt;K$2,0,IF(A54&lt;=K$3,1,0))))</f>
        <v>0</v>
      </c>
      <c r="L54" s="124" t="n">
        <f aca="false">J54*K54</f>
        <v>0</v>
      </c>
      <c r="M54" s="124" t="n">
        <f aca="false">SUM(J$6:J54)</f>
        <v>0</v>
      </c>
      <c r="N54" s="124" t="n">
        <f aca="false">SUM(J$6:J54)</f>
        <v>0</v>
      </c>
      <c r="P54" s="124" t="n">
        <f aca="false">D54/P$3</f>
        <v>0</v>
      </c>
      <c r="Q54" s="124" t="n">
        <f aca="false">E54/P$3</f>
        <v>0</v>
      </c>
      <c r="R54" s="124" t="n">
        <f aca="false">F54/R$3</f>
        <v>0</v>
      </c>
      <c r="S54" s="126" t="n">
        <f aca="false">J54/$R$3</f>
        <v>0</v>
      </c>
      <c r="T54" s="126" t="n">
        <f aca="false">L54/$R$3</f>
        <v>0</v>
      </c>
      <c r="U54" s="126" t="n">
        <f aca="false">I54/$R$3</f>
        <v>0</v>
      </c>
      <c r="V54" s="126" t="n">
        <f aca="false">M54/$R$3</f>
        <v>0</v>
      </c>
      <c r="W54" s="126" t="n">
        <f aca="false">N54/$R$3</f>
        <v>0</v>
      </c>
    </row>
    <row r="55" customFormat="false" ht="12.75" hidden="true" customHeight="false" outlineLevel="0" collapsed="false">
      <c r="A55" s="120" t="n">
        <f aca="false">A54+1</f>
        <v>36941</v>
      </c>
      <c r="B55" s="131" t="str">
        <f aca="false">INDEX('Master Data'!$A$2:$B$8,MATCH(WEEKDAY('MM PLANT'!A55,3),'Master Data'!$A$2:$A$8,0),2)</f>
        <v>M</v>
      </c>
      <c r="D55" s="124" t="n">
        <v>0</v>
      </c>
      <c r="E55" s="124" t="n">
        <v>0</v>
      </c>
      <c r="F55" s="124" t="n">
        <v>0</v>
      </c>
      <c r="G55" s="124" t="n">
        <v>0</v>
      </c>
      <c r="I55" s="124" t="n">
        <f aca="false">IF(MONTH($A55)=MONTH($A54),IF(G55=0,I54,G55),G55)</f>
        <v>0</v>
      </c>
      <c r="J55" s="124" t="n">
        <f aca="false">IF(MONTH($A55)=MONTH($A54),SUM(I55-I54),I55)</f>
        <v>0</v>
      </c>
      <c r="K55" s="124" t="n">
        <f aca="false">IF(WEEKDAY(A55,3)&gt;4,0,(IF(A55&lt;K$2,0,IF(A55&lt;=K$3,1,0))))</f>
        <v>0</v>
      </c>
      <c r="L55" s="124" t="n">
        <f aca="false">J55*K55</f>
        <v>0</v>
      </c>
      <c r="M55" s="124" t="n">
        <f aca="false">SUM(J$6:J55)</f>
        <v>0</v>
      </c>
      <c r="N55" s="124" t="n">
        <f aca="false">SUM(J$6:J55)</f>
        <v>0</v>
      </c>
      <c r="P55" s="124" t="n">
        <f aca="false">D55/P$3</f>
        <v>0</v>
      </c>
      <c r="Q55" s="124" t="n">
        <f aca="false">E55/P$3</f>
        <v>0</v>
      </c>
      <c r="R55" s="124" t="n">
        <f aca="false">F55/R$3</f>
        <v>0</v>
      </c>
      <c r="S55" s="126" t="n">
        <f aca="false">J55/$R$3</f>
        <v>0</v>
      </c>
      <c r="T55" s="126" t="n">
        <f aca="false">L55/$R$3</f>
        <v>0</v>
      </c>
      <c r="U55" s="126" t="n">
        <f aca="false">I55/$R$3</f>
        <v>0</v>
      </c>
      <c r="V55" s="126" t="n">
        <f aca="false">M55/$R$3</f>
        <v>0</v>
      </c>
      <c r="W55" s="126" t="n">
        <f aca="false">N55/$R$3</f>
        <v>0</v>
      </c>
    </row>
    <row r="56" customFormat="false" ht="12.75" hidden="true" customHeight="false" outlineLevel="0" collapsed="false">
      <c r="A56" s="120" t="n">
        <f aca="false">A55+1</f>
        <v>36942</v>
      </c>
      <c r="B56" s="131" t="str">
        <f aca="false">INDEX('Master Data'!$A$2:$B$8,MATCH(WEEKDAY('MM PLANT'!A56,3),'Master Data'!$A$2:$A$8,0),2)</f>
        <v>T</v>
      </c>
      <c r="D56" s="124" t="n">
        <v>0</v>
      </c>
      <c r="E56" s="124" t="n">
        <v>0</v>
      </c>
      <c r="F56" s="124" t="n">
        <v>0</v>
      </c>
      <c r="G56" s="124" t="n">
        <v>0</v>
      </c>
      <c r="I56" s="124" t="n">
        <f aca="false">IF(MONTH($A56)=MONTH($A55),IF(G56=0,I55,G56),G56)</f>
        <v>0</v>
      </c>
      <c r="J56" s="124" t="n">
        <f aca="false">IF(MONTH($A56)=MONTH($A55),SUM(I56-I55),I56)</f>
        <v>0</v>
      </c>
      <c r="K56" s="124" t="n">
        <f aca="false">IF(WEEKDAY(A56,3)&gt;4,0,(IF(A56&lt;K$2,0,IF(A56&lt;=K$3,1,0))))</f>
        <v>0</v>
      </c>
      <c r="L56" s="124" t="n">
        <f aca="false">J56*K56</f>
        <v>0</v>
      </c>
      <c r="M56" s="124" t="n">
        <f aca="false">SUM(J$6:J56)</f>
        <v>0</v>
      </c>
      <c r="N56" s="124" t="n">
        <f aca="false">SUM(J$6:J56)</f>
        <v>0</v>
      </c>
      <c r="P56" s="124" t="n">
        <f aca="false">D56/P$3</f>
        <v>0</v>
      </c>
      <c r="Q56" s="124" t="n">
        <f aca="false">E56/P$3</f>
        <v>0</v>
      </c>
      <c r="R56" s="124" t="n">
        <f aca="false">F56/R$3</f>
        <v>0</v>
      </c>
      <c r="S56" s="126" t="n">
        <f aca="false">J56/$R$3</f>
        <v>0</v>
      </c>
      <c r="T56" s="126" t="n">
        <f aca="false">L56/$R$3</f>
        <v>0</v>
      </c>
      <c r="U56" s="126" t="n">
        <f aca="false">I56/$R$3</f>
        <v>0</v>
      </c>
      <c r="V56" s="126" t="n">
        <f aca="false">M56/$R$3</f>
        <v>0</v>
      </c>
      <c r="W56" s="126" t="n">
        <f aca="false">N56/$R$3</f>
        <v>0</v>
      </c>
    </row>
    <row r="57" customFormat="false" ht="12.75" hidden="true" customHeight="false" outlineLevel="0" collapsed="false">
      <c r="A57" s="120" t="n">
        <f aca="false">A56+1</f>
        <v>36943</v>
      </c>
      <c r="B57" s="131" t="str">
        <f aca="false">INDEX('Master Data'!$A$2:$B$8,MATCH(WEEKDAY('MM PLANT'!A57,3),'Master Data'!$A$2:$A$8,0),2)</f>
        <v>W</v>
      </c>
      <c r="D57" s="124" t="n">
        <v>0</v>
      </c>
      <c r="E57" s="124" t="n">
        <v>0</v>
      </c>
      <c r="F57" s="124" t="n">
        <v>0</v>
      </c>
      <c r="G57" s="124" t="n">
        <v>0</v>
      </c>
      <c r="I57" s="124" t="n">
        <f aca="false">IF(MONTH($A57)=MONTH($A56),IF(G57=0,I56,G57),G57)</f>
        <v>0</v>
      </c>
      <c r="J57" s="124" t="n">
        <f aca="false">IF(MONTH($A57)=MONTH($A56),SUM(I57-I56),I57)</f>
        <v>0</v>
      </c>
      <c r="K57" s="124" t="n">
        <f aca="false">IF(WEEKDAY(A57,3)&gt;4,0,(IF(A57&lt;K$2,0,IF(A57&lt;=K$3,1,0))))</f>
        <v>0</v>
      </c>
      <c r="L57" s="124" t="n">
        <f aca="false">J57*K57</f>
        <v>0</v>
      </c>
      <c r="M57" s="124" t="n">
        <f aca="false">SUM(J$6:J57)</f>
        <v>0</v>
      </c>
      <c r="N57" s="124" t="n">
        <f aca="false">SUM(J$6:J57)</f>
        <v>0</v>
      </c>
      <c r="P57" s="124" t="n">
        <f aca="false">D57/P$3</f>
        <v>0</v>
      </c>
      <c r="Q57" s="124" t="n">
        <f aca="false">E57/P$3</f>
        <v>0</v>
      </c>
      <c r="R57" s="124" t="n">
        <f aca="false">F57/R$3</f>
        <v>0</v>
      </c>
      <c r="S57" s="126" t="n">
        <f aca="false">J57/$R$3</f>
        <v>0</v>
      </c>
      <c r="T57" s="126" t="n">
        <f aca="false">L57/$R$3</f>
        <v>0</v>
      </c>
      <c r="U57" s="126" t="n">
        <f aca="false">I57/$R$3</f>
        <v>0</v>
      </c>
      <c r="V57" s="126" t="n">
        <f aca="false">M57/$R$3</f>
        <v>0</v>
      </c>
      <c r="W57" s="126" t="n">
        <f aca="false">N57/$R$3</f>
        <v>0</v>
      </c>
    </row>
    <row r="58" customFormat="false" ht="12.75" hidden="true" customHeight="false" outlineLevel="0" collapsed="false">
      <c r="A58" s="120" t="n">
        <f aca="false">A57+1</f>
        <v>36944</v>
      </c>
      <c r="B58" s="131" t="str">
        <f aca="false">INDEX('Master Data'!$A$2:$B$8,MATCH(WEEKDAY('MM PLANT'!A58,3),'Master Data'!$A$2:$A$8,0),2)</f>
        <v>Th</v>
      </c>
      <c r="D58" s="124" t="n">
        <v>0</v>
      </c>
      <c r="E58" s="124" t="n">
        <v>0</v>
      </c>
      <c r="F58" s="124" t="n">
        <v>0</v>
      </c>
      <c r="G58" s="124" t="n">
        <v>0</v>
      </c>
      <c r="I58" s="124" t="n">
        <f aca="false">IF(MONTH($A58)=MONTH($A57),IF(G58=0,I57,G58),G58)</f>
        <v>0</v>
      </c>
      <c r="J58" s="124" t="n">
        <f aca="false">IF(MONTH($A58)=MONTH($A57),SUM(I58-I57),I58)</f>
        <v>0</v>
      </c>
      <c r="K58" s="124" t="n">
        <f aca="false">IF(WEEKDAY(A58,3)&gt;4,0,(IF(A58&lt;K$2,0,IF(A58&lt;=K$3,1,0))))</f>
        <v>0</v>
      </c>
      <c r="L58" s="124" t="n">
        <f aca="false">J58*K58</f>
        <v>0</v>
      </c>
      <c r="M58" s="124" t="n">
        <f aca="false">SUM(J$6:J58)</f>
        <v>0</v>
      </c>
      <c r="N58" s="124" t="n">
        <f aca="false">SUM(J$6:J58)</f>
        <v>0</v>
      </c>
      <c r="P58" s="124" t="n">
        <f aca="false">D58/P$3</f>
        <v>0</v>
      </c>
      <c r="Q58" s="124" t="n">
        <f aca="false">E58/P$3</f>
        <v>0</v>
      </c>
      <c r="R58" s="124" t="n">
        <f aca="false">F58/R$3</f>
        <v>0</v>
      </c>
      <c r="S58" s="126" t="n">
        <f aca="false">J58/$R$3</f>
        <v>0</v>
      </c>
      <c r="T58" s="126" t="n">
        <f aca="false">L58/$R$3</f>
        <v>0</v>
      </c>
      <c r="U58" s="126" t="n">
        <f aca="false">I58/$R$3</f>
        <v>0</v>
      </c>
      <c r="V58" s="126" t="n">
        <f aca="false">M58/$R$3</f>
        <v>0</v>
      </c>
      <c r="W58" s="126" t="n">
        <f aca="false">N58/$R$3</f>
        <v>0</v>
      </c>
    </row>
    <row r="59" customFormat="false" ht="12.75" hidden="true" customHeight="false" outlineLevel="0" collapsed="false">
      <c r="A59" s="120" t="n">
        <f aca="false">A58+1</f>
        <v>36945</v>
      </c>
      <c r="B59" s="131" t="str">
        <f aca="false">INDEX('Master Data'!$A$2:$B$8,MATCH(WEEKDAY('MM PLANT'!A59,3),'Master Data'!$A$2:$A$8,0),2)</f>
        <v>F</v>
      </c>
      <c r="D59" s="124" t="n">
        <v>0</v>
      </c>
      <c r="E59" s="124" t="n">
        <v>0</v>
      </c>
      <c r="F59" s="124" t="n">
        <v>0</v>
      </c>
      <c r="G59" s="124" t="n">
        <v>0</v>
      </c>
      <c r="I59" s="124" t="n">
        <f aca="false">IF(MONTH($A59)=MONTH($A58),IF(G59=0,I58,G59),G59)</f>
        <v>0</v>
      </c>
      <c r="J59" s="124" t="n">
        <f aca="false">IF(MONTH($A59)=MONTH($A58),SUM(I59-I58),I59)</f>
        <v>0</v>
      </c>
      <c r="K59" s="124" t="n">
        <f aca="false">IF(WEEKDAY(A59,3)&gt;4,0,(IF(A59&lt;K$2,0,IF(A59&lt;=K$3,1,0))))</f>
        <v>0</v>
      </c>
      <c r="L59" s="124" t="n">
        <f aca="false">J59*K59</f>
        <v>0</v>
      </c>
      <c r="M59" s="124" t="n">
        <f aca="false">SUM(J$6:J59)</f>
        <v>0</v>
      </c>
      <c r="N59" s="124" t="n">
        <f aca="false">SUM(J$6:J59)</f>
        <v>0</v>
      </c>
      <c r="P59" s="124" t="n">
        <f aca="false">D59/P$3</f>
        <v>0</v>
      </c>
      <c r="Q59" s="124" t="n">
        <f aca="false">E59/P$3</f>
        <v>0</v>
      </c>
      <c r="R59" s="124" t="n">
        <f aca="false">F59/R$3</f>
        <v>0</v>
      </c>
      <c r="S59" s="126" t="n">
        <f aca="false">J59/$R$3</f>
        <v>0</v>
      </c>
      <c r="T59" s="126" t="n">
        <f aca="false">L59/$R$3</f>
        <v>0</v>
      </c>
      <c r="U59" s="126" t="n">
        <f aca="false">I59/$R$3</f>
        <v>0</v>
      </c>
      <c r="V59" s="126" t="n">
        <f aca="false">M59/$R$3</f>
        <v>0</v>
      </c>
      <c r="W59" s="126" t="n">
        <f aca="false">N59/$R$3</f>
        <v>0</v>
      </c>
    </row>
    <row r="60" customFormat="false" ht="12.75" hidden="true" customHeight="false" outlineLevel="0" collapsed="false">
      <c r="A60" s="120" t="n">
        <f aca="false">A59+1</f>
        <v>36946</v>
      </c>
      <c r="B60" s="131" t="str">
        <f aca="false">INDEX('Master Data'!$A$2:$B$8,MATCH(WEEKDAY('MM PLANT'!A60,3),'Master Data'!$A$2:$A$8,0),2)</f>
        <v>Sa</v>
      </c>
      <c r="D60" s="124" t="n">
        <v>0</v>
      </c>
      <c r="E60" s="124" t="n">
        <v>0</v>
      </c>
      <c r="F60" s="124" t="n">
        <v>0</v>
      </c>
      <c r="G60" s="124" t="n">
        <v>0</v>
      </c>
      <c r="I60" s="124" t="n">
        <f aca="false">IF(MONTH($A60)=MONTH($A59),IF(G60=0,I59,G60),G60)</f>
        <v>0</v>
      </c>
      <c r="J60" s="124" t="n">
        <f aca="false">IF(MONTH($A60)=MONTH($A59),SUM(I60-I59),I60)</f>
        <v>0</v>
      </c>
      <c r="K60" s="124" t="n">
        <f aca="false">IF(WEEKDAY(A60,3)&gt;4,0,(IF(A60&lt;K$2,0,IF(A60&lt;=K$3,1,0))))</f>
        <v>0</v>
      </c>
      <c r="L60" s="124" t="n">
        <f aca="false">J60*K60</f>
        <v>0</v>
      </c>
      <c r="M60" s="124" t="n">
        <f aca="false">SUM(J$6:J60)</f>
        <v>0</v>
      </c>
      <c r="N60" s="124" t="n">
        <f aca="false">SUM(J$6:J60)</f>
        <v>0</v>
      </c>
      <c r="P60" s="124" t="n">
        <f aca="false">D60/P$3</f>
        <v>0</v>
      </c>
      <c r="Q60" s="124" t="n">
        <f aca="false">E60/P$3</f>
        <v>0</v>
      </c>
      <c r="R60" s="124" t="n">
        <f aca="false">F60/R$3</f>
        <v>0</v>
      </c>
      <c r="S60" s="126" t="n">
        <f aca="false">J60/$R$3</f>
        <v>0</v>
      </c>
      <c r="T60" s="126" t="n">
        <f aca="false">L60/$R$3</f>
        <v>0</v>
      </c>
      <c r="U60" s="126" t="n">
        <f aca="false">I60/$R$3</f>
        <v>0</v>
      </c>
      <c r="V60" s="126" t="n">
        <f aca="false">M60/$R$3</f>
        <v>0</v>
      </c>
      <c r="W60" s="126" t="n">
        <f aca="false">N60/$R$3</f>
        <v>0</v>
      </c>
    </row>
    <row r="61" customFormat="false" ht="12.75" hidden="true" customHeight="false" outlineLevel="0" collapsed="false">
      <c r="A61" s="120" t="n">
        <f aca="false">A60+1</f>
        <v>36947</v>
      </c>
      <c r="B61" s="131" t="str">
        <f aca="false">INDEX('Master Data'!$A$2:$B$8,MATCH(WEEKDAY('MM PLANT'!A61,3),'Master Data'!$A$2:$A$8,0),2)</f>
        <v>Su</v>
      </c>
      <c r="D61" s="124" t="n">
        <v>0</v>
      </c>
      <c r="E61" s="124" t="n">
        <v>0</v>
      </c>
      <c r="F61" s="124" t="n">
        <v>0</v>
      </c>
      <c r="G61" s="124" t="n">
        <v>0</v>
      </c>
      <c r="I61" s="124" t="n">
        <f aca="false">IF(MONTH($A61)=MONTH($A60),IF(G61=0,I60,G61),G61)</f>
        <v>0</v>
      </c>
      <c r="J61" s="124" t="n">
        <f aca="false">IF(MONTH($A61)=MONTH($A60),SUM(I61-I60),I61)</f>
        <v>0</v>
      </c>
      <c r="K61" s="124" t="n">
        <f aca="false">IF(WEEKDAY(A61,3)&gt;4,0,(IF(A61&lt;K$2,0,IF(A61&lt;=K$3,1,0))))</f>
        <v>0</v>
      </c>
      <c r="L61" s="124" t="n">
        <f aca="false">J61*K61</f>
        <v>0</v>
      </c>
      <c r="M61" s="124" t="n">
        <f aca="false">SUM(J$6:J61)</f>
        <v>0</v>
      </c>
      <c r="N61" s="124" t="n">
        <f aca="false">SUM(J$6:J61)</f>
        <v>0</v>
      </c>
      <c r="P61" s="124" t="n">
        <f aca="false">D61/P$3</f>
        <v>0</v>
      </c>
      <c r="Q61" s="124" t="n">
        <f aca="false">E61/P$3</f>
        <v>0</v>
      </c>
      <c r="R61" s="124" t="n">
        <f aca="false">F61/R$3</f>
        <v>0</v>
      </c>
      <c r="S61" s="126" t="n">
        <f aca="false">J61/$R$3</f>
        <v>0</v>
      </c>
      <c r="T61" s="126" t="n">
        <f aca="false">L61/$R$3</f>
        <v>0</v>
      </c>
      <c r="U61" s="126" t="n">
        <f aca="false">I61/$R$3</f>
        <v>0</v>
      </c>
      <c r="V61" s="126" t="n">
        <f aca="false">M61/$R$3</f>
        <v>0</v>
      </c>
      <c r="W61" s="126" t="n">
        <f aca="false">N61/$R$3</f>
        <v>0</v>
      </c>
    </row>
    <row r="62" customFormat="false" ht="12.75" hidden="true" customHeight="false" outlineLevel="0" collapsed="false">
      <c r="A62" s="120" t="n">
        <f aca="false">A61+1</f>
        <v>36948</v>
      </c>
      <c r="B62" s="131" t="str">
        <f aca="false">INDEX('Master Data'!$A$2:$B$8,MATCH(WEEKDAY('MM PLANT'!A62,3),'Master Data'!$A$2:$A$8,0),2)</f>
        <v>M</v>
      </c>
      <c r="D62" s="124" t="n">
        <v>0</v>
      </c>
      <c r="E62" s="124" t="n">
        <v>0</v>
      </c>
      <c r="F62" s="124" t="n">
        <v>0</v>
      </c>
      <c r="G62" s="124" t="n">
        <v>0</v>
      </c>
      <c r="I62" s="124" t="n">
        <f aca="false">IF(MONTH($A62)=MONTH($A61),IF(G62=0,I61,G62),G62)</f>
        <v>0</v>
      </c>
      <c r="J62" s="124" t="n">
        <f aca="false">IF(MONTH($A62)=MONTH($A61),SUM(I62-I61),I62)</f>
        <v>0</v>
      </c>
      <c r="K62" s="124" t="n">
        <f aca="false">IF(WEEKDAY(A62,3)&gt;4,0,(IF(A62&lt;K$2,0,IF(A62&lt;=K$3,1,0))))</f>
        <v>0</v>
      </c>
      <c r="L62" s="124" t="n">
        <f aca="false">J62*K62</f>
        <v>0</v>
      </c>
      <c r="M62" s="124" t="n">
        <f aca="false">SUM(J$6:J62)</f>
        <v>0</v>
      </c>
      <c r="N62" s="124" t="n">
        <f aca="false">SUM(J$6:J62)</f>
        <v>0</v>
      </c>
      <c r="P62" s="124" t="n">
        <f aca="false">D62/P$3</f>
        <v>0</v>
      </c>
      <c r="Q62" s="124" t="n">
        <f aca="false">E62/P$3</f>
        <v>0</v>
      </c>
      <c r="R62" s="124" t="n">
        <f aca="false">F62/R$3</f>
        <v>0</v>
      </c>
      <c r="S62" s="126" t="n">
        <f aca="false">J62/$R$3</f>
        <v>0</v>
      </c>
      <c r="T62" s="126" t="n">
        <f aca="false">L62/$R$3</f>
        <v>0</v>
      </c>
      <c r="U62" s="126" t="n">
        <f aca="false">I62/$R$3</f>
        <v>0</v>
      </c>
      <c r="V62" s="126" t="n">
        <f aca="false">M62/$R$3</f>
        <v>0</v>
      </c>
      <c r="W62" s="126" t="n">
        <f aca="false">N62/$R$3</f>
        <v>0</v>
      </c>
    </row>
    <row r="63" customFormat="false" ht="12.75" hidden="true" customHeight="false" outlineLevel="0" collapsed="false">
      <c r="A63" s="120" t="n">
        <f aca="false">A62+1</f>
        <v>36949</v>
      </c>
      <c r="B63" s="131" t="str">
        <f aca="false">INDEX('Master Data'!$A$2:$B$8,MATCH(WEEKDAY('MM PLANT'!A63,3),'Master Data'!$A$2:$A$8,0),2)</f>
        <v>T</v>
      </c>
      <c r="D63" s="124" t="n">
        <v>0</v>
      </c>
      <c r="E63" s="124" t="n">
        <v>0</v>
      </c>
      <c r="F63" s="124" t="n">
        <v>0</v>
      </c>
      <c r="G63" s="124" t="n">
        <v>0</v>
      </c>
      <c r="I63" s="124" t="n">
        <f aca="false">IF(MONTH($A63)=MONTH($A62),IF(G63=0,I62,G63),G63)</f>
        <v>0</v>
      </c>
      <c r="J63" s="124" t="n">
        <f aca="false">IF(MONTH($A63)=MONTH($A62),SUM(I63-I62),I63)</f>
        <v>0</v>
      </c>
      <c r="K63" s="124" t="n">
        <f aca="false">IF(WEEKDAY(A63,3)&gt;4,0,(IF(A63&lt;K$2,0,IF(A63&lt;=K$3,1,0))))</f>
        <v>0</v>
      </c>
      <c r="L63" s="124" t="n">
        <f aca="false">J63*K63</f>
        <v>0</v>
      </c>
      <c r="M63" s="124" t="n">
        <f aca="false">SUM(J$6:J63)</f>
        <v>0</v>
      </c>
      <c r="N63" s="124" t="n">
        <f aca="false">SUM(J$6:J63)</f>
        <v>0</v>
      </c>
      <c r="P63" s="124" t="n">
        <f aca="false">D63/P$3</f>
        <v>0</v>
      </c>
      <c r="Q63" s="124" t="n">
        <f aca="false">E63/P$3</f>
        <v>0</v>
      </c>
      <c r="R63" s="124" t="n">
        <f aca="false">F63/R$3</f>
        <v>0</v>
      </c>
      <c r="S63" s="126" t="n">
        <f aca="false">J63/$R$3</f>
        <v>0</v>
      </c>
      <c r="T63" s="126" t="n">
        <f aca="false">L63/$R$3</f>
        <v>0</v>
      </c>
      <c r="U63" s="126" t="n">
        <f aca="false">I63/$R$3</f>
        <v>0</v>
      </c>
      <c r="V63" s="126" t="n">
        <f aca="false">M63/$R$3</f>
        <v>0</v>
      </c>
      <c r="W63" s="126" t="n">
        <f aca="false">N63/$R$3</f>
        <v>0</v>
      </c>
    </row>
    <row r="64" customFormat="false" ht="12.75" hidden="false" customHeight="false" outlineLevel="0" collapsed="false">
      <c r="A64" s="120" t="n">
        <f aca="false">A63+1</f>
        <v>36950</v>
      </c>
      <c r="B64" s="131" t="str">
        <f aca="false">INDEX('Master Data'!$A$2:$B$8,MATCH(WEEKDAY('MM PLANT'!A64,3),'Master Data'!$A$2:$A$8,0),2)</f>
        <v>W</v>
      </c>
      <c r="D64" s="124" t="n">
        <v>0</v>
      </c>
      <c r="E64" s="124" t="n">
        <v>0</v>
      </c>
      <c r="F64" s="124" t="n">
        <v>0</v>
      </c>
      <c r="G64" s="124" t="n">
        <v>0</v>
      </c>
      <c r="I64" s="124" t="n">
        <f aca="false">IF(MONTH($A64)=MONTH($A63),IF(G64=0,I63,G64),G64)</f>
        <v>0</v>
      </c>
      <c r="J64" s="124" t="n">
        <f aca="false">IF(MONTH($A64)=MONTH($A63),SUM(I64-I63),I64)</f>
        <v>0</v>
      </c>
      <c r="K64" s="124" t="n">
        <f aca="false">IF(WEEKDAY(A64,3)&gt;4,0,(IF(A64&lt;K$2,0,IF(A64&lt;=K$3,1,0))))</f>
        <v>0</v>
      </c>
      <c r="L64" s="124" t="n">
        <f aca="false">J64*K64</f>
        <v>0</v>
      </c>
      <c r="M64" s="124" t="n">
        <f aca="false">SUM(J$6:J64)</f>
        <v>0</v>
      </c>
      <c r="N64" s="124" t="n">
        <f aca="false">SUM(J$6:J64)</f>
        <v>0</v>
      </c>
      <c r="P64" s="124" t="n">
        <f aca="false">D64/P$3</f>
        <v>0</v>
      </c>
      <c r="Q64" s="124" t="n">
        <f aca="false">E64/P$3</f>
        <v>0</v>
      </c>
      <c r="R64" s="124" t="n">
        <f aca="false">F64/R$3</f>
        <v>0</v>
      </c>
      <c r="S64" s="126" t="n">
        <f aca="false">J64/$R$3</f>
        <v>0</v>
      </c>
      <c r="T64" s="126" t="n">
        <f aca="false">L64/$R$3</f>
        <v>0</v>
      </c>
      <c r="U64" s="126" t="n">
        <f aca="false">I64/$R$3</f>
        <v>0</v>
      </c>
      <c r="V64" s="126" t="n">
        <f aca="false">M64/$R$3</f>
        <v>0</v>
      </c>
      <c r="W64" s="126" t="n">
        <f aca="false">N64/$R$3</f>
        <v>0</v>
      </c>
    </row>
    <row r="65" customFormat="false" ht="12.75" hidden="false" customHeight="false" outlineLevel="0" collapsed="false">
      <c r="A65" s="120" t="n">
        <f aca="false">A64+1</f>
        <v>36951</v>
      </c>
      <c r="B65" s="131" t="str">
        <f aca="false">INDEX('Master Data'!$A$2:$B$8,MATCH(WEEKDAY('MM PLANT'!A65,3),'Master Data'!$A$2:$A$8,0),2)</f>
        <v>Th</v>
      </c>
      <c r="D65" s="124" t="n">
        <v>0</v>
      </c>
      <c r="E65" s="124" t="n">
        <v>0</v>
      </c>
      <c r="F65" s="124" t="n">
        <v>0</v>
      </c>
      <c r="G65" s="124" t="n">
        <v>0</v>
      </c>
      <c r="I65" s="124" t="n">
        <f aca="false">IF(MONTH($A65)=MONTH($A64),IF(G65=0,I64,G65),G65)</f>
        <v>0</v>
      </c>
      <c r="J65" s="124" t="n">
        <f aca="false">IF(MONTH($A65)=MONTH($A64),SUM(I65-I64),I65)</f>
        <v>0</v>
      </c>
      <c r="K65" s="124" t="n">
        <f aca="false">IF(WEEKDAY(A65,3)&gt;4,0,(IF(A65&lt;K$2,0,IF(A65&lt;=K$3,1,0))))</f>
        <v>0</v>
      </c>
      <c r="L65" s="124" t="n">
        <f aca="false">J65*K65</f>
        <v>0</v>
      </c>
      <c r="M65" s="124" t="n">
        <f aca="false">SUM(J$6:J65)</f>
        <v>0</v>
      </c>
      <c r="N65" s="124" t="n">
        <f aca="false">SUM(J$6:J65)</f>
        <v>0</v>
      </c>
      <c r="P65" s="124" t="n">
        <f aca="false">D65/P$3</f>
        <v>0</v>
      </c>
      <c r="Q65" s="124" t="n">
        <f aca="false">E65/P$3</f>
        <v>0</v>
      </c>
      <c r="R65" s="124" t="n">
        <f aca="false">F65/R$3</f>
        <v>0</v>
      </c>
      <c r="S65" s="126" t="n">
        <f aca="false">J65/$R$3</f>
        <v>0</v>
      </c>
      <c r="T65" s="126" t="n">
        <f aca="false">L65/$R$3</f>
        <v>0</v>
      </c>
      <c r="U65" s="126" t="n">
        <f aca="false">I65/$R$3</f>
        <v>0</v>
      </c>
      <c r="V65" s="126" t="n">
        <f aca="false">M65/$R$3</f>
        <v>0</v>
      </c>
      <c r="W65" s="126" t="n">
        <f aca="false">N65/$R$3</f>
        <v>0</v>
      </c>
    </row>
    <row r="66" customFormat="false" ht="12.75" hidden="true" customHeight="false" outlineLevel="0" collapsed="false">
      <c r="A66" s="120" t="n">
        <f aca="false">A65+1</f>
        <v>36952</v>
      </c>
      <c r="B66" s="131" t="str">
        <f aca="false">INDEX('Master Data'!$A$2:$B$8,MATCH(WEEKDAY('MM PLANT'!A66,3),'Master Data'!$A$2:$A$8,0),2)</f>
        <v>F</v>
      </c>
      <c r="D66" s="124" t="n">
        <v>0</v>
      </c>
      <c r="E66" s="124" t="n">
        <v>0</v>
      </c>
      <c r="F66" s="124" t="n">
        <v>0</v>
      </c>
      <c r="G66" s="124" t="n">
        <v>0</v>
      </c>
      <c r="I66" s="124" t="n">
        <f aca="false">IF(MONTH($A66)=MONTH($A65),IF(G66=0,I65,G66),G66)</f>
        <v>0</v>
      </c>
      <c r="J66" s="124" t="n">
        <f aca="false">IF(MONTH($A66)=MONTH($A65),SUM(I66-I65),I66)</f>
        <v>0</v>
      </c>
      <c r="K66" s="124" t="n">
        <f aca="false">IF(WEEKDAY(A66,3)&gt;4,0,(IF(A66&lt;K$2,0,IF(A66&lt;=K$3,1,0))))</f>
        <v>0</v>
      </c>
      <c r="L66" s="124" t="n">
        <f aca="false">J66*K66</f>
        <v>0</v>
      </c>
      <c r="M66" s="124" t="n">
        <f aca="false">SUM(J$6:J66)</f>
        <v>0</v>
      </c>
      <c r="N66" s="124" t="n">
        <f aca="false">SUM(J$6:J66)</f>
        <v>0</v>
      </c>
      <c r="P66" s="124" t="n">
        <f aca="false">D66/P$3</f>
        <v>0</v>
      </c>
      <c r="Q66" s="124" t="n">
        <f aca="false">E66/P$3</f>
        <v>0</v>
      </c>
      <c r="R66" s="124" t="n">
        <f aca="false">F66/R$3</f>
        <v>0</v>
      </c>
      <c r="S66" s="126" t="n">
        <f aca="false">J66/$R$3</f>
        <v>0</v>
      </c>
      <c r="T66" s="126" t="n">
        <f aca="false">L66/$R$3</f>
        <v>0</v>
      </c>
      <c r="U66" s="126" t="n">
        <f aca="false">I66/$R$3</f>
        <v>0</v>
      </c>
      <c r="V66" s="126" t="n">
        <f aca="false">M66/$R$3</f>
        <v>0</v>
      </c>
      <c r="W66" s="126" t="n">
        <f aca="false">N66/$R$3</f>
        <v>0</v>
      </c>
    </row>
    <row r="67" customFormat="false" ht="12.75" hidden="true" customHeight="false" outlineLevel="0" collapsed="false">
      <c r="A67" s="120" t="n">
        <f aca="false">A66+1</f>
        <v>36953</v>
      </c>
      <c r="B67" s="131" t="str">
        <f aca="false">INDEX('Master Data'!$A$2:$B$8,MATCH(WEEKDAY('MM PLANT'!A67,3),'Master Data'!$A$2:$A$8,0),2)</f>
        <v>Sa</v>
      </c>
      <c r="D67" s="124" t="n">
        <v>0</v>
      </c>
      <c r="E67" s="124" t="n">
        <v>0</v>
      </c>
      <c r="F67" s="124" t="n">
        <v>0</v>
      </c>
      <c r="G67" s="124" t="n">
        <v>0</v>
      </c>
      <c r="I67" s="124" t="n">
        <f aca="false">IF(MONTH($A67)=MONTH($A66),IF(G67=0,I66,G67),G67)</f>
        <v>0</v>
      </c>
      <c r="J67" s="124" t="n">
        <f aca="false">IF(MONTH($A67)=MONTH($A66),SUM(I67-I66),I67)</f>
        <v>0</v>
      </c>
      <c r="K67" s="124" t="n">
        <f aca="false">IF(WEEKDAY(A67,3)&gt;4,0,(IF(A67&lt;K$2,0,IF(A67&lt;=K$3,1,0))))</f>
        <v>0</v>
      </c>
      <c r="L67" s="124" t="n">
        <f aca="false">J67*K67</f>
        <v>0</v>
      </c>
      <c r="M67" s="124" t="n">
        <f aca="false">SUM(J$6:J67)</f>
        <v>0</v>
      </c>
      <c r="N67" s="124" t="n">
        <f aca="false">SUM(J$6:J67)</f>
        <v>0</v>
      </c>
      <c r="P67" s="124" t="n">
        <f aca="false">D67/P$3</f>
        <v>0</v>
      </c>
      <c r="Q67" s="124" t="n">
        <f aca="false">E67/P$3</f>
        <v>0</v>
      </c>
      <c r="R67" s="124" t="n">
        <f aca="false">F67/R$3</f>
        <v>0</v>
      </c>
      <c r="S67" s="126" t="n">
        <f aca="false">J67/$R$3</f>
        <v>0</v>
      </c>
      <c r="T67" s="126" t="n">
        <f aca="false">L67/$R$3</f>
        <v>0</v>
      </c>
      <c r="U67" s="126" t="n">
        <f aca="false">I67/$R$3</f>
        <v>0</v>
      </c>
      <c r="V67" s="126" t="n">
        <f aca="false">M67/$R$3</f>
        <v>0</v>
      </c>
      <c r="W67" s="126" t="n">
        <f aca="false">N67/$R$3</f>
        <v>0</v>
      </c>
    </row>
    <row r="68" customFormat="false" ht="12.75" hidden="true" customHeight="false" outlineLevel="0" collapsed="false">
      <c r="A68" s="120" t="n">
        <f aca="false">A67+1</f>
        <v>36954</v>
      </c>
      <c r="B68" s="131" t="str">
        <f aca="false">INDEX('Master Data'!$A$2:$B$8,MATCH(WEEKDAY('MM PLANT'!A68,3),'Master Data'!$A$2:$A$8,0),2)</f>
        <v>Su</v>
      </c>
      <c r="D68" s="124" t="n">
        <v>0</v>
      </c>
      <c r="E68" s="124" t="n">
        <v>0</v>
      </c>
      <c r="F68" s="124" t="n">
        <v>0</v>
      </c>
      <c r="G68" s="124" t="n">
        <v>0</v>
      </c>
      <c r="I68" s="124" t="n">
        <f aca="false">IF(MONTH($A68)=MONTH($A67),IF(G68=0,I67,G68),G68)</f>
        <v>0</v>
      </c>
      <c r="J68" s="124" t="n">
        <f aca="false">IF(MONTH($A68)=MONTH($A67),SUM(I68-I67),I68)</f>
        <v>0</v>
      </c>
      <c r="K68" s="124" t="n">
        <f aca="false">IF(WEEKDAY(A68,3)&gt;4,0,(IF(A68&lt;K$2,0,IF(A68&lt;=K$3,1,0))))</f>
        <v>0</v>
      </c>
      <c r="L68" s="124" t="n">
        <f aca="false">J68*K68</f>
        <v>0</v>
      </c>
      <c r="M68" s="124" t="n">
        <f aca="false">SUM(J$6:J68)</f>
        <v>0</v>
      </c>
      <c r="N68" s="124" t="n">
        <f aca="false">SUM(J$6:J68)</f>
        <v>0</v>
      </c>
      <c r="P68" s="124" t="n">
        <f aca="false">D68/P$3</f>
        <v>0</v>
      </c>
      <c r="Q68" s="124" t="n">
        <f aca="false">E68/P$3</f>
        <v>0</v>
      </c>
      <c r="R68" s="124" t="n">
        <f aca="false">F68/R$3</f>
        <v>0</v>
      </c>
      <c r="S68" s="126" t="n">
        <f aca="false">J68/$R$3</f>
        <v>0</v>
      </c>
      <c r="T68" s="126" t="n">
        <f aca="false">L68/$R$3</f>
        <v>0</v>
      </c>
      <c r="U68" s="126" t="n">
        <f aca="false">I68/$R$3</f>
        <v>0</v>
      </c>
      <c r="V68" s="126" t="n">
        <f aca="false">M68/$R$3</f>
        <v>0</v>
      </c>
      <c r="W68" s="126" t="n">
        <f aca="false">N68/$R$3</f>
        <v>0</v>
      </c>
    </row>
    <row r="69" customFormat="false" ht="12.75" hidden="true" customHeight="false" outlineLevel="0" collapsed="false">
      <c r="A69" s="120" t="n">
        <f aca="false">A68+1</f>
        <v>36955</v>
      </c>
      <c r="B69" s="131" t="str">
        <f aca="false">INDEX('Master Data'!$A$2:$B$8,MATCH(WEEKDAY('MM PLANT'!A69,3),'Master Data'!$A$2:$A$8,0),2)</f>
        <v>M</v>
      </c>
      <c r="D69" s="124" t="n">
        <v>0</v>
      </c>
      <c r="E69" s="124" t="n">
        <v>0</v>
      </c>
      <c r="F69" s="124" t="n">
        <v>0</v>
      </c>
      <c r="G69" s="124" t="n">
        <v>0</v>
      </c>
      <c r="I69" s="124" t="n">
        <f aca="false">IF(MONTH($A69)=MONTH($A68),IF(G69=0,I68,G69),G69)</f>
        <v>0</v>
      </c>
      <c r="J69" s="124" t="n">
        <f aca="false">IF(MONTH($A69)=MONTH($A68),SUM(I69-I68),I69)</f>
        <v>0</v>
      </c>
      <c r="K69" s="124" t="n">
        <f aca="false">IF(WEEKDAY(A69,3)&gt;4,0,(IF(A69&lt;K$2,0,IF(A69&lt;=K$3,1,0))))</f>
        <v>0</v>
      </c>
      <c r="L69" s="124" t="n">
        <f aca="false">J69*K69</f>
        <v>0</v>
      </c>
      <c r="M69" s="124" t="n">
        <f aca="false">SUM(J$6:J69)</f>
        <v>0</v>
      </c>
      <c r="N69" s="124" t="n">
        <f aca="false">SUM(J$6:J69)</f>
        <v>0</v>
      </c>
      <c r="P69" s="124" t="n">
        <f aca="false">D69/P$3</f>
        <v>0</v>
      </c>
      <c r="Q69" s="124" t="n">
        <f aca="false">E69/P$3</f>
        <v>0</v>
      </c>
      <c r="R69" s="124" t="n">
        <f aca="false">F69/R$3</f>
        <v>0</v>
      </c>
      <c r="S69" s="126" t="n">
        <f aca="false">J69/$R$3</f>
        <v>0</v>
      </c>
      <c r="T69" s="126" t="n">
        <f aca="false">L69/$R$3</f>
        <v>0</v>
      </c>
      <c r="U69" s="126" t="n">
        <f aca="false">I69/$R$3</f>
        <v>0</v>
      </c>
      <c r="V69" s="126" t="n">
        <f aca="false">M69/$R$3</f>
        <v>0</v>
      </c>
      <c r="W69" s="126" t="n">
        <f aca="false">N69/$R$3</f>
        <v>0</v>
      </c>
    </row>
    <row r="70" customFormat="false" ht="12.75" hidden="true" customHeight="false" outlineLevel="0" collapsed="false">
      <c r="A70" s="120" t="n">
        <f aca="false">A69+1</f>
        <v>36956</v>
      </c>
      <c r="B70" s="131" t="str">
        <f aca="false">INDEX('Master Data'!$A$2:$B$8,MATCH(WEEKDAY('MM PLANT'!A70,3),'Master Data'!$A$2:$A$8,0),2)</f>
        <v>T</v>
      </c>
      <c r="D70" s="124" t="n">
        <v>0</v>
      </c>
      <c r="E70" s="124" t="n">
        <v>0</v>
      </c>
      <c r="F70" s="124" t="n">
        <v>0</v>
      </c>
      <c r="G70" s="124" t="n">
        <v>0</v>
      </c>
      <c r="I70" s="124" t="n">
        <f aca="false">IF(MONTH($A70)=MONTH($A69),IF(G70=0,I69,G70),G70)</f>
        <v>0</v>
      </c>
      <c r="J70" s="124" t="n">
        <f aca="false">IF(MONTH($A70)=MONTH($A69),SUM(I70-I69),I70)</f>
        <v>0</v>
      </c>
      <c r="K70" s="124" t="n">
        <f aca="false">IF(WEEKDAY(A70,3)&gt;4,0,(IF(A70&lt;K$2,0,IF(A70&lt;=K$3,1,0))))</f>
        <v>0</v>
      </c>
      <c r="L70" s="124" t="n">
        <f aca="false">J70*K70</f>
        <v>0</v>
      </c>
      <c r="M70" s="124" t="n">
        <f aca="false">SUM(J$6:J70)</f>
        <v>0</v>
      </c>
      <c r="N70" s="124" t="n">
        <f aca="false">SUM(J$6:J70)</f>
        <v>0</v>
      </c>
      <c r="P70" s="124" t="n">
        <f aca="false">D70/P$3</f>
        <v>0</v>
      </c>
      <c r="Q70" s="124" t="n">
        <f aca="false">E70/P$3</f>
        <v>0</v>
      </c>
      <c r="R70" s="124" t="n">
        <f aca="false">F70/R$3</f>
        <v>0</v>
      </c>
      <c r="S70" s="126" t="n">
        <f aca="false">J70/$R$3</f>
        <v>0</v>
      </c>
      <c r="T70" s="126" t="n">
        <f aca="false">L70/$R$3</f>
        <v>0</v>
      </c>
      <c r="U70" s="126" t="n">
        <f aca="false">I70/$R$3</f>
        <v>0</v>
      </c>
      <c r="V70" s="126" t="n">
        <f aca="false">M70/$R$3</f>
        <v>0</v>
      </c>
      <c r="W70" s="126" t="n">
        <f aca="false">N70/$R$3</f>
        <v>0</v>
      </c>
    </row>
    <row r="71" customFormat="false" ht="12.75" hidden="true" customHeight="false" outlineLevel="0" collapsed="false">
      <c r="A71" s="120" t="n">
        <f aca="false">A70+1</f>
        <v>36957</v>
      </c>
      <c r="B71" s="131" t="str">
        <f aca="false">INDEX('Master Data'!$A$2:$B$8,MATCH(WEEKDAY('MM PLANT'!A71,3),'Master Data'!$A$2:$A$8,0),2)</f>
        <v>W</v>
      </c>
      <c r="D71" s="124" t="n">
        <v>0</v>
      </c>
      <c r="E71" s="124" t="n">
        <v>0</v>
      </c>
      <c r="F71" s="124" t="n">
        <v>0</v>
      </c>
      <c r="G71" s="124" t="n">
        <v>0</v>
      </c>
      <c r="I71" s="124" t="n">
        <f aca="false">IF(MONTH($A71)=MONTH($A70),IF(G71=0,I70,G71),G71)</f>
        <v>0</v>
      </c>
      <c r="J71" s="124" t="n">
        <f aca="false">IF(MONTH($A71)=MONTH($A70),SUM(I71-I70),I71)</f>
        <v>0</v>
      </c>
      <c r="K71" s="124" t="n">
        <f aca="false">IF(WEEKDAY(A71,3)&gt;4,0,(IF(A71&lt;K$2,0,IF(A71&lt;=K$3,1,0))))</f>
        <v>0</v>
      </c>
      <c r="L71" s="124" t="n">
        <f aca="false">J71*K71</f>
        <v>0</v>
      </c>
      <c r="M71" s="124" t="n">
        <f aca="false">SUM(J$6:J71)</f>
        <v>0</v>
      </c>
      <c r="N71" s="124" t="n">
        <f aca="false">SUM(J$6:J71)</f>
        <v>0</v>
      </c>
      <c r="P71" s="124" t="n">
        <f aca="false">D71/P$3</f>
        <v>0</v>
      </c>
      <c r="Q71" s="124" t="n">
        <f aca="false">E71/P$3</f>
        <v>0</v>
      </c>
      <c r="R71" s="124" t="n">
        <f aca="false">F71/R$3</f>
        <v>0</v>
      </c>
      <c r="S71" s="126" t="n">
        <f aca="false">J71/$R$3</f>
        <v>0</v>
      </c>
      <c r="T71" s="126" t="n">
        <f aca="false">L71/$R$3</f>
        <v>0</v>
      </c>
      <c r="U71" s="126" t="n">
        <f aca="false">I71/$R$3</f>
        <v>0</v>
      </c>
      <c r="V71" s="126" t="n">
        <f aca="false">M71/$R$3</f>
        <v>0</v>
      </c>
      <c r="W71" s="126" t="n">
        <f aca="false">N71/$R$3</f>
        <v>0</v>
      </c>
    </row>
    <row r="72" customFormat="false" ht="12.75" hidden="true" customHeight="false" outlineLevel="0" collapsed="false">
      <c r="A72" s="120" t="n">
        <f aca="false">A71+1</f>
        <v>36958</v>
      </c>
      <c r="B72" s="131" t="str">
        <f aca="false">INDEX('Master Data'!$A$2:$B$8,MATCH(WEEKDAY('MM PLANT'!A72,3),'Master Data'!$A$2:$A$8,0),2)</f>
        <v>Th</v>
      </c>
      <c r="D72" s="124" t="n">
        <v>0</v>
      </c>
      <c r="E72" s="124" t="n">
        <v>0</v>
      </c>
      <c r="F72" s="124" t="n">
        <v>0</v>
      </c>
      <c r="G72" s="124" t="n">
        <v>0</v>
      </c>
      <c r="I72" s="124" t="n">
        <f aca="false">IF(MONTH($A72)=MONTH($A71),IF(G72=0,I71,G72),G72)</f>
        <v>0</v>
      </c>
      <c r="J72" s="124" t="n">
        <f aca="false">IF(MONTH($A72)=MONTH($A71),SUM(I72-I71),I72)</f>
        <v>0</v>
      </c>
      <c r="K72" s="124" t="n">
        <f aca="false">IF(WEEKDAY(A72,3)&gt;4,0,(IF(A72&lt;K$2,0,IF(A72&lt;=K$3,1,0))))</f>
        <v>0</v>
      </c>
      <c r="L72" s="124" t="n">
        <f aca="false">J72*K72</f>
        <v>0</v>
      </c>
      <c r="M72" s="124" t="n">
        <f aca="false">SUM(J$6:J72)</f>
        <v>0</v>
      </c>
      <c r="N72" s="124" t="n">
        <f aca="false">SUM(J$6:J72)</f>
        <v>0</v>
      </c>
      <c r="P72" s="124" t="n">
        <f aca="false">D72/P$3</f>
        <v>0</v>
      </c>
      <c r="Q72" s="124" t="n">
        <f aca="false">E72/P$3</f>
        <v>0</v>
      </c>
      <c r="R72" s="124" t="n">
        <f aca="false">F72/R$3</f>
        <v>0</v>
      </c>
      <c r="S72" s="126" t="n">
        <f aca="false">J72/$R$3</f>
        <v>0</v>
      </c>
      <c r="T72" s="126" t="n">
        <f aca="false">L72/$R$3</f>
        <v>0</v>
      </c>
      <c r="U72" s="126" t="n">
        <f aca="false">I72/$R$3</f>
        <v>0</v>
      </c>
      <c r="V72" s="126" t="n">
        <f aca="false">M72/$R$3</f>
        <v>0</v>
      </c>
      <c r="W72" s="126" t="n">
        <f aca="false">N72/$R$3</f>
        <v>0</v>
      </c>
    </row>
    <row r="73" customFormat="false" ht="12.75" hidden="true" customHeight="false" outlineLevel="0" collapsed="false">
      <c r="A73" s="120" t="n">
        <f aca="false">A72+1</f>
        <v>36959</v>
      </c>
      <c r="B73" s="131" t="str">
        <f aca="false">INDEX('Master Data'!$A$2:$B$8,MATCH(WEEKDAY('MM PLANT'!A73,3),'Master Data'!$A$2:$A$8,0),2)</f>
        <v>F</v>
      </c>
      <c r="D73" s="124" t="n">
        <v>0</v>
      </c>
      <c r="E73" s="124" t="n">
        <v>0</v>
      </c>
      <c r="F73" s="124" t="n">
        <v>0</v>
      </c>
      <c r="G73" s="124" t="n">
        <v>0</v>
      </c>
      <c r="I73" s="124" t="n">
        <f aca="false">IF(MONTH($A73)=MONTH($A72),IF(G73=0,I72,G73),G73)</f>
        <v>0</v>
      </c>
      <c r="J73" s="124" t="n">
        <f aca="false">IF(MONTH($A73)=MONTH($A72),SUM(I73-I72),I73)</f>
        <v>0</v>
      </c>
      <c r="K73" s="124" t="n">
        <f aca="false">IF(WEEKDAY(A73,3)&gt;4,0,(IF(A73&lt;K$2,0,IF(A73&lt;=K$3,1,0))))</f>
        <v>0</v>
      </c>
      <c r="L73" s="124" t="n">
        <f aca="false">J73*K73</f>
        <v>0</v>
      </c>
      <c r="M73" s="124" t="n">
        <f aca="false">SUM(J$6:J73)</f>
        <v>0</v>
      </c>
      <c r="N73" s="124" t="n">
        <f aca="false">SUM(J$6:J73)</f>
        <v>0</v>
      </c>
      <c r="P73" s="124" t="n">
        <f aca="false">D73/P$3</f>
        <v>0</v>
      </c>
      <c r="Q73" s="124" t="n">
        <f aca="false">E73/P$3</f>
        <v>0</v>
      </c>
      <c r="R73" s="124" t="n">
        <f aca="false">F73/R$3</f>
        <v>0</v>
      </c>
      <c r="S73" s="126" t="n">
        <f aca="false">J73/$R$3</f>
        <v>0</v>
      </c>
      <c r="T73" s="126" t="n">
        <f aca="false">L73/$R$3</f>
        <v>0</v>
      </c>
      <c r="U73" s="126" t="n">
        <f aca="false">I73/$R$3</f>
        <v>0</v>
      </c>
      <c r="V73" s="126" t="n">
        <f aca="false">M73/$R$3</f>
        <v>0</v>
      </c>
      <c r="W73" s="126" t="n">
        <f aca="false">N73/$R$3</f>
        <v>0</v>
      </c>
    </row>
    <row r="74" customFormat="false" ht="12.75" hidden="true" customHeight="false" outlineLevel="0" collapsed="false">
      <c r="A74" s="120" t="n">
        <f aca="false">A73+1</f>
        <v>36960</v>
      </c>
      <c r="B74" s="131" t="str">
        <f aca="false">INDEX('Master Data'!$A$2:$B$8,MATCH(WEEKDAY('MM PLANT'!A74,3),'Master Data'!$A$2:$A$8,0),2)</f>
        <v>Sa</v>
      </c>
      <c r="D74" s="124" t="n">
        <v>0</v>
      </c>
      <c r="E74" s="124" t="n">
        <v>0</v>
      </c>
      <c r="F74" s="124" t="n">
        <v>0</v>
      </c>
      <c r="G74" s="124" t="n">
        <v>0</v>
      </c>
      <c r="I74" s="124" t="n">
        <f aca="false">IF(MONTH($A74)=MONTH($A73),IF(G74=0,I73,G74),G74)</f>
        <v>0</v>
      </c>
      <c r="J74" s="124" t="n">
        <f aca="false">IF(MONTH($A74)=MONTH($A73),SUM(I74-I73),I74)</f>
        <v>0</v>
      </c>
      <c r="K74" s="124" t="n">
        <f aca="false">IF(WEEKDAY(A74,3)&gt;4,0,(IF(A74&lt;K$2,0,IF(A74&lt;=K$3,1,0))))</f>
        <v>0</v>
      </c>
      <c r="L74" s="124" t="n">
        <f aca="false">J74*K74</f>
        <v>0</v>
      </c>
      <c r="M74" s="124" t="n">
        <f aca="false">SUM(J$6:J74)</f>
        <v>0</v>
      </c>
      <c r="N74" s="124" t="n">
        <f aca="false">SUM(J$6:J74)</f>
        <v>0</v>
      </c>
      <c r="P74" s="124" t="n">
        <f aca="false">D74/P$3</f>
        <v>0</v>
      </c>
      <c r="Q74" s="124" t="n">
        <f aca="false">E74/P$3</f>
        <v>0</v>
      </c>
      <c r="R74" s="124" t="n">
        <f aca="false">F74/R$3</f>
        <v>0</v>
      </c>
      <c r="S74" s="126" t="n">
        <f aca="false">J74/$R$3</f>
        <v>0</v>
      </c>
      <c r="T74" s="126" t="n">
        <f aca="false">L74/$R$3</f>
        <v>0</v>
      </c>
      <c r="U74" s="126" t="n">
        <f aca="false">I74/$R$3</f>
        <v>0</v>
      </c>
      <c r="V74" s="126" t="n">
        <f aca="false">M74/$R$3</f>
        <v>0</v>
      </c>
      <c r="W74" s="126" t="n">
        <f aca="false">N74/$R$3</f>
        <v>0</v>
      </c>
    </row>
    <row r="75" customFormat="false" ht="12.75" hidden="true" customHeight="false" outlineLevel="0" collapsed="false">
      <c r="A75" s="120" t="n">
        <f aca="false">A74+1</f>
        <v>36961</v>
      </c>
      <c r="B75" s="131" t="str">
        <f aca="false">INDEX('Master Data'!$A$2:$B$8,MATCH(WEEKDAY('MM PLANT'!A75,3),'Master Data'!$A$2:$A$8,0),2)</f>
        <v>Su</v>
      </c>
      <c r="D75" s="124" t="n">
        <v>0</v>
      </c>
      <c r="E75" s="124" t="n">
        <v>0</v>
      </c>
      <c r="F75" s="124" t="n">
        <v>0</v>
      </c>
      <c r="G75" s="124" t="n">
        <v>0</v>
      </c>
      <c r="I75" s="124" t="n">
        <f aca="false">IF(MONTH($A75)=MONTH($A74),IF(G75=0,I74,G75),G75)</f>
        <v>0</v>
      </c>
      <c r="J75" s="124" t="n">
        <f aca="false">IF(MONTH($A75)=MONTH($A74),SUM(I75-I74),I75)</f>
        <v>0</v>
      </c>
      <c r="K75" s="124" t="n">
        <f aca="false">IF(WEEKDAY(A75,3)&gt;4,0,(IF(A75&lt;K$2,0,IF(A75&lt;=K$3,1,0))))</f>
        <v>0</v>
      </c>
      <c r="L75" s="124" t="n">
        <f aca="false">J75*K75</f>
        <v>0</v>
      </c>
      <c r="M75" s="124" t="n">
        <f aca="false">SUM(J$6:J75)</f>
        <v>0</v>
      </c>
      <c r="N75" s="124" t="n">
        <f aca="false">SUM(J$6:J75)</f>
        <v>0</v>
      </c>
      <c r="P75" s="124" t="n">
        <f aca="false">D75/P$3</f>
        <v>0</v>
      </c>
      <c r="Q75" s="124" t="n">
        <f aca="false">E75/P$3</f>
        <v>0</v>
      </c>
      <c r="R75" s="124" t="n">
        <f aca="false">F75/R$3</f>
        <v>0</v>
      </c>
      <c r="S75" s="126" t="n">
        <f aca="false">J75/$R$3</f>
        <v>0</v>
      </c>
      <c r="T75" s="126" t="n">
        <f aca="false">L75/$R$3</f>
        <v>0</v>
      </c>
      <c r="U75" s="126" t="n">
        <f aca="false">I75/$R$3</f>
        <v>0</v>
      </c>
      <c r="V75" s="126" t="n">
        <f aca="false">M75/$R$3</f>
        <v>0</v>
      </c>
      <c r="W75" s="126" t="n">
        <f aca="false">N75/$R$3</f>
        <v>0</v>
      </c>
    </row>
    <row r="76" customFormat="false" ht="12.75" hidden="true" customHeight="false" outlineLevel="0" collapsed="false">
      <c r="A76" s="120" t="n">
        <f aca="false">A75+1</f>
        <v>36962</v>
      </c>
      <c r="B76" s="131" t="str">
        <f aca="false">INDEX('Master Data'!$A$2:$B$8,MATCH(WEEKDAY('MM PLANT'!A76,3),'Master Data'!$A$2:$A$8,0),2)</f>
        <v>M</v>
      </c>
      <c r="D76" s="124" t="n">
        <v>0</v>
      </c>
      <c r="E76" s="124" t="n">
        <v>0</v>
      </c>
      <c r="F76" s="124" t="n">
        <v>0</v>
      </c>
      <c r="G76" s="124" t="n">
        <v>0</v>
      </c>
      <c r="I76" s="124" t="n">
        <f aca="false">IF(MONTH($A76)=MONTH($A75),IF(G76=0,I75,G76),G76)</f>
        <v>0</v>
      </c>
      <c r="J76" s="124" t="n">
        <f aca="false">IF(MONTH($A76)=MONTH($A75),SUM(I76-I75),I76)</f>
        <v>0</v>
      </c>
      <c r="K76" s="124" t="n">
        <f aca="false">IF(WEEKDAY(A76,3)&gt;4,0,(IF(A76&lt;K$2,0,IF(A76&lt;=K$3,1,0))))</f>
        <v>0</v>
      </c>
      <c r="L76" s="124" t="n">
        <f aca="false">J76*K76</f>
        <v>0</v>
      </c>
      <c r="M76" s="124" t="n">
        <f aca="false">SUM(J$6:J76)</f>
        <v>0</v>
      </c>
      <c r="N76" s="124" t="n">
        <f aca="false">SUM(J$6:J76)</f>
        <v>0</v>
      </c>
      <c r="P76" s="124" t="n">
        <f aca="false">D76/P$3</f>
        <v>0</v>
      </c>
      <c r="Q76" s="124" t="n">
        <f aca="false">E76/P$3</f>
        <v>0</v>
      </c>
      <c r="R76" s="124" t="n">
        <f aca="false">F76/R$3</f>
        <v>0</v>
      </c>
      <c r="S76" s="126" t="n">
        <f aca="false">J76/$R$3</f>
        <v>0</v>
      </c>
      <c r="T76" s="126" t="n">
        <f aca="false">L76/$R$3</f>
        <v>0</v>
      </c>
      <c r="U76" s="126" t="n">
        <f aca="false">I76/$R$3</f>
        <v>0</v>
      </c>
      <c r="V76" s="126" t="n">
        <f aca="false">M76/$R$3</f>
        <v>0</v>
      </c>
      <c r="W76" s="126" t="n">
        <f aca="false">N76/$R$3</f>
        <v>0</v>
      </c>
    </row>
    <row r="77" customFormat="false" ht="12.75" hidden="true" customHeight="false" outlineLevel="0" collapsed="false">
      <c r="A77" s="120" t="n">
        <f aca="false">A76+1</f>
        <v>36963</v>
      </c>
      <c r="B77" s="131" t="str">
        <f aca="false">INDEX('Master Data'!$A$2:$B$8,MATCH(WEEKDAY('MM PLANT'!A77,3),'Master Data'!$A$2:$A$8,0),2)</f>
        <v>T</v>
      </c>
      <c r="D77" s="124" t="n">
        <v>0</v>
      </c>
      <c r="E77" s="124" t="n">
        <v>0</v>
      </c>
      <c r="F77" s="124" t="n">
        <v>0</v>
      </c>
      <c r="G77" s="124" t="n">
        <v>0</v>
      </c>
      <c r="I77" s="124" t="n">
        <f aca="false">IF(MONTH($A77)=MONTH($A76),IF(G77=0,I76,G77),G77)</f>
        <v>0</v>
      </c>
      <c r="J77" s="124" t="n">
        <f aca="false">IF(MONTH($A77)=MONTH($A76),SUM(I77-I76),I77)</f>
        <v>0</v>
      </c>
      <c r="K77" s="124" t="n">
        <f aca="false">IF(WEEKDAY(A77,3)&gt;4,0,(IF(A77&lt;K$2,0,IF(A77&lt;=K$3,1,0))))</f>
        <v>0</v>
      </c>
      <c r="L77" s="124" t="n">
        <f aca="false">J77*K77</f>
        <v>0</v>
      </c>
      <c r="M77" s="124" t="n">
        <f aca="false">SUM(J$6:J77)</f>
        <v>0</v>
      </c>
      <c r="N77" s="124" t="n">
        <f aca="false">SUM(J$6:J77)</f>
        <v>0</v>
      </c>
      <c r="P77" s="124" t="n">
        <f aca="false">D77/P$3</f>
        <v>0</v>
      </c>
      <c r="Q77" s="124" t="n">
        <f aca="false">E77/P$3</f>
        <v>0</v>
      </c>
      <c r="R77" s="124" t="n">
        <f aca="false">F77/R$3</f>
        <v>0</v>
      </c>
      <c r="S77" s="126" t="n">
        <f aca="false">J77/$R$3</f>
        <v>0</v>
      </c>
      <c r="T77" s="126" t="n">
        <f aca="false">L77/$R$3</f>
        <v>0</v>
      </c>
      <c r="U77" s="126" t="n">
        <f aca="false">I77/$R$3</f>
        <v>0</v>
      </c>
      <c r="V77" s="126" t="n">
        <f aca="false">M77/$R$3</f>
        <v>0</v>
      </c>
      <c r="W77" s="126" t="n">
        <f aca="false">N77/$R$3</f>
        <v>0</v>
      </c>
    </row>
    <row r="78" customFormat="false" ht="12.75" hidden="true" customHeight="false" outlineLevel="0" collapsed="false">
      <c r="A78" s="120" t="n">
        <f aca="false">A77+1</f>
        <v>36964</v>
      </c>
      <c r="B78" s="131" t="str">
        <f aca="false">INDEX('Master Data'!$A$2:$B$8,MATCH(WEEKDAY('MM PLANT'!A78,3),'Master Data'!$A$2:$A$8,0),2)</f>
        <v>W</v>
      </c>
      <c r="D78" s="124" t="n">
        <v>0</v>
      </c>
      <c r="E78" s="124" t="n">
        <v>0</v>
      </c>
      <c r="F78" s="124" t="n">
        <v>0</v>
      </c>
      <c r="G78" s="124" t="n">
        <v>0</v>
      </c>
      <c r="I78" s="124" t="n">
        <f aca="false">IF(MONTH($A78)=MONTH($A77),IF(G78=0,I77,G78),G78)</f>
        <v>0</v>
      </c>
      <c r="J78" s="124" t="n">
        <f aca="false">IF(MONTH($A78)=MONTH($A77),SUM(I78-I77),I78)</f>
        <v>0</v>
      </c>
      <c r="K78" s="124" t="n">
        <f aca="false">IF(WEEKDAY(A78,3)&gt;4,0,(IF(A78&lt;K$2,0,IF(A78&lt;=K$3,1,0))))</f>
        <v>0</v>
      </c>
      <c r="L78" s="124" t="n">
        <f aca="false">J78*K78</f>
        <v>0</v>
      </c>
      <c r="M78" s="124" t="n">
        <f aca="false">SUM(J$6:J78)</f>
        <v>0</v>
      </c>
      <c r="N78" s="124" t="n">
        <f aca="false">SUM(J$6:J78)</f>
        <v>0</v>
      </c>
      <c r="P78" s="124" t="n">
        <f aca="false">D78/P$3</f>
        <v>0</v>
      </c>
      <c r="Q78" s="124" t="n">
        <f aca="false">E78/P$3</f>
        <v>0</v>
      </c>
      <c r="R78" s="124" t="n">
        <f aca="false">F78/R$3</f>
        <v>0</v>
      </c>
      <c r="S78" s="126" t="n">
        <f aca="false">J78/$R$3</f>
        <v>0</v>
      </c>
      <c r="T78" s="126" t="n">
        <f aca="false">L78/$R$3</f>
        <v>0</v>
      </c>
      <c r="U78" s="126" t="n">
        <f aca="false">I78/$R$3</f>
        <v>0</v>
      </c>
      <c r="V78" s="126" t="n">
        <f aca="false">M78/$R$3</f>
        <v>0</v>
      </c>
      <c r="W78" s="126" t="n">
        <f aca="false">N78/$R$3</f>
        <v>0</v>
      </c>
    </row>
    <row r="79" customFormat="false" ht="12.75" hidden="true" customHeight="false" outlineLevel="0" collapsed="false">
      <c r="A79" s="120" t="n">
        <f aca="false">A78+1</f>
        <v>36965</v>
      </c>
      <c r="B79" s="131" t="str">
        <f aca="false">INDEX('Master Data'!$A$2:$B$8,MATCH(WEEKDAY('MM PLANT'!A79,3),'Master Data'!$A$2:$A$8,0),2)</f>
        <v>Th</v>
      </c>
      <c r="D79" s="124" t="n">
        <v>0</v>
      </c>
      <c r="E79" s="124" t="n">
        <v>0</v>
      </c>
      <c r="F79" s="124" t="n">
        <v>0</v>
      </c>
      <c r="G79" s="124" t="n">
        <v>0</v>
      </c>
      <c r="I79" s="124" t="n">
        <f aca="false">IF(MONTH($A79)=MONTH($A78),IF(G79=0,I78,G79),G79)</f>
        <v>0</v>
      </c>
      <c r="J79" s="124" t="n">
        <f aca="false">IF(MONTH($A79)=MONTH($A78),SUM(I79-I78),I79)</f>
        <v>0</v>
      </c>
      <c r="K79" s="124" t="n">
        <f aca="false">IF(WEEKDAY(A79,3)&gt;4,0,(IF(A79&lt;K$2,0,IF(A79&lt;=K$3,1,0))))</f>
        <v>0</v>
      </c>
      <c r="L79" s="124" t="n">
        <f aca="false">J79*K79</f>
        <v>0</v>
      </c>
      <c r="M79" s="124" t="n">
        <f aca="false">SUM(J$6:J79)</f>
        <v>0</v>
      </c>
      <c r="N79" s="124" t="n">
        <f aca="false">SUM(J$6:J79)</f>
        <v>0</v>
      </c>
      <c r="P79" s="124" t="n">
        <f aca="false">D79/P$3</f>
        <v>0</v>
      </c>
      <c r="Q79" s="124" t="n">
        <f aca="false">E79/P$3</f>
        <v>0</v>
      </c>
      <c r="R79" s="124" t="n">
        <f aca="false">F79/R$3</f>
        <v>0</v>
      </c>
      <c r="S79" s="126" t="n">
        <f aca="false">J79/$R$3</f>
        <v>0</v>
      </c>
      <c r="T79" s="126" t="n">
        <f aca="false">L79/$R$3</f>
        <v>0</v>
      </c>
      <c r="U79" s="126" t="n">
        <f aca="false">I79/$R$3</f>
        <v>0</v>
      </c>
      <c r="V79" s="126" t="n">
        <f aca="false">M79/$R$3</f>
        <v>0</v>
      </c>
      <c r="W79" s="126" t="n">
        <f aca="false">N79/$R$3</f>
        <v>0</v>
      </c>
    </row>
    <row r="80" customFormat="false" ht="12.75" hidden="true" customHeight="false" outlineLevel="0" collapsed="false">
      <c r="A80" s="120" t="n">
        <f aca="false">A79+1</f>
        <v>36966</v>
      </c>
      <c r="B80" s="131" t="str">
        <f aca="false">INDEX('Master Data'!$A$2:$B$8,MATCH(WEEKDAY('MM PLANT'!A80,3),'Master Data'!$A$2:$A$8,0),2)</f>
        <v>F</v>
      </c>
      <c r="D80" s="124" t="n">
        <v>0</v>
      </c>
      <c r="E80" s="124" t="n">
        <v>0</v>
      </c>
      <c r="F80" s="124" t="n">
        <v>0</v>
      </c>
      <c r="G80" s="124" t="n">
        <v>0</v>
      </c>
      <c r="I80" s="124" t="n">
        <f aca="false">IF(MONTH($A80)=MONTH($A79),IF(G80=0,I79,G80),G80)</f>
        <v>0</v>
      </c>
      <c r="J80" s="124" t="n">
        <f aca="false">IF(MONTH($A80)=MONTH($A79),SUM(I80-I79),I80)</f>
        <v>0</v>
      </c>
      <c r="K80" s="124" t="n">
        <f aca="false">IF(WEEKDAY(A80,3)&gt;4,0,(IF(A80&lt;K$2,0,IF(A80&lt;=K$3,1,0))))</f>
        <v>0</v>
      </c>
      <c r="L80" s="124" t="n">
        <f aca="false">J80*K80</f>
        <v>0</v>
      </c>
      <c r="M80" s="124" t="n">
        <f aca="false">SUM(J$6:J80)</f>
        <v>0</v>
      </c>
      <c r="N80" s="124" t="n">
        <f aca="false">SUM(J$6:J80)</f>
        <v>0</v>
      </c>
      <c r="P80" s="124" t="n">
        <f aca="false">D80/P$3</f>
        <v>0</v>
      </c>
      <c r="Q80" s="124" t="n">
        <f aca="false">E80/P$3</f>
        <v>0</v>
      </c>
      <c r="R80" s="124" t="n">
        <f aca="false">F80/R$3</f>
        <v>0</v>
      </c>
      <c r="S80" s="126" t="n">
        <f aca="false">J80/$R$3</f>
        <v>0</v>
      </c>
      <c r="T80" s="126" t="n">
        <f aca="false">L80/$R$3</f>
        <v>0</v>
      </c>
      <c r="U80" s="126" t="n">
        <f aca="false">I80/$R$3</f>
        <v>0</v>
      </c>
      <c r="V80" s="126" t="n">
        <f aca="false">M80/$R$3</f>
        <v>0</v>
      </c>
      <c r="W80" s="126" t="n">
        <f aca="false">N80/$R$3</f>
        <v>0</v>
      </c>
    </row>
    <row r="81" customFormat="false" ht="12.75" hidden="true" customHeight="false" outlineLevel="0" collapsed="false">
      <c r="A81" s="120" t="n">
        <f aca="false">A80+1</f>
        <v>36967</v>
      </c>
      <c r="B81" s="131" t="str">
        <f aca="false">INDEX('Master Data'!$A$2:$B$8,MATCH(WEEKDAY('MM PLANT'!A81,3),'Master Data'!$A$2:$A$8,0),2)</f>
        <v>Sa</v>
      </c>
      <c r="D81" s="124" t="n">
        <v>0</v>
      </c>
      <c r="E81" s="124" t="n">
        <v>0</v>
      </c>
      <c r="F81" s="124" t="n">
        <v>0</v>
      </c>
      <c r="G81" s="124" t="n">
        <v>0</v>
      </c>
      <c r="I81" s="124" t="n">
        <f aca="false">IF(MONTH($A81)=MONTH($A80),IF(G81=0,I80,G81),G81)</f>
        <v>0</v>
      </c>
      <c r="J81" s="124" t="n">
        <f aca="false">IF(MONTH($A81)=MONTH($A80),SUM(I81-I80),I81)</f>
        <v>0</v>
      </c>
      <c r="K81" s="124" t="n">
        <f aca="false">IF(WEEKDAY(A81,3)&gt;4,0,(IF(A81&lt;K$2,0,IF(A81&lt;=K$3,1,0))))</f>
        <v>0</v>
      </c>
      <c r="L81" s="124" t="n">
        <f aca="false">J81*K81</f>
        <v>0</v>
      </c>
      <c r="M81" s="124" t="n">
        <f aca="false">SUM(J$6:J81)</f>
        <v>0</v>
      </c>
      <c r="N81" s="124" t="n">
        <f aca="false">SUM(J$6:J81)</f>
        <v>0</v>
      </c>
      <c r="P81" s="124" t="n">
        <f aca="false">D81/P$3</f>
        <v>0</v>
      </c>
      <c r="Q81" s="124" t="n">
        <f aca="false">E81/P$3</f>
        <v>0</v>
      </c>
      <c r="R81" s="124" t="n">
        <f aca="false">F81/R$3</f>
        <v>0</v>
      </c>
      <c r="S81" s="126" t="n">
        <f aca="false">J81/$R$3</f>
        <v>0</v>
      </c>
      <c r="T81" s="126" t="n">
        <f aca="false">L81/$R$3</f>
        <v>0</v>
      </c>
      <c r="U81" s="126" t="n">
        <f aca="false">I81/$R$3</f>
        <v>0</v>
      </c>
      <c r="V81" s="126" t="n">
        <f aca="false">M81/$R$3</f>
        <v>0</v>
      </c>
      <c r="W81" s="126" t="n">
        <f aca="false">N81/$R$3</f>
        <v>0</v>
      </c>
    </row>
    <row r="82" customFormat="false" ht="12.75" hidden="true" customHeight="false" outlineLevel="0" collapsed="false">
      <c r="A82" s="120" t="n">
        <f aca="false">A81+1</f>
        <v>36968</v>
      </c>
      <c r="B82" s="131" t="str">
        <f aca="false">INDEX('Master Data'!$A$2:$B$8,MATCH(WEEKDAY('MM PLANT'!A82,3),'Master Data'!$A$2:$A$8,0),2)</f>
        <v>Su</v>
      </c>
      <c r="D82" s="124" t="n">
        <v>0</v>
      </c>
      <c r="E82" s="124" t="n">
        <v>0</v>
      </c>
      <c r="F82" s="124" t="n">
        <v>0</v>
      </c>
      <c r="G82" s="124" t="n">
        <v>0</v>
      </c>
      <c r="I82" s="124" t="n">
        <f aca="false">IF(MONTH($A82)=MONTH($A81),IF(G82=0,I81,G82),G82)</f>
        <v>0</v>
      </c>
      <c r="J82" s="124" t="n">
        <f aca="false">IF(MONTH($A82)=MONTH($A81),SUM(I82-I81),I82)</f>
        <v>0</v>
      </c>
      <c r="K82" s="124" t="n">
        <f aca="false">IF(WEEKDAY(A82,3)&gt;4,0,(IF(A82&lt;K$2,0,IF(A82&lt;=K$3,1,0))))</f>
        <v>0</v>
      </c>
      <c r="L82" s="124" t="n">
        <f aca="false">J82*K82</f>
        <v>0</v>
      </c>
      <c r="M82" s="124" t="n">
        <f aca="false">SUM(J$6:J82)</f>
        <v>0</v>
      </c>
      <c r="N82" s="124" t="n">
        <f aca="false">SUM(J$6:J82)</f>
        <v>0</v>
      </c>
      <c r="P82" s="124" t="n">
        <f aca="false">D82/P$3</f>
        <v>0</v>
      </c>
      <c r="Q82" s="124" t="n">
        <f aca="false">E82/P$3</f>
        <v>0</v>
      </c>
      <c r="R82" s="124" t="n">
        <f aca="false">F82/R$3</f>
        <v>0</v>
      </c>
      <c r="S82" s="126" t="n">
        <f aca="false">J82/$R$3</f>
        <v>0</v>
      </c>
      <c r="T82" s="126" t="n">
        <f aca="false">L82/$R$3</f>
        <v>0</v>
      </c>
      <c r="U82" s="126" t="n">
        <f aca="false">I82/$R$3</f>
        <v>0</v>
      </c>
      <c r="V82" s="126" t="n">
        <f aca="false">M82/$R$3</f>
        <v>0</v>
      </c>
      <c r="W82" s="126" t="n">
        <f aca="false">N82/$R$3</f>
        <v>0</v>
      </c>
    </row>
    <row r="83" customFormat="false" ht="12.75" hidden="true" customHeight="false" outlineLevel="0" collapsed="false">
      <c r="A83" s="120" t="n">
        <f aca="false">A82+1</f>
        <v>36969</v>
      </c>
      <c r="B83" s="131" t="str">
        <f aca="false">INDEX('Master Data'!$A$2:$B$8,MATCH(WEEKDAY('MM PLANT'!A83,3),'Master Data'!$A$2:$A$8,0),2)</f>
        <v>M</v>
      </c>
      <c r="D83" s="124" t="n">
        <v>0</v>
      </c>
      <c r="E83" s="124" t="n">
        <v>0</v>
      </c>
      <c r="F83" s="124" t="n">
        <v>0</v>
      </c>
      <c r="G83" s="124" t="n">
        <v>0</v>
      </c>
      <c r="I83" s="124" t="n">
        <f aca="false">IF(MONTH($A83)=MONTH($A82),IF(G83=0,I82,G83),G83)</f>
        <v>0</v>
      </c>
      <c r="J83" s="124" t="n">
        <f aca="false">IF(MONTH($A83)=MONTH($A82),SUM(I83-I82),I83)</f>
        <v>0</v>
      </c>
      <c r="K83" s="124" t="n">
        <f aca="false">IF(WEEKDAY(A83,3)&gt;4,0,(IF(A83&lt;K$2,0,IF(A83&lt;=K$3,1,0))))</f>
        <v>0</v>
      </c>
      <c r="L83" s="124" t="n">
        <f aca="false">J83*K83</f>
        <v>0</v>
      </c>
      <c r="M83" s="124" t="n">
        <f aca="false">SUM(J$6:J83)</f>
        <v>0</v>
      </c>
      <c r="N83" s="124" t="n">
        <f aca="false">SUM(J$6:J83)</f>
        <v>0</v>
      </c>
      <c r="P83" s="124" t="n">
        <f aca="false">D83/P$3</f>
        <v>0</v>
      </c>
      <c r="Q83" s="124" t="n">
        <f aca="false">E83/P$3</f>
        <v>0</v>
      </c>
      <c r="R83" s="124" t="n">
        <f aca="false">F83/R$3</f>
        <v>0</v>
      </c>
      <c r="S83" s="126" t="n">
        <f aca="false">J83/$R$3</f>
        <v>0</v>
      </c>
      <c r="T83" s="126" t="n">
        <f aca="false">L83/$R$3</f>
        <v>0</v>
      </c>
      <c r="U83" s="126" t="n">
        <f aca="false">I83/$R$3</f>
        <v>0</v>
      </c>
      <c r="V83" s="126" t="n">
        <f aca="false">M83/$R$3</f>
        <v>0</v>
      </c>
      <c r="W83" s="126" t="n">
        <f aca="false">N83/$R$3</f>
        <v>0</v>
      </c>
    </row>
    <row r="84" customFormat="false" ht="12.75" hidden="true" customHeight="false" outlineLevel="0" collapsed="false">
      <c r="A84" s="120" t="n">
        <f aca="false">A83+1</f>
        <v>36970</v>
      </c>
      <c r="B84" s="131" t="str">
        <f aca="false">INDEX('Master Data'!$A$2:$B$8,MATCH(WEEKDAY('MM PLANT'!A84,3),'Master Data'!$A$2:$A$8,0),2)</f>
        <v>T</v>
      </c>
      <c r="D84" s="124" t="n">
        <v>0</v>
      </c>
      <c r="E84" s="124" t="n">
        <v>0</v>
      </c>
      <c r="F84" s="124" t="n">
        <v>0</v>
      </c>
      <c r="G84" s="124" t="n">
        <v>0</v>
      </c>
      <c r="I84" s="124" t="n">
        <f aca="false">IF(MONTH($A84)=MONTH($A83),IF(G84=0,I83,G84),G84)</f>
        <v>0</v>
      </c>
      <c r="J84" s="124" t="n">
        <f aca="false">IF(MONTH($A84)=MONTH($A83),SUM(I84-I83),I84)</f>
        <v>0</v>
      </c>
      <c r="K84" s="124" t="n">
        <f aca="false">IF(WEEKDAY(A84,3)&gt;4,0,(IF(A84&lt;K$2,0,IF(A84&lt;=K$3,1,0))))</f>
        <v>0</v>
      </c>
      <c r="L84" s="124" t="n">
        <f aca="false">J84*K84</f>
        <v>0</v>
      </c>
      <c r="M84" s="124" t="n">
        <f aca="false">SUM(J$6:J84)</f>
        <v>0</v>
      </c>
      <c r="N84" s="124" t="n">
        <f aca="false">SUM(J$6:J84)</f>
        <v>0</v>
      </c>
      <c r="P84" s="124" t="n">
        <f aca="false">D84/P$3</f>
        <v>0</v>
      </c>
      <c r="Q84" s="124" t="n">
        <f aca="false">E84/P$3</f>
        <v>0</v>
      </c>
      <c r="R84" s="124" t="n">
        <f aca="false">F84/R$3</f>
        <v>0</v>
      </c>
      <c r="S84" s="126" t="n">
        <f aca="false">J84/$R$3</f>
        <v>0</v>
      </c>
      <c r="T84" s="126" t="n">
        <f aca="false">L84/$R$3</f>
        <v>0</v>
      </c>
      <c r="U84" s="126" t="n">
        <f aca="false">I84/$R$3</f>
        <v>0</v>
      </c>
      <c r="V84" s="126" t="n">
        <f aca="false">M84/$R$3</f>
        <v>0</v>
      </c>
      <c r="W84" s="126" t="n">
        <f aca="false">N84/$R$3</f>
        <v>0</v>
      </c>
    </row>
    <row r="85" customFormat="false" ht="12.75" hidden="true" customHeight="false" outlineLevel="0" collapsed="false">
      <c r="A85" s="120" t="n">
        <f aca="false">A84+1</f>
        <v>36971</v>
      </c>
      <c r="B85" s="131" t="str">
        <f aca="false">INDEX('Master Data'!$A$2:$B$8,MATCH(WEEKDAY('MM PLANT'!A85,3),'Master Data'!$A$2:$A$8,0),2)</f>
        <v>W</v>
      </c>
      <c r="D85" s="124" t="n">
        <v>0</v>
      </c>
      <c r="E85" s="124" t="n">
        <v>0</v>
      </c>
      <c r="F85" s="124" t="n">
        <v>0</v>
      </c>
      <c r="G85" s="124" t="n">
        <v>0</v>
      </c>
      <c r="I85" s="124" t="n">
        <f aca="false">IF(MONTH($A85)=MONTH($A84),IF(G85=0,I84,G85),G85)</f>
        <v>0</v>
      </c>
      <c r="J85" s="124" t="n">
        <f aca="false">IF(MONTH($A85)=MONTH($A84),SUM(I85-I84),I85)</f>
        <v>0</v>
      </c>
      <c r="K85" s="124" t="n">
        <f aca="false">IF(WEEKDAY(A85,3)&gt;4,0,(IF(A85&lt;K$2,0,IF(A85&lt;=K$3,1,0))))</f>
        <v>0</v>
      </c>
      <c r="L85" s="124" t="n">
        <f aca="false">J85*K85</f>
        <v>0</v>
      </c>
      <c r="M85" s="124" t="n">
        <f aca="false">SUM(J$6:J85)</f>
        <v>0</v>
      </c>
      <c r="N85" s="124" t="n">
        <f aca="false">SUM(J$6:J85)</f>
        <v>0</v>
      </c>
      <c r="P85" s="124" t="n">
        <f aca="false">D85/P$3</f>
        <v>0</v>
      </c>
      <c r="Q85" s="124" t="n">
        <f aca="false">E85/P$3</f>
        <v>0</v>
      </c>
      <c r="R85" s="124" t="n">
        <f aca="false">F85/R$3</f>
        <v>0</v>
      </c>
      <c r="S85" s="126" t="n">
        <f aca="false">J85/$R$3</f>
        <v>0</v>
      </c>
      <c r="T85" s="126" t="n">
        <f aca="false">L85/$R$3</f>
        <v>0</v>
      </c>
      <c r="U85" s="126" t="n">
        <f aca="false">I85/$R$3</f>
        <v>0</v>
      </c>
      <c r="V85" s="126" t="n">
        <f aca="false">M85/$R$3</f>
        <v>0</v>
      </c>
      <c r="W85" s="126" t="n">
        <f aca="false">N85/$R$3</f>
        <v>0</v>
      </c>
    </row>
    <row r="86" customFormat="false" ht="12.75" hidden="true" customHeight="false" outlineLevel="0" collapsed="false">
      <c r="A86" s="120" t="n">
        <f aca="false">A85+1</f>
        <v>36972</v>
      </c>
      <c r="B86" s="131" t="str">
        <f aca="false">INDEX('Master Data'!$A$2:$B$8,MATCH(WEEKDAY('MM PLANT'!A86,3),'Master Data'!$A$2:$A$8,0),2)</f>
        <v>Th</v>
      </c>
      <c r="D86" s="124" t="n">
        <v>0</v>
      </c>
      <c r="E86" s="124" t="n">
        <v>0</v>
      </c>
      <c r="F86" s="124" t="n">
        <v>0</v>
      </c>
      <c r="G86" s="124" t="n">
        <v>0</v>
      </c>
      <c r="I86" s="124" t="n">
        <f aca="false">IF(MONTH($A86)=MONTH($A85),IF(G86=0,I85,G86),G86)</f>
        <v>0</v>
      </c>
      <c r="J86" s="124" t="n">
        <f aca="false">IF(MONTH($A86)=MONTH($A85),SUM(I86-I85),I86)</f>
        <v>0</v>
      </c>
      <c r="K86" s="124" t="n">
        <f aca="false">IF(WEEKDAY(A86,3)&gt;4,0,(IF(A86&lt;K$2,0,IF(A86&lt;=K$3,1,0))))</f>
        <v>0</v>
      </c>
      <c r="L86" s="124" t="n">
        <f aca="false">J86*K86</f>
        <v>0</v>
      </c>
      <c r="M86" s="124" t="n">
        <f aca="false">SUM(J$6:J86)</f>
        <v>0</v>
      </c>
      <c r="N86" s="124" t="n">
        <f aca="false">SUM(J$6:J86)</f>
        <v>0</v>
      </c>
      <c r="P86" s="124" t="n">
        <f aca="false">D86/P$3</f>
        <v>0</v>
      </c>
      <c r="Q86" s="124" t="n">
        <f aca="false">E86/P$3</f>
        <v>0</v>
      </c>
      <c r="R86" s="124" t="n">
        <f aca="false">F86/R$3</f>
        <v>0</v>
      </c>
      <c r="S86" s="126" t="n">
        <f aca="false">J86/$R$3</f>
        <v>0</v>
      </c>
      <c r="T86" s="126" t="n">
        <f aca="false">L86/$R$3</f>
        <v>0</v>
      </c>
      <c r="U86" s="126" t="n">
        <f aca="false">I86/$R$3</f>
        <v>0</v>
      </c>
      <c r="V86" s="126" t="n">
        <f aca="false">M86/$R$3</f>
        <v>0</v>
      </c>
      <c r="W86" s="126" t="n">
        <f aca="false">N86/$R$3</f>
        <v>0</v>
      </c>
    </row>
    <row r="87" customFormat="false" ht="12.75" hidden="true" customHeight="false" outlineLevel="0" collapsed="false">
      <c r="A87" s="120" t="n">
        <f aca="false">A86+1</f>
        <v>36973</v>
      </c>
      <c r="B87" s="131" t="str">
        <f aca="false">INDEX('Master Data'!$A$2:$B$8,MATCH(WEEKDAY('MM PLANT'!A87,3),'Master Data'!$A$2:$A$8,0),2)</f>
        <v>F</v>
      </c>
      <c r="D87" s="124" t="n">
        <v>0</v>
      </c>
      <c r="E87" s="124" t="n">
        <v>0</v>
      </c>
      <c r="F87" s="124" t="n">
        <v>0</v>
      </c>
      <c r="G87" s="124" t="n">
        <v>0</v>
      </c>
      <c r="I87" s="124" t="n">
        <f aca="false">IF(MONTH($A87)=MONTH($A86),IF(G87=0,I86,G87),G87)</f>
        <v>0</v>
      </c>
      <c r="J87" s="124" t="n">
        <f aca="false">IF(MONTH($A87)=MONTH($A86),SUM(I87-I86),I87)</f>
        <v>0</v>
      </c>
      <c r="K87" s="124" t="n">
        <f aca="false">IF(WEEKDAY(A87,3)&gt;4,0,(IF(A87&lt;K$2,0,IF(A87&lt;=K$3,1,0))))</f>
        <v>0</v>
      </c>
      <c r="L87" s="124" t="n">
        <f aca="false">J87*K87</f>
        <v>0</v>
      </c>
      <c r="M87" s="124" t="n">
        <f aca="false">SUM(J$6:J87)</f>
        <v>0</v>
      </c>
      <c r="N87" s="124" t="n">
        <f aca="false">SUM(J$6:J87)</f>
        <v>0</v>
      </c>
      <c r="P87" s="124" t="n">
        <f aca="false">D87/P$3</f>
        <v>0</v>
      </c>
      <c r="Q87" s="124" t="n">
        <f aca="false">E87/P$3</f>
        <v>0</v>
      </c>
      <c r="R87" s="124" t="n">
        <f aca="false">F87/R$3</f>
        <v>0</v>
      </c>
      <c r="S87" s="126" t="n">
        <f aca="false">J87/$R$3</f>
        <v>0</v>
      </c>
      <c r="T87" s="126" t="n">
        <f aca="false">L87/$R$3</f>
        <v>0</v>
      </c>
      <c r="U87" s="126" t="n">
        <f aca="false">I87/$R$3</f>
        <v>0</v>
      </c>
      <c r="V87" s="126" t="n">
        <f aca="false">M87/$R$3</f>
        <v>0</v>
      </c>
      <c r="W87" s="126" t="n">
        <f aca="false">N87/$R$3</f>
        <v>0</v>
      </c>
    </row>
    <row r="88" customFormat="false" ht="12.75" hidden="true" customHeight="false" outlineLevel="0" collapsed="false">
      <c r="A88" s="120" t="n">
        <f aca="false">A87+1</f>
        <v>36974</v>
      </c>
      <c r="B88" s="131" t="str">
        <f aca="false">INDEX('Master Data'!$A$2:$B$8,MATCH(WEEKDAY('MM PLANT'!A88,3),'Master Data'!$A$2:$A$8,0),2)</f>
        <v>Sa</v>
      </c>
      <c r="D88" s="124" t="n">
        <v>0</v>
      </c>
      <c r="E88" s="124" t="n">
        <v>0</v>
      </c>
      <c r="F88" s="124" t="n">
        <v>0</v>
      </c>
      <c r="G88" s="124" t="n">
        <v>0</v>
      </c>
      <c r="I88" s="124" t="n">
        <f aca="false">IF(MONTH($A88)=MONTH($A87),IF(G88=0,I87,G88),G88)</f>
        <v>0</v>
      </c>
      <c r="J88" s="124" t="n">
        <f aca="false">IF(MONTH($A88)=MONTH($A87),SUM(I88-I87),I88)</f>
        <v>0</v>
      </c>
      <c r="K88" s="124" t="n">
        <f aca="false">IF(WEEKDAY(A88,3)&gt;4,0,(IF(A88&lt;K$2,0,IF(A88&lt;=K$3,1,0))))</f>
        <v>0</v>
      </c>
      <c r="L88" s="124" t="n">
        <f aca="false">J88*K88</f>
        <v>0</v>
      </c>
      <c r="M88" s="124" t="n">
        <f aca="false">SUM(J$6:J88)</f>
        <v>0</v>
      </c>
      <c r="N88" s="124" t="n">
        <f aca="false">SUM(J$6:J88)</f>
        <v>0</v>
      </c>
      <c r="P88" s="124" t="n">
        <f aca="false">D88/P$3</f>
        <v>0</v>
      </c>
      <c r="Q88" s="124" t="n">
        <f aca="false">E88/P$3</f>
        <v>0</v>
      </c>
      <c r="R88" s="124" t="n">
        <f aca="false">F88/R$3</f>
        <v>0</v>
      </c>
      <c r="S88" s="126" t="n">
        <f aca="false">J88/$R$3</f>
        <v>0</v>
      </c>
      <c r="T88" s="126" t="n">
        <f aca="false">L88/$R$3</f>
        <v>0</v>
      </c>
      <c r="U88" s="126" t="n">
        <f aca="false">I88/$R$3</f>
        <v>0</v>
      </c>
      <c r="V88" s="126" t="n">
        <f aca="false">M88/$R$3</f>
        <v>0</v>
      </c>
      <c r="W88" s="126" t="n">
        <f aca="false">N88/$R$3</f>
        <v>0</v>
      </c>
    </row>
    <row r="89" customFormat="false" ht="12.75" hidden="true" customHeight="false" outlineLevel="0" collapsed="false">
      <c r="A89" s="120" t="n">
        <f aca="false">A88+1</f>
        <v>36975</v>
      </c>
      <c r="B89" s="131" t="str">
        <f aca="false">INDEX('Master Data'!$A$2:$B$8,MATCH(WEEKDAY('MM PLANT'!A89,3),'Master Data'!$A$2:$A$8,0),2)</f>
        <v>Su</v>
      </c>
      <c r="D89" s="124" t="n">
        <v>0</v>
      </c>
      <c r="E89" s="124" t="n">
        <v>0</v>
      </c>
      <c r="F89" s="124" t="n">
        <v>0</v>
      </c>
      <c r="G89" s="124" t="n">
        <v>0</v>
      </c>
      <c r="I89" s="124" t="n">
        <f aca="false">IF(MONTH($A89)=MONTH($A88),IF(G89=0,I88,G89),G89)</f>
        <v>0</v>
      </c>
      <c r="J89" s="124" t="n">
        <f aca="false">IF(MONTH($A89)=MONTH($A88),SUM(I89-I88),I89)</f>
        <v>0</v>
      </c>
      <c r="K89" s="124" t="n">
        <f aca="false">IF(WEEKDAY(A89,3)&gt;4,0,(IF(A89&lt;K$2,0,IF(A89&lt;=K$3,1,0))))</f>
        <v>0</v>
      </c>
      <c r="L89" s="124" t="n">
        <f aca="false">J89*K89</f>
        <v>0</v>
      </c>
      <c r="M89" s="124" t="n">
        <f aca="false">SUM(J$6:J89)</f>
        <v>0</v>
      </c>
      <c r="N89" s="124" t="n">
        <f aca="false">SUM(J$6:J89)</f>
        <v>0</v>
      </c>
      <c r="P89" s="124" t="n">
        <f aca="false">D89/P$3</f>
        <v>0</v>
      </c>
      <c r="Q89" s="124" t="n">
        <f aca="false">E89/P$3</f>
        <v>0</v>
      </c>
      <c r="R89" s="124" t="n">
        <f aca="false">F89/R$3</f>
        <v>0</v>
      </c>
      <c r="S89" s="126" t="n">
        <f aca="false">J89/$R$3</f>
        <v>0</v>
      </c>
      <c r="T89" s="126" t="n">
        <f aca="false">L89/$R$3</f>
        <v>0</v>
      </c>
      <c r="U89" s="126" t="n">
        <f aca="false">I89/$R$3</f>
        <v>0</v>
      </c>
      <c r="V89" s="126" t="n">
        <f aca="false">M89/$R$3</f>
        <v>0</v>
      </c>
      <c r="W89" s="126" t="n">
        <f aca="false">N89/$R$3</f>
        <v>0</v>
      </c>
    </row>
    <row r="90" customFormat="false" ht="12.75" hidden="true" customHeight="false" outlineLevel="0" collapsed="false">
      <c r="A90" s="120" t="n">
        <f aca="false">A89+1</f>
        <v>36976</v>
      </c>
      <c r="B90" s="131" t="str">
        <f aca="false">INDEX('Master Data'!$A$2:$B$8,MATCH(WEEKDAY('MM PLANT'!A90,3),'Master Data'!$A$2:$A$8,0),2)</f>
        <v>M</v>
      </c>
      <c r="D90" s="124" t="n">
        <v>0</v>
      </c>
      <c r="E90" s="124" t="n">
        <v>0</v>
      </c>
      <c r="F90" s="124" t="n">
        <v>0</v>
      </c>
      <c r="G90" s="124" t="n">
        <v>0</v>
      </c>
      <c r="I90" s="124" t="n">
        <f aca="false">IF(MONTH($A90)=MONTH($A89),IF(G90=0,I89,G90),G90)</f>
        <v>0</v>
      </c>
      <c r="J90" s="124" t="n">
        <f aca="false">IF(MONTH($A90)=MONTH($A89),SUM(I90-I89),I90)</f>
        <v>0</v>
      </c>
      <c r="K90" s="124" t="n">
        <f aca="false">IF(WEEKDAY(A90,3)&gt;4,0,(IF(A90&lt;K$2,0,IF(A90&lt;=K$3,1,0))))</f>
        <v>0</v>
      </c>
      <c r="L90" s="124" t="n">
        <f aca="false">J90*K90</f>
        <v>0</v>
      </c>
      <c r="M90" s="124" t="n">
        <f aca="false">SUM(J$6:J90)</f>
        <v>0</v>
      </c>
      <c r="N90" s="124" t="n">
        <f aca="false">SUM(J$6:J90)</f>
        <v>0</v>
      </c>
      <c r="P90" s="124" t="n">
        <f aca="false">D90/P$3</f>
        <v>0</v>
      </c>
      <c r="Q90" s="124" t="n">
        <f aca="false">E90/P$3</f>
        <v>0</v>
      </c>
      <c r="R90" s="124" t="n">
        <f aca="false">F90/R$3</f>
        <v>0</v>
      </c>
      <c r="S90" s="126" t="n">
        <f aca="false">J90/$R$3</f>
        <v>0</v>
      </c>
      <c r="T90" s="126" t="n">
        <f aca="false">L90/$R$3</f>
        <v>0</v>
      </c>
      <c r="U90" s="126" t="n">
        <f aca="false">I90/$R$3</f>
        <v>0</v>
      </c>
      <c r="V90" s="126" t="n">
        <f aca="false">M90/$R$3</f>
        <v>0</v>
      </c>
      <c r="W90" s="126" t="n">
        <f aca="false">N90/$R$3</f>
        <v>0</v>
      </c>
    </row>
    <row r="91" customFormat="false" ht="12.75" hidden="true" customHeight="false" outlineLevel="0" collapsed="false">
      <c r="A91" s="120" t="n">
        <f aca="false">A90+1</f>
        <v>36977</v>
      </c>
      <c r="B91" s="131" t="str">
        <f aca="false">INDEX('Master Data'!$A$2:$B$8,MATCH(WEEKDAY('MM PLANT'!A91,3),'Master Data'!$A$2:$A$8,0),2)</f>
        <v>T</v>
      </c>
      <c r="D91" s="124" t="n">
        <v>0</v>
      </c>
      <c r="E91" s="124" t="n">
        <v>0</v>
      </c>
      <c r="F91" s="124" t="n">
        <v>0</v>
      </c>
      <c r="G91" s="124" t="n">
        <v>0</v>
      </c>
      <c r="I91" s="124" t="n">
        <f aca="false">IF(MONTH($A91)=MONTH($A90),IF(G91=0,I90,G91),G91)</f>
        <v>0</v>
      </c>
      <c r="J91" s="124" t="n">
        <f aca="false">IF(MONTH($A91)=MONTH($A90),SUM(I91-I90),I91)</f>
        <v>0</v>
      </c>
      <c r="K91" s="124" t="n">
        <f aca="false">IF(WEEKDAY(A91,3)&gt;4,0,(IF(A91&lt;K$2,0,IF(A91&lt;=K$3,1,0))))</f>
        <v>0</v>
      </c>
      <c r="L91" s="124" t="n">
        <f aca="false">J91*K91</f>
        <v>0</v>
      </c>
      <c r="M91" s="124" t="n">
        <f aca="false">SUM(J$6:J91)</f>
        <v>0</v>
      </c>
      <c r="N91" s="124" t="n">
        <f aca="false">SUM(J$6:J91)</f>
        <v>0</v>
      </c>
      <c r="P91" s="124" t="n">
        <f aca="false">D91/P$3</f>
        <v>0</v>
      </c>
      <c r="Q91" s="124" t="n">
        <f aca="false">E91/P$3</f>
        <v>0</v>
      </c>
      <c r="R91" s="124" t="n">
        <f aca="false">F91/R$3</f>
        <v>0</v>
      </c>
      <c r="S91" s="126" t="n">
        <f aca="false">J91/$R$3</f>
        <v>0</v>
      </c>
      <c r="T91" s="126" t="n">
        <f aca="false">L91/$R$3</f>
        <v>0</v>
      </c>
      <c r="U91" s="126" t="n">
        <f aca="false">I91/$R$3</f>
        <v>0</v>
      </c>
      <c r="V91" s="126" t="n">
        <f aca="false">M91/$R$3</f>
        <v>0</v>
      </c>
      <c r="W91" s="126" t="n">
        <f aca="false">N91/$R$3</f>
        <v>0</v>
      </c>
    </row>
    <row r="92" customFormat="false" ht="12.75" hidden="true" customHeight="false" outlineLevel="0" collapsed="false">
      <c r="A92" s="120" t="n">
        <f aca="false">A91+1</f>
        <v>36978</v>
      </c>
      <c r="B92" s="131" t="str">
        <f aca="false">INDEX('Master Data'!$A$2:$B$8,MATCH(WEEKDAY('MM PLANT'!A92,3),'Master Data'!$A$2:$A$8,0),2)</f>
        <v>W</v>
      </c>
      <c r="D92" s="124" t="n">
        <v>0</v>
      </c>
      <c r="E92" s="124" t="n">
        <v>0</v>
      </c>
      <c r="F92" s="124" t="n">
        <v>0</v>
      </c>
      <c r="G92" s="124" t="n">
        <v>0</v>
      </c>
      <c r="I92" s="124" t="n">
        <f aca="false">IF(MONTH($A92)=MONTH($A91),IF(G92=0,I91,G92),G92)</f>
        <v>0</v>
      </c>
      <c r="J92" s="124" t="n">
        <f aca="false">IF(MONTH($A92)=MONTH($A91),SUM(I92-I91),I92)</f>
        <v>0</v>
      </c>
      <c r="K92" s="124" t="n">
        <f aca="false">IF(WEEKDAY(A92,3)&gt;4,0,(IF(A92&lt;K$2,0,IF(A92&lt;=K$3,1,0))))</f>
        <v>0</v>
      </c>
      <c r="L92" s="124" t="n">
        <f aca="false">J92*K92</f>
        <v>0</v>
      </c>
      <c r="M92" s="124" t="n">
        <f aca="false">SUM(J$6:J92)</f>
        <v>0</v>
      </c>
      <c r="N92" s="124" t="n">
        <f aca="false">SUM(J$6:J92)</f>
        <v>0</v>
      </c>
      <c r="P92" s="124" t="n">
        <f aca="false">D92/P$3</f>
        <v>0</v>
      </c>
      <c r="Q92" s="124" t="n">
        <f aca="false">E92/P$3</f>
        <v>0</v>
      </c>
      <c r="R92" s="124" t="n">
        <f aca="false">F92/R$3</f>
        <v>0</v>
      </c>
      <c r="S92" s="126" t="n">
        <f aca="false">J92/$R$3</f>
        <v>0</v>
      </c>
      <c r="T92" s="126" t="n">
        <f aca="false">L92/$R$3</f>
        <v>0</v>
      </c>
      <c r="U92" s="126" t="n">
        <f aca="false">I92/$R$3</f>
        <v>0</v>
      </c>
      <c r="V92" s="126" t="n">
        <f aca="false">M92/$R$3</f>
        <v>0</v>
      </c>
      <c r="W92" s="126" t="n">
        <f aca="false">N92/$R$3</f>
        <v>0</v>
      </c>
    </row>
    <row r="93" customFormat="false" ht="12.75" hidden="true" customHeight="false" outlineLevel="0" collapsed="false">
      <c r="A93" s="120" t="n">
        <f aca="false">A92+1</f>
        <v>36979</v>
      </c>
      <c r="B93" s="131" t="str">
        <f aca="false">INDEX('Master Data'!$A$2:$B$8,MATCH(WEEKDAY('MM PLANT'!A93,3),'Master Data'!$A$2:$A$8,0),2)</f>
        <v>Th</v>
      </c>
      <c r="D93" s="124" t="n">
        <v>0</v>
      </c>
      <c r="E93" s="124" t="n">
        <v>0</v>
      </c>
      <c r="F93" s="124" t="n">
        <v>0</v>
      </c>
      <c r="G93" s="124" t="n">
        <v>0</v>
      </c>
      <c r="I93" s="124" t="n">
        <f aca="false">IF(MONTH($A93)=MONTH($A92),IF(G93=0,I92,G93),G93)</f>
        <v>0</v>
      </c>
      <c r="J93" s="124" t="n">
        <f aca="false">IF(MONTH($A93)=MONTH($A92),SUM(I93-I92),I93)</f>
        <v>0</v>
      </c>
      <c r="K93" s="124" t="n">
        <f aca="false">IF(WEEKDAY(A93,3)&gt;4,0,(IF(A93&lt;K$2,0,IF(A93&lt;=K$3,1,0))))</f>
        <v>0</v>
      </c>
      <c r="L93" s="124" t="n">
        <f aca="false">J93*K93</f>
        <v>0</v>
      </c>
      <c r="M93" s="124" t="n">
        <f aca="false">SUM(J$6:J93)</f>
        <v>0</v>
      </c>
      <c r="N93" s="124" t="n">
        <f aca="false">SUM(J$6:J93)</f>
        <v>0</v>
      </c>
      <c r="P93" s="124" t="n">
        <f aca="false">D93/P$3</f>
        <v>0</v>
      </c>
      <c r="Q93" s="124" t="n">
        <f aca="false">E93/P$3</f>
        <v>0</v>
      </c>
      <c r="R93" s="124" t="n">
        <f aca="false">F93/R$3</f>
        <v>0</v>
      </c>
      <c r="S93" s="126" t="n">
        <f aca="false">J93/$R$3</f>
        <v>0</v>
      </c>
      <c r="T93" s="126" t="n">
        <f aca="false">L93/$R$3</f>
        <v>0</v>
      </c>
      <c r="U93" s="126" t="n">
        <f aca="false">I93/$R$3</f>
        <v>0</v>
      </c>
      <c r="V93" s="126" t="n">
        <f aca="false">M93/$R$3</f>
        <v>0</v>
      </c>
      <c r="W93" s="126" t="n">
        <f aca="false">N93/$R$3</f>
        <v>0</v>
      </c>
    </row>
    <row r="94" customFormat="false" ht="12" hidden="true" customHeight="true" outlineLevel="0" collapsed="false">
      <c r="A94" s="120" t="n">
        <f aca="false">A93+1</f>
        <v>36980</v>
      </c>
      <c r="B94" s="131" t="str">
        <f aca="false">INDEX('Master Data'!$A$2:$B$8,MATCH(WEEKDAY('MM PLANT'!A94,3),'Master Data'!$A$2:$A$8,0),2)</f>
        <v>F</v>
      </c>
      <c r="D94" s="124" t="n">
        <v>0</v>
      </c>
      <c r="E94" s="124" t="n">
        <v>0</v>
      </c>
      <c r="F94" s="124" t="n">
        <v>0</v>
      </c>
      <c r="G94" s="124" t="n">
        <v>0</v>
      </c>
      <c r="I94" s="124" t="n">
        <f aca="false">IF(MONTH($A94)=MONTH($A93),IF(G94=0,I93,G94),G94)</f>
        <v>0</v>
      </c>
      <c r="J94" s="124" t="n">
        <f aca="false">IF(MONTH($A94)=MONTH($A93),SUM(I94-I93),I94)</f>
        <v>0</v>
      </c>
      <c r="K94" s="124" t="n">
        <f aca="false">IF(WEEKDAY(A94,3)&gt;4,0,(IF(A94&lt;K$2,0,IF(A94&lt;=K$3,1,0))))</f>
        <v>0</v>
      </c>
      <c r="L94" s="124" t="n">
        <f aca="false">J94*K94</f>
        <v>0</v>
      </c>
      <c r="M94" s="124" t="n">
        <f aca="false">SUM(J$6:J94)</f>
        <v>0</v>
      </c>
      <c r="N94" s="124" t="n">
        <f aca="false">SUM(J$6:J94)</f>
        <v>0</v>
      </c>
      <c r="P94" s="124" t="n">
        <f aca="false">D94/P$3</f>
        <v>0</v>
      </c>
      <c r="Q94" s="124" t="n">
        <f aca="false">E94/P$3</f>
        <v>0</v>
      </c>
      <c r="R94" s="124" t="n">
        <f aca="false">F94/R$3</f>
        <v>0</v>
      </c>
      <c r="S94" s="126" t="n">
        <f aca="false">J94/$R$3</f>
        <v>0</v>
      </c>
      <c r="T94" s="126" t="n">
        <f aca="false">L94/$R$3</f>
        <v>0</v>
      </c>
      <c r="U94" s="126" t="n">
        <f aca="false">I94/$R$3</f>
        <v>0</v>
      </c>
      <c r="V94" s="126" t="n">
        <f aca="false">M94/$R$3</f>
        <v>0</v>
      </c>
      <c r="W94" s="126" t="n">
        <f aca="false">N94/$R$3</f>
        <v>0</v>
      </c>
    </row>
    <row r="95" customFormat="false" ht="12.75" hidden="false" customHeight="false" outlineLevel="0" collapsed="false">
      <c r="A95" s="120" t="n">
        <f aca="false">A94+1</f>
        <v>36981</v>
      </c>
      <c r="B95" s="131" t="str">
        <f aca="false">INDEX('Master Data'!$A$2:$B$8,MATCH(WEEKDAY('MM PLANT'!A95,3),'Master Data'!$A$2:$A$8,0),2)</f>
        <v>Sa</v>
      </c>
      <c r="D95" s="124" t="n">
        <v>0</v>
      </c>
      <c r="E95" s="124" t="n">
        <v>0</v>
      </c>
      <c r="F95" s="124" t="n">
        <v>0</v>
      </c>
      <c r="G95" s="124" t="n">
        <v>0</v>
      </c>
      <c r="I95" s="124" t="n">
        <f aca="false">IF(MONTH($A95)=MONTH($A94),IF(G95=0,I94,G95),G95)</f>
        <v>0</v>
      </c>
      <c r="J95" s="124" t="n">
        <f aca="false">IF(MONTH($A95)=MONTH($A94),SUM(I95-I94),I95)</f>
        <v>0</v>
      </c>
      <c r="K95" s="124" t="n">
        <f aca="false">IF(WEEKDAY(A95,3)&gt;4,0,(IF(A95&lt;K$2,0,IF(A95&lt;=K$3,1,0))))</f>
        <v>0</v>
      </c>
      <c r="L95" s="124" t="n">
        <f aca="false">J95*K95</f>
        <v>0</v>
      </c>
      <c r="M95" s="124" t="n">
        <f aca="false">SUM(J$6:J95)</f>
        <v>0</v>
      </c>
      <c r="N95" s="124" t="n">
        <f aca="false">SUM(J$6:J95)</f>
        <v>0</v>
      </c>
      <c r="P95" s="124" t="n">
        <f aca="false">D95/P$3</f>
        <v>0</v>
      </c>
      <c r="Q95" s="124" t="n">
        <f aca="false">E95/P$3</f>
        <v>0</v>
      </c>
      <c r="R95" s="124" t="n">
        <f aca="false">F95/R$3</f>
        <v>0</v>
      </c>
      <c r="S95" s="126" t="n">
        <f aca="false">J95/$R$3</f>
        <v>0</v>
      </c>
      <c r="T95" s="126" t="n">
        <f aca="false">L95/$R$3</f>
        <v>0</v>
      </c>
      <c r="U95" s="126" t="n">
        <f aca="false">I95/$R$3</f>
        <v>0</v>
      </c>
      <c r="V95" s="126" t="n">
        <f aca="false">M95/$R$3</f>
        <v>0</v>
      </c>
      <c r="W95" s="126" t="n">
        <f aca="false">N95/$R$3</f>
        <v>0</v>
      </c>
    </row>
    <row r="96" customFormat="false" ht="12.75" hidden="true" customHeight="false" outlineLevel="0" collapsed="false">
      <c r="A96" s="120" t="n">
        <f aca="false">A95+1</f>
        <v>36982</v>
      </c>
      <c r="B96" s="131" t="str">
        <f aca="false">INDEX('Master Data'!$A$2:$B$8,MATCH(WEEKDAY('MM PLANT'!A96,3),'Master Data'!$A$2:$A$8,0),2)</f>
        <v>Su</v>
      </c>
      <c r="D96" s="124" t="n">
        <v>0</v>
      </c>
      <c r="E96" s="124" t="n">
        <v>0</v>
      </c>
      <c r="F96" s="124" t="n">
        <v>0</v>
      </c>
      <c r="G96" s="124" t="n">
        <v>0</v>
      </c>
      <c r="I96" s="124" t="n">
        <f aca="false">IF(MONTH($A96)=MONTH($A95),IF(G96=0,I95,G96),G96)</f>
        <v>0</v>
      </c>
      <c r="J96" s="124" t="n">
        <f aca="false">IF(MONTH($A96)=MONTH($A95),SUM(I96-I95),I96)</f>
        <v>0</v>
      </c>
      <c r="K96" s="124" t="n">
        <f aca="false">IF(WEEKDAY(A96,3)&gt;4,0,(IF(A96&lt;K$2,0,IF(A96&lt;=K$3,1,0))))</f>
        <v>0</v>
      </c>
      <c r="L96" s="124" t="n">
        <f aca="false">J96*K96</f>
        <v>0</v>
      </c>
      <c r="M96" s="124" t="n">
        <f aca="false">SUM(J$6:J96)</f>
        <v>0</v>
      </c>
      <c r="N96" s="124" t="n">
        <f aca="false">SUM(J$6:J96)</f>
        <v>0</v>
      </c>
      <c r="P96" s="124" t="n">
        <f aca="false">D96/P$3</f>
        <v>0</v>
      </c>
      <c r="Q96" s="124" t="n">
        <f aca="false">E96/P$3</f>
        <v>0</v>
      </c>
      <c r="R96" s="124" t="n">
        <f aca="false">F96/R$3</f>
        <v>0</v>
      </c>
      <c r="S96" s="126" t="n">
        <f aca="false">J96/$R$3</f>
        <v>0</v>
      </c>
      <c r="T96" s="126" t="n">
        <f aca="false">L96/$R$3</f>
        <v>0</v>
      </c>
      <c r="U96" s="126" t="n">
        <f aca="false">I96/$R$3</f>
        <v>0</v>
      </c>
      <c r="V96" s="126" t="n">
        <f aca="false">M96/$R$3</f>
        <v>0</v>
      </c>
      <c r="W96" s="126" t="n">
        <f aca="false">N96/$R$3</f>
        <v>0</v>
      </c>
    </row>
    <row r="97" customFormat="false" ht="12.75" hidden="true" customHeight="false" outlineLevel="0" collapsed="false">
      <c r="A97" s="120" t="n">
        <f aca="false">A96+1</f>
        <v>36983</v>
      </c>
      <c r="B97" s="131" t="str">
        <f aca="false">INDEX('Master Data'!$A$2:$B$8,MATCH(WEEKDAY('MM PLANT'!A97,3),'Master Data'!$A$2:$A$8,0),2)</f>
        <v>M</v>
      </c>
      <c r="D97" s="124" t="n">
        <v>0</v>
      </c>
      <c r="E97" s="124" t="n">
        <v>0</v>
      </c>
      <c r="F97" s="124" t="n">
        <v>0</v>
      </c>
      <c r="G97" s="124" t="n">
        <v>0</v>
      </c>
      <c r="I97" s="124" t="n">
        <f aca="false">IF(MONTH($A97)=MONTH($A96),IF(G97=0,I96,G97),G97)</f>
        <v>0</v>
      </c>
      <c r="J97" s="124" t="n">
        <f aca="false">IF(MONTH($A97)=MONTH($A96),SUM(I97-I96),I97)</f>
        <v>0</v>
      </c>
      <c r="K97" s="124" t="n">
        <f aca="false">IF(WEEKDAY(A97,3)&gt;4,0,(IF(A97&lt;K$2,0,IF(A97&lt;=K$3,1,0))))</f>
        <v>0</v>
      </c>
      <c r="L97" s="124" t="n">
        <f aca="false">J97*K97</f>
        <v>0</v>
      </c>
      <c r="M97" s="124" t="n">
        <f aca="false">SUM(J$97:J97)</f>
        <v>0</v>
      </c>
      <c r="N97" s="124" t="n">
        <f aca="false">SUM(J$6:J97)</f>
        <v>0</v>
      </c>
      <c r="P97" s="124" t="n">
        <f aca="false">D97/P$3</f>
        <v>0</v>
      </c>
      <c r="Q97" s="124" t="n">
        <f aca="false">E97/P$3</f>
        <v>0</v>
      </c>
      <c r="R97" s="124" t="n">
        <f aca="false">F97/R$3</f>
        <v>0</v>
      </c>
      <c r="S97" s="126" t="n">
        <f aca="false">J97/$R$3</f>
        <v>0</v>
      </c>
      <c r="T97" s="126" t="n">
        <f aca="false">L97/$R$3</f>
        <v>0</v>
      </c>
      <c r="U97" s="126" t="n">
        <f aca="false">I97/$R$3</f>
        <v>0</v>
      </c>
      <c r="V97" s="126" t="n">
        <f aca="false">M97/$R$3</f>
        <v>0</v>
      </c>
      <c r="W97" s="126" t="n">
        <f aca="false">N97/$R$3</f>
        <v>0</v>
      </c>
    </row>
    <row r="98" customFormat="false" ht="12.75" hidden="true" customHeight="false" outlineLevel="0" collapsed="false">
      <c r="A98" s="120" t="n">
        <f aca="false">A97+1</f>
        <v>36984</v>
      </c>
      <c r="B98" s="131" t="str">
        <f aca="false">INDEX('Master Data'!$A$2:$B$8,MATCH(WEEKDAY('MM PLANT'!A98,3),'Master Data'!$A$2:$A$8,0),2)</f>
        <v>T</v>
      </c>
      <c r="D98" s="124" t="n">
        <v>0</v>
      </c>
      <c r="E98" s="124" t="n">
        <v>0</v>
      </c>
      <c r="F98" s="124" t="n">
        <v>0</v>
      </c>
      <c r="G98" s="124" t="n">
        <v>0</v>
      </c>
      <c r="I98" s="124" t="n">
        <f aca="false">IF(MONTH($A98)=MONTH($A97),IF(G98=0,I97,G98),G98)</f>
        <v>0</v>
      </c>
      <c r="J98" s="124" t="n">
        <f aca="false">IF(MONTH($A98)=MONTH($A97),SUM(I98-I97),I98)</f>
        <v>0</v>
      </c>
      <c r="K98" s="124" t="n">
        <f aca="false">IF(WEEKDAY(A98,3)&gt;4,0,(IF(A98&lt;K$2,0,IF(A98&lt;=K$3,1,0))))</f>
        <v>0</v>
      </c>
      <c r="L98" s="124" t="n">
        <f aca="false">J98*K98</f>
        <v>0</v>
      </c>
      <c r="M98" s="124" t="n">
        <f aca="false">SUM(J$97:J98)</f>
        <v>0</v>
      </c>
      <c r="N98" s="124" t="n">
        <f aca="false">SUM(J$6:J98)</f>
        <v>0</v>
      </c>
      <c r="P98" s="124" t="n">
        <f aca="false">D98/P$3</f>
        <v>0</v>
      </c>
      <c r="Q98" s="124" t="n">
        <f aca="false">E98/P$3</f>
        <v>0</v>
      </c>
      <c r="R98" s="124" t="n">
        <f aca="false">F98/R$3</f>
        <v>0</v>
      </c>
      <c r="S98" s="126" t="n">
        <f aca="false">J98/$R$3</f>
        <v>0</v>
      </c>
      <c r="T98" s="126" t="n">
        <f aca="false">L98/$R$3</f>
        <v>0</v>
      </c>
      <c r="U98" s="126" t="n">
        <f aca="false">I98/$R$3</f>
        <v>0</v>
      </c>
      <c r="V98" s="126" t="n">
        <f aca="false">M98/$R$3</f>
        <v>0</v>
      </c>
      <c r="W98" s="126" t="n">
        <f aca="false">N98/$R$3</f>
        <v>0</v>
      </c>
    </row>
    <row r="99" customFormat="false" ht="12.75" hidden="true" customHeight="false" outlineLevel="0" collapsed="false">
      <c r="A99" s="120" t="n">
        <f aca="false">A98+1</f>
        <v>36985</v>
      </c>
      <c r="B99" s="131" t="str">
        <f aca="false">INDEX('Master Data'!$A$2:$B$8,MATCH(WEEKDAY('MM PLANT'!A99,3),'Master Data'!$A$2:$A$8,0),2)</f>
        <v>W</v>
      </c>
      <c r="D99" s="124" t="n">
        <v>0</v>
      </c>
      <c r="E99" s="124" t="n">
        <v>0</v>
      </c>
      <c r="F99" s="124" t="n">
        <v>0</v>
      </c>
      <c r="G99" s="124" t="n">
        <v>0</v>
      </c>
      <c r="I99" s="124" t="n">
        <f aca="false">IF(MONTH($A99)=MONTH($A98),IF(G99=0,I98,G99),G99)</f>
        <v>0</v>
      </c>
      <c r="J99" s="124" t="n">
        <f aca="false">IF(MONTH($A99)=MONTH($A98),SUM(I99-I98),I99)</f>
        <v>0</v>
      </c>
      <c r="K99" s="124" t="n">
        <f aca="false">IF(WEEKDAY(A99,3)&gt;4,0,(IF(A99&lt;K$2,0,IF(A99&lt;=K$3,1,0))))</f>
        <v>0</v>
      </c>
      <c r="L99" s="124" t="n">
        <f aca="false">J99*K99</f>
        <v>0</v>
      </c>
      <c r="M99" s="124" t="n">
        <f aca="false">SUM(J$97:J99)</f>
        <v>0</v>
      </c>
      <c r="N99" s="124" t="n">
        <f aca="false">SUM(J$6:J99)</f>
        <v>0</v>
      </c>
      <c r="P99" s="124" t="n">
        <f aca="false">D99/P$3</f>
        <v>0</v>
      </c>
      <c r="Q99" s="124" t="n">
        <f aca="false">E99/P$3</f>
        <v>0</v>
      </c>
      <c r="R99" s="124" t="n">
        <f aca="false">F99/R$3</f>
        <v>0</v>
      </c>
      <c r="S99" s="126" t="n">
        <f aca="false">J99/$R$3</f>
        <v>0</v>
      </c>
      <c r="T99" s="126" t="n">
        <f aca="false">L99/$R$3</f>
        <v>0</v>
      </c>
      <c r="U99" s="126" t="n">
        <f aca="false">I99/$R$3</f>
        <v>0</v>
      </c>
      <c r="V99" s="126" t="n">
        <f aca="false">M99/$R$3</f>
        <v>0</v>
      </c>
      <c r="W99" s="126" t="n">
        <f aca="false">N99/$R$3</f>
        <v>0</v>
      </c>
    </row>
    <row r="100" customFormat="false" ht="12.75" hidden="true" customHeight="false" outlineLevel="0" collapsed="false">
      <c r="A100" s="120" t="n">
        <f aca="false">A99+1</f>
        <v>36986</v>
      </c>
      <c r="B100" s="131" t="str">
        <f aca="false">INDEX('Master Data'!$A$2:$B$8,MATCH(WEEKDAY('MM PLANT'!A100,3),'Master Data'!$A$2:$A$8,0),2)</f>
        <v>Th</v>
      </c>
      <c r="D100" s="124" t="n">
        <v>0</v>
      </c>
      <c r="E100" s="124" t="n">
        <v>0</v>
      </c>
      <c r="F100" s="124" t="n">
        <v>0</v>
      </c>
      <c r="G100" s="124" t="n">
        <v>0</v>
      </c>
      <c r="I100" s="124" t="n">
        <f aca="false">IF(MONTH($A100)=MONTH($A99),IF(G100=0,I99,G100),G100)</f>
        <v>0</v>
      </c>
      <c r="J100" s="124" t="n">
        <f aca="false">IF(MONTH($A100)=MONTH($A99),SUM(I100-I99),I100)</f>
        <v>0</v>
      </c>
      <c r="K100" s="124" t="n">
        <f aca="false">IF(WEEKDAY(A100,3)&gt;4,0,(IF(A100&lt;K$2,0,IF(A100&lt;=K$3,1,0))))</f>
        <v>0</v>
      </c>
      <c r="L100" s="124" t="n">
        <f aca="false">J100*K100</f>
        <v>0</v>
      </c>
      <c r="M100" s="124" t="n">
        <f aca="false">SUM(J$97:J100)</f>
        <v>0</v>
      </c>
      <c r="N100" s="124" t="n">
        <f aca="false">SUM(J$6:J100)</f>
        <v>0</v>
      </c>
      <c r="P100" s="124" t="n">
        <f aca="false">D100/P$3</f>
        <v>0</v>
      </c>
      <c r="Q100" s="124" t="n">
        <f aca="false">E100/P$3</f>
        <v>0</v>
      </c>
      <c r="R100" s="124" t="n">
        <f aca="false">F100/R$3</f>
        <v>0</v>
      </c>
      <c r="S100" s="126" t="n">
        <f aca="false">J100/$R$3</f>
        <v>0</v>
      </c>
      <c r="T100" s="126" t="n">
        <f aca="false">L100/$R$3</f>
        <v>0</v>
      </c>
      <c r="U100" s="126" t="n">
        <f aca="false">I100/$R$3</f>
        <v>0</v>
      </c>
      <c r="V100" s="126" t="n">
        <f aca="false">M100/$R$3</f>
        <v>0</v>
      </c>
      <c r="W100" s="126" t="n">
        <f aca="false">N100/$R$3</f>
        <v>0</v>
      </c>
    </row>
    <row r="101" customFormat="false" ht="12.75" hidden="true" customHeight="false" outlineLevel="0" collapsed="false">
      <c r="A101" s="120" t="n">
        <f aca="false">A100+1</f>
        <v>36987</v>
      </c>
      <c r="B101" s="131" t="str">
        <f aca="false">INDEX('Master Data'!$A$2:$B$8,MATCH(WEEKDAY('MM PLANT'!A101,3),'Master Data'!$A$2:$A$8,0),2)</f>
        <v>F</v>
      </c>
      <c r="D101" s="124" t="n">
        <v>0</v>
      </c>
      <c r="E101" s="124" t="n">
        <v>0</v>
      </c>
      <c r="F101" s="124" t="n">
        <v>0</v>
      </c>
      <c r="G101" s="124" t="n">
        <v>0</v>
      </c>
      <c r="I101" s="124" t="n">
        <f aca="false">IF(MONTH($A101)=MONTH($A100),IF(G101=0,I100,G101),G101)</f>
        <v>0</v>
      </c>
      <c r="J101" s="124" t="n">
        <f aca="false">IF(MONTH($A101)=MONTH($A100),SUM(I101-I100),I101)</f>
        <v>0</v>
      </c>
      <c r="K101" s="124" t="n">
        <f aca="false">IF(WEEKDAY(A101,3)&gt;4,0,(IF(A101&lt;K$2,0,IF(A101&lt;=K$3,1,0))))</f>
        <v>0</v>
      </c>
      <c r="L101" s="124" t="n">
        <f aca="false">J101*K101</f>
        <v>0</v>
      </c>
      <c r="M101" s="124" t="n">
        <f aca="false">SUM(J$97:J101)</f>
        <v>0</v>
      </c>
      <c r="N101" s="124" t="n">
        <f aca="false">SUM(J$6:J101)</f>
        <v>0</v>
      </c>
      <c r="P101" s="124" t="n">
        <f aca="false">D101/P$3</f>
        <v>0</v>
      </c>
      <c r="Q101" s="124" t="n">
        <f aca="false">E101/P$3</f>
        <v>0</v>
      </c>
      <c r="R101" s="124" t="n">
        <f aca="false">F101/R$3</f>
        <v>0</v>
      </c>
      <c r="S101" s="126" t="n">
        <f aca="false">J101/$R$3</f>
        <v>0</v>
      </c>
      <c r="T101" s="126" t="n">
        <f aca="false">L101/$R$3</f>
        <v>0</v>
      </c>
      <c r="U101" s="126" t="n">
        <f aca="false">I101/$R$3</f>
        <v>0</v>
      </c>
      <c r="V101" s="126" t="n">
        <f aca="false">M101/$R$3</f>
        <v>0</v>
      </c>
      <c r="W101" s="126" t="n">
        <f aca="false">N101/$R$3</f>
        <v>0</v>
      </c>
    </row>
    <row r="102" customFormat="false" ht="12.75" hidden="true" customHeight="false" outlineLevel="0" collapsed="false">
      <c r="A102" s="120" t="n">
        <f aca="false">A101+1</f>
        <v>36988</v>
      </c>
      <c r="B102" s="131" t="str">
        <f aca="false">INDEX('Master Data'!$A$2:$B$8,MATCH(WEEKDAY('MM PLANT'!A102,3),'Master Data'!$A$2:$A$8,0),2)</f>
        <v>Sa</v>
      </c>
      <c r="D102" s="124" t="n">
        <v>0</v>
      </c>
      <c r="E102" s="124" t="n">
        <v>0</v>
      </c>
      <c r="F102" s="124" t="n">
        <v>0</v>
      </c>
      <c r="G102" s="124" t="n">
        <v>0</v>
      </c>
      <c r="I102" s="124" t="n">
        <f aca="false">IF(MONTH($A102)=MONTH($A101),IF(G102=0,I101,G102),G102)</f>
        <v>0</v>
      </c>
      <c r="J102" s="124" t="n">
        <f aca="false">IF(MONTH($A102)=MONTH($A101),SUM(I102-I101),I102)</f>
        <v>0</v>
      </c>
      <c r="K102" s="124" t="n">
        <f aca="false">IF(WEEKDAY(A102,3)&gt;4,0,(IF(A102&lt;K$2,0,IF(A102&lt;=K$3,1,0))))</f>
        <v>0</v>
      </c>
      <c r="L102" s="124" t="n">
        <f aca="false">J102*K102</f>
        <v>0</v>
      </c>
      <c r="M102" s="124" t="n">
        <f aca="false">SUM(J$97:J102)</f>
        <v>0</v>
      </c>
      <c r="N102" s="124" t="n">
        <f aca="false">SUM(J$6:J102)</f>
        <v>0</v>
      </c>
      <c r="P102" s="124" t="n">
        <f aca="false">D102/P$3</f>
        <v>0</v>
      </c>
      <c r="Q102" s="124" t="n">
        <f aca="false">E102/P$3</f>
        <v>0</v>
      </c>
      <c r="R102" s="124" t="n">
        <f aca="false">F102/R$3</f>
        <v>0</v>
      </c>
      <c r="S102" s="126" t="n">
        <f aca="false">J102/$R$3</f>
        <v>0</v>
      </c>
      <c r="T102" s="126" t="n">
        <f aca="false">L102/$R$3</f>
        <v>0</v>
      </c>
      <c r="U102" s="126" t="n">
        <f aca="false">I102/$R$3</f>
        <v>0</v>
      </c>
      <c r="V102" s="126" t="n">
        <f aca="false">M102/$R$3</f>
        <v>0</v>
      </c>
      <c r="W102" s="126" t="n">
        <f aca="false">N102/$R$3</f>
        <v>0</v>
      </c>
    </row>
    <row r="103" customFormat="false" ht="12.75" hidden="true" customHeight="false" outlineLevel="0" collapsed="false">
      <c r="A103" s="120" t="n">
        <f aca="false">A102+1</f>
        <v>36989</v>
      </c>
      <c r="B103" s="131" t="str">
        <f aca="false">INDEX('Master Data'!$A$2:$B$8,MATCH(WEEKDAY('MM PLANT'!A103,3),'Master Data'!$A$2:$A$8,0),2)</f>
        <v>Su</v>
      </c>
      <c r="D103" s="124" t="n">
        <v>0</v>
      </c>
      <c r="E103" s="124" t="n">
        <v>0</v>
      </c>
      <c r="F103" s="124" t="n">
        <v>0</v>
      </c>
      <c r="G103" s="124" t="n">
        <v>0</v>
      </c>
      <c r="I103" s="124" t="n">
        <f aca="false">IF(MONTH($A103)=MONTH($A102),IF(G103=0,I102,G103),G103)</f>
        <v>0</v>
      </c>
      <c r="J103" s="124" t="n">
        <f aca="false">IF(MONTH($A103)=MONTH($A102),SUM(I103-I102),I103)</f>
        <v>0</v>
      </c>
      <c r="K103" s="124" t="n">
        <f aca="false">IF(WEEKDAY(A103,3)&gt;4,0,(IF(A103&lt;K$2,0,IF(A103&lt;=K$3,1,0))))</f>
        <v>0</v>
      </c>
      <c r="L103" s="124" t="n">
        <f aca="false">J103*K103</f>
        <v>0</v>
      </c>
      <c r="M103" s="124" t="n">
        <f aca="false">SUM(J$97:J103)</f>
        <v>0</v>
      </c>
      <c r="N103" s="124" t="n">
        <f aca="false">SUM(J$6:J103)</f>
        <v>0</v>
      </c>
      <c r="P103" s="124" t="n">
        <f aca="false">D103/P$3</f>
        <v>0</v>
      </c>
      <c r="Q103" s="124" t="n">
        <f aca="false">E103/P$3</f>
        <v>0</v>
      </c>
      <c r="R103" s="124" t="n">
        <f aca="false">F103/R$3</f>
        <v>0</v>
      </c>
      <c r="S103" s="126" t="n">
        <f aca="false">J103/$R$3</f>
        <v>0</v>
      </c>
      <c r="T103" s="126" t="n">
        <f aca="false">L103/$R$3</f>
        <v>0</v>
      </c>
      <c r="U103" s="126" t="n">
        <f aca="false">I103/$R$3</f>
        <v>0</v>
      </c>
      <c r="V103" s="126" t="n">
        <f aca="false">M103/$R$3</f>
        <v>0</v>
      </c>
      <c r="W103" s="126" t="n">
        <f aca="false">N103/$R$3</f>
        <v>0</v>
      </c>
    </row>
    <row r="104" customFormat="false" ht="12.75" hidden="true" customHeight="false" outlineLevel="0" collapsed="false">
      <c r="A104" s="120" t="n">
        <f aca="false">A103+1</f>
        <v>36990</v>
      </c>
      <c r="B104" s="131" t="str">
        <f aca="false">INDEX('Master Data'!$A$2:$B$8,MATCH(WEEKDAY('MM PLANT'!A104,3),'Master Data'!$A$2:$A$8,0),2)</f>
        <v>M</v>
      </c>
      <c r="D104" s="124" t="n">
        <v>0</v>
      </c>
      <c r="E104" s="124" t="n">
        <v>0</v>
      </c>
      <c r="F104" s="124" t="n">
        <v>0</v>
      </c>
      <c r="G104" s="124" t="n">
        <v>0</v>
      </c>
      <c r="I104" s="124" t="n">
        <f aca="false">IF(MONTH($A104)=MONTH($A103),IF(G104=0,I103,G104),G104)</f>
        <v>0</v>
      </c>
      <c r="J104" s="124" t="n">
        <f aca="false">IF(MONTH($A104)=MONTH($A103),SUM(I104-I103),I104)</f>
        <v>0</v>
      </c>
      <c r="K104" s="124" t="n">
        <f aca="false">IF(WEEKDAY(A104,3)&gt;4,0,(IF(A104&lt;K$2,0,IF(A104&lt;=K$3,1,0))))</f>
        <v>0</v>
      </c>
      <c r="L104" s="124" t="n">
        <f aca="false">J104*K104</f>
        <v>0</v>
      </c>
      <c r="M104" s="124" t="n">
        <f aca="false">SUM(J$97:J104)</f>
        <v>0</v>
      </c>
      <c r="N104" s="124" t="n">
        <f aca="false">SUM(J$6:J104)</f>
        <v>0</v>
      </c>
      <c r="P104" s="124" t="n">
        <f aca="false">D104/P$3</f>
        <v>0</v>
      </c>
      <c r="Q104" s="124" t="n">
        <f aca="false">E104/P$3</f>
        <v>0</v>
      </c>
      <c r="R104" s="124" t="n">
        <f aca="false">F104/R$3</f>
        <v>0</v>
      </c>
      <c r="S104" s="126" t="n">
        <f aca="false">J104/$R$3</f>
        <v>0</v>
      </c>
      <c r="T104" s="126" t="n">
        <f aca="false">L104/$R$3</f>
        <v>0</v>
      </c>
      <c r="U104" s="126" t="n">
        <f aca="false">I104/$R$3</f>
        <v>0</v>
      </c>
      <c r="V104" s="126" t="n">
        <f aca="false">M104/$R$3</f>
        <v>0</v>
      </c>
      <c r="W104" s="126" t="n">
        <f aca="false">N104/$R$3</f>
        <v>0</v>
      </c>
    </row>
    <row r="105" customFormat="false" ht="12.75" hidden="true" customHeight="false" outlineLevel="0" collapsed="false">
      <c r="A105" s="120" t="n">
        <f aca="false">A104+1</f>
        <v>36991</v>
      </c>
      <c r="B105" s="131" t="str">
        <f aca="false">INDEX('Master Data'!$A$2:$B$8,MATCH(WEEKDAY('MM PLANT'!A105,3),'Master Data'!$A$2:$A$8,0),2)</f>
        <v>T</v>
      </c>
      <c r="D105" s="124" t="n">
        <v>0</v>
      </c>
      <c r="E105" s="124" t="n">
        <v>0</v>
      </c>
      <c r="F105" s="124" t="n">
        <v>0</v>
      </c>
      <c r="G105" s="124" t="n">
        <v>0</v>
      </c>
      <c r="I105" s="124" t="n">
        <f aca="false">IF(MONTH($A105)=MONTH($A104),IF(G105=0,I104,G105),G105)</f>
        <v>0</v>
      </c>
      <c r="J105" s="124" t="n">
        <f aca="false">IF(MONTH($A105)=MONTH($A104),SUM(I105-I104),I105)</f>
        <v>0</v>
      </c>
      <c r="K105" s="124" t="n">
        <f aca="false">IF(WEEKDAY(A105,3)&gt;4,0,(IF(A105&lt;K$2,0,IF(A105&lt;=K$3,1,0))))</f>
        <v>0</v>
      </c>
      <c r="L105" s="124" t="n">
        <f aca="false">J105*K105</f>
        <v>0</v>
      </c>
      <c r="M105" s="124" t="n">
        <f aca="false">SUM(J$97:J105)</f>
        <v>0</v>
      </c>
      <c r="N105" s="124" t="n">
        <f aca="false">SUM(J$6:J105)</f>
        <v>0</v>
      </c>
      <c r="P105" s="124" t="n">
        <f aca="false">D105/P$3</f>
        <v>0</v>
      </c>
      <c r="Q105" s="124" t="n">
        <f aca="false">E105/P$3</f>
        <v>0</v>
      </c>
      <c r="R105" s="124" t="n">
        <f aca="false">F105/R$3</f>
        <v>0</v>
      </c>
      <c r="S105" s="126" t="n">
        <f aca="false">J105/$R$3</f>
        <v>0</v>
      </c>
      <c r="T105" s="126" t="n">
        <f aca="false">L105/$R$3</f>
        <v>0</v>
      </c>
      <c r="U105" s="126" t="n">
        <f aca="false">I105/$R$3</f>
        <v>0</v>
      </c>
      <c r="V105" s="126" t="n">
        <f aca="false">M105/$R$3</f>
        <v>0</v>
      </c>
      <c r="W105" s="126" t="n">
        <f aca="false">N105/$R$3</f>
        <v>0</v>
      </c>
    </row>
    <row r="106" customFormat="false" ht="12.75" hidden="true" customHeight="false" outlineLevel="0" collapsed="false">
      <c r="A106" s="120" t="n">
        <f aca="false">A105+1</f>
        <v>36992</v>
      </c>
      <c r="B106" s="131" t="str">
        <f aca="false">INDEX('Master Data'!$A$2:$B$8,MATCH(WEEKDAY('MM PLANT'!A106,3),'Master Data'!$A$2:$A$8,0),2)</f>
        <v>W</v>
      </c>
      <c r="D106" s="124" t="n">
        <v>0</v>
      </c>
      <c r="E106" s="124" t="n">
        <v>0</v>
      </c>
      <c r="F106" s="124" t="n">
        <v>0</v>
      </c>
      <c r="G106" s="124" t="n">
        <v>0</v>
      </c>
      <c r="I106" s="124" t="n">
        <f aca="false">IF(MONTH($A106)=MONTH($A105),IF(G106=0,I105,G106),G106)</f>
        <v>0</v>
      </c>
      <c r="J106" s="124" t="n">
        <f aca="false">IF(MONTH($A106)=MONTH($A105),SUM(I106-I105),I106)</f>
        <v>0</v>
      </c>
      <c r="K106" s="124" t="n">
        <f aca="false">IF(WEEKDAY(A106,3)&gt;4,0,(IF(A106&lt;K$2,0,IF(A106&lt;=K$3,1,0))))</f>
        <v>0</v>
      </c>
      <c r="L106" s="124" t="n">
        <f aca="false">J106*K106</f>
        <v>0</v>
      </c>
      <c r="M106" s="124" t="n">
        <f aca="false">SUM(J$97:J106)</f>
        <v>0</v>
      </c>
      <c r="N106" s="124" t="n">
        <f aca="false">SUM(J$6:J106)</f>
        <v>0</v>
      </c>
      <c r="P106" s="124" t="n">
        <f aca="false">D106/P$3</f>
        <v>0</v>
      </c>
      <c r="Q106" s="124" t="n">
        <f aca="false">E106/P$3</f>
        <v>0</v>
      </c>
      <c r="R106" s="124" t="n">
        <f aca="false">F106/R$3</f>
        <v>0</v>
      </c>
      <c r="S106" s="126" t="n">
        <f aca="false">J106/$R$3</f>
        <v>0</v>
      </c>
      <c r="T106" s="126" t="n">
        <f aca="false">L106/$R$3</f>
        <v>0</v>
      </c>
      <c r="U106" s="126" t="n">
        <f aca="false">I106/$R$3</f>
        <v>0</v>
      </c>
      <c r="V106" s="126" t="n">
        <f aca="false">M106/$R$3</f>
        <v>0</v>
      </c>
      <c r="W106" s="126" t="n">
        <f aca="false">N106/$R$3</f>
        <v>0</v>
      </c>
    </row>
    <row r="107" customFormat="false" ht="12.75" hidden="true" customHeight="false" outlineLevel="0" collapsed="false">
      <c r="A107" s="120" t="n">
        <f aca="false">A106+1</f>
        <v>36993</v>
      </c>
      <c r="B107" s="131" t="str">
        <f aca="false">INDEX('Master Data'!$A$2:$B$8,MATCH(WEEKDAY('MM PLANT'!A107,3),'Master Data'!$A$2:$A$8,0),2)</f>
        <v>Th</v>
      </c>
      <c r="D107" s="124" t="n">
        <v>0</v>
      </c>
      <c r="E107" s="124" t="n">
        <v>0</v>
      </c>
      <c r="F107" s="124" t="n">
        <v>0</v>
      </c>
      <c r="G107" s="124" t="n">
        <v>0</v>
      </c>
      <c r="I107" s="124" t="n">
        <f aca="false">IF(MONTH($A107)=MONTH($A106),IF(G107=0,I106,G107),G107)</f>
        <v>0</v>
      </c>
      <c r="J107" s="124" t="n">
        <f aca="false">IF(MONTH($A107)=MONTH($A106),SUM(I107-I106),I107)</f>
        <v>0</v>
      </c>
      <c r="K107" s="124" t="n">
        <f aca="false">IF(WEEKDAY(A107,3)&gt;4,0,(IF(A107&lt;K$2,0,IF(A107&lt;=K$3,1,0))))</f>
        <v>0</v>
      </c>
      <c r="L107" s="124" t="n">
        <f aca="false">J107*K107</f>
        <v>0</v>
      </c>
      <c r="M107" s="124" t="n">
        <f aca="false">SUM(J$97:J107)</f>
        <v>0</v>
      </c>
      <c r="N107" s="124" t="n">
        <f aca="false">SUM(J$6:J107)</f>
        <v>0</v>
      </c>
      <c r="P107" s="124" t="n">
        <f aca="false">D107/P$3</f>
        <v>0</v>
      </c>
      <c r="Q107" s="124" t="n">
        <f aca="false">E107/P$3</f>
        <v>0</v>
      </c>
      <c r="R107" s="124" t="n">
        <f aca="false">F107/R$3</f>
        <v>0</v>
      </c>
      <c r="S107" s="126" t="n">
        <f aca="false">J107/$R$3</f>
        <v>0</v>
      </c>
      <c r="T107" s="126" t="n">
        <f aca="false">L107/$R$3</f>
        <v>0</v>
      </c>
      <c r="U107" s="126" t="n">
        <f aca="false">I107/$R$3</f>
        <v>0</v>
      </c>
      <c r="V107" s="126" t="n">
        <f aca="false">M107/$R$3</f>
        <v>0</v>
      </c>
      <c r="W107" s="126" t="n">
        <f aca="false">N107/$R$3</f>
        <v>0</v>
      </c>
    </row>
    <row r="108" customFormat="false" ht="12.75" hidden="true" customHeight="false" outlineLevel="0" collapsed="false">
      <c r="A108" s="120" t="n">
        <f aca="false">A107+1</f>
        <v>36994</v>
      </c>
      <c r="B108" s="131" t="str">
        <f aca="false">INDEX('Master Data'!$A$2:$B$8,MATCH(WEEKDAY('MM PLANT'!A108,3),'Master Data'!$A$2:$A$8,0),2)</f>
        <v>F</v>
      </c>
      <c r="D108" s="124" t="n">
        <v>0</v>
      </c>
      <c r="E108" s="124" t="n">
        <v>0</v>
      </c>
      <c r="F108" s="124" t="n">
        <v>0</v>
      </c>
      <c r="G108" s="124" t="n">
        <v>0</v>
      </c>
      <c r="I108" s="124" t="n">
        <f aca="false">IF(MONTH($A108)=MONTH($A107),IF(G108=0,I107,G108),G108)</f>
        <v>0</v>
      </c>
      <c r="J108" s="124" t="n">
        <f aca="false">IF(MONTH($A108)=MONTH($A107),SUM(I108-I107),I108)</f>
        <v>0</v>
      </c>
      <c r="K108" s="124" t="n">
        <f aca="false">IF(WEEKDAY(A108,3)&gt;4,0,(IF(A108&lt;K$2,0,IF(A108&lt;=K$3,1,0))))</f>
        <v>0</v>
      </c>
      <c r="L108" s="124" t="n">
        <f aca="false">J108*K108</f>
        <v>0</v>
      </c>
      <c r="M108" s="124" t="n">
        <f aca="false">SUM(J$97:J108)</f>
        <v>0</v>
      </c>
      <c r="N108" s="124" t="n">
        <f aca="false">SUM(J$6:J108)</f>
        <v>0</v>
      </c>
      <c r="P108" s="124" t="n">
        <f aca="false">D108/P$3</f>
        <v>0</v>
      </c>
      <c r="Q108" s="124" t="n">
        <f aca="false">E108/P$3</f>
        <v>0</v>
      </c>
      <c r="R108" s="124" t="n">
        <f aca="false">F108/R$3</f>
        <v>0</v>
      </c>
      <c r="S108" s="126" t="n">
        <f aca="false">J108/$R$3</f>
        <v>0</v>
      </c>
      <c r="T108" s="126" t="n">
        <f aca="false">L108/$R$3</f>
        <v>0</v>
      </c>
      <c r="U108" s="126" t="n">
        <f aca="false">I108/$R$3</f>
        <v>0</v>
      </c>
      <c r="V108" s="126" t="n">
        <f aca="false">M108/$R$3</f>
        <v>0</v>
      </c>
      <c r="W108" s="126" t="n">
        <f aca="false">N108/$R$3</f>
        <v>0</v>
      </c>
    </row>
    <row r="109" customFormat="false" ht="12.75" hidden="true" customHeight="false" outlineLevel="0" collapsed="false">
      <c r="A109" s="120" t="n">
        <f aca="false">A108+1</f>
        <v>36995</v>
      </c>
      <c r="B109" s="131" t="str">
        <f aca="false">INDEX('Master Data'!$A$2:$B$8,MATCH(WEEKDAY('MM PLANT'!A109,3),'Master Data'!$A$2:$A$8,0),2)</f>
        <v>Sa</v>
      </c>
      <c r="D109" s="124" t="n">
        <v>0</v>
      </c>
      <c r="E109" s="124" t="n">
        <v>0</v>
      </c>
      <c r="F109" s="124" t="n">
        <v>0</v>
      </c>
      <c r="G109" s="124" t="n">
        <v>0</v>
      </c>
      <c r="I109" s="124" t="n">
        <f aca="false">IF(MONTH($A109)=MONTH($A108),IF(G109=0,I108,G109),G109)</f>
        <v>0</v>
      </c>
      <c r="J109" s="124" t="n">
        <f aca="false">IF(MONTH($A109)=MONTH($A108),SUM(I109-I108),I109)</f>
        <v>0</v>
      </c>
      <c r="K109" s="124" t="n">
        <f aca="false">IF(WEEKDAY(A109,3)&gt;4,0,(IF(A109&lt;K$2,0,IF(A109&lt;=K$3,1,0))))</f>
        <v>0</v>
      </c>
      <c r="L109" s="124" t="n">
        <f aca="false">J109*K109</f>
        <v>0</v>
      </c>
      <c r="M109" s="124" t="n">
        <f aca="false">SUM(J$97:J109)</f>
        <v>0</v>
      </c>
      <c r="N109" s="124" t="n">
        <f aca="false">SUM(J$6:J109)</f>
        <v>0</v>
      </c>
      <c r="P109" s="124" t="n">
        <f aca="false">D109/P$3</f>
        <v>0</v>
      </c>
      <c r="Q109" s="124" t="n">
        <f aca="false">E109/P$3</f>
        <v>0</v>
      </c>
      <c r="R109" s="124" t="n">
        <f aca="false">F109/R$3</f>
        <v>0</v>
      </c>
      <c r="S109" s="126" t="n">
        <f aca="false">J109/$R$3</f>
        <v>0</v>
      </c>
      <c r="T109" s="126" t="n">
        <f aca="false">L109/$R$3</f>
        <v>0</v>
      </c>
      <c r="U109" s="126" t="n">
        <f aca="false">I109/$R$3</f>
        <v>0</v>
      </c>
      <c r="V109" s="126" t="n">
        <f aca="false">M109/$R$3</f>
        <v>0</v>
      </c>
      <c r="W109" s="126" t="n">
        <f aca="false">N109/$R$3</f>
        <v>0</v>
      </c>
    </row>
    <row r="110" customFormat="false" ht="12.75" hidden="true" customHeight="false" outlineLevel="0" collapsed="false">
      <c r="A110" s="120" t="n">
        <f aca="false">A109+1</f>
        <v>36996</v>
      </c>
      <c r="B110" s="131" t="str">
        <f aca="false">INDEX('Master Data'!$A$2:$B$8,MATCH(WEEKDAY('MM PLANT'!A110,3),'Master Data'!$A$2:$A$8,0),2)</f>
        <v>Su</v>
      </c>
      <c r="D110" s="124" t="n">
        <v>0</v>
      </c>
      <c r="E110" s="124" t="n">
        <v>0</v>
      </c>
      <c r="F110" s="124" t="n">
        <v>0</v>
      </c>
      <c r="G110" s="124" t="n">
        <v>0</v>
      </c>
      <c r="I110" s="124" t="n">
        <f aca="false">IF(MONTH($A110)=MONTH($A109),IF(G110=0,I109,G110),G110)</f>
        <v>0</v>
      </c>
      <c r="J110" s="124" t="n">
        <f aca="false">IF(MONTH($A110)=MONTH($A109),SUM(I110-I109),I110)</f>
        <v>0</v>
      </c>
      <c r="K110" s="124" t="n">
        <f aca="false">IF(WEEKDAY(A110,3)&gt;4,0,(IF(A110&lt;K$2,0,IF(A110&lt;=K$3,1,0))))</f>
        <v>0</v>
      </c>
      <c r="L110" s="124" t="n">
        <f aca="false">J110*K110</f>
        <v>0</v>
      </c>
      <c r="M110" s="124" t="n">
        <f aca="false">SUM(J$97:J110)</f>
        <v>0</v>
      </c>
      <c r="N110" s="124" t="n">
        <f aca="false">SUM(J$6:J110)</f>
        <v>0</v>
      </c>
      <c r="P110" s="124" t="n">
        <f aca="false">D110/P$3</f>
        <v>0</v>
      </c>
      <c r="Q110" s="124" t="n">
        <f aca="false">E110/P$3</f>
        <v>0</v>
      </c>
      <c r="R110" s="124" t="n">
        <f aca="false">F110/R$3</f>
        <v>0</v>
      </c>
      <c r="S110" s="126" t="n">
        <f aca="false">J110/$R$3</f>
        <v>0</v>
      </c>
      <c r="T110" s="126" t="n">
        <f aca="false">L110/$R$3</f>
        <v>0</v>
      </c>
      <c r="U110" s="126" t="n">
        <f aca="false">I110/$R$3</f>
        <v>0</v>
      </c>
      <c r="V110" s="126" t="n">
        <f aca="false">M110/$R$3</f>
        <v>0</v>
      </c>
      <c r="W110" s="126" t="n">
        <f aca="false">N110/$R$3</f>
        <v>0</v>
      </c>
    </row>
    <row r="111" customFormat="false" ht="12.75" hidden="true" customHeight="false" outlineLevel="0" collapsed="false">
      <c r="A111" s="120" t="n">
        <f aca="false">A110+1</f>
        <v>36997</v>
      </c>
      <c r="B111" s="131" t="str">
        <f aca="false">INDEX('Master Data'!$A$2:$B$8,MATCH(WEEKDAY('MM PLANT'!A111,3),'Master Data'!$A$2:$A$8,0),2)</f>
        <v>M</v>
      </c>
      <c r="D111" s="124" t="n">
        <v>0</v>
      </c>
      <c r="E111" s="124" t="n">
        <v>0</v>
      </c>
      <c r="F111" s="124" t="n">
        <v>0</v>
      </c>
      <c r="G111" s="124" t="n">
        <v>0</v>
      </c>
      <c r="I111" s="124" t="n">
        <f aca="false">IF(MONTH($A111)=MONTH($A110),IF(G111=0,I110,G111),G111)</f>
        <v>0</v>
      </c>
      <c r="J111" s="124" t="n">
        <f aca="false">IF(MONTH($A111)=MONTH($A110),SUM(I111-I110),I111)</f>
        <v>0</v>
      </c>
      <c r="K111" s="124" t="n">
        <f aca="false">IF(WEEKDAY(A111,3)&gt;4,0,(IF(A111&lt;K$2,0,IF(A111&lt;=K$3,1,0))))</f>
        <v>0</v>
      </c>
      <c r="L111" s="124" t="n">
        <f aca="false">J111*K111</f>
        <v>0</v>
      </c>
      <c r="M111" s="124" t="n">
        <f aca="false">SUM(J$97:J111)</f>
        <v>0</v>
      </c>
      <c r="N111" s="124" t="n">
        <f aca="false">SUM(J$6:J111)</f>
        <v>0</v>
      </c>
      <c r="P111" s="124" t="n">
        <f aca="false">D111/P$3</f>
        <v>0</v>
      </c>
      <c r="Q111" s="124" t="n">
        <f aca="false">E111/P$3</f>
        <v>0</v>
      </c>
      <c r="R111" s="124" t="n">
        <f aca="false">F111/R$3</f>
        <v>0</v>
      </c>
      <c r="S111" s="126" t="n">
        <f aca="false">J111/$R$3</f>
        <v>0</v>
      </c>
      <c r="T111" s="126" t="n">
        <f aca="false">L111/$R$3</f>
        <v>0</v>
      </c>
      <c r="U111" s="126" t="n">
        <f aca="false">I111/$R$3</f>
        <v>0</v>
      </c>
      <c r="V111" s="126" t="n">
        <f aca="false">M111/$R$3</f>
        <v>0</v>
      </c>
      <c r="W111" s="126" t="n">
        <f aca="false">N111/$R$3</f>
        <v>0</v>
      </c>
    </row>
    <row r="112" customFormat="false" ht="12.75" hidden="true" customHeight="false" outlineLevel="0" collapsed="false">
      <c r="A112" s="120" t="n">
        <f aca="false">A111+1</f>
        <v>36998</v>
      </c>
      <c r="B112" s="131" t="str">
        <f aca="false">INDEX('Master Data'!$A$2:$B$8,MATCH(WEEKDAY('MM PLANT'!A112,3),'Master Data'!$A$2:$A$8,0),2)</f>
        <v>T</v>
      </c>
      <c r="D112" s="124" t="n">
        <v>0</v>
      </c>
      <c r="E112" s="124" t="n">
        <v>0</v>
      </c>
      <c r="F112" s="124" t="n">
        <v>0</v>
      </c>
      <c r="G112" s="124" t="n">
        <v>0</v>
      </c>
      <c r="I112" s="124" t="n">
        <f aca="false">IF(MONTH($A112)=MONTH($A111),IF(G112=0,I111,G112),G112)</f>
        <v>0</v>
      </c>
      <c r="J112" s="124" t="n">
        <f aca="false">IF(MONTH($A112)=MONTH($A111),SUM(I112-I111),I112)</f>
        <v>0</v>
      </c>
      <c r="K112" s="124" t="n">
        <f aca="false">IF(WEEKDAY(A112,3)&gt;4,0,(IF(A112&lt;K$2,0,IF(A112&lt;=K$3,1,0))))</f>
        <v>0</v>
      </c>
      <c r="L112" s="124" t="n">
        <f aca="false">J112*K112</f>
        <v>0</v>
      </c>
      <c r="M112" s="124" t="n">
        <f aca="false">SUM(J$97:J112)</f>
        <v>0</v>
      </c>
      <c r="N112" s="124" t="n">
        <f aca="false">SUM(J$6:J112)</f>
        <v>0</v>
      </c>
      <c r="P112" s="124" t="n">
        <f aca="false">D112/P$3</f>
        <v>0</v>
      </c>
      <c r="Q112" s="124" t="n">
        <f aca="false">E112/P$3</f>
        <v>0</v>
      </c>
      <c r="R112" s="124" t="n">
        <f aca="false">F112/R$3</f>
        <v>0</v>
      </c>
      <c r="S112" s="126" t="n">
        <f aca="false">J112/$R$3</f>
        <v>0</v>
      </c>
      <c r="T112" s="126" t="n">
        <f aca="false">L112/$R$3</f>
        <v>0</v>
      </c>
      <c r="U112" s="126" t="n">
        <f aca="false">I112/$R$3</f>
        <v>0</v>
      </c>
      <c r="V112" s="126" t="n">
        <f aca="false">M112/$R$3</f>
        <v>0</v>
      </c>
      <c r="W112" s="126" t="n">
        <f aca="false">N112/$R$3</f>
        <v>0</v>
      </c>
    </row>
    <row r="113" customFormat="false" ht="12.75" hidden="true" customHeight="false" outlineLevel="0" collapsed="false">
      <c r="A113" s="120" t="n">
        <f aca="false">A112+1</f>
        <v>36999</v>
      </c>
      <c r="B113" s="131" t="str">
        <f aca="false">INDEX('Master Data'!$A$2:$B$8,MATCH(WEEKDAY('MM PLANT'!A113,3),'Master Data'!$A$2:$A$8,0),2)</f>
        <v>W</v>
      </c>
      <c r="D113" s="124" t="n">
        <v>0</v>
      </c>
      <c r="E113" s="124" t="n">
        <v>0</v>
      </c>
      <c r="F113" s="124" t="n">
        <v>0</v>
      </c>
      <c r="G113" s="124" t="n">
        <v>0</v>
      </c>
      <c r="I113" s="124" t="n">
        <f aca="false">IF(MONTH($A113)=MONTH($A112),IF(G113=0,I112,G113),G113)</f>
        <v>0</v>
      </c>
      <c r="J113" s="124" t="n">
        <f aca="false">IF(MONTH($A113)=MONTH($A112),SUM(I113-I112),I113)</f>
        <v>0</v>
      </c>
      <c r="K113" s="124" t="n">
        <f aca="false">IF(WEEKDAY(A113,3)&gt;4,0,(IF(A113&lt;K$2,0,IF(A113&lt;=K$3,1,0))))</f>
        <v>0</v>
      </c>
      <c r="L113" s="124" t="n">
        <f aca="false">J113*K113</f>
        <v>0</v>
      </c>
      <c r="M113" s="124" t="n">
        <f aca="false">SUM(J$97:J113)</f>
        <v>0</v>
      </c>
      <c r="N113" s="124" t="n">
        <f aca="false">SUM(J$6:J113)</f>
        <v>0</v>
      </c>
      <c r="P113" s="124" t="n">
        <f aca="false">D113/P$3</f>
        <v>0</v>
      </c>
      <c r="Q113" s="124" t="n">
        <f aca="false">E113/P$3</f>
        <v>0</v>
      </c>
      <c r="R113" s="124" t="n">
        <f aca="false">F113/R$3</f>
        <v>0</v>
      </c>
      <c r="S113" s="126" t="n">
        <f aca="false">J113/$R$3</f>
        <v>0</v>
      </c>
      <c r="T113" s="126" t="n">
        <f aca="false">L113/$R$3</f>
        <v>0</v>
      </c>
      <c r="U113" s="126" t="n">
        <f aca="false">I113/$R$3</f>
        <v>0</v>
      </c>
      <c r="V113" s="126" t="n">
        <f aca="false">M113/$R$3</f>
        <v>0</v>
      </c>
      <c r="W113" s="126" t="n">
        <f aca="false">N113/$R$3</f>
        <v>0</v>
      </c>
    </row>
    <row r="114" customFormat="false" ht="12.75" hidden="true" customHeight="false" outlineLevel="0" collapsed="false">
      <c r="A114" s="120" t="n">
        <f aca="false">A113+1</f>
        <v>37000</v>
      </c>
      <c r="B114" s="131" t="str">
        <f aca="false">INDEX('Master Data'!$A$2:$B$8,MATCH(WEEKDAY('MM PLANT'!A114,3),'Master Data'!$A$2:$A$8,0),2)</f>
        <v>Th</v>
      </c>
      <c r="D114" s="124" t="n">
        <v>0</v>
      </c>
      <c r="E114" s="124" t="n">
        <v>0</v>
      </c>
      <c r="F114" s="124" t="n">
        <v>0</v>
      </c>
      <c r="G114" s="124" t="n">
        <v>0</v>
      </c>
      <c r="I114" s="124" t="n">
        <f aca="false">IF(MONTH($A114)=MONTH($A113),IF(G114=0,I113,G114),G114)</f>
        <v>0</v>
      </c>
      <c r="J114" s="124" t="n">
        <f aca="false">IF(MONTH($A114)=MONTH($A113),SUM(I114-I113),I114)</f>
        <v>0</v>
      </c>
      <c r="K114" s="124" t="n">
        <f aca="false">IF(WEEKDAY(A114,3)&gt;4,0,(IF(A114&lt;K$2,0,IF(A114&lt;=K$3,1,0))))</f>
        <v>0</v>
      </c>
      <c r="L114" s="124" t="n">
        <f aca="false">J114*K114</f>
        <v>0</v>
      </c>
      <c r="M114" s="124" t="n">
        <f aca="false">SUM(J$97:J114)</f>
        <v>0</v>
      </c>
      <c r="N114" s="124" t="n">
        <f aca="false">SUM(J$6:J114)</f>
        <v>0</v>
      </c>
      <c r="P114" s="124" t="n">
        <f aca="false">D114/P$3</f>
        <v>0</v>
      </c>
      <c r="Q114" s="124" t="n">
        <f aca="false">E114/P$3</f>
        <v>0</v>
      </c>
      <c r="R114" s="124" t="n">
        <f aca="false">F114/R$3</f>
        <v>0</v>
      </c>
      <c r="S114" s="126" t="n">
        <f aca="false">J114/$R$3</f>
        <v>0</v>
      </c>
      <c r="T114" s="126" t="n">
        <f aca="false">L114/$R$3</f>
        <v>0</v>
      </c>
      <c r="U114" s="126" t="n">
        <f aca="false">I114/$R$3</f>
        <v>0</v>
      </c>
      <c r="V114" s="126" t="n">
        <f aca="false">M114/$R$3</f>
        <v>0</v>
      </c>
      <c r="W114" s="126" t="n">
        <f aca="false">N114/$R$3</f>
        <v>0</v>
      </c>
    </row>
    <row r="115" customFormat="false" ht="12.75" hidden="true" customHeight="false" outlineLevel="0" collapsed="false">
      <c r="A115" s="120" t="n">
        <f aca="false">A114+1</f>
        <v>37001</v>
      </c>
      <c r="B115" s="131" t="str">
        <f aca="false">INDEX('Master Data'!$A$2:$B$8,MATCH(WEEKDAY('MM PLANT'!A115,3),'Master Data'!$A$2:$A$8,0),2)</f>
        <v>F</v>
      </c>
      <c r="D115" s="124" t="n">
        <v>0</v>
      </c>
      <c r="E115" s="124" t="n">
        <v>0</v>
      </c>
      <c r="F115" s="124" t="n">
        <v>0</v>
      </c>
      <c r="G115" s="124" t="n">
        <v>0</v>
      </c>
      <c r="I115" s="124" t="n">
        <f aca="false">IF(MONTH($A115)=MONTH($A114),IF(G115=0,I114,G115),G115)</f>
        <v>0</v>
      </c>
      <c r="J115" s="124" t="n">
        <f aca="false">IF(MONTH($A115)=MONTH($A114),SUM(I115-I114),I115)</f>
        <v>0</v>
      </c>
      <c r="K115" s="124" t="n">
        <f aca="false">IF(WEEKDAY(A115,3)&gt;4,0,(IF(A115&lt;K$2,0,IF(A115&lt;=K$3,1,0))))</f>
        <v>0</v>
      </c>
      <c r="L115" s="124" t="n">
        <f aca="false">J115*K115</f>
        <v>0</v>
      </c>
      <c r="M115" s="124" t="n">
        <f aca="false">SUM(J$97:J115)</f>
        <v>0</v>
      </c>
      <c r="N115" s="124" t="n">
        <f aca="false">SUM(J$6:J115)</f>
        <v>0</v>
      </c>
      <c r="P115" s="124" t="n">
        <f aca="false">D115/P$3</f>
        <v>0</v>
      </c>
      <c r="Q115" s="124" t="n">
        <f aca="false">E115/P$3</f>
        <v>0</v>
      </c>
      <c r="R115" s="124" t="n">
        <f aca="false">F115/R$3</f>
        <v>0</v>
      </c>
      <c r="S115" s="126" t="n">
        <f aca="false">J115/$R$3</f>
        <v>0</v>
      </c>
      <c r="T115" s="126" t="n">
        <f aca="false">L115/$R$3</f>
        <v>0</v>
      </c>
      <c r="U115" s="126" t="n">
        <f aca="false">I115/$R$3</f>
        <v>0</v>
      </c>
      <c r="V115" s="126" t="n">
        <f aca="false">M115/$R$3</f>
        <v>0</v>
      </c>
      <c r="W115" s="126" t="n">
        <f aca="false">N115/$R$3</f>
        <v>0</v>
      </c>
    </row>
    <row r="116" customFormat="false" ht="12.75" hidden="true" customHeight="false" outlineLevel="0" collapsed="false">
      <c r="A116" s="120" t="n">
        <f aca="false">A115+1</f>
        <v>37002</v>
      </c>
      <c r="B116" s="131" t="str">
        <f aca="false">INDEX('Master Data'!$A$2:$B$8,MATCH(WEEKDAY('MM PLANT'!A116,3),'Master Data'!$A$2:$A$8,0),2)</f>
        <v>Sa</v>
      </c>
      <c r="D116" s="124" t="n">
        <v>0</v>
      </c>
      <c r="E116" s="124" t="n">
        <v>0</v>
      </c>
      <c r="F116" s="124" t="n">
        <v>0</v>
      </c>
      <c r="G116" s="124" t="n">
        <v>0</v>
      </c>
      <c r="I116" s="124" t="n">
        <f aca="false">IF(MONTH($A116)=MONTH($A115),IF(G116=0,I115,G116),G116)</f>
        <v>0</v>
      </c>
      <c r="J116" s="124" t="n">
        <f aca="false">IF(MONTH($A116)=MONTH($A115),SUM(I116-I115),I116)</f>
        <v>0</v>
      </c>
      <c r="K116" s="124" t="n">
        <f aca="false">IF(WEEKDAY(A116,3)&gt;4,0,(IF(A116&lt;K$2,0,IF(A116&lt;=K$3,1,0))))</f>
        <v>0</v>
      </c>
      <c r="L116" s="124" t="n">
        <f aca="false">J116*K116</f>
        <v>0</v>
      </c>
      <c r="M116" s="124" t="n">
        <f aca="false">SUM(J$97:J116)</f>
        <v>0</v>
      </c>
      <c r="N116" s="124" t="n">
        <f aca="false">SUM(J$6:J116)</f>
        <v>0</v>
      </c>
      <c r="P116" s="124" t="n">
        <f aca="false">D116/P$3</f>
        <v>0</v>
      </c>
      <c r="Q116" s="124" t="n">
        <f aca="false">E116/P$3</f>
        <v>0</v>
      </c>
      <c r="R116" s="124" t="n">
        <f aca="false">F116/R$3</f>
        <v>0</v>
      </c>
      <c r="S116" s="126" t="n">
        <f aca="false">J116/$R$3</f>
        <v>0</v>
      </c>
      <c r="T116" s="126" t="n">
        <f aca="false">L116/$R$3</f>
        <v>0</v>
      </c>
      <c r="U116" s="126" t="n">
        <f aca="false">I116/$R$3</f>
        <v>0</v>
      </c>
      <c r="V116" s="126" t="n">
        <f aca="false">M116/$R$3</f>
        <v>0</v>
      </c>
      <c r="W116" s="126" t="n">
        <f aca="false">N116/$R$3</f>
        <v>0</v>
      </c>
    </row>
    <row r="117" customFormat="false" ht="12.75" hidden="true" customHeight="false" outlineLevel="0" collapsed="false">
      <c r="A117" s="120" t="n">
        <f aca="false">A116+1</f>
        <v>37003</v>
      </c>
      <c r="B117" s="131" t="str">
        <f aca="false">INDEX('Master Data'!$A$2:$B$8,MATCH(WEEKDAY('MM PLANT'!A117,3),'Master Data'!$A$2:$A$8,0),2)</f>
        <v>Su</v>
      </c>
      <c r="D117" s="124" t="n">
        <v>0</v>
      </c>
      <c r="E117" s="124" t="n">
        <v>0</v>
      </c>
      <c r="F117" s="124" t="n">
        <v>0</v>
      </c>
      <c r="G117" s="124" t="n">
        <v>0</v>
      </c>
      <c r="I117" s="124" t="n">
        <f aca="false">IF(MONTH($A117)=MONTH($A116),IF(G117=0,I116,G117),G117)</f>
        <v>0</v>
      </c>
      <c r="J117" s="124" t="n">
        <f aca="false">IF(MONTH($A117)=MONTH($A116),SUM(I117-I116),I117)</f>
        <v>0</v>
      </c>
      <c r="K117" s="124" t="n">
        <f aca="false">IF(WEEKDAY(A117,3)&gt;4,0,(IF(A117&lt;K$2,0,IF(A117&lt;=K$3,1,0))))</f>
        <v>0</v>
      </c>
      <c r="L117" s="124" t="n">
        <f aca="false">J117*K117</f>
        <v>0</v>
      </c>
      <c r="M117" s="124" t="n">
        <f aca="false">SUM(J$97:J117)</f>
        <v>0</v>
      </c>
      <c r="N117" s="124" t="n">
        <f aca="false">SUM(J$6:J117)</f>
        <v>0</v>
      </c>
      <c r="P117" s="124" t="n">
        <f aca="false">D117/P$3</f>
        <v>0</v>
      </c>
      <c r="Q117" s="124" t="n">
        <f aca="false">E117/P$3</f>
        <v>0</v>
      </c>
      <c r="R117" s="124" t="n">
        <f aca="false">F117/R$3</f>
        <v>0</v>
      </c>
      <c r="S117" s="126" t="n">
        <f aca="false">J117/$R$3</f>
        <v>0</v>
      </c>
      <c r="T117" s="126" t="n">
        <f aca="false">L117/$R$3</f>
        <v>0</v>
      </c>
      <c r="U117" s="126" t="n">
        <f aca="false">I117/$R$3</f>
        <v>0</v>
      </c>
      <c r="V117" s="126" t="n">
        <f aca="false">M117/$R$3</f>
        <v>0</v>
      </c>
      <c r="W117" s="126" t="n">
        <f aca="false">N117/$R$3</f>
        <v>0</v>
      </c>
    </row>
    <row r="118" customFormat="false" ht="12.75" hidden="true" customHeight="false" outlineLevel="0" collapsed="false">
      <c r="A118" s="120" t="n">
        <f aca="false">A117+1</f>
        <v>37004</v>
      </c>
      <c r="B118" s="131" t="str">
        <f aca="false">INDEX('Master Data'!$A$2:$B$8,MATCH(WEEKDAY('MM PLANT'!A118,3),'Master Data'!$A$2:$A$8,0),2)</f>
        <v>M</v>
      </c>
      <c r="D118" s="124" t="n">
        <v>0</v>
      </c>
      <c r="E118" s="124" t="n">
        <v>0</v>
      </c>
      <c r="F118" s="124" t="n">
        <v>0</v>
      </c>
      <c r="G118" s="124" t="n">
        <v>0</v>
      </c>
      <c r="I118" s="124" t="n">
        <f aca="false">IF(MONTH($A118)=MONTH($A117),IF(G118=0,I117,G118),G118)</f>
        <v>0</v>
      </c>
      <c r="J118" s="124" t="n">
        <f aca="false">IF(MONTH($A118)=MONTH($A117),SUM(I118-I117),I118)</f>
        <v>0</v>
      </c>
      <c r="K118" s="124" t="n">
        <f aca="false">IF(WEEKDAY(A118,3)&gt;4,0,(IF(A118&lt;K$2,0,IF(A118&lt;=K$3,1,0))))</f>
        <v>0</v>
      </c>
      <c r="L118" s="124" t="n">
        <f aca="false">J118*K118</f>
        <v>0</v>
      </c>
      <c r="M118" s="124" t="n">
        <f aca="false">SUM(J$97:J118)</f>
        <v>0</v>
      </c>
      <c r="N118" s="124" t="n">
        <f aca="false">SUM(J$6:J118)</f>
        <v>0</v>
      </c>
      <c r="P118" s="124" t="n">
        <f aca="false">D118/P$3</f>
        <v>0</v>
      </c>
      <c r="Q118" s="124" t="n">
        <f aca="false">E118/P$3</f>
        <v>0</v>
      </c>
      <c r="R118" s="124" t="n">
        <f aca="false">F118/R$3</f>
        <v>0</v>
      </c>
      <c r="S118" s="126" t="n">
        <f aca="false">J118/$R$3</f>
        <v>0</v>
      </c>
      <c r="T118" s="126" t="n">
        <f aca="false">L118/$R$3</f>
        <v>0</v>
      </c>
      <c r="U118" s="126" t="n">
        <f aca="false">I118/$R$3</f>
        <v>0</v>
      </c>
      <c r="V118" s="126" t="n">
        <f aca="false">M118/$R$3</f>
        <v>0</v>
      </c>
      <c r="W118" s="126" t="n">
        <f aca="false">N118/$R$3</f>
        <v>0</v>
      </c>
    </row>
    <row r="119" customFormat="false" ht="12.75" hidden="true" customHeight="false" outlineLevel="0" collapsed="false">
      <c r="A119" s="120" t="n">
        <f aca="false">A118+1</f>
        <v>37005</v>
      </c>
      <c r="B119" s="131" t="str">
        <f aca="false">INDEX('Master Data'!$A$2:$B$8,MATCH(WEEKDAY('MM PLANT'!A119,3),'Master Data'!$A$2:$A$8,0),2)</f>
        <v>T</v>
      </c>
      <c r="D119" s="124" t="n">
        <v>0</v>
      </c>
      <c r="E119" s="124" t="n">
        <v>0</v>
      </c>
      <c r="F119" s="124" t="n">
        <v>0</v>
      </c>
      <c r="G119" s="124" t="n">
        <v>0</v>
      </c>
      <c r="I119" s="124" t="n">
        <f aca="false">IF(MONTH($A119)=MONTH($A118),IF(G119=0,I118,G119),G119)</f>
        <v>0</v>
      </c>
      <c r="J119" s="124" t="n">
        <f aca="false">IF(MONTH($A119)=MONTH($A118),SUM(I119-I118),I119)</f>
        <v>0</v>
      </c>
      <c r="K119" s="124" t="n">
        <f aca="false">IF(WEEKDAY(A119,3)&gt;4,0,(IF(A119&lt;K$2,0,IF(A119&lt;=K$3,1,0))))</f>
        <v>0</v>
      </c>
      <c r="L119" s="124" t="n">
        <f aca="false">J119*K119</f>
        <v>0</v>
      </c>
      <c r="M119" s="124" t="n">
        <f aca="false">SUM(J$97:J119)</f>
        <v>0</v>
      </c>
      <c r="N119" s="124" t="n">
        <f aca="false">SUM(J$6:J119)</f>
        <v>0</v>
      </c>
      <c r="P119" s="124" t="n">
        <f aca="false">D119/P$3</f>
        <v>0</v>
      </c>
      <c r="Q119" s="124" t="n">
        <f aca="false">E119/P$3</f>
        <v>0</v>
      </c>
      <c r="R119" s="124" t="n">
        <f aca="false">F119/R$3</f>
        <v>0</v>
      </c>
      <c r="S119" s="126" t="n">
        <f aca="false">J119/$R$3</f>
        <v>0</v>
      </c>
      <c r="T119" s="126" t="n">
        <f aca="false">L119/$R$3</f>
        <v>0</v>
      </c>
      <c r="U119" s="126" t="n">
        <f aca="false">I119/$R$3</f>
        <v>0</v>
      </c>
      <c r="V119" s="126" t="n">
        <f aca="false">M119/$R$3</f>
        <v>0</v>
      </c>
      <c r="W119" s="126" t="n">
        <f aca="false">N119/$R$3</f>
        <v>0</v>
      </c>
    </row>
    <row r="120" customFormat="false" ht="12.75" hidden="true" customHeight="false" outlineLevel="0" collapsed="false">
      <c r="A120" s="120" t="n">
        <f aca="false">A119+1</f>
        <v>37006</v>
      </c>
      <c r="B120" s="131" t="str">
        <f aca="false">INDEX('Master Data'!$A$2:$B$8,MATCH(WEEKDAY('MM PLANT'!A120,3),'Master Data'!$A$2:$A$8,0),2)</f>
        <v>W</v>
      </c>
      <c r="D120" s="124" t="n">
        <v>0</v>
      </c>
      <c r="E120" s="124" t="n">
        <v>0</v>
      </c>
      <c r="F120" s="124" t="n">
        <v>0</v>
      </c>
      <c r="G120" s="124" t="n">
        <v>0</v>
      </c>
      <c r="I120" s="124" t="n">
        <f aca="false">IF(MONTH($A120)=MONTH($A119),IF(G120=0,I119,G120),G120)</f>
        <v>0</v>
      </c>
      <c r="J120" s="124" t="n">
        <f aca="false">IF(MONTH($A120)=MONTH($A119),SUM(I120-I119),I120)</f>
        <v>0</v>
      </c>
      <c r="K120" s="124" t="n">
        <f aca="false">IF(WEEKDAY(A120,3)&gt;4,0,(IF(A120&lt;K$2,0,IF(A120&lt;=K$3,1,0))))</f>
        <v>0</v>
      </c>
      <c r="L120" s="124" t="n">
        <f aca="false">J120*K120</f>
        <v>0</v>
      </c>
      <c r="M120" s="124" t="n">
        <f aca="false">SUM(J$97:J120)</f>
        <v>0</v>
      </c>
      <c r="N120" s="124" t="n">
        <f aca="false">SUM(J$6:J120)</f>
        <v>0</v>
      </c>
      <c r="P120" s="124" t="n">
        <f aca="false">D120/P$3</f>
        <v>0</v>
      </c>
      <c r="Q120" s="124" t="n">
        <f aca="false">E120/P$3</f>
        <v>0</v>
      </c>
      <c r="R120" s="124" t="n">
        <f aca="false">F120/R$3</f>
        <v>0</v>
      </c>
      <c r="S120" s="126" t="n">
        <f aca="false">J120/$R$3</f>
        <v>0</v>
      </c>
      <c r="T120" s="126" t="n">
        <f aca="false">L120/$R$3</f>
        <v>0</v>
      </c>
      <c r="U120" s="126" t="n">
        <f aca="false">I120/$R$3</f>
        <v>0</v>
      </c>
      <c r="V120" s="126" t="n">
        <f aca="false">M120/$R$3</f>
        <v>0</v>
      </c>
      <c r="W120" s="126" t="n">
        <f aca="false">N120/$R$3</f>
        <v>0</v>
      </c>
    </row>
    <row r="121" customFormat="false" ht="12.75" hidden="true" customHeight="false" outlineLevel="0" collapsed="false">
      <c r="A121" s="120" t="n">
        <f aca="false">A120+1</f>
        <v>37007</v>
      </c>
      <c r="B121" s="131" t="str">
        <f aca="false">INDEX('Master Data'!$A$2:$B$8,MATCH(WEEKDAY('MM PLANT'!A121,3),'Master Data'!$A$2:$A$8,0),2)</f>
        <v>Th</v>
      </c>
      <c r="D121" s="124" t="n">
        <v>0</v>
      </c>
      <c r="E121" s="124" t="n">
        <v>0</v>
      </c>
      <c r="F121" s="124" t="n">
        <v>0</v>
      </c>
      <c r="G121" s="124" t="n">
        <v>0</v>
      </c>
      <c r="I121" s="124" t="n">
        <f aca="false">IF(MONTH($A121)=MONTH($A120),IF(G121=0,I120,G121),G121)</f>
        <v>0</v>
      </c>
      <c r="J121" s="124" t="n">
        <f aca="false">IF(MONTH($A121)=MONTH($A120),SUM(I121-I120),I121)</f>
        <v>0</v>
      </c>
      <c r="K121" s="124" t="n">
        <f aca="false">IF(WEEKDAY(A121,3)&gt;4,0,(IF(A121&lt;K$2,0,IF(A121&lt;=K$3,1,0))))</f>
        <v>0</v>
      </c>
      <c r="L121" s="124" t="n">
        <f aca="false">J121*K121</f>
        <v>0</v>
      </c>
      <c r="M121" s="124" t="n">
        <f aca="false">SUM(J$97:J121)</f>
        <v>0</v>
      </c>
      <c r="N121" s="124" t="n">
        <f aca="false">SUM(J$6:J121)</f>
        <v>0</v>
      </c>
      <c r="P121" s="124" t="n">
        <f aca="false">D121/P$3</f>
        <v>0</v>
      </c>
      <c r="Q121" s="124" t="n">
        <f aca="false">E121/P$3</f>
        <v>0</v>
      </c>
      <c r="R121" s="124" t="n">
        <f aca="false">F121/R$3</f>
        <v>0</v>
      </c>
      <c r="S121" s="126" t="n">
        <f aca="false">J121/$R$3</f>
        <v>0</v>
      </c>
      <c r="T121" s="126" t="n">
        <f aca="false">L121/$R$3</f>
        <v>0</v>
      </c>
      <c r="U121" s="126" t="n">
        <f aca="false">I121/$R$3</f>
        <v>0</v>
      </c>
      <c r="V121" s="126" t="n">
        <f aca="false">M121/$R$3</f>
        <v>0</v>
      </c>
      <c r="W121" s="126" t="n">
        <f aca="false">N121/$R$3</f>
        <v>0</v>
      </c>
    </row>
    <row r="122" customFormat="false" ht="12.75" hidden="true" customHeight="false" outlineLevel="0" collapsed="false">
      <c r="A122" s="120" t="n">
        <f aca="false">A121+1</f>
        <v>37008</v>
      </c>
      <c r="B122" s="131" t="str">
        <f aca="false">INDEX('Master Data'!$A$2:$B$8,MATCH(WEEKDAY('MM PLANT'!A122,3),'Master Data'!$A$2:$A$8,0),2)</f>
        <v>F</v>
      </c>
      <c r="D122" s="124" t="n">
        <v>0</v>
      </c>
      <c r="E122" s="124" t="n">
        <v>0</v>
      </c>
      <c r="F122" s="124" t="n">
        <v>0</v>
      </c>
      <c r="G122" s="124" t="n">
        <v>0</v>
      </c>
      <c r="I122" s="124" t="n">
        <f aca="false">IF(MONTH($A122)=MONTH($A121),IF(G122=0,I121,G122),G122)</f>
        <v>0</v>
      </c>
      <c r="J122" s="124" t="n">
        <f aca="false">IF(MONTH($A122)=MONTH($A121),SUM(I122-I121),I122)</f>
        <v>0</v>
      </c>
      <c r="K122" s="124" t="n">
        <f aca="false">IF(WEEKDAY(A122,3)&gt;4,0,(IF(A122&lt;K$2,0,IF(A122&lt;=K$3,1,0))))</f>
        <v>0</v>
      </c>
      <c r="L122" s="124" t="n">
        <f aca="false">J122*K122</f>
        <v>0</v>
      </c>
      <c r="M122" s="124" t="n">
        <f aca="false">SUM(J$97:J122)</f>
        <v>0</v>
      </c>
      <c r="N122" s="124" t="n">
        <f aca="false">SUM(J$6:J122)</f>
        <v>0</v>
      </c>
      <c r="P122" s="124" t="n">
        <f aca="false">D122/P$3</f>
        <v>0</v>
      </c>
      <c r="Q122" s="124" t="n">
        <f aca="false">E122/P$3</f>
        <v>0</v>
      </c>
      <c r="R122" s="124" t="n">
        <f aca="false">F122/R$3</f>
        <v>0</v>
      </c>
      <c r="S122" s="126" t="n">
        <f aca="false">J122/$R$3</f>
        <v>0</v>
      </c>
      <c r="T122" s="126" t="n">
        <f aca="false">L122/$R$3</f>
        <v>0</v>
      </c>
      <c r="U122" s="126" t="n">
        <f aca="false">I122/$R$3</f>
        <v>0</v>
      </c>
      <c r="V122" s="126" t="n">
        <f aca="false">M122/$R$3</f>
        <v>0</v>
      </c>
      <c r="W122" s="126" t="n">
        <f aca="false">N122/$R$3</f>
        <v>0</v>
      </c>
    </row>
    <row r="123" customFormat="false" ht="12.75" hidden="true" customHeight="false" outlineLevel="0" collapsed="false">
      <c r="A123" s="120" t="n">
        <f aca="false">A122+1</f>
        <v>37009</v>
      </c>
      <c r="B123" s="131" t="str">
        <f aca="false">INDEX('Master Data'!$A$2:$B$8,MATCH(WEEKDAY('MM PLANT'!A123,3),'Master Data'!$A$2:$A$8,0),2)</f>
        <v>Sa</v>
      </c>
      <c r="D123" s="124" t="n">
        <v>0</v>
      </c>
      <c r="E123" s="124" t="n">
        <v>0</v>
      </c>
      <c r="F123" s="124" t="n">
        <v>0</v>
      </c>
      <c r="G123" s="124" t="n">
        <v>0</v>
      </c>
      <c r="I123" s="124" t="n">
        <f aca="false">IF(MONTH($A123)=MONTH($A122),IF(G123=0,I122,G123),G123)</f>
        <v>0</v>
      </c>
      <c r="J123" s="124" t="n">
        <f aca="false">IF(MONTH($A123)=MONTH($A122),SUM(I123-I122),I123)</f>
        <v>0</v>
      </c>
      <c r="K123" s="124" t="n">
        <f aca="false">IF(WEEKDAY(A123,3)&gt;4,0,(IF(A123&lt;K$2,0,IF(A123&lt;=K$3,1,0))))</f>
        <v>0</v>
      </c>
      <c r="L123" s="124" t="n">
        <f aca="false">J123*K123</f>
        <v>0</v>
      </c>
      <c r="M123" s="124" t="n">
        <f aca="false">SUM(J$97:J123)</f>
        <v>0</v>
      </c>
      <c r="N123" s="124" t="n">
        <f aca="false">SUM(J$6:J123)</f>
        <v>0</v>
      </c>
      <c r="P123" s="124" t="n">
        <f aca="false">D123/P$3</f>
        <v>0</v>
      </c>
      <c r="Q123" s="124" t="n">
        <f aca="false">E123/P$3</f>
        <v>0</v>
      </c>
      <c r="R123" s="124" t="n">
        <f aca="false">F123/R$3</f>
        <v>0</v>
      </c>
      <c r="S123" s="126" t="n">
        <f aca="false">J123/$R$3</f>
        <v>0</v>
      </c>
      <c r="T123" s="126" t="n">
        <f aca="false">L123/$R$3</f>
        <v>0</v>
      </c>
      <c r="U123" s="126" t="n">
        <f aca="false">I123/$R$3</f>
        <v>0</v>
      </c>
      <c r="V123" s="126" t="n">
        <f aca="false">M123/$R$3</f>
        <v>0</v>
      </c>
      <c r="W123" s="126" t="n">
        <f aca="false">N123/$R$3</f>
        <v>0</v>
      </c>
    </row>
    <row r="124" customFormat="false" ht="12.75" hidden="true" customHeight="false" outlineLevel="0" collapsed="false">
      <c r="A124" s="120" t="n">
        <f aca="false">A123+1</f>
        <v>37010</v>
      </c>
      <c r="B124" s="131" t="str">
        <f aca="false">INDEX('Master Data'!$A$2:$B$8,MATCH(WEEKDAY('MM PLANT'!A124,3),'Master Data'!$A$2:$A$8,0),2)</f>
        <v>Su</v>
      </c>
      <c r="D124" s="124" t="n">
        <v>0</v>
      </c>
      <c r="E124" s="124" t="n">
        <v>0</v>
      </c>
      <c r="F124" s="124" t="n">
        <v>0</v>
      </c>
      <c r="G124" s="124" t="n">
        <v>0</v>
      </c>
      <c r="I124" s="124" t="n">
        <f aca="false">IF(MONTH($A124)=MONTH($A123),IF(G124=0,I123,G124),G124)</f>
        <v>0</v>
      </c>
      <c r="J124" s="124" t="n">
        <f aca="false">IF(MONTH($A124)=MONTH($A123),SUM(I124-I123),I124)</f>
        <v>0</v>
      </c>
      <c r="K124" s="124" t="n">
        <f aca="false">IF(WEEKDAY(A124,3)&gt;4,0,(IF(A124&lt;K$2,0,IF(A124&lt;=K$3,1,0))))</f>
        <v>0</v>
      </c>
      <c r="L124" s="124" t="n">
        <f aca="false">J124*K124</f>
        <v>0</v>
      </c>
      <c r="M124" s="124" t="n">
        <f aca="false">SUM(J$97:J124)</f>
        <v>0</v>
      </c>
      <c r="N124" s="124" t="n">
        <f aca="false">SUM(J$6:J124)</f>
        <v>0</v>
      </c>
      <c r="P124" s="124" t="n">
        <f aca="false">D124/P$3</f>
        <v>0</v>
      </c>
      <c r="Q124" s="124" t="n">
        <f aca="false">E124/P$3</f>
        <v>0</v>
      </c>
      <c r="R124" s="124" t="n">
        <f aca="false">F124/R$3</f>
        <v>0</v>
      </c>
      <c r="S124" s="126" t="n">
        <f aca="false">J124/$R$3</f>
        <v>0</v>
      </c>
      <c r="T124" s="126" t="n">
        <f aca="false">L124/$R$3</f>
        <v>0</v>
      </c>
      <c r="U124" s="126" t="n">
        <f aca="false">I124/$R$3</f>
        <v>0</v>
      </c>
      <c r="V124" s="126" t="n">
        <f aca="false">M124/$R$3</f>
        <v>0</v>
      </c>
      <c r="W124" s="126" t="n">
        <f aca="false">N124/$R$3</f>
        <v>0</v>
      </c>
    </row>
    <row r="125" customFormat="false" ht="12.75" hidden="false" customHeight="false" outlineLevel="0" collapsed="false">
      <c r="A125" s="120" t="n">
        <f aca="false">A124+1</f>
        <v>37011</v>
      </c>
      <c r="B125" s="131" t="str">
        <f aca="false">INDEX('Master Data'!$A$2:$B$8,MATCH(WEEKDAY('MM PLANT'!A125,3),'Master Data'!$A$2:$A$8,0),2)</f>
        <v>M</v>
      </c>
      <c r="D125" s="124" t="n">
        <v>0</v>
      </c>
      <c r="E125" s="124" t="n">
        <v>0</v>
      </c>
      <c r="F125" s="124" t="n">
        <v>0</v>
      </c>
      <c r="G125" s="124" t="n">
        <v>0</v>
      </c>
      <c r="I125" s="124" t="n">
        <f aca="false">IF(MONTH($A125)=MONTH($A124),IF(G125=0,I124,G125),G125)</f>
        <v>0</v>
      </c>
      <c r="J125" s="124" t="n">
        <f aca="false">IF(MONTH($A125)=MONTH($A124),SUM(I125-I124),I125)</f>
        <v>0</v>
      </c>
      <c r="K125" s="124" t="n">
        <f aca="false">IF(WEEKDAY(A125,3)&gt;4,0,(IF(A125&lt;K$2,0,IF(A125&lt;=K$3,1,0))))</f>
        <v>0</v>
      </c>
      <c r="L125" s="124" t="n">
        <f aca="false">J125*K125</f>
        <v>0</v>
      </c>
      <c r="M125" s="124" t="n">
        <f aca="false">SUM(J$97:J125)</f>
        <v>0</v>
      </c>
      <c r="N125" s="124" t="n">
        <f aca="false">SUM(J$6:J125)</f>
        <v>0</v>
      </c>
      <c r="P125" s="124" t="n">
        <f aca="false">D125/P$3</f>
        <v>0</v>
      </c>
      <c r="Q125" s="124" t="n">
        <f aca="false">E125/P$3</f>
        <v>0</v>
      </c>
      <c r="R125" s="124" t="n">
        <f aca="false">F125/R$3</f>
        <v>0</v>
      </c>
      <c r="S125" s="126" t="n">
        <f aca="false">J125/$R$3</f>
        <v>0</v>
      </c>
      <c r="T125" s="126" t="n">
        <f aca="false">L125/$R$3</f>
        <v>0</v>
      </c>
      <c r="U125" s="126" t="n">
        <f aca="false">I125/$R$3</f>
        <v>0</v>
      </c>
      <c r="V125" s="126" t="n">
        <f aca="false">M125/$R$3</f>
        <v>0</v>
      </c>
      <c r="W125" s="126" t="n">
        <f aca="false">N125/$R$3</f>
        <v>0</v>
      </c>
    </row>
    <row r="126" customFormat="false" ht="12.75" hidden="true" customHeight="false" outlineLevel="0" collapsed="false">
      <c r="A126" s="120" t="n">
        <f aca="false">A125+1</f>
        <v>37012</v>
      </c>
      <c r="B126" s="131" t="str">
        <f aca="false">INDEX('Master Data'!$A$2:$B$8,MATCH(WEEKDAY('MM PLANT'!A126,3),'Master Data'!$A$2:$A$8,0),2)</f>
        <v>T</v>
      </c>
      <c r="D126" s="124" t="n">
        <v>0</v>
      </c>
      <c r="E126" s="124" t="n">
        <v>0</v>
      </c>
      <c r="F126" s="124" t="n">
        <v>0</v>
      </c>
      <c r="G126" s="124" t="n">
        <v>0</v>
      </c>
      <c r="I126" s="124" t="n">
        <f aca="false">IF(MONTH($A126)=MONTH($A125),IF(G126=0,I125,G126),G126)</f>
        <v>0</v>
      </c>
      <c r="J126" s="124" t="n">
        <f aca="false">IF(MONTH($A126)=MONTH($A125),SUM(I126-I125),I126)</f>
        <v>0</v>
      </c>
      <c r="K126" s="124" t="n">
        <f aca="false">IF(WEEKDAY(A126,3)&gt;4,0,(IF(A126&lt;K$2,0,IF(A126&lt;=K$3,1,0))))</f>
        <v>0</v>
      </c>
      <c r="L126" s="124" t="n">
        <f aca="false">J126*K126</f>
        <v>0</v>
      </c>
      <c r="M126" s="124" t="n">
        <f aca="false">SUM(J$97:J126)</f>
        <v>0</v>
      </c>
      <c r="N126" s="124" t="n">
        <f aca="false">SUM(J$6:J126)</f>
        <v>0</v>
      </c>
      <c r="P126" s="124" t="n">
        <f aca="false">D126/P$3</f>
        <v>0</v>
      </c>
      <c r="Q126" s="124" t="n">
        <f aca="false">E126/P$3</f>
        <v>0</v>
      </c>
      <c r="R126" s="124" t="n">
        <f aca="false">F126/R$3</f>
        <v>0</v>
      </c>
      <c r="S126" s="126" t="n">
        <f aca="false">J126/$R$3</f>
        <v>0</v>
      </c>
      <c r="T126" s="126" t="n">
        <f aca="false">L126/$R$3</f>
        <v>0</v>
      </c>
      <c r="U126" s="126" t="n">
        <f aca="false">I126/$R$3</f>
        <v>0</v>
      </c>
      <c r="V126" s="126" t="n">
        <f aca="false">M126/$R$3</f>
        <v>0</v>
      </c>
      <c r="W126" s="126" t="n">
        <f aca="false">N126/$R$3</f>
        <v>0</v>
      </c>
    </row>
    <row r="127" customFormat="false" ht="12.75" hidden="true" customHeight="false" outlineLevel="0" collapsed="false">
      <c r="A127" s="120" t="n">
        <f aca="false">A126+1</f>
        <v>37013</v>
      </c>
      <c r="B127" s="131" t="str">
        <f aca="false">INDEX('Master Data'!$A$2:$B$8,MATCH(WEEKDAY('MM PLANT'!A127,3),'Master Data'!$A$2:$A$8,0),2)</f>
        <v>W</v>
      </c>
      <c r="D127" s="124" t="n">
        <v>0</v>
      </c>
      <c r="E127" s="124" t="n">
        <v>0</v>
      </c>
      <c r="F127" s="124" t="n">
        <v>0</v>
      </c>
      <c r="G127" s="124" t="n">
        <v>0</v>
      </c>
      <c r="I127" s="124" t="n">
        <f aca="false">IF(MONTH($A127)=MONTH($A126),IF(G127=0,I126,G127),G127)</f>
        <v>0</v>
      </c>
      <c r="J127" s="124" t="n">
        <f aca="false">IF(MONTH($A127)=MONTH($A126),SUM(I127-I126),I127)</f>
        <v>0</v>
      </c>
      <c r="K127" s="124" t="n">
        <f aca="false">IF(WEEKDAY(A127,3)&gt;4,0,(IF(A127&lt;K$2,0,IF(A127&lt;=K$3,1,0))))</f>
        <v>0</v>
      </c>
      <c r="L127" s="124" t="n">
        <f aca="false">J127*K127</f>
        <v>0</v>
      </c>
      <c r="M127" s="124" t="n">
        <f aca="false">SUM(J$97:J127)</f>
        <v>0</v>
      </c>
      <c r="N127" s="124" t="n">
        <f aca="false">SUM(J$6:J127)</f>
        <v>0</v>
      </c>
      <c r="P127" s="124" t="n">
        <f aca="false">D127/P$3</f>
        <v>0</v>
      </c>
      <c r="Q127" s="124" t="n">
        <f aca="false">E127/P$3</f>
        <v>0</v>
      </c>
      <c r="R127" s="124" t="n">
        <f aca="false">F127/R$3</f>
        <v>0</v>
      </c>
      <c r="S127" s="126" t="n">
        <f aca="false">J127/$R$3</f>
        <v>0</v>
      </c>
      <c r="T127" s="126" t="n">
        <f aca="false">L127/$R$3</f>
        <v>0</v>
      </c>
      <c r="U127" s="126" t="n">
        <f aca="false">I127/$R$3</f>
        <v>0</v>
      </c>
      <c r="V127" s="126" t="n">
        <f aca="false">M127/$R$3</f>
        <v>0</v>
      </c>
      <c r="W127" s="126" t="n">
        <f aca="false">N127/$R$3</f>
        <v>0</v>
      </c>
    </row>
    <row r="128" customFormat="false" ht="12.75" hidden="true" customHeight="false" outlineLevel="0" collapsed="false">
      <c r="A128" s="120" t="n">
        <f aca="false">A127+1</f>
        <v>37014</v>
      </c>
      <c r="B128" s="131" t="str">
        <f aca="false">INDEX('Master Data'!$A$2:$B$8,MATCH(WEEKDAY('MM PLANT'!A128,3),'Master Data'!$A$2:$A$8,0),2)</f>
        <v>Th</v>
      </c>
      <c r="D128" s="124" t="n">
        <v>0</v>
      </c>
      <c r="E128" s="124" t="n">
        <v>0</v>
      </c>
      <c r="F128" s="124" t="n">
        <v>0</v>
      </c>
      <c r="G128" s="124" t="n">
        <v>0</v>
      </c>
      <c r="I128" s="124" t="n">
        <f aca="false">IF(MONTH($A128)=MONTH($A127),IF(G128=0,I127,G128),G128)</f>
        <v>0</v>
      </c>
      <c r="J128" s="124" t="n">
        <f aca="false">IF(MONTH($A128)=MONTH($A127),SUM(I128-I127),I128)</f>
        <v>0</v>
      </c>
      <c r="K128" s="124" t="n">
        <f aca="false">IF(WEEKDAY(A128,3)&gt;4,0,(IF(A128&lt;K$2,0,IF(A128&lt;=K$3,1,0))))</f>
        <v>0</v>
      </c>
      <c r="L128" s="124" t="n">
        <f aca="false">J128*K128</f>
        <v>0</v>
      </c>
      <c r="M128" s="124" t="n">
        <f aca="false">SUM(J$97:J128)</f>
        <v>0</v>
      </c>
      <c r="N128" s="124" t="n">
        <f aca="false">SUM(J$6:J128)</f>
        <v>0</v>
      </c>
      <c r="P128" s="124" t="n">
        <f aca="false">D128/P$3</f>
        <v>0</v>
      </c>
      <c r="Q128" s="124" t="n">
        <f aca="false">E128/P$3</f>
        <v>0</v>
      </c>
      <c r="R128" s="124" t="n">
        <f aca="false">F128/R$3</f>
        <v>0</v>
      </c>
      <c r="S128" s="126" t="n">
        <f aca="false">J128/$R$3</f>
        <v>0</v>
      </c>
      <c r="T128" s="126" t="n">
        <f aca="false">L128/$R$3</f>
        <v>0</v>
      </c>
      <c r="U128" s="126" t="n">
        <f aca="false">I128/$R$3</f>
        <v>0</v>
      </c>
      <c r="V128" s="126" t="n">
        <f aca="false">M128/$R$3</f>
        <v>0</v>
      </c>
      <c r="W128" s="126" t="n">
        <f aca="false">N128/$R$3</f>
        <v>0</v>
      </c>
    </row>
    <row r="129" customFormat="false" ht="12.75" hidden="true" customHeight="false" outlineLevel="0" collapsed="false">
      <c r="A129" s="120" t="n">
        <f aca="false">A128+1</f>
        <v>37015</v>
      </c>
      <c r="B129" s="131" t="str">
        <f aca="false">INDEX('Master Data'!$A$2:$B$8,MATCH(WEEKDAY('MM PLANT'!A129,3),'Master Data'!$A$2:$A$8,0),2)</f>
        <v>F</v>
      </c>
      <c r="D129" s="124" t="n">
        <v>0</v>
      </c>
      <c r="E129" s="124" t="n">
        <v>0</v>
      </c>
      <c r="F129" s="124" t="n">
        <v>0</v>
      </c>
      <c r="G129" s="124" t="n">
        <v>0</v>
      </c>
      <c r="I129" s="124" t="n">
        <f aca="false">IF(MONTH($A129)=MONTH($A128),IF(G129=0,I128,G129),G129)</f>
        <v>0</v>
      </c>
      <c r="J129" s="124" t="n">
        <f aca="false">IF(MONTH($A129)=MONTH($A128),SUM(I129-I128),I129)</f>
        <v>0</v>
      </c>
      <c r="K129" s="124" t="n">
        <f aca="false">IF(WEEKDAY(A129,3)&gt;4,0,(IF(A129&lt;K$2,0,IF(A129&lt;=K$3,1,0))))</f>
        <v>0</v>
      </c>
      <c r="L129" s="124" t="n">
        <f aca="false">J129*K129</f>
        <v>0</v>
      </c>
      <c r="M129" s="124" t="n">
        <f aca="false">SUM(J$97:J129)</f>
        <v>0</v>
      </c>
      <c r="N129" s="124" t="n">
        <f aca="false">SUM(J$6:J129)</f>
        <v>0</v>
      </c>
      <c r="P129" s="124" t="n">
        <f aca="false">D129/P$3</f>
        <v>0</v>
      </c>
      <c r="Q129" s="124" t="n">
        <f aca="false">E129/P$3</f>
        <v>0</v>
      </c>
      <c r="R129" s="124" t="n">
        <f aca="false">F129/R$3</f>
        <v>0</v>
      </c>
      <c r="S129" s="126" t="n">
        <f aca="false">J129/$R$3</f>
        <v>0</v>
      </c>
      <c r="T129" s="126" t="n">
        <f aca="false">L129/$R$3</f>
        <v>0</v>
      </c>
      <c r="U129" s="126" t="n">
        <f aca="false">I129/$R$3</f>
        <v>0</v>
      </c>
      <c r="V129" s="126" t="n">
        <f aca="false">M129/$R$3</f>
        <v>0</v>
      </c>
      <c r="W129" s="126" t="n">
        <f aca="false">N129/$R$3</f>
        <v>0</v>
      </c>
    </row>
    <row r="130" customFormat="false" ht="12.75" hidden="true" customHeight="false" outlineLevel="0" collapsed="false">
      <c r="A130" s="120" t="n">
        <f aca="false">A129+1</f>
        <v>37016</v>
      </c>
      <c r="B130" s="131" t="str">
        <f aca="false">INDEX('Master Data'!$A$2:$B$8,MATCH(WEEKDAY('MM PLANT'!A130,3),'Master Data'!$A$2:$A$8,0),2)</f>
        <v>Sa</v>
      </c>
      <c r="D130" s="124" t="n">
        <v>0</v>
      </c>
      <c r="E130" s="124" t="n">
        <v>0</v>
      </c>
      <c r="F130" s="124" t="n">
        <v>0</v>
      </c>
      <c r="G130" s="124" t="n">
        <v>0</v>
      </c>
      <c r="I130" s="124" t="n">
        <f aca="false">IF(MONTH($A130)=MONTH($A129),IF(G130=0,I129,G130),G130)</f>
        <v>0</v>
      </c>
      <c r="J130" s="124" t="n">
        <f aca="false">IF(MONTH($A130)=MONTH($A129),SUM(I130-I129),I130)</f>
        <v>0</v>
      </c>
      <c r="K130" s="124" t="n">
        <f aca="false">IF(WEEKDAY(A130,3)&gt;4,0,(IF(A130&lt;K$2,0,IF(A130&lt;=K$3,1,0))))</f>
        <v>0</v>
      </c>
      <c r="L130" s="124" t="n">
        <f aca="false">J130*K130</f>
        <v>0</v>
      </c>
      <c r="M130" s="124" t="n">
        <f aca="false">SUM(J$97:J130)</f>
        <v>0</v>
      </c>
      <c r="N130" s="124" t="n">
        <f aca="false">SUM(J$6:J130)</f>
        <v>0</v>
      </c>
      <c r="P130" s="124" t="n">
        <f aca="false">D130/P$3</f>
        <v>0</v>
      </c>
      <c r="Q130" s="124" t="n">
        <f aca="false">E130/P$3</f>
        <v>0</v>
      </c>
      <c r="R130" s="124" t="n">
        <f aca="false">F130/R$3</f>
        <v>0</v>
      </c>
      <c r="S130" s="126" t="n">
        <f aca="false">J130/$R$3</f>
        <v>0</v>
      </c>
      <c r="T130" s="126" t="n">
        <f aca="false">L130/$R$3</f>
        <v>0</v>
      </c>
      <c r="U130" s="126" t="n">
        <f aca="false">I130/$R$3</f>
        <v>0</v>
      </c>
      <c r="V130" s="126" t="n">
        <f aca="false">M130/$R$3</f>
        <v>0</v>
      </c>
      <c r="W130" s="126" t="n">
        <f aca="false">N130/$R$3</f>
        <v>0</v>
      </c>
    </row>
    <row r="131" customFormat="false" ht="12.75" hidden="true" customHeight="false" outlineLevel="0" collapsed="false">
      <c r="A131" s="120" t="n">
        <f aca="false">A130+1</f>
        <v>37017</v>
      </c>
      <c r="B131" s="131" t="str">
        <f aca="false">INDEX('Master Data'!$A$2:$B$8,MATCH(WEEKDAY('MM PLANT'!A131,3),'Master Data'!$A$2:$A$8,0),2)</f>
        <v>Su</v>
      </c>
      <c r="D131" s="124" t="n">
        <v>0</v>
      </c>
      <c r="E131" s="124" t="n">
        <v>0</v>
      </c>
      <c r="F131" s="124" t="n">
        <v>0</v>
      </c>
      <c r="G131" s="124" t="n">
        <v>0</v>
      </c>
      <c r="I131" s="124" t="n">
        <f aca="false">IF(MONTH($A131)=MONTH($A130),IF(G131=0,I130,G131),G131)</f>
        <v>0</v>
      </c>
      <c r="J131" s="124" t="n">
        <f aca="false">IF(MONTH($A131)=MONTH($A130),SUM(I131-I130),I131)</f>
        <v>0</v>
      </c>
      <c r="K131" s="124" t="n">
        <f aca="false">IF(WEEKDAY(A131,3)&gt;4,0,(IF(A131&lt;K$2,0,IF(A131&lt;=K$3,1,0))))</f>
        <v>0</v>
      </c>
      <c r="L131" s="124" t="n">
        <f aca="false">J131*K131</f>
        <v>0</v>
      </c>
      <c r="M131" s="124" t="n">
        <f aca="false">SUM(J$97:J131)</f>
        <v>0</v>
      </c>
      <c r="N131" s="124" t="n">
        <f aca="false">SUM(J$6:J131)</f>
        <v>0</v>
      </c>
      <c r="P131" s="124" t="n">
        <f aca="false">D131/P$3</f>
        <v>0</v>
      </c>
      <c r="Q131" s="124" t="n">
        <f aca="false">E131/P$3</f>
        <v>0</v>
      </c>
      <c r="R131" s="124" t="n">
        <f aca="false">F131/R$3</f>
        <v>0</v>
      </c>
      <c r="S131" s="126" t="n">
        <f aca="false">J131/$R$3</f>
        <v>0</v>
      </c>
      <c r="T131" s="126" t="n">
        <f aca="false">L131/$R$3</f>
        <v>0</v>
      </c>
      <c r="U131" s="126" t="n">
        <f aca="false">I131/$R$3</f>
        <v>0</v>
      </c>
      <c r="V131" s="126" t="n">
        <f aca="false">M131/$R$3</f>
        <v>0</v>
      </c>
      <c r="W131" s="126" t="n">
        <f aca="false">N131/$R$3</f>
        <v>0</v>
      </c>
    </row>
    <row r="132" customFormat="false" ht="12.75" hidden="true" customHeight="false" outlineLevel="0" collapsed="false">
      <c r="A132" s="120" t="n">
        <f aca="false">A131+1</f>
        <v>37018</v>
      </c>
      <c r="B132" s="131" t="str">
        <f aca="false">INDEX('Master Data'!$A$2:$B$8,MATCH(WEEKDAY('MM PLANT'!A132,3),'Master Data'!$A$2:$A$8,0),2)</f>
        <v>M</v>
      </c>
      <c r="D132" s="124" t="n">
        <v>0</v>
      </c>
      <c r="E132" s="124" t="n">
        <v>0</v>
      </c>
      <c r="F132" s="124" t="n">
        <v>0</v>
      </c>
      <c r="G132" s="124" t="n">
        <v>0</v>
      </c>
      <c r="I132" s="124" t="n">
        <f aca="false">IF(MONTH($A132)=MONTH($A131),IF(G132=0,I131,G132),G132)</f>
        <v>0</v>
      </c>
      <c r="J132" s="124" t="n">
        <f aca="false">IF(MONTH($A132)=MONTH($A131),SUM(I132-I131),I132)</f>
        <v>0</v>
      </c>
      <c r="K132" s="124" t="n">
        <f aca="false">IF(WEEKDAY(A132,3)&gt;4,0,(IF(A132&lt;K$2,0,IF(A132&lt;=K$3,1,0))))</f>
        <v>0</v>
      </c>
      <c r="L132" s="124" t="n">
        <f aca="false">J132*K132</f>
        <v>0</v>
      </c>
      <c r="M132" s="124" t="n">
        <f aca="false">SUM(J$97:J132)</f>
        <v>0</v>
      </c>
      <c r="N132" s="124" t="n">
        <f aca="false">SUM(J$6:J132)</f>
        <v>0</v>
      </c>
      <c r="P132" s="124" t="n">
        <f aca="false">D132/P$3</f>
        <v>0</v>
      </c>
      <c r="Q132" s="124" t="n">
        <f aca="false">E132/P$3</f>
        <v>0</v>
      </c>
      <c r="R132" s="124" t="n">
        <f aca="false">F132/R$3</f>
        <v>0</v>
      </c>
      <c r="S132" s="126" t="n">
        <f aca="false">J132/$R$3</f>
        <v>0</v>
      </c>
      <c r="T132" s="126" t="n">
        <f aca="false">L132/$R$3</f>
        <v>0</v>
      </c>
      <c r="U132" s="126" t="n">
        <f aca="false">I132/$R$3</f>
        <v>0</v>
      </c>
      <c r="V132" s="126" t="n">
        <f aca="false">M132/$R$3</f>
        <v>0</v>
      </c>
      <c r="W132" s="126" t="n">
        <f aca="false">N132/$R$3</f>
        <v>0</v>
      </c>
    </row>
    <row r="133" customFormat="false" ht="12.75" hidden="true" customHeight="false" outlineLevel="0" collapsed="false">
      <c r="A133" s="120" t="n">
        <f aca="false">A132+1</f>
        <v>37019</v>
      </c>
      <c r="B133" s="131" t="str">
        <f aca="false">INDEX('Master Data'!$A$2:$B$8,MATCH(WEEKDAY('MM PLANT'!A133,3),'Master Data'!$A$2:$A$8,0),2)</f>
        <v>T</v>
      </c>
      <c r="D133" s="124" t="n">
        <v>0</v>
      </c>
      <c r="E133" s="124" t="n">
        <v>0</v>
      </c>
      <c r="F133" s="124" t="n">
        <v>0</v>
      </c>
      <c r="G133" s="124" t="n">
        <v>0</v>
      </c>
      <c r="I133" s="124" t="n">
        <f aca="false">IF(MONTH($A133)=MONTH($A132),IF(G133=0,I132,G133),G133)</f>
        <v>0</v>
      </c>
      <c r="J133" s="124" t="n">
        <f aca="false">IF(MONTH($A133)=MONTH($A132),SUM(I133-I132),I133)</f>
        <v>0</v>
      </c>
      <c r="K133" s="124" t="n">
        <f aca="false">IF(WEEKDAY(A133,3)&gt;4,0,(IF(A133&lt;K$2,0,IF(A133&lt;=K$3,1,0))))</f>
        <v>0</v>
      </c>
      <c r="L133" s="124" t="n">
        <f aca="false">J133*K133</f>
        <v>0</v>
      </c>
      <c r="M133" s="124" t="n">
        <f aca="false">SUM(J$97:J133)</f>
        <v>0</v>
      </c>
      <c r="N133" s="124" t="n">
        <f aca="false">SUM(J$6:J133)</f>
        <v>0</v>
      </c>
      <c r="P133" s="124" t="n">
        <f aca="false">D133/P$3</f>
        <v>0</v>
      </c>
      <c r="Q133" s="124" t="n">
        <f aca="false">E133/P$3</f>
        <v>0</v>
      </c>
      <c r="R133" s="124" t="n">
        <f aca="false">F133/R$3</f>
        <v>0</v>
      </c>
      <c r="S133" s="126" t="n">
        <f aca="false">J133/$R$3</f>
        <v>0</v>
      </c>
      <c r="T133" s="126" t="n">
        <f aca="false">L133/$R$3</f>
        <v>0</v>
      </c>
      <c r="U133" s="126" t="n">
        <f aca="false">I133/$R$3</f>
        <v>0</v>
      </c>
      <c r="V133" s="126" t="n">
        <f aca="false">M133/$R$3</f>
        <v>0</v>
      </c>
      <c r="W133" s="126" t="n">
        <f aca="false">N133/$R$3</f>
        <v>0</v>
      </c>
    </row>
    <row r="134" customFormat="false" ht="12.75" hidden="true" customHeight="false" outlineLevel="0" collapsed="false">
      <c r="A134" s="120" t="n">
        <f aca="false">A133+1</f>
        <v>37020</v>
      </c>
      <c r="B134" s="131" t="str">
        <f aca="false">INDEX('Master Data'!$A$2:$B$8,MATCH(WEEKDAY('MM PLANT'!A134,3),'Master Data'!$A$2:$A$8,0),2)</f>
        <v>W</v>
      </c>
      <c r="D134" s="124" t="n">
        <v>0</v>
      </c>
      <c r="E134" s="124" t="n">
        <v>0</v>
      </c>
      <c r="F134" s="124" t="n">
        <v>0</v>
      </c>
      <c r="G134" s="124" t="n">
        <v>0</v>
      </c>
      <c r="I134" s="124" t="n">
        <f aca="false">IF(MONTH($A134)=MONTH($A133),IF(G134=0,I133,G134),G134)</f>
        <v>0</v>
      </c>
      <c r="J134" s="124" t="n">
        <f aca="false">IF(MONTH($A134)=MONTH($A133),SUM(I134-I133),I134)</f>
        <v>0</v>
      </c>
      <c r="K134" s="124" t="n">
        <f aca="false">IF(WEEKDAY(A134,3)&gt;4,0,(IF(A134&lt;K$2,0,IF(A134&lt;=K$3,1,0))))</f>
        <v>0</v>
      </c>
      <c r="L134" s="124" t="n">
        <f aca="false">J134*K134</f>
        <v>0</v>
      </c>
      <c r="M134" s="124" t="n">
        <f aca="false">SUM(J$97:J134)</f>
        <v>0</v>
      </c>
      <c r="N134" s="124" t="n">
        <f aca="false">SUM(J$6:J134)</f>
        <v>0</v>
      </c>
      <c r="P134" s="124" t="n">
        <f aca="false">D134/P$3</f>
        <v>0</v>
      </c>
      <c r="Q134" s="124" t="n">
        <f aca="false">E134/P$3</f>
        <v>0</v>
      </c>
      <c r="R134" s="124" t="n">
        <f aca="false">F134/R$3</f>
        <v>0</v>
      </c>
      <c r="S134" s="126" t="n">
        <f aca="false">J134/$R$3</f>
        <v>0</v>
      </c>
      <c r="T134" s="126" t="n">
        <f aca="false">L134/$R$3</f>
        <v>0</v>
      </c>
      <c r="U134" s="126" t="n">
        <f aca="false">I134/$R$3</f>
        <v>0</v>
      </c>
      <c r="V134" s="126" t="n">
        <f aca="false">M134/$R$3</f>
        <v>0</v>
      </c>
      <c r="W134" s="126" t="n">
        <f aca="false">N134/$R$3</f>
        <v>0</v>
      </c>
    </row>
    <row r="135" customFormat="false" ht="12.75" hidden="true" customHeight="false" outlineLevel="0" collapsed="false">
      <c r="A135" s="120" t="n">
        <f aca="false">A134+1</f>
        <v>37021</v>
      </c>
      <c r="B135" s="131" t="str">
        <f aca="false">INDEX('Master Data'!$A$2:$B$8,MATCH(WEEKDAY('MM PLANT'!A135,3),'Master Data'!$A$2:$A$8,0),2)</f>
        <v>Th</v>
      </c>
      <c r="D135" s="124" t="n">
        <v>0</v>
      </c>
      <c r="E135" s="124" t="n">
        <v>0</v>
      </c>
      <c r="F135" s="124" t="n">
        <v>0</v>
      </c>
      <c r="G135" s="124" t="n">
        <v>0</v>
      </c>
      <c r="I135" s="124" t="n">
        <f aca="false">IF(MONTH($A135)=MONTH($A134),IF(G135=0,I134,G135),G135)</f>
        <v>0</v>
      </c>
      <c r="J135" s="124" t="n">
        <f aca="false">IF(MONTH($A135)=MONTH($A134),SUM(I135-I134),I135)</f>
        <v>0</v>
      </c>
      <c r="K135" s="124" t="n">
        <f aca="false">IF(WEEKDAY(A135,3)&gt;4,0,(IF(A135&lt;K$2,0,IF(A135&lt;=K$3,1,0))))</f>
        <v>0</v>
      </c>
      <c r="L135" s="124" t="n">
        <f aca="false">J135*K135</f>
        <v>0</v>
      </c>
      <c r="M135" s="124" t="n">
        <f aca="false">SUM(J$97:J135)</f>
        <v>0</v>
      </c>
      <c r="N135" s="124" t="n">
        <f aca="false">SUM(J$6:J135)</f>
        <v>0</v>
      </c>
      <c r="P135" s="124" t="n">
        <f aca="false">D135/P$3</f>
        <v>0</v>
      </c>
      <c r="Q135" s="124" t="n">
        <f aca="false">E135/P$3</f>
        <v>0</v>
      </c>
      <c r="R135" s="124" t="n">
        <f aca="false">F135/R$3</f>
        <v>0</v>
      </c>
      <c r="S135" s="126" t="n">
        <f aca="false">J135/$R$3</f>
        <v>0</v>
      </c>
      <c r="T135" s="126" t="n">
        <f aca="false">L135/$R$3</f>
        <v>0</v>
      </c>
      <c r="U135" s="126" t="n">
        <f aca="false">I135/$R$3</f>
        <v>0</v>
      </c>
      <c r="V135" s="126" t="n">
        <f aca="false">M135/$R$3</f>
        <v>0</v>
      </c>
      <c r="W135" s="126" t="n">
        <f aca="false">N135/$R$3</f>
        <v>0</v>
      </c>
    </row>
    <row r="136" customFormat="false" ht="12.75" hidden="true" customHeight="false" outlineLevel="0" collapsed="false">
      <c r="A136" s="120" t="n">
        <f aca="false">A135+1</f>
        <v>37022</v>
      </c>
      <c r="B136" s="131" t="str">
        <f aca="false">INDEX('Master Data'!$A$2:$B$8,MATCH(WEEKDAY('MM PLANT'!A136,3),'Master Data'!$A$2:$A$8,0),2)</f>
        <v>F</v>
      </c>
      <c r="D136" s="124" t="n">
        <v>0</v>
      </c>
      <c r="E136" s="124" t="n">
        <v>0</v>
      </c>
      <c r="F136" s="124" t="n">
        <v>0</v>
      </c>
      <c r="G136" s="124" t="n">
        <v>0</v>
      </c>
      <c r="I136" s="124" t="n">
        <f aca="false">IF(MONTH($A136)=MONTH($A135),IF(G136=0,I135,G136),G136)</f>
        <v>0</v>
      </c>
      <c r="J136" s="124" t="n">
        <f aca="false">IF(MONTH($A136)=MONTH($A135),SUM(I136-I135),I136)</f>
        <v>0</v>
      </c>
      <c r="K136" s="124" t="n">
        <f aca="false">IF(WEEKDAY(A136,3)&gt;4,0,(IF(A136&lt;K$2,0,IF(A136&lt;=K$3,1,0))))</f>
        <v>0</v>
      </c>
      <c r="L136" s="124" t="n">
        <f aca="false">J136*K136</f>
        <v>0</v>
      </c>
      <c r="M136" s="124" t="n">
        <f aca="false">SUM(J$97:J136)</f>
        <v>0</v>
      </c>
      <c r="N136" s="124" t="n">
        <f aca="false">SUM(J$6:J136)</f>
        <v>0</v>
      </c>
      <c r="P136" s="124" t="n">
        <f aca="false">D136/P$3</f>
        <v>0</v>
      </c>
      <c r="Q136" s="124" t="n">
        <f aca="false">E136/P$3</f>
        <v>0</v>
      </c>
      <c r="R136" s="124" t="n">
        <f aca="false">F136/R$3</f>
        <v>0</v>
      </c>
      <c r="S136" s="126" t="n">
        <f aca="false">J136/$R$3</f>
        <v>0</v>
      </c>
      <c r="T136" s="126" t="n">
        <f aca="false">L136/$R$3</f>
        <v>0</v>
      </c>
      <c r="U136" s="126" t="n">
        <f aca="false">I136/$R$3</f>
        <v>0</v>
      </c>
      <c r="V136" s="126" t="n">
        <f aca="false">M136/$R$3</f>
        <v>0</v>
      </c>
      <c r="W136" s="126" t="n">
        <f aca="false">N136/$R$3</f>
        <v>0</v>
      </c>
    </row>
    <row r="137" customFormat="false" ht="12.75" hidden="true" customHeight="false" outlineLevel="0" collapsed="false">
      <c r="A137" s="120" t="n">
        <f aca="false">A136+1</f>
        <v>37023</v>
      </c>
      <c r="B137" s="131" t="str">
        <f aca="false">INDEX('Master Data'!$A$2:$B$8,MATCH(WEEKDAY('MM PLANT'!A137,3),'Master Data'!$A$2:$A$8,0),2)</f>
        <v>Sa</v>
      </c>
      <c r="D137" s="124" t="n">
        <v>0</v>
      </c>
      <c r="E137" s="124" t="n">
        <v>0</v>
      </c>
      <c r="F137" s="124" t="n">
        <v>0</v>
      </c>
      <c r="G137" s="124" t="n">
        <v>0</v>
      </c>
      <c r="I137" s="124" t="n">
        <f aca="false">IF(MONTH($A137)=MONTH($A136),IF(G137=0,I136,G137),G137)</f>
        <v>0</v>
      </c>
      <c r="J137" s="124" t="n">
        <f aca="false">IF(MONTH($A137)=MONTH($A136),SUM(I137-I136),I137)</f>
        <v>0</v>
      </c>
      <c r="K137" s="124" t="n">
        <f aca="false">IF(WEEKDAY(A137,3)&gt;4,0,(IF(A137&lt;K$2,0,IF(A137&lt;=K$3,1,0))))</f>
        <v>0</v>
      </c>
      <c r="L137" s="124" t="n">
        <f aca="false">J137*K137</f>
        <v>0</v>
      </c>
      <c r="M137" s="124" t="n">
        <f aca="false">SUM(J$97:J137)</f>
        <v>0</v>
      </c>
      <c r="N137" s="124" t="n">
        <f aca="false">SUM(J$6:J137)</f>
        <v>0</v>
      </c>
      <c r="P137" s="124" t="n">
        <f aca="false">D137/P$3</f>
        <v>0</v>
      </c>
      <c r="Q137" s="124" t="n">
        <f aca="false">E137/P$3</f>
        <v>0</v>
      </c>
      <c r="R137" s="124" t="n">
        <f aca="false">F137/R$3</f>
        <v>0</v>
      </c>
      <c r="S137" s="126" t="n">
        <f aca="false">J137/$R$3</f>
        <v>0</v>
      </c>
      <c r="T137" s="126" t="n">
        <f aca="false">L137/$R$3</f>
        <v>0</v>
      </c>
      <c r="U137" s="126" t="n">
        <f aca="false">I137/$R$3</f>
        <v>0</v>
      </c>
      <c r="V137" s="126" t="n">
        <f aca="false">M137/$R$3</f>
        <v>0</v>
      </c>
      <c r="W137" s="126" t="n">
        <f aca="false">N137/$R$3</f>
        <v>0</v>
      </c>
    </row>
    <row r="138" customFormat="false" ht="12.75" hidden="true" customHeight="false" outlineLevel="0" collapsed="false">
      <c r="A138" s="120" t="n">
        <f aca="false">A137+1</f>
        <v>37024</v>
      </c>
      <c r="B138" s="131" t="str">
        <f aca="false">INDEX('Master Data'!$A$2:$B$8,MATCH(WEEKDAY('MM PLANT'!A138,3),'Master Data'!$A$2:$A$8,0),2)</f>
        <v>Su</v>
      </c>
      <c r="D138" s="124" t="n">
        <v>0</v>
      </c>
      <c r="E138" s="124" t="n">
        <v>0</v>
      </c>
      <c r="F138" s="124" t="n">
        <v>0</v>
      </c>
      <c r="G138" s="124" t="n">
        <v>0</v>
      </c>
      <c r="I138" s="124" t="n">
        <f aca="false">IF(MONTH($A138)=MONTH($A137),IF(G138=0,I137,G138),G138)</f>
        <v>0</v>
      </c>
      <c r="J138" s="124" t="n">
        <f aca="false">IF(MONTH($A138)=MONTH($A137),SUM(I138-I137),I138)</f>
        <v>0</v>
      </c>
      <c r="K138" s="124" t="n">
        <f aca="false">IF(WEEKDAY(A138,3)&gt;4,0,(IF(A138&lt;K$2,0,IF(A138&lt;=K$3,1,0))))</f>
        <v>0</v>
      </c>
      <c r="L138" s="124" t="n">
        <f aca="false">J138*K138</f>
        <v>0</v>
      </c>
      <c r="M138" s="124" t="n">
        <f aca="false">SUM(J$97:J138)</f>
        <v>0</v>
      </c>
      <c r="N138" s="124" t="n">
        <f aca="false">SUM(J$6:J138)</f>
        <v>0</v>
      </c>
      <c r="P138" s="124" t="n">
        <f aca="false">D138/P$3</f>
        <v>0</v>
      </c>
      <c r="Q138" s="124" t="n">
        <f aca="false">E138/P$3</f>
        <v>0</v>
      </c>
      <c r="R138" s="124" t="n">
        <f aca="false">F138/R$3</f>
        <v>0</v>
      </c>
      <c r="S138" s="126" t="n">
        <f aca="false">J138/$R$3</f>
        <v>0</v>
      </c>
      <c r="T138" s="126" t="n">
        <f aca="false">L138/$R$3</f>
        <v>0</v>
      </c>
      <c r="U138" s="126" t="n">
        <f aca="false">I138/$R$3</f>
        <v>0</v>
      </c>
      <c r="V138" s="126" t="n">
        <f aca="false">M138/$R$3</f>
        <v>0</v>
      </c>
      <c r="W138" s="126" t="n">
        <f aca="false">N138/$R$3</f>
        <v>0</v>
      </c>
    </row>
    <row r="139" customFormat="false" ht="12.75" hidden="true" customHeight="false" outlineLevel="0" collapsed="false">
      <c r="A139" s="120" t="n">
        <f aca="false">A138+1</f>
        <v>37025</v>
      </c>
      <c r="B139" s="131" t="str">
        <f aca="false">INDEX('Master Data'!$A$2:$B$8,MATCH(WEEKDAY('MM PLANT'!A139,3),'Master Data'!$A$2:$A$8,0),2)</f>
        <v>M</v>
      </c>
      <c r="D139" s="124" t="n">
        <v>0</v>
      </c>
      <c r="E139" s="124" t="n">
        <v>0</v>
      </c>
      <c r="F139" s="124" t="n">
        <v>0</v>
      </c>
      <c r="G139" s="124" t="n">
        <v>0</v>
      </c>
      <c r="I139" s="124" t="n">
        <f aca="false">IF(MONTH($A139)=MONTH($A138),IF(G139=0,I138,G139),G139)</f>
        <v>0</v>
      </c>
      <c r="J139" s="124" t="n">
        <f aca="false">IF(MONTH($A139)=MONTH($A138),SUM(I139-I138),I139)</f>
        <v>0</v>
      </c>
      <c r="K139" s="124" t="n">
        <f aca="false">IF(WEEKDAY(A139,3)&gt;4,0,(IF(A139&lt;K$2,0,IF(A139&lt;=K$3,1,0))))</f>
        <v>0</v>
      </c>
      <c r="L139" s="124" t="n">
        <f aca="false">J139*K139</f>
        <v>0</v>
      </c>
      <c r="M139" s="124" t="n">
        <f aca="false">SUM(J$97:J139)</f>
        <v>0</v>
      </c>
      <c r="N139" s="124" t="n">
        <f aca="false">SUM(J$6:J139)</f>
        <v>0</v>
      </c>
      <c r="P139" s="124" t="n">
        <f aca="false">D139/P$3</f>
        <v>0</v>
      </c>
      <c r="Q139" s="124" t="n">
        <f aca="false">E139/P$3</f>
        <v>0</v>
      </c>
      <c r="R139" s="124" t="n">
        <f aca="false">F139/R$3</f>
        <v>0</v>
      </c>
      <c r="S139" s="126" t="n">
        <f aca="false">J139/$R$3</f>
        <v>0</v>
      </c>
      <c r="T139" s="126" t="n">
        <f aca="false">L139/$R$3</f>
        <v>0</v>
      </c>
      <c r="U139" s="126" t="n">
        <f aca="false">I139/$R$3</f>
        <v>0</v>
      </c>
      <c r="V139" s="126" t="n">
        <f aca="false">M139/$R$3</f>
        <v>0</v>
      </c>
      <c r="W139" s="126" t="n">
        <f aca="false">N139/$R$3</f>
        <v>0</v>
      </c>
    </row>
    <row r="140" customFormat="false" ht="12.75" hidden="true" customHeight="false" outlineLevel="0" collapsed="false">
      <c r="A140" s="120" t="n">
        <f aca="false">A139+1</f>
        <v>37026</v>
      </c>
      <c r="B140" s="131" t="str">
        <f aca="false">INDEX('Master Data'!$A$2:$B$8,MATCH(WEEKDAY('MM PLANT'!A140,3),'Master Data'!$A$2:$A$8,0),2)</f>
        <v>T</v>
      </c>
      <c r="D140" s="124" t="n">
        <v>0</v>
      </c>
      <c r="E140" s="124" t="n">
        <v>0</v>
      </c>
      <c r="F140" s="124" t="n">
        <v>0</v>
      </c>
      <c r="G140" s="124" t="n">
        <v>0</v>
      </c>
      <c r="I140" s="124" t="n">
        <f aca="false">IF(MONTH($A140)=MONTH($A139),IF(G140=0,I139,G140),G140)</f>
        <v>0</v>
      </c>
      <c r="J140" s="124" t="n">
        <f aca="false">IF(MONTH($A140)=MONTH($A139),SUM(I140-I139),I140)</f>
        <v>0</v>
      </c>
      <c r="K140" s="124" t="n">
        <f aca="false">IF(WEEKDAY(A140,3)&gt;4,0,(IF(A140&lt;K$2,0,IF(A140&lt;=K$3,1,0))))</f>
        <v>0</v>
      </c>
      <c r="L140" s="124" t="n">
        <f aca="false">J140*K140</f>
        <v>0</v>
      </c>
      <c r="M140" s="124" t="n">
        <f aca="false">SUM(J$97:J140)</f>
        <v>0</v>
      </c>
      <c r="N140" s="124" t="n">
        <f aca="false">SUM(J$6:J140)</f>
        <v>0</v>
      </c>
      <c r="P140" s="124" t="n">
        <f aca="false">D140/P$3</f>
        <v>0</v>
      </c>
      <c r="Q140" s="124" t="n">
        <f aca="false">E140/P$3</f>
        <v>0</v>
      </c>
      <c r="R140" s="124" t="n">
        <f aca="false">F140/R$3</f>
        <v>0</v>
      </c>
      <c r="S140" s="126" t="n">
        <f aca="false">J140/$R$3</f>
        <v>0</v>
      </c>
      <c r="T140" s="126" t="n">
        <f aca="false">L140/$R$3</f>
        <v>0</v>
      </c>
      <c r="U140" s="126" t="n">
        <f aca="false">I140/$R$3</f>
        <v>0</v>
      </c>
      <c r="V140" s="126" t="n">
        <f aca="false">M140/$R$3</f>
        <v>0</v>
      </c>
      <c r="W140" s="126" t="n">
        <f aca="false">N140/$R$3</f>
        <v>0</v>
      </c>
    </row>
    <row r="141" customFormat="false" ht="12.75" hidden="true" customHeight="false" outlineLevel="0" collapsed="false">
      <c r="A141" s="120" t="n">
        <f aca="false">A140+1</f>
        <v>37027</v>
      </c>
      <c r="B141" s="131" t="str">
        <f aca="false">INDEX('Master Data'!$A$2:$B$8,MATCH(WEEKDAY('MM PLANT'!A141,3),'Master Data'!$A$2:$A$8,0),2)</f>
        <v>W</v>
      </c>
      <c r="D141" s="124" t="n">
        <v>0</v>
      </c>
      <c r="E141" s="124" t="n">
        <v>0</v>
      </c>
      <c r="F141" s="124" t="n">
        <v>0</v>
      </c>
      <c r="G141" s="124" t="n">
        <v>0</v>
      </c>
      <c r="I141" s="124" t="n">
        <f aca="false">IF(MONTH($A141)=MONTH($A140),IF(G141=0,I140,G141),G141)</f>
        <v>0</v>
      </c>
      <c r="J141" s="124" t="n">
        <f aca="false">IF(MONTH($A141)=MONTH($A140),SUM(I141-I140),I141)</f>
        <v>0</v>
      </c>
      <c r="K141" s="124" t="n">
        <f aca="false">IF(WEEKDAY(A141,3)&gt;4,0,(IF(A141&lt;K$2,0,IF(A141&lt;=K$3,1,0))))</f>
        <v>0</v>
      </c>
      <c r="L141" s="124" t="n">
        <f aca="false">J141*K141</f>
        <v>0</v>
      </c>
      <c r="M141" s="124" t="n">
        <f aca="false">SUM(J$97:J141)</f>
        <v>0</v>
      </c>
      <c r="N141" s="124" t="n">
        <f aca="false">SUM(J$6:J141)</f>
        <v>0</v>
      </c>
      <c r="P141" s="124" t="n">
        <f aca="false">D141/P$3</f>
        <v>0</v>
      </c>
      <c r="Q141" s="124" t="n">
        <f aca="false">E141/P$3</f>
        <v>0</v>
      </c>
      <c r="R141" s="124" t="n">
        <f aca="false">F141/R$3</f>
        <v>0</v>
      </c>
      <c r="S141" s="126" t="n">
        <f aca="false">J141/$R$3</f>
        <v>0</v>
      </c>
      <c r="T141" s="126" t="n">
        <f aca="false">L141/$R$3</f>
        <v>0</v>
      </c>
      <c r="U141" s="126" t="n">
        <f aca="false">I141/$R$3</f>
        <v>0</v>
      </c>
      <c r="V141" s="126" t="n">
        <f aca="false">M141/$R$3</f>
        <v>0</v>
      </c>
      <c r="W141" s="126" t="n">
        <f aca="false">N141/$R$3</f>
        <v>0</v>
      </c>
    </row>
    <row r="142" customFormat="false" ht="12.75" hidden="true" customHeight="false" outlineLevel="0" collapsed="false">
      <c r="A142" s="120" t="n">
        <f aca="false">A141+1</f>
        <v>37028</v>
      </c>
      <c r="B142" s="131" t="str">
        <f aca="false">INDEX('Master Data'!$A$2:$B$8,MATCH(WEEKDAY('MM PLANT'!A142,3),'Master Data'!$A$2:$A$8,0),2)</f>
        <v>Th</v>
      </c>
      <c r="D142" s="124" t="n">
        <v>0</v>
      </c>
      <c r="E142" s="124" t="n">
        <v>0</v>
      </c>
      <c r="F142" s="124" t="n">
        <v>0</v>
      </c>
      <c r="G142" s="124" t="n">
        <v>0</v>
      </c>
      <c r="I142" s="124" t="n">
        <f aca="false">IF(MONTH($A142)=MONTH($A141),IF(G142=0,I141,G142),G142)</f>
        <v>0</v>
      </c>
      <c r="J142" s="124" t="n">
        <f aca="false">IF(MONTH($A142)=MONTH($A141),SUM(I142-I141),I142)</f>
        <v>0</v>
      </c>
      <c r="K142" s="124" t="n">
        <f aca="false">IF(WEEKDAY(A142,3)&gt;4,0,(IF(A142&lt;K$2,0,IF(A142&lt;=K$3,1,0))))</f>
        <v>0</v>
      </c>
      <c r="L142" s="124" t="n">
        <f aca="false">J142*K142</f>
        <v>0</v>
      </c>
      <c r="M142" s="124" t="n">
        <f aca="false">SUM(J$97:J142)</f>
        <v>0</v>
      </c>
      <c r="N142" s="124" t="n">
        <f aca="false">SUM(J$6:J142)</f>
        <v>0</v>
      </c>
      <c r="P142" s="124" t="n">
        <f aca="false">D142/P$3</f>
        <v>0</v>
      </c>
      <c r="Q142" s="124" t="n">
        <f aca="false">E142/P$3</f>
        <v>0</v>
      </c>
      <c r="R142" s="124" t="n">
        <f aca="false">F142/R$3</f>
        <v>0</v>
      </c>
      <c r="S142" s="126" t="n">
        <f aca="false">J142/$R$3</f>
        <v>0</v>
      </c>
      <c r="T142" s="126" t="n">
        <f aca="false">L142/$R$3</f>
        <v>0</v>
      </c>
      <c r="U142" s="126" t="n">
        <f aca="false">I142/$R$3</f>
        <v>0</v>
      </c>
      <c r="V142" s="126" t="n">
        <f aca="false">M142/$R$3</f>
        <v>0</v>
      </c>
      <c r="W142" s="126" t="n">
        <f aca="false">N142/$R$3</f>
        <v>0</v>
      </c>
    </row>
    <row r="143" customFormat="false" ht="12.75" hidden="true" customHeight="false" outlineLevel="0" collapsed="false">
      <c r="A143" s="120" t="n">
        <f aca="false">A142+1</f>
        <v>37029</v>
      </c>
      <c r="B143" s="131" t="str">
        <f aca="false">INDEX('Master Data'!$A$2:$B$8,MATCH(WEEKDAY('MM PLANT'!A143,3),'Master Data'!$A$2:$A$8,0),2)</f>
        <v>F</v>
      </c>
      <c r="D143" s="124" t="n">
        <v>0</v>
      </c>
      <c r="E143" s="124" t="n">
        <v>0</v>
      </c>
      <c r="F143" s="124" t="n">
        <v>0</v>
      </c>
      <c r="G143" s="124" t="n">
        <v>0</v>
      </c>
      <c r="I143" s="124" t="n">
        <f aca="false">IF(MONTH($A143)=MONTH($A142),IF(G143=0,I142,G143),G143)</f>
        <v>0</v>
      </c>
      <c r="J143" s="124" t="n">
        <f aca="false">IF(MONTH($A143)=MONTH($A142),SUM(I143-I142),I143)</f>
        <v>0</v>
      </c>
      <c r="K143" s="124" t="n">
        <f aca="false">IF(WEEKDAY(A143,3)&gt;4,0,(IF(A143&lt;K$2,0,IF(A143&lt;=K$3,1,0))))</f>
        <v>0</v>
      </c>
      <c r="L143" s="124" t="n">
        <f aca="false">J143*K143</f>
        <v>0</v>
      </c>
      <c r="M143" s="124" t="n">
        <f aca="false">SUM(J$97:J143)</f>
        <v>0</v>
      </c>
      <c r="N143" s="124" t="n">
        <f aca="false">SUM(J$6:J143)</f>
        <v>0</v>
      </c>
      <c r="P143" s="124" t="n">
        <f aca="false">D143/P$3</f>
        <v>0</v>
      </c>
      <c r="Q143" s="124" t="n">
        <f aca="false">E143/P$3</f>
        <v>0</v>
      </c>
      <c r="R143" s="124" t="n">
        <f aca="false">F143/R$3</f>
        <v>0</v>
      </c>
      <c r="S143" s="126" t="n">
        <f aca="false">J143/$R$3</f>
        <v>0</v>
      </c>
      <c r="T143" s="126" t="n">
        <f aca="false">L143/$R$3</f>
        <v>0</v>
      </c>
      <c r="U143" s="126" t="n">
        <f aca="false">I143/$R$3</f>
        <v>0</v>
      </c>
      <c r="V143" s="126" t="n">
        <f aca="false">M143/$R$3</f>
        <v>0</v>
      </c>
      <c r="W143" s="126" t="n">
        <f aca="false">N143/$R$3</f>
        <v>0</v>
      </c>
    </row>
    <row r="144" customFormat="false" ht="12.75" hidden="true" customHeight="false" outlineLevel="0" collapsed="false">
      <c r="A144" s="120" t="n">
        <f aca="false">A143+1</f>
        <v>37030</v>
      </c>
      <c r="B144" s="131" t="str">
        <f aca="false">INDEX('Master Data'!$A$2:$B$8,MATCH(WEEKDAY('MM PLANT'!A144,3),'Master Data'!$A$2:$A$8,0),2)</f>
        <v>Sa</v>
      </c>
      <c r="D144" s="124" t="n">
        <v>0</v>
      </c>
      <c r="E144" s="124" t="n">
        <v>0</v>
      </c>
      <c r="F144" s="124" t="n">
        <v>0</v>
      </c>
      <c r="G144" s="124" t="n">
        <v>0</v>
      </c>
      <c r="I144" s="124" t="n">
        <f aca="false">IF(MONTH($A144)=MONTH($A143),IF(G144=0,I143,G144),G144)</f>
        <v>0</v>
      </c>
      <c r="J144" s="124" t="n">
        <f aca="false">IF(MONTH($A144)=MONTH($A143),SUM(I144-I143),I144)</f>
        <v>0</v>
      </c>
      <c r="K144" s="124" t="n">
        <f aca="false">IF(WEEKDAY(A144,3)&gt;4,0,(IF(A144&lt;K$2,0,IF(A144&lt;=K$3,1,0))))</f>
        <v>0</v>
      </c>
      <c r="L144" s="124" t="n">
        <f aca="false">J144*K144</f>
        <v>0</v>
      </c>
      <c r="M144" s="124" t="n">
        <f aca="false">SUM(J$97:J144)</f>
        <v>0</v>
      </c>
      <c r="N144" s="124" t="n">
        <f aca="false">SUM(J$6:J144)</f>
        <v>0</v>
      </c>
      <c r="P144" s="124" t="n">
        <f aca="false">D144/P$3</f>
        <v>0</v>
      </c>
      <c r="Q144" s="124" t="n">
        <f aca="false">E144/P$3</f>
        <v>0</v>
      </c>
      <c r="R144" s="124" t="n">
        <f aca="false">F144/R$3</f>
        <v>0</v>
      </c>
      <c r="S144" s="126" t="n">
        <f aca="false">J144/$R$3</f>
        <v>0</v>
      </c>
      <c r="T144" s="126" t="n">
        <f aca="false">L144/$R$3</f>
        <v>0</v>
      </c>
      <c r="U144" s="126" t="n">
        <f aca="false">I144/$R$3</f>
        <v>0</v>
      </c>
      <c r="V144" s="126" t="n">
        <f aca="false">M144/$R$3</f>
        <v>0</v>
      </c>
      <c r="W144" s="126" t="n">
        <f aca="false">N144/$R$3</f>
        <v>0</v>
      </c>
    </row>
    <row r="145" customFormat="false" ht="12.75" hidden="true" customHeight="false" outlineLevel="0" collapsed="false">
      <c r="A145" s="120" t="n">
        <f aca="false">A144+1</f>
        <v>37031</v>
      </c>
      <c r="B145" s="131" t="str">
        <f aca="false">INDEX('Master Data'!$A$2:$B$8,MATCH(WEEKDAY('MM PLANT'!A145,3),'Master Data'!$A$2:$A$8,0),2)</f>
        <v>Su</v>
      </c>
      <c r="D145" s="124" t="n">
        <v>0</v>
      </c>
      <c r="E145" s="124" t="n">
        <v>0</v>
      </c>
      <c r="F145" s="124" t="n">
        <v>0</v>
      </c>
      <c r="G145" s="124" t="n">
        <v>0</v>
      </c>
      <c r="I145" s="124" t="n">
        <f aca="false">IF(MONTH($A145)=MONTH($A144),IF(G145=0,I144,G145),G145)</f>
        <v>0</v>
      </c>
      <c r="J145" s="124" t="n">
        <f aca="false">IF(MONTH($A145)=MONTH($A144),SUM(I145-I144),I145)</f>
        <v>0</v>
      </c>
      <c r="K145" s="124" t="n">
        <f aca="false">IF(WEEKDAY(A145,3)&gt;4,0,(IF(A145&lt;K$2,0,IF(A145&lt;=K$3,1,0))))</f>
        <v>0</v>
      </c>
      <c r="L145" s="124" t="n">
        <f aca="false">J145*K145</f>
        <v>0</v>
      </c>
      <c r="M145" s="124" t="n">
        <f aca="false">SUM(J$97:J145)</f>
        <v>0</v>
      </c>
      <c r="N145" s="124" t="n">
        <f aca="false">SUM(J$6:J145)</f>
        <v>0</v>
      </c>
      <c r="P145" s="124" t="n">
        <f aca="false">D145/P$3</f>
        <v>0</v>
      </c>
      <c r="Q145" s="124" t="n">
        <f aca="false">E145/P$3</f>
        <v>0</v>
      </c>
      <c r="R145" s="124" t="n">
        <f aca="false">F145/R$3</f>
        <v>0</v>
      </c>
      <c r="S145" s="126" t="n">
        <f aca="false">J145/$R$3</f>
        <v>0</v>
      </c>
      <c r="T145" s="126" t="n">
        <f aca="false">L145/$R$3</f>
        <v>0</v>
      </c>
      <c r="U145" s="126" t="n">
        <f aca="false">I145/$R$3</f>
        <v>0</v>
      </c>
      <c r="V145" s="126" t="n">
        <f aca="false">M145/$R$3</f>
        <v>0</v>
      </c>
      <c r="W145" s="126" t="n">
        <f aca="false">N145/$R$3</f>
        <v>0</v>
      </c>
    </row>
    <row r="146" customFormat="false" ht="12.75" hidden="true" customHeight="false" outlineLevel="0" collapsed="false">
      <c r="A146" s="120" t="n">
        <f aca="false">A145+1</f>
        <v>37032</v>
      </c>
      <c r="B146" s="131" t="str">
        <f aca="false">INDEX('Master Data'!$A$2:$B$8,MATCH(WEEKDAY('MM PLANT'!A146,3),'Master Data'!$A$2:$A$8,0),2)</f>
        <v>M</v>
      </c>
      <c r="D146" s="124" t="n">
        <v>0</v>
      </c>
      <c r="E146" s="124" t="n">
        <v>0</v>
      </c>
      <c r="F146" s="124" t="n">
        <v>0</v>
      </c>
      <c r="G146" s="124" t="n">
        <v>0</v>
      </c>
      <c r="I146" s="124" t="n">
        <f aca="false">IF(MONTH($A146)=MONTH($A145),IF(G146=0,I145,G146),G146)</f>
        <v>0</v>
      </c>
      <c r="J146" s="124" t="n">
        <f aca="false">IF(MONTH($A146)=MONTH($A145),SUM(I146-I145),I146)</f>
        <v>0</v>
      </c>
      <c r="K146" s="124" t="n">
        <f aca="false">IF(WEEKDAY(A146,3)&gt;4,0,(IF(A146&lt;K$2,0,IF(A146&lt;=K$3,1,0))))</f>
        <v>0</v>
      </c>
      <c r="L146" s="124" t="n">
        <f aca="false">J146*K146</f>
        <v>0</v>
      </c>
      <c r="M146" s="124" t="n">
        <f aca="false">SUM(J$97:J146)</f>
        <v>0</v>
      </c>
      <c r="N146" s="124" t="n">
        <f aca="false">SUM(J$6:J146)</f>
        <v>0</v>
      </c>
      <c r="P146" s="124" t="n">
        <f aca="false">D146/P$3</f>
        <v>0</v>
      </c>
      <c r="Q146" s="124" t="n">
        <f aca="false">E146/P$3</f>
        <v>0</v>
      </c>
      <c r="R146" s="124" t="n">
        <f aca="false">F146/R$3</f>
        <v>0</v>
      </c>
      <c r="S146" s="126" t="n">
        <f aca="false">J146/$R$3</f>
        <v>0</v>
      </c>
      <c r="T146" s="126" t="n">
        <f aca="false">L146/$R$3</f>
        <v>0</v>
      </c>
      <c r="U146" s="126" t="n">
        <f aca="false">I146/$R$3</f>
        <v>0</v>
      </c>
      <c r="V146" s="126" t="n">
        <f aca="false">M146/$R$3</f>
        <v>0</v>
      </c>
      <c r="W146" s="126" t="n">
        <f aca="false">N146/$R$3</f>
        <v>0</v>
      </c>
    </row>
    <row r="147" customFormat="false" ht="12.75" hidden="true" customHeight="false" outlineLevel="0" collapsed="false">
      <c r="A147" s="120" t="n">
        <f aca="false">A146+1</f>
        <v>37033</v>
      </c>
      <c r="B147" s="131" t="str">
        <f aca="false">INDEX('Master Data'!$A$2:$B$8,MATCH(WEEKDAY('MM PLANT'!A147,3),'Master Data'!$A$2:$A$8,0),2)</f>
        <v>T</v>
      </c>
      <c r="D147" s="124" t="n">
        <v>0</v>
      </c>
      <c r="E147" s="124" t="n">
        <v>0</v>
      </c>
      <c r="F147" s="124" t="n">
        <v>0</v>
      </c>
      <c r="G147" s="124" t="n">
        <v>0</v>
      </c>
      <c r="I147" s="124" t="n">
        <f aca="false">IF(MONTH($A147)=MONTH($A146),IF(G147=0,I146,G147),G147)</f>
        <v>0</v>
      </c>
      <c r="J147" s="124" t="n">
        <f aca="false">IF(MONTH($A147)=MONTH($A146),SUM(I147-I146),I147)</f>
        <v>0</v>
      </c>
      <c r="K147" s="124" t="n">
        <f aca="false">IF(WEEKDAY(A147,3)&gt;4,0,(IF(A147&lt;K$2,0,IF(A147&lt;=K$3,1,0))))</f>
        <v>0</v>
      </c>
      <c r="L147" s="124" t="n">
        <f aca="false">J147*K147</f>
        <v>0</v>
      </c>
      <c r="M147" s="124" t="n">
        <f aca="false">SUM(J$97:J147)</f>
        <v>0</v>
      </c>
      <c r="N147" s="124" t="n">
        <f aca="false">SUM(J$6:J147)</f>
        <v>0</v>
      </c>
      <c r="P147" s="124" t="n">
        <f aca="false">D147/P$3</f>
        <v>0</v>
      </c>
      <c r="Q147" s="124" t="n">
        <f aca="false">E147/P$3</f>
        <v>0</v>
      </c>
      <c r="R147" s="124" t="n">
        <f aca="false">F147/R$3</f>
        <v>0</v>
      </c>
      <c r="S147" s="126" t="n">
        <f aca="false">J147/$R$3</f>
        <v>0</v>
      </c>
      <c r="T147" s="126" t="n">
        <f aca="false">L147/$R$3</f>
        <v>0</v>
      </c>
      <c r="U147" s="126" t="n">
        <f aca="false">I147/$R$3</f>
        <v>0</v>
      </c>
      <c r="V147" s="126" t="n">
        <f aca="false">M147/$R$3</f>
        <v>0</v>
      </c>
      <c r="W147" s="126" t="n">
        <f aca="false">N147/$R$3</f>
        <v>0</v>
      </c>
    </row>
    <row r="148" customFormat="false" ht="12.75" hidden="true" customHeight="false" outlineLevel="0" collapsed="false">
      <c r="A148" s="120" t="n">
        <f aca="false">A147+1</f>
        <v>37034</v>
      </c>
      <c r="B148" s="131" t="str">
        <f aca="false">INDEX('Master Data'!$A$2:$B$8,MATCH(WEEKDAY('MM PLANT'!A148,3),'Master Data'!$A$2:$A$8,0),2)</f>
        <v>W</v>
      </c>
      <c r="D148" s="124" t="n">
        <v>0</v>
      </c>
      <c r="E148" s="124" t="n">
        <v>0</v>
      </c>
      <c r="F148" s="124" t="n">
        <v>0</v>
      </c>
      <c r="G148" s="124" t="n">
        <v>0</v>
      </c>
      <c r="I148" s="124" t="n">
        <f aca="false">IF(MONTH($A148)=MONTH($A147),IF(G148=0,I147,G148),G148)</f>
        <v>0</v>
      </c>
      <c r="J148" s="124" t="n">
        <f aca="false">IF(MONTH($A148)=MONTH($A147),SUM(I148-I147),I148)</f>
        <v>0</v>
      </c>
      <c r="K148" s="124" t="n">
        <f aca="false">IF(WEEKDAY(A148,3)&gt;4,0,(IF(A148&lt;K$2,0,IF(A148&lt;=K$3,1,0))))</f>
        <v>0</v>
      </c>
      <c r="L148" s="124" t="n">
        <f aca="false">J148*K148</f>
        <v>0</v>
      </c>
      <c r="M148" s="124" t="n">
        <f aca="false">SUM(J$97:J148)</f>
        <v>0</v>
      </c>
      <c r="N148" s="124" t="n">
        <f aca="false">SUM(J$6:J148)</f>
        <v>0</v>
      </c>
      <c r="P148" s="124" t="n">
        <f aca="false">D148/P$3</f>
        <v>0</v>
      </c>
      <c r="Q148" s="124" t="n">
        <f aca="false">E148/P$3</f>
        <v>0</v>
      </c>
      <c r="R148" s="124" t="n">
        <f aca="false">F148/R$3</f>
        <v>0</v>
      </c>
      <c r="S148" s="126" t="n">
        <f aca="false">J148/$R$3</f>
        <v>0</v>
      </c>
      <c r="T148" s="126" t="n">
        <f aca="false">L148/$R$3</f>
        <v>0</v>
      </c>
      <c r="U148" s="126" t="n">
        <f aca="false">I148/$R$3</f>
        <v>0</v>
      </c>
      <c r="V148" s="126" t="n">
        <f aca="false">M148/$R$3</f>
        <v>0</v>
      </c>
      <c r="W148" s="126" t="n">
        <f aca="false">N148/$R$3</f>
        <v>0</v>
      </c>
    </row>
    <row r="149" customFormat="false" ht="12.75" hidden="true" customHeight="false" outlineLevel="0" collapsed="false">
      <c r="A149" s="120" t="n">
        <f aca="false">A148+1</f>
        <v>37035</v>
      </c>
      <c r="B149" s="131" t="str">
        <f aca="false">INDEX('Master Data'!$A$2:$B$8,MATCH(WEEKDAY('MM PLANT'!A149,3),'Master Data'!$A$2:$A$8,0),2)</f>
        <v>Th</v>
      </c>
      <c r="D149" s="124" t="n">
        <v>0</v>
      </c>
      <c r="E149" s="124" t="n">
        <v>0</v>
      </c>
      <c r="F149" s="124" t="n">
        <v>0</v>
      </c>
      <c r="G149" s="124" t="n">
        <v>0</v>
      </c>
      <c r="I149" s="124" t="n">
        <f aca="false">IF(MONTH($A149)=MONTH($A148),IF(G149=0,I148,G149),G149)</f>
        <v>0</v>
      </c>
      <c r="J149" s="124" t="n">
        <f aca="false">IF(MONTH($A149)=MONTH($A148),SUM(I149-I148),I149)</f>
        <v>0</v>
      </c>
      <c r="K149" s="124" t="n">
        <f aca="false">IF(WEEKDAY(A149,3)&gt;4,0,(IF(A149&lt;K$2,0,IF(A149&lt;=K$3,1,0))))</f>
        <v>0</v>
      </c>
      <c r="L149" s="124" t="n">
        <f aca="false">J149*K149</f>
        <v>0</v>
      </c>
      <c r="M149" s="124" t="n">
        <f aca="false">SUM(J$97:J149)</f>
        <v>0</v>
      </c>
      <c r="N149" s="124" t="n">
        <f aca="false">SUM(J$6:J149)</f>
        <v>0</v>
      </c>
      <c r="P149" s="124" t="n">
        <f aca="false">D149/P$3</f>
        <v>0</v>
      </c>
      <c r="Q149" s="124" t="n">
        <f aca="false">E149/P$3</f>
        <v>0</v>
      </c>
      <c r="R149" s="124" t="n">
        <f aca="false">F149/R$3</f>
        <v>0</v>
      </c>
      <c r="S149" s="126" t="n">
        <f aca="false">J149/$R$3</f>
        <v>0</v>
      </c>
      <c r="T149" s="126" t="n">
        <f aca="false">L149/$R$3</f>
        <v>0</v>
      </c>
      <c r="U149" s="126" t="n">
        <f aca="false">I149/$R$3</f>
        <v>0</v>
      </c>
      <c r="V149" s="126" t="n">
        <f aca="false">M149/$R$3</f>
        <v>0</v>
      </c>
      <c r="W149" s="126" t="n">
        <f aca="false">N149/$R$3</f>
        <v>0</v>
      </c>
    </row>
    <row r="150" customFormat="false" ht="12.75" hidden="true" customHeight="false" outlineLevel="0" collapsed="false">
      <c r="A150" s="120" t="n">
        <f aca="false">A149+1</f>
        <v>37036</v>
      </c>
      <c r="B150" s="131" t="str">
        <f aca="false">INDEX('Master Data'!$A$2:$B$8,MATCH(WEEKDAY('MM PLANT'!A150,3),'Master Data'!$A$2:$A$8,0),2)</f>
        <v>F</v>
      </c>
      <c r="D150" s="124" t="n">
        <v>0</v>
      </c>
      <c r="E150" s="124" t="n">
        <v>0</v>
      </c>
      <c r="F150" s="124" t="n">
        <v>0</v>
      </c>
      <c r="G150" s="124" t="n">
        <v>0</v>
      </c>
      <c r="I150" s="124" t="n">
        <f aca="false">IF(MONTH($A150)=MONTH($A149),IF(G150=0,I149,G150),G150)</f>
        <v>0</v>
      </c>
      <c r="J150" s="124" t="n">
        <f aca="false">IF(MONTH($A150)=MONTH($A149),SUM(I150-I149),I150)</f>
        <v>0</v>
      </c>
      <c r="K150" s="124" t="n">
        <f aca="false">IF(WEEKDAY(A150,3)&gt;4,0,(IF(A150&lt;K$2,0,IF(A150&lt;=K$3,1,0))))</f>
        <v>0</v>
      </c>
      <c r="L150" s="124" t="n">
        <f aca="false">J150*K150</f>
        <v>0</v>
      </c>
      <c r="M150" s="124" t="n">
        <f aca="false">SUM(J$97:J150)</f>
        <v>0</v>
      </c>
      <c r="N150" s="124" t="n">
        <f aca="false">SUM(J$6:J150)</f>
        <v>0</v>
      </c>
      <c r="P150" s="124" t="n">
        <f aca="false">D150/P$3</f>
        <v>0</v>
      </c>
      <c r="Q150" s="124" t="n">
        <f aca="false">E150/P$3</f>
        <v>0</v>
      </c>
      <c r="R150" s="124" t="n">
        <f aca="false">F150/R$3</f>
        <v>0</v>
      </c>
      <c r="S150" s="126" t="n">
        <f aca="false">J150/$R$3</f>
        <v>0</v>
      </c>
      <c r="T150" s="126" t="n">
        <f aca="false">L150/$R$3</f>
        <v>0</v>
      </c>
      <c r="U150" s="126" t="n">
        <f aca="false">I150/$R$3</f>
        <v>0</v>
      </c>
      <c r="V150" s="126" t="n">
        <f aca="false">M150/$R$3</f>
        <v>0</v>
      </c>
      <c r="W150" s="126" t="n">
        <f aca="false">N150/$R$3</f>
        <v>0</v>
      </c>
    </row>
    <row r="151" customFormat="false" ht="12.75" hidden="true" customHeight="false" outlineLevel="0" collapsed="false">
      <c r="A151" s="120" t="n">
        <f aca="false">A150+1</f>
        <v>37037</v>
      </c>
      <c r="B151" s="131" t="str">
        <f aca="false">INDEX('Master Data'!$A$2:$B$8,MATCH(WEEKDAY('MM PLANT'!A151,3),'Master Data'!$A$2:$A$8,0),2)</f>
        <v>Sa</v>
      </c>
      <c r="D151" s="124" t="n">
        <v>0</v>
      </c>
      <c r="E151" s="124" t="n">
        <v>0</v>
      </c>
      <c r="F151" s="124" t="n">
        <v>0</v>
      </c>
      <c r="G151" s="124" t="n">
        <v>0</v>
      </c>
      <c r="I151" s="124" t="n">
        <f aca="false">IF(MONTH($A151)=MONTH($A150),IF(G151=0,I150,G151),G151)</f>
        <v>0</v>
      </c>
      <c r="J151" s="124" t="n">
        <f aca="false">IF(MONTH($A151)=MONTH($A150),SUM(I151-I150),I151)</f>
        <v>0</v>
      </c>
      <c r="K151" s="124" t="n">
        <f aca="false">IF(WEEKDAY(A151,3)&gt;4,0,(IF(A151&lt;K$2,0,IF(A151&lt;=K$3,1,0))))</f>
        <v>0</v>
      </c>
      <c r="L151" s="124" t="n">
        <f aca="false">J151*K151</f>
        <v>0</v>
      </c>
      <c r="M151" s="124" t="n">
        <f aca="false">SUM(J$97:J151)</f>
        <v>0</v>
      </c>
      <c r="N151" s="124" t="n">
        <f aca="false">SUM(J$6:J151)</f>
        <v>0</v>
      </c>
      <c r="P151" s="124" t="n">
        <f aca="false">D151/P$3</f>
        <v>0</v>
      </c>
      <c r="Q151" s="124" t="n">
        <f aca="false">E151/P$3</f>
        <v>0</v>
      </c>
      <c r="R151" s="124" t="n">
        <f aca="false">F151/R$3</f>
        <v>0</v>
      </c>
      <c r="S151" s="126" t="n">
        <f aca="false">J151/$R$3</f>
        <v>0</v>
      </c>
      <c r="T151" s="126" t="n">
        <f aca="false">L151/$R$3</f>
        <v>0</v>
      </c>
      <c r="U151" s="126" t="n">
        <f aca="false">I151/$R$3</f>
        <v>0</v>
      </c>
      <c r="V151" s="126" t="n">
        <f aca="false">M151/$R$3</f>
        <v>0</v>
      </c>
      <c r="W151" s="126" t="n">
        <f aca="false">N151/$R$3</f>
        <v>0</v>
      </c>
    </row>
    <row r="152" customFormat="false" ht="12.75" hidden="true" customHeight="false" outlineLevel="0" collapsed="false">
      <c r="A152" s="120" t="n">
        <f aca="false">A151+1</f>
        <v>37038</v>
      </c>
      <c r="B152" s="131" t="str">
        <f aca="false">INDEX('Master Data'!$A$2:$B$8,MATCH(WEEKDAY('MM PLANT'!A152,3),'Master Data'!$A$2:$A$8,0),2)</f>
        <v>Su</v>
      </c>
      <c r="D152" s="124" t="n">
        <v>0</v>
      </c>
      <c r="E152" s="124" t="n">
        <v>0</v>
      </c>
      <c r="F152" s="124" t="n">
        <v>0</v>
      </c>
      <c r="G152" s="124" t="n">
        <v>0</v>
      </c>
      <c r="I152" s="124" t="n">
        <f aca="false">IF(MONTH($A152)=MONTH($A151),IF(G152=0,I151,G152),G152)</f>
        <v>0</v>
      </c>
      <c r="J152" s="124" t="n">
        <f aca="false">IF(MONTH($A152)=MONTH($A151),SUM(I152-I151),I152)</f>
        <v>0</v>
      </c>
      <c r="K152" s="124" t="n">
        <f aca="false">IF(WEEKDAY(A152,3)&gt;4,0,(IF(A152&lt;K$2,0,IF(A152&lt;=K$3,1,0))))</f>
        <v>0</v>
      </c>
      <c r="L152" s="124" t="n">
        <f aca="false">J152*K152</f>
        <v>0</v>
      </c>
      <c r="M152" s="124" t="n">
        <f aca="false">SUM(J$97:J152)</f>
        <v>0</v>
      </c>
      <c r="N152" s="124" t="n">
        <f aca="false">SUM(J$6:J152)</f>
        <v>0</v>
      </c>
      <c r="P152" s="124" t="n">
        <f aca="false">D152/P$3</f>
        <v>0</v>
      </c>
      <c r="Q152" s="124" t="n">
        <f aca="false">E152/P$3</f>
        <v>0</v>
      </c>
      <c r="R152" s="124" t="n">
        <f aca="false">F152/R$3</f>
        <v>0</v>
      </c>
      <c r="S152" s="126" t="n">
        <f aca="false">J152/$R$3</f>
        <v>0</v>
      </c>
      <c r="T152" s="126" t="n">
        <f aca="false">L152/$R$3</f>
        <v>0</v>
      </c>
      <c r="U152" s="126" t="n">
        <f aca="false">I152/$R$3</f>
        <v>0</v>
      </c>
      <c r="V152" s="126" t="n">
        <f aca="false">M152/$R$3</f>
        <v>0</v>
      </c>
      <c r="W152" s="126" t="n">
        <f aca="false">N152/$R$3</f>
        <v>0</v>
      </c>
    </row>
    <row r="153" customFormat="false" ht="12.75" hidden="true" customHeight="false" outlineLevel="0" collapsed="false">
      <c r="A153" s="120" t="n">
        <f aca="false">A152+1</f>
        <v>37039</v>
      </c>
      <c r="B153" s="131" t="str">
        <f aca="false">INDEX('Master Data'!$A$2:$B$8,MATCH(WEEKDAY('MM PLANT'!A153,3),'Master Data'!$A$2:$A$8,0),2)</f>
        <v>M</v>
      </c>
      <c r="D153" s="124" t="n">
        <v>0</v>
      </c>
      <c r="E153" s="124" t="n">
        <v>0</v>
      </c>
      <c r="F153" s="124" t="n">
        <v>0</v>
      </c>
      <c r="G153" s="124" t="n">
        <v>0</v>
      </c>
      <c r="I153" s="124" t="n">
        <f aca="false">IF(MONTH($A153)=MONTH($A152),IF(G153=0,I152,G153),G153)</f>
        <v>0</v>
      </c>
      <c r="J153" s="124" t="n">
        <f aca="false">IF(MONTH($A153)=MONTH($A152),SUM(I153-I152),I153)</f>
        <v>0</v>
      </c>
      <c r="K153" s="124" t="n">
        <f aca="false">IF(WEEKDAY(A153,3)&gt;4,0,(IF(A153&lt;K$2,0,IF(A153&lt;=K$3,1,0))))</f>
        <v>0</v>
      </c>
      <c r="L153" s="124" t="n">
        <f aca="false">J153*K153</f>
        <v>0</v>
      </c>
      <c r="M153" s="124" t="n">
        <f aca="false">SUM(J$97:J153)</f>
        <v>0</v>
      </c>
      <c r="N153" s="124" t="n">
        <f aca="false">SUM(J$6:J153)</f>
        <v>0</v>
      </c>
      <c r="P153" s="124" t="n">
        <f aca="false">D153/P$3</f>
        <v>0</v>
      </c>
      <c r="Q153" s="124" t="n">
        <f aca="false">E153/P$3</f>
        <v>0</v>
      </c>
      <c r="R153" s="124" t="n">
        <f aca="false">F153/R$3</f>
        <v>0</v>
      </c>
      <c r="S153" s="126" t="n">
        <f aca="false">J153/$R$3</f>
        <v>0</v>
      </c>
      <c r="T153" s="126" t="n">
        <f aca="false">L153/$R$3</f>
        <v>0</v>
      </c>
      <c r="U153" s="126" t="n">
        <f aca="false">I153/$R$3</f>
        <v>0</v>
      </c>
      <c r="V153" s="126" t="n">
        <f aca="false">M153/$R$3</f>
        <v>0</v>
      </c>
      <c r="W153" s="126" t="n">
        <f aca="false">N153/$R$3</f>
        <v>0</v>
      </c>
    </row>
    <row r="154" customFormat="false" ht="12.75" hidden="true" customHeight="false" outlineLevel="0" collapsed="false">
      <c r="A154" s="120" t="n">
        <f aca="false">A153+1</f>
        <v>37040</v>
      </c>
      <c r="B154" s="131" t="str">
        <f aca="false">INDEX('Master Data'!$A$2:$B$8,MATCH(WEEKDAY('MM PLANT'!A154,3),'Master Data'!$A$2:$A$8,0),2)</f>
        <v>T</v>
      </c>
      <c r="D154" s="124" t="n">
        <v>0</v>
      </c>
      <c r="E154" s="124" t="n">
        <v>0</v>
      </c>
      <c r="F154" s="124" t="n">
        <v>0</v>
      </c>
      <c r="G154" s="124" t="n">
        <v>0</v>
      </c>
      <c r="I154" s="124" t="n">
        <f aca="false">IF(MONTH($A154)=MONTH($A153),IF(G154=0,I153,G154),G154)</f>
        <v>0</v>
      </c>
      <c r="J154" s="124" t="n">
        <f aca="false">IF(MONTH($A154)=MONTH($A153),SUM(I154-I153),I154)</f>
        <v>0</v>
      </c>
      <c r="K154" s="124" t="n">
        <f aca="false">IF(WEEKDAY(A154,3)&gt;4,0,(IF(A154&lt;K$2,0,IF(A154&lt;=K$3,1,0))))</f>
        <v>0</v>
      </c>
      <c r="L154" s="124" t="n">
        <f aca="false">J154*K154</f>
        <v>0</v>
      </c>
      <c r="M154" s="124" t="n">
        <f aca="false">SUM(J$97:J154)</f>
        <v>0</v>
      </c>
      <c r="N154" s="124" t="n">
        <f aca="false">SUM(J$6:J154)</f>
        <v>0</v>
      </c>
      <c r="P154" s="124" t="n">
        <f aca="false">D154/P$3</f>
        <v>0</v>
      </c>
      <c r="Q154" s="124" t="n">
        <f aca="false">E154/P$3</f>
        <v>0</v>
      </c>
      <c r="R154" s="124" t="n">
        <f aca="false">F154/R$3</f>
        <v>0</v>
      </c>
      <c r="S154" s="126" t="n">
        <f aca="false">J154/$R$3</f>
        <v>0</v>
      </c>
      <c r="T154" s="126" t="n">
        <f aca="false">L154/$R$3</f>
        <v>0</v>
      </c>
      <c r="U154" s="126" t="n">
        <f aca="false">I154/$R$3</f>
        <v>0</v>
      </c>
      <c r="V154" s="126" t="n">
        <f aca="false">M154/$R$3</f>
        <v>0</v>
      </c>
      <c r="W154" s="126" t="n">
        <f aca="false">N154/$R$3</f>
        <v>0</v>
      </c>
    </row>
    <row r="155" customFormat="false" ht="12.75" hidden="true" customHeight="false" outlineLevel="0" collapsed="false">
      <c r="A155" s="120" t="n">
        <f aca="false">A154+1</f>
        <v>37041</v>
      </c>
      <c r="B155" s="131" t="str">
        <f aca="false">INDEX('Master Data'!$A$2:$B$8,MATCH(WEEKDAY('MM PLANT'!A155,3),'Master Data'!$A$2:$A$8,0),2)</f>
        <v>W</v>
      </c>
      <c r="D155" s="124" t="n">
        <v>0</v>
      </c>
      <c r="E155" s="124" t="n">
        <v>0</v>
      </c>
      <c r="F155" s="124" t="n">
        <v>0</v>
      </c>
      <c r="G155" s="124" t="n">
        <v>0</v>
      </c>
      <c r="I155" s="124" t="n">
        <f aca="false">IF(MONTH($A155)=MONTH($A154),IF(G155=0,I154,G155),G155)</f>
        <v>0</v>
      </c>
      <c r="J155" s="124" t="n">
        <f aca="false">IF(MONTH($A155)=MONTH($A154),SUM(I155-I154),I155)</f>
        <v>0</v>
      </c>
      <c r="K155" s="124" t="n">
        <f aca="false">IF(WEEKDAY(A155,3)&gt;4,0,(IF(A155&lt;K$2,0,IF(A155&lt;=K$3,1,0))))</f>
        <v>0</v>
      </c>
      <c r="L155" s="124" t="n">
        <f aca="false">J155*K155</f>
        <v>0</v>
      </c>
      <c r="M155" s="124" t="n">
        <f aca="false">SUM(J$97:J155)</f>
        <v>0</v>
      </c>
      <c r="N155" s="124" t="n">
        <f aca="false">SUM(J$6:J155)</f>
        <v>0</v>
      </c>
      <c r="P155" s="124" t="n">
        <f aca="false">D155/P$3</f>
        <v>0</v>
      </c>
      <c r="Q155" s="124" t="n">
        <f aca="false">E155/P$3</f>
        <v>0</v>
      </c>
      <c r="R155" s="124" t="n">
        <f aca="false">F155/R$3</f>
        <v>0</v>
      </c>
      <c r="S155" s="126" t="n">
        <f aca="false">J155/$R$3</f>
        <v>0</v>
      </c>
      <c r="T155" s="126" t="n">
        <f aca="false">L155/$R$3</f>
        <v>0</v>
      </c>
      <c r="U155" s="126" t="n">
        <f aca="false">I155/$R$3</f>
        <v>0</v>
      </c>
      <c r="V155" s="126" t="n">
        <f aca="false">M155/$R$3</f>
        <v>0</v>
      </c>
      <c r="W155" s="126" t="n">
        <f aca="false">N155/$R$3</f>
        <v>0</v>
      </c>
    </row>
    <row r="156" customFormat="false" ht="12.75" hidden="false" customHeight="false" outlineLevel="0" collapsed="false">
      <c r="A156" s="120" t="n">
        <f aca="false">A155+1</f>
        <v>37042</v>
      </c>
      <c r="B156" s="131" t="str">
        <f aca="false">INDEX('Master Data'!$A$2:$B$8,MATCH(WEEKDAY('MM PLANT'!A156,3),'Master Data'!$A$2:$A$8,0),2)</f>
        <v>Th</v>
      </c>
      <c r="D156" s="124" t="n">
        <v>0</v>
      </c>
      <c r="E156" s="124" t="n">
        <v>0</v>
      </c>
      <c r="F156" s="124" t="n">
        <v>0</v>
      </c>
      <c r="G156" s="124" t="n">
        <v>-120640.025124184</v>
      </c>
      <c r="I156" s="124" t="n">
        <f aca="false">IF(MONTH($A156)=MONTH($A155),IF(G156=0,I155,G156),G156)</f>
        <v>-120640.025124184</v>
      </c>
      <c r="J156" s="124" t="n">
        <f aca="false">IF(MONTH($A156)=MONTH($A155),SUM(I156-I155),I156)</f>
        <v>-120640.025124184</v>
      </c>
      <c r="K156" s="124" t="n">
        <f aca="false">IF(WEEKDAY(A156,3)&gt;4,0,(IF(A156&lt;K$2,0,IF(A156&lt;=K$3,1,0))))</f>
        <v>0</v>
      </c>
      <c r="L156" s="124" t="n">
        <f aca="false">J156*K156</f>
        <v>-0</v>
      </c>
      <c r="M156" s="124" t="n">
        <f aca="false">SUM(J$97:J156)</f>
        <v>-120640.025124184</v>
      </c>
      <c r="N156" s="124" t="n">
        <f aca="false">SUM(J$6:J156)</f>
        <v>-120640.025124184</v>
      </c>
      <c r="P156" s="124" t="n">
        <f aca="false">D156/P$3</f>
        <v>0</v>
      </c>
      <c r="Q156" s="124" t="n">
        <f aca="false">E156/P$3</f>
        <v>0</v>
      </c>
      <c r="R156" s="124" t="n">
        <f aca="false">F156/R$3</f>
        <v>0</v>
      </c>
      <c r="S156" s="126" t="n">
        <f aca="false">J156/$R$3</f>
        <v>-120.640025124184</v>
      </c>
      <c r="T156" s="126" t="n">
        <f aca="false">L156/$R$3</f>
        <v>-0</v>
      </c>
      <c r="U156" s="126" t="n">
        <f aca="false">I156/$R$3</f>
        <v>-120.640025124184</v>
      </c>
      <c r="V156" s="126" t="n">
        <f aca="false">M156/$R$3</f>
        <v>-120.640025124184</v>
      </c>
      <c r="W156" s="126" t="n">
        <f aca="false">N156/$R$3</f>
        <v>-120.640025124184</v>
      </c>
    </row>
    <row r="157" customFormat="false" ht="12.75" hidden="true" customHeight="false" outlineLevel="0" collapsed="false">
      <c r="A157" s="120" t="n">
        <f aca="false">A156+1</f>
        <v>37043</v>
      </c>
      <c r="B157" s="131" t="str">
        <f aca="false">INDEX('Master Data'!$A$2:$B$8,MATCH(WEEKDAY('MM PLANT'!A157,3),'Master Data'!$A$2:$A$8,0),2)</f>
        <v>F</v>
      </c>
      <c r="D157" s="124" t="n">
        <v>0</v>
      </c>
      <c r="E157" s="124" t="n">
        <v>0</v>
      </c>
      <c r="F157" s="124" t="n">
        <v>0</v>
      </c>
      <c r="G157" s="124" t="n">
        <f aca="false">-27366/30*1</f>
        <v>-912.2</v>
      </c>
      <c r="I157" s="124" t="n">
        <f aca="false">IF(MONTH($A157)=MONTH($A156),IF(G157=0,I156,G157),G157)</f>
        <v>-912.2</v>
      </c>
      <c r="J157" s="124" t="n">
        <f aca="false">IF(MONTH($A157)=MONTH($A156),SUM(I157-I156),I157)</f>
        <v>-912.2</v>
      </c>
      <c r="K157" s="124" t="n">
        <f aca="false">IF(WEEKDAY(A157,3)&gt;4,0,(IF(A157&lt;K$2,0,IF(A157&lt;=K$3,1,0))))</f>
        <v>0</v>
      </c>
      <c r="L157" s="124" t="n">
        <f aca="false">J157*K157</f>
        <v>-0</v>
      </c>
      <c r="M157" s="124" t="n">
        <f aca="false">SUM(J$97:J157)</f>
        <v>-121552.225124184</v>
      </c>
      <c r="N157" s="124" t="n">
        <f aca="false">SUM(J$6:J157)</f>
        <v>-121552.225124184</v>
      </c>
      <c r="P157" s="124" t="n">
        <f aca="false">D157/P$3</f>
        <v>0</v>
      </c>
      <c r="Q157" s="124" t="n">
        <f aca="false">E157/P$3</f>
        <v>0</v>
      </c>
      <c r="R157" s="124" t="n">
        <f aca="false">F157/R$3</f>
        <v>0</v>
      </c>
      <c r="S157" s="126" t="n">
        <f aca="false">J157/$R$3</f>
        <v>-0.9122</v>
      </c>
      <c r="T157" s="126" t="n">
        <f aca="false">L157/$R$3</f>
        <v>-0</v>
      </c>
      <c r="U157" s="126" t="n">
        <f aca="false">I157/$R$3</f>
        <v>-0.9122</v>
      </c>
      <c r="V157" s="126" t="n">
        <f aca="false">M157/$R$3</f>
        <v>-121.552225124184</v>
      </c>
      <c r="W157" s="126" t="n">
        <f aca="false">N157/$R$3</f>
        <v>-121.552225124184</v>
      </c>
    </row>
    <row r="158" customFormat="false" ht="12.75" hidden="true" customHeight="false" outlineLevel="0" collapsed="false">
      <c r="A158" s="120" t="n">
        <f aca="false">A157+1</f>
        <v>37044</v>
      </c>
      <c r="B158" s="131" t="str">
        <f aca="false">INDEX('Master Data'!$A$2:$B$8,MATCH(WEEKDAY('MM PLANT'!A158,3),'Master Data'!$A$2:$A$8,0),2)</f>
        <v>Sa</v>
      </c>
      <c r="D158" s="124" t="n">
        <v>0</v>
      </c>
      <c r="E158" s="124" t="n">
        <v>0</v>
      </c>
      <c r="F158" s="124" t="n">
        <v>0</v>
      </c>
      <c r="G158" s="124" t="n">
        <v>0</v>
      </c>
      <c r="I158" s="124" t="n">
        <f aca="false">IF(MONTH($A158)=MONTH($A157),IF(G158=0,I157,G158),G158)</f>
        <v>-912.2</v>
      </c>
      <c r="J158" s="124" t="n">
        <f aca="false">IF(MONTH($A158)=MONTH($A157),SUM(I158-I157),I158)</f>
        <v>0</v>
      </c>
      <c r="K158" s="124" t="n">
        <f aca="false">IF(WEEKDAY(A158,3)&gt;4,0,(IF(A158&lt;K$2,0,IF(A158&lt;=K$3,1,0))))</f>
        <v>0</v>
      </c>
      <c r="L158" s="124" t="n">
        <f aca="false">J158*K158</f>
        <v>0</v>
      </c>
      <c r="M158" s="124" t="n">
        <f aca="false">SUM(J$97:J158)</f>
        <v>-121552.225124184</v>
      </c>
      <c r="N158" s="124" t="n">
        <f aca="false">SUM(J$6:J158)</f>
        <v>-121552.225124184</v>
      </c>
      <c r="P158" s="124" t="n">
        <f aca="false">D158/P$3</f>
        <v>0</v>
      </c>
      <c r="Q158" s="124" t="n">
        <f aca="false">E158/P$3</f>
        <v>0</v>
      </c>
      <c r="R158" s="124" t="n">
        <f aca="false">F158/R$3</f>
        <v>0</v>
      </c>
      <c r="S158" s="126" t="n">
        <f aca="false">J158/$R$3</f>
        <v>0</v>
      </c>
      <c r="T158" s="126" t="n">
        <f aca="false">L158/$R$3</f>
        <v>0</v>
      </c>
      <c r="U158" s="126" t="n">
        <f aca="false">I158/$R$3</f>
        <v>-0.9122</v>
      </c>
      <c r="V158" s="126" t="n">
        <f aca="false">M158/$R$3</f>
        <v>-121.552225124184</v>
      </c>
      <c r="W158" s="126" t="n">
        <f aca="false">N158/$R$3</f>
        <v>-121.552225124184</v>
      </c>
    </row>
    <row r="159" customFormat="false" ht="12.75" hidden="true" customHeight="false" outlineLevel="0" collapsed="false">
      <c r="A159" s="120" t="n">
        <f aca="false">A158+1</f>
        <v>37045</v>
      </c>
      <c r="B159" s="131" t="str">
        <f aca="false">INDEX('Master Data'!$A$2:$B$8,MATCH(WEEKDAY('MM PLANT'!A159,3),'Master Data'!$A$2:$A$8,0),2)</f>
        <v>Su</v>
      </c>
      <c r="D159" s="124" t="n">
        <v>0</v>
      </c>
      <c r="E159" s="124" t="n">
        <v>0</v>
      </c>
      <c r="F159" s="124" t="n">
        <v>0</v>
      </c>
      <c r="G159" s="124" t="n">
        <v>0</v>
      </c>
      <c r="I159" s="124" t="n">
        <f aca="false">IF(MONTH($A159)=MONTH($A158),IF(G159=0,I158,G159),G159)</f>
        <v>-912.2</v>
      </c>
      <c r="J159" s="124" t="n">
        <f aca="false">IF(MONTH($A159)=MONTH($A158),SUM(I159-I158),I159)</f>
        <v>0</v>
      </c>
      <c r="K159" s="124" t="n">
        <f aca="false">IF(WEEKDAY(A159,3)&gt;4,0,(IF(A159&lt;K$2,0,IF(A159&lt;=K$3,1,0))))</f>
        <v>0</v>
      </c>
      <c r="L159" s="124" t="n">
        <f aca="false">J159*K159</f>
        <v>0</v>
      </c>
      <c r="M159" s="124" t="n">
        <f aca="false">SUM(J$97:J159)</f>
        <v>-121552.225124184</v>
      </c>
      <c r="N159" s="124" t="n">
        <f aca="false">SUM(J$6:J159)</f>
        <v>-121552.225124184</v>
      </c>
      <c r="P159" s="124" t="n">
        <f aca="false">D159/P$3</f>
        <v>0</v>
      </c>
      <c r="Q159" s="124" t="n">
        <f aca="false">E159/P$3</f>
        <v>0</v>
      </c>
      <c r="R159" s="124" t="n">
        <f aca="false">F159/R$3</f>
        <v>0</v>
      </c>
      <c r="S159" s="126" t="n">
        <f aca="false">J159/$R$3</f>
        <v>0</v>
      </c>
      <c r="T159" s="126" t="n">
        <f aca="false">L159/$R$3</f>
        <v>0</v>
      </c>
      <c r="U159" s="126" t="n">
        <f aca="false">I159/$R$3</f>
        <v>-0.9122</v>
      </c>
      <c r="V159" s="126" t="n">
        <f aca="false">M159/$R$3</f>
        <v>-121.552225124184</v>
      </c>
      <c r="W159" s="126" t="n">
        <f aca="false">N159/$R$3</f>
        <v>-121.552225124184</v>
      </c>
    </row>
    <row r="160" customFormat="false" ht="12.75" hidden="true" customHeight="false" outlineLevel="0" collapsed="false">
      <c r="A160" s="120" t="n">
        <f aca="false">A159+1</f>
        <v>37046</v>
      </c>
      <c r="B160" s="131" t="str">
        <f aca="false">INDEX('Master Data'!$A$2:$B$8,MATCH(WEEKDAY('MM PLANT'!A160,3),'Master Data'!$A$2:$A$8,0),2)</f>
        <v>M</v>
      </c>
      <c r="D160" s="124" t="n">
        <v>0</v>
      </c>
      <c r="E160" s="124" t="n">
        <v>0</v>
      </c>
      <c r="F160" s="124" t="n">
        <v>0</v>
      </c>
      <c r="G160" s="124" t="n">
        <f aca="false">-27366/30*4</f>
        <v>-3648.8</v>
      </c>
      <c r="I160" s="124" t="n">
        <f aca="false">IF(MONTH($A160)=MONTH($A159),IF(G160=0,I159,G160),G160)</f>
        <v>-3648.8</v>
      </c>
      <c r="J160" s="124" t="n">
        <f aca="false">IF(MONTH($A160)=MONTH($A159),SUM(I160-I159),I160)</f>
        <v>-2736.6</v>
      </c>
      <c r="K160" s="124" t="n">
        <f aca="false">IF(WEEKDAY(A160,3)&gt;4,0,(IF(A160&lt;K$2,0,IF(A160&lt;=K$3,1,0))))</f>
        <v>0</v>
      </c>
      <c r="L160" s="124" t="n">
        <f aca="false">J160*K160</f>
        <v>-0</v>
      </c>
      <c r="M160" s="124" t="n">
        <f aca="false">SUM(J$97:J160)</f>
        <v>-124288.825124184</v>
      </c>
      <c r="N160" s="124" t="n">
        <f aca="false">SUM(J$6:J160)</f>
        <v>-124288.825124184</v>
      </c>
      <c r="P160" s="124" t="n">
        <f aca="false">D160/P$3</f>
        <v>0</v>
      </c>
      <c r="Q160" s="124" t="n">
        <f aca="false">E160/P$3</f>
        <v>0</v>
      </c>
      <c r="R160" s="124" t="n">
        <f aca="false">F160/R$3</f>
        <v>0</v>
      </c>
      <c r="S160" s="126" t="n">
        <f aca="false">J160/$R$3</f>
        <v>-2.7366</v>
      </c>
      <c r="T160" s="126" t="n">
        <f aca="false">L160/$R$3</f>
        <v>-0</v>
      </c>
      <c r="U160" s="126" t="n">
        <f aca="false">I160/$R$3</f>
        <v>-3.6488</v>
      </c>
      <c r="V160" s="126" t="n">
        <f aca="false">M160/$R$3</f>
        <v>-124.288825124184</v>
      </c>
      <c r="W160" s="126" t="n">
        <f aca="false">N160/$R$3</f>
        <v>-124.288825124184</v>
      </c>
    </row>
    <row r="161" customFormat="false" ht="12.75" hidden="true" customHeight="false" outlineLevel="0" collapsed="false">
      <c r="A161" s="120" t="n">
        <f aca="false">A160+1</f>
        <v>37047</v>
      </c>
      <c r="B161" s="131" t="str">
        <f aca="false">INDEX('Master Data'!$A$2:$B$8,MATCH(WEEKDAY('MM PLANT'!A161,3),'Master Data'!$A$2:$A$8,0),2)</f>
        <v>T</v>
      </c>
      <c r="D161" s="124" t="n">
        <v>0</v>
      </c>
      <c r="E161" s="124" t="n">
        <v>0</v>
      </c>
      <c r="F161" s="124" t="n">
        <v>0</v>
      </c>
      <c r="G161" s="124" t="n">
        <f aca="false">-27366/30*5</f>
        <v>-4561</v>
      </c>
      <c r="I161" s="124" t="n">
        <f aca="false">IF(MONTH($A161)=MONTH($A160),IF(G161=0,I160,G161),G161)</f>
        <v>-4561</v>
      </c>
      <c r="J161" s="124" t="n">
        <f aca="false">IF(MONTH($A161)=MONTH($A160),SUM(I161-I160),I161)</f>
        <v>-912.2</v>
      </c>
      <c r="K161" s="124" t="n">
        <f aca="false">IF(WEEKDAY(A161,3)&gt;4,0,(IF(A161&lt;K$2,0,IF(A161&lt;=K$3,1,0))))</f>
        <v>0</v>
      </c>
      <c r="L161" s="124" t="n">
        <f aca="false">J161*K161</f>
        <v>-0</v>
      </c>
      <c r="M161" s="124" t="n">
        <f aca="false">SUM(J$97:J161)</f>
        <v>-125201.025124184</v>
      </c>
      <c r="N161" s="124" t="n">
        <f aca="false">SUM(J$6:J161)</f>
        <v>-125201.025124184</v>
      </c>
      <c r="P161" s="124" t="n">
        <f aca="false">D161/P$3</f>
        <v>0</v>
      </c>
      <c r="Q161" s="124" t="n">
        <f aca="false">E161/P$3</f>
        <v>0</v>
      </c>
      <c r="R161" s="124" t="n">
        <f aca="false">F161/R$3</f>
        <v>0</v>
      </c>
      <c r="S161" s="126" t="n">
        <f aca="false">J161/$R$3</f>
        <v>-0.9122</v>
      </c>
      <c r="T161" s="126" t="n">
        <f aca="false">L161/$R$3</f>
        <v>-0</v>
      </c>
      <c r="U161" s="126" t="n">
        <f aca="false">I161/$R$3</f>
        <v>-4.561</v>
      </c>
      <c r="V161" s="126" t="n">
        <f aca="false">M161/$R$3</f>
        <v>-125.201025124184</v>
      </c>
      <c r="W161" s="126" t="n">
        <f aca="false">N161/$R$3</f>
        <v>-125.201025124184</v>
      </c>
    </row>
    <row r="162" customFormat="false" ht="12.75" hidden="true" customHeight="false" outlineLevel="0" collapsed="false">
      <c r="A162" s="120" t="n">
        <f aca="false">A161+1</f>
        <v>37048</v>
      </c>
      <c r="B162" s="131" t="str">
        <f aca="false">INDEX('Master Data'!$A$2:$B$8,MATCH(WEEKDAY('MM PLANT'!A162,3),'Master Data'!$A$2:$A$8,0),2)</f>
        <v>W</v>
      </c>
      <c r="D162" s="124" t="n">
        <v>0</v>
      </c>
      <c r="E162" s="124" t="n">
        <v>0</v>
      </c>
      <c r="F162" s="124" t="n">
        <v>0</v>
      </c>
      <c r="G162" s="124" t="n">
        <f aca="false">-27366/30*6</f>
        <v>-5473.2</v>
      </c>
      <c r="I162" s="124" t="n">
        <f aca="false">IF(MONTH($A162)=MONTH($A161),IF(G162=0,I161,G162),G162)</f>
        <v>-5473.2</v>
      </c>
      <c r="J162" s="124" t="n">
        <f aca="false">IF(MONTH($A162)=MONTH($A161),SUM(I162-I161),I162)</f>
        <v>-912.200000000001</v>
      </c>
      <c r="K162" s="124" t="n">
        <f aca="false">IF(WEEKDAY(A162,3)&gt;4,0,(IF(A162&lt;K$2,0,IF(A162&lt;=K$3,1,0))))</f>
        <v>0</v>
      </c>
      <c r="L162" s="124" t="n">
        <f aca="false">J162*K162</f>
        <v>-0</v>
      </c>
      <c r="M162" s="124" t="n">
        <f aca="false">SUM(J$97:J162)</f>
        <v>-126113.225124184</v>
      </c>
      <c r="N162" s="124" t="n">
        <f aca="false">SUM(J$6:J162)</f>
        <v>-126113.225124184</v>
      </c>
      <c r="P162" s="124" t="n">
        <f aca="false">D162/P$3</f>
        <v>0</v>
      </c>
      <c r="Q162" s="124" t="n">
        <f aca="false">E162/P$3</f>
        <v>0</v>
      </c>
      <c r="R162" s="124" t="n">
        <f aca="false">F162/R$3</f>
        <v>0</v>
      </c>
      <c r="S162" s="126" t="n">
        <f aca="false">J162/$R$3</f>
        <v>-0.912200000000001</v>
      </c>
      <c r="T162" s="126" t="n">
        <f aca="false">L162/$R$3</f>
        <v>-0</v>
      </c>
      <c r="U162" s="126" t="n">
        <f aca="false">I162/$R$3</f>
        <v>-5.4732</v>
      </c>
      <c r="V162" s="126" t="n">
        <f aca="false">M162/$R$3</f>
        <v>-126.113225124184</v>
      </c>
      <c r="W162" s="126" t="n">
        <f aca="false">N162/$R$3</f>
        <v>-126.113225124184</v>
      </c>
    </row>
    <row r="163" customFormat="false" ht="12.75" hidden="true" customHeight="false" outlineLevel="0" collapsed="false">
      <c r="A163" s="120" t="n">
        <f aca="false">A162+1</f>
        <v>37049</v>
      </c>
      <c r="B163" s="131" t="str">
        <f aca="false">INDEX('Master Data'!$A$2:$B$8,MATCH(WEEKDAY('MM PLANT'!A163,3),'Master Data'!$A$2:$A$8,0),2)</f>
        <v>Th</v>
      </c>
      <c r="D163" s="124" t="n">
        <v>0</v>
      </c>
      <c r="E163" s="124" t="n">
        <v>0</v>
      </c>
      <c r="F163" s="124" t="n">
        <v>0</v>
      </c>
      <c r="G163" s="124" t="n">
        <f aca="false">-27366/30*7</f>
        <v>-6385.4</v>
      </c>
      <c r="I163" s="124" t="n">
        <f aca="false">IF(MONTH($A163)=MONTH($A162),IF(G163=0,I162,G163),G163)</f>
        <v>-6385.4</v>
      </c>
      <c r="J163" s="124" t="n">
        <f aca="false">IF(MONTH($A163)=MONTH($A162),SUM(I163-I162),I163)</f>
        <v>-912.2</v>
      </c>
      <c r="K163" s="124" t="n">
        <f aca="false">IF(WEEKDAY(A163,3)&gt;4,0,(IF(A163&lt;K$2,0,IF(A163&lt;=K$3,1,0))))</f>
        <v>0</v>
      </c>
      <c r="L163" s="124" t="n">
        <f aca="false">J163*K163</f>
        <v>-0</v>
      </c>
      <c r="M163" s="124" t="n">
        <f aca="false">SUM(J$97:J163)</f>
        <v>-127025.425124184</v>
      </c>
      <c r="N163" s="124" t="n">
        <f aca="false">SUM(J$6:J163)</f>
        <v>-127025.425124184</v>
      </c>
      <c r="P163" s="124" t="n">
        <f aca="false">D163/P$3</f>
        <v>0</v>
      </c>
      <c r="Q163" s="124" t="n">
        <f aca="false">E163/P$3</f>
        <v>0</v>
      </c>
      <c r="R163" s="124" t="n">
        <f aca="false">F163/R$3</f>
        <v>0</v>
      </c>
      <c r="S163" s="126" t="n">
        <f aca="false">J163/$R$3</f>
        <v>-0.9122</v>
      </c>
      <c r="T163" s="126" t="n">
        <f aca="false">L163/$R$3</f>
        <v>-0</v>
      </c>
      <c r="U163" s="126" t="n">
        <f aca="false">I163/$R$3</f>
        <v>-6.3854</v>
      </c>
      <c r="V163" s="126" t="n">
        <f aca="false">M163/$R$3</f>
        <v>-127.025425124184</v>
      </c>
      <c r="W163" s="126" t="n">
        <f aca="false">N163/$R$3</f>
        <v>-127.025425124184</v>
      </c>
    </row>
    <row r="164" customFormat="false" ht="12.75" hidden="true" customHeight="false" outlineLevel="0" collapsed="false">
      <c r="A164" s="120" t="n">
        <f aca="false">A163+1</f>
        <v>37050</v>
      </c>
      <c r="B164" s="131" t="str">
        <f aca="false">INDEX('Master Data'!$A$2:$B$8,MATCH(WEEKDAY('MM PLANT'!A164,3),'Master Data'!$A$2:$A$8,0),2)</f>
        <v>F</v>
      </c>
      <c r="D164" s="124" t="n">
        <v>0</v>
      </c>
      <c r="E164" s="124" t="n">
        <v>0</v>
      </c>
      <c r="F164" s="124" t="n">
        <v>0</v>
      </c>
      <c r="G164" s="124" t="n">
        <f aca="false">-27366/30*8</f>
        <v>-7297.6</v>
      </c>
      <c r="I164" s="124" t="n">
        <f aca="false">IF(MONTH($A164)=MONTH($A163),IF(G164=0,I163,G164),G164)</f>
        <v>-7297.6</v>
      </c>
      <c r="J164" s="124" t="n">
        <f aca="false">IF(MONTH($A164)=MONTH($A163),SUM(I164-I163),I164)</f>
        <v>-912.2</v>
      </c>
      <c r="K164" s="124" t="n">
        <f aca="false">IF(WEEKDAY(A164,3)&gt;4,0,(IF(A164&lt;K$2,0,IF(A164&lt;=K$3,1,0))))</f>
        <v>0</v>
      </c>
      <c r="L164" s="124" t="n">
        <f aca="false">J164*K164</f>
        <v>-0</v>
      </c>
      <c r="M164" s="124" t="n">
        <f aca="false">SUM(J$97:J164)</f>
        <v>-127937.625124184</v>
      </c>
      <c r="N164" s="124" t="n">
        <f aca="false">SUM(J$6:J164)</f>
        <v>-127937.625124184</v>
      </c>
      <c r="P164" s="124" t="n">
        <f aca="false">D164/P$3</f>
        <v>0</v>
      </c>
      <c r="Q164" s="124" t="n">
        <f aca="false">E164/P$3</f>
        <v>0</v>
      </c>
      <c r="R164" s="124" t="n">
        <f aca="false">F164/R$3</f>
        <v>0</v>
      </c>
      <c r="S164" s="126" t="n">
        <f aca="false">J164/$R$3</f>
        <v>-0.9122</v>
      </c>
      <c r="T164" s="126" t="n">
        <f aca="false">L164/$R$3</f>
        <v>-0</v>
      </c>
      <c r="U164" s="126" t="n">
        <f aca="false">I164/$R$3</f>
        <v>-7.2976</v>
      </c>
      <c r="V164" s="126" t="n">
        <f aca="false">M164/$R$3</f>
        <v>-127.937625124184</v>
      </c>
      <c r="W164" s="126" t="n">
        <f aca="false">N164/$R$3</f>
        <v>-127.937625124184</v>
      </c>
    </row>
    <row r="165" customFormat="false" ht="12.75" hidden="true" customHeight="false" outlineLevel="0" collapsed="false">
      <c r="A165" s="120" t="n">
        <f aca="false">A164+1</f>
        <v>37051</v>
      </c>
      <c r="B165" s="131" t="str">
        <f aca="false">INDEX('Master Data'!$A$2:$B$8,MATCH(WEEKDAY('MM PLANT'!A165,3),'Master Data'!$A$2:$A$8,0),2)</f>
        <v>Sa</v>
      </c>
      <c r="D165" s="124" t="n">
        <v>0</v>
      </c>
      <c r="E165" s="124" t="n">
        <v>0</v>
      </c>
      <c r="F165" s="124" t="n">
        <v>0</v>
      </c>
      <c r="G165" s="124" t="n">
        <v>0</v>
      </c>
      <c r="I165" s="124" t="n">
        <f aca="false">IF(MONTH($A165)=MONTH($A164),IF(G165=0,I164,G165),G165)</f>
        <v>-7297.6</v>
      </c>
      <c r="J165" s="124" t="n">
        <f aca="false">IF(MONTH($A165)=MONTH($A164),SUM(I165-I164),I165)</f>
        <v>0</v>
      </c>
      <c r="K165" s="124" t="n">
        <f aca="false">IF(WEEKDAY(A165,3)&gt;4,0,(IF(A165&lt;K$2,0,IF(A165&lt;=K$3,1,0))))</f>
        <v>0</v>
      </c>
      <c r="L165" s="124" t="n">
        <f aca="false">J165*K165</f>
        <v>0</v>
      </c>
      <c r="M165" s="124" t="n">
        <f aca="false">SUM(J$97:J165)</f>
        <v>-127937.625124184</v>
      </c>
      <c r="N165" s="124" t="n">
        <f aca="false">SUM(J$6:J165)</f>
        <v>-127937.625124184</v>
      </c>
      <c r="P165" s="124" t="n">
        <f aca="false">D165/P$3</f>
        <v>0</v>
      </c>
      <c r="Q165" s="124" t="n">
        <f aca="false">E165/P$3</f>
        <v>0</v>
      </c>
      <c r="R165" s="124" t="n">
        <f aca="false">F165/R$3</f>
        <v>0</v>
      </c>
      <c r="S165" s="126" t="n">
        <f aca="false">J165/$R$3</f>
        <v>0</v>
      </c>
      <c r="T165" s="126" t="n">
        <f aca="false">L165/$R$3</f>
        <v>0</v>
      </c>
      <c r="U165" s="126" t="n">
        <f aca="false">I165/$R$3</f>
        <v>-7.2976</v>
      </c>
      <c r="V165" s="126" t="n">
        <f aca="false">M165/$R$3</f>
        <v>-127.937625124184</v>
      </c>
      <c r="W165" s="126" t="n">
        <f aca="false">N165/$R$3</f>
        <v>-127.937625124184</v>
      </c>
    </row>
    <row r="166" customFormat="false" ht="12.75" hidden="true" customHeight="false" outlineLevel="0" collapsed="false">
      <c r="A166" s="120" t="n">
        <f aca="false">A165+1</f>
        <v>37052</v>
      </c>
      <c r="B166" s="131" t="str">
        <f aca="false">INDEX('Master Data'!$A$2:$B$8,MATCH(WEEKDAY('MM PLANT'!A166,3),'Master Data'!$A$2:$A$8,0),2)</f>
        <v>Su</v>
      </c>
      <c r="D166" s="124" t="n">
        <v>0</v>
      </c>
      <c r="E166" s="124" t="n">
        <v>0</v>
      </c>
      <c r="F166" s="124" t="n">
        <v>0</v>
      </c>
      <c r="G166" s="124" t="n">
        <v>0</v>
      </c>
      <c r="I166" s="124" t="n">
        <f aca="false">IF(MONTH($A166)=MONTH($A165),IF(G166=0,I165,G166),G166)</f>
        <v>-7297.6</v>
      </c>
      <c r="J166" s="124" t="n">
        <f aca="false">IF(MONTH($A166)=MONTH($A165),SUM(I166-I165),I166)</f>
        <v>0</v>
      </c>
      <c r="K166" s="124" t="n">
        <f aca="false">IF(WEEKDAY(A166,3)&gt;4,0,(IF(A166&lt;K$2,0,IF(A166&lt;=K$3,1,0))))</f>
        <v>0</v>
      </c>
      <c r="L166" s="124" t="n">
        <f aca="false">J166*K166</f>
        <v>0</v>
      </c>
      <c r="M166" s="124" t="n">
        <f aca="false">SUM(J$97:J166)</f>
        <v>-127937.625124184</v>
      </c>
      <c r="N166" s="124" t="n">
        <f aca="false">SUM(J$6:J166)</f>
        <v>-127937.625124184</v>
      </c>
      <c r="P166" s="124" t="n">
        <f aca="false">D166/P$3</f>
        <v>0</v>
      </c>
      <c r="Q166" s="124" t="n">
        <f aca="false">E166/P$3</f>
        <v>0</v>
      </c>
      <c r="R166" s="124" t="n">
        <f aca="false">F166/R$3</f>
        <v>0</v>
      </c>
      <c r="S166" s="126" t="n">
        <f aca="false">J166/$R$3</f>
        <v>0</v>
      </c>
      <c r="T166" s="126" t="n">
        <f aca="false">L166/$R$3</f>
        <v>0</v>
      </c>
      <c r="U166" s="126" t="n">
        <f aca="false">I166/$R$3</f>
        <v>-7.2976</v>
      </c>
      <c r="V166" s="126" t="n">
        <f aca="false">M166/$R$3</f>
        <v>-127.937625124184</v>
      </c>
      <c r="W166" s="126" t="n">
        <f aca="false">N166/$R$3</f>
        <v>-127.937625124184</v>
      </c>
    </row>
    <row r="167" customFormat="false" ht="12.75" hidden="true" customHeight="false" outlineLevel="0" collapsed="false">
      <c r="A167" s="120" t="n">
        <f aca="false">A166+1</f>
        <v>37053</v>
      </c>
      <c r="B167" s="131" t="str">
        <f aca="false">INDEX('Master Data'!$A$2:$B$8,MATCH(WEEKDAY('MM PLANT'!A167,3),'Master Data'!$A$2:$A$8,0),2)</f>
        <v>M</v>
      </c>
      <c r="D167" s="124" t="n">
        <v>0</v>
      </c>
      <c r="E167" s="124" t="n">
        <v>0</v>
      </c>
      <c r="F167" s="124" t="n">
        <v>0</v>
      </c>
      <c r="G167" s="124" t="n">
        <f aca="false">-27366/30*11</f>
        <v>-10034.2</v>
      </c>
      <c r="I167" s="124" t="n">
        <f aca="false">IF(MONTH($A167)=MONTH($A166),IF(G167=0,I166,G167),G167)</f>
        <v>-10034.2</v>
      </c>
      <c r="J167" s="124" t="n">
        <f aca="false">IF(MONTH($A167)=MONTH($A166),SUM(I167-I166),I167)</f>
        <v>-2736.6</v>
      </c>
      <c r="K167" s="124" t="n">
        <f aca="false">IF(WEEKDAY(A167,3)&gt;4,0,(IF(A167&lt;K$2,0,IF(A167&lt;=K$3,1,0))))</f>
        <v>0</v>
      </c>
      <c r="L167" s="124" t="n">
        <f aca="false">J167*K167</f>
        <v>-0</v>
      </c>
      <c r="M167" s="124" t="n">
        <f aca="false">SUM(J$97:J167)</f>
        <v>-130674.225124184</v>
      </c>
      <c r="N167" s="124" t="n">
        <f aca="false">SUM(J$6:J167)</f>
        <v>-130674.225124184</v>
      </c>
      <c r="P167" s="124" t="n">
        <f aca="false">D167/P$3</f>
        <v>0</v>
      </c>
      <c r="Q167" s="124" t="n">
        <f aca="false">E167/P$3</f>
        <v>0</v>
      </c>
      <c r="R167" s="124" t="n">
        <f aca="false">F167/R$3</f>
        <v>0</v>
      </c>
      <c r="S167" s="126" t="n">
        <f aca="false">J167/$R$3</f>
        <v>-2.7366</v>
      </c>
      <c r="T167" s="126" t="n">
        <f aca="false">L167/$R$3</f>
        <v>-0</v>
      </c>
      <c r="U167" s="126" t="n">
        <f aca="false">I167/$R$3</f>
        <v>-10.0342</v>
      </c>
      <c r="V167" s="126" t="n">
        <f aca="false">M167/$R$3</f>
        <v>-130.674225124184</v>
      </c>
      <c r="W167" s="126" t="n">
        <f aca="false">N167/$R$3</f>
        <v>-130.674225124184</v>
      </c>
    </row>
    <row r="168" customFormat="false" ht="12.75" hidden="true" customHeight="false" outlineLevel="0" collapsed="false">
      <c r="A168" s="120" t="n">
        <f aca="false">A167+1</f>
        <v>37054</v>
      </c>
      <c r="B168" s="131" t="str">
        <f aca="false">INDEX('Master Data'!$A$2:$B$8,MATCH(WEEKDAY('MM PLANT'!A168,3),'Master Data'!$A$2:$A$8,0),2)</f>
        <v>T</v>
      </c>
      <c r="D168" s="124" t="n">
        <v>0</v>
      </c>
      <c r="E168" s="124" t="n">
        <v>0</v>
      </c>
      <c r="F168" s="124" t="n">
        <v>0</v>
      </c>
      <c r="G168" s="124" t="n">
        <v>-10946</v>
      </c>
      <c r="I168" s="124" t="n">
        <f aca="false">IF(MONTH($A168)=MONTH($A167),IF(G168=0,I167,G168),G168)</f>
        <v>-10946</v>
      </c>
      <c r="J168" s="124" t="n">
        <f aca="false">IF(MONTH($A168)=MONTH($A167),SUM(I168-I167),I168)</f>
        <v>-911.799999999999</v>
      </c>
      <c r="K168" s="124" t="n">
        <f aca="false">IF(WEEKDAY(A168,3)&gt;4,0,(IF(A168&lt;K$2,0,IF(A168&lt;=K$3,1,0))))</f>
        <v>0</v>
      </c>
      <c r="L168" s="124" t="n">
        <f aca="false">J168*K168</f>
        <v>-0</v>
      </c>
      <c r="M168" s="124" t="n">
        <f aca="false">SUM(J$97:J168)</f>
        <v>-131586.025124184</v>
      </c>
      <c r="N168" s="124" t="n">
        <f aca="false">SUM(J$6:J168)</f>
        <v>-131586.025124184</v>
      </c>
      <c r="P168" s="124" t="n">
        <f aca="false">D168/P$3</f>
        <v>0</v>
      </c>
      <c r="Q168" s="124" t="n">
        <f aca="false">E168/P$3</f>
        <v>0</v>
      </c>
      <c r="R168" s="124" t="n">
        <f aca="false">F168/R$3</f>
        <v>0</v>
      </c>
      <c r="S168" s="126" t="n">
        <f aca="false">J168/$R$3</f>
        <v>-0.911799999999999</v>
      </c>
      <c r="T168" s="126" t="n">
        <f aca="false">L168/$R$3</f>
        <v>-0</v>
      </c>
      <c r="U168" s="126" t="n">
        <f aca="false">I168/$R$3</f>
        <v>-10.946</v>
      </c>
      <c r="V168" s="126" t="n">
        <f aca="false">M168/$R$3</f>
        <v>-131.586025124184</v>
      </c>
      <c r="W168" s="126" t="n">
        <f aca="false">N168/$R$3</f>
        <v>-131.586025124184</v>
      </c>
    </row>
    <row r="169" customFormat="false" ht="12.75" hidden="true" customHeight="false" outlineLevel="0" collapsed="false">
      <c r="A169" s="120" t="n">
        <f aca="false">A168+1</f>
        <v>37055</v>
      </c>
      <c r="B169" s="131" t="str">
        <f aca="false">INDEX('Master Data'!$A$2:$B$8,MATCH(WEEKDAY('MM PLANT'!A169,3),'Master Data'!$A$2:$A$8,0),2)</f>
        <v>W</v>
      </c>
      <c r="D169" s="124" t="n">
        <v>0</v>
      </c>
      <c r="E169" s="124" t="n">
        <v>0</v>
      </c>
      <c r="F169" s="124" t="n">
        <v>0</v>
      </c>
      <c r="G169" s="124" t="n">
        <v>-11859</v>
      </c>
      <c r="I169" s="124" t="n">
        <f aca="false">IF(MONTH($A169)=MONTH($A168),IF(G169=0,I168,G169),G169)</f>
        <v>-11859</v>
      </c>
      <c r="J169" s="124" t="n">
        <f aca="false">IF(MONTH($A169)=MONTH($A168),SUM(I169-I168),I169)</f>
        <v>-913</v>
      </c>
      <c r="K169" s="124" t="n">
        <f aca="false">IF(WEEKDAY(A169,3)&gt;4,0,(IF(A169&lt;K$2,0,IF(A169&lt;=K$3,1,0))))</f>
        <v>0</v>
      </c>
      <c r="L169" s="124" t="n">
        <f aca="false">J169*K169</f>
        <v>-0</v>
      </c>
      <c r="M169" s="124" t="n">
        <f aca="false">SUM(J$97:J169)</f>
        <v>-132499.025124184</v>
      </c>
      <c r="N169" s="124" t="n">
        <f aca="false">SUM(J$6:J169)</f>
        <v>-132499.025124184</v>
      </c>
      <c r="P169" s="124" t="n">
        <f aca="false">D169/P$3</f>
        <v>0</v>
      </c>
      <c r="Q169" s="124" t="n">
        <f aca="false">E169/P$3</f>
        <v>0</v>
      </c>
      <c r="R169" s="124" t="n">
        <f aca="false">F169/R$3</f>
        <v>0</v>
      </c>
      <c r="S169" s="126" t="n">
        <f aca="false">J169/$R$3</f>
        <v>-0.913</v>
      </c>
      <c r="T169" s="126" t="n">
        <f aca="false">L169/$R$3</f>
        <v>-0</v>
      </c>
      <c r="U169" s="126" t="n">
        <f aca="false">I169/$R$3</f>
        <v>-11.859</v>
      </c>
      <c r="V169" s="126" t="n">
        <f aca="false">M169/$R$3</f>
        <v>-132.499025124184</v>
      </c>
      <c r="W169" s="126" t="n">
        <f aca="false">N169/$R$3</f>
        <v>-132.499025124184</v>
      </c>
    </row>
    <row r="170" customFormat="false" ht="12.75" hidden="true" customHeight="false" outlineLevel="0" collapsed="false">
      <c r="A170" s="120" t="n">
        <f aca="false">A169+1</f>
        <v>37056</v>
      </c>
      <c r="B170" s="131" t="str">
        <f aca="false">INDEX('Master Data'!$A$2:$B$8,MATCH(WEEKDAY('MM PLANT'!A170,3),'Master Data'!$A$2:$A$8,0),2)</f>
        <v>Th</v>
      </c>
      <c r="D170" s="124" t="n">
        <v>0</v>
      </c>
      <c r="E170" s="124" t="n">
        <v>0</v>
      </c>
      <c r="F170" s="124" t="n">
        <v>0</v>
      </c>
      <c r="G170" s="124" t="n">
        <v>-12771</v>
      </c>
      <c r="I170" s="124" t="n">
        <f aca="false">IF(MONTH($A170)=MONTH($A169),IF(G170=0,I169,G170),G170)</f>
        <v>-12771</v>
      </c>
      <c r="J170" s="124" t="n">
        <f aca="false">IF(MONTH($A170)=MONTH($A169),SUM(I170-I169),I170)</f>
        <v>-912</v>
      </c>
      <c r="K170" s="124" t="n">
        <f aca="false">IF(WEEKDAY(A170,3)&gt;4,0,(IF(A170&lt;K$2,0,IF(A170&lt;=K$3,1,0))))</f>
        <v>0</v>
      </c>
      <c r="L170" s="124" t="n">
        <f aca="false">J170*K170</f>
        <v>-0</v>
      </c>
      <c r="M170" s="124" t="n">
        <f aca="false">SUM(J$97:J170)</f>
        <v>-133411.025124184</v>
      </c>
      <c r="N170" s="124" t="n">
        <f aca="false">SUM(J$6:J170)</f>
        <v>-133411.025124184</v>
      </c>
      <c r="P170" s="124" t="n">
        <f aca="false">D170/P$3</f>
        <v>0</v>
      </c>
      <c r="Q170" s="124" t="n">
        <f aca="false">E170/P$3</f>
        <v>0</v>
      </c>
      <c r="R170" s="124" t="n">
        <f aca="false">F170/R$3</f>
        <v>0</v>
      </c>
      <c r="S170" s="126" t="n">
        <f aca="false">J170/$R$3</f>
        <v>-0.912</v>
      </c>
      <c r="T170" s="126" t="n">
        <f aca="false">L170/$R$3</f>
        <v>-0</v>
      </c>
      <c r="U170" s="126" t="n">
        <f aca="false">I170/$R$3</f>
        <v>-12.771</v>
      </c>
      <c r="V170" s="126" t="n">
        <f aca="false">M170/$R$3</f>
        <v>-133.411025124184</v>
      </c>
      <c r="W170" s="126" t="n">
        <f aca="false">N170/$R$3</f>
        <v>-133.411025124184</v>
      </c>
    </row>
    <row r="171" customFormat="false" ht="12.75" hidden="true" customHeight="false" outlineLevel="0" collapsed="false">
      <c r="A171" s="120" t="n">
        <f aca="false">A170+1</f>
        <v>37057</v>
      </c>
      <c r="B171" s="131" t="str">
        <f aca="false">INDEX('Master Data'!$A$2:$B$8,MATCH(WEEKDAY('MM PLANT'!A171,3),'Master Data'!$A$2:$A$8,0),2)</f>
        <v>F</v>
      </c>
      <c r="D171" s="124" t="n">
        <v>0</v>
      </c>
      <c r="E171" s="124" t="n">
        <v>0</v>
      </c>
      <c r="F171" s="124" t="n">
        <v>0</v>
      </c>
      <c r="G171" s="124" t="n">
        <v>-13683</v>
      </c>
      <c r="I171" s="124" t="n">
        <f aca="false">IF(MONTH($A171)=MONTH($A170),IF(G171=0,I170,G171),G171)</f>
        <v>-13683</v>
      </c>
      <c r="J171" s="124" t="n">
        <f aca="false">IF(MONTH($A171)=MONTH($A170),SUM(I171-I170),I171)</f>
        <v>-912</v>
      </c>
      <c r="K171" s="124" t="n">
        <f aca="false">IF(WEEKDAY(A171,3)&gt;4,0,(IF(A171&lt;K$2,0,IF(A171&lt;=K$3,1,0))))</f>
        <v>0</v>
      </c>
      <c r="L171" s="124" t="n">
        <f aca="false">J171*K171</f>
        <v>-0</v>
      </c>
      <c r="M171" s="124" t="n">
        <f aca="false">SUM(J$97:J171)</f>
        <v>-134323.025124184</v>
      </c>
      <c r="N171" s="124" t="n">
        <f aca="false">SUM(J$6:J171)</f>
        <v>-134323.025124184</v>
      </c>
      <c r="P171" s="124" t="n">
        <f aca="false">D171/P$3</f>
        <v>0</v>
      </c>
      <c r="Q171" s="124" t="n">
        <f aca="false">E171/P$3</f>
        <v>0</v>
      </c>
      <c r="R171" s="124" t="n">
        <f aca="false">F171/R$3</f>
        <v>0</v>
      </c>
      <c r="S171" s="126" t="n">
        <f aca="false">J171/$R$3</f>
        <v>-0.912</v>
      </c>
      <c r="T171" s="126" t="n">
        <f aca="false">L171/$R$3</f>
        <v>-0</v>
      </c>
      <c r="U171" s="126" t="n">
        <f aca="false">I171/$R$3</f>
        <v>-13.683</v>
      </c>
      <c r="V171" s="126" t="n">
        <f aca="false">M171/$R$3</f>
        <v>-134.323025124184</v>
      </c>
      <c r="W171" s="126" t="n">
        <f aca="false">N171/$R$3</f>
        <v>-134.323025124184</v>
      </c>
    </row>
    <row r="172" customFormat="false" ht="12.75" hidden="true" customHeight="false" outlineLevel="0" collapsed="false">
      <c r="A172" s="120" t="n">
        <f aca="false">A171+1</f>
        <v>37058</v>
      </c>
      <c r="B172" s="131" t="str">
        <f aca="false">INDEX('Master Data'!$A$2:$B$8,MATCH(WEEKDAY('MM PLANT'!A172,3),'Master Data'!$A$2:$A$8,0),2)</f>
        <v>Sa</v>
      </c>
      <c r="D172" s="124" t="n">
        <v>0</v>
      </c>
      <c r="E172" s="124" t="n">
        <v>0</v>
      </c>
      <c r="F172" s="124" t="n">
        <v>0</v>
      </c>
      <c r="G172" s="124" t="n">
        <v>0</v>
      </c>
      <c r="I172" s="124" t="n">
        <f aca="false">IF(MONTH($A172)=MONTH($A171),IF(G172=0,I171,G172),G172)</f>
        <v>-13683</v>
      </c>
      <c r="J172" s="124" t="n">
        <f aca="false">IF(MONTH($A172)=MONTH($A171),SUM(I172-I171),I172)</f>
        <v>0</v>
      </c>
      <c r="K172" s="124" t="n">
        <f aca="false">IF(WEEKDAY(A172,3)&gt;4,0,(IF(A172&lt;K$2,0,IF(A172&lt;=K$3,1,0))))</f>
        <v>0</v>
      </c>
      <c r="L172" s="124" t="n">
        <f aca="false">J172*K172</f>
        <v>0</v>
      </c>
      <c r="M172" s="124" t="n">
        <f aca="false">SUM(J$97:J172)</f>
        <v>-134323.025124184</v>
      </c>
      <c r="N172" s="124" t="n">
        <f aca="false">SUM(J$6:J172)</f>
        <v>-134323.025124184</v>
      </c>
      <c r="P172" s="124" t="n">
        <f aca="false">D172/P$3</f>
        <v>0</v>
      </c>
      <c r="Q172" s="124" t="n">
        <f aca="false">E172/P$3</f>
        <v>0</v>
      </c>
      <c r="R172" s="124" t="n">
        <f aca="false">F172/R$3</f>
        <v>0</v>
      </c>
      <c r="S172" s="126" t="n">
        <f aca="false">J172/$R$3</f>
        <v>0</v>
      </c>
      <c r="T172" s="126" t="n">
        <f aca="false">L172/$R$3</f>
        <v>0</v>
      </c>
      <c r="U172" s="126" t="n">
        <f aca="false">I172/$R$3</f>
        <v>-13.683</v>
      </c>
      <c r="V172" s="126" t="n">
        <f aca="false">M172/$R$3</f>
        <v>-134.323025124184</v>
      </c>
      <c r="W172" s="126" t="n">
        <f aca="false">N172/$R$3</f>
        <v>-134.323025124184</v>
      </c>
    </row>
    <row r="173" customFormat="false" ht="12.75" hidden="true" customHeight="false" outlineLevel="0" collapsed="false">
      <c r="A173" s="120" t="n">
        <f aca="false">A172+1</f>
        <v>37059</v>
      </c>
      <c r="B173" s="131" t="str">
        <f aca="false">INDEX('Master Data'!$A$2:$B$8,MATCH(WEEKDAY('MM PLANT'!A173,3),'Master Data'!$A$2:$A$8,0),2)</f>
        <v>Su</v>
      </c>
      <c r="D173" s="124" t="n">
        <v>0</v>
      </c>
      <c r="E173" s="124" t="n">
        <v>0</v>
      </c>
      <c r="F173" s="124" t="n">
        <v>0</v>
      </c>
      <c r="G173" s="124" t="n">
        <v>0</v>
      </c>
      <c r="I173" s="124" t="n">
        <f aca="false">IF(MONTH($A173)=MONTH($A172),IF(G173=0,I172,G173),G173)</f>
        <v>-13683</v>
      </c>
      <c r="J173" s="124" t="n">
        <f aca="false">IF(MONTH($A173)=MONTH($A172),SUM(I173-I172),I173)</f>
        <v>0</v>
      </c>
      <c r="K173" s="124" t="n">
        <f aca="false">IF(WEEKDAY(A173,3)&gt;4,0,(IF(A173&lt;K$2,0,IF(A173&lt;=K$3,1,0))))</f>
        <v>0</v>
      </c>
      <c r="L173" s="124" t="n">
        <f aca="false">J173*K173</f>
        <v>0</v>
      </c>
      <c r="M173" s="124" t="n">
        <f aca="false">SUM(J$97:J173)</f>
        <v>-134323.025124184</v>
      </c>
      <c r="N173" s="124" t="n">
        <f aca="false">SUM(J$6:J173)</f>
        <v>-134323.025124184</v>
      </c>
      <c r="P173" s="124" t="n">
        <f aca="false">D173/P$3</f>
        <v>0</v>
      </c>
      <c r="Q173" s="124" t="n">
        <f aca="false">E173/P$3</f>
        <v>0</v>
      </c>
      <c r="R173" s="124" t="n">
        <f aca="false">F173/R$3</f>
        <v>0</v>
      </c>
      <c r="S173" s="126" t="n">
        <f aca="false">J173/$R$3</f>
        <v>0</v>
      </c>
      <c r="T173" s="126" t="n">
        <f aca="false">L173/$R$3</f>
        <v>0</v>
      </c>
      <c r="U173" s="126" t="n">
        <f aca="false">I173/$R$3</f>
        <v>-13.683</v>
      </c>
      <c r="V173" s="126" t="n">
        <f aca="false">M173/$R$3</f>
        <v>-134.323025124184</v>
      </c>
      <c r="W173" s="126" t="n">
        <f aca="false">N173/$R$3</f>
        <v>-134.323025124184</v>
      </c>
    </row>
    <row r="174" customFormat="false" ht="12.75" hidden="true" customHeight="false" outlineLevel="0" collapsed="false">
      <c r="A174" s="120" t="n">
        <f aca="false">A173+1</f>
        <v>37060</v>
      </c>
      <c r="B174" s="131" t="str">
        <f aca="false">INDEX('Master Data'!$A$2:$B$8,MATCH(WEEKDAY('MM PLANT'!A174,3),'Master Data'!$A$2:$A$8,0),2)</f>
        <v>M</v>
      </c>
      <c r="D174" s="124" t="n">
        <v>0</v>
      </c>
      <c r="E174" s="124" t="n">
        <v>0</v>
      </c>
      <c r="F174" s="124" t="n">
        <v>0</v>
      </c>
      <c r="G174" s="124" t="n">
        <v>-16420</v>
      </c>
      <c r="I174" s="124" t="n">
        <f aca="false">IF(MONTH($A174)=MONTH($A173),IF(G174=0,I173,G174),G174)</f>
        <v>-16420</v>
      </c>
      <c r="J174" s="124" t="n">
        <f aca="false">IF(MONTH($A174)=MONTH($A173),SUM(I174-I173),I174)</f>
        <v>-2737</v>
      </c>
      <c r="K174" s="124" t="n">
        <f aca="false">IF(WEEKDAY(A174,3)&gt;4,0,(IF(A174&lt;K$2,0,IF(A174&lt;=K$3,1,0))))</f>
        <v>0</v>
      </c>
      <c r="L174" s="124" t="n">
        <f aca="false">J174*K174</f>
        <v>-0</v>
      </c>
      <c r="M174" s="124" t="n">
        <f aca="false">SUM(J$97:J174)</f>
        <v>-137060.025124184</v>
      </c>
      <c r="N174" s="124" t="n">
        <f aca="false">SUM(J$6:J174)</f>
        <v>-137060.025124184</v>
      </c>
      <c r="P174" s="124" t="n">
        <f aca="false">D174/P$3</f>
        <v>0</v>
      </c>
      <c r="Q174" s="124" t="n">
        <f aca="false">E174/P$3</f>
        <v>0</v>
      </c>
      <c r="R174" s="124" t="n">
        <f aca="false">F174/R$3</f>
        <v>0</v>
      </c>
      <c r="S174" s="126" t="n">
        <f aca="false">J174/$R$3</f>
        <v>-2.737</v>
      </c>
      <c r="T174" s="126" t="n">
        <f aca="false">L174/$R$3</f>
        <v>-0</v>
      </c>
      <c r="U174" s="126" t="n">
        <f aca="false">I174/$R$3</f>
        <v>-16.42</v>
      </c>
      <c r="V174" s="126" t="n">
        <f aca="false">M174/$R$3</f>
        <v>-137.060025124184</v>
      </c>
      <c r="W174" s="126" t="n">
        <f aca="false">N174/$R$3</f>
        <v>-137.060025124184</v>
      </c>
    </row>
    <row r="175" customFormat="false" ht="12.75" hidden="true" customHeight="false" outlineLevel="0" collapsed="false">
      <c r="A175" s="120" t="n">
        <f aca="false">A174+1</f>
        <v>37061</v>
      </c>
      <c r="B175" s="131" t="str">
        <f aca="false">INDEX('Master Data'!$A$2:$B$8,MATCH(WEEKDAY('MM PLANT'!A175,3),'Master Data'!$A$2:$A$8,0),2)</f>
        <v>T</v>
      </c>
      <c r="D175" s="124" t="n">
        <v>0</v>
      </c>
      <c r="E175" s="124" t="n">
        <v>0</v>
      </c>
      <c r="F175" s="124" t="n">
        <v>0</v>
      </c>
      <c r="G175" s="124" t="n">
        <v>-17332</v>
      </c>
      <c r="I175" s="124" t="n">
        <f aca="false">IF(MONTH($A175)=MONTH($A174),IF(G175=0,I174,G175),G175)</f>
        <v>-17332</v>
      </c>
      <c r="J175" s="124" t="n">
        <f aca="false">IF(MONTH($A175)=MONTH($A174),SUM(I175-I174),I175)</f>
        <v>-912</v>
      </c>
      <c r="K175" s="124" t="n">
        <f aca="false">IF(WEEKDAY(A175,3)&gt;4,0,(IF(A175&lt;K$2,0,IF(A175&lt;=K$3,1,0))))</f>
        <v>0</v>
      </c>
      <c r="L175" s="124" t="n">
        <f aca="false">J175*K175</f>
        <v>-0</v>
      </c>
      <c r="M175" s="124" t="n">
        <f aca="false">SUM(J$97:J175)</f>
        <v>-137972.025124184</v>
      </c>
      <c r="N175" s="124" t="n">
        <f aca="false">SUM(J$6:J175)</f>
        <v>-137972.025124184</v>
      </c>
      <c r="P175" s="124" t="n">
        <f aca="false">D175/P$3</f>
        <v>0</v>
      </c>
      <c r="Q175" s="124" t="n">
        <f aca="false">E175/P$3</f>
        <v>0</v>
      </c>
      <c r="R175" s="124" t="n">
        <f aca="false">F175/R$3</f>
        <v>0</v>
      </c>
      <c r="S175" s="126" t="n">
        <f aca="false">J175/$R$3</f>
        <v>-0.912</v>
      </c>
      <c r="T175" s="126" t="n">
        <f aca="false">L175/$R$3</f>
        <v>-0</v>
      </c>
      <c r="U175" s="126" t="n">
        <f aca="false">I175/$R$3</f>
        <v>-17.332</v>
      </c>
      <c r="V175" s="126" t="n">
        <f aca="false">M175/$R$3</f>
        <v>-137.972025124184</v>
      </c>
      <c r="W175" s="126" t="n">
        <f aca="false">N175/$R$3</f>
        <v>-137.972025124184</v>
      </c>
    </row>
    <row r="176" customFormat="false" ht="12.75" hidden="true" customHeight="false" outlineLevel="0" collapsed="false">
      <c r="A176" s="120" t="n">
        <f aca="false">A175+1</f>
        <v>37062</v>
      </c>
      <c r="B176" s="131" t="str">
        <f aca="false">INDEX('Master Data'!$A$2:$B$8,MATCH(WEEKDAY('MM PLANT'!A176,3),'Master Data'!$A$2:$A$8,0),2)</f>
        <v>W</v>
      </c>
      <c r="D176" s="124" t="n">
        <v>0</v>
      </c>
      <c r="E176" s="124" t="n">
        <v>0</v>
      </c>
      <c r="F176" s="124" t="n">
        <v>0</v>
      </c>
      <c r="G176" s="124" t="n">
        <v>-18244</v>
      </c>
      <c r="I176" s="124" t="n">
        <f aca="false">IF(MONTH($A176)=MONTH($A175),IF(G176=0,I175,G176),G176)</f>
        <v>-18244</v>
      </c>
      <c r="J176" s="124" t="n">
        <f aca="false">IF(MONTH($A176)=MONTH($A175),SUM(I176-I175),I176)</f>
        <v>-912</v>
      </c>
      <c r="K176" s="124" t="n">
        <f aca="false">IF(WEEKDAY(A176,3)&gt;4,0,(IF(A176&lt;K$2,0,IF(A176&lt;=K$3,1,0))))</f>
        <v>0</v>
      </c>
      <c r="L176" s="124" t="n">
        <f aca="false">J176*K176</f>
        <v>-0</v>
      </c>
      <c r="M176" s="124" t="n">
        <f aca="false">SUM(J$97:J176)</f>
        <v>-138884.025124184</v>
      </c>
      <c r="N176" s="124" t="n">
        <f aca="false">SUM(J$6:J176)</f>
        <v>-138884.025124184</v>
      </c>
      <c r="P176" s="124" t="n">
        <f aca="false">D176/P$3</f>
        <v>0</v>
      </c>
      <c r="Q176" s="124" t="n">
        <f aca="false">E176/P$3</f>
        <v>0</v>
      </c>
      <c r="R176" s="124" t="n">
        <f aca="false">F176/R$3</f>
        <v>0</v>
      </c>
      <c r="S176" s="126" t="n">
        <f aca="false">J176/$R$3</f>
        <v>-0.912</v>
      </c>
      <c r="T176" s="126" t="n">
        <f aca="false">L176/$R$3</f>
        <v>-0</v>
      </c>
      <c r="U176" s="126" t="n">
        <f aca="false">I176/$R$3</f>
        <v>-18.244</v>
      </c>
      <c r="V176" s="126" t="n">
        <f aca="false">M176/$R$3</f>
        <v>-138.884025124184</v>
      </c>
      <c r="W176" s="126" t="n">
        <f aca="false">N176/$R$3</f>
        <v>-138.884025124184</v>
      </c>
    </row>
    <row r="177" customFormat="false" ht="12.75" hidden="true" customHeight="false" outlineLevel="0" collapsed="false">
      <c r="A177" s="120" t="n">
        <f aca="false">A176+1</f>
        <v>37063</v>
      </c>
      <c r="B177" s="131" t="str">
        <f aca="false">INDEX('Master Data'!$A$2:$B$8,MATCH(WEEKDAY('MM PLANT'!A177,3),'Master Data'!$A$2:$A$8,0),2)</f>
        <v>Th</v>
      </c>
      <c r="D177" s="124" t="n">
        <v>0</v>
      </c>
      <c r="E177" s="124" t="n">
        <v>0</v>
      </c>
      <c r="F177" s="124" t="n">
        <v>0</v>
      </c>
      <c r="G177" s="124" t="n">
        <v>-19156</v>
      </c>
      <c r="I177" s="124" t="n">
        <f aca="false">IF(MONTH($A177)=MONTH($A176),IF(G177=0,I176,G177),G177)</f>
        <v>-19156</v>
      </c>
      <c r="J177" s="124" t="n">
        <f aca="false">IF(MONTH($A177)=MONTH($A176),SUM(I177-I176),I177)</f>
        <v>-912</v>
      </c>
      <c r="K177" s="124" t="n">
        <f aca="false">IF(WEEKDAY(A177,3)&gt;4,0,(IF(A177&lt;K$2,0,IF(A177&lt;=K$3,1,0))))</f>
        <v>0</v>
      </c>
      <c r="L177" s="124" t="n">
        <f aca="false">J177*K177</f>
        <v>-0</v>
      </c>
      <c r="M177" s="124" t="n">
        <f aca="false">SUM(J$97:J177)</f>
        <v>-139796.025124184</v>
      </c>
      <c r="N177" s="124" t="n">
        <f aca="false">SUM(J$6:J177)</f>
        <v>-139796.025124184</v>
      </c>
      <c r="P177" s="124" t="n">
        <f aca="false">D177/P$3</f>
        <v>0</v>
      </c>
      <c r="Q177" s="124" t="n">
        <f aca="false">E177/P$3</f>
        <v>0</v>
      </c>
      <c r="R177" s="124" t="n">
        <f aca="false">F177/R$3</f>
        <v>0</v>
      </c>
      <c r="S177" s="126" t="n">
        <f aca="false">J177/$R$3</f>
        <v>-0.912</v>
      </c>
      <c r="T177" s="126" t="n">
        <f aca="false">L177/$R$3</f>
        <v>-0</v>
      </c>
      <c r="U177" s="126" t="n">
        <f aca="false">I177/$R$3</f>
        <v>-19.156</v>
      </c>
      <c r="V177" s="126" t="n">
        <f aca="false">M177/$R$3</f>
        <v>-139.796025124184</v>
      </c>
      <c r="W177" s="126" t="n">
        <f aca="false">N177/$R$3</f>
        <v>-139.796025124184</v>
      </c>
    </row>
    <row r="178" customFormat="false" ht="12.75" hidden="true" customHeight="false" outlineLevel="0" collapsed="false">
      <c r="A178" s="120" t="n">
        <f aca="false">A177+1</f>
        <v>37064</v>
      </c>
      <c r="B178" s="131" t="str">
        <f aca="false">INDEX('Master Data'!$A$2:$B$8,MATCH(WEEKDAY('MM PLANT'!A178,3),'Master Data'!$A$2:$A$8,0),2)</f>
        <v>F</v>
      </c>
      <c r="D178" s="124" t="n">
        <v>0</v>
      </c>
      <c r="E178" s="124" t="n">
        <v>0</v>
      </c>
      <c r="F178" s="124" t="n">
        <v>0</v>
      </c>
      <c r="G178" s="124" t="n">
        <v>-20068</v>
      </c>
      <c r="I178" s="124" t="n">
        <f aca="false">IF(MONTH($A178)=MONTH($A177),IF(G178=0,I177,G178),G178)</f>
        <v>-20068</v>
      </c>
      <c r="J178" s="124" t="n">
        <f aca="false">IF(MONTH($A178)=MONTH($A177),SUM(I178-I177),I178)</f>
        <v>-912</v>
      </c>
      <c r="K178" s="124" t="n">
        <f aca="false">IF(WEEKDAY(A178,3)&gt;4,0,(IF(A178&lt;K$2,0,IF(A178&lt;=K$3,1,0))))</f>
        <v>0</v>
      </c>
      <c r="L178" s="124" t="n">
        <f aca="false">J178*K178</f>
        <v>-0</v>
      </c>
      <c r="M178" s="124" t="n">
        <f aca="false">SUM(J$97:J178)</f>
        <v>-140708.025124184</v>
      </c>
      <c r="N178" s="124" t="n">
        <f aca="false">SUM(J$6:J178)</f>
        <v>-140708.025124184</v>
      </c>
      <c r="P178" s="124" t="n">
        <f aca="false">D178/P$3</f>
        <v>0</v>
      </c>
      <c r="Q178" s="124" t="n">
        <f aca="false">E178/P$3</f>
        <v>0</v>
      </c>
      <c r="R178" s="124" t="n">
        <f aca="false">F178/R$3</f>
        <v>0</v>
      </c>
      <c r="S178" s="126" t="n">
        <f aca="false">J178/$R$3</f>
        <v>-0.912</v>
      </c>
      <c r="T178" s="126" t="n">
        <f aca="false">L178/$R$3</f>
        <v>-0</v>
      </c>
      <c r="U178" s="126" t="n">
        <f aca="false">I178/$R$3</f>
        <v>-20.068</v>
      </c>
      <c r="V178" s="126" t="n">
        <f aca="false">M178/$R$3</f>
        <v>-140.708025124184</v>
      </c>
      <c r="W178" s="126" t="n">
        <f aca="false">N178/$R$3</f>
        <v>-140.708025124184</v>
      </c>
    </row>
    <row r="179" customFormat="false" ht="12.75" hidden="true" customHeight="false" outlineLevel="0" collapsed="false">
      <c r="A179" s="120" t="n">
        <f aca="false">A178+1</f>
        <v>37065</v>
      </c>
      <c r="B179" s="131" t="str">
        <f aca="false">INDEX('Master Data'!$A$2:$B$8,MATCH(WEEKDAY('MM PLANT'!A179,3),'Master Data'!$A$2:$A$8,0),2)</f>
        <v>Sa</v>
      </c>
      <c r="D179" s="124" t="n">
        <v>0</v>
      </c>
      <c r="E179" s="124" t="n">
        <v>0</v>
      </c>
      <c r="F179" s="124" t="n">
        <v>0</v>
      </c>
      <c r="G179" s="124" t="n">
        <v>0</v>
      </c>
      <c r="I179" s="124" t="n">
        <f aca="false">IF(MONTH($A179)=MONTH($A178),IF(G179=0,I178,G179),G179)</f>
        <v>-20068</v>
      </c>
      <c r="J179" s="124" t="n">
        <f aca="false">IF(MONTH($A179)=MONTH($A178),SUM(I179-I178),I179)</f>
        <v>0</v>
      </c>
      <c r="K179" s="124" t="n">
        <f aca="false">IF(WEEKDAY(A179,3)&gt;4,0,(IF(A179&lt;K$2,0,IF(A179&lt;=K$3,1,0))))</f>
        <v>0</v>
      </c>
      <c r="L179" s="124" t="n">
        <f aca="false">J179*K179</f>
        <v>0</v>
      </c>
      <c r="M179" s="124" t="n">
        <f aca="false">SUM(J$97:J179)</f>
        <v>-140708.025124184</v>
      </c>
      <c r="N179" s="124" t="n">
        <f aca="false">SUM(J$6:J179)</f>
        <v>-140708.025124184</v>
      </c>
      <c r="P179" s="124" t="n">
        <f aca="false">D179/P$3</f>
        <v>0</v>
      </c>
      <c r="Q179" s="124" t="n">
        <f aca="false">E179/P$3</f>
        <v>0</v>
      </c>
      <c r="R179" s="124" t="n">
        <f aca="false">F179/R$3</f>
        <v>0</v>
      </c>
      <c r="S179" s="126" t="n">
        <f aca="false">J179/$R$3</f>
        <v>0</v>
      </c>
      <c r="T179" s="126" t="n">
        <f aca="false">L179/$R$3</f>
        <v>0</v>
      </c>
      <c r="U179" s="126" t="n">
        <f aca="false">I179/$R$3</f>
        <v>-20.068</v>
      </c>
      <c r="V179" s="126" t="n">
        <f aca="false">M179/$R$3</f>
        <v>-140.708025124184</v>
      </c>
      <c r="W179" s="126" t="n">
        <f aca="false">N179/$R$3</f>
        <v>-140.708025124184</v>
      </c>
    </row>
    <row r="180" customFormat="false" ht="12.75" hidden="true" customHeight="false" outlineLevel="0" collapsed="false">
      <c r="A180" s="120" t="n">
        <f aca="false">A179+1</f>
        <v>37066</v>
      </c>
      <c r="B180" s="131" t="str">
        <f aca="false">INDEX('Master Data'!$A$2:$B$8,MATCH(WEEKDAY('MM PLANT'!A180,3),'Master Data'!$A$2:$A$8,0),2)</f>
        <v>Su</v>
      </c>
      <c r="D180" s="124" t="n">
        <v>0</v>
      </c>
      <c r="E180" s="124" t="n">
        <v>0</v>
      </c>
      <c r="F180" s="124" t="n">
        <v>0</v>
      </c>
      <c r="G180" s="124" t="n">
        <v>0</v>
      </c>
      <c r="I180" s="124" t="n">
        <f aca="false">IF(MONTH($A180)=MONTH($A179),IF(G180=0,I179,G180),G180)</f>
        <v>-20068</v>
      </c>
      <c r="J180" s="124" t="n">
        <f aca="false">IF(MONTH($A180)=MONTH($A179),SUM(I180-I179),I180)</f>
        <v>0</v>
      </c>
      <c r="K180" s="124" t="n">
        <f aca="false">IF(WEEKDAY(A180,3)&gt;4,0,(IF(A180&lt;K$2,0,IF(A180&lt;=K$3,1,0))))</f>
        <v>0</v>
      </c>
      <c r="L180" s="124" t="n">
        <f aca="false">J180*K180</f>
        <v>0</v>
      </c>
      <c r="M180" s="124" t="n">
        <f aca="false">SUM(J$97:J180)</f>
        <v>-140708.025124184</v>
      </c>
      <c r="N180" s="124" t="n">
        <f aca="false">SUM(J$6:J180)</f>
        <v>-140708.025124184</v>
      </c>
      <c r="P180" s="124" t="n">
        <f aca="false">D180/P$3</f>
        <v>0</v>
      </c>
      <c r="Q180" s="124" t="n">
        <f aca="false">E180/P$3</f>
        <v>0</v>
      </c>
      <c r="R180" s="124" t="n">
        <f aca="false">F180/R$3</f>
        <v>0</v>
      </c>
      <c r="S180" s="126" t="n">
        <f aca="false">J180/$R$3</f>
        <v>0</v>
      </c>
      <c r="T180" s="126" t="n">
        <f aca="false">L180/$R$3</f>
        <v>0</v>
      </c>
      <c r="U180" s="126" t="n">
        <f aca="false">I180/$R$3</f>
        <v>-20.068</v>
      </c>
      <c r="V180" s="126" t="n">
        <f aca="false">M180/$R$3</f>
        <v>-140.708025124184</v>
      </c>
      <c r="W180" s="126" t="n">
        <f aca="false">N180/$R$3</f>
        <v>-140.708025124184</v>
      </c>
    </row>
    <row r="181" customFormat="false" ht="12.75" hidden="true" customHeight="false" outlineLevel="0" collapsed="false">
      <c r="A181" s="120" t="n">
        <f aca="false">A180+1</f>
        <v>37067</v>
      </c>
      <c r="B181" s="131" t="str">
        <f aca="false">INDEX('Master Data'!$A$2:$B$8,MATCH(WEEKDAY('MM PLANT'!A181,3),'Master Data'!$A$2:$A$8,0),2)</f>
        <v>M</v>
      </c>
      <c r="D181" s="124" t="n">
        <v>0</v>
      </c>
      <c r="E181" s="124" t="n">
        <v>0</v>
      </c>
      <c r="F181" s="124" t="n">
        <v>0</v>
      </c>
      <c r="G181" s="124" t="n">
        <v>-22805</v>
      </c>
      <c r="I181" s="124" t="n">
        <f aca="false">IF(MONTH($A181)=MONTH($A180),IF(G181=0,I180,G181),G181)</f>
        <v>-22805</v>
      </c>
      <c r="J181" s="124" t="n">
        <f aca="false">IF(MONTH($A181)=MONTH($A180),SUM(I181-I180),I181)</f>
        <v>-2737</v>
      </c>
      <c r="K181" s="124" t="n">
        <f aca="false">IF(WEEKDAY(A181,3)&gt;4,0,(IF(A181&lt;K$2,0,IF(A181&lt;=K$3,1,0))))</f>
        <v>0</v>
      </c>
      <c r="L181" s="124" t="n">
        <f aca="false">J181*K181</f>
        <v>-0</v>
      </c>
      <c r="M181" s="124" t="n">
        <f aca="false">SUM(J$97:J181)</f>
        <v>-143445.025124184</v>
      </c>
      <c r="N181" s="124" t="n">
        <f aca="false">SUM(J$6:J181)</f>
        <v>-143445.025124184</v>
      </c>
      <c r="P181" s="124" t="n">
        <f aca="false">D181/P$3</f>
        <v>0</v>
      </c>
      <c r="Q181" s="124" t="n">
        <f aca="false">E181/P$3</f>
        <v>0</v>
      </c>
      <c r="R181" s="124" t="n">
        <f aca="false">F181/R$3</f>
        <v>0</v>
      </c>
      <c r="S181" s="126" t="n">
        <f aca="false">J181/$R$3</f>
        <v>-2.737</v>
      </c>
      <c r="T181" s="126" t="n">
        <f aca="false">L181/$R$3</f>
        <v>-0</v>
      </c>
      <c r="U181" s="126" t="n">
        <f aca="false">I181/$R$3</f>
        <v>-22.805</v>
      </c>
      <c r="V181" s="126" t="n">
        <f aca="false">M181/$R$3</f>
        <v>-143.445025124184</v>
      </c>
      <c r="W181" s="126" t="n">
        <f aca="false">N181/$R$3</f>
        <v>-143.445025124184</v>
      </c>
    </row>
    <row r="182" customFormat="false" ht="12.75" hidden="true" customHeight="false" outlineLevel="0" collapsed="false">
      <c r="A182" s="120" t="n">
        <f aca="false">A181+1</f>
        <v>37068</v>
      </c>
      <c r="B182" s="131" t="str">
        <f aca="false">INDEX('Master Data'!$A$2:$B$8,MATCH(WEEKDAY('MM PLANT'!A182,3),'Master Data'!$A$2:$A$8,0),2)</f>
        <v>T</v>
      </c>
      <c r="D182" s="124" t="n">
        <v>0</v>
      </c>
      <c r="E182" s="124" t="n">
        <v>0</v>
      </c>
      <c r="F182" s="124" t="n">
        <v>0</v>
      </c>
      <c r="G182" s="124" t="n">
        <v>-23717</v>
      </c>
      <c r="I182" s="124" t="n">
        <f aca="false">IF(MONTH($A182)=MONTH($A181),IF(G182=0,I181,G182),G182)</f>
        <v>-23717</v>
      </c>
      <c r="J182" s="124" t="n">
        <f aca="false">IF(MONTH($A182)=MONTH($A181),SUM(I182-I181),I182)</f>
        <v>-912</v>
      </c>
      <c r="K182" s="124" t="n">
        <f aca="false">IF(WEEKDAY(A182,3)&gt;4,0,(IF(A182&lt;K$2,0,IF(A182&lt;=K$3,1,0))))</f>
        <v>0</v>
      </c>
      <c r="L182" s="124" t="n">
        <f aca="false">J182*K182</f>
        <v>-0</v>
      </c>
      <c r="M182" s="124" t="n">
        <f aca="false">SUM(J$97:J182)</f>
        <v>-144357.025124184</v>
      </c>
      <c r="N182" s="124" t="n">
        <f aca="false">SUM(J$6:J182)</f>
        <v>-144357.025124184</v>
      </c>
      <c r="P182" s="124" t="n">
        <f aca="false">D182/P$3</f>
        <v>0</v>
      </c>
      <c r="Q182" s="124" t="n">
        <f aca="false">E182/P$3</f>
        <v>0</v>
      </c>
      <c r="R182" s="124" t="n">
        <f aca="false">F182/R$3</f>
        <v>0</v>
      </c>
      <c r="S182" s="126" t="n">
        <f aca="false">J182/$R$3</f>
        <v>-0.912</v>
      </c>
      <c r="T182" s="126" t="n">
        <f aca="false">L182/$R$3</f>
        <v>-0</v>
      </c>
      <c r="U182" s="126" t="n">
        <f aca="false">I182/$R$3</f>
        <v>-23.717</v>
      </c>
      <c r="V182" s="126" t="n">
        <f aca="false">M182/$R$3</f>
        <v>-144.357025124184</v>
      </c>
      <c r="W182" s="126" t="n">
        <f aca="false">N182/$R$3</f>
        <v>-144.357025124184</v>
      </c>
    </row>
    <row r="183" customFormat="false" ht="12.75" hidden="true" customHeight="false" outlineLevel="0" collapsed="false">
      <c r="A183" s="120" t="n">
        <f aca="false">A182+1</f>
        <v>37069</v>
      </c>
      <c r="B183" s="131" t="str">
        <f aca="false">INDEX('Master Data'!$A$2:$B$8,MATCH(WEEKDAY('MM PLANT'!A183,3),'Master Data'!$A$2:$A$8,0),2)</f>
        <v>W</v>
      </c>
      <c r="D183" s="124" t="n">
        <v>0</v>
      </c>
      <c r="E183" s="124" t="n">
        <v>0</v>
      </c>
      <c r="F183" s="124" t="n">
        <v>0</v>
      </c>
      <c r="G183" s="124" t="n">
        <v>-24629</v>
      </c>
      <c r="I183" s="124" t="n">
        <f aca="false">IF(MONTH($A183)=MONTH($A182),IF(G183=0,I182,G183),G183)</f>
        <v>-24629</v>
      </c>
      <c r="J183" s="124" t="n">
        <f aca="false">IF(MONTH($A183)=MONTH($A182),SUM(I183-I182),I183)</f>
        <v>-912</v>
      </c>
      <c r="K183" s="124" t="n">
        <f aca="false">IF(WEEKDAY(A183,3)&gt;4,0,(IF(A183&lt;K$2,0,IF(A183&lt;=K$3,1,0))))</f>
        <v>0</v>
      </c>
      <c r="L183" s="124" t="n">
        <f aca="false">J183*K183</f>
        <v>-0</v>
      </c>
      <c r="M183" s="124" t="n">
        <f aca="false">SUM(J$97:J183)</f>
        <v>-145269.025124184</v>
      </c>
      <c r="N183" s="124" t="n">
        <f aca="false">SUM(J$6:J183)</f>
        <v>-145269.025124184</v>
      </c>
      <c r="P183" s="124" t="n">
        <f aca="false">D183/P$3</f>
        <v>0</v>
      </c>
      <c r="Q183" s="124" t="n">
        <f aca="false">E183/P$3</f>
        <v>0</v>
      </c>
      <c r="R183" s="124" t="n">
        <f aca="false">F183/R$3</f>
        <v>0</v>
      </c>
      <c r="S183" s="126" t="n">
        <f aca="false">J183/$R$3</f>
        <v>-0.912</v>
      </c>
      <c r="T183" s="126" t="n">
        <f aca="false">L183/$R$3</f>
        <v>-0</v>
      </c>
      <c r="U183" s="126" t="n">
        <f aca="false">I183/$R$3</f>
        <v>-24.629</v>
      </c>
      <c r="V183" s="126" t="n">
        <f aca="false">M183/$R$3</f>
        <v>-145.269025124184</v>
      </c>
      <c r="W183" s="126" t="n">
        <f aca="false">N183/$R$3</f>
        <v>-145.269025124184</v>
      </c>
    </row>
    <row r="184" customFormat="false" ht="12.75" hidden="true" customHeight="false" outlineLevel="0" collapsed="false">
      <c r="A184" s="120" t="n">
        <f aca="false">A183+1</f>
        <v>37070</v>
      </c>
      <c r="B184" s="131" t="str">
        <f aca="false">INDEX('Master Data'!$A$2:$B$8,MATCH(WEEKDAY('MM PLANT'!A184,3),'Master Data'!$A$2:$A$8,0),2)</f>
        <v>Th</v>
      </c>
      <c r="D184" s="124" t="n">
        <v>0</v>
      </c>
      <c r="E184" s="124" t="n">
        <v>0</v>
      </c>
      <c r="F184" s="124" t="n">
        <v>0</v>
      </c>
      <c r="G184" s="124" t="n">
        <v>-25542</v>
      </c>
      <c r="I184" s="124" t="n">
        <f aca="false">IF(MONTH($A184)=MONTH($A183),IF(G184=0,I183,G184),G184)</f>
        <v>-25542</v>
      </c>
      <c r="J184" s="124" t="n">
        <f aca="false">IF(MONTH($A184)=MONTH($A183),SUM(I184-I183),I184)</f>
        <v>-913</v>
      </c>
      <c r="K184" s="124" t="n">
        <f aca="false">IF(WEEKDAY(A184,3)&gt;4,0,(IF(A184&lt;K$2,0,IF(A184&lt;=K$3,1,0))))</f>
        <v>0</v>
      </c>
      <c r="L184" s="124" t="n">
        <f aca="false">J184*K184</f>
        <v>-0</v>
      </c>
      <c r="M184" s="124" t="n">
        <f aca="false">SUM(J$97:J184)</f>
        <v>-146182.025124184</v>
      </c>
      <c r="N184" s="124" t="n">
        <f aca="false">SUM(J$6:J184)</f>
        <v>-146182.025124184</v>
      </c>
      <c r="P184" s="124" t="n">
        <f aca="false">D184/P$3</f>
        <v>0</v>
      </c>
      <c r="Q184" s="124" t="n">
        <f aca="false">E184/P$3</f>
        <v>0</v>
      </c>
      <c r="R184" s="124" t="n">
        <f aca="false">F184/R$3</f>
        <v>0</v>
      </c>
      <c r="S184" s="126" t="n">
        <f aca="false">J184/$R$3</f>
        <v>-0.913</v>
      </c>
      <c r="T184" s="126" t="n">
        <f aca="false">L184/$R$3</f>
        <v>-0</v>
      </c>
      <c r="U184" s="126" t="n">
        <f aca="false">I184/$R$3</f>
        <v>-25.542</v>
      </c>
      <c r="V184" s="126" t="n">
        <f aca="false">M184/$R$3</f>
        <v>-146.182025124184</v>
      </c>
      <c r="W184" s="126" t="n">
        <f aca="false">N184/$R$3</f>
        <v>-146.182025124184</v>
      </c>
    </row>
    <row r="185" customFormat="false" ht="12.75" hidden="false" customHeight="false" outlineLevel="0" collapsed="false">
      <c r="A185" s="120" t="n">
        <f aca="false">A184+1</f>
        <v>37071</v>
      </c>
      <c r="B185" s="131" t="str">
        <f aca="false">INDEX('Master Data'!$A$2:$B$8,MATCH(WEEKDAY('MM PLANT'!A185,3),'Master Data'!$A$2:$A$8,0),2)</f>
        <v>F</v>
      </c>
      <c r="D185" s="124" t="n">
        <v>0</v>
      </c>
      <c r="E185" s="124" t="n">
        <v>0</v>
      </c>
      <c r="F185" s="124" t="n">
        <v>0</v>
      </c>
      <c r="G185" s="124" t="n">
        <v>205447.622311669</v>
      </c>
      <c r="I185" s="124" t="n">
        <f aca="false">IF(MONTH($A185)=MONTH($A184),IF(G185=0,I184,G185),G185)</f>
        <v>205447.622311669</v>
      </c>
      <c r="J185" s="124" t="n">
        <f aca="false">IF(MONTH($A185)=MONTH($A184),SUM(I185-I184),I185)</f>
        <v>230989.622311669</v>
      </c>
      <c r="K185" s="124" t="n">
        <f aca="false">IF(WEEKDAY(A185,3)&gt;4,0,(IF(A185&lt;K$2,0,IF(A185&lt;=K$3,1,0))))</f>
        <v>0</v>
      </c>
      <c r="L185" s="124" t="n">
        <f aca="false">J185*K185</f>
        <v>0</v>
      </c>
      <c r="M185" s="124" t="n">
        <f aca="false">SUM(J$97:J185)</f>
        <v>84807.597187485</v>
      </c>
      <c r="N185" s="124" t="n">
        <f aca="false">SUM(J$6:J185)</f>
        <v>84807.597187485</v>
      </c>
      <c r="P185" s="124" t="n">
        <f aca="false">D185/P$3</f>
        <v>0</v>
      </c>
      <c r="Q185" s="124" t="n">
        <f aca="false">E185/P$3</f>
        <v>0</v>
      </c>
      <c r="R185" s="124" t="n">
        <f aca="false">F185/R$3</f>
        <v>0</v>
      </c>
      <c r="S185" s="126" t="n">
        <f aca="false">J185/$R$3</f>
        <v>230.989622311669</v>
      </c>
      <c r="T185" s="126" t="n">
        <f aca="false">L185/$R$3</f>
        <v>0</v>
      </c>
      <c r="U185" s="126" t="n">
        <f aca="false">I185/$R$3</f>
        <v>205.447622311669</v>
      </c>
      <c r="V185" s="126" t="n">
        <f aca="false">M185/$R$3</f>
        <v>84.807597187485</v>
      </c>
      <c r="W185" s="126" t="n">
        <f aca="false">N185/$R$3</f>
        <v>84.807597187485</v>
      </c>
    </row>
    <row r="186" customFormat="false" ht="12.75" hidden="false" customHeight="false" outlineLevel="0" collapsed="false">
      <c r="A186" s="120" t="n">
        <f aca="false">A185+1</f>
        <v>37072</v>
      </c>
      <c r="B186" s="131" t="str">
        <f aca="false">INDEX('Master Data'!$A$2:$B$8,MATCH(WEEKDAY('MM PLANT'!A186,3),'Master Data'!$A$2:$A$8,0),2)</f>
        <v>Sa</v>
      </c>
      <c r="D186" s="124" t="n">
        <v>0</v>
      </c>
      <c r="E186" s="124" t="n">
        <v>0</v>
      </c>
      <c r="F186" s="124" t="n">
        <v>0</v>
      </c>
      <c r="G186" s="124" t="n">
        <v>0</v>
      </c>
      <c r="I186" s="124" t="n">
        <f aca="false">IF(MONTH($A186)=MONTH($A185),IF(G186=0,I185,G186),G186)</f>
        <v>205447.622311669</v>
      </c>
      <c r="J186" s="124" t="n">
        <f aca="false">IF(MONTH($A186)=MONTH($A185),SUM(I186-I185),I186)</f>
        <v>0</v>
      </c>
      <c r="K186" s="124" t="n">
        <f aca="false">IF(WEEKDAY(A186,3)&gt;4,0,(IF(A186&lt;K$2,0,IF(A186&lt;=K$3,1,0))))</f>
        <v>0</v>
      </c>
      <c r="L186" s="124" t="n">
        <f aca="false">J186*K186</f>
        <v>0</v>
      </c>
      <c r="M186" s="124" t="n">
        <f aca="false">SUM(J$97:J186)</f>
        <v>84807.597187485</v>
      </c>
      <c r="N186" s="124" t="n">
        <f aca="false">SUM(J$6:J186)</f>
        <v>84807.597187485</v>
      </c>
      <c r="P186" s="124" t="n">
        <f aca="false">D186/P$3</f>
        <v>0</v>
      </c>
      <c r="Q186" s="124" t="n">
        <f aca="false">E186/P$3</f>
        <v>0</v>
      </c>
      <c r="R186" s="124" t="n">
        <f aca="false">F186/R$3</f>
        <v>0</v>
      </c>
      <c r="S186" s="126" t="n">
        <f aca="false">J186/$R$3</f>
        <v>0</v>
      </c>
      <c r="T186" s="126" t="n">
        <f aca="false">L186/$R$3</f>
        <v>0</v>
      </c>
      <c r="U186" s="126" t="n">
        <f aca="false">I186/$R$3</f>
        <v>205.447622311669</v>
      </c>
      <c r="V186" s="126" t="n">
        <f aca="false">M186/$R$3</f>
        <v>84.807597187485</v>
      </c>
      <c r="W186" s="126" t="n">
        <f aca="false">N186/$R$3</f>
        <v>84.807597187485</v>
      </c>
    </row>
    <row r="187" customFormat="false" ht="12.75" hidden="true" customHeight="false" outlineLevel="0" collapsed="false">
      <c r="A187" s="120" t="n">
        <f aca="false">A186+1</f>
        <v>37073</v>
      </c>
      <c r="B187" s="131" t="str">
        <f aca="false">INDEX('Master Data'!$A$2:$B$8,MATCH(WEEKDAY('MM PLANT'!A187,3),'Master Data'!$A$2:$A$8,0),2)</f>
        <v>Su</v>
      </c>
      <c r="D187" s="124" t="n">
        <v>0</v>
      </c>
      <c r="E187" s="124" t="n">
        <v>0</v>
      </c>
      <c r="F187" s="124" t="n">
        <v>0</v>
      </c>
      <c r="G187" s="124" t="n">
        <v>0</v>
      </c>
      <c r="I187" s="124" t="n">
        <f aca="false">IF(MONTH($A187)=MONTH($A186),IF(G187=0,I186,G187),G187)</f>
        <v>0</v>
      </c>
      <c r="J187" s="124" t="n">
        <f aca="false">IF(MONTH($A187)=MONTH($A186),SUM(I187-I186),I187)</f>
        <v>0</v>
      </c>
      <c r="K187" s="124" t="n">
        <f aca="false">IF(WEEKDAY(A187,3)&gt;4,0,(IF(A187&lt;K$2,0,IF(A187&lt;=K$3,1,0))))</f>
        <v>0</v>
      </c>
      <c r="L187" s="124" t="n">
        <f aca="false">J187*K187</f>
        <v>0</v>
      </c>
      <c r="M187" s="124" t="n">
        <f aca="false">SUM(J$97:J187)</f>
        <v>84807.597187485</v>
      </c>
      <c r="N187" s="124" t="n">
        <f aca="false">SUM(J$6:J187)</f>
        <v>84807.597187485</v>
      </c>
      <c r="P187" s="124" t="n">
        <f aca="false">D187/P$3</f>
        <v>0</v>
      </c>
      <c r="Q187" s="124" t="n">
        <f aca="false">E187/P$3</f>
        <v>0</v>
      </c>
      <c r="R187" s="124" t="n">
        <f aca="false">F187/R$3</f>
        <v>0</v>
      </c>
      <c r="S187" s="126" t="n">
        <f aca="false">J187/$R$3</f>
        <v>0</v>
      </c>
      <c r="T187" s="126" t="n">
        <f aca="false">L187/$R$3</f>
        <v>0</v>
      </c>
      <c r="U187" s="126" t="n">
        <f aca="false">I187/$R$3</f>
        <v>0</v>
      </c>
      <c r="V187" s="126" t="n">
        <f aca="false">M187/$R$3</f>
        <v>84.807597187485</v>
      </c>
      <c r="W187" s="126" t="n">
        <f aca="false">N187/$R$3</f>
        <v>84.807597187485</v>
      </c>
    </row>
    <row r="188" customFormat="false" ht="12.75" hidden="true" customHeight="false" outlineLevel="0" collapsed="false">
      <c r="A188" s="120" t="n">
        <f aca="false">A187+1</f>
        <v>37074</v>
      </c>
      <c r="B188" s="131" t="str">
        <f aca="false">INDEX('Master Data'!$A$2:$B$8,MATCH(WEEKDAY('MM PLANT'!A188,3),'Master Data'!$A$2:$A$8,0),2)</f>
        <v>M</v>
      </c>
      <c r="D188" s="124" t="n">
        <v>0</v>
      </c>
      <c r="E188" s="124" t="n">
        <v>0</v>
      </c>
      <c r="F188" s="124" t="n">
        <v>0</v>
      </c>
      <c r="G188" s="124" t="n">
        <f aca="false">218325/31*2</f>
        <v>14085.4838709677</v>
      </c>
      <c r="I188" s="124" t="n">
        <f aca="false">IF(MONTH($A188)=MONTH($A187),IF(G188=0,I187,G188),G188)</f>
        <v>14085.4838709677</v>
      </c>
      <c r="J188" s="124" t="n">
        <f aca="false">IF(MONTH($A188)=MONTH($A187),SUM(I188-I187),I188)</f>
        <v>14085.4838709677</v>
      </c>
      <c r="K188" s="124" t="n">
        <f aca="false">IF(WEEKDAY(A188,3)&gt;4,0,(IF(A188&lt;K$2,0,IF(A188&lt;=K$3,1,0))))</f>
        <v>0</v>
      </c>
      <c r="L188" s="124" t="n">
        <f aca="false">J188*K188</f>
        <v>0</v>
      </c>
      <c r="M188" s="124" t="n">
        <f aca="false">SUM(J$188:J188)</f>
        <v>14085.4838709677</v>
      </c>
      <c r="N188" s="124" t="n">
        <f aca="false">SUM(J$6:J188)</f>
        <v>98893.0810584527</v>
      </c>
      <c r="P188" s="124" t="n">
        <f aca="false">D188/P$3</f>
        <v>0</v>
      </c>
      <c r="Q188" s="124" t="n">
        <f aca="false">E188/P$3</f>
        <v>0</v>
      </c>
      <c r="R188" s="124" t="n">
        <f aca="false">F188/R$3</f>
        <v>0</v>
      </c>
      <c r="S188" s="126" t="n">
        <f aca="false">J188/$R$3</f>
        <v>14.0854838709677</v>
      </c>
      <c r="T188" s="126" t="n">
        <f aca="false">L188/$R$3</f>
        <v>0</v>
      </c>
      <c r="U188" s="126" t="n">
        <f aca="false">I188/$R$3</f>
        <v>14.0854838709677</v>
      </c>
      <c r="V188" s="126" t="n">
        <f aca="false">M188/$R$3</f>
        <v>14.0854838709677</v>
      </c>
      <c r="W188" s="126" t="n">
        <f aca="false">N188/$R$3</f>
        <v>98.8930810584527</v>
      </c>
    </row>
    <row r="189" customFormat="false" ht="12.75" hidden="true" customHeight="false" outlineLevel="0" collapsed="false">
      <c r="A189" s="120" t="n">
        <f aca="false">A188+1</f>
        <v>37075</v>
      </c>
      <c r="B189" s="131" t="str">
        <f aca="false">INDEX('Master Data'!$A$2:$B$8,MATCH(WEEKDAY('MM PLANT'!A189,3),'Master Data'!$A$2:$A$8,0),2)</f>
        <v>T</v>
      </c>
      <c r="D189" s="124" t="n">
        <v>0</v>
      </c>
      <c r="E189" s="124" t="n">
        <v>0</v>
      </c>
      <c r="F189" s="124" t="n">
        <v>0</v>
      </c>
      <c r="G189" s="124" t="n">
        <f aca="false">218325/31*3</f>
        <v>21128.2258064516</v>
      </c>
      <c r="I189" s="124" t="n">
        <f aca="false">IF(MONTH($A189)=MONTH($A188),IF(G189=0,I188,G189),G189)</f>
        <v>21128.2258064516</v>
      </c>
      <c r="J189" s="124" t="n">
        <f aca="false">IF(MONTH($A189)=MONTH($A188),SUM(I189-I188),I189)</f>
        <v>7042.74193548387</v>
      </c>
      <c r="K189" s="124" t="n">
        <f aca="false">IF(WEEKDAY(A189,3)&gt;4,0,(IF(A189&lt;K$2,0,IF(A189&lt;=K$3,1,0))))</f>
        <v>0</v>
      </c>
      <c r="L189" s="124" t="n">
        <f aca="false">J189*K189</f>
        <v>0</v>
      </c>
      <c r="M189" s="124" t="n">
        <f aca="false">SUM(J$188:J189)</f>
        <v>21128.2258064516</v>
      </c>
      <c r="N189" s="124" t="n">
        <f aca="false">SUM(J$6:J189)</f>
        <v>105935.822993937</v>
      </c>
      <c r="P189" s="124" t="n">
        <f aca="false">D189/P$3</f>
        <v>0</v>
      </c>
      <c r="Q189" s="124" t="n">
        <f aca="false">E189/P$3</f>
        <v>0</v>
      </c>
      <c r="R189" s="124" t="n">
        <f aca="false">F189/R$3</f>
        <v>0</v>
      </c>
      <c r="S189" s="126" t="n">
        <f aca="false">J189/$R$3</f>
        <v>7.04274193548387</v>
      </c>
      <c r="T189" s="126" t="n">
        <f aca="false">L189/$R$3</f>
        <v>0</v>
      </c>
      <c r="U189" s="126" t="n">
        <f aca="false">I189/$R$3</f>
        <v>21.1282258064516</v>
      </c>
      <c r="V189" s="126" t="n">
        <f aca="false">M189/$R$3</f>
        <v>21.1282258064516</v>
      </c>
      <c r="W189" s="126" t="n">
        <f aca="false">N189/$R$3</f>
        <v>105.935822993937</v>
      </c>
    </row>
    <row r="190" customFormat="false" ht="12.75" hidden="true" customHeight="false" outlineLevel="0" collapsed="false">
      <c r="A190" s="120" t="n">
        <f aca="false">A189+1</f>
        <v>37076</v>
      </c>
      <c r="B190" s="131" t="str">
        <f aca="false">INDEX('Master Data'!$A$2:$B$8,MATCH(WEEKDAY('MM PLANT'!A190,3),'Master Data'!$A$2:$A$8,0),2)</f>
        <v>W</v>
      </c>
      <c r="D190" s="124" t="n">
        <v>0</v>
      </c>
      <c r="E190" s="124" t="n">
        <v>0</v>
      </c>
      <c r="F190" s="124" t="n">
        <v>0</v>
      </c>
      <c r="G190" s="124" t="n">
        <v>0</v>
      </c>
      <c r="I190" s="124" t="n">
        <f aca="false">IF(MONTH($A190)=MONTH($A189),IF(G190=0,I189,G190),G190)</f>
        <v>21128.2258064516</v>
      </c>
      <c r="J190" s="124" t="n">
        <f aca="false">IF(MONTH($A190)=MONTH($A189),SUM(I190-I189),I190)</f>
        <v>0</v>
      </c>
      <c r="K190" s="124" t="n">
        <f aca="false">IF(WEEKDAY(A190,3)&gt;4,0,(IF(A190&lt;K$2,0,IF(A190&lt;=K$3,1,0))))</f>
        <v>0</v>
      </c>
      <c r="L190" s="124" t="n">
        <f aca="false">J190*K190</f>
        <v>0</v>
      </c>
      <c r="M190" s="124" t="n">
        <f aca="false">SUM(J$188:J190)</f>
        <v>21128.2258064516</v>
      </c>
      <c r="N190" s="124" t="n">
        <f aca="false">SUM(J$6:J190)</f>
        <v>105935.822993937</v>
      </c>
      <c r="P190" s="124" t="n">
        <f aca="false">D190/P$3</f>
        <v>0</v>
      </c>
      <c r="Q190" s="124" t="n">
        <f aca="false">E190/P$3</f>
        <v>0</v>
      </c>
      <c r="R190" s="124" t="n">
        <f aca="false">F190/R$3</f>
        <v>0</v>
      </c>
      <c r="S190" s="126" t="n">
        <f aca="false">J190/$R$3</f>
        <v>0</v>
      </c>
      <c r="T190" s="126" t="n">
        <f aca="false">L190/$R$3</f>
        <v>0</v>
      </c>
      <c r="U190" s="126" t="n">
        <f aca="false">I190/$R$3</f>
        <v>21.1282258064516</v>
      </c>
      <c r="V190" s="126" t="n">
        <f aca="false">M190/$R$3</f>
        <v>21.1282258064516</v>
      </c>
      <c r="W190" s="126" t="n">
        <f aca="false">N190/$R$3</f>
        <v>105.935822993937</v>
      </c>
    </row>
    <row r="191" customFormat="false" ht="12.75" hidden="true" customHeight="false" outlineLevel="0" collapsed="false">
      <c r="A191" s="120" t="n">
        <f aca="false">A190+1</f>
        <v>37077</v>
      </c>
      <c r="B191" s="131" t="str">
        <f aca="false">INDEX('Master Data'!$A$2:$B$8,MATCH(WEEKDAY('MM PLANT'!A191,3),'Master Data'!$A$2:$A$8,0),2)</f>
        <v>Th</v>
      </c>
      <c r="D191" s="124" t="n">
        <v>0</v>
      </c>
      <c r="E191" s="124" t="n">
        <v>0</v>
      </c>
      <c r="F191" s="124" t="n">
        <v>0</v>
      </c>
      <c r="G191" s="124" t="n">
        <v>35214</v>
      </c>
      <c r="I191" s="124" t="n">
        <f aca="false">IF(MONTH($A191)=MONTH($A190),IF(G191=0,I190,G191),G191)</f>
        <v>35214</v>
      </c>
      <c r="J191" s="124" t="n">
        <f aca="false">IF(MONTH($A191)=MONTH($A190),SUM(I191-I190),I191)</f>
        <v>14085.7741935484</v>
      </c>
      <c r="K191" s="124" t="n">
        <f aca="false">IF(WEEKDAY(A191,3)&gt;4,0,(IF(A191&lt;K$2,0,IF(A191&lt;=K$3,1,0))))</f>
        <v>0</v>
      </c>
      <c r="L191" s="124" t="n">
        <f aca="false">J191*K191</f>
        <v>0</v>
      </c>
      <c r="M191" s="124" t="n">
        <f aca="false">SUM(J$188:J191)</f>
        <v>35214</v>
      </c>
      <c r="N191" s="124" t="n">
        <f aca="false">SUM(J$6:J191)</f>
        <v>120021.597187485</v>
      </c>
      <c r="P191" s="124" t="n">
        <f aca="false">D191/P$3</f>
        <v>0</v>
      </c>
      <c r="Q191" s="124" t="n">
        <f aca="false">E191/P$3</f>
        <v>0</v>
      </c>
      <c r="R191" s="124" t="n">
        <f aca="false">F191/R$3</f>
        <v>0</v>
      </c>
      <c r="S191" s="126" t="n">
        <f aca="false">J191/$R$3</f>
        <v>14.0857741935484</v>
      </c>
      <c r="T191" s="126" t="n">
        <f aca="false">L191/$R$3</f>
        <v>0</v>
      </c>
      <c r="U191" s="126" t="n">
        <f aca="false">I191/$R$3</f>
        <v>35.214</v>
      </c>
      <c r="V191" s="126" t="n">
        <f aca="false">M191/$R$3</f>
        <v>35.214</v>
      </c>
      <c r="W191" s="126" t="n">
        <f aca="false">N191/$R$3</f>
        <v>120.021597187485</v>
      </c>
    </row>
    <row r="192" customFormat="false" ht="12.75" hidden="true" customHeight="false" outlineLevel="0" collapsed="false">
      <c r="A192" s="120" t="n">
        <f aca="false">A191+1</f>
        <v>37078</v>
      </c>
      <c r="B192" s="131" t="str">
        <f aca="false">INDEX('Master Data'!$A$2:$B$8,MATCH(WEEKDAY('MM PLANT'!A192,3),'Master Data'!$A$2:$A$8,0),2)</f>
        <v>F</v>
      </c>
      <c r="D192" s="124" t="n">
        <v>0</v>
      </c>
      <c r="E192" s="124" t="n">
        <v>0</v>
      </c>
      <c r="F192" s="124" t="n">
        <v>0</v>
      </c>
      <c r="G192" s="124" t="n">
        <v>42256</v>
      </c>
      <c r="I192" s="124" t="n">
        <f aca="false">IF(MONTH($A192)=MONTH($A191),IF(G192=0,I191,G192),G192)</f>
        <v>42256</v>
      </c>
      <c r="J192" s="124" t="n">
        <f aca="false">IF(MONTH($A192)=MONTH($A191),SUM(I192-I191),I192)</f>
        <v>7042</v>
      </c>
      <c r="K192" s="124" t="n">
        <f aca="false">IF(WEEKDAY(A192,3)&gt;4,0,(IF(A192&lt;K$2,0,IF(A192&lt;=K$3,1,0))))</f>
        <v>0</v>
      </c>
      <c r="L192" s="124" t="n">
        <f aca="false">J192*K192</f>
        <v>0</v>
      </c>
      <c r="M192" s="124" t="n">
        <f aca="false">SUM(J$188:J192)</f>
        <v>42256</v>
      </c>
      <c r="N192" s="124" t="n">
        <f aca="false">SUM(J$6:J192)</f>
        <v>127063.597187485</v>
      </c>
      <c r="P192" s="124" t="n">
        <f aca="false">D192/P$3</f>
        <v>0</v>
      </c>
      <c r="Q192" s="124" t="n">
        <f aca="false">E192/P$3</f>
        <v>0</v>
      </c>
      <c r="R192" s="124" t="n">
        <f aca="false">F192/R$3</f>
        <v>0</v>
      </c>
      <c r="S192" s="126" t="n">
        <f aca="false">J192/$R$3</f>
        <v>7.042</v>
      </c>
      <c r="T192" s="126" t="n">
        <f aca="false">L192/$R$3</f>
        <v>0</v>
      </c>
      <c r="U192" s="126" t="n">
        <f aca="false">I192/$R$3</f>
        <v>42.256</v>
      </c>
      <c r="V192" s="126" t="n">
        <f aca="false">M192/$R$3</f>
        <v>42.256</v>
      </c>
      <c r="W192" s="126" t="n">
        <f aca="false">N192/$R$3</f>
        <v>127.063597187485</v>
      </c>
    </row>
    <row r="193" customFormat="false" ht="12.75" hidden="true" customHeight="false" outlineLevel="0" collapsed="false">
      <c r="A193" s="120" t="n">
        <f aca="false">A192+1</f>
        <v>37079</v>
      </c>
      <c r="B193" s="131" t="str">
        <f aca="false">INDEX('Master Data'!$A$2:$B$8,MATCH(WEEKDAY('MM PLANT'!A193,3),'Master Data'!$A$2:$A$8,0),2)</f>
        <v>Sa</v>
      </c>
      <c r="D193" s="124" t="n">
        <v>0</v>
      </c>
      <c r="E193" s="124" t="n">
        <v>0</v>
      </c>
      <c r="F193" s="124" t="n">
        <v>0</v>
      </c>
      <c r="G193" s="124" t="n">
        <v>0</v>
      </c>
      <c r="I193" s="124" t="n">
        <f aca="false">IF(MONTH($A193)=MONTH($A192),IF(G193=0,I192,G193),G193)</f>
        <v>42256</v>
      </c>
      <c r="J193" s="124" t="n">
        <f aca="false">IF(MONTH($A193)=MONTH($A192),SUM(I193-I192),I193)</f>
        <v>0</v>
      </c>
      <c r="K193" s="124" t="n">
        <f aca="false">IF(WEEKDAY(A193,3)&gt;4,0,(IF(A193&lt;K$2,0,IF(A193&lt;=K$3,1,0))))</f>
        <v>0</v>
      </c>
      <c r="L193" s="124" t="n">
        <f aca="false">J193*K193</f>
        <v>0</v>
      </c>
      <c r="M193" s="124" t="n">
        <f aca="false">SUM(J$188:J193)</f>
        <v>42256</v>
      </c>
      <c r="N193" s="124" t="n">
        <f aca="false">SUM(J$6:J193)</f>
        <v>127063.597187485</v>
      </c>
      <c r="P193" s="124" t="n">
        <f aca="false">D193/P$3</f>
        <v>0</v>
      </c>
      <c r="Q193" s="124" t="n">
        <f aca="false">E193/P$3</f>
        <v>0</v>
      </c>
      <c r="R193" s="124" t="n">
        <f aca="false">F193/R$3</f>
        <v>0</v>
      </c>
      <c r="S193" s="126" t="n">
        <f aca="false">J193/$R$3</f>
        <v>0</v>
      </c>
      <c r="T193" s="126" t="n">
        <f aca="false">L193/$R$3</f>
        <v>0</v>
      </c>
      <c r="U193" s="126" t="n">
        <f aca="false">I193/$R$3</f>
        <v>42.256</v>
      </c>
      <c r="V193" s="126" t="n">
        <f aca="false">M193/$R$3</f>
        <v>42.256</v>
      </c>
      <c r="W193" s="126" t="n">
        <f aca="false">N193/$R$3</f>
        <v>127.063597187485</v>
      </c>
    </row>
    <row r="194" customFormat="false" ht="12.75" hidden="true" customHeight="false" outlineLevel="0" collapsed="false">
      <c r="A194" s="120" t="n">
        <f aca="false">A193+1</f>
        <v>37080</v>
      </c>
      <c r="B194" s="131" t="str">
        <f aca="false">INDEX('Master Data'!$A$2:$B$8,MATCH(WEEKDAY('MM PLANT'!A194,3),'Master Data'!$A$2:$A$8,0),2)</f>
        <v>Su</v>
      </c>
      <c r="D194" s="124" t="n">
        <v>0</v>
      </c>
      <c r="E194" s="124" t="n">
        <v>0</v>
      </c>
      <c r="F194" s="124" t="n">
        <v>0</v>
      </c>
      <c r="G194" s="124" t="n">
        <v>0</v>
      </c>
      <c r="I194" s="124" t="n">
        <f aca="false">IF(MONTH($A194)=MONTH($A193),IF(G194=0,I193,G194),G194)</f>
        <v>42256</v>
      </c>
      <c r="J194" s="124" t="n">
        <f aca="false">IF(MONTH($A194)=MONTH($A193),SUM(I194-I193),I194)</f>
        <v>0</v>
      </c>
      <c r="K194" s="124" t="n">
        <f aca="false">IF(WEEKDAY(A194,3)&gt;4,0,(IF(A194&lt;K$2,0,IF(A194&lt;=K$3,1,0))))</f>
        <v>0</v>
      </c>
      <c r="L194" s="124" t="n">
        <f aca="false">J194*K194</f>
        <v>0</v>
      </c>
      <c r="M194" s="124" t="n">
        <f aca="false">SUM(J$188:J194)</f>
        <v>42256</v>
      </c>
      <c r="N194" s="124" t="n">
        <f aca="false">SUM(J$6:J194)</f>
        <v>127063.597187485</v>
      </c>
      <c r="P194" s="124" t="n">
        <f aca="false">D194/P$3</f>
        <v>0</v>
      </c>
      <c r="Q194" s="124" t="n">
        <f aca="false">E194/P$3</f>
        <v>0</v>
      </c>
      <c r="R194" s="124" t="n">
        <f aca="false">F194/R$3</f>
        <v>0</v>
      </c>
      <c r="S194" s="126" t="n">
        <f aca="false">J194/$R$3</f>
        <v>0</v>
      </c>
      <c r="T194" s="126" t="n">
        <f aca="false">L194/$R$3</f>
        <v>0</v>
      </c>
      <c r="U194" s="126" t="n">
        <f aca="false">I194/$R$3</f>
        <v>42.256</v>
      </c>
      <c r="V194" s="126" t="n">
        <f aca="false">M194/$R$3</f>
        <v>42.256</v>
      </c>
      <c r="W194" s="126" t="n">
        <f aca="false">N194/$R$3</f>
        <v>127.063597187485</v>
      </c>
    </row>
    <row r="195" customFormat="false" ht="12.75" hidden="true" customHeight="false" outlineLevel="0" collapsed="false">
      <c r="A195" s="120" t="n">
        <f aca="false">A194+1</f>
        <v>37081</v>
      </c>
      <c r="B195" s="131" t="str">
        <f aca="false">INDEX('Master Data'!$A$2:$B$8,MATCH(WEEKDAY('MM PLANT'!A195,3),'Master Data'!$A$2:$A$8,0),2)</f>
        <v>M</v>
      </c>
      <c r="D195" s="124" t="n">
        <v>0</v>
      </c>
      <c r="E195" s="124" t="n">
        <v>0</v>
      </c>
      <c r="F195" s="124" t="n">
        <v>0</v>
      </c>
      <c r="G195" s="124" t="n">
        <v>63385</v>
      </c>
      <c r="I195" s="124" t="n">
        <f aca="false">IF(MONTH($A195)=MONTH($A194),IF(G195=0,I194,G195),G195)</f>
        <v>63385</v>
      </c>
      <c r="J195" s="124" t="n">
        <f aca="false">IF(MONTH($A195)=MONTH($A194),SUM(I195-I194),I195)</f>
        <v>21129</v>
      </c>
      <c r="K195" s="124" t="n">
        <f aca="false">IF(WEEKDAY(A195,3)&gt;4,0,(IF(A195&lt;K$2,0,IF(A195&lt;=K$3,1,0))))</f>
        <v>0</v>
      </c>
      <c r="L195" s="124" t="n">
        <f aca="false">J195*K195</f>
        <v>0</v>
      </c>
      <c r="M195" s="124" t="n">
        <f aca="false">SUM(J$188:J195)</f>
        <v>63385</v>
      </c>
      <c r="N195" s="124" t="n">
        <f aca="false">SUM(J$6:J195)</f>
        <v>148192.597187485</v>
      </c>
      <c r="P195" s="124" t="n">
        <f aca="false">D195/P$3</f>
        <v>0</v>
      </c>
      <c r="Q195" s="124" t="n">
        <f aca="false">E195/P$3</f>
        <v>0</v>
      </c>
      <c r="R195" s="124" t="n">
        <f aca="false">F195/R$3</f>
        <v>0</v>
      </c>
      <c r="S195" s="126" t="n">
        <f aca="false">J195/$R$3</f>
        <v>21.129</v>
      </c>
      <c r="T195" s="126" t="n">
        <f aca="false">L195/$R$3</f>
        <v>0</v>
      </c>
      <c r="U195" s="126" t="n">
        <f aca="false">I195/$R$3</f>
        <v>63.385</v>
      </c>
      <c r="V195" s="126" t="n">
        <f aca="false">M195/$R$3</f>
        <v>63.385</v>
      </c>
      <c r="W195" s="126" t="n">
        <f aca="false">N195/$R$3</f>
        <v>148.192597187485</v>
      </c>
    </row>
    <row r="196" customFormat="false" ht="12.75" hidden="true" customHeight="false" outlineLevel="0" collapsed="false">
      <c r="A196" s="120" t="n">
        <f aca="false">A195+1</f>
        <v>37082</v>
      </c>
      <c r="B196" s="131" t="str">
        <f aca="false">INDEX('Master Data'!$A$2:$B$8,MATCH(WEEKDAY('MM PLANT'!A196,3),'Master Data'!$A$2:$A$8,0),2)</f>
        <v>T</v>
      </c>
      <c r="D196" s="124" t="n">
        <v>0</v>
      </c>
      <c r="E196" s="124" t="n">
        <v>0</v>
      </c>
      <c r="F196" s="124" t="n">
        <v>0</v>
      </c>
      <c r="G196" s="124" t="n">
        <v>70427</v>
      </c>
      <c r="I196" s="124" t="n">
        <f aca="false">IF(MONTH($A196)=MONTH($A195),IF(G196=0,I195,G196),G196)</f>
        <v>70427</v>
      </c>
      <c r="J196" s="124" t="n">
        <f aca="false">IF(MONTH($A196)=MONTH($A195),SUM(I196-I195),I196)</f>
        <v>7042</v>
      </c>
      <c r="K196" s="124" t="n">
        <f aca="false">IF(WEEKDAY(A196,3)&gt;4,0,(IF(A196&lt;K$2,0,IF(A196&lt;=K$3,1,0))))</f>
        <v>0</v>
      </c>
      <c r="L196" s="124" t="n">
        <f aca="false">J196*K196</f>
        <v>0</v>
      </c>
      <c r="M196" s="124" t="n">
        <f aca="false">SUM(J$188:J196)</f>
        <v>70427</v>
      </c>
      <c r="N196" s="124" t="n">
        <f aca="false">SUM(J$6:J196)</f>
        <v>155234.597187485</v>
      </c>
      <c r="P196" s="124" t="n">
        <f aca="false">D196/P$3</f>
        <v>0</v>
      </c>
      <c r="Q196" s="124" t="n">
        <f aca="false">E196/P$3</f>
        <v>0</v>
      </c>
      <c r="R196" s="124" t="n">
        <f aca="false">F196/R$3</f>
        <v>0</v>
      </c>
      <c r="S196" s="126" t="n">
        <f aca="false">J196/$R$3</f>
        <v>7.042</v>
      </c>
      <c r="T196" s="126" t="n">
        <f aca="false">L196/$R$3</f>
        <v>0</v>
      </c>
      <c r="U196" s="126" t="n">
        <f aca="false">I196/$R$3</f>
        <v>70.427</v>
      </c>
      <c r="V196" s="126" t="n">
        <f aca="false">M196/$R$3</f>
        <v>70.427</v>
      </c>
      <c r="W196" s="126" t="n">
        <f aca="false">N196/$R$3</f>
        <v>155.234597187485</v>
      </c>
    </row>
    <row r="197" customFormat="false" ht="12.75" hidden="true" customHeight="false" outlineLevel="0" collapsed="false">
      <c r="A197" s="120" t="n">
        <f aca="false">A196+1</f>
        <v>37083</v>
      </c>
      <c r="B197" s="131" t="str">
        <f aca="false">INDEX('Master Data'!$A$2:$B$8,MATCH(WEEKDAY('MM PLANT'!A197,3),'Master Data'!$A$2:$A$8,0),2)</f>
        <v>W</v>
      </c>
      <c r="D197" s="124" t="n">
        <v>0</v>
      </c>
      <c r="E197" s="124" t="n">
        <v>0</v>
      </c>
      <c r="F197" s="124" t="n">
        <v>0</v>
      </c>
      <c r="G197" s="124" t="n">
        <v>77470</v>
      </c>
      <c r="I197" s="124" t="n">
        <f aca="false">IF(MONTH($A197)=MONTH($A196),IF(G197=0,I196,G197),G197)</f>
        <v>77470</v>
      </c>
      <c r="J197" s="124" t="n">
        <f aca="false">IF(MONTH($A197)=MONTH($A196),SUM(I197-I196),I197)</f>
        <v>7043</v>
      </c>
      <c r="K197" s="124" t="n">
        <f aca="false">IF(WEEKDAY(A197,3)&gt;4,0,(IF(A197&lt;K$2,0,IF(A197&lt;=K$3,1,0))))</f>
        <v>0</v>
      </c>
      <c r="L197" s="124" t="n">
        <f aca="false">J197*K197</f>
        <v>0</v>
      </c>
      <c r="M197" s="124" t="n">
        <f aca="false">SUM(J$188:J197)</f>
        <v>77470</v>
      </c>
      <c r="N197" s="124" t="n">
        <f aca="false">SUM(J$6:J197)</f>
        <v>162277.597187485</v>
      </c>
      <c r="P197" s="124" t="n">
        <f aca="false">D197/P$3</f>
        <v>0</v>
      </c>
      <c r="Q197" s="124" t="n">
        <f aca="false">E197/P$3</f>
        <v>0</v>
      </c>
      <c r="R197" s="124" t="n">
        <f aca="false">F197/R$3</f>
        <v>0</v>
      </c>
      <c r="S197" s="126" t="n">
        <f aca="false">J197/$R$3</f>
        <v>7.043</v>
      </c>
      <c r="T197" s="126" t="n">
        <f aca="false">L197/$R$3</f>
        <v>0</v>
      </c>
      <c r="U197" s="126" t="n">
        <f aca="false">I197/$R$3</f>
        <v>77.47</v>
      </c>
      <c r="V197" s="126" t="n">
        <f aca="false">M197/$R$3</f>
        <v>77.47</v>
      </c>
      <c r="W197" s="126" t="n">
        <f aca="false">N197/$R$3</f>
        <v>162.277597187485</v>
      </c>
    </row>
    <row r="198" customFormat="false" ht="12.75" hidden="true" customHeight="false" outlineLevel="0" collapsed="false">
      <c r="A198" s="120" t="n">
        <f aca="false">A197+1</f>
        <v>37084</v>
      </c>
      <c r="B198" s="131" t="str">
        <f aca="false">INDEX('Master Data'!$A$2:$B$8,MATCH(WEEKDAY('MM PLANT'!A198,3),'Master Data'!$A$2:$A$8,0),2)</f>
        <v>Th</v>
      </c>
      <c r="D198" s="124" t="n">
        <v>0</v>
      </c>
      <c r="E198" s="124" t="n">
        <v>0</v>
      </c>
      <c r="F198" s="124" t="n">
        <v>0</v>
      </c>
      <c r="G198" s="124" t="n">
        <v>84513</v>
      </c>
      <c r="I198" s="124" t="n">
        <f aca="false">IF(MONTH($A198)=MONTH($A197),IF(G198=0,I197,G198),G198)</f>
        <v>84513</v>
      </c>
      <c r="J198" s="124" t="n">
        <f aca="false">IF(MONTH($A198)=MONTH($A197),SUM(I198-I197),I198)</f>
        <v>7043</v>
      </c>
      <c r="K198" s="124" t="n">
        <f aca="false">IF(WEEKDAY(A198,3)&gt;4,0,(IF(A198&lt;K$2,0,IF(A198&lt;=K$3,1,0))))</f>
        <v>0</v>
      </c>
      <c r="L198" s="124" t="n">
        <f aca="false">J198*K198</f>
        <v>0</v>
      </c>
      <c r="M198" s="124" t="n">
        <f aca="false">SUM(J$188:J198)</f>
        <v>84513</v>
      </c>
      <c r="N198" s="124" t="n">
        <f aca="false">SUM(J$6:J198)</f>
        <v>169320.597187485</v>
      </c>
      <c r="P198" s="124" t="n">
        <f aca="false">D198/P$3</f>
        <v>0</v>
      </c>
      <c r="Q198" s="124" t="n">
        <f aca="false">E198/P$3</f>
        <v>0</v>
      </c>
      <c r="R198" s="124" t="n">
        <f aca="false">F198/R$3</f>
        <v>0</v>
      </c>
      <c r="S198" s="126" t="n">
        <f aca="false">J198/$R$3</f>
        <v>7.043</v>
      </c>
      <c r="T198" s="126" t="n">
        <f aca="false">L198/$R$3</f>
        <v>0</v>
      </c>
      <c r="U198" s="126" t="n">
        <f aca="false">I198/$R$3</f>
        <v>84.513</v>
      </c>
      <c r="V198" s="126" t="n">
        <f aca="false">M198/$R$3</f>
        <v>84.513</v>
      </c>
      <c r="W198" s="126" t="n">
        <f aca="false">N198/$R$3</f>
        <v>169.320597187485</v>
      </c>
    </row>
    <row r="199" customFormat="false" ht="12.75" hidden="true" customHeight="false" outlineLevel="0" collapsed="false">
      <c r="A199" s="120" t="n">
        <f aca="false">A198+1</f>
        <v>37085</v>
      </c>
      <c r="B199" s="131" t="str">
        <f aca="false">INDEX('Master Data'!$A$2:$B$8,MATCH(WEEKDAY('MM PLANT'!A199,3),'Master Data'!$A$2:$A$8,0),2)</f>
        <v>F</v>
      </c>
      <c r="D199" s="124" t="n">
        <v>0</v>
      </c>
      <c r="E199" s="124" t="n">
        <v>0</v>
      </c>
      <c r="F199" s="124" t="n">
        <v>0</v>
      </c>
      <c r="G199" s="124" t="n">
        <v>91556</v>
      </c>
      <c r="I199" s="124" t="n">
        <f aca="false">IF(MONTH($A199)=MONTH($A198),IF(G199=0,I198,G199),G199)</f>
        <v>91556</v>
      </c>
      <c r="J199" s="124" t="n">
        <f aca="false">IF(MONTH($A199)=MONTH($A198),SUM(I199-I198),I199)</f>
        <v>7043</v>
      </c>
      <c r="K199" s="124" t="n">
        <f aca="false">IF(WEEKDAY(A199,3)&gt;4,0,(IF(A199&lt;K$2,0,IF(A199&lt;=K$3,1,0))))</f>
        <v>0</v>
      </c>
      <c r="L199" s="124" t="n">
        <f aca="false">J199*K199</f>
        <v>0</v>
      </c>
      <c r="M199" s="124" t="n">
        <f aca="false">SUM(J$188:J199)</f>
        <v>91556</v>
      </c>
      <c r="N199" s="124" t="n">
        <f aca="false">SUM(J$6:J199)</f>
        <v>176363.597187485</v>
      </c>
      <c r="P199" s="124" t="n">
        <f aca="false">D199/P$3</f>
        <v>0</v>
      </c>
      <c r="Q199" s="124" t="n">
        <f aca="false">E199/P$3</f>
        <v>0</v>
      </c>
      <c r="R199" s="124" t="n">
        <f aca="false">F199/R$3</f>
        <v>0</v>
      </c>
      <c r="S199" s="126" t="n">
        <f aca="false">J199/$R$3</f>
        <v>7.043</v>
      </c>
      <c r="T199" s="126" t="n">
        <f aca="false">L199/$R$3</f>
        <v>0</v>
      </c>
      <c r="U199" s="126" t="n">
        <f aca="false">I199/$R$3</f>
        <v>91.556</v>
      </c>
      <c r="V199" s="126" t="n">
        <f aca="false">M199/$R$3</f>
        <v>91.556</v>
      </c>
      <c r="W199" s="126" t="n">
        <f aca="false">N199/$R$3</f>
        <v>176.363597187485</v>
      </c>
    </row>
    <row r="200" customFormat="false" ht="12.75" hidden="true" customHeight="false" outlineLevel="0" collapsed="false">
      <c r="A200" s="120" t="n">
        <f aca="false">A199+1</f>
        <v>37086</v>
      </c>
      <c r="B200" s="131" t="str">
        <f aca="false">INDEX('Master Data'!$A$2:$B$8,MATCH(WEEKDAY('MM PLANT'!A200,3),'Master Data'!$A$2:$A$8,0),2)</f>
        <v>Sa</v>
      </c>
      <c r="D200" s="124" t="n">
        <v>0</v>
      </c>
      <c r="E200" s="124" t="n">
        <v>0</v>
      </c>
      <c r="F200" s="124" t="n">
        <v>0</v>
      </c>
      <c r="G200" s="124" t="n">
        <v>0</v>
      </c>
      <c r="I200" s="124" t="n">
        <f aca="false">IF(MONTH($A200)=MONTH($A199),IF(G200=0,I199,G200),G200)</f>
        <v>91556</v>
      </c>
      <c r="J200" s="124" t="n">
        <f aca="false">IF(MONTH($A200)=MONTH($A199),SUM(I200-I199),I200)</f>
        <v>0</v>
      </c>
      <c r="K200" s="124" t="n">
        <f aca="false">IF(WEEKDAY(A200,3)&gt;4,0,(IF(A200&lt;K$2,0,IF(A200&lt;=K$3,1,0))))</f>
        <v>0</v>
      </c>
      <c r="L200" s="124" t="n">
        <f aca="false">J200*K200</f>
        <v>0</v>
      </c>
      <c r="M200" s="124" t="n">
        <f aca="false">SUM(J$188:J200)</f>
        <v>91556</v>
      </c>
      <c r="N200" s="124" t="n">
        <f aca="false">SUM(J$6:J200)</f>
        <v>176363.597187485</v>
      </c>
      <c r="P200" s="124" t="n">
        <f aca="false">D200/P$3</f>
        <v>0</v>
      </c>
      <c r="Q200" s="124" t="n">
        <f aca="false">E200/P$3</f>
        <v>0</v>
      </c>
      <c r="R200" s="124" t="n">
        <f aca="false">F200/R$3</f>
        <v>0</v>
      </c>
      <c r="S200" s="126" t="n">
        <f aca="false">J200/$R$3</f>
        <v>0</v>
      </c>
      <c r="T200" s="126" t="n">
        <f aca="false">L200/$R$3</f>
        <v>0</v>
      </c>
      <c r="U200" s="126" t="n">
        <f aca="false">I200/$R$3</f>
        <v>91.556</v>
      </c>
      <c r="V200" s="126" t="n">
        <f aca="false">M200/$R$3</f>
        <v>91.556</v>
      </c>
      <c r="W200" s="126" t="n">
        <f aca="false">N200/$R$3</f>
        <v>176.363597187485</v>
      </c>
    </row>
    <row r="201" customFormat="false" ht="12.75" hidden="true" customHeight="false" outlineLevel="0" collapsed="false">
      <c r="A201" s="120" t="n">
        <f aca="false">A200+1</f>
        <v>37087</v>
      </c>
      <c r="B201" s="131" t="str">
        <f aca="false">INDEX('Master Data'!$A$2:$B$8,MATCH(WEEKDAY('MM PLANT'!A201,3),'Master Data'!$A$2:$A$8,0),2)</f>
        <v>Su</v>
      </c>
      <c r="D201" s="124" t="n">
        <v>0</v>
      </c>
      <c r="E201" s="124" t="n">
        <v>0</v>
      </c>
      <c r="F201" s="124" t="n">
        <v>0</v>
      </c>
      <c r="G201" s="124" t="n">
        <v>0</v>
      </c>
      <c r="I201" s="124" t="n">
        <f aca="false">IF(MONTH($A201)=MONTH($A200),IF(G201=0,I200,G201),G201)</f>
        <v>91556</v>
      </c>
      <c r="J201" s="124" t="n">
        <f aca="false">IF(MONTH($A201)=MONTH($A200),SUM(I201-I200),I201)</f>
        <v>0</v>
      </c>
      <c r="K201" s="124" t="n">
        <f aca="false">IF(WEEKDAY(A201,3)&gt;4,0,(IF(A201&lt;K$2,0,IF(A201&lt;=K$3,1,0))))</f>
        <v>0</v>
      </c>
      <c r="L201" s="124" t="n">
        <f aca="false">J201*K201</f>
        <v>0</v>
      </c>
      <c r="M201" s="124" t="n">
        <f aca="false">SUM(J$188:J201)</f>
        <v>91556</v>
      </c>
      <c r="N201" s="124" t="n">
        <f aca="false">SUM(J$6:J201)</f>
        <v>176363.597187485</v>
      </c>
      <c r="P201" s="124" t="n">
        <f aca="false">D201/P$3</f>
        <v>0</v>
      </c>
      <c r="Q201" s="124" t="n">
        <f aca="false">E201/P$3</f>
        <v>0</v>
      </c>
      <c r="R201" s="124" t="n">
        <f aca="false">F201/R$3</f>
        <v>0</v>
      </c>
      <c r="S201" s="126" t="n">
        <f aca="false">J201/$R$3</f>
        <v>0</v>
      </c>
      <c r="T201" s="126" t="n">
        <f aca="false">L201/$R$3</f>
        <v>0</v>
      </c>
      <c r="U201" s="126" t="n">
        <f aca="false">I201/$R$3</f>
        <v>91.556</v>
      </c>
      <c r="V201" s="126" t="n">
        <f aca="false">M201/$R$3</f>
        <v>91.556</v>
      </c>
      <c r="W201" s="126" t="n">
        <f aca="false">N201/$R$3</f>
        <v>176.363597187485</v>
      </c>
    </row>
    <row r="202" customFormat="false" ht="12.75" hidden="true" customHeight="false" outlineLevel="0" collapsed="false">
      <c r="A202" s="120" t="n">
        <f aca="false">A201+1</f>
        <v>37088</v>
      </c>
      <c r="B202" s="131" t="str">
        <f aca="false">INDEX('Master Data'!$A$2:$B$8,MATCH(WEEKDAY('MM PLANT'!A202,3),'Master Data'!$A$2:$A$8,0),2)</f>
        <v>M</v>
      </c>
      <c r="D202" s="124" t="n">
        <v>0</v>
      </c>
      <c r="E202" s="124" t="n">
        <v>0</v>
      </c>
      <c r="F202" s="124" t="n">
        <v>0</v>
      </c>
      <c r="G202" s="124" t="n">
        <v>112684</v>
      </c>
      <c r="I202" s="124" t="n">
        <f aca="false">IF(MONTH($A202)=MONTH($A201),IF(G202=0,I201,G202),G202)</f>
        <v>112684</v>
      </c>
      <c r="J202" s="124" t="n">
        <f aca="false">IF(MONTH($A202)=MONTH($A201),SUM(I202-I201),I202)</f>
        <v>21128</v>
      </c>
      <c r="K202" s="124" t="n">
        <f aca="false">IF(WEEKDAY(A202,3)&gt;4,0,(IF(A202&lt;K$2,0,IF(A202&lt;=K$3,1,0))))</f>
        <v>0</v>
      </c>
      <c r="L202" s="124" t="n">
        <f aca="false">J202*K202</f>
        <v>0</v>
      </c>
      <c r="M202" s="124" t="n">
        <f aca="false">SUM(J$188:J202)</f>
        <v>112684</v>
      </c>
      <c r="N202" s="124" t="n">
        <f aca="false">SUM(J$6:J202)</f>
        <v>197491.597187485</v>
      </c>
      <c r="P202" s="124" t="n">
        <f aca="false">D202/P$3</f>
        <v>0</v>
      </c>
      <c r="Q202" s="124" t="n">
        <f aca="false">E202/P$3</f>
        <v>0</v>
      </c>
      <c r="R202" s="124" t="n">
        <f aca="false">F202/R$3</f>
        <v>0</v>
      </c>
      <c r="S202" s="126" t="n">
        <f aca="false">J202/$R$3</f>
        <v>21.128</v>
      </c>
      <c r="T202" s="126" t="n">
        <f aca="false">L202/$R$3</f>
        <v>0</v>
      </c>
      <c r="U202" s="126" t="n">
        <f aca="false">I202/$R$3</f>
        <v>112.684</v>
      </c>
      <c r="V202" s="126" t="n">
        <f aca="false">M202/$R$3</f>
        <v>112.684</v>
      </c>
      <c r="W202" s="126" t="n">
        <f aca="false">N202/$R$3</f>
        <v>197.491597187485</v>
      </c>
    </row>
    <row r="203" customFormat="false" ht="12.75" hidden="true" customHeight="false" outlineLevel="0" collapsed="false">
      <c r="A203" s="120" t="n">
        <f aca="false">A202+1</f>
        <v>37089</v>
      </c>
      <c r="B203" s="131" t="str">
        <f aca="false">INDEX('Master Data'!$A$2:$B$8,MATCH(WEEKDAY('MM PLANT'!A203,3),'Master Data'!$A$2:$A$8,0),2)</f>
        <v>T</v>
      </c>
      <c r="D203" s="124" t="n">
        <v>0</v>
      </c>
      <c r="E203" s="124" t="n">
        <v>0</v>
      </c>
      <c r="F203" s="124" t="n">
        <v>0</v>
      </c>
      <c r="G203" s="124" t="n">
        <v>119727</v>
      </c>
      <c r="I203" s="124" t="n">
        <f aca="false">IF(MONTH($A203)=MONTH($A202),IF(G203=0,I202,G203),G203)</f>
        <v>119727</v>
      </c>
      <c r="J203" s="124" t="n">
        <f aca="false">IF(MONTH($A203)=MONTH($A202),SUM(I203-I202),I203)</f>
        <v>7043</v>
      </c>
      <c r="K203" s="124" t="n">
        <f aca="false">IF(WEEKDAY(A203,3)&gt;4,0,(IF(A203&lt;K$2,0,IF(A203&lt;=K$3,1,0))))</f>
        <v>0</v>
      </c>
      <c r="L203" s="124" t="n">
        <f aca="false">J203*K203</f>
        <v>0</v>
      </c>
      <c r="M203" s="124" t="n">
        <f aca="false">SUM(J$188:J203)</f>
        <v>119727</v>
      </c>
      <c r="N203" s="124" t="n">
        <f aca="false">SUM(J$6:J203)</f>
        <v>204534.597187485</v>
      </c>
      <c r="P203" s="124" t="n">
        <f aca="false">D203/P$3</f>
        <v>0</v>
      </c>
      <c r="Q203" s="124" t="n">
        <f aca="false">E203/P$3</f>
        <v>0</v>
      </c>
      <c r="R203" s="124" t="n">
        <f aca="false">F203/R$3</f>
        <v>0</v>
      </c>
      <c r="S203" s="126" t="n">
        <f aca="false">J203/$R$3</f>
        <v>7.043</v>
      </c>
      <c r="T203" s="126" t="n">
        <f aca="false">L203/$R$3</f>
        <v>0</v>
      </c>
      <c r="U203" s="126" t="n">
        <f aca="false">I203/$R$3</f>
        <v>119.727</v>
      </c>
      <c r="V203" s="126" t="n">
        <f aca="false">M203/$R$3</f>
        <v>119.727</v>
      </c>
      <c r="W203" s="126" t="n">
        <f aca="false">N203/$R$3</f>
        <v>204.534597187485</v>
      </c>
    </row>
    <row r="204" customFormat="false" ht="12.75" hidden="true" customHeight="false" outlineLevel="0" collapsed="false">
      <c r="A204" s="120" t="n">
        <f aca="false">A203+1</f>
        <v>37090</v>
      </c>
      <c r="B204" s="131" t="str">
        <f aca="false">INDEX('Master Data'!$A$2:$B$8,MATCH(WEEKDAY('MM PLANT'!A204,3),'Master Data'!$A$2:$A$8,0),2)</f>
        <v>W</v>
      </c>
      <c r="D204" s="124" t="n">
        <v>0</v>
      </c>
      <c r="E204" s="124" t="n">
        <v>0</v>
      </c>
      <c r="F204" s="124" t="n">
        <v>0</v>
      </c>
      <c r="G204" s="124" t="n">
        <v>126769</v>
      </c>
      <c r="I204" s="124" t="n">
        <f aca="false">IF(MONTH($A204)=MONTH($A203),IF(G204=0,I203,G204),G204)</f>
        <v>126769</v>
      </c>
      <c r="J204" s="124" t="n">
        <f aca="false">IF(MONTH($A204)=MONTH($A203),SUM(I204-I203),I204)</f>
        <v>7042</v>
      </c>
      <c r="K204" s="124" t="n">
        <f aca="false">IF(WEEKDAY(A204,3)&gt;4,0,(IF(A204&lt;K$2,0,IF(A204&lt;=K$3,1,0))))</f>
        <v>0</v>
      </c>
      <c r="L204" s="124" t="n">
        <f aca="false">J204*K204</f>
        <v>0</v>
      </c>
      <c r="M204" s="124" t="n">
        <f aca="false">SUM(J$188:J204)</f>
        <v>126769</v>
      </c>
      <c r="N204" s="124" t="n">
        <f aca="false">SUM(J$6:J204)</f>
        <v>211576.597187485</v>
      </c>
      <c r="P204" s="124" t="n">
        <f aca="false">D204/P$3</f>
        <v>0</v>
      </c>
      <c r="Q204" s="124" t="n">
        <f aca="false">E204/P$3</f>
        <v>0</v>
      </c>
      <c r="R204" s="124" t="n">
        <f aca="false">F204/R$3</f>
        <v>0</v>
      </c>
      <c r="S204" s="126" t="n">
        <f aca="false">J204/$R$3</f>
        <v>7.042</v>
      </c>
      <c r="T204" s="126" t="n">
        <f aca="false">L204/$R$3</f>
        <v>0</v>
      </c>
      <c r="U204" s="126" t="n">
        <f aca="false">I204/$R$3</f>
        <v>126.769</v>
      </c>
      <c r="V204" s="126" t="n">
        <f aca="false">M204/$R$3</f>
        <v>126.769</v>
      </c>
      <c r="W204" s="126" t="n">
        <f aca="false">N204/$R$3</f>
        <v>211.576597187485</v>
      </c>
    </row>
    <row r="205" customFormat="false" ht="12.75" hidden="true" customHeight="false" outlineLevel="0" collapsed="false">
      <c r="A205" s="120" t="n">
        <f aca="false">A204+1</f>
        <v>37091</v>
      </c>
      <c r="B205" s="131" t="str">
        <f aca="false">INDEX('Master Data'!$A$2:$B$8,MATCH(WEEKDAY('MM PLANT'!A205,3),'Master Data'!$A$2:$A$8,0),2)</f>
        <v>Th</v>
      </c>
      <c r="D205" s="124" t="n">
        <v>0</v>
      </c>
      <c r="E205" s="124" t="n">
        <v>0</v>
      </c>
      <c r="F205" s="124" t="n">
        <v>0</v>
      </c>
      <c r="G205" s="124" t="n">
        <v>133812</v>
      </c>
      <c r="I205" s="124" t="n">
        <f aca="false">IF(MONTH($A205)=MONTH($A204),IF(G205=0,I204,G205),G205)</f>
        <v>133812</v>
      </c>
      <c r="J205" s="124" t="n">
        <f aca="false">IF(MONTH($A205)=MONTH($A204),SUM(I205-I204),I205)</f>
        <v>7043</v>
      </c>
      <c r="K205" s="124" t="n">
        <f aca="false">IF(WEEKDAY(A205,3)&gt;4,0,(IF(A205&lt;K$2,0,IF(A205&lt;=K$3,1,0))))</f>
        <v>0</v>
      </c>
      <c r="L205" s="124" t="n">
        <f aca="false">J205*K205</f>
        <v>0</v>
      </c>
      <c r="M205" s="124" t="n">
        <f aca="false">SUM(J$188:J205)</f>
        <v>133812</v>
      </c>
      <c r="N205" s="124" t="n">
        <f aca="false">SUM(J$6:J205)</f>
        <v>218619.597187485</v>
      </c>
      <c r="P205" s="124" t="n">
        <f aca="false">D205/P$3</f>
        <v>0</v>
      </c>
      <c r="Q205" s="124" t="n">
        <f aca="false">E205/P$3</f>
        <v>0</v>
      </c>
      <c r="R205" s="124" t="n">
        <f aca="false">F205/R$3</f>
        <v>0</v>
      </c>
      <c r="S205" s="126" t="n">
        <f aca="false">J205/$R$3</f>
        <v>7.043</v>
      </c>
      <c r="T205" s="126" t="n">
        <f aca="false">L205/$R$3</f>
        <v>0</v>
      </c>
      <c r="U205" s="126" t="n">
        <f aca="false">I205/$R$3</f>
        <v>133.812</v>
      </c>
      <c r="V205" s="126" t="n">
        <f aca="false">M205/$R$3</f>
        <v>133.812</v>
      </c>
      <c r="W205" s="126" t="n">
        <f aca="false">N205/$R$3</f>
        <v>218.619597187485</v>
      </c>
    </row>
    <row r="206" customFormat="false" ht="12.75" hidden="true" customHeight="false" outlineLevel="0" collapsed="false">
      <c r="A206" s="120" t="n">
        <f aca="false">A205+1</f>
        <v>37092</v>
      </c>
      <c r="B206" s="131" t="str">
        <f aca="false">INDEX('Master Data'!$A$2:$B$8,MATCH(WEEKDAY('MM PLANT'!A206,3),'Master Data'!$A$2:$A$8,0),2)</f>
        <v>F</v>
      </c>
      <c r="D206" s="124" t="n">
        <v>0</v>
      </c>
      <c r="E206" s="124" t="n">
        <v>0</v>
      </c>
      <c r="F206" s="124" t="n">
        <v>0</v>
      </c>
      <c r="G206" s="124" t="n">
        <v>140855</v>
      </c>
      <c r="I206" s="124" t="n">
        <f aca="false">IF(MONTH($A206)=MONTH($A205),IF(G206=0,I205,G206),G206)</f>
        <v>140855</v>
      </c>
      <c r="J206" s="124" t="n">
        <f aca="false">IF(MONTH($A206)=MONTH($A205),SUM(I206-I205),I206)</f>
        <v>7043</v>
      </c>
      <c r="K206" s="124" t="n">
        <f aca="false">IF(WEEKDAY(A206,3)&gt;4,0,(IF(A206&lt;K$2,0,IF(A206&lt;=K$3,1,0))))</f>
        <v>0</v>
      </c>
      <c r="L206" s="124" t="n">
        <f aca="false">J206*K206</f>
        <v>0</v>
      </c>
      <c r="M206" s="124" t="n">
        <f aca="false">SUM(J$188:J206)</f>
        <v>140855</v>
      </c>
      <c r="N206" s="124" t="n">
        <f aca="false">SUM(J$6:J206)</f>
        <v>225662.597187485</v>
      </c>
      <c r="P206" s="124" t="n">
        <f aca="false">D206/P$3</f>
        <v>0</v>
      </c>
      <c r="Q206" s="124" t="n">
        <f aca="false">E206/P$3</f>
        <v>0</v>
      </c>
      <c r="R206" s="124" t="n">
        <f aca="false">F206/R$3</f>
        <v>0</v>
      </c>
      <c r="S206" s="126" t="n">
        <f aca="false">J206/$R$3</f>
        <v>7.043</v>
      </c>
      <c r="T206" s="126" t="n">
        <f aca="false">L206/$R$3</f>
        <v>0</v>
      </c>
      <c r="U206" s="126" t="n">
        <f aca="false">I206/$R$3</f>
        <v>140.855</v>
      </c>
      <c r="V206" s="126" t="n">
        <f aca="false">M206/$R$3</f>
        <v>140.855</v>
      </c>
      <c r="W206" s="126" t="n">
        <f aca="false">N206/$R$3</f>
        <v>225.662597187485</v>
      </c>
    </row>
    <row r="207" customFormat="false" ht="12.75" hidden="true" customHeight="false" outlineLevel="0" collapsed="false">
      <c r="A207" s="120" t="n">
        <f aca="false">A206+1</f>
        <v>37093</v>
      </c>
      <c r="B207" s="131" t="str">
        <f aca="false">INDEX('Master Data'!$A$2:$B$8,MATCH(WEEKDAY('MM PLANT'!A207,3),'Master Data'!$A$2:$A$8,0),2)</f>
        <v>Sa</v>
      </c>
      <c r="D207" s="124" t="n">
        <v>0</v>
      </c>
      <c r="E207" s="124" t="n">
        <v>0</v>
      </c>
      <c r="F207" s="124" t="n">
        <v>0</v>
      </c>
      <c r="G207" s="124" t="n">
        <v>0</v>
      </c>
      <c r="I207" s="124" t="n">
        <f aca="false">IF(MONTH($A207)=MONTH($A206),IF(G207=0,I206,G207),G207)</f>
        <v>140855</v>
      </c>
      <c r="J207" s="124" t="n">
        <f aca="false">IF(MONTH($A207)=MONTH($A206),SUM(I207-I206),I207)</f>
        <v>0</v>
      </c>
      <c r="K207" s="124" t="n">
        <f aca="false">IF(WEEKDAY(A207,3)&gt;4,0,(IF(A207&lt;K$2,0,IF(A207&lt;=K$3,1,0))))</f>
        <v>0</v>
      </c>
      <c r="L207" s="124" t="n">
        <f aca="false">J207*K207</f>
        <v>0</v>
      </c>
      <c r="M207" s="124" t="n">
        <f aca="false">SUM(J$188:J207)</f>
        <v>140855</v>
      </c>
      <c r="N207" s="124" t="n">
        <f aca="false">SUM(J$6:J207)</f>
        <v>225662.597187485</v>
      </c>
      <c r="P207" s="124" t="n">
        <f aca="false">D207/P$3</f>
        <v>0</v>
      </c>
      <c r="Q207" s="124" t="n">
        <f aca="false">E207/P$3</f>
        <v>0</v>
      </c>
      <c r="R207" s="124" t="n">
        <f aca="false">F207/R$3</f>
        <v>0</v>
      </c>
      <c r="S207" s="126" t="n">
        <f aca="false">J207/$R$3</f>
        <v>0</v>
      </c>
      <c r="T207" s="126" t="n">
        <f aca="false">L207/$R$3</f>
        <v>0</v>
      </c>
      <c r="U207" s="126" t="n">
        <f aca="false">I207/$R$3</f>
        <v>140.855</v>
      </c>
      <c r="V207" s="126" t="n">
        <f aca="false">M207/$R$3</f>
        <v>140.855</v>
      </c>
      <c r="W207" s="126" t="n">
        <f aca="false">N207/$R$3</f>
        <v>225.662597187485</v>
      </c>
    </row>
    <row r="208" customFormat="false" ht="12.75" hidden="true" customHeight="false" outlineLevel="0" collapsed="false">
      <c r="A208" s="120" t="n">
        <f aca="false">A207+1</f>
        <v>37094</v>
      </c>
      <c r="B208" s="131" t="str">
        <f aca="false">INDEX('Master Data'!$A$2:$B$8,MATCH(WEEKDAY('MM PLANT'!A208,3),'Master Data'!$A$2:$A$8,0),2)</f>
        <v>Su</v>
      </c>
      <c r="D208" s="124" t="n">
        <v>0</v>
      </c>
      <c r="E208" s="124" t="n">
        <v>0</v>
      </c>
      <c r="F208" s="124" t="n">
        <v>0</v>
      </c>
      <c r="G208" s="124" t="n">
        <v>0</v>
      </c>
      <c r="I208" s="124" t="n">
        <f aca="false">IF(MONTH($A208)=MONTH($A207),IF(G208=0,I207,G208),G208)</f>
        <v>140855</v>
      </c>
      <c r="J208" s="124" t="n">
        <f aca="false">IF(MONTH($A208)=MONTH($A207),SUM(I208-I207),I208)</f>
        <v>0</v>
      </c>
      <c r="K208" s="124" t="n">
        <f aca="false">IF(WEEKDAY(A208,3)&gt;4,0,(IF(A208&lt;K$2,0,IF(A208&lt;=K$3,1,0))))</f>
        <v>0</v>
      </c>
      <c r="L208" s="124" t="n">
        <f aca="false">J208*K208</f>
        <v>0</v>
      </c>
      <c r="M208" s="124" t="n">
        <f aca="false">SUM(J$188:J208)</f>
        <v>140855</v>
      </c>
      <c r="N208" s="124" t="n">
        <f aca="false">SUM(J$6:J208)</f>
        <v>225662.597187485</v>
      </c>
      <c r="P208" s="124" t="n">
        <f aca="false">D208/P$3</f>
        <v>0</v>
      </c>
      <c r="Q208" s="124" t="n">
        <f aca="false">E208/P$3</f>
        <v>0</v>
      </c>
      <c r="R208" s="124" t="n">
        <f aca="false">F208/R$3</f>
        <v>0</v>
      </c>
      <c r="S208" s="126" t="n">
        <f aca="false">J208/$R$3</f>
        <v>0</v>
      </c>
      <c r="T208" s="126" t="n">
        <f aca="false">L208/$R$3</f>
        <v>0</v>
      </c>
      <c r="U208" s="126" t="n">
        <f aca="false">I208/$R$3</f>
        <v>140.855</v>
      </c>
      <c r="V208" s="126" t="n">
        <f aca="false">M208/$R$3</f>
        <v>140.855</v>
      </c>
      <c r="W208" s="126" t="n">
        <f aca="false">N208/$R$3</f>
        <v>225.662597187485</v>
      </c>
    </row>
    <row r="209" customFormat="false" ht="12.75" hidden="true" customHeight="false" outlineLevel="0" collapsed="false">
      <c r="A209" s="120" t="n">
        <f aca="false">A208+1</f>
        <v>37095</v>
      </c>
      <c r="B209" s="131" t="str">
        <f aca="false">INDEX('Master Data'!$A$2:$B$8,MATCH(WEEKDAY('MM PLANT'!A209,3),'Master Data'!$A$2:$A$8,0),2)</f>
        <v>M</v>
      </c>
      <c r="D209" s="124" t="n">
        <v>0</v>
      </c>
      <c r="E209" s="124" t="n">
        <v>0</v>
      </c>
      <c r="F209" s="124" t="n">
        <v>0</v>
      </c>
      <c r="G209" s="124" t="n">
        <v>161983</v>
      </c>
      <c r="I209" s="124" t="n">
        <f aca="false">IF(MONTH($A209)=MONTH($A208),IF(G209=0,I208,G209),G209)</f>
        <v>161983</v>
      </c>
      <c r="J209" s="124" t="n">
        <f aca="false">IF(MONTH($A209)=MONTH($A208),SUM(I209-I208),I209)</f>
        <v>21128</v>
      </c>
      <c r="K209" s="124" t="n">
        <f aca="false">IF(WEEKDAY(A209,3)&gt;4,0,(IF(A209&lt;K$2,0,IF(A209&lt;=K$3,1,0))))</f>
        <v>0</v>
      </c>
      <c r="L209" s="124" t="n">
        <f aca="false">J209*K209</f>
        <v>0</v>
      </c>
      <c r="M209" s="124" t="n">
        <f aca="false">SUM(J$188:J209)</f>
        <v>161983</v>
      </c>
      <c r="N209" s="124" t="n">
        <f aca="false">SUM(J$6:J209)</f>
        <v>246790.597187485</v>
      </c>
      <c r="P209" s="124" t="n">
        <f aca="false">D209/P$3</f>
        <v>0</v>
      </c>
      <c r="Q209" s="124" t="n">
        <f aca="false">E209/P$3</f>
        <v>0</v>
      </c>
      <c r="R209" s="124" t="n">
        <f aca="false">F209/R$3</f>
        <v>0</v>
      </c>
      <c r="S209" s="126" t="n">
        <f aca="false">J209/$R$3</f>
        <v>21.128</v>
      </c>
      <c r="T209" s="126" t="n">
        <f aca="false">L209/$R$3</f>
        <v>0</v>
      </c>
      <c r="U209" s="126" t="n">
        <f aca="false">I209/$R$3</f>
        <v>161.983</v>
      </c>
      <c r="V209" s="126" t="n">
        <f aca="false">M209/$R$3</f>
        <v>161.983</v>
      </c>
      <c r="W209" s="126" t="n">
        <f aca="false">N209/$R$3</f>
        <v>246.790597187485</v>
      </c>
    </row>
    <row r="210" customFormat="false" ht="12.75" hidden="true" customHeight="false" outlineLevel="0" collapsed="false">
      <c r="A210" s="120" t="n">
        <f aca="false">A209+1</f>
        <v>37096</v>
      </c>
      <c r="B210" s="131" t="str">
        <f aca="false">INDEX('Master Data'!$A$2:$B$8,MATCH(WEEKDAY('MM PLANT'!A210,3),'Master Data'!$A$2:$A$8,0),2)</f>
        <v>T</v>
      </c>
      <c r="D210" s="124" t="n">
        <v>0</v>
      </c>
      <c r="E210" s="124" t="n">
        <v>0</v>
      </c>
      <c r="F210" s="124" t="n">
        <v>0</v>
      </c>
      <c r="G210" s="124" t="n">
        <v>169026</v>
      </c>
      <c r="I210" s="124" t="n">
        <f aca="false">IF(MONTH($A210)=MONTH($A209),IF(G210=0,I209,G210),G210)</f>
        <v>169026</v>
      </c>
      <c r="J210" s="124" t="n">
        <f aca="false">IF(MONTH($A210)=MONTH($A209),SUM(I210-I209),I210)</f>
        <v>7043</v>
      </c>
      <c r="K210" s="124" t="n">
        <f aca="false">IF(WEEKDAY(A210,3)&gt;4,0,(IF(A210&lt;K$2,0,IF(A210&lt;=K$3,1,0))))</f>
        <v>0</v>
      </c>
      <c r="L210" s="124" t="n">
        <f aca="false">J210*K210</f>
        <v>0</v>
      </c>
      <c r="M210" s="124" t="n">
        <f aca="false">SUM(J$188:J210)</f>
        <v>169026</v>
      </c>
      <c r="N210" s="124" t="n">
        <f aca="false">SUM(J$6:J210)</f>
        <v>253833.597187485</v>
      </c>
      <c r="P210" s="124" t="n">
        <f aca="false">D210/P$3</f>
        <v>0</v>
      </c>
      <c r="Q210" s="124" t="n">
        <f aca="false">E210/P$3</f>
        <v>0</v>
      </c>
      <c r="R210" s="124" t="n">
        <f aca="false">F210/R$3</f>
        <v>0</v>
      </c>
      <c r="S210" s="126" t="n">
        <f aca="false">J210/$R$3</f>
        <v>7.043</v>
      </c>
      <c r="T210" s="126" t="n">
        <f aca="false">L210/$R$3</f>
        <v>0</v>
      </c>
      <c r="U210" s="126" t="n">
        <f aca="false">I210/$R$3</f>
        <v>169.026</v>
      </c>
      <c r="V210" s="126" t="n">
        <f aca="false">M210/$R$3</f>
        <v>169.026</v>
      </c>
      <c r="W210" s="126" t="n">
        <f aca="false">N210/$R$3</f>
        <v>253.833597187485</v>
      </c>
    </row>
    <row r="211" customFormat="false" ht="12.75" hidden="true" customHeight="false" outlineLevel="0" collapsed="false">
      <c r="A211" s="120" t="n">
        <f aca="false">A210+1</f>
        <v>37097</v>
      </c>
      <c r="B211" s="131" t="str">
        <f aca="false">INDEX('Master Data'!$A$2:$B$8,MATCH(WEEKDAY('MM PLANT'!A211,3),'Master Data'!$A$2:$A$8,0),2)</f>
        <v>W</v>
      </c>
      <c r="D211" s="124" t="n">
        <v>0</v>
      </c>
      <c r="E211" s="124" t="n">
        <v>0</v>
      </c>
      <c r="F211" s="124" t="n">
        <v>0</v>
      </c>
      <c r="G211" s="124" t="n">
        <f aca="false">169026+7043</f>
        <v>176069</v>
      </c>
      <c r="I211" s="124" t="n">
        <f aca="false">IF(MONTH($A211)=MONTH($A210),IF(G211=0,I210,G211),G211)</f>
        <v>176069</v>
      </c>
      <c r="J211" s="124" t="n">
        <f aca="false">IF(MONTH($A211)=MONTH($A210),SUM(I211-I210),I211)</f>
        <v>7043</v>
      </c>
      <c r="K211" s="124" t="n">
        <f aca="false">IF(WEEKDAY(A211,3)&gt;4,0,(IF(A211&lt;K$2,0,IF(A211&lt;=K$3,1,0))))</f>
        <v>0</v>
      </c>
      <c r="L211" s="124" t="n">
        <f aca="false">J211*K211</f>
        <v>0</v>
      </c>
      <c r="M211" s="124" t="n">
        <f aca="false">SUM(J$188:J211)</f>
        <v>176069</v>
      </c>
      <c r="N211" s="124" t="n">
        <f aca="false">SUM(J$6:J211)</f>
        <v>260876.597187485</v>
      </c>
      <c r="P211" s="124" t="n">
        <f aca="false">D211/P$3</f>
        <v>0</v>
      </c>
      <c r="Q211" s="124" t="n">
        <f aca="false">E211/P$3</f>
        <v>0</v>
      </c>
      <c r="R211" s="124" t="n">
        <f aca="false">F211/R$3</f>
        <v>0</v>
      </c>
      <c r="S211" s="126" t="n">
        <f aca="false">J211/$R$3</f>
        <v>7.043</v>
      </c>
      <c r="T211" s="126" t="n">
        <f aca="false">L211/$R$3</f>
        <v>0</v>
      </c>
      <c r="U211" s="126" t="n">
        <f aca="false">I211/$R$3</f>
        <v>176.069</v>
      </c>
      <c r="V211" s="126" t="n">
        <f aca="false">M211/$R$3</f>
        <v>176.069</v>
      </c>
      <c r="W211" s="126" t="n">
        <f aca="false">N211/$R$3</f>
        <v>260.876597187485</v>
      </c>
    </row>
    <row r="212" customFormat="false" ht="12.75" hidden="true" customHeight="false" outlineLevel="0" collapsed="false">
      <c r="A212" s="120" t="n">
        <f aca="false">A211+1</f>
        <v>37098</v>
      </c>
      <c r="B212" s="131" t="str">
        <f aca="false">INDEX('Master Data'!$A$2:$B$8,MATCH(WEEKDAY('MM PLANT'!A212,3),'Master Data'!$A$2:$A$8,0),2)</f>
        <v>Th</v>
      </c>
      <c r="D212" s="124" t="n">
        <v>0</v>
      </c>
      <c r="E212" s="124" t="n">
        <v>0</v>
      </c>
      <c r="F212" s="124" t="n">
        <v>0</v>
      </c>
      <c r="G212" s="124" t="n">
        <v>183111</v>
      </c>
      <c r="I212" s="124" t="n">
        <f aca="false">IF(MONTH($A212)=MONTH($A211),IF(G212=0,I211,G212),G212)</f>
        <v>183111</v>
      </c>
      <c r="J212" s="124" t="n">
        <f aca="false">IF(MONTH($A212)=MONTH($A211),SUM(I212-I211),I212)</f>
        <v>7042</v>
      </c>
      <c r="K212" s="124" t="n">
        <f aca="false">IF(WEEKDAY(A212,3)&gt;4,0,(IF(A212&lt;K$2,0,IF(A212&lt;=K$3,1,0))))</f>
        <v>0</v>
      </c>
      <c r="L212" s="124" t="n">
        <f aca="false">J212*K212</f>
        <v>0</v>
      </c>
      <c r="M212" s="124" t="n">
        <f aca="false">SUM(J$188:J212)</f>
        <v>183111</v>
      </c>
      <c r="N212" s="124" t="n">
        <f aca="false">SUM(J$6:J212)</f>
        <v>267918.597187485</v>
      </c>
      <c r="P212" s="124" t="n">
        <f aca="false">D212/P$3</f>
        <v>0</v>
      </c>
      <c r="Q212" s="124" t="n">
        <f aca="false">E212/P$3</f>
        <v>0</v>
      </c>
      <c r="R212" s="124" t="n">
        <f aca="false">F212/R$3</f>
        <v>0</v>
      </c>
      <c r="S212" s="126" t="n">
        <f aca="false">J212/$R$3</f>
        <v>7.042</v>
      </c>
      <c r="T212" s="126" t="n">
        <f aca="false">L212/$R$3</f>
        <v>0</v>
      </c>
      <c r="U212" s="126" t="n">
        <f aca="false">I212/$R$3</f>
        <v>183.111</v>
      </c>
      <c r="V212" s="126" t="n">
        <f aca="false">M212/$R$3</f>
        <v>183.111</v>
      </c>
      <c r="W212" s="126" t="n">
        <f aca="false">N212/$R$3</f>
        <v>267.918597187485</v>
      </c>
    </row>
    <row r="213" customFormat="false" ht="12.75" hidden="true" customHeight="false" outlineLevel="0" collapsed="false">
      <c r="A213" s="120" t="n">
        <f aca="false">A212+1</f>
        <v>37099</v>
      </c>
      <c r="B213" s="131" t="str">
        <f aca="false">INDEX('Master Data'!$A$2:$B$8,MATCH(WEEKDAY('MM PLANT'!A213,3),'Master Data'!$A$2:$A$8,0),2)</f>
        <v>F</v>
      </c>
      <c r="D213" s="124" t="n">
        <v>0</v>
      </c>
      <c r="E213" s="124" t="n">
        <v>0</v>
      </c>
      <c r="F213" s="124" t="n">
        <v>0</v>
      </c>
      <c r="G213" s="124" t="n">
        <v>190154</v>
      </c>
      <c r="I213" s="124" t="n">
        <f aca="false">IF(MONTH($A213)=MONTH($A212),IF(G213=0,I212,G213),G213)</f>
        <v>190154</v>
      </c>
      <c r="J213" s="124" t="n">
        <f aca="false">IF(MONTH($A213)=MONTH($A212),SUM(I213-I212),I213)</f>
        <v>7043</v>
      </c>
      <c r="K213" s="124" t="n">
        <f aca="false">IF(WEEKDAY(A213,3)&gt;4,0,(IF(A213&lt;K$2,0,IF(A213&lt;=K$3,1,0))))</f>
        <v>0</v>
      </c>
      <c r="L213" s="124" t="n">
        <f aca="false">J213*K213</f>
        <v>0</v>
      </c>
      <c r="M213" s="124" t="n">
        <f aca="false">SUM(J$188:J213)</f>
        <v>190154</v>
      </c>
      <c r="N213" s="124" t="n">
        <f aca="false">SUM(J$6:J213)</f>
        <v>274961.597187485</v>
      </c>
      <c r="P213" s="124" t="n">
        <f aca="false">D213/P$3</f>
        <v>0</v>
      </c>
      <c r="Q213" s="124" t="n">
        <f aca="false">E213/P$3</f>
        <v>0</v>
      </c>
      <c r="R213" s="124" t="n">
        <f aca="false">F213/R$3</f>
        <v>0</v>
      </c>
      <c r="S213" s="126" t="n">
        <f aca="false">J213/$R$3</f>
        <v>7.043</v>
      </c>
      <c r="T213" s="126" t="n">
        <f aca="false">L213/$R$3</f>
        <v>0</v>
      </c>
      <c r="U213" s="126" t="n">
        <f aca="false">I213/$R$3</f>
        <v>190.154</v>
      </c>
      <c r="V213" s="126" t="n">
        <f aca="false">M213/$R$3</f>
        <v>190.154</v>
      </c>
      <c r="W213" s="126" t="n">
        <f aca="false">N213/$R$3</f>
        <v>274.961597187485</v>
      </c>
    </row>
    <row r="214" customFormat="false" ht="12.75" hidden="true" customHeight="false" outlineLevel="0" collapsed="false">
      <c r="A214" s="120" t="n">
        <f aca="false">A213+1</f>
        <v>37100</v>
      </c>
      <c r="B214" s="131" t="str">
        <f aca="false">INDEX('Master Data'!$A$2:$B$8,MATCH(WEEKDAY('MM PLANT'!A214,3),'Master Data'!$A$2:$A$8,0),2)</f>
        <v>Sa</v>
      </c>
      <c r="D214" s="124" t="n">
        <v>0</v>
      </c>
      <c r="E214" s="124" t="n">
        <v>0</v>
      </c>
      <c r="F214" s="124" t="n">
        <v>0</v>
      </c>
      <c r="G214" s="124" t="n">
        <v>0</v>
      </c>
      <c r="I214" s="124" t="n">
        <f aca="false">IF(MONTH($A214)=MONTH($A213),IF(G214=0,I213,G214),G214)</f>
        <v>190154</v>
      </c>
      <c r="J214" s="124" t="n">
        <f aca="false">IF(MONTH($A214)=MONTH($A213),SUM(I214-I213),I214)</f>
        <v>0</v>
      </c>
      <c r="K214" s="124" t="n">
        <f aca="false">IF(WEEKDAY(A214,3)&gt;4,0,(IF(A214&lt;K$2,0,IF(A214&lt;=K$3,1,0))))</f>
        <v>0</v>
      </c>
      <c r="L214" s="124" t="n">
        <f aca="false">J214*K214</f>
        <v>0</v>
      </c>
      <c r="M214" s="124" t="n">
        <f aca="false">SUM(J$188:J214)</f>
        <v>190154</v>
      </c>
      <c r="N214" s="124" t="n">
        <f aca="false">SUM(J$6:J214)</f>
        <v>274961.597187485</v>
      </c>
      <c r="P214" s="124" t="n">
        <f aca="false">D214/P$3</f>
        <v>0</v>
      </c>
      <c r="Q214" s="124" t="n">
        <f aca="false">E214/P$3</f>
        <v>0</v>
      </c>
      <c r="R214" s="124" t="n">
        <f aca="false">F214/R$3</f>
        <v>0</v>
      </c>
      <c r="S214" s="126" t="n">
        <f aca="false">J214/$R$3</f>
        <v>0</v>
      </c>
      <c r="T214" s="126" t="n">
        <f aca="false">L214/$R$3</f>
        <v>0</v>
      </c>
      <c r="U214" s="126" t="n">
        <f aca="false">I214/$R$3</f>
        <v>190.154</v>
      </c>
      <c r="V214" s="126" t="n">
        <f aca="false">M214/$R$3</f>
        <v>190.154</v>
      </c>
      <c r="W214" s="126" t="n">
        <f aca="false">N214/$R$3</f>
        <v>274.961597187485</v>
      </c>
    </row>
    <row r="215" customFormat="false" ht="12.75" hidden="true" customHeight="false" outlineLevel="0" collapsed="false">
      <c r="A215" s="120" t="n">
        <f aca="false">A214+1</f>
        <v>37101</v>
      </c>
      <c r="B215" s="131" t="str">
        <f aca="false">INDEX('Master Data'!$A$2:$B$8,MATCH(WEEKDAY('MM PLANT'!A215,3),'Master Data'!$A$2:$A$8,0),2)</f>
        <v>Su</v>
      </c>
      <c r="D215" s="124" t="n">
        <v>0</v>
      </c>
      <c r="E215" s="124" t="n">
        <v>0</v>
      </c>
      <c r="F215" s="124" t="n">
        <v>0</v>
      </c>
      <c r="G215" s="124" t="n">
        <v>0</v>
      </c>
      <c r="I215" s="124" t="n">
        <f aca="false">IF(MONTH($A215)=MONTH($A214),IF(G215=0,I214,G215),G215)</f>
        <v>190154</v>
      </c>
      <c r="J215" s="124" t="n">
        <f aca="false">IF(MONTH($A215)=MONTH($A214),SUM(I215-I214),I215)</f>
        <v>0</v>
      </c>
      <c r="K215" s="124" t="n">
        <f aca="false">IF(WEEKDAY(A215,3)&gt;4,0,(IF(A215&lt;K$2,0,IF(A215&lt;=K$3,1,0))))</f>
        <v>0</v>
      </c>
      <c r="L215" s="124" t="n">
        <f aca="false">J215*K215</f>
        <v>0</v>
      </c>
      <c r="M215" s="124" t="n">
        <f aca="false">SUM(J$188:J215)</f>
        <v>190154</v>
      </c>
      <c r="N215" s="124" t="n">
        <f aca="false">SUM(J$6:J215)</f>
        <v>274961.597187485</v>
      </c>
      <c r="P215" s="124" t="n">
        <f aca="false">D215/P$3</f>
        <v>0</v>
      </c>
      <c r="Q215" s="124" t="n">
        <f aca="false">E215/P$3</f>
        <v>0</v>
      </c>
      <c r="R215" s="124" t="n">
        <f aca="false">F215/R$3</f>
        <v>0</v>
      </c>
      <c r="S215" s="126" t="n">
        <f aca="false">J215/$R$3</f>
        <v>0</v>
      </c>
      <c r="T215" s="126" t="n">
        <f aca="false">L215/$R$3</f>
        <v>0</v>
      </c>
      <c r="U215" s="126" t="n">
        <f aca="false">I215/$R$3</f>
        <v>190.154</v>
      </c>
      <c r="V215" s="126" t="n">
        <f aca="false">M215/$R$3</f>
        <v>190.154</v>
      </c>
      <c r="W215" s="126" t="n">
        <f aca="false">N215/$R$3</f>
        <v>274.961597187485</v>
      </c>
    </row>
    <row r="216" customFormat="false" ht="12.75" hidden="true" customHeight="false" outlineLevel="0" collapsed="false">
      <c r="A216" s="120" t="n">
        <f aca="false">A215+1</f>
        <v>37102</v>
      </c>
      <c r="B216" s="131" t="str">
        <f aca="false">INDEX('Master Data'!$A$2:$B$8,MATCH(WEEKDAY('MM PLANT'!A216,3),'Master Data'!$A$2:$A$8,0),2)</f>
        <v>M</v>
      </c>
      <c r="D216" s="124" t="n">
        <v>0</v>
      </c>
      <c r="E216" s="124" t="n">
        <v>0</v>
      </c>
      <c r="F216" s="124" t="n">
        <v>0</v>
      </c>
      <c r="G216" s="124" t="n">
        <v>211282</v>
      </c>
      <c r="I216" s="124" t="n">
        <f aca="false">IF(MONTH($A216)=MONTH($A215),IF(G216=0,I215,G216),G216)</f>
        <v>211282</v>
      </c>
      <c r="J216" s="124" t="n">
        <f aca="false">IF(MONTH($A216)=MONTH($A215),SUM(I216-I215),I216)</f>
        <v>21128</v>
      </c>
      <c r="K216" s="124" t="n">
        <f aca="false">IF(WEEKDAY(A216,3)&gt;4,0,(IF(A216&lt;K$2,0,IF(A216&lt;=K$3,1,0))))</f>
        <v>0</v>
      </c>
      <c r="L216" s="124" t="n">
        <f aca="false">J216*K216</f>
        <v>0</v>
      </c>
      <c r="M216" s="124" t="n">
        <f aca="false">SUM(J$188:J216)</f>
        <v>211282</v>
      </c>
      <c r="N216" s="124" t="n">
        <f aca="false">SUM(J$6:J216)</f>
        <v>296089.597187485</v>
      </c>
      <c r="P216" s="124" t="n">
        <f aca="false">D216/P$3</f>
        <v>0</v>
      </c>
      <c r="Q216" s="124" t="n">
        <f aca="false">E216/P$3</f>
        <v>0</v>
      </c>
      <c r="R216" s="124" t="n">
        <f aca="false">F216/R$3</f>
        <v>0</v>
      </c>
      <c r="S216" s="126" t="n">
        <f aca="false">J216/$R$3</f>
        <v>21.128</v>
      </c>
      <c r="T216" s="126" t="n">
        <f aca="false">L216/$R$3</f>
        <v>0</v>
      </c>
      <c r="U216" s="126" t="n">
        <f aca="false">I216/$R$3</f>
        <v>211.282</v>
      </c>
      <c r="V216" s="126" t="n">
        <f aca="false">M216/$R$3</f>
        <v>211.282</v>
      </c>
      <c r="W216" s="126" t="n">
        <f aca="false">N216/$R$3</f>
        <v>296.089597187485</v>
      </c>
    </row>
    <row r="217" customFormat="false" ht="12.75" hidden="false" customHeight="false" outlineLevel="0" collapsed="false">
      <c r="A217" s="120" t="n">
        <f aca="false">A216+1</f>
        <v>37103</v>
      </c>
      <c r="B217" s="131" t="str">
        <f aca="false">INDEX('Master Data'!$A$2:$B$8,MATCH(WEEKDAY('MM PLANT'!A217,3),'Master Data'!$A$2:$A$8,0),2)</f>
        <v>T</v>
      </c>
      <c r="D217" s="124" t="n">
        <v>0</v>
      </c>
      <c r="E217" s="124" t="n">
        <v>0</v>
      </c>
      <c r="F217" s="124" t="n">
        <v>0</v>
      </c>
      <c r="G217" s="124" t="n">
        <v>218325</v>
      </c>
      <c r="I217" s="124" t="n">
        <f aca="false">IF(MONTH($A217)=MONTH($A216),IF(G217=0,I216,G217),G217)</f>
        <v>218325</v>
      </c>
      <c r="J217" s="124" t="n">
        <f aca="false">IF(MONTH($A217)=MONTH($A216),SUM(I217-I216),I217)</f>
        <v>7043</v>
      </c>
      <c r="K217" s="124" t="n">
        <f aca="false">IF(WEEKDAY(A217,3)&gt;4,0,(IF(A217&lt;K$2,0,IF(A217&lt;=K$3,1,0))))</f>
        <v>0</v>
      </c>
      <c r="L217" s="124" t="n">
        <f aca="false">J217*K217</f>
        <v>0</v>
      </c>
      <c r="M217" s="124" t="n">
        <f aca="false">SUM(J$188:J217)</f>
        <v>218325</v>
      </c>
      <c r="N217" s="124" t="n">
        <f aca="false">SUM(J$6:J217)</f>
        <v>303132.597187485</v>
      </c>
      <c r="P217" s="124" t="n">
        <f aca="false">D217/P$3</f>
        <v>0</v>
      </c>
      <c r="Q217" s="124" t="n">
        <f aca="false">E217/P$3</f>
        <v>0</v>
      </c>
      <c r="R217" s="124" t="n">
        <f aca="false">F217/R$3</f>
        <v>0</v>
      </c>
      <c r="S217" s="126" t="n">
        <f aca="false">J217/$R$3</f>
        <v>7.043</v>
      </c>
      <c r="T217" s="126" t="n">
        <f aca="false">L217/$R$3</f>
        <v>0</v>
      </c>
      <c r="U217" s="126" t="n">
        <f aca="false">I217/$R$3</f>
        <v>218.325</v>
      </c>
      <c r="V217" s="126" t="n">
        <f aca="false">M217/$R$3</f>
        <v>218.325</v>
      </c>
      <c r="W217" s="126" t="n">
        <f aca="false">N217/$R$3</f>
        <v>303.132597187485</v>
      </c>
    </row>
    <row r="218" customFormat="false" ht="12.75" hidden="true" customHeight="true" outlineLevel="0" collapsed="false">
      <c r="A218" s="120" t="n">
        <f aca="false">A217+1</f>
        <v>37104</v>
      </c>
      <c r="B218" s="131" t="str">
        <f aca="false">INDEX('Master Data'!$A$2:$B$8,MATCH(WEEKDAY('MM PLANT'!A218,3),'Master Data'!$A$2:$A$8,0),2)</f>
        <v>W</v>
      </c>
      <c r="D218" s="124" t="n">
        <v>0</v>
      </c>
      <c r="E218" s="124" t="n">
        <v>0</v>
      </c>
      <c r="F218" s="124" t="n">
        <v>0</v>
      </c>
      <c r="G218" s="124" t="n">
        <f aca="false">162558/31</f>
        <v>5243.8064516129</v>
      </c>
      <c r="I218" s="124" t="n">
        <f aca="false">IF(MONTH($A218)=MONTH($A217),IF(G218=0,I217,G218),G218)</f>
        <v>5243.8064516129</v>
      </c>
      <c r="J218" s="124" t="n">
        <f aca="false">IF(MONTH($A218)=MONTH($A217),SUM(I218-I217),I218)</f>
        <v>5243.8064516129</v>
      </c>
      <c r="K218" s="124" t="n">
        <f aca="false">IF(WEEKDAY(A218,3)&gt;4,0,(IF(A218&lt;K$2,0,IF(A218&lt;=K$3,1,0))))</f>
        <v>0</v>
      </c>
      <c r="L218" s="124" t="n">
        <f aca="false">J218*K218</f>
        <v>0</v>
      </c>
      <c r="M218" s="124" t="n">
        <f aca="false">SUM(J$188:J218)</f>
        <v>223568.806451613</v>
      </c>
      <c r="N218" s="124" t="n">
        <f aca="false">SUM(J$6:J218)</f>
        <v>308376.403639098</v>
      </c>
      <c r="P218" s="124" t="n">
        <f aca="false">D218/P$3</f>
        <v>0</v>
      </c>
      <c r="Q218" s="124" t="n">
        <f aca="false">E218/P$3</f>
        <v>0</v>
      </c>
      <c r="R218" s="124" t="n">
        <f aca="false">F218/R$3</f>
        <v>0</v>
      </c>
      <c r="S218" s="126" t="n">
        <f aca="false">J218/$R$3</f>
        <v>5.2438064516129</v>
      </c>
      <c r="T218" s="126" t="n">
        <f aca="false">L218/$R$3</f>
        <v>0</v>
      </c>
      <c r="U218" s="126" t="n">
        <f aca="false">I218/$R$3</f>
        <v>5.2438064516129</v>
      </c>
      <c r="V218" s="126" t="n">
        <f aca="false">M218/$R$3</f>
        <v>223.568806451613</v>
      </c>
      <c r="W218" s="126" t="n">
        <f aca="false">N218/$R$3</f>
        <v>308.376403639098</v>
      </c>
    </row>
    <row r="219" customFormat="false" ht="12.75" hidden="true" customHeight="true" outlineLevel="0" collapsed="false">
      <c r="A219" s="120" t="n">
        <f aca="false">A218+1</f>
        <v>37105</v>
      </c>
      <c r="B219" s="131" t="str">
        <f aca="false">INDEX('Master Data'!$A$2:$B$8,MATCH(WEEKDAY('MM PLANT'!A219,3),'Master Data'!$A$2:$A$8,0),2)</f>
        <v>Th</v>
      </c>
      <c r="D219" s="124" t="n">
        <v>0</v>
      </c>
      <c r="E219" s="124" t="n">
        <v>0</v>
      </c>
      <c r="F219" s="124" t="n">
        <v>0</v>
      </c>
      <c r="G219" s="124" t="n">
        <f aca="false">162558/31*2</f>
        <v>10487.6129032258</v>
      </c>
      <c r="I219" s="124" t="n">
        <f aca="false">IF(MONTH($A219)=MONTH($A218),IF(G219=0,I218,G219),G219)</f>
        <v>10487.6129032258</v>
      </c>
      <c r="J219" s="124" t="n">
        <f aca="false">IF(MONTH($A219)=MONTH($A218),SUM(I219-I218),I219)</f>
        <v>5243.8064516129</v>
      </c>
      <c r="K219" s="124" t="n">
        <f aca="false">IF(WEEKDAY(A219,3)&gt;4,0,(IF(A219&lt;K$2,0,IF(A219&lt;=K$3,1,0))))</f>
        <v>0</v>
      </c>
      <c r="L219" s="124" t="n">
        <f aca="false">J219*K219</f>
        <v>0</v>
      </c>
      <c r="M219" s="124" t="n">
        <f aca="false">SUM(J$188:J219)</f>
        <v>228812.612903226</v>
      </c>
      <c r="N219" s="124" t="n">
        <f aca="false">SUM(J$6:J219)</f>
        <v>313620.210090711</v>
      </c>
      <c r="P219" s="124" t="n">
        <f aca="false">D219/P$3</f>
        <v>0</v>
      </c>
      <c r="Q219" s="124" t="n">
        <f aca="false">E219/P$3</f>
        <v>0</v>
      </c>
      <c r="R219" s="124" t="n">
        <f aca="false">F219/R$3</f>
        <v>0</v>
      </c>
      <c r="S219" s="126" t="n">
        <f aca="false">J219/$R$3</f>
        <v>5.2438064516129</v>
      </c>
      <c r="T219" s="126" t="n">
        <f aca="false">L219/$R$3</f>
        <v>0</v>
      </c>
      <c r="U219" s="126" t="n">
        <f aca="false">I219/$R$3</f>
        <v>10.4876129032258</v>
      </c>
      <c r="V219" s="126" t="n">
        <f aca="false">M219/$R$3</f>
        <v>228.812612903226</v>
      </c>
      <c r="W219" s="126" t="n">
        <f aca="false">N219/$R$3</f>
        <v>313.620210090711</v>
      </c>
    </row>
    <row r="220" customFormat="false" ht="12.75" hidden="true" customHeight="true" outlineLevel="0" collapsed="false">
      <c r="A220" s="120" t="n">
        <f aca="false">A219+1</f>
        <v>37106</v>
      </c>
      <c r="B220" s="131" t="str">
        <f aca="false">INDEX('Master Data'!$A$2:$B$8,MATCH(WEEKDAY('MM PLANT'!A220,3),'Master Data'!$A$2:$A$8,0),2)</f>
        <v>F</v>
      </c>
      <c r="D220" s="124" t="n">
        <v>0</v>
      </c>
      <c r="E220" s="124" t="n">
        <v>0</v>
      </c>
      <c r="F220" s="124" t="n">
        <v>0</v>
      </c>
      <c r="G220" s="124" t="n">
        <f aca="false">162558/31*3</f>
        <v>15731.4193548387</v>
      </c>
      <c r="I220" s="124" t="n">
        <f aca="false">IF(MONTH($A220)=MONTH($A219),IF(G220=0,I219,G220),G220)</f>
        <v>15731.4193548387</v>
      </c>
      <c r="J220" s="124" t="n">
        <f aca="false">IF(MONTH($A220)=MONTH($A219),SUM(I220-I219),I220)</f>
        <v>5243.8064516129</v>
      </c>
      <c r="K220" s="124" t="n">
        <f aca="false">IF(WEEKDAY(A220,3)&gt;4,0,(IF(A220&lt;K$2,0,IF(A220&lt;=K$3,1,0))))</f>
        <v>0</v>
      </c>
      <c r="L220" s="124" t="n">
        <f aca="false">J220*K220</f>
        <v>0</v>
      </c>
      <c r="M220" s="124" t="n">
        <f aca="false">SUM(J$188:J220)</f>
        <v>234056.419354839</v>
      </c>
      <c r="N220" s="124" t="n">
        <f aca="false">SUM(J$6:J220)</f>
        <v>318864.016542324</v>
      </c>
      <c r="P220" s="124" t="n">
        <f aca="false">D220/P$3</f>
        <v>0</v>
      </c>
      <c r="Q220" s="124" t="n">
        <f aca="false">E220/P$3</f>
        <v>0</v>
      </c>
      <c r="R220" s="124" t="n">
        <f aca="false">F220/R$3</f>
        <v>0</v>
      </c>
      <c r="S220" s="126" t="n">
        <f aca="false">J220/$R$3</f>
        <v>5.2438064516129</v>
      </c>
      <c r="T220" s="126" t="n">
        <f aca="false">L220/$R$3</f>
        <v>0</v>
      </c>
      <c r="U220" s="126" t="n">
        <f aca="false">I220/$R$3</f>
        <v>15.7314193548387</v>
      </c>
      <c r="V220" s="126" t="n">
        <f aca="false">M220/$R$3</f>
        <v>234.056419354839</v>
      </c>
      <c r="W220" s="126" t="n">
        <f aca="false">N220/$R$3</f>
        <v>318.864016542324</v>
      </c>
    </row>
    <row r="221" customFormat="false" ht="12.75" hidden="true" customHeight="true" outlineLevel="0" collapsed="false">
      <c r="A221" s="120" t="n">
        <f aca="false">A220+1</f>
        <v>37107</v>
      </c>
      <c r="B221" s="131" t="str">
        <f aca="false">INDEX('Master Data'!$A$2:$B$8,MATCH(WEEKDAY('MM PLANT'!A221,3),'Master Data'!$A$2:$A$8,0),2)</f>
        <v>Sa</v>
      </c>
      <c r="D221" s="124" t="n">
        <v>0</v>
      </c>
      <c r="E221" s="124" t="n">
        <v>0</v>
      </c>
      <c r="F221" s="124" t="n">
        <v>0</v>
      </c>
      <c r="G221" s="124" t="n">
        <v>0</v>
      </c>
      <c r="I221" s="124" t="n">
        <f aca="false">IF(MONTH($A221)=MONTH($A220),IF(G221=0,I220,G221),G221)</f>
        <v>15731.4193548387</v>
      </c>
      <c r="J221" s="124" t="n">
        <f aca="false">IF(MONTH($A221)=MONTH($A220),SUM(I221-I220),I221)</f>
        <v>0</v>
      </c>
      <c r="K221" s="124" t="n">
        <f aca="false">IF(WEEKDAY(A221,3)&gt;4,0,(IF(A221&lt;K$2,0,IF(A221&lt;=K$3,1,0))))</f>
        <v>0</v>
      </c>
      <c r="L221" s="124" t="n">
        <f aca="false">J221*K221</f>
        <v>0</v>
      </c>
      <c r="M221" s="124" t="n">
        <f aca="false">SUM(J$188:J221)</f>
        <v>234056.419354839</v>
      </c>
      <c r="N221" s="124" t="n">
        <f aca="false">SUM(J$6:J221)</f>
        <v>318864.016542324</v>
      </c>
      <c r="P221" s="124" t="n">
        <f aca="false">D221/P$3</f>
        <v>0</v>
      </c>
      <c r="Q221" s="124" t="n">
        <f aca="false">E221/P$3</f>
        <v>0</v>
      </c>
      <c r="R221" s="124" t="n">
        <f aca="false">F221/R$3</f>
        <v>0</v>
      </c>
      <c r="S221" s="126" t="n">
        <f aca="false">J221/$R$3</f>
        <v>0</v>
      </c>
      <c r="T221" s="126" t="n">
        <f aca="false">L221/$R$3</f>
        <v>0</v>
      </c>
      <c r="U221" s="126" t="n">
        <f aca="false">I221/$R$3</f>
        <v>15.7314193548387</v>
      </c>
      <c r="V221" s="126" t="n">
        <f aca="false">M221/$R$3</f>
        <v>234.056419354839</v>
      </c>
      <c r="W221" s="126" t="n">
        <f aca="false">N221/$R$3</f>
        <v>318.864016542324</v>
      </c>
    </row>
    <row r="222" customFormat="false" ht="12.75" hidden="true" customHeight="true" outlineLevel="0" collapsed="false">
      <c r="A222" s="120" t="n">
        <f aca="false">A221+1</f>
        <v>37108</v>
      </c>
      <c r="B222" s="131" t="str">
        <f aca="false">INDEX('Master Data'!$A$2:$B$8,MATCH(WEEKDAY('MM PLANT'!A222,3),'Master Data'!$A$2:$A$8,0),2)</f>
        <v>Su</v>
      </c>
      <c r="D222" s="124" t="n">
        <v>0</v>
      </c>
      <c r="E222" s="124" t="n">
        <v>0</v>
      </c>
      <c r="F222" s="124" t="n">
        <v>0</v>
      </c>
      <c r="G222" s="124" t="n">
        <v>0</v>
      </c>
      <c r="I222" s="124" t="n">
        <f aca="false">IF(MONTH($A222)=MONTH($A221),IF(G222=0,I221,G222),G222)</f>
        <v>15731.4193548387</v>
      </c>
      <c r="J222" s="124" t="n">
        <f aca="false">IF(MONTH($A222)=MONTH($A221),SUM(I222-I221),I222)</f>
        <v>0</v>
      </c>
      <c r="K222" s="124" t="n">
        <f aca="false">IF(WEEKDAY(A222,3)&gt;4,0,(IF(A222&lt;K$2,0,IF(A222&lt;=K$3,1,0))))</f>
        <v>0</v>
      </c>
      <c r="L222" s="124" t="n">
        <f aca="false">J222*K222</f>
        <v>0</v>
      </c>
      <c r="M222" s="124" t="n">
        <f aca="false">SUM(J$188:J222)</f>
        <v>234056.419354839</v>
      </c>
      <c r="N222" s="124" t="n">
        <f aca="false">SUM(J$6:J222)</f>
        <v>318864.016542324</v>
      </c>
      <c r="P222" s="124" t="n">
        <f aca="false">D222/P$3</f>
        <v>0</v>
      </c>
      <c r="Q222" s="124" t="n">
        <f aca="false">E222/P$3</f>
        <v>0</v>
      </c>
      <c r="R222" s="124" t="n">
        <f aca="false">F222/R$3</f>
        <v>0</v>
      </c>
      <c r="S222" s="126" t="n">
        <f aca="false">J222/$R$3</f>
        <v>0</v>
      </c>
      <c r="T222" s="126" t="n">
        <f aca="false">L222/$R$3</f>
        <v>0</v>
      </c>
      <c r="U222" s="126" t="n">
        <f aca="false">I222/$R$3</f>
        <v>15.7314193548387</v>
      </c>
      <c r="V222" s="126" t="n">
        <f aca="false">M222/$R$3</f>
        <v>234.056419354839</v>
      </c>
      <c r="W222" s="126" t="n">
        <f aca="false">N222/$R$3</f>
        <v>318.864016542324</v>
      </c>
    </row>
    <row r="223" customFormat="false" ht="12.75" hidden="true" customHeight="true" outlineLevel="0" collapsed="false">
      <c r="A223" s="120" t="n">
        <f aca="false">A222+1</f>
        <v>37109</v>
      </c>
      <c r="B223" s="131" t="str">
        <f aca="false">INDEX('Master Data'!$A$2:$B$8,MATCH(WEEKDAY('MM PLANT'!A223,3),'Master Data'!$A$2:$A$8,0),2)</f>
        <v>M</v>
      </c>
      <c r="D223" s="124" t="n">
        <v>0</v>
      </c>
      <c r="E223" s="124" t="n">
        <v>0</v>
      </c>
      <c r="F223" s="124" t="n">
        <v>0</v>
      </c>
      <c r="G223" s="124" t="n">
        <v>31463</v>
      </c>
      <c r="I223" s="124" t="n">
        <f aca="false">IF(MONTH($A223)=MONTH($A222),IF(G223=0,I222,G223),G223)</f>
        <v>31463</v>
      </c>
      <c r="J223" s="124" t="n">
        <f aca="false">IF(MONTH($A223)=MONTH($A222),SUM(I223-I222),I223)</f>
        <v>15731.5806451613</v>
      </c>
      <c r="K223" s="124" t="n">
        <f aca="false">IF(WEEKDAY(A223,3)&gt;4,0,(IF(A223&lt;K$2,0,IF(A223&lt;=K$3,1,0))))</f>
        <v>0</v>
      </c>
      <c r="L223" s="124" t="n">
        <f aca="false">J223*K223</f>
        <v>0</v>
      </c>
      <c r="M223" s="124" t="n">
        <f aca="false">SUM(J$188:J223)</f>
        <v>249788</v>
      </c>
      <c r="N223" s="124" t="n">
        <f aca="false">SUM(J$6:J223)</f>
        <v>334595.597187485</v>
      </c>
      <c r="P223" s="124" t="n">
        <f aca="false">D223/P$3</f>
        <v>0</v>
      </c>
      <c r="Q223" s="124" t="n">
        <f aca="false">E223/P$3</f>
        <v>0</v>
      </c>
      <c r="R223" s="124" t="n">
        <f aca="false">F223/R$3</f>
        <v>0</v>
      </c>
      <c r="S223" s="126" t="n">
        <f aca="false">J223/$R$3</f>
        <v>15.7315806451613</v>
      </c>
      <c r="T223" s="126" t="n">
        <f aca="false">L223/$R$3</f>
        <v>0</v>
      </c>
      <c r="U223" s="126" t="n">
        <f aca="false">I223/$R$3</f>
        <v>31.463</v>
      </c>
      <c r="V223" s="126" t="n">
        <f aca="false">M223/$R$3</f>
        <v>249.788</v>
      </c>
      <c r="W223" s="126" t="n">
        <f aca="false">N223/$R$3</f>
        <v>334.595597187485</v>
      </c>
    </row>
    <row r="224" customFormat="false" ht="12.75" hidden="true" customHeight="true" outlineLevel="0" collapsed="false">
      <c r="A224" s="120" t="n">
        <f aca="false">A223+1</f>
        <v>37110</v>
      </c>
      <c r="B224" s="131" t="str">
        <f aca="false">INDEX('Master Data'!$A$2:$B$8,MATCH(WEEKDAY('MM PLANT'!A224,3),'Master Data'!$A$2:$A$8,0),2)</f>
        <v>T</v>
      </c>
      <c r="D224" s="124" t="n">
        <v>0</v>
      </c>
      <c r="E224" s="124" t="n">
        <v>0</v>
      </c>
      <c r="F224" s="124" t="n">
        <v>0</v>
      </c>
      <c r="G224" s="124" t="n">
        <v>36707</v>
      </c>
      <c r="I224" s="124" t="n">
        <f aca="false">IF(MONTH($A224)=MONTH($A223),IF(G224=0,I223,G224),G224)</f>
        <v>36707</v>
      </c>
      <c r="J224" s="124" t="n">
        <f aca="false">IF(MONTH($A224)=MONTH($A223),SUM(I224-I223),I224)</f>
        <v>5244</v>
      </c>
      <c r="K224" s="124" t="n">
        <f aca="false">IF(WEEKDAY(A224,3)&gt;4,0,(IF(A224&lt;K$2,0,IF(A224&lt;=K$3,1,0))))</f>
        <v>0</v>
      </c>
      <c r="L224" s="124" t="n">
        <f aca="false">J224*K224</f>
        <v>0</v>
      </c>
      <c r="M224" s="124" t="n">
        <f aca="false">SUM(J$188:J224)</f>
        <v>255032</v>
      </c>
      <c r="N224" s="124" t="n">
        <f aca="false">SUM(J$6:J224)</f>
        <v>339839.597187485</v>
      </c>
      <c r="P224" s="124" t="n">
        <f aca="false">D224/P$3</f>
        <v>0</v>
      </c>
      <c r="Q224" s="124" t="n">
        <f aca="false">E224/P$3</f>
        <v>0</v>
      </c>
      <c r="R224" s="124" t="n">
        <f aca="false">F224/R$3</f>
        <v>0</v>
      </c>
      <c r="S224" s="126" t="n">
        <f aca="false">J224/$R$3</f>
        <v>5.244</v>
      </c>
      <c r="T224" s="126" t="n">
        <f aca="false">L224/$R$3</f>
        <v>0</v>
      </c>
      <c r="U224" s="126" t="n">
        <f aca="false">I224/$R$3</f>
        <v>36.707</v>
      </c>
      <c r="V224" s="126" t="n">
        <f aca="false">M224/$R$3</f>
        <v>255.032</v>
      </c>
      <c r="W224" s="126" t="n">
        <f aca="false">N224/$R$3</f>
        <v>339.839597187485</v>
      </c>
    </row>
    <row r="225" customFormat="false" ht="12.75" hidden="true" customHeight="true" outlineLevel="0" collapsed="false">
      <c r="A225" s="120" t="n">
        <f aca="false">A224+1</f>
        <v>37111</v>
      </c>
      <c r="B225" s="131" t="str">
        <f aca="false">INDEX('Master Data'!$A$2:$B$8,MATCH(WEEKDAY('MM PLANT'!A225,3),'Master Data'!$A$2:$A$8,0),2)</f>
        <v>W</v>
      </c>
      <c r="D225" s="124" t="n">
        <v>0</v>
      </c>
      <c r="E225" s="124" t="n">
        <v>0</v>
      </c>
      <c r="F225" s="124" t="n">
        <v>0</v>
      </c>
      <c r="G225" s="124" t="n">
        <v>41950</v>
      </c>
      <c r="I225" s="124" t="n">
        <f aca="false">IF(MONTH($A225)=MONTH($A224),IF(G225=0,I224,G225),G225)</f>
        <v>41950</v>
      </c>
      <c r="J225" s="124" t="n">
        <f aca="false">IF(MONTH($A225)=MONTH($A224),SUM(I225-I224),I225)</f>
        <v>5243</v>
      </c>
      <c r="K225" s="124" t="n">
        <f aca="false">IF(WEEKDAY(A225,3)&gt;4,0,(IF(A225&lt;K$2,0,IF(A225&lt;=K$3,1,0))))</f>
        <v>0</v>
      </c>
      <c r="L225" s="124" t="n">
        <f aca="false">J225*K225</f>
        <v>0</v>
      </c>
      <c r="M225" s="124" t="n">
        <f aca="false">SUM(J$188:J225)</f>
        <v>260275</v>
      </c>
      <c r="N225" s="124" t="n">
        <f aca="false">SUM(J$6:J225)</f>
        <v>345082.597187485</v>
      </c>
      <c r="P225" s="124" t="n">
        <f aca="false">D225/P$3</f>
        <v>0</v>
      </c>
      <c r="Q225" s="124" t="n">
        <f aca="false">E225/P$3</f>
        <v>0</v>
      </c>
      <c r="R225" s="124" t="n">
        <f aca="false">F225/R$3</f>
        <v>0</v>
      </c>
      <c r="S225" s="126" t="n">
        <f aca="false">J225/$R$3</f>
        <v>5.243</v>
      </c>
      <c r="T225" s="126" t="n">
        <f aca="false">L225/$R$3</f>
        <v>0</v>
      </c>
      <c r="U225" s="126" t="n">
        <f aca="false">I225/$R$3</f>
        <v>41.95</v>
      </c>
      <c r="V225" s="126" t="n">
        <f aca="false">M225/$R$3</f>
        <v>260.275</v>
      </c>
      <c r="W225" s="126" t="n">
        <f aca="false">N225/$R$3</f>
        <v>345.082597187485</v>
      </c>
    </row>
    <row r="226" customFormat="false" ht="12.75" hidden="true" customHeight="true" outlineLevel="0" collapsed="false">
      <c r="A226" s="120" t="n">
        <f aca="false">A225+1</f>
        <v>37112</v>
      </c>
      <c r="B226" s="131" t="str">
        <f aca="false">INDEX('Master Data'!$A$2:$B$8,MATCH(WEEKDAY('MM PLANT'!A226,3),'Master Data'!$A$2:$A$8,0),2)</f>
        <v>Th</v>
      </c>
      <c r="D226" s="124" t="n">
        <v>0</v>
      </c>
      <c r="E226" s="124" t="n">
        <v>0</v>
      </c>
      <c r="F226" s="124" t="n">
        <v>0</v>
      </c>
      <c r="G226" s="124" t="n">
        <v>47194</v>
      </c>
      <c r="I226" s="124" t="n">
        <f aca="false">IF(MONTH($A226)=MONTH($A225),IF(G226=0,I225,G226),G226)</f>
        <v>47194</v>
      </c>
      <c r="J226" s="124" t="n">
        <f aca="false">IF(MONTH($A226)=MONTH($A225),SUM(I226-I225),I226)</f>
        <v>5244</v>
      </c>
      <c r="K226" s="124" t="n">
        <f aca="false">IF(WEEKDAY(A226,3)&gt;4,0,(IF(A226&lt;K$2,0,IF(A226&lt;=K$3,1,0))))</f>
        <v>0</v>
      </c>
      <c r="L226" s="124" t="n">
        <f aca="false">J226*K226</f>
        <v>0</v>
      </c>
      <c r="M226" s="124" t="n">
        <f aca="false">SUM(J$188:J226)</f>
        <v>265519</v>
      </c>
      <c r="N226" s="124" t="n">
        <f aca="false">SUM(J$6:J226)</f>
        <v>350326.597187485</v>
      </c>
      <c r="P226" s="124" t="n">
        <f aca="false">D226/P$3</f>
        <v>0</v>
      </c>
      <c r="Q226" s="124" t="n">
        <f aca="false">E226/P$3</f>
        <v>0</v>
      </c>
      <c r="R226" s="124" t="n">
        <f aca="false">F226/R$3</f>
        <v>0</v>
      </c>
      <c r="S226" s="126" t="n">
        <f aca="false">J226/$R$3</f>
        <v>5.244</v>
      </c>
      <c r="T226" s="126" t="n">
        <f aca="false">L226/$R$3</f>
        <v>0</v>
      </c>
      <c r="U226" s="126" t="n">
        <f aca="false">I226/$R$3</f>
        <v>47.194</v>
      </c>
      <c r="V226" s="126" t="n">
        <f aca="false">M226/$R$3</f>
        <v>265.519</v>
      </c>
      <c r="W226" s="126" t="n">
        <f aca="false">N226/$R$3</f>
        <v>350.326597187485</v>
      </c>
    </row>
    <row r="227" customFormat="false" ht="12.75" hidden="true" customHeight="true" outlineLevel="0" collapsed="false">
      <c r="A227" s="120" t="n">
        <f aca="false">A226+1</f>
        <v>37113</v>
      </c>
      <c r="B227" s="131" t="str">
        <f aca="false">INDEX('Master Data'!$A$2:$B$8,MATCH(WEEKDAY('MM PLANT'!A227,3),'Master Data'!$A$2:$A$8,0),2)</f>
        <v>F</v>
      </c>
      <c r="D227" s="124" t="n">
        <v>0</v>
      </c>
      <c r="E227" s="124" t="n">
        <v>0</v>
      </c>
      <c r="F227" s="124" t="n">
        <v>0</v>
      </c>
      <c r="G227" s="124" t="n">
        <v>52438</v>
      </c>
      <c r="I227" s="124" t="n">
        <f aca="false">IF(MONTH($A227)=MONTH($A226),IF(G227=0,I226,G227),G227)</f>
        <v>52438</v>
      </c>
      <c r="J227" s="124" t="n">
        <f aca="false">IF(MONTH($A227)=MONTH($A226),SUM(I227-I226),I227)</f>
        <v>5244</v>
      </c>
      <c r="K227" s="124" t="n">
        <f aca="false">IF(WEEKDAY(A227,3)&gt;4,0,(IF(A227&lt;K$2,0,IF(A227&lt;=K$3,1,0))))</f>
        <v>0</v>
      </c>
      <c r="L227" s="124" t="n">
        <f aca="false">J227*K227</f>
        <v>0</v>
      </c>
      <c r="M227" s="124" t="n">
        <f aca="false">SUM(J$188:J227)</f>
        <v>270763</v>
      </c>
      <c r="N227" s="124" t="n">
        <f aca="false">SUM(J$6:J227)</f>
        <v>355570.597187485</v>
      </c>
      <c r="P227" s="124" t="n">
        <f aca="false">D227/P$3</f>
        <v>0</v>
      </c>
      <c r="Q227" s="124" t="n">
        <f aca="false">E227/P$3</f>
        <v>0</v>
      </c>
      <c r="R227" s="124" t="n">
        <f aca="false">F227/R$3</f>
        <v>0</v>
      </c>
      <c r="S227" s="126" t="n">
        <f aca="false">J227/$R$3</f>
        <v>5.244</v>
      </c>
      <c r="T227" s="126" t="n">
        <f aca="false">L227/$R$3</f>
        <v>0</v>
      </c>
      <c r="U227" s="126" t="n">
        <f aca="false">I227/$R$3</f>
        <v>52.438</v>
      </c>
      <c r="V227" s="126" t="n">
        <f aca="false">M227/$R$3</f>
        <v>270.763</v>
      </c>
      <c r="W227" s="126" t="n">
        <f aca="false">N227/$R$3</f>
        <v>355.570597187485</v>
      </c>
    </row>
    <row r="228" customFormat="false" ht="12.75" hidden="true" customHeight="true" outlineLevel="0" collapsed="false">
      <c r="A228" s="120" t="n">
        <f aca="false">A227+1</f>
        <v>37114</v>
      </c>
      <c r="B228" s="131" t="str">
        <f aca="false">INDEX('Master Data'!$A$2:$B$8,MATCH(WEEKDAY('MM PLANT'!A228,3),'Master Data'!$A$2:$A$8,0),2)</f>
        <v>Sa</v>
      </c>
      <c r="D228" s="124" t="n">
        <v>0</v>
      </c>
      <c r="E228" s="124" t="n">
        <v>0</v>
      </c>
      <c r="F228" s="124" t="n">
        <v>0</v>
      </c>
      <c r="G228" s="124" t="n">
        <v>0</v>
      </c>
      <c r="I228" s="124" t="n">
        <f aca="false">IF(MONTH($A228)=MONTH($A227),IF(G228=0,I227,G228),G228)</f>
        <v>52438</v>
      </c>
      <c r="J228" s="124" t="n">
        <f aca="false">IF(MONTH($A228)=MONTH($A227),SUM(I228-I227),I228)</f>
        <v>0</v>
      </c>
      <c r="K228" s="124" t="n">
        <f aca="false">IF(WEEKDAY(A228,3)&gt;4,0,(IF(A228&lt;K$2,0,IF(A228&lt;=K$3,1,0))))</f>
        <v>0</v>
      </c>
      <c r="L228" s="124" t="n">
        <f aca="false">J228*K228</f>
        <v>0</v>
      </c>
      <c r="M228" s="124" t="n">
        <f aca="false">SUM(J$188:J228)</f>
        <v>270763</v>
      </c>
      <c r="N228" s="124" t="n">
        <f aca="false">SUM(J$6:J228)</f>
        <v>355570.597187485</v>
      </c>
      <c r="P228" s="124" t="n">
        <f aca="false">D228/P$3</f>
        <v>0</v>
      </c>
      <c r="Q228" s="124" t="n">
        <f aca="false">E228/P$3</f>
        <v>0</v>
      </c>
      <c r="R228" s="124" t="n">
        <f aca="false">F228/R$3</f>
        <v>0</v>
      </c>
      <c r="S228" s="126" t="n">
        <f aca="false">J228/$R$3</f>
        <v>0</v>
      </c>
      <c r="T228" s="126" t="n">
        <f aca="false">L228/$R$3</f>
        <v>0</v>
      </c>
      <c r="U228" s="126" t="n">
        <f aca="false">I228/$R$3</f>
        <v>52.438</v>
      </c>
      <c r="V228" s="126" t="n">
        <f aca="false">M228/$R$3</f>
        <v>270.763</v>
      </c>
      <c r="W228" s="126" t="n">
        <f aca="false">N228/$R$3</f>
        <v>355.570597187485</v>
      </c>
    </row>
    <row r="229" customFormat="false" ht="12.75" hidden="true" customHeight="true" outlineLevel="0" collapsed="false">
      <c r="A229" s="120" t="n">
        <f aca="false">A228+1</f>
        <v>37115</v>
      </c>
      <c r="B229" s="131" t="str">
        <f aca="false">INDEX('Master Data'!$A$2:$B$8,MATCH(WEEKDAY('MM PLANT'!A229,3),'Master Data'!$A$2:$A$8,0),2)</f>
        <v>Su</v>
      </c>
      <c r="D229" s="124" t="n">
        <v>0</v>
      </c>
      <c r="E229" s="124" t="n">
        <v>0</v>
      </c>
      <c r="F229" s="124" t="n">
        <v>0</v>
      </c>
      <c r="G229" s="124" t="n">
        <v>0</v>
      </c>
      <c r="I229" s="124" t="n">
        <f aca="false">IF(MONTH($A229)=MONTH($A228),IF(G229=0,I228,G229),G229)</f>
        <v>52438</v>
      </c>
      <c r="J229" s="124" t="n">
        <f aca="false">IF(MONTH($A229)=MONTH($A228),SUM(I229-I228),I229)</f>
        <v>0</v>
      </c>
      <c r="K229" s="124" t="n">
        <f aca="false">IF(WEEKDAY(A229,3)&gt;4,0,(IF(A229&lt;K$2,0,IF(A229&lt;=K$3,1,0))))</f>
        <v>0</v>
      </c>
      <c r="L229" s="124" t="n">
        <f aca="false">J229*K229</f>
        <v>0</v>
      </c>
      <c r="M229" s="124" t="n">
        <f aca="false">SUM(J$188:J229)</f>
        <v>270763</v>
      </c>
      <c r="N229" s="124" t="n">
        <f aca="false">SUM(J$6:J229)</f>
        <v>355570.597187485</v>
      </c>
      <c r="P229" s="124" t="n">
        <f aca="false">D229/P$3</f>
        <v>0</v>
      </c>
      <c r="Q229" s="124" t="n">
        <f aca="false">E229/P$3</f>
        <v>0</v>
      </c>
      <c r="R229" s="124" t="n">
        <f aca="false">F229/R$3</f>
        <v>0</v>
      </c>
      <c r="S229" s="126" t="n">
        <f aca="false">J229/$R$3</f>
        <v>0</v>
      </c>
      <c r="T229" s="126" t="n">
        <f aca="false">L229/$R$3</f>
        <v>0</v>
      </c>
      <c r="U229" s="126" t="n">
        <f aca="false">I229/$R$3</f>
        <v>52.438</v>
      </c>
      <c r="V229" s="126" t="n">
        <f aca="false">M229/$R$3</f>
        <v>270.763</v>
      </c>
      <c r="W229" s="126" t="n">
        <f aca="false">N229/$R$3</f>
        <v>355.570597187485</v>
      </c>
    </row>
    <row r="230" customFormat="false" ht="12.75" hidden="true" customHeight="true" outlineLevel="0" collapsed="false">
      <c r="A230" s="120" t="n">
        <f aca="false">A229+1</f>
        <v>37116</v>
      </c>
      <c r="B230" s="131" t="str">
        <f aca="false">INDEX('Master Data'!$A$2:$B$8,MATCH(WEEKDAY('MM PLANT'!A230,3),'Master Data'!$A$2:$A$8,0),2)</f>
        <v>M</v>
      </c>
      <c r="D230" s="124" t="n">
        <v>0</v>
      </c>
      <c r="E230" s="124" t="n">
        <v>0</v>
      </c>
      <c r="F230" s="124" t="n">
        <v>0</v>
      </c>
      <c r="G230" s="124" t="n">
        <v>68169</v>
      </c>
      <c r="I230" s="124" t="n">
        <f aca="false">IF(MONTH($A230)=MONTH($A229),IF(G230=0,I229,G230),G230)</f>
        <v>68169</v>
      </c>
      <c r="J230" s="124" t="n">
        <f aca="false">IF(MONTH($A230)=MONTH($A229),SUM(I230-I229),I230)</f>
        <v>15731</v>
      </c>
      <c r="K230" s="124" t="n">
        <f aca="false">IF(WEEKDAY(A230,3)&gt;4,0,(IF(A230&lt;K$2,0,IF(A230&lt;=K$3,1,0))))</f>
        <v>0</v>
      </c>
      <c r="L230" s="124" t="n">
        <f aca="false">J230*K230</f>
        <v>0</v>
      </c>
      <c r="M230" s="124" t="n">
        <f aca="false">SUM(J$188:J230)</f>
        <v>286494</v>
      </c>
      <c r="N230" s="124" t="n">
        <f aca="false">SUM(J$6:J230)</f>
        <v>371301.597187485</v>
      </c>
      <c r="P230" s="124" t="n">
        <f aca="false">D230/P$3</f>
        <v>0</v>
      </c>
      <c r="Q230" s="124" t="n">
        <f aca="false">E230/P$3</f>
        <v>0</v>
      </c>
      <c r="R230" s="124" t="n">
        <f aca="false">F230/R$3</f>
        <v>0</v>
      </c>
      <c r="S230" s="126" t="n">
        <f aca="false">J230/$R$3</f>
        <v>15.731</v>
      </c>
      <c r="T230" s="126" t="n">
        <f aca="false">L230/$R$3</f>
        <v>0</v>
      </c>
      <c r="U230" s="126" t="n">
        <f aca="false">I230/$R$3</f>
        <v>68.169</v>
      </c>
      <c r="V230" s="126" t="n">
        <f aca="false">M230/$R$3</f>
        <v>286.494</v>
      </c>
      <c r="W230" s="126" t="n">
        <f aca="false">N230/$R$3</f>
        <v>371.301597187485</v>
      </c>
    </row>
    <row r="231" customFormat="false" ht="12.75" hidden="true" customHeight="true" outlineLevel="0" collapsed="false">
      <c r="A231" s="120" t="n">
        <f aca="false">A230+1</f>
        <v>37117</v>
      </c>
      <c r="B231" s="131" t="str">
        <f aca="false">INDEX('Master Data'!$A$2:$B$8,MATCH(WEEKDAY('MM PLANT'!A231,3),'Master Data'!$A$2:$A$8,0),2)</f>
        <v>T</v>
      </c>
      <c r="D231" s="124" t="n">
        <v>0</v>
      </c>
      <c r="E231" s="124" t="n">
        <v>0</v>
      </c>
      <c r="F231" s="124" t="n">
        <v>0</v>
      </c>
      <c r="G231" s="124" t="n">
        <v>73413</v>
      </c>
      <c r="I231" s="124" t="n">
        <f aca="false">IF(MONTH($A231)=MONTH($A230),IF(G231=0,I230,G231),G231)</f>
        <v>73413</v>
      </c>
      <c r="J231" s="124" t="n">
        <f aca="false">IF(MONTH($A231)=MONTH($A230),SUM(I231-I230),I231)</f>
        <v>5244</v>
      </c>
      <c r="K231" s="124" t="n">
        <f aca="false">IF(WEEKDAY(A231,3)&gt;4,0,(IF(A231&lt;K$2,0,IF(A231&lt;=K$3,1,0))))</f>
        <v>0</v>
      </c>
      <c r="L231" s="124" t="n">
        <f aca="false">J231*K231</f>
        <v>0</v>
      </c>
      <c r="M231" s="124" t="n">
        <f aca="false">SUM(J$188:J231)</f>
        <v>291738</v>
      </c>
      <c r="N231" s="124" t="n">
        <f aca="false">SUM(J$6:J231)</f>
        <v>376545.597187485</v>
      </c>
      <c r="P231" s="124" t="n">
        <f aca="false">D231/P$3</f>
        <v>0</v>
      </c>
      <c r="Q231" s="124" t="n">
        <f aca="false">E231/P$3</f>
        <v>0</v>
      </c>
      <c r="R231" s="124" t="n">
        <f aca="false">F231/R$3</f>
        <v>0</v>
      </c>
      <c r="S231" s="126" t="n">
        <f aca="false">J231/$R$3</f>
        <v>5.244</v>
      </c>
      <c r="T231" s="126" t="n">
        <f aca="false">L231/$R$3</f>
        <v>0</v>
      </c>
      <c r="U231" s="126" t="n">
        <f aca="false">I231/$R$3</f>
        <v>73.413</v>
      </c>
      <c r="V231" s="126" t="n">
        <f aca="false">M231/$R$3</f>
        <v>291.738</v>
      </c>
      <c r="W231" s="126" t="n">
        <f aca="false">N231/$R$3</f>
        <v>376.545597187485</v>
      </c>
    </row>
    <row r="232" customFormat="false" ht="12.75" hidden="true" customHeight="true" outlineLevel="0" collapsed="false">
      <c r="A232" s="120" t="n">
        <f aca="false">A231+1</f>
        <v>37118</v>
      </c>
      <c r="B232" s="131" t="str">
        <f aca="false">INDEX('Master Data'!$A$2:$B$8,MATCH(WEEKDAY('MM PLANT'!A232,3),'Master Data'!$A$2:$A$8,0),2)</f>
        <v>W</v>
      </c>
      <c r="D232" s="124" t="n">
        <v>0</v>
      </c>
      <c r="E232" s="124" t="n">
        <v>0</v>
      </c>
      <c r="F232" s="124" t="n">
        <v>0</v>
      </c>
      <c r="G232" s="124" t="n">
        <v>78657</v>
      </c>
      <c r="I232" s="124" t="n">
        <f aca="false">IF(MONTH($A232)=MONTH($A231),IF(G232=0,I231,G232),G232)</f>
        <v>78657</v>
      </c>
      <c r="J232" s="124" t="n">
        <f aca="false">IF(MONTH($A232)=MONTH($A231),SUM(I232-I231),I232)</f>
        <v>5244</v>
      </c>
      <c r="K232" s="124" t="n">
        <f aca="false">IF(WEEKDAY(A232,3)&gt;4,0,(IF(A232&lt;K$2,0,IF(A232&lt;=K$3,1,0))))</f>
        <v>0</v>
      </c>
      <c r="L232" s="124" t="n">
        <f aca="false">J232*K232</f>
        <v>0</v>
      </c>
      <c r="M232" s="124" t="n">
        <f aca="false">SUM(J$188:J232)</f>
        <v>296982</v>
      </c>
      <c r="N232" s="124" t="n">
        <f aca="false">SUM(J$6:J232)</f>
        <v>381789.597187485</v>
      </c>
      <c r="P232" s="124" t="n">
        <f aca="false">D232/P$3</f>
        <v>0</v>
      </c>
      <c r="Q232" s="124" t="n">
        <f aca="false">E232/P$3</f>
        <v>0</v>
      </c>
      <c r="R232" s="124" t="n">
        <f aca="false">F232/R$3</f>
        <v>0</v>
      </c>
      <c r="S232" s="126" t="n">
        <f aca="false">J232/$R$3</f>
        <v>5.244</v>
      </c>
      <c r="T232" s="126" t="n">
        <f aca="false">L232/$R$3</f>
        <v>0</v>
      </c>
      <c r="U232" s="126" t="n">
        <f aca="false">I232/$R$3</f>
        <v>78.657</v>
      </c>
      <c r="V232" s="126" t="n">
        <f aca="false">M232/$R$3</f>
        <v>296.982</v>
      </c>
      <c r="W232" s="126" t="n">
        <f aca="false">N232/$R$3</f>
        <v>381.789597187485</v>
      </c>
    </row>
    <row r="233" customFormat="false" ht="12.75" hidden="true" customHeight="true" outlineLevel="0" collapsed="false">
      <c r="A233" s="120" t="n">
        <f aca="false">A232+1</f>
        <v>37119</v>
      </c>
      <c r="B233" s="131" t="str">
        <f aca="false">INDEX('Master Data'!$A$2:$B$8,MATCH(WEEKDAY('MM PLANT'!A233,3),'Master Data'!$A$2:$A$8,0),2)</f>
        <v>Th</v>
      </c>
      <c r="D233" s="124" t="n">
        <v>0</v>
      </c>
      <c r="E233" s="124" t="n">
        <v>0</v>
      </c>
      <c r="F233" s="124" t="n">
        <v>0</v>
      </c>
      <c r="G233" s="124" t="n">
        <v>83901</v>
      </c>
      <c r="I233" s="124" t="n">
        <f aca="false">IF(MONTH($A233)=MONTH($A232),IF(G233=0,I232,G233),G233)</f>
        <v>83901</v>
      </c>
      <c r="J233" s="124" t="n">
        <f aca="false">IF(MONTH($A233)=MONTH($A232),SUM(I233-I232),I233)</f>
        <v>5244</v>
      </c>
      <c r="K233" s="124" t="n">
        <f aca="false">IF(WEEKDAY(A233,3)&gt;4,0,(IF(A233&lt;K$2,0,IF(A233&lt;=K$3,1,0))))</f>
        <v>0</v>
      </c>
      <c r="L233" s="124" t="n">
        <f aca="false">J233*K233</f>
        <v>0</v>
      </c>
      <c r="M233" s="124" t="n">
        <f aca="false">SUM(J$188:J233)</f>
        <v>302226</v>
      </c>
      <c r="N233" s="124" t="n">
        <f aca="false">SUM(J$6:J233)</f>
        <v>387033.597187485</v>
      </c>
      <c r="P233" s="124" t="n">
        <f aca="false">D233/P$3</f>
        <v>0</v>
      </c>
      <c r="Q233" s="124" t="n">
        <f aca="false">E233/P$3</f>
        <v>0</v>
      </c>
      <c r="R233" s="124" t="n">
        <f aca="false">F233/R$3</f>
        <v>0</v>
      </c>
      <c r="S233" s="126" t="n">
        <f aca="false">J233/$R$3</f>
        <v>5.244</v>
      </c>
      <c r="T233" s="126" t="n">
        <f aca="false">L233/$R$3</f>
        <v>0</v>
      </c>
      <c r="U233" s="126" t="n">
        <f aca="false">I233/$R$3</f>
        <v>83.901</v>
      </c>
      <c r="V233" s="126" t="n">
        <f aca="false">M233/$R$3</f>
        <v>302.226</v>
      </c>
      <c r="W233" s="126" t="n">
        <f aca="false">N233/$R$3</f>
        <v>387.033597187485</v>
      </c>
    </row>
    <row r="234" customFormat="false" ht="12.75" hidden="true" customHeight="true" outlineLevel="0" collapsed="false">
      <c r="A234" s="120" t="n">
        <f aca="false">A233+1</f>
        <v>37120</v>
      </c>
      <c r="B234" s="131" t="str">
        <f aca="false">INDEX('Master Data'!$A$2:$B$8,MATCH(WEEKDAY('MM PLANT'!A234,3),'Master Data'!$A$2:$A$8,0),2)</f>
        <v>F</v>
      </c>
      <c r="D234" s="124" t="n">
        <v>0</v>
      </c>
      <c r="E234" s="124" t="n">
        <v>0</v>
      </c>
      <c r="F234" s="124" t="n">
        <v>0</v>
      </c>
      <c r="G234" s="124" t="n">
        <v>89145</v>
      </c>
      <c r="I234" s="124" t="n">
        <f aca="false">IF(MONTH($A234)=MONTH($A233),IF(G234=0,I233,G234),G234)</f>
        <v>89145</v>
      </c>
      <c r="J234" s="124" t="n">
        <f aca="false">IF(MONTH($A234)=MONTH($A233),SUM(I234-I233),I234)</f>
        <v>5244</v>
      </c>
      <c r="K234" s="124" t="n">
        <f aca="false">IF(WEEKDAY(A234,3)&gt;4,0,(IF(A234&lt;K$2,0,IF(A234&lt;=K$3,1,0))))</f>
        <v>0</v>
      </c>
      <c r="L234" s="124" t="n">
        <f aca="false">J234*K234</f>
        <v>0</v>
      </c>
      <c r="M234" s="124" t="n">
        <f aca="false">SUM(J$188:J234)</f>
        <v>307470</v>
      </c>
      <c r="N234" s="124" t="n">
        <f aca="false">SUM(J$6:J234)</f>
        <v>392277.597187485</v>
      </c>
      <c r="P234" s="124" t="n">
        <f aca="false">D234/P$3</f>
        <v>0</v>
      </c>
      <c r="Q234" s="124" t="n">
        <f aca="false">E234/P$3</f>
        <v>0</v>
      </c>
      <c r="R234" s="124" t="n">
        <f aca="false">F234/R$3</f>
        <v>0</v>
      </c>
      <c r="S234" s="126" t="n">
        <f aca="false">J234/$R$3</f>
        <v>5.244</v>
      </c>
      <c r="T234" s="126" t="n">
        <f aca="false">L234/$R$3</f>
        <v>0</v>
      </c>
      <c r="U234" s="126" t="n">
        <f aca="false">I234/$R$3</f>
        <v>89.145</v>
      </c>
      <c r="V234" s="126" t="n">
        <f aca="false">M234/$R$3</f>
        <v>307.47</v>
      </c>
      <c r="W234" s="126" t="n">
        <f aca="false">N234/$R$3</f>
        <v>392.277597187485</v>
      </c>
    </row>
    <row r="235" customFormat="false" ht="12.75" hidden="true" customHeight="true" outlineLevel="0" collapsed="false">
      <c r="A235" s="120" t="n">
        <f aca="false">A234+1</f>
        <v>37121</v>
      </c>
      <c r="B235" s="131" t="str">
        <f aca="false">INDEX('Master Data'!$A$2:$B$8,MATCH(WEEKDAY('MM PLANT'!A235,3),'Master Data'!$A$2:$A$8,0),2)</f>
        <v>Sa</v>
      </c>
      <c r="D235" s="124" t="n">
        <v>0</v>
      </c>
      <c r="E235" s="124" t="n">
        <v>0</v>
      </c>
      <c r="F235" s="124" t="n">
        <v>0</v>
      </c>
      <c r="G235" s="124" t="n">
        <v>0</v>
      </c>
      <c r="I235" s="124" t="n">
        <f aca="false">IF(MONTH($A235)=MONTH($A234),IF(G235=0,I234,G235),G235)</f>
        <v>89145</v>
      </c>
      <c r="J235" s="124" t="n">
        <f aca="false">IF(MONTH($A235)=MONTH($A234),SUM(I235-I234),I235)</f>
        <v>0</v>
      </c>
      <c r="K235" s="124" t="n">
        <f aca="false">IF(WEEKDAY(A235,3)&gt;4,0,(IF(A235&lt;K$2,0,IF(A235&lt;=K$3,1,0))))</f>
        <v>0</v>
      </c>
      <c r="L235" s="124" t="n">
        <f aca="false">J235*K235</f>
        <v>0</v>
      </c>
      <c r="M235" s="124" t="n">
        <f aca="false">SUM(J$188:J235)</f>
        <v>307470</v>
      </c>
      <c r="N235" s="124" t="n">
        <f aca="false">SUM(J$6:J235)</f>
        <v>392277.597187485</v>
      </c>
      <c r="P235" s="124" t="n">
        <f aca="false">D235/P$3</f>
        <v>0</v>
      </c>
      <c r="Q235" s="124" t="n">
        <f aca="false">E235/P$3</f>
        <v>0</v>
      </c>
      <c r="R235" s="124" t="n">
        <f aca="false">F235/R$3</f>
        <v>0</v>
      </c>
      <c r="S235" s="126" t="n">
        <f aca="false">J235/$R$3</f>
        <v>0</v>
      </c>
      <c r="T235" s="126" t="n">
        <f aca="false">L235/$R$3</f>
        <v>0</v>
      </c>
      <c r="U235" s="126" t="n">
        <f aca="false">I235/$R$3</f>
        <v>89.145</v>
      </c>
      <c r="V235" s="126" t="n">
        <f aca="false">M235/$R$3</f>
        <v>307.47</v>
      </c>
      <c r="W235" s="126" t="n">
        <f aca="false">N235/$R$3</f>
        <v>392.277597187485</v>
      </c>
    </row>
    <row r="236" customFormat="false" ht="12.75" hidden="true" customHeight="true" outlineLevel="0" collapsed="false">
      <c r="A236" s="120" t="n">
        <f aca="false">A235+1</f>
        <v>37122</v>
      </c>
      <c r="B236" s="131" t="str">
        <f aca="false">INDEX('Master Data'!$A$2:$B$8,MATCH(WEEKDAY('MM PLANT'!A236,3),'Master Data'!$A$2:$A$8,0),2)</f>
        <v>Su</v>
      </c>
      <c r="D236" s="124" t="n">
        <v>0</v>
      </c>
      <c r="E236" s="124" t="n">
        <v>0</v>
      </c>
      <c r="F236" s="124" t="n">
        <v>0</v>
      </c>
      <c r="G236" s="124" t="n">
        <v>0</v>
      </c>
      <c r="I236" s="124" t="n">
        <f aca="false">IF(MONTH($A236)=MONTH($A235),IF(G236=0,I235,G236),G236)</f>
        <v>89145</v>
      </c>
      <c r="J236" s="124" t="n">
        <f aca="false">IF(MONTH($A236)=MONTH($A235),SUM(I236-I235),I236)</f>
        <v>0</v>
      </c>
      <c r="K236" s="124" t="n">
        <f aca="false">IF(WEEKDAY(A236,3)&gt;4,0,(IF(A236&lt;K$2,0,IF(A236&lt;=K$3,1,0))))</f>
        <v>0</v>
      </c>
      <c r="L236" s="124" t="n">
        <f aca="false">J236*K236</f>
        <v>0</v>
      </c>
      <c r="M236" s="124" t="n">
        <f aca="false">SUM(J$188:J236)</f>
        <v>307470</v>
      </c>
      <c r="N236" s="124" t="n">
        <f aca="false">SUM(J$6:J236)</f>
        <v>392277.597187485</v>
      </c>
      <c r="P236" s="124" t="n">
        <f aca="false">D236/P$3</f>
        <v>0</v>
      </c>
      <c r="Q236" s="124" t="n">
        <f aca="false">E236/P$3</f>
        <v>0</v>
      </c>
      <c r="R236" s="124" t="n">
        <f aca="false">F236/R$3</f>
        <v>0</v>
      </c>
      <c r="S236" s="126" t="n">
        <f aca="false">J236/$R$3</f>
        <v>0</v>
      </c>
      <c r="T236" s="126" t="n">
        <f aca="false">L236/$R$3</f>
        <v>0</v>
      </c>
      <c r="U236" s="126" t="n">
        <f aca="false">I236/$R$3</f>
        <v>89.145</v>
      </c>
      <c r="V236" s="126" t="n">
        <f aca="false">M236/$R$3</f>
        <v>307.47</v>
      </c>
      <c r="W236" s="126" t="n">
        <f aca="false">N236/$R$3</f>
        <v>392.277597187485</v>
      </c>
    </row>
    <row r="237" customFormat="false" ht="12.75" hidden="true" customHeight="true" outlineLevel="0" collapsed="false">
      <c r="A237" s="120" t="n">
        <f aca="false">A236+1</f>
        <v>37123</v>
      </c>
      <c r="B237" s="131" t="str">
        <f aca="false">INDEX('Master Data'!$A$2:$B$8,MATCH(WEEKDAY('MM PLANT'!A237,3),'Master Data'!$A$2:$A$8,0),2)</f>
        <v>M</v>
      </c>
      <c r="D237" s="124" t="n">
        <v>0</v>
      </c>
      <c r="E237" s="124" t="n">
        <v>0</v>
      </c>
      <c r="F237" s="124" t="n">
        <v>0</v>
      </c>
      <c r="G237" s="124" t="n">
        <v>104876</v>
      </c>
      <c r="I237" s="124" t="n">
        <f aca="false">IF(MONTH($A237)=MONTH($A236),IF(G237=0,I236,G237),G237)</f>
        <v>104876</v>
      </c>
      <c r="J237" s="124" t="n">
        <f aca="false">IF(MONTH($A237)=MONTH($A236),SUM(I237-I236),I237)</f>
        <v>15731</v>
      </c>
      <c r="K237" s="124" t="n">
        <f aca="false">IF(WEEKDAY(A237,3)&gt;4,0,(IF(A237&lt;K$2,0,IF(A237&lt;=K$3,1,0))))</f>
        <v>0</v>
      </c>
      <c r="L237" s="124" t="n">
        <f aca="false">J237*K237</f>
        <v>0</v>
      </c>
      <c r="M237" s="124" t="n">
        <f aca="false">SUM(J$188:J237)</f>
        <v>323201</v>
      </c>
      <c r="N237" s="124" t="n">
        <f aca="false">SUM(J$6:J237)</f>
        <v>408008.597187485</v>
      </c>
      <c r="P237" s="124" t="n">
        <f aca="false">D237/P$3</f>
        <v>0</v>
      </c>
      <c r="Q237" s="124" t="n">
        <f aca="false">E237/P$3</f>
        <v>0</v>
      </c>
      <c r="R237" s="124" t="n">
        <f aca="false">F237/R$3</f>
        <v>0</v>
      </c>
      <c r="S237" s="126" t="n">
        <f aca="false">J237/$R$3</f>
        <v>15.731</v>
      </c>
      <c r="T237" s="126" t="n">
        <f aca="false">L237/$R$3</f>
        <v>0</v>
      </c>
      <c r="U237" s="126" t="n">
        <f aca="false">I237/$R$3</f>
        <v>104.876</v>
      </c>
      <c r="V237" s="126" t="n">
        <f aca="false">M237/$R$3</f>
        <v>323.201</v>
      </c>
      <c r="W237" s="126" t="n">
        <f aca="false">N237/$R$3</f>
        <v>408.008597187485</v>
      </c>
    </row>
    <row r="238" customFormat="false" ht="12.75" hidden="true" customHeight="true" outlineLevel="0" collapsed="false">
      <c r="A238" s="120" t="n">
        <f aca="false">A237+1</f>
        <v>37124</v>
      </c>
      <c r="B238" s="131" t="str">
        <f aca="false">INDEX('Master Data'!$A$2:$B$8,MATCH(WEEKDAY('MM PLANT'!A238,3),'Master Data'!$A$2:$A$8,0),2)</f>
        <v>T</v>
      </c>
      <c r="D238" s="124" t="n">
        <v>0</v>
      </c>
      <c r="E238" s="124" t="n">
        <v>0</v>
      </c>
      <c r="F238" s="124" t="n">
        <v>0</v>
      </c>
      <c r="G238" s="124" t="n">
        <v>110120</v>
      </c>
      <c r="I238" s="124" t="n">
        <f aca="false">IF(MONTH($A238)=MONTH($A237),IF(G238=0,I237,G238),G238)</f>
        <v>110120</v>
      </c>
      <c r="J238" s="124" t="n">
        <f aca="false">IF(MONTH($A238)=MONTH($A237),SUM(I238-I237),I238)</f>
        <v>5244</v>
      </c>
      <c r="K238" s="124" t="n">
        <f aca="false">IF(WEEKDAY(A238,3)&gt;4,0,(IF(A238&lt;K$2,0,IF(A238&lt;=K$3,1,0))))</f>
        <v>0</v>
      </c>
      <c r="L238" s="124" t="n">
        <f aca="false">J238*K238</f>
        <v>0</v>
      </c>
      <c r="M238" s="124" t="n">
        <f aca="false">SUM(J$188:J238)</f>
        <v>328445</v>
      </c>
      <c r="N238" s="124" t="n">
        <f aca="false">SUM(J$6:J238)</f>
        <v>413252.597187485</v>
      </c>
      <c r="P238" s="124" t="n">
        <f aca="false">D238/P$3</f>
        <v>0</v>
      </c>
      <c r="Q238" s="124" t="n">
        <f aca="false">E238/P$3</f>
        <v>0</v>
      </c>
      <c r="R238" s="124" t="n">
        <f aca="false">F238/R$3</f>
        <v>0</v>
      </c>
      <c r="S238" s="126" t="n">
        <f aca="false">J238/$R$3</f>
        <v>5.244</v>
      </c>
      <c r="T238" s="126" t="n">
        <f aca="false">L238/$R$3</f>
        <v>0</v>
      </c>
      <c r="U238" s="126" t="n">
        <f aca="false">I238/$R$3</f>
        <v>110.12</v>
      </c>
      <c r="V238" s="126" t="n">
        <f aca="false">M238/$R$3</f>
        <v>328.445</v>
      </c>
      <c r="W238" s="126" t="n">
        <f aca="false">N238/$R$3</f>
        <v>413.252597187485</v>
      </c>
    </row>
    <row r="239" customFormat="false" ht="12.75" hidden="true" customHeight="false" outlineLevel="0" collapsed="false">
      <c r="A239" s="120" t="n">
        <f aca="false">A238+1</f>
        <v>37125</v>
      </c>
      <c r="B239" s="131" t="str">
        <f aca="false">INDEX('Master Data'!$A$2:$B$8,MATCH(WEEKDAY('MM PLANT'!A239,3),'Master Data'!$A$2:$A$8,0),2)</f>
        <v>W</v>
      </c>
      <c r="D239" s="124" t="n">
        <v>0</v>
      </c>
      <c r="E239" s="124" t="n">
        <v>0</v>
      </c>
      <c r="F239" s="124" t="n">
        <v>0</v>
      </c>
      <c r="G239" s="124" t="n">
        <f aca="false">55812</f>
        <v>55812</v>
      </c>
      <c r="I239" s="124" t="n">
        <f aca="false">IF(MONTH($A239)=MONTH($A238),IF(G239=0,I238,G239),G239)</f>
        <v>55812</v>
      </c>
      <c r="J239" s="124" t="n">
        <f aca="false">IF(MONTH($A239)=MONTH($A238),SUM(I239-I238),I239)</f>
        <v>-54308</v>
      </c>
      <c r="K239" s="124" t="n">
        <f aca="false">IF(WEEKDAY(A239,3)&gt;4,0,(IF(A239&lt;K$2,0,IF(A239&lt;=K$3,1,0))))</f>
        <v>0</v>
      </c>
      <c r="L239" s="124" t="n">
        <f aca="false">J239*K239</f>
        <v>-0</v>
      </c>
      <c r="M239" s="124" t="n">
        <f aca="false">SUM(J$188:J239)</f>
        <v>274137</v>
      </c>
      <c r="N239" s="124" t="n">
        <f aca="false">SUM(J$6:J239)</f>
        <v>358944.597187485</v>
      </c>
      <c r="P239" s="124" t="n">
        <f aca="false">D239/P$3</f>
        <v>0</v>
      </c>
      <c r="Q239" s="124" t="n">
        <f aca="false">E239/P$3</f>
        <v>0</v>
      </c>
      <c r="R239" s="124" t="n">
        <f aca="false">F239/R$3</f>
        <v>0</v>
      </c>
      <c r="S239" s="126" t="n">
        <f aca="false">J239/$R$3</f>
        <v>-54.308</v>
      </c>
      <c r="T239" s="126" t="n">
        <f aca="false">L239/$R$3</f>
        <v>-0</v>
      </c>
      <c r="U239" s="126" t="n">
        <f aca="false">I239/$R$3</f>
        <v>55.812</v>
      </c>
      <c r="V239" s="126" t="n">
        <f aca="false">M239/$R$3</f>
        <v>274.137</v>
      </c>
      <c r="W239" s="126" t="n">
        <f aca="false">N239/$R$3</f>
        <v>358.944597187485</v>
      </c>
    </row>
    <row r="240" customFormat="false" ht="12.75" hidden="true" customHeight="false" outlineLevel="0" collapsed="false">
      <c r="A240" s="120" t="n">
        <f aca="false">A239+1</f>
        <v>37126</v>
      </c>
      <c r="B240" s="131" t="str">
        <f aca="false">INDEX('Master Data'!$A$2:$B$8,MATCH(WEEKDAY('MM PLANT'!A240,3),'Master Data'!$A$2:$A$8,0),2)</f>
        <v>Th</v>
      </c>
      <c r="D240" s="124" t="n">
        <v>0</v>
      </c>
      <c r="E240" s="124" t="n">
        <v>0</v>
      </c>
      <c r="F240" s="124" t="n">
        <v>0</v>
      </c>
      <c r="G240" s="124" t="n">
        <f aca="false">61056</f>
        <v>61056</v>
      </c>
      <c r="I240" s="124" t="n">
        <f aca="false">IF(MONTH($A240)=MONTH($A239),IF(G240=0,I239,G240),G240)</f>
        <v>61056</v>
      </c>
      <c r="J240" s="124" t="n">
        <f aca="false">IF(MONTH($A240)=MONTH($A239),SUM(I240-I239),I240)</f>
        <v>5244</v>
      </c>
      <c r="K240" s="124" t="n">
        <f aca="false">IF(WEEKDAY(A240,3)&gt;4,0,(IF(A240&lt;K$2,0,IF(A240&lt;=K$3,1,0))))</f>
        <v>0</v>
      </c>
      <c r="L240" s="124" t="n">
        <f aca="false">J240*K240</f>
        <v>0</v>
      </c>
      <c r="M240" s="124" t="n">
        <f aca="false">SUM(J$188:J240)</f>
        <v>279381</v>
      </c>
      <c r="N240" s="124" t="n">
        <f aca="false">SUM(J$6:J240)</f>
        <v>364188.597187485</v>
      </c>
      <c r="P240" s="124" t="n">
        <f aca="false">D240/P$3</f>
        <v>0</v>
      </c>
      <c r="Q240" s="124" t="n">
        <f aca="false">E240/P$3</f>
        <v>0</v>
      </c>
      <c r="R240" s="124" t="n">
        <f aca="false">F240/R$3</f>
        <v>0</v>
      </c>
      <c r="S240" s="126" t="n">
        <f aca="false">J240/$R$3</f>
        <v>5.244</v>
      </c>
      <c r="T240" s="126" t="n">
        <f aca="false">L240/$R$3</f>
        <v>0</v>
      </c>
      <c r="U240" s="126" t="n">
        <f aca="false">I240/$R$3</f>
        <v>61.056</v>
      </c>
      <c r="V240" s="126" t="n">
        <f aca="false">M240/$R$3</f>
        <v>279.381</v>
      </c>
      <c r="W240" s="126" t="n">
        <f aca="false">N240/$R$3</f>
        <v>364.188597187485</v>
      </c>
    </row>
    <row r="241" customFormat="false" ht="12.75" hidden="true" customHeight="false" outlineLevel="0" collapsed="false">
      <c r="A241" s="120" t="n">
        <f aca="false">A240+1</f>
        <v>37127</v>
      </c>
      <c r="B241" s="131" t="str">
        <f aca="false">INDEX('Master Data'!$A$2:$B$8,MATCH(WEEKDAY('MM PLANT'!A241,3),'Master Data'!$A$2:$A$8,0),2)</f>
        <v>F</v>
      </c>
      <c r="D241" s="124" t="n">
        <v>0</v>
      </c>
      <c r="E241" s="124" t="n">
        <v>0</v>
      </c>
      <c r="F241" s="124" t="n">
        <v>0</v>
      </c>
      <c r="G241" s="124" t="n">
        <f aca="false">66299</f>
        <v>66299</v>
      </c>
      <c r="I241" s="124" t="n">
        <f aca="false">IF(MONTH($A241)=MONTH($A240),IF(G241=0,I240,G241),G241)</f>
        <v>66299</v>
      </c>
      <c r="J241" s="124" t="n">
        <f aca="false">IF(MONTH($A241)=MONTH($A240),SUM(I241-I240),I241)</f>
        <v>5243</v>
      </c>
      <c r="K241" s="124" t="n">
        <f aca="false">IF(WEEKDAY(A241,3)&gt;4,0,(IF(A241&lt;K$2,0,IF(A241&lt;=K$3,1,0))))</f>
        <v>0</v>
      </c>
      <c r="L241" s="124" t="n">
        <f aca="false">J241*K241</f>
        <v>0</v>
      </c>
      <c r="M241" s="124" t="n">
        <f aca="false">SUM(J$188:J241)</f>
        <v>284624</v>
      </c>
      <c r="N241" s="124" t="n">
        <f aca="false">SUM(J$6:J241)</f>
        <v>369431.597187485</v>
      </c>
      <c r="P241" s="124" t="n">
        <f aca="false">D241/P$3</f>
        <v>0</v>
      </c>
      <c r="Q241" s="124" t="n">
        <f aca="false">E241/P$3</f>
        <v>0</v>
      </c>
      <c r="R241" s="124" t="n">
        <f aca="false">F241/R$3</f>
        <v>0</v>
      </c>
      <c r="S241" s="126" t="n">
        <f aca="false">J241/$R$3</f>
        <v>5.243</v>
      </c>
      <c r="T241" s="126" t="n">
        <f aca="false">L241/$R$3</f>
        <v>0</v>
      </c>
      <c r="U241" s="126" t="n">
        <f aca="false">I241/$R$3</f>
        <v>66.299</v>
      </c>
      <c r="V241" s="126" t="n">
        <f aca="false">M241/$R$3</f>
        <v>284.624</v>
      </c>
      <c r="W241" s="126" t="n">
        <f aca="false">N241/$R$3</f>
        <v>369.431597187485</v>
      </c>
    </row>
    <row r="242" customFormat="false" ht="12.75" hidden="true" customHeight="false" outlineLevel="0" collapsed="false">
      <c r="A242" s="120" t="n">
        <f aca="false">A241+1</f>
        <v>37128</v>
      </c>
      <c r="B242" s="131" t="str">
        <f aca="false">INDEX('Master Data'!$A$2:$B$8,MATCH(WEEKDAY('MM PLANT'!A242,3),'Master Data'!$A$2:$A$8,0),2)</f>
        <v>Sa</v>
      </c>
      <c r="D242" s="124" t="n">
        <v>0</v>
      </c>
      <c r="E242" s="124" t="n">
        <v>0</v>
      </c>
      <c r="F242" s="124" t="n">
        <v>0</v>
      </c>
      <c r="G242" s="124" t="n">
        <v>0</v>
      </c>
      <c r="I242" s="124" t="n">
        <f aca="false">IF(MONTH($A242)=MONTH($A241),IF(G242=0,I241,G242),G242)</f>
        <v>66299</v>
      </c>
      <c r="J242" s="124" t="n">
        <f aca="false">IF(MONTH($A242)=MONTH($A241),SUM(I242-I241),I242)</f>
        <v>0</v>
      </c>
      <c r="K242" s="124" t="n">
        <f aca="false">IF(WEEKDAY(A242,3)&gt;4,0,(IF(A242&lt;K$2,0,IF(A242&lt;=K$3,1,0))))</f>
        <v>0</v>
      </c>
      <c r="L242" s="124" t="n">
        <f aca="false">J242*K242</f>
        <v>0</v>
      </c>
      <c r="M242" s="124" t="n">
        <f aca="false">SUM(J$188:J242)</f>
        <v>284624</v>
      </c>
      <c r="N242" s="124" t="n">
        <f aca="false">SUM(J$6:J242)</f>
        <v>369431.597187485</v>
      </c>
      <c r="P242" s="124" t="n">
        <f aca="false">D242/P$3</f>
        <v>0</v>
      </c>
      <c r="Q242" s="124" t="n">
        <f aca="false">E242/P$3</f>
        <v>0</v>
      </c>
      <c r="R242" s="124" t="n">
        <f aca="false">F242/R$3</f>
        <v>0</v>
      </c>
      <c r="S242" s="126" t="n">
        <f aca="false">J242/$R$3</f>
        <v>0</v>
      </c>
      <c r="T242" s="126" t="n">
        <f aca="false">L242/$R$3</f>
        <v>0</v>
      </c>
      <c r="U242" s="126" t="n">
        <f aca="false">I242/$R$3</f>
        <v>66.299</v>
      </c>
      <c r="V242" s="126" t="n">
        <f aca="false">M242/$R$3</f>
        <v>284.624</v>
      </c>
      <c r="W242" s="126" t="n">
        <f aca="false">N242/$R$3</f>
        <v>369.431597187485</v>
      </c>
    </row>
    <row r="243" customFormat="false" ht="12.75" hidden="true" customHeight="false" outlineLevel="0" collapsed="false">
      <c r="A243" s="120" t="n">
        <f aca="false">A242+1</f>
        <v>37129</v>
      </c>
      <c r="B243" s="131" t="str">
        <f aca="false">INDEX('Master Data'!$A$2:$B$8,MATCH(WEEKDAY('MM PLANT'!A243,3),'Master Data'!$A$2:$A$8,0),2)</f>
        <v>Su</v>
      </c>
      <c r="D243" s="124" t="n">
        <v>0</v>
      </c>
      <c r="E243" s="124" t="n">
        <v>0</v>
      </c>
      <c r="F243" s="124" t="n">
        <v>0</v>
      </c>
      <c r="G243" s="124" t="n">
        <v>0</v>
      </c>
      <c r="I243" s="124" t="n">
        <f aca="false">IF(MONTH($A243)=MONTH($A242),IF(G243=0,I242,G243),G243)</f>
        <v>66299</v>
      </c>
      <c r="J243" s="124" t="n">
        <f aca="false">IF(MONTH($A243)=MONTH($A242),SUM(I243-I242),I243)</f>
        <v>0</v>
      </c>
      <c r="K243" s="124" t="n">
        <f aca="false">IF(WEEKDAY(A243,3)&gt;4,0,(IF(A243&lt;K$2,0,IF(A243&lt;=K$3,1,0))))</f>
        <v>0</v>
      </c>
      <c r="L243" s="124" t="n">
        <f aca="false">J243*K243</f>
        <v>0</v>
      </c>
      <c r="M243" s="124" t="n">
        <f aca="false">SUM(J$188:J243)</f>
        <v>284624</v>
      </c>
      <c r="N243" s="124" t="n">
        <f aca="false">SUM(J$6:J243)</f>
        <v>369431.597187485</v>
      </c>
      <c r="P243" s="124" t="n">
        <f aca="false">D243/P$3</f>
        <v>0</v>
      </c>
      <c r="Q243" s="124" t="n">
        <f aca="false">E243/P$3</f>
        <v>0</v>
      </c>
      <c r="R243" s="124" t="n">
        <f aca="false">F243/R$3</f>
        <v>0</v>
      </c>
      <c r="S243" s="126" t="n">
        <f aca="false">J243/$R$3</f>
        <v>0</v>
      </c>
      <c r="T243" s="126" t="n">
        <f aca="false">L243/$R$3</f>
        <v>0</v>
      </c>
      <c r="U243" s="126" t="n">
        <f aca="false">I243/$R$3</f>
        <v>66.299</v>
      </c>
      <c r="V243" s="126" t="n">
        <f aca="false">M243/$R$3</f>
        <v>284.624</v>
      </c>
      <c r="W243" s="126" t="n">
        <f aca="false">N243/$R$3</f>
        <v>369.431597187485</v>
      </c>
    </row>
    <row r="244" customFormat="false" ht="12.75" hidden="true" customHeight="false" outlineLevel="0" collapsed="false">
      <c r="A244" s="120" t="n">
        <f aca="false">A243+1</f>
        <v>37130</v>
      </c>
      <c r="B244" s="131" t="str">
        <f aca="false">INDEX('Master Data'!$A$2:$B$8,MATCH(WEEKDAY('MM PLANT'!A244,3),'Master Data'!$A$2:$A$8,0),2)</f>
        <v>M</v>
      </c>
      <c r="D244" s="124" t="n">
        <v>0</v>
      </c>
      <c r="E244" s="124" t="n">
        <v>0</v>
      </c>
      <c r="F244" s="124" t="n">
        <v>0</v>
      </c>
      <c r="G244" s="124" t="n">
        <f aca="false">82031</f>
        <v>82031</v>
      </c>
      <c r="I244" s="124" t="n">
        <f aca="false">IF(MONTH($A244)=MONTH($A243),IF(G244=0,I243,G244),G244)</f>
        <v>82031</v>
      </c>
      <c r="J244" s="124" t="n">
        <f aca="false">IF(MONTH($A244)=MONTH($A243),SUM(I244-I243),I244)</f>
        <v>15732</v>
      </c>
      <c r="K244" s="124" t="n">
        <f aca="false">IF(WEEKDAY(A244,3)&gt;4,0,(IF(A244&lt;K$2,0,IF(A244&lt;=K$3,1,0))))</f>
        <v>0</v>
      </c>
      <c r="L244" s="124" t="n">
        <f aca="false">J244*K244</f>
        <v>0</v>
      </c>
      <c r="M244" s="124" t="n">
        <f aca="false">SUM(J$188:J244)</f>
        <v>300356</v>
      </c>
      <c r="N244" s="124" t="n">
        <f aca="false">SUM(J$6:J244)</f>
        <v>385163.597187485</v>
      </c>
      <c r="P244" s="124" t="n">
        <f aca="false">D244/P$3</f>
        <v>0</v>
      </c>
      <c r="Q244" s="124" t="n">
        <f aca="false">E244/P$3</f>
        <v>0</v>
      </c>
      <c r="R244" s="124" t="n">
        <f aca="false">F244/R$3</f>
        <v>0</v>
      </c>
      <c r="S244" s="126" t="n">
        <f aca="false">J244/$R$3</f>
        <v>15.732</v>
      </c>
      <c r="T244" s="126" t="n">
        <f aca="false">L244/$R$3</f>
        <v>0</v>
      </c>
      <c r="U244" s="126" t="n">
        <f aca="false">I244/$R$3</f>
        <v>82.031</v>
      </c>
      <c r="V244" s="126" t="n">
        <f aca="false">M244/$R$3</f>
        <v>300.356</v>
      </c>
      <c r="W244" s="126" t="n">
        <f aca="false">N244/$R$3</f>
        <v>385.163597187485</v>
      </c>
    </row>
    <row r="245" customFormat="false" ht="12.75" hidden="true" customHeight="false" outlineLevel="0" collapsed="false">
      <c r="A245" s="120" t="n">
        <f aca="false">A244+1</f>
        <v>37131</v>
      </c>
      <c r="B245" s="131" t="str">
        <f aca="false">INDEX('Master Data'!$A$2:$B$8,MATCH(WEEKDAY('MM PLANT'!A245,3),'Master Data'!$A$2:$A$8,0),2)</f>
        <v>T</v>
      </c>
      <c r="D245" s="124" t="n">
        <v>0</v>
      </c>
      <c r="E245" s="124" t="n">
        <v>0</v>
      </c>
      <c r="F245" s="124" t="n">
        <v>0</v>
      </c>
      <c r="G245" s="124" t="n">
        <f aca="false">87275</f>
        <v>87275</v>
      </c>
      <c r="I245" s="124" t="n">
        <f aca="false">IF(MONTH($A245)=MONTH($A244),IF(G245=0,I244,G245),G245)</f>
        <v>87275</v>
      </c>
      <c r="J245" s="124" t="n">
        <f aca="false">IF(MONTH($A245)=MONTH($A244),SUM(I245-I244),I245)</f>
        <v>5244</v>
      </c>
      <c r="K245" s="124" t="n">
        <f aca="false">IF(WEEKDAY(A245,3)&gt;4,0,(IF(A245&lt;K$2,0,IF(A245&lt;=K$3,1,0))))</f>
        <v>0</v>
      </c>
      <c r="L245" s="124" t="n">
        <f aca="false">J245*K245</f>
        <v>0</v>
      </c>
      <c r="M245" s="124" t="n">
        <f aca="false">SUM(J$188:J245)</f>
        <v>305600</v>
      </c>
      <c r="N245" s="124" t="n">
        <f aca="false">SUM(J$6:J245)</f>
        <v>390407.597187485</v>
      </c>
      <c r="P245" s="124" t="n">
        <f aca="false">D245/P$3</f>
        <v>0</v>
      </c>
      <c r="Q245" s="124" t="n">
        <f aca="false">E245/P$3</f>
        <v>0</v>
      </c>
      <c r="R245" s="124" t="n">
        <f aca="false">F245/R$3</f>
        <v>0</v>
      </c>
      <c r="S245" s="126" t="n">
        <f aca="false">J245/$R$3</f>
        <v>5.244</v>
      </c>
      <c r="T245" s="126" t="n">
        <f aca="false">L245/$R$3</f>
        <v>0</v>
      </c>
      <c r="U245" s="126" t="n">
        <f aca="false">I245/$R$3</f>
        <v>87.275</v>
      </c>
      <c r="V245" s="126" t="n">
        <f aca="false">M245/$R$3</f>
        <v>305.6</v>
      </c>
      <c r="W245" s="126" t="n">
        <f aca="false">N245/$R$3</f>
        <v>390.407597187485</v>
      </c>
    </row>
    <row r="246" customFormat="false" ht="12.75" hidden="true" customHeight="false" outlineLevel="0" collapsed="false">
      <c r="A246" s="120" t="n">
        <f aca="false">A245+1</f>
        <v>37132</v>
      </c>
      <c r="B246" s="131" t="str">
        <f aca="false">INDEX('Master Data'!$A$2:$B$8,MATCH(WEEKDAY('MM PLANT'!A246,3),'Master Data'!$A$2:$A$8,0),2)</f>
        <v>W</v>
      </c>
      <c r="D246" s="124" t="n">
        <v>0</v>
      </c>
      <c r="E246" s="124" t="n">
        <v>0</v>
      </c>
      <c r="F246" s="124" t="n">
        <v>0</v>
      </c>
      <c r="G246" s="124" t="n">
        <f aca="false">92518</f>
        <v>92518</v>
      </c>
      <c r="I246" s="124" t="n">
        <f aca="false">IF(MONTH($A246)=MONTH($A245),IF(G246=0,I245,G246),G246)</f>
        <v>92518</v>
      </c>
      <c r="J246" s="124" t="n">
        <f aca="false">IF(MONTH($A246)=MONTH($A245),SUM(I246-I245),I246)</f>
        <v>5243</v>
      </c>
      <c r="K246" s="124" t="n">
        <f aca="false">IF(WEEKDAY(A246,3)&gt;4,0,(IF(A246&lt;K$2,0,IF(A246&lt;=K$3,1,0))))</f>
        <v>0</v>
      </c>
      <c r="L246" s="124" t="n">
        <f aca="false">J246*K246</f>
        <v>0</v>
      </c>
      <c r="M246" s="124" t="n">
        <f aca="false">SUM(J$188:J246)</f>
        <v>310843</v>
      </c>
      <c r="N246" s="124" t="n">
        <f aca="false">SUM(J$6:J246)</f>
        <v>395650.597187485</v>
      </c>
      <c r="P246" s="124" t="n">
        <f aca="false">D246/P$3</f>
        <v>0</v>
      </c>
      <c r="Q246" s="124" t="n">
        <f aca="false">E246/P$3</f>
        <v>0</v>
      </c>
      <c r="R246" s="124" t="n">
        <f aca="false">F246/R$3</f>
        <v>0</v>
      </c>
      <c r="S246" s="126" t="n">
        <f aca="false">J246/$R$3</f>
        <v>5.243</v>
      </c>
      <c r="T246" s="126" t="n">
        <f aca="false">L246/$R$3</f>
        <v>0</v>
      </c>
      <c r="U246" s="126" t="n">
        <f aca="false">I246/$R$3</f>
        <v>92.518</v>
      </c>
      <c r="V246" s="126" t="n">
        <f aca="false">M246/$R$3</f>
        <v>310.843</v>
      </c>
      <c r="W246" s="126" t="n">
        <f aca="false">N246/$R$3</f>
        <v>395.650597187485</v>
      </c>
    </row>
    <row r="247" customFormat="false" ht="12.75" hidden="true" customHeight="false" outlineLevel="0" collapsed="false">
      <c r="A247" s="120" t="n">
        <f aca="false">A246+1</f>
        <v>37133</v>
      </c>
      <c r="B247" s="131" t="str">
        <f aca="false">INDEX('Master Data'!$A$2:$B$8,MATCH(WEEKDAY('MM PLANT'!A247,3),'Master Data'!$A$2:$A$8,0),2)</f>
        <v>Th</v>
      </c>
      <c r="D247" s="124" t="n">
        <v>0</v>
      </c>
      <c r="E247" s="124" t="n">
        <v>0</v>
      </c>
      <c r="F247" s="124" t="n">
        <v>0</v>
      </c>
      <c r="G247" s="124" t="n">
        <f aca="false">97762</f>
        <v>97762</v>
      </c>
      <c r="I247" s="124" t="n">
        <f aca="false">IF(MONTH($A247)=MONTH($A246),IF(G247=0,I246,G247),G247)</f>
        <v>97762</v>
      </c>
      <c r="J247" s="124" t="n">
        <f aca="false">IF(MONTH($A247)=MONTH($A246),SUM(I247-I246),I247)</f>
        <v>5244</v>
      </c>
      <c r="K247" s="124" t="n">
        <f aca="false">IF(WEEKDAY(A247,3)&gt;4,0,(IF(A247&lt;K$2,0,IF(A247&lt;=K$3,1,0))))</f>
        <v>0</v>
      </c>
      <c r="L247" s="124" t="n">
        <f aca="false">J247*K247</f>
        <v>0</v>
      </c>
      <c r="M247" s="124" t="n">
        <f aca="false">SUM(J$188:J247)</f>
        <v>316087</v>
      </c>
      <c r="N247" s="124" t="n">
        <f aca="false">SUM(J$6:J247)</f>
        <v>400894.597187485</v>
      </c>
      <c r="P247" s="124" t="n">
        <f aca="false">D247/P$3</f>
        <v>0</v>
      </c>
      <c r="Q247" s="124" t="n">
        <f aca="false">E247/P$3</f>
        <v>0</v>
      </c>
      <c r="R247" s="124" t="n">
        <f aca="false">F247/R$3</f>
        <v>0</v>
      </c>
      <c r="S247" s="126" t="n">
        <f aca="false">J247/$R$3</f>
        <v>5.244</v>
      </c>
      <c r="T247" s="126" t="n">
        <f aca="false">L247/$R$3</f>
        <v>0</v>
      </c>
      <c r="U247" s="126" t="n">
        <f aca="false">I247/$R$3</f>
        <v>97.762</v>
      </c>
      <c r="V247" s="126" t="n">
        <f aca="false">M247/$R$3</f>
        <v>316.087</v>
      </c>
      <c r="W247" s="126" t="n">
        <f aca="false">N247/$R$3</f>
        <v>400.894597187485</v>
      </c>
    </row>
    <row r="248" customFormat="false" ht="12.75" hidden="false" customHeight="false" outlineLevel="0" collapsed="false">
      <c r="A248" s="120" t="n">
        <f aca="false">A247+1</f>
        <v>37134</v>
      </c>
      <c r="B248" s="131" t="str">
        <f aca="false">INDEX('Master Data'!$A$2:$B$8,MATCH(WEEKDAY('MM PLANT'!A248,3),'Master Data'!$A$2:$A$8,0),2)</f>
        <v>F</v>
      </c>
      <c r="D248" s="124" t="n">
        <v>0</v>
      </c>
      <c r="E248" s="124" t="n">
        <v>0</v>
      </c>
      <c r="F248" s="124" t="n">
        <v>0</v>
      </c>
      <c r="G248" s="124" t="n">
        <f aca="false">103006</f>
        <v>103006</v>
      </c>
      <c r="I248" s="124" t="n">
        <f aca="false">IF(MONTH($A248)=MONTH($A247),IF(G248=0,I247,G248),G248)</f>
        <v>103006</v>
      </c>
      <c r="J248" s="124" t="n">
        <f aca="false">IF(MONTH($A248)=MONTH($A247),SUM(I248-I247),I248)</f>
        <v>5244</v>
      </c>
      <c r="K248" s="124" t="n">
        <f aca="false">IF(WEEKDAY(A248,3)&gt;4,0,(IF(A248&lt;K$2,0,IF(A248&lt;=K$3,1,0))))</f>
        <v>0</v>
      </c>
      <c r="L248" s="124" t="n">
        <f aca="false">J248*K248</f>
        <v>0</v>
      </c>
      <c r="M248" s="124" t="n">
        <f aca="false">SUM(J$188:J248)</f>
        <v>321331</v>
      </c>
      <c r="N248" s="124" t="n">
        <f aca="false">SUM(J$6:J248)</f>
        <v>406138.597187485</v>
      </c>
      <c r="P248" s="124" t="n">
        <f aca="false">D248/P$3</f>
        <v>0</v>
      </c>
      <c r="Q248" s="124" t="n">
        <f aca="false">E248/P$3</f>
        <v>0</v>
      </c>
      <c r="R248" s="124" t="n">
        <f aca="false">F248/R$3</f>
        <v>0</v>
      </c>
      <c r="S248" s="126" t="n">
        <f aca="false">J248/$R$3</f>
        <v>5.244</v>
      </c>
      <c r="T248" s="126" t="n">
        <f aca="false">L248/$R$3</f>
        <v>0</v>
      </c>
      <c r="U248" s="126" t="n">
        <f aca="false">I248/$R$3</f>
        <v>103.006</v>
      </c>
      <c r="V248" s="126" t="n">
        <f aca="false">M248/$R$3</f>
        <v>321.331</v>
      </c>
      <c r="W248" s="126" t="n">
        <f aca="false">N248/$R$3</f>
        <v>406.138597187485</v>
      </c>
    </row>
    <row r="249" customFormat="false" ht="12.75" hidden="true" customHeight="false" outlineLevel="0" collapsed="false">
      <c r="A249" s="120" t="n">
        <f aca="false">A248+1</f>
        <v>37135</v>
      </c>
      <c r="B249" s="131" t="str">
        <f aca="false">INDEX('Master Data'!$A$2:$B$8,MATCH(WEEKDAY('MM PLANT'!A249,3),'Master Data'!$A$2:$A$8,0),2)</f>
        <v>Sa</v>
      </c>
      <c r="D249" s="124" t="n">
        <v>0</v>
      </c>
      <c r="E249" s="124" t="n">
        <v>0</v>
      </c>
      <c r="F249" s="124" t="n">
        <v>0</v>
      </c>
      <c r="G249" s="124" t="n">
        <v>0</v>
      </c>
      <c r="I249" s="124" t="n">
        <f aca="false">IF(MONTH($A249)=MONTH($A248),IF(G249=0,I248,G249),G249)</f>
        <v>0</v>
      </c>
      <c r="J249" s="124" t="n">
        <f aca="false">IF(MONTH($A249)=MONTH($A248),SUM(I249-I248),I249)</f>
        <v>0</v>
      </c>
      <c r="K249" s="124" t="n">
        <f aca="false">IF(WEEKDAY(A249,3)&gt;4,0,(IF(A249&lt;K$2,0,IF(A249&lt;=K$3,1,0))))</f>
        <v>0</v>
      </c>
      <c r="L249" s="124" t="n">
        <f aca="false">J249*K249</f>
        <v>0</v>
      </c>
      <c r="M249" s="124" t="n">
        <f aca="false">SUM(J$188:J249)</f>
        <v>321331</v>
      </c>
      <c r="N249" s="124" t="n">
        <f aca="false">SUM(J$6:J249)</f>
        <v>406138.597187485</v>
      </c>
      <c r="P249" s="124" t="n">
        <f aca="false">D249/P$3</f>
        <v>0</v>
      </c>
      <c r="Q249" s="124" t="n">
        <f aca="false">E249/P$3</f>
        <v>0</v>
      </c>
      <c r="R249" s="124" t="n">
        <f aca="false">F249/R$3</f>
        <v>0</v>
      </c>
      <c r="S249" s="126" t="n">
        <f aca="false">J249/$R$3</f>
        <v>0</v>
      </c>
      <c r="T249" s="126" t="n">
        <f aca="false">L249/$R$3</f>
        <v>0</v>
      </c>
      <c r="U249" s="126" t="n">
        <f aca="false">I249/$R$3</f>
        <v>0</v>
      </c>
      <c r="V249" s="126" t="n">
        <f aca="false">M249/$R$3</f>
        <v>321.331</v>
      </c>
      <c r="W249" s="126" t="n">
        <f aca="false">N249/$R$3</f>
        <v>406.138597187485</v>
      </c>
    </row>
    <row r="250" customFormat="false" ht="12.75" hidden="true" customHeight="false" outlineLevel="0" collapsed="false">
      <c r="A250" s="120" t="n">
        <f aca="false">A249+1</f>
        <v>37136</v>
      </c>
      <c r="B250" s="131" t="str">
        <f aca="false">INDEX('Master Data'!$A$2:$B$8,MATCH(WEEKDAY('MM PLANT'!A250,3),'Master Data'!$A$2:$A$8,0),2)</f>
        <v>Su</v>
      </c>
      <c r="D250" s="124" t="n">
        <v>0</v>
      </c>
      <c r="E250" s="124" t="n">
        <v>0</v>
      </c>
      <c r="F250" s="124" t="n">
        <v>0</v>
      </c>
      <c r="G250" s="124" t="n">
        <v>0</v>
      </c>
      <c r="I250" s="124" t="n">
        <f aca="false">IF(MONTH($A250)=MONTH($A249),IF(G250=0,I249,G250),G250)</f>
        <v>0</v>
      </c>
      <c r="J250" s="124" t="n">
        <f aca="false">IF(MONTH($A250)=MONTH($A249),SUM(I250-I249),I250)</f>
        <v>0</v>
      </c>
      <c r="K250" s="124" t="n">
        <f aca="false">IF(WEEKDAY(A250,3)&gt;4,0,(IF(A250&lt;K$2,0,IF(A250&lt;=K$3,1,0))))</f>
        <v>0</v>
      </c>
      <c r="L250" s="124" t="n">
        <f aca="false">J250*K250</f>
        <v>0</v>
      </c>
      <c r="M250" s="124" t="n">
        <f aca="false">SUM(J$188:J250)</f>
        <v>321331</v>
      </c>
      <c r="N250" s="124" t="n">
        <f aca="false">SUM(J$6:J250)</f>
        <v>406138.597187485</v>
      </c>
      <c r="P250" s="124" t="n">
        <f aca="false">D250/P$3</f>
        <v>0</v>
      </c>
      <c r="Q250" s="124" t="n">
        <f aca="false">E250/P$3</f>
        <v>0</v>
      </c>
      <c r="R250" s="124" t="n">
        <f aca="false">F250/R$3</f>
        <v>0</v>
      </c>
      <c r="S250" s="126" t="n">
        <f aca="false">J250/$R$3</f>
        <v>0</v>
      </c>
      <c r="T250" s="126" t="n">
        <f aca="false">L250/$R$3</f>
        <v>0</v>
      </c>
      <c r="U250" s="126" t="n">
        <f aca="false">I250/$R$3</f>
        <v>0</v>
      </c>
      <c r="V250" s="126" t="n">
        <f aca="false">M250/$R$3</f>
        <v>321.331</v>
      </c>
      <c r="W250" s="126" t="n">
        <f aca="false">N250/$R$3</f>
        <v>406.138597187485</v>
      </c>
    </row>
    <row r="251" customFormat="false" ht="12.75" hidden="true" customHeight="false" outlineLevel="0" collapsed="false">
      <c r="A251" s="120" t="n">
        <f aca="false">A250+1</f>
        <v>37137</v>
      </c>
      <c r="B251" s="131" t="str">
        <f aca="false">INDEX('Master Data'!$A$2:$B$8,MATCH(WEEKDAY('MM PLANT'!A251,3),'Master Data'!$A$2:$A$8,0),2)</f>
        <v>M</v>
      </c>
      <c r="D251" s="124" t="n">
        <v>0</v>
      </c>
      <c r="E251" s="124" t="n">
        <v>0</v>
      </c>
      <c r="F251" s="124" t="n">
        <v>0</v>
      </c>
      <c r="G251" s="124" t="n">
        <v>0</v>
      </c>
      <c r="I251" s="124" t="n">
        <f aca="false">IF(MONTH($A251)=MONTH($A250),IF(G251=0,I250,G251),G251)</f>
        <v>0</v>
      </c>
      <c r="J251" s="124" t="n">
        <f aca="false">IF(MONTH($A251)=MONTH($A250),SUM(I251-I250),I251)</f>
        <v>0</v>
      </c>
      <c r="K251" s="124" t="n">
        <f aca="false">IF(WEEKDAY(A251,3)&gt;4,0,(IF(A251&lt;K$2,0,IF(A251&lt;=K$3,1,0))))</f>
        <v>0</v>
      </c>
      <c r="L251" s="124" t="n">
        <f aca="false">J251*K251</f>
        <v>0</v>
      </c>
      <c r="M251" s="124" t="n">
        <f aca="false">SUM(J$188:J251)</f>
        <v>321331</v>
      </c>
      <c r="N251" s="124" t="n">
        <f aca="false">SUM(J$6:J251)</f>
        <v>406138.597187485</v>
      </c>
      <c r="P251" s="124" t="n">
        <f aca="false">D251/P$3</f>
        <v>0</v>
      </c>
      <c r="Q251" s="124" t="n">
        <f aca="false">E251/P$3</f>
        <v>0</v>
      </c>
      <c r="R251" s="124" t="n">
        <f aca="false">F251/R$3</f>
        <v>0</v>
      </c>
      <c r="S251" s="126" t="n">
        <f aca="false">J251/$R$3</f>
        <v>0</v>
      </c>
      <c r="T251" s="126" t="n">
        <f aca="false">L251/$R$3</f>
        <v>0</v>
      </c>
      <c r="U251" s="126" t="n">
        <f aca="false">I251/$R$3</f>
        <v>0</v>
      </c>
      <c r="V251" s="126" t="n">
        <f aca="false">M251/$R$3</f>
        <v>321.331</v>
      </c>
      <c r="W251" s="126" t="n">
        <f aca="false">N251/$R$3</f>
        <v>406.138597187485</v>
      </c>
    </row>
    <row r="252" customFormat="false" ht="12.75" hidden="true" customHeight="false" outlineLevel="0" collapsed="false">
      <c r="A252" s="120" t="n">
        <f aca="false">A251+1</f>
        <v>37138</v>
      </c>
      <c r="B252" s="131" t="str">
        <f aca="false">INDEX('Master Data'!$A$2:$B$8,MATCH(WEEKDAY('MM PLANT'!A252,3),'Master Data'!$A$2:$A$8,0),2)</f>
        <v>T</v>
      </c>
      <c r="D252" s="124" t="n">
        <v>0</v>
      </c>
      <c r="E252" s="124" t="n">
        <v>0</v>
      </c>
      <c r="F252" s="124" t="n">
        <v>0</v>
      </c>
      <c r="G252" s="124" t="n">
        <v>-12521</v>
      </c>
      <c r="I252" s="124" t="n">
        <f aca="false">IF(MONTH($A252)=MONTH($A251),IF(G252=0,I251,G252),G252)</f>
        <v>-12521</v>
      </c>
      <c r="J252" s="124" t="n">
        <f aca="false">IF(MONTH($A252)=MONTH($A251),SUM(I252-I251),I252)</f>
        <v>-12521</v>
      </c>
      <c r="K252" s="124" t="n">
        <f aca="false">IF(WEEKDAY(A252,3)&gt;4,0,(IF(A252&lt;K$2,0,IF(A252&lt;=K$3,1,0))))</f>
        <v>0</v>
      </c>
      <c r="L252" s="124" t="n">
        <f aca="false">J252*K252</f>
        <v>-0</v>
      </c>
      <c r="M252" s="124" t="n">
        <f aca="false">SUM(J$188:J252)</f>
        <v>308810</v>
      </c>
      <c r="N252" s="124" t="n">
        <f aca="false">SUM(J$6:J252)</f>
        <v>393617.597187485</v>
      </c>
      <c r="P252" s="124" t="n">
        <f aca="false">D252/P$3</f>
        <v>0</v>
      </c>
      <c r="Q252" s="124" t="n">
        <f aca="false">E252/P$3</f>
        <v>0</v>
      </c>
      <c r="R252" s="124" t="n">
        <f aca="false">F252/R$3</f>
        <v>0</v>
      </c>
      <c r="S252" s="126" t="n">
        <f aca="false">J252/$R$3</f>
        <v>-12.521</v>
      </c>
      <c r="T252" s="126" t="n">
        <f aca="false">L252/$R$3</f>
        <v>-0</v>
      </c>
      <c r="U252" s="126" t="n">
        <f aca="false">I252/$R$3</f>
        <v>-12.521</v>
      </c>
      <c r="V252" s="126" t="n">
        <f aca="false">M252/$R$3</f>
        <v>308.81</v>
      </c>
      <c r="W252" s="126" t="n">
        <f aca="false">N252/$R$3</f>
        <v>393.617597187485</v>
      </c>
    </row>
    <row r="253" customFormat="false" ht="12.75" hidden="true" customHeight="false" outlineLevel="0" collapsed="false">
      <c r="A253" s="120" t="n">
        <f aca="false">A252+1</f>
        <v>37139</v>
      </c>
      <c r="B253" s="131" t="str">
        <f aca="false">INDEX('Master Data'!$A$2:$B$8,MATCH(WEEKDAY('MM PLANT'!A253,3),'Master Data'!$A$2:$A$8,0),2)</f>
        <v>W</v>
      </c>
      <c r="D253" s="124" t="n">
        <v>0</v>
      </c>
      <c r="E253" s="124" t="n">
        <v>0</v>
      </c>
      <c r="F253" s="124" t="n">
        <v>0</v>
      </c>
      <c r="G253" s="124" t="n">
        <v>-15651</v>
      </c>
      <c r="I253" s="124" t="n">
        <f aca="false">IF(MONTH($A253)=MONTH($A252),IF(G253=0,I252,G253),G253)</f>
        <v>-15651</v>
      </c>
      <c r="J253" s="124" t="n">
        <f aca="false">IF(MONTH($A253)=MONTH($A252),SUM(I253-I252),I253)</f>
        <v>-3130</v>
      </c>
      <c r="K253" s="124" t="n">
        <f aca="false">IF(WEEKDAY(A253,3)&gt;4,0,(IF(A253&lt;K$2,0,IF(A253&lt;=K$3,1,0))))</f>
        <v>0</v>
      </c>
      <c r="L253" s="124" t="n">
        <f aca="false">J253*K253</f>
        <v>-0</v>
      </c>
      <c r="M253" s="124" t="n">
        <f aca="false">SUM(J$188:J253)</f>
        <v>305680</v>
      </c>
      <c r="N253" s="124" t="n">
        <f aca="false">SUM(J$6:J253)</f>
        <v>390487.597187485</v>
      </c>
      <c r="P253" s="124" t="n">
        <f aca="false">D253/P$3</f>
        <v>0</v>
      </c>
      <c r="Q253" s="124" t="n">
        <f aca="false">E253/P$3</f>
        <v>0</v>
      </c>
      <c r="R253" s="124" t="n">
        <f aca="false">F253/R$3</f>
        <v>0</v>
      </c>
      <c r="S253" s="126" t="n">
        <f aca="false">J253/$R$3</f>
        <v>-3.13</v>
      </c>
      <c r="T253" s="126" t="n">
        <f aca="false">L253/$R$3</f>
        <v>-0</v>
      </c>
      <c r="U253" s="126" t="n">
        <f aca="false">I253/$R$3</f>
        <v>-15.651</v>
      </c>
      <c r="V253" s="126" t="n">
        <f aca="false">M253/$R$3</f>
        <v>305.68</v>
      </c>
      <c r="W253" s="126" t="n">
        <f aca="false">N253/$R$3</f>
        <v>390.487597187485</v>
      </c>
    </row>
    <row r="254" customFormat="false" ht="12.75" hidden="true" customHeight="false" outlineLevel="0" collapsed="false">
      <c r="A254" s="120" t="n">
        <f aca="false">A253+1</f>
        <v>37140</v>
      </c>
      <c r="B254" s="131" t="str">
        <f aca="false">INDEX('Master Data'!$A$2:$B$8,MATCH(WEEKDAY('MM PLANT'!A254,3),'Master Data'!$A$2:$A$8,0),2)</f>
        <v>Th</v>
      </c>
      <c r="D254" s="124" t="n">
        <v>0</v>
      </c>
      <c r="E254" s="124" t="n">
        <v>0</v>
      </c>
      <c r="F254" s="124" t="n">
        <v>0</v>
      </c>
      <c r="G254" s="124" t="n">
        <f aca="false">-18781</f>
        <v>-18781</v>
      </c>
      <c r="I254" s="124" t="n">
        <f aca="false">IF(MONTH($A254)=MONTH($A253),IF(G254=0,I253,G254),G254)</f>
        <v>-18781</v>
      </c>
      <c r="J254" s="124" t="n">
        <f aca="false">IF(MONTH($A254)=MONTH($A253),SUM(I254-I253),I254)</f>
        <v>-3130</v>
      </c>
      <c r="K254" s="124" t="n">
        <f aca="false">IF(WEEKDAY(A254,3)&gt;4,0,(IF(A254&lt;K$2,0,IF(A254&lt;=K$3,1,0))))</f>
        <v>0</v>
      </c>
      <c r="L254" s="124" t="n">
        <f aca="false">J254*K254</f>
        <v>-0</v>
      </c>
      <c r="M254" s="124" t="n">
        <f aca="false">SUM(J$188:J254)</f>
        <v>302550</v>
      </c>
      <c r="N254" s="124" t="n">
        <f aca="false">SUM(J$6:J254)</f>
        <v>387357.597187485</v>
      </c>
      <c r="P254" s="124" t="n">
        <f aca="false">D254/P$3</f>
        <v>0</v>
      </c>
      <c r="Q254" s="124" t="n">
        <f aca="false">E254/P$3</f>
        <v>0</v>
      </c>
      <c r="R254" s="124" t="n">
        <f aca="false">F254/R$3</f>
        <v>0</v>
      </c>
      <c r="S254" s="126" t="n">
        <f aca="false">J254/$R$3</f>
        <v>-3.13</v>
      </c>
      <c r="T254" s="126" t="n">
        <f aca="false">L254/$R$3</f>
        <v>-0</v>
      </c>
      <c r="U254" s="126" t="n">
        <f aca="false">I254/$R$3</f>
        <v>-18.781</v>
      </c>
      <c r="V254" s="126" t="n">
        <f aca="false">M254/$R$3</f>
        <v>302.55</v>
      </c>
      <c r="W254" s="126" t="n">
        <f aca="false">N254/$R$3</f>
        <v>387.357597187485</v>
      </c>
    </row>
    <row r="255" customFormat="false" ht="12.75" hidden="true" customHeight="false" outlineLevel="0" collapsed="false">
      <c r="A255" s="120" t="n">
        <f aca="false">A254+1</f>
        <v>37141</v>
      </c>
      <c r="B255" s="131" t="str">
        <f aca="false">INDEX('Master Data'!$A$2:$B$8,MATCH(WEEKDAY('MM PLANT'!A255,3),'Master Data'!$A$2:$A$8,0),2)</f>
        <v>F</v>
      </c>
      <c r="D255" s="124" t="n">
        <v>0</v>
      </c>
      <c r="E255" s="124" t="n">
        <v>0</v>
      </c>
      <c r="F255" s="124" t="n">
        <v>0</v>
      </c>
      <c r="G255" s="124" t="n">
        <v>-21911</v>
      </c>
      <c r="I255" s="124" t="n">
        <f aca="false">IF(MONTH($A255)=MONTH($A254),IF(G255=0,I254,G255),G255)</f>
        <v>-21911</v>
      </c>
      <c r="J255" s="124" t="n">
        <f aca="false">IF(MONTH($A255)=MONTH($A254),SUM(I255-I254),I255)</f>
        <v>-3130</v>
      </c>
      <c r="K255" s="124" t="n">
        <f aca="false">IF(WEEKDAY(A255,3)&gt;4,0,(IF(A255&lt;K$2,0,IF(A255&lt;=K$3,1,0))))</f>
        <v>0</v>
      </c>
      <c r="L255" s="124" t="n">
        <f aca="false">J255*K255</f>
        <v>-0</v>
      </c>
      <c r="M255" s="124" t="n">
        <f aca="false">SUM(J$188:J255)</f>
        <v>299420</v>
      </c>
      <c r="N255" s="124" t="n">
        <f aca="false">SUM(J$6:J255)</f>
        <v>384227.597187485</v>
      </c>
      <c r="P255" s="124" t="n">
        <f aca="false">D255/P$3</f>
        <v>0</v>
      </c>
      <c r="Q255" s="124" t="n">
        <f aca="false">E255/P$3</f>
        <v>0</v>
      </c>
      <c r="R255" s="124" t="n">
        <f aca="false">F255/R$3</f>
        <v>0</v>
      </c>
      <c r="S255" s="126" t="n">
        <f aca="false">J255/$R$3</f>
        <v>-3.13</v>
      </c>
      <c r="T255" s="126" t="n">
        <f aca="false">L255/$R$3</f>
        <v>-0</v>
      </c>
      <c r="U255" s="126" t="n">
        <f aca="false">I255/$R$3</f>
        <v>-21.911</v>
      </c>
      <c r="V255" s="126" t="n">
        <f aca="false">M255/$R$3</f>
        <v>299.42</v>
      </c>
      <c r="W255" s="126" t="n">
        <f aca="false">N255/$R$3</f>
        <v>384.227597187485</v>
      </c>
    </row>
    <row r="256" customFormat="false" ht="12.75" hidden="true" customHeight="false" outlineLevel="0" collapsed="false">
      <c r="A256" s="120" t="n">
        <f aca="false">A255+1</f>
        <v>37142</v>
      </c>
      <c r="B256" s="131" t="str">
        <f aca="false">INDEX('Master Data'!$A$2:$B$8,MATCH(WEEKDAY('MM PLANT'!A256,3),'Master Data'!$A$2:$A$8,0),2)</f>
        <v>Sa</v>
      </c>
      <c r="D256" s="124" t="n">
        <v>0</v>
      </c>
      <c r="E256" s="124" t="n">
        <v>0</v>
      </c>
      <c r="F256" s="124" t="n">
        <v>0</v>
      </c>
      <c r="G256" s="124" t="n">
        <v>0</v>
      </c>
      <c r="I256" s="124" t="n">
        <f aca="false">IF(MONTH($A256)=MONTH($A255),IF(G256=0,I255,G256),G256)</f>
        <v>-21911</v>
      </c>
      <c r="J256" s="124" t="n">
        <f aca="false">IF(MONTH($A256)=MONTH($A255),SUM(I256-I255),I256)</f>
        <v>0</v>
      </c>
      <c r="K256" s="124" t="n">
        <f aca="false">IF(WEEKDAY(A256,3)&gt;4,0,(IF(A256&lt;K$2,0,IF(A256&lt;=K$3,1,0))))</f>
        <v>0</v>
      </c>
      <c r="L256" s="124" t="n">
        <f aca="false">J256*K256</f>
        <v>0</v>
      </c>
      <c r="M256" s="124" t="n">
        <f aca="false">SUM(J$188:J256)</f>
        <v>299420</v>
      </c>
      <c r="N256" s="124" t="n">
        <f aca="false">SUM(J$6:J256)</f>
        <v>384227.597187485</v>
      </c>
      <c r="P256" s="124" t="n">
        <f aca="false">D256/P$3</f>
        <v>0</v>
      </c>
      <c r="Q256" s="124" t="n">
        <f aca="false">E256/P$3</f>
        <v>0</v>
      </c>
      <c r="R256" s="124" t="n">
        <f aca="false">F256/R$3</f>
        <v>0</v>
      </c>
      <c r="S256" s="126" t="n">
        <f aca="false">J256/$R$3</f>
        <v>0</v>
      </c>
      <c r="T256" s="126" t="n">
        <f aca="false">L256/$R$3</f>
        <v>0</v>
      </c>
      <c r="U256" s="126" t="n">
        <f aca="false">I256/$R$3</f>
        <v>-21.911</v>
      </c>
      <c r="V256" s="126" t="n">
        <f aca="false">M256/$R$3</f>
        <v>299.42</v>
      </c>
      <c r="W256" s="126" t="n">
        <f aca="false">N256/$R$3</f>
        <v>384.227597187485</v>
      </c>
    </row>
    <row r="257" customFormat="false" ht="12.75" hidden="true" customHeight="false" outlineLevel="0" collapsed="false">
      <c r="A257" s="120" t="n">
        <f aca="false">A256+1</f>
        <v>37143</v>
      </c>
      <c r="B257" s="131" t="str">
        <f aca="false">INDEX('Master Data'!$A$2:$B$8,MATCH(WEEKDAY('MM PLANT'!A257,3),'Master Data'!$A$2:$A$8,0),2)</f>
        <v>Su</v>
      </c>
      <c r="D257" s="124" t="n">
        <v>0</v>
      </c>
      <c r="E257" s="124" t="n">
        <v>0</v>
      </c>
      <c r="F257" s="124" t="n">
        <v>0</v>
      </c>
      <c r="G257" s="124" t="n">
        <v>0</v>
      </c>
      <c r="I257" s="124" t="n">
        <f aca="false">IF(MONTH($A257)=MONTH($A256),IF(G257=0,I256,G257),G257)</f>
        <v>-21911</v>
      </c>
      <c r="J257" s="124" t="n">
        <f aca="false">IF(MONTH($A257)=MONTH($A256),SUM(I257-I256),I257)</f>
        <v>0</v>
      </c>
      <c r="K257" s="124" t="n">
        <f aca="false">IF(WEEKDAY(A257,3)&gt;4,0,(IF(A257&lt;K$2,0,IF(A257&lt;=K$3,1,0))))</f>
        <v>0</v>
      </c>
      <c r="L257" s="124" t="n">
        <f aca="false">J257*K257</f>
        <v>0</v>
      </c>
      <c r="M257" s="124" t="n">
        <f aca="false">SUM(J$188:J257)</f>
        <v>299420</v>
      </c>
      <c r="N257" s="124" t="n">
        <f aca="false">SUM(J$6:J257)</f>
        <v>384227.597187485</v>
      </c>
      <c r="P257" s="124" t="n">
        <f aca="false">D257/P$3</f>
        <v>0</v>
      </c>
      <c r="Q257" s="124" t="n">
        <f aca="false">E257/P$3</f>
        <v>0</v>
      </c>
      <c r="R257" s="124" t="n">
        <f aca="false">F257/R$3</f>
        <v>0</v>
      </c>
      <c r="S257" s="126" t="n">
        <f aca="false">J257/$R$3</f>
        <v>0</v>
      </c>
      <c r="T257" s="126" t="n">
        <f aca="false">L257/$R$3</f>
        <v>0</v>
      </c>
      <c r="U257" s="126" t="n">
        <f aca="false">I257/$R$3</f>
        <v>-21.911</v>
      </c>
      <c r="V257" s="126" t="n">
        <f aca="false">M257/$R$3</f>
        <v>299.42</v>
      </c>
      <c r="W257" s="126" t="n">
        <f aca="false">N257/$R$3</f>
        <v>384.227597187485</v>
      </c>
    </row>
    <row r="258" customFormat="false" ht="12.75" hidden="true" customHeight="false" outlineLevel="0" collapsed="false">
      <c r="A258" s="120" t="n">
        <f aca="false">A257+1</f>
        <v>37144</v>
      </c>
      <c r="B258" s="131" t="str">
        <f aca="false">INDEX('Master Data'!$A$2:$B$8,MATCH(WEEKDAY('MM PLANT'!A258,3),'Master Data'!$A$2:$A$8,0),2)</f>
        <v>M</v>
      </c>
      <c r="D258" s="124" t="n">
        <v>0</v>
      </c>
      <c r="E258" s="124" t="n">
        <v>0</v>
      </c>
      <c r="F258" s="124" t="n">
        <v>0</v>
      </c>
      <c r="G258" s="124" t="n">
        <v>-1900503.31</v>
      </c>
      <c r="I258" s="124" t="n">
        <f aca="false">IF(MONTH($A258)=MONTH($A257),IF(G258=0,I257,G258),G258)</f>
        <v>-1900503.31</v>
      </c>
      <c r="J258" s="124" t="n">
        <f aca="false">IF(MONTH($A258)=MONTH($A257),SUM(I258-I257),I258)</f>
        <v>-1878592.31</v>
      </c>
      <c r="K258" s="124" t="n">
        <f aca="false">IF(WEEKDAY(A258,3)&gt;4,0,(IF(A258&lt;K$2,0,IF(A258&lt;=K$3,1,0))))</f>
        <v>0</v>
      </c>
      <c r="L258" s="124" t="n">
        <f aca="false">J258*K258</f>
        <v>-0</v>
      </c>
      <c r="M258" s="124" t="n">
        <f aca="false">SUM(J$188:J258)</f>
        <v>-1579172.31</v>
      </c>
      <c r="N258" s="124" t="n">
        <f aca="false">SUM(J$6:J258)</f>
        <v>-1494364.71281252</v>
      </c>
      <c r="P258" s="124" t="n">
        <f aca="false">D258/P$3</f>
        <v>0</v>
      </c>
      <c r="Q258" s="124" t="n">
        <f aca="false">E258/P$3</f>
        <v>0</v>
      </c>
      <c r="R258" s="124" t="n">
        <f aca="false">F258/R$3</f>
        <v>0</v>
      </c>
      <c r="S258" s="126" t="n">
        <f aca="false">J258/$R$3</f>
        <v>-1878.59231</v>
      </c>
      <c r="T258" s="126" t="n">
        <f aca="false">L258/$R$3</f>
        <v>-0</v>
      </c>
      <c r="U258" s="126" t="n">
        <f aca="false">I258/$R$3</f>
        <v>-1900.50331</v>
      </c>
      <c r="V258" s="126" t="n">
        <f aca="false">M258/$R$3</f>
        <v>-1579.17231</v>
      </c>
      <c r="W258" s="126" t="n">
        <f aca="false">N258/$R$3</f>
        <v>-1494.36471281251</v>
      </c>
    </row>
    <row r="259" customFormat="false" ht="12.75" hidden="true" customHeight="false" outlineLevel="0" collapsed="false">
      <c r="A259" s="120" t="n">
        <f aca="false">A258+1</f>
        <v>37145</v>
      </c>
      <c r="B259" s="131" t="str">
        <f aca="false">INDEX('Master Data'!$A$2:$B$8,MATCH(WEEKDAY('MM PLANT'!A259,3),'Master Data'!$A$2:$A$8,0),2)</f>
        <v>T</v>
      </c>
      <c r="D259" s="124" t="n">
        <v>0</v>
      </c>
      <c r="E259" s="124" t="n">
        <v>0</v>
      </c>
      <c r="F259" s="124" t="n">
        <v>0</v>
      </c>
      <c r="G259" s="124" t="n">
        <v>0</v>
      </c>
      <c r="I259" s="124" t="n">
        <f aca="false">IF(MONTH($A259)=MONTH($A258),IF(G259=0,I258,G259),G259)</f>
        <v>-1900503.31</v>
      </c>
      <c r="J259" s="124" t="n">
        <f aca="false">IF(MONTH($A259)=MONTH($A258),SUM(I259-I258),I259)</f>
        <v>0</v>
      </c>
      <c r="K259" s="124" t="n">
        <f aca="false">IF(WEEKDAY(A259,3)&gt;4,0,(IF(A259&lt;K$2,0,IF(A259&lt;=K$3,1,0))))</f>
        <v>0</v>
      </c>
      <c r="L259" s="124" t="n">
        <f aca="false">J259*K259</f>
        <v>0</v>
      </c>
      <c r="M259" s="124" t="n">
        <f aca="false">SUM(J$188:J259)</f>
        <v>-1579172.31</v>
      </c>
      <c r="N259" s="124" t="n">
        <f aca="false">SUM(J$6:J259)</f>
        <v>-1494364.71281252</v>
      </c>
      <c r="P259" s="124" t="n">
        <f aca="false">D259/P$3</f>
        <v>0</v>
      </c>
      <c r="Q259" s="124" t="n">
        <f aca="false">E259/P$3</f>
        <v>0</v>
      </c>
      <c r="R259" s="124" t="n">
        <f aca="false">F259/R$3</f>
        <v>0</v>
      </c>
      <c r="S259" s="126" t="n">
        <f aca="false">J259/$R$3</f>
        <v>0</v>
      </c>
      <c r="T259" s="126" t="n">
        <f aca="false">L259/$R$3</f>
        <v>0</v>
      </c>
      <c r="U259" s="126" t="n">
        <f aca="false">I259/$R$3</f>
        <v>-1900.50331</v>
      </c>
      <c r="V259" s="126" t="n">
        <f aca="false">M259/$R$3</f>
        <v>-1579.17231</v>
      </c>
      <c r="W259" s="126" t="n">
        <f aca="false">N259/$R$3</f>
        <v>-1494.36471281251</v>
      </c>
    </row>
    <row r="260" customFormat="false" ht="12.75" hidden="true" customHeight="false" outlineLevel="0" collapsed="false">
      <c r="A260" s="120" t="n">
        <f aca="false">A259+1</f>
        <v>37146</v>
      </c>
      <c r="B260" s="131" t="str">
        <f aca="false">INDEX('Master Data'!$A$2:$B$8,MATCH(WEEKDAY('MM PLANT'!A260,3),'Master Data'!$A$2:$A$8,0),2)</f>
        <v>W</v>
      </c>
      <c r="D260" s="124" t="n">
        <v>0</v>
      </c>
      <c r="E260" s="124" t="n">
        <v>0</v>
      </c>
      <c r="F260" s="124" t="n">
        <v>0</v>
      </c>
      <c r="G260" s="124" t="n">
        <v>-1900503.31</v>
      </c>
      <c r="I260" s="124" t="n">
        <f aca="false">IF(MONTH($A260)=MONTH($A259),IF(G260=0,I259,G260),G260)</f>
        <v>-1900503.31</v>
      </c>
      <c r="J260" s="124" t="n">
        <f aca="false">IF(MONTH($A260)=MONTH($A259),SUM(I260-I259),I260)</f>
        <v>0</v>
      </c>
      <c r="K260" s="124" t="n">
        <f aca="false">IF(WEEKDAY(A260,3)&gt;4,0,(IF(A260&lt;K$2,0,IF(A260&lt;=K$3,1,0))))</f>
        <v>0</v>
      </c>
      <c r="L260" s="124" t="n">
        <f aca="false">J260*K260</f>
        <v>0</v>
      </c>
      <c r="M260" s="124" t="n">
        <f aca="false">SUM(J$188:J260)</f>
        <v>-1579172.31</v>
      </c>
      <c r="N260" s="124" t="n">
        <f aca="false">SUM(J$6:J260)</f>
        <v>-1494364.71281252</v>
      </c>
      <c r="P260" s="124" t="n">
        <f aca="false">D260/P$3</f>
        <v>0</v>
      </c>
      <c r="Q260" s="124" t="n">
        <f aca="false">E260/P$3</f>
        <v>0</v>
      </c>
      <c r="R260" s="124" t="n">
        <f aca="false">F260/R$3</f>
        <v>0</v>
      </c>
      <c r="S260" s="126" t="n">
        <f aca="false">J260/$R$3</f>
        <v>0</v>
      </c>
      <c r="T260" s="126" t="n">
        <f aca="false">L260/$R$3</f>
        <v>0</v>
      </c>
      <c r="U260" s="126" t="n">
        <f aca="false">I260/$R$3</f>
        <v>-1900.50331</v>
      </c>
      <c r="V260" s="126" t="n">
        <f aca="false">M260/$R$3</f>
        <v>-1579.17231</v>
      </c>
      <c r="W260" s="126" t="n">
        <f aca="false">N260/$R$3</f>
        <v>-1494.36471281251</v>
      </c>
    </row>
    <row r="261" customFormat="false" ht="12.75" hidden="true" customHeight="false" outlineLevel="0" collapsed="false">
      <c r="A261" s="120" t="n">
        <f aca="false">A260+1</f>
        <v>37147</v>
      </c>
      <c r="B261" s="131" t="str">
        <f aca="false">INDEX('Master Data'!$A$2:$B$8,MATCH(WEEKDAY('MM PLANT'!A261,3),'Master Data'!$A$2:$A$8,0),2)</f>
        <v>Th</v>
      </c>
      <c r="D261" s="124" t="n">
        <v>0</v>
      </c>
      <c r="E261" s="124" t="n">
        <v>0</v>
      </c>
      <c r="F261" s="124" t="n">
        <v>0</v>
      </c>
      <c r="G261" s="124" t="n">
        <v>-1900503.31</v>
      </c>
      <c r="I261" s="124" t="n">
        <f aca="false">IF(MONTH($A261)=MONTH($A260),IF(G261=0,I260,G261),G261)</f>
        <v>-1900503.31</v>
      </c>
      <c r="J261" s="124" t="n">
        <f aca="false">IF(MONTH($A261)=MONTH($A260),SUM(I261-I260),I261)</f>
        <v>0</v>
      </c>
      <c r="K261" s="124" t="n">
        <f aca="false">IF(WEEKDAY(A261,3)&gt;4,0,(IF(A261&lt;K$2,0,IF(A261&lt;=K$3,1,0))))</f>
        <v>0</v>
      </c>
      <c r="L261" s="124" t="n">
        <f aca="false">J261*K261</f>
        <v>0</v>
      </c>
      <c r="M261" s="124" t="n">
        <f aca="false">SUM(J$188:J261)</f>
        <v>-1579172.31</v>
      </c>
      <c r="N261" s="124" t="n">
        <f aca="false">SUM(J$6:J261)</f>
        <v>-1494364.71281252</v>
      </c>
      <c r="P261" s="124" t="n">
        <f aca="false">D261/P$3</f>
        <v>0</v>
      </c>
      <c r="Q261" s="124" t="n">
        <f aca="false">E261/P$3</f>
        <v>0</v>
      </c>
      <c r="R261" s="124" t="n">
        <f aca="false">F261/R$3</f>
        <v>0</v>
      </c>
      <c r="S261" s="126" t="n">
        <f aca="false">J261/$R$3</f>
        <v>0</v>
      </c>
      <c r="T261" s="126" t="n">
        <f aca="false">L261/$R$3</f>
        <v>0</v>
      </c>
      <c r="U261" s="126" t="n">
        <f aca="false">I261/$R$3</f>
        <v>-1900.50331</v>
      </c>
      <c r="V261" s="126" t="n">
        <f aca="false">M261/$R$3</f>
        <v>-1579.17231</v>
      </c>
      <c r="W261" s="126" t="n">
        <f aca="false">N261/$R$3</f>
        <v>-1494.36471281251</v>
      </c>
    </row>
    <row r="262" customFormat="false" ht="12.75" hidden="true" customHeight="false" outlineLevel="0" collapsed="false">
      <c r="A262" s="120" t="n">
        <f aca="false">A261+1</f>
        <v>37148</v>
      </c>
      <c r="B262" s="131" t="str">
        <f aca="false">INDEX('Master Data'!$A$2:$B$8,MATCH(WEEKDAY('MM PLANT'!A262,3),'Master Data'!$A$2:$A$8,0),2)</f>
        <v>F</v>
      </c>
      <c r="D262" s="124" t="n">
        <v>0</v>
      </c>
      <c r="E262" s="124" t="n">
        <v>0</v>
      </c>
      <c r="F262" s="124" t="n">
        <v>0</v>
      </c>
      <c r="G262" s="124" t="n">
        <v>-1900503</v>
      </c>
      <c r="I262" s="124" t="n">
        <f aca="false">IF(MONTH($A262)=MONTH($A261),IF(G262=0,I261,G262),G262)</f>
        <v>-1900503</v>
      </c>
      <c r="J262" s="124" t="n">
        <f aca="false">IF(MONTH($A262)=MONTH($A261),SUM(I262-I261),I262)</f>
        <v>0.310000000055879</v>
      </c>
      <c r="K262" s="124" t="n">
        <f aca="false">IF(WEEKDAY(A262,3)&gt;4,0,(IF(A262&lt;K$2,0,IF(A262&lt;=K$3,1,0))))</f>
        <v>0</v>
      </c>
      <c r="L262" s="124" t="n">
        <f aca="false">J262*K262</f>
        <v>0</v>
      </c>
      <c r="M262" s="124" t="n">
        <f aca="false">SUM(J$188:J262)</f>
        <v>-1579172</v>
      </c>
      <c r="N262" s="124" t="n">
        <f aca="false">SUM(J$6:J262)</f>
        <v>-1494364.40281252</v>
      </c>
      <c r="P262" s="124" t="n">
        <f aca="false">D262/P$3</f>
        <v>0</v>
      </c>
      <c r="Q262" s="124" t="n">
        <f aca="false">E262/P$3</f>
        <v>0</v>
      </c>
      <c r="R262" s="124" t="n">
        <f aca="false">F262/R$3</f>
        <v>0</v>
      </c>
      <c r="S262" s="126" t="n">
        <f aca="false">J262/$R$3</f>
        <v>0.000310000000055879</v>
      </c>
      <c r="T262" s="126" t="n">
        <f aca="false">L262/$R$3</f>
        <v>0</v>
      </c>
      <c r="U262" s="126" t="n">
        <f aca="false">I262/$R$3</f>
        <v>-1900.503</v>
      </c>
      <c r="V262" s="126" t="n">
        <f aca="false">M262/$R$3</f>
        <v>-1579.172</v>
      </c>
      <c r="W262" s="126" t="n">
        <f aca="false">N262/$R$3</f>
        <v>-1494.36440281252</v>
      </c>
    </row>
    <row r="263" customFormat="false" ht="12.75" hidden="true" customHeight="false" outlineLevel="0" collapsed="false">
      <c r="A263" s="120" t="n">
        <f aca="false">A262+1</f>
        <v>37149</v>
      </c>
      <c r="B263" s="131" t="str">
        <f aca="false">INDEX('Master Data'!$A$2:$B$8,MATCH(WEEKDAY('MM PLANT'!A263,3),'Master Data'!$A$2:$A$8,0),2)</f>
        <v>Sa</v>
      </c>
      <c r="D263" s="124" t="n">
        <v>0</v>
      </c>
      <c r="E263" s="124" t="n">
        <v>0</v>
      </c>
      <c r="F263" s="124" t="n">
        <v>0</v>
      </c>
      <c r="G263" s="124" t="n">
        <v>0</v>
      </c>
      <c r="I263" s="124" t="n">
        <f aca="false">IF(MONTH($A263)=MONTH($A262),IF(G263=0,I262,G263),G263)</f>
        <v>-1900503</v>
      </c>
      <c r="J263" s="124" t="n">
        <f aca="false">IF(MONTH($A263)=MONTH($A262),SUM(I263-I262),I263)</f>
        <v>0</v>
      </c>
      <c r="K263" s="124" t="n">
        <f aca="false">IF(WEEKDAY(A263,3)&gt;4,0,(IF(A263&lt;K$2,0,IF(A263&lt;=K$3,1,0))))</f>
        <v>0</v>
      </c>
      <c r="L263" s="124" t="n">
        <f aca="false">J263*K263</f>
        <v>0</v>
      </c>
      <c r="M263" s="124" t="n">
        <f aca="false">SUM(J$188:J263)</f>
        <v>-1579172</v>
      </c>
      <c r="N263" s="124" t="n">
        <f aca="false">SUM(J$6:J263)</f>
        <v>-1494364.40281252</v>
      </c>
      <c r="P263" s="124" t="n">
        <f aca="false">D263/P$3</f>
        <v>0</v>
      </c>
      <c r="Q263" s="124" t="n">
        <f aca="false">E263/P$3</f>
        <v>0</v>
      </c>
      <c r="R263" s="124" t="n">
        <f aca="false">F263/R$3</f>
        <v>0</v>
      </c>
      <c r="S263" s="126" t="n">
        <f aca="false">J263/$R$3</f>
        <v>0</v>
      </c>
      <c r="T263" s="126" t="n">
        <f aca="false">L263/$R$3</f>
        <v>0</v>
      </c>
      <c r="U263" s="126" t="n">
        <f aca="false">I263/$R$3</f>
        <v>-1900.503</v>
      </c>
      <c r="V263" s="126" t="n">
        <f aca="false">M263/$R$3</f>
        <v>-1579.172</v>
      </c>
      <c r="W263" s="126" t="n">
        <f aca="false">N263/$R$3</f>
        <v>-1494.36440281252</v>
      </c>
    </row>
    <row r="264" customFormat="false" ht="12.75" hidden="true" customHeight="false" outlineLevel="0" collapsed="false">
      <c r="A264" s="120" t="n">
        <f aca="false">A263+1</f>
        <v>37150</v>
      </c>
      <c r="B264" s="131" t="str">
        <f aca="false">INDEX('Master Data'!$A$2:$B$8,MATCH(WEEKDAY('MM PLANT'!A264,3),'Master Data'!$A$2:$A$8,0),2)</f>
        <v>Su</v>
      </c>
      <c r="D264" s="124" t="n">
        <v>0</v>
      </c>
      <c r="E264" s="124" t="n">
        <v>0</v>
      </c>
      <c r="F264" s="124" t="n">
        <v>0</v>
      </c>
      <c r="G264" s="124" t="n">
        <v>0</v>
      </c>
      <c r="I264" s="124" t="n">
        <f aca="false">IF(MONTH($A264)=MONTH($A263),IF(G264=0,I263,G264),G264)</f>
        <v>-1900503</v>
      </c>
      <c r="J264" s="124" t="n">
        <f aca="false">IF(MONTH($A264)=MONTH($A263),SUM(I264-I263),I264)</f>
        <v>0</v>
      </c>
      <c r="K264" s="124" t="n">
        <f aca="false">IF(WEEKDAY(A264,3)&gt;4,0,(IF(A264&lt;K$2,0,IF(A264&lt;=K$3,1,0))))</f>
        <v>0</v>
      </c>
      <c r="L264" s="124" t="n">
        <f aca="false">J264*K264</f>
        <v>0</v>
      </c>
      <c r="M264" s="124" t="n">
        <f aca="false">SUM(J$188:J264)</f>
        <v>-1579172</v>
      </c>
      <c r="N264" s="124" t="n">
        <f aca="false">SUM(J$6:J264)</f>
        <v>-1494364.40281252</v>
      </c>
      <c r="P264" s="124" t="n">
        <f aca="false">D264/P$3</f>
        <v>0</v>
      </c>
      <c r="Q264" s="124" t="n">
        <f aca="false">E264/P$3</f>
        <v>0</v>
      </c>
      <c r="R264" s="124" t="n">
        <f aca="false">F264/R$3</f>
        <v>0</v>
      </c>
      <c r="S264" s="126" t="n">
        <f aca="false">J264/$R$3</f>
        <v>0</v>
      </c>
      <c r="T264" s="126" t="n">
        <f aca="false">L264/$R$3</f>
        <v>0</v>
      </c>
      <c r="U264" s="126" t="n">
        <f aca="false">I264/$R$3</f>
        <v>-1900.503</v>
      </c>
      <c r="V264" s="126" t="n">
        <f aca="false">M264/$R$3</f>
        <v>-1579.172</v>
      </c>
      <c r="W264" s="126" t="n">
        <f aca="false">N264/$R$3</f>
        <v>-1494.36440281252</v>
      </c>
    </row>
    <row r="265" customFormat="false" ht="12.75" hidden="true" customHeight="false" outlineLevel="0" collapsed="false">
      <c r="A265" s="120" t="n">
        <f aca="false">A264+1</f>
        <v>37151</v>
      </c>
      <c r="B265" s="131" t="str">
        <f aca="false">INDEX('Master Data'!$A$2:$B$8,MATCH(WEEKDAY('MM PLANT'!A265,3),'Master Data'!$A$2:$A$8,0),2)</f>
        <v>M</v>
      </c>
      <c r="D265" s="124" t="n">
        <v>0</v>
      </c>
      <c r="E265" s="124" t="n">
        <v>0</v>
      </c>
      <c r="F265" s="124" t="n">
        <v>0</v>
      </c>
      <c r="G265" s="124" t="n">
        <v>-1900503</v>
      </c>
      <c r="I265" s="124" t="n">
        <f aca="false">IF(MONTH($A265)=MONTH($A264),IF(G265=0,I264,G265),G265)</f>
        <v>-1900503</v>
      </c>
      <c r="J265" s="124" t="n">
        <f aca="false">IF(MONTH($A265)=MONTH($A264),SUM(I265-I264),I265)</f>
        <v>0</v>
      </c>
      <c r="K265" s="124" t="n">
        <f aca="false">IF(WEEKDAY(A265,3)&gt;4,0,(IF(A265&lt;K$2,0,IF(A265&lt;=K$3,1,0))))</f>
        <v>0</v>
      </c>
      <c r="L265" s="124" t="n">
        <f aca="false">J265*K265</f>
        <v>0</v>
      </c>
      <c r="M265" s="124" t="n">
        <f aca="false">SUM(J$188:J265)</f>
        <v>-1579172</v>
      </c>
      <c r="N265" s="124" t="n">
        <f aca="false">SUM(J$6:J265)</f>
        <v>-1494364.40281252</v>
      </c>
      <c r="P265" s="124" t="n">
        <f aca="false">D265/P$3</f>
        <v>0</v>
      </c>
      <c r="Q265" s="124" t="n">
        <f aca="false">E265/P$3</f>
        <v>0</v>
      </c>
      <c r="R265" s="124" t="n">
        <f aca="false">F265/R$3</f>
        <v>0</v>
      </c>
      <c r="S265" s="126" t="n">
        <f aca="false">J265/$R$3</f>
        <v>0</v>
      </c>
      <c r="T265" s="126" t="n">
        <f aca="false">L265/$R$3</f>
        <v>0</v>
      </c>
      <c r="U265" s="126" t="n">
        <f aca="false">I265/$R$3</f>
        <v>-1900.503</v>
      </c>
      <c r="V265" s="126" t="n">
        <f aca="false">M265/$R$3</f>
        <v>-1579.172</v>
      </c>
      <c r="W265" s="126" t="n">
        <f aca="false">N265/$R$3</f>
        <v>-1494.36440281252</v>
      </c>
    </row>
    <row r="266" customFormat="false" ht="12.75" hidden="true" customHeight="false" outlineLevel="0" collapsed="false">
      <c r="A266" s="120" t="n">
        <f aca="false">A265+1</f>
        <v>37152</v>
      </c>
      <c r="B266" s="131" t="str">
        <f aca="false">INDEX('Master Data'!$A$2:$B$8,MATCH(WEEKDAY('MM PLANT'!A266,3),'Master Data'!$A$2:$A$8,0),2)</f>
        <v>T</v>
      </c>
      <c r="D266" s="124" t="n">
        <v>0</v>
      </c>
      <c r="E266" s="124" t="n">
        <v>0</v>
      </c>
      <c r="F266" s="124" t="n">
        <v>0</v>
      </c>
      <c r="G266" s="124" t="n">
        <v>-1900503</v>
      </c>
      <c r="I266" s="124" t="n">
        <f aca="false">IF(MONTH($A266)=MONTH($A265),IF(G266=0,I265,G266),G266)</f>
        <v>-1900503</v>
      </c>
      <c r="J266" s="124" t="n">
        <f aca="false">IF(MONTH($A266)=MONTH($A265),SUM(I266-I265),I266)</f>
        <v>0</v>
      </c>
      <c r="K266" s="124" t="n">
        <f aca="false">IF(WEEKDAY(A266,3)&gt;4,0,(IF(A266&lt;K$2,0,IF(A266&lt;=K$3,1,0))))</f>
        <v>0</v>
      </c>
      <c r="L266" s="124" t="n">
        <f aca="false">J266*K266</f>
        <v>0</v>
      </c>
      <c r="M266" s="124" t="n">
        <f aca="false">SUM(J$188:J266)</f>
        <v>-1579172</v>
      </c>
      <c r="N266" s="124" t="n">
        <f aca="false">SUM(J$6:J266)</f>
        <v>-1494364.40281252</v>
      </c>
      <c r="P266" s="124" t="n">
        <f aca="false">D266/P$3</f>
        <v>0</v>
      </c>
      <c r="Q266" s="124" t="n">
        <f aca="false">E266/P$3</f>
        <v>0</v>
      </c>
      <c r="R266" s="124" t="n">
        <f aca="false">F266/R$3</f>
        <v>0</v>
      </c>
      <c r="S266" s="126" t="n">
        <f aca="false">J266/$R$3</f>
        <v>0</v>
      </c>
      <c r="T266" s="126" t="n">
        <f aca="false">L266/$R$3</f>
        <v>0</v>
      </c>
      <c r="U266" s="126" t="n">
        <f aca="false">I266/$R$3</f>
        <v>-1900.503</v>
      </c>
      <c r="V266" s="126" t="n">
        <f aca="false">M266/$R$3</f>
        <v>-1579.172</v>
      </c>
      <c r="W266" s="126" t="n">
        <f aca="false">N266/$R$3</f>
        <v>-1494.36440281252</v>
      </c>
    </row>
    <row r="267" customFormat="false" ht="12.75" hidden="true" customHeight="false" outlineLevel="0" collapsed="false">
      <c r="A267" s="120" t="n">
        <f aca="false">A266+1</f>
        <v>37153</v>
      </c>
      <c r="B267" s="131" t="str">
        <f aca="false">INDEX('Master Data'!$A$2:$B$8,MATCH(WEEKDAY('MM PLANT'!A267,3),'Master Data'!$A$2:$A$8,0),2)</f>
        <v>W</v>
      </c>
      <c r="D267" s="124" t="n">
        <v>0</v>
      </c>
      <c r="E267" s="124" t="n">
        <v>0</v>
      </c>
      <c r="F267" s="124" t="n">
        <v>0</v>
      </c>
      <c r="G267" s="124" t="n">
        <v>-1896550</v>
      </c>
      <c r="I267" s="124" t="n">
        <f aca="false">IF(MONTH($A267)=MONTH($A266),IF(G267=0,I266,G267),G267)</f>
        <v>-1896550</v>
      </c>
      <c r="J267" s="124" t="n">
        <f aca="false">IF(MONTH($A267)=MONTH($A266),SUM(I267-I266),I267)</f>
        <v>3953</v>
      </c>
      <c r="K267" s="124" t="n">
        <f aca="false">IF(WEEKDAY(A267,3)&gt;4,0,(IF(A267&lt;K$2,0,IF(A267&lt;=K$3,1,0))))</f>
        <v>0</v>
      </c>
      <c r="L267" s="124" t="n">
        <f aca="false">J267*K267</f>
        <v>0</v>
      </c>
      <c r="M267" s="124" t="n">
        <f aca="false">SUM(J$188:J267)</f>
        <v>-1575219</v>
      </c>
      <c r="N267" s="124" t="n">
        <f aca="false">SUM(J$6:J267)</f>
        <v>-1490411.40281252</v>
      </c>
      <c r="P267" s="124" t="n">
        <f aca="false">D267/P$3</f>
        <v>0</v>
      </c>
      <c r="Q267" s="124" t="n">
        <f aca="false">E267/P$3</f>
        <v>0</v>
      </c>
      <c r="R267" s="124" t="n">
        <f aca="false">F267/R$3</f>
        <v>0</v>
      </c>
      <c r="S267" s="126" t="n">
        <f aca="false">J267/$R$3</f>
        <v>3.953</v>
      </c>
      <c r="T267" s="126" t="n">
        <f aca="false">L267/$R$3</f>
        <v>0</v>
      </c>
      <c r="U267" s="126" t="n">
        <f aca="false">I267/$R$3</f>
        <v>-1896.55</v>
      </c>
      <c r="V267" s="126" t="n">
        <f aca="false">M267/$R$3</f>
        <v>-1575.219</v>
      </c>
      <c r="W267" s="126" t="n">
        <f aca="false">N267/$R$3</f>
        <v>-1490.41140281252</v>
      </c>
    </row>
    <row r="268" customFormat="false" ht="12.75" hidden="true" customHeight="false" outlineLevel="0" collapsed="false">
      <c r="A268" s="120" t="n">
        <f aca="false">A267+1</f>
        <v>37154</v>
      </c>
      <c r="B268" s="131" t="str">
        <f aca="false">INDEX('Master Data'!$A$2:$B$8,MATCH(WEEKDAY('MM PLANT'!A268,3),'Master Data'!$A$2:$A$8,0),2)</f>
        <v>Th</v>
      </c>
      <c r="D268" s="124" t="n">
        <v>0</v>
      </c>
      <c r="E268" s="124" t="n">
        <v>0</v>
      </c>
      <c r="F268" s="124" t="n">
        <v>0</v>
      </c>
      <c r="G268" s="124" t="n">
        <v>-1928998</v>
      </c>
      <c r="I268" s="124" t="n">
        <f aca="false">IF(MONTH($A268)=MONTH($A267),IF(G268=0,I267,G268),G268)</f>
        <v>-1928998</v>
      </c>
      <c r="J268" s="124" t="n">
        <f aca="false">IF(MONTH($A268)=MONTH($A267),SUM(I268-I267),I268)</f>
        <v>-32448</v>
      </c>
      <c r="K268" s="124" t="n">
        <f aca="false">IF(WEEKDAY(A268,3)&gt;4,0,(IF(A268&lt;K$2,0,IF(A268&lt;=K$3,1,0))))</f>
        <v>0</v>
      </c>
      <c r="L268" s="124" t="n">
        <f aca="false">J268*K268</f>
        <v>-0</v>
      </c>
      <c r="M268" s="124" t="n">
        <f aca="false">SUM(J$188:J268)</f>
        <v>-1607667</v>
      </c>
      <c r="N268" s="124" t="n">
        <f aca="false">SUM(J$6:J268)</f>
        <v>-1522859.40281252</v>
      </c>
      <c r="P268" s="124" t="n">
        <f aca="false">D268/P$3</f>
        <v>0</v>
      </c>
      <c r="Q268" s="124" t="n">
        <f aca="false">E268/P$3</f>
        <v>0</v>
      </c>
      <c r="R268" s="124" t="n">
        <f aca="false">F268/R$3</f>
        <v>0</v>
      </c>
      <c r="S268" s="126" t="n">
        <f aca="false">J268/$R$3</f>
        <v>-32.448</v>
      </c>
      <c r="T268" s="126" t="n">
        <f aca="false">L268/$R$3</f>
        <v>-0</v>
      </c>
      <c r="U268" s="126" t="n">
        <f aca="false">I268/$R$3</f>
        <v>-1928.998</v>
      </c>
      <c r="V268" s="126" t="n">
        <f aca="false">M268/$R$3</f>
        <v>-1607.667</v>
      </c>
      <c r="W268" s="126" t="n">
        <f aca="false">N268/$R$3</f>
        <v>-1522.85940281252</v>
      </c>
    </row>
    <row r="269" customFormat="false" ht="12.75" hidden="true" customHeight="false" outlineLevel="0" collapsed="false">
      <c r="A269" s="120" t="n">
        <f aca="false">A268+1</f>
        <v>37155</v>
      </c>
      <c r="B269" s="131" t="str">
        <f aca="false">INDEX('Master Data'!$A$2:$B$8,MATCH(WEEKDAY('MM PLANT'!A269,3),'Master Data'!$A$2:$A$8,0),2)</f>
        <v>F</v>
      </c>
      <c r="D269" s="124" t="n">
        <v>0</v>
      </c>
      <c r="E269" s="124" t="n">
        <v>0</v>
      </c>
      <c r="F269" s="124" t="n">
        <v>0</v>
      </c>
      <c r="G269" s="124" t="n">
        <v>-1928998</v>
      </c>
      <c r="I269" s="124" t="n">
        <f aca="false">IF(MONTH($A269)=MONTH($A268),IF(G269=0,I268,G269),G269)</f>
        <v>-1928998</v>
      </c>
      <c r="J269" s="124" t="n">
        <f aca="false">IF(MONTH($A269)=MONTH($A268),SUM(I269-I268),I269)</f>
        <v>0</v>
      </c>
      <c r="K269" s="124" t="n">
        <f aca="false">IF(WEEKDAY(A269,3)&gt;4,0,(IF(A269&lt;K$2,0,IF(A269&lt;=K$3,1,0))))</f>
        <v>0</v>
      </c>
      <c r="L269" s="124" t="n">
        <f aca="false">J269*K269</f>
        <v>0</v>
      </c>
      <c r="M269" s="124" t="n">
        <f aca="false">SUM(J$188:J269)</f>
        <v>-1607667</v>
      </c>
      <c r="N269" s="124" t="n">
        <f aca="false">SUM(J$6:J269)</f>
        <v>-1522859.40281252</v>
      </c>
      <c r="P269" s="124" t="n">
        <f aca="false">D269/P$3</f>
        <v>0</v>
      </c>
      <c r="Q269" s="124" t="n">
        <f aca="false">E269/P$3</f>
        <v>0</v>
      </c>
      <c r="R269" s="124" t="n">
        <f aca="false">F269/R$3</f>
        <v>0</v>
      </c>
      <c r="S269" s="126" t="n">
        <f aca="false">J269/$R$3</f>
        <v>0</v>
      </c>
      <c r="T269" s="126" t="n">
        <f aca="false">L269/$R$3</f>
        <v>0</v>
      </c>
      <c r="U269" s="126" t="n">
        <f aca="false">I269/$R$3</f>
        <v>-1928.998</v>
      </c>
      <c r="V269" s="126" t="n">
        <f aca="false">M269/$R$3</f>
        <v>-1607.667</v>
      </c>
      <c r="W269" s="126" t="n">
        <f aca="false">N269/$R$3</f>
        <v>-1522.85940281252</v>
      </c>
    </row>
    <row r="270" customFormat="false" ht="12.75" hidden="true" customHeight="false" outlineLevel="0" collapsed="false">
      <c r="A270" s="120" t="n">
        <f aca="false">A269+1</f>
        <v>37156</v>
      </c>
      <c r="B270" s="131" t="str">
        <f aca="false">INDEX('Master Data'!$A$2:$B$8,MATCH(WEEKDAY('MM PLANT'!A270,3),'Master Data'!$A$2:$A$8,0),2)</f>
        <v>Sa</v>
      </c>
      <c r="D270" s="124" t="n">
        <v>0</v>
      </c>
      <c r="E270" s="124" t="n">
        <v>0</v>
      </c>
      <c r="F270" s="124" t="n">
        <v>0</v>
      </c>
      <c r="G270" s="124" t="n">
        <v>0</v>
      </c>
      <c r="I270" s="124" t="n">
        <f aca="false">IF(MONTH($A270)=MONTH($A269),IF(G270=0,I269,G270),G270)</f>
        <v>-1928998</v>
      </c>
      <c r="J270" s="124" t="n">
        <f aca="false">IF(MONTH($A270)=MONTH($A269),SUM(I270-I269),I270)</f>
        <v>0</v>
      </c>
      <c r="K270" s="124" t="n">
        <f aca="false">IF(WEEKDAY(A270,3)&gt;4,0,(IF(A270&lt;K$2,0,IF(A270&lt;=K$3,1,0))))</f>
        <v>0</v>
      </c>
      <c r="L270" s="124" t="n">
        <f aca="false">J270*K270</f>
        <v>0</v>
      </c>
      <c r="M270" s="124" t="n">
        <f aca="false">SUM(J$188:J270)</f>
        <v>-1607667</v>
      </c>
      <c r="N270" s="124" t="n">
        <f aca="false">SUM(J$6:J270)</f>
        <v>-1522859.40281252</v>
      </c>
      <c r="P270" s="124" t="n">
        <f aca="false">D270/P$3</f>
        <v>0</v>
      </c>
      <c r="Q270" s="124" t="n">
        <f aca="false">E270/P$3</f>
        <v>0</v>
      </c>
      <c r="R270" s="124" t="n">
        <f aca="false">F270/R$3</f>
        <v>0</v>
      </c>
      <c r="S270" s="126" t="n">
        <f aca="false">J270/$R$3</f>
        <v>0</v>
      </c>
      <c r="T270" s="126" t="n">
        <f aca="false">L270/$R$3</f>
        <v>0</v>
      </c>
      <c r="U270" s="126" t="n">
        <f aca="false">I270/$R$3</f>
        <v>-1928.998</v>
      </c>
      <c r="V270" s="126" t="n">
        <f aca="false">M270/$R$3</f>
        <v>-1607.667</v>
      </c>
      <c r="W270" s="126" t="n">
        <f aca="false">N270/$R$3</f>
        <v>-1522.85940281252</v>
      </c>
    </row>
    <row r="271" customFormat="false" ht="12.75" hidden="true" customHeight="false" outlineLevel="0" collapsed="false">
      <c r="A271" s="120" t="n">
        <f aca="false">A270+1</f>
        <v>37157</v>
      </c>
      <c r="B271" s="131" t="str">
        <f aca="false">INDEX('Master Data'!$A$2:$B$8,MATCH(WEEKDAY('MM PLANT'!A271,3),'Master Data'!$A$2:$A$8,0),2)</f>
        <v>Su</v>
      </c>
      <c r="D271" s="124" t="n">
        <v>0</v>
      </c>
      <c r="E271" s="124" t="n">
        <v>0</v>
      </c>
      <c r="F271" s="124" t="n">
        <v>0</v>
      </c>
      <c r="G271" s="124" t="n">
        <v>0</v>
      </c>
      <c r="I271" s="124" t="n">
        <f aca="false">IF(MONTH($A271)=MONTH($A270),IF(G271=0,I270,G271),G271)</f>
        <v>-1928998</v>
      </c>
      <c r="J271" s="124" t="n">
        <f aca="false">IF(MONTH($A271)=MONTH($A270),SUM(I271-I270),I271)</f>
        <v>0</v>
      </c>
      <c r="K271" s="124" t="n">
        <f aca="false">IF(WEEKDAY(A271,3)&gt;4,0,(IF(A271&lt;K$2,0,IF(A271&lt;=K$3,1,0))))</f>
        <v>0</v>
      </c>
      <c r="L271" s="124" t="n">
        <f aca="false">J271*K271</f>
        <v>0</v>
      </c>
      <c r="M271" s="124" t="n">
        <f aca="false">SUM(J$188:J271)</f>
        <v>-1607667</v>
      </c>
      <c r="N271" s="124" t="n">
        <f aca="false">SUM(J$6:J271)</f>
        <v>-1522859.40281252</v>
      </c>
      <c r="P271" s="124" t="n">
        <f aca="false">D271/P$3</f>
        <v>0</v>
      </c>
      <c r="Q271" s="124" t="n">
        <f aca="false">E271/P$3</f>
        <v>0</v>
      </c>
      <c r="R271" s="124" t="n">
        <f aca="false">F271/R$3</f>
        <v>0</v>
      </c>
      <c r="S271" s="126" t="n">
        <f aca="false">J271/$R$3</f>
        <v>0</v>
      </c>
      <c r="T271" s="126" t="n">
        <f aca="false">L271/$R$3</f>
        <v>0</v>
      </c>
      <c r="U271" s="126" t="n">
        <f aca="false">I271/$R$3</f>
        <v>-1928.998</v>
      </c>
      <c r="V271" s="126" t="n">
        <f aca="false">M271/$R$3</f>
        <v>-1607.667</v>
      </c>
      <c r="W271" s="126" t="n">
        <f aca="false">N271/$R$3</f>
        <v>-1522.85940281252</v>
      </c>
    </row>
    <row r="272" customFormat="false" ht="12.75" hidden="true" customHeight="false" outlineLevel="0" collapsed="false">
      <c r="A272" s="120" t="n">
        <f aca="false">A271+1</f>
        <v>37158</v>
      </c>
      <c r="B272" s="131" t="str">
        <f aca="false">INDEX('Master Data'!$A$2:$B$8,MATCH(WEEKDAY('MM PLANT'!A272,3),'Master Data'!$A$2:$A$8,0),2)</f>
        <v>M</v>
      </c>
      <c r="D272" s="124" t="n">
        <v>0</v>
      </c>
      <c r="E272" s="124" t="n">
        <v>0</v>
      </c>
      <c r="F272" s="124" t="n">
        <v>0</v>
      </c>
      <c r="G272" s="124" t="n">
        <v>-1928998</v>
      </c>
      <c r="I272" s="124" t="n">
        <f aca="false">IF(MONTH($A272)=MONTH($A271),IF(G272=0,I271,G272),G272)</f>
        <v>-1928998</v>
      </c>
      <c r="J272" s="124" t="n">
        <f aca="false">IF(MONTH($A272)=MONTH($A271),SUM(I272-I271),I272)</f>
        <v>0</v>
      </c>
      <c r="K272" s="124" t="n">
        <f aca="false">IF(WEEKDAY(A272,3)&gt;4,0,(IF(A272&lt;K$2,0,IF(A272&lt;=K$3,1,0))))</f>
        <v>0</v>
      </c>
      <c r="L272" s="124" t="n">
        <f aca="false">J272*K272</f>
        <v>0</v>
      </c>
      <c r="M272" s="124" t="n">
        <f aca="false">SUM(J$188:J272)</f>
        <v>-1607667</v>
      </c>
      <c r="N272" s="124" t="n">
        <f aca="false">SUM(J$6:J272)</f>
        <v>-1522859.40281252</v>
      </c>
      <c r="P272" s="124" t="n">
        <f aca="false">D272/P$3</f>
        <v>0</v>
      </c>
      <c r="Q272" s="124" t="n">
        <f aca="false">E272/P$3</f>
        <v>0</v>
      </c>
      <c r="R272" s="124" t="n">
        <f aca="false">F272/R$3</f>
        <v>0</v>
      </c>
      <c r="S272" s="126" t="n">
        <f aca="false">J272/$R$3</f>
        <v>0</v>
      </c>
      <c r="T272" s="126" t="n">
        <f aca="false">L272/$R$3</f>
        <v>0</v>
      </c>
      <c r="U272" s="126" t="n">
        <f aca="false">I272/$R$3</f>
        <v>-1928.998</v>
      </c>
      <c r="V272" s="126" t="n">
        <f aca="false">M272/$R$3</f>
        <v>-1607.667</v>
      </c>
      <c r="W272" s="126" t="n">
        <f aca="false">N272/$R$3</f>
        <v>-1522.85940281252</v>
      </c>
    </row>
    <row r="273" customFormat="false" ht="12.75" hidden="true" customHeight="false" outlineLevel="0" collapsed="false">
      <c r="A273" s="120" t="n">
        <f aca="false">A272+1</f>
        <v>37159</v>
      </c>
      <c r="B273" s="131" t="str">
        <f aca="false">INDEX('Master Data'!$A$2:$B$8,MATCH(WEEKDAY('MM PLANT'!A273,3),'Master Data'!$A$2:$A$8,0),2)</f>
        <v>T</v>
      </c>
      <c r="D273" s="124" t="n">
        <v>0</v>
      </c>
      <c r="E273" s="124" t="n">
        <v>0</v>
      </c>
      <c r="F273" s="124" t="n">
        <v>0</v>
      </c>
      <c r="G273" s="124" t="n">
        <v>-1928998</v>
      </c>
      <c r="I273" s="124" t="n">
        <f aca="false">IF(MONTH($A273)=MONTH($A272),IF(G273=0,I272,G273),G273)</f>
        <v>-1928998</v>
      </c>
      <c r="J273" s="124" t="n">
        <f aca="false">IF(MONTH($A273)=MONTH($A272),SUM(I273-I272),I273)</f>
        <v>0</v>
      </c>
      <c r="K273" s="124" t="n">
        <f aca="false">IF(WEEKDAY(A273,3)&gt;4,0,(IF(A273&lt;K$2,0,IF(A273&lt;=K$3,1,0))))</f>
        <v>0</v>
      </c>
      <c r="L273" s="124" t="n">
        <f aca="false">J273*K273</f>
        <v>0</v>
      </c>
      <c r="M273" s="124" t="n">
        <f aca="false">SUM(J$188:J273)</f>
        <v>-1607667</v>
      </c>
      <c r="N273" s="124" t="n">
        <f aca="false">SUM(J$6:J273)</f>
        <v>-1522859.40281252</v>
      </c>
      <c r="P273" s="124" t="n">
        <f aca="false">D273/P$3</f>
        <v>0</v>
      </c>
      <c r="Q273" s="124" t="n">
        <f aca="false">E273/P$3</f>
        <v>0</v>
      </c>
      <c r="R273" s="124" t="n">
        <f aca="false">F273/R$3</f>
        <v>0</v>
      </c>
      <c r="S273" s="126" t="n">
        <f aca="false">J273/$R$3</f>
        <v>0</v>
      </c>
      <c r="T273" s="126" t="n">
        <f aca="false">L273/$R$3</f>
        <v>0</v>
      </c>
      <c r="U273" s="126" t="n">
        <f aca="false">I273/$R$3</f>
        <v>-1928.998</v>
      </c>
      <c r="V273" s="126" t="n">
        <f aca="false">M273/$R$3</f>
        <v>-1607.667</v>
      </c>
      <c r="W273" s="126" t="n">
        <f aca="false">N273/$R$3</f>
        <v>-1522.85940281252</v>
      </c>
    </row>
    <row r="274" customFormat="false" ht="12.75" hidden="true" customHeight="false" outlineLevel="0" collapsed="false">
      <c r="A274" s="120" t="n">
        <f aca="false">A273+1</f>
        <v>37160</v>
      </c>
      <c r="B274" s="131" t="str">
        <f aca="false">INDEX('Master Data'!$A$2:$B$8,MATCH(WEEKDAY('MM PLANT'!A274,3),'Master Data'!$A$2:$A$8,0),2)</f>
        <v>W</v>
      </c>
      <c r="D274" s="124" t="n">
        <v>0</v>
      </c>
      <c r="E274" s="124" t="n">
        <v>0</v>
      </c>
      <c r="F274" s="124" t="n">
        <v>0</v>
      </c>
      <c r="G274" s="124" t="n">
        <v>-1928998</v>
      </c>
      <c r="I274" s="124" t="n">
        <f aca="false">IF(MONTH($A274)=MONTH($A273),IF(G274=0,I273,G274),G274)</f>
        <v>-1928998</v>
      </c>
      <c r="J274" s="124" t="n">
        <f aca="false">IF(MONTH($A274)=MONTH($A273),SUM(I274-I273),I274)</f>
        <v>0</v>
      </c>
      <c r="K274" s="124" t="n">
        <f aca="false">IF(WEEKDAY(A274,3)&gt;4,0,(IF(A274&lt;K$2,0,IF(A274&lt;=K$3,1,0))))</f>
        <v>0</v>
      </c>
      <c r="L274" s="124" t="n">
        <f aca="false">J274*K274</f>
        <v>0</v>
      </c>
      <c r="M274" s="124" t="n">
        <f aca="false">SUM(J$188:J274)</f>
        <v>-1607667</v>
      </c>
      <c r="N274" s="124" t="n">
        <f aca="false">SUM(J$6:J274)</f>
        <v>-1522859.40281252</v>
      </c>
      <c r="P274" s="124" t="n">
        <f aca="false">D274/P$3</f>
        <v>0</v>
      </c>
      <c r="Q274" s="124" t="n">
        <f aca="false">E274/P$3</f>
        <v>0</v>
      </c>
      <c r="R274" s="124" t="n">
        <f aca="false">F274/R$3</f>
        <v>0</v>
      </c>
      <c r="S274" s="126" t="n">
        <f aca="false">J274/$R$3</f>
        <v>0</v>
      </c>
      <c r="T274" s="126" t="n">
        <f aca="false">L274/$R$3</f>
        <v>0</v>
      </c>
      <c r="U274" s="126" t="n">
        <f aca="false">I274/$R$3</f>
        <v>-1928.998</v>
      </c>
      <c r="V274" s="126" t="n">
        <f aca="false">M274/$R$3</f>
        <v>-1607.667</v>
      </c>
      <c r="W274" s="126" t="n">
        <f aca="false">N274/$R$3</f>
        <v>-1522.85940281252</v>
      </c>
    </row>
    <row r="275" customFormat="false" ht="12.75" hidden="true" customHeight="false" outlineLevel="0" collapsed="false">
      <c r="A275" s="120" t="n">
        <f aca="false">A274+1</f>
        <v>37161</v>
      </c>
      <c r="B275" s="131" t="str">
        <f aca="false">INDEX('Master Data'!$A$2:$B$8,MATCH(WEEKDAY('MM PLANT'!A275,3),'Master Data'!$A$2:$A$8,0),2)</f>
        <v>Th</v>
      </c>
      <c r="D275" s="124" t="n">
        <v>0</v>
      </c>
      <c r="E275" s="124" t="n">
        <v>0</v>
      </c>
      <c r="F275" s="124" t="n">
        <v>0</v>
      </c>
      <c r="G275" s="124" t="n">
        <f aca="false">-1928998-287935</f>
        <v>-2216933</v>
      </c>
      <c r="I275" s="124" t="n">
        <f aca="false">IF(MONTH($A275)=MONTH($A274),IF(G275=0,I274,G275),G275)</f>
        <v>-2216933</v>
      </c>
      <c r="J275" s="124" t="n">
        <f aca="false">IF(MONTH($A275)=MONTH($A274),SUM(I275-I274),I275)</f>
        <v>-287935</v>
      </c>
      <c r="K275" s="124" t="n">
        <f aca="false">IF(WEEKDAY(A275,3)&gt;4,0,(IF(A275&lt;K$2,0,IF(A275&lt;=K$3,1,0))))</f>
        <v>0</v>
      </c>
      <c r="L275" s="124" t="n">
        <f aca="false">J275*K275</f>
        <v>-0</v>
      </c>
      <c r="M275" s="124" t="n">
        <f aca="false">SUM(J$188:J275)</f>
        <v>-1895602</v>
      </c>
      <c r="N275" s="124" t="n">
        <f aca="false">SUM(J$6:J275)</f>
        <v>-1810794.40281252</v>
      </c>
      <c r="P275" s="124" t="n">
        <f aca="false">D275/P$3</f>
        <v>0</v>
      </c>
      <c r="Q275" s="124" t="n">
        <f aca="false">E275/P$3</f>
        <v>0</v>
      </c>
      <c r="R275" s="124" t="n">
        <f aca="false">F275/R$3</f>
        <v>0</v>
      </c>
      <c r="S275" s="126" t="n">
        <f aca="false">J275/$R$3</f>
        <v>-287.935</v>
      </c>
      <c r="T275" s="126" t="n">
        <f aca="false">L275/$R$3</f>
        <v>-0</v>
      </c>
      <c r="U275" s="126" t="n">
        <f aca="false">I275/$R$3</f>
        <v>-2216.933</v>
      </c>
      <c r="V275" s="126" t="n">
        <f aca="false">M275/$R$3</f>
        <v>-1895.602</v>
      </c>
      <c r="W275" s="126" t="n">
        <f aca="false">N275/$R$3</f>
        <v>-1810.79440281252</v>
      </c>
    </row>
    <row r="276" customFormat="false" ht="12.75" hidden="false" customHeight="false" outlineLevel="0" collapsed="false">
      <c r="A276" s="120" t="n">
        <f aca="false">A275+1</f>
        <v>37162</v>
      </c>
      <c r="B276" s="131" t="str">
        <f aca="false">INDEX('Master Data'!$A$2:$B$8,MATCH(WEEKDAY('MM PLANT'!A276,3),'Master Data'!$A$2:$A$8,0),2)</f>
        <v>F</v>
      </c>
      <c r="D276" s="124" t="n">
        <v>0</v>
      </c>
      <c r="E276" s="124" t="n">
        <v>0</v>
      </c>
      <c r="F276" s="124" t="n">
        <v>0</v>
      </c>
      <c r="G276" s="124" t="n">
        <f aca="false">-2664738+37226.65</f>
        <v>-2627511.35</v>
      </c>
      <c r="I276" s="124" t="n">
        <f aca="false">IF(MONTH($A276)=MONTH($A275),IF(G276=0,I275,G276),G276)</f>
        <v>-2627511.35</v>
      </c>
      <c r="J276" s="124" t="n">
        <f aca="false">IF(MONTH($A276)=MONTH($A275),SUM(I276-I275),I276)</f>
        <v>-410578.35</v>
      </c>
      <c r="K276" s="124" t="n">
        <f aca="false">IF(WEEKDAY(A276,3)&gt;4,0,(IF(A276&lt;K$2,0,IF(A276&lt;=K$3,1,0))))</f>
        <v>0</v>
      </c>
      <c r="L276" s="124" t="n">
        <f aca="false">J276*K276</f>
        <v>-0</v>
      </c>
      <c r="M276" s="124" t="n">
        <f aca="false">SUM(J$188:J276)</f>
        <v>-2306180.35</v>
      </c>
      <c r="N276" s="124" t="n">
        <f aca="false">SUM(J$6:J276)</f>
        <v>-2221372.75281252</v>
      </c>
      <c r="P276" s="124" t="n">
        <f aca="false">D276/P$3</f>
        <v>0</v>
      </c>
      <c r="Q276" s="124" t="n">
        <f aca="false">E276/P$3</f>
        <v>0</v>
      </c>
      <c r="R276" s="124" t="n">
        <f aca="false">F276/R$3</f>
        <v>0</v>
      </c>
      <c r="S276" s="126" t="n">
        <f aca="false">J276/$R$3</f>
        <v>-410.57835</v>
      </c>
      <c r="T276" s="126" t="n">
        <f aca="false">L276/$R$3</f>
        <v>-0</v>
      </c>
      <c r="U276" s="126" t="n">
        <f aca="false">I276/$R$3</f>
        <v>-2627.51135</v>
      </c>
      <c r="V276" s="126" t="n">
        <f aca="false">M276/$R$3</f>
        <v>-2306.18035</v>
      </c>
      <c r="W276" s="126" t="n">
        <f aca="false">N276/$R$3</f>
        <v>-2221.37275281252</v>
      </c>
    </row>
    <row r="277" customFormat="false" ht="12.75" hidden="false" customHeight="false" outlineLevel="0" collapsed="false">
      <c r="A277" s="120" t="n">
        <f aca="false">A276+1</f>
        <v>37163</v>
      </c>
      <c r="B277" s="131" t="str">
        <f aca="false">INDEX('Master Data'!$A$2:$B$8,MATCH(WEEKDAY('MM PLANT'!A277,3),'Master Data'!$A$2:$A$8,0),2)</f>
        <v>Sa</v>
      </c>
      <c r="D277" s="124" t="n">
        <v>0</v>
      </c>
      <c r="E277" s="124" t="n">
        <v>0</v>
      </c>
      <c r="F277" s="124" t="n">
        <v>0</v>
      </c>
      <c r="G277" s="124" t="n">
        <v>0</v>
      </c>
      <c r="I277" s="124" t="n">
        <f aca="false">IF(MONTH($A277)=MONTH($A276),IF(G277=0,I276,G277),G277)</f>
        <v>-2627511.35</v>
      </c>
      <c r="J277" s="124" t="n">
        <f aca="false">IF(MONTH($A277)=MONTH($A276),SUM(I277-I276),I277)</f>
        <v>0</v>
      </c>
      <c r="K277" s="124" t="n">
        <f aca="false">IF(WEEKDAY(A277,3)&gt;4,0,(IF(A277&lt;K$2,0,IF(A277&lt;=K$3,1,0))))</f>
        <v>0</v>
      </c>
      <c r="L277" s="124" t="n">
        <f aca="false">J277*K277</f>
        <v>0</v>
      </c>
      <c r="M277" s="124" t="n">
        <f aca="false">SUM(J$188:J277)</f>
        <v>-2306180.35</v>
      </c>
      <c r="N277" s="124" t="n">
        <f aca="false">SUM(J$6:J277)</f>
        <v>-2221372.75281252</v>
      </c>
      <c r="P277" s="124" t="n">
        <f aca="false">D277/P$3</f>
        <v>0</v>
      </c>
      <c r="Q277" s="124" t="n">
        <f aca="false">E277/P$3</f>
        <v>0</v>
      </c>
      <c r="R277" s="124" t="n">
        <f aca="false">F277/R$3</f>
        <v>0</v>
      </c>
      <c r="S277" s="126" t="n">
        <f aca="false">J277/$R$3</f>
        <v>0</v>
      </c>
      <c r="T277" s="126" t="n">
        <f aca="false">L277/$R$3</f>
        <v>0</v>
      </c>
      <c r="U277" s="126" t="n">
        <f aca="false">I277/$R$3</f>
        <v>-2627.51135</v>
      </c>
      <c r="V277" s="126" t="n">
        <f aca="false">M277/$R$3</f>
        <v>-2306.18035</v>
      </c>
      <c r="W277" s="126" t="n">
        <f aca="false">N277/$R$3</f>
        <v>-2221.37275281252</v>
      </c>
    </row>
    <row r="278" customFormat="false" ht="12.75" hidden="false" customHeight="false" outlineLevel="0" collapsed="false">
      <c r="A278" s="120" t="n">
        <f aca="false">A277+1</f>
        <v>37164</v>
      </c>
      <c r="B278" s="131" t="str">
        <f aca="false">INDEX('Master Data'!$A$2:$B$8,MATCH(WEEKDAY('MM PLANT'!A278,3),'Master Data'!$A$2:$A$8,0),2)</f>
        <v>Su</v>
      </c>
      <c r="D278" s="124" t="n">
        <v>0</v>
      </c>
      <c r="E278" s="124" t="n">
        <v>0</v>
      </c>
      <c r="F278" s="124" t="n">
        <v>0</v>
      </c>
      <c r="G278" s="124" t="n">
        <v>0</v>
      </c>
      <c r="I278" s="124" t="n">
        <f aca="false">IF(MONTH($A278)=MONTH($A277),IF(G278=0,I277,G278),G278)</f>
        <v>-2627511.35</v>
      </c>
      <c r="J278" s="124" t="n">
        <f aca="false">IF(MONTH($A278)=MONTH($A277),SUM(I278-I277),I278)</f>
        <v>0</v>
      </c>
      <c r="K278" s="124" t="n">
        <f aca="false">IF(WEEKDAY(A278,3)&gt;4,0,(IF(A278&lt;K$2,0,IF(A278&lt;=K$3,1,0))))</f>
        <v>0</v>
      </c>
      <c r="L278" s="124" t="n">
        <f aca="false">J278*K278</f>
        <v>0</v>
      </c>
      <c r="M278" s="124" t="n">
        <f aca="false">SUM(J$188:J278)</f>
        <v>-2306180.35</v>
      </c>
      <c r="N278" s="124" t="n">
        <f aca="false">SUM(J$6:J278)</f>
        <v>-2221372.75281252</v>
      </c>
      <c r="P278" s="124" t="n">
        <f aca="false">D278/P$3</f>
        <v>0</v>
      </c>
      <c r="Q278" s="124" t="n">
        <f aca="false">E278/P$3</f>
        <v>0</v>
      </c>
      <c r="R278" s="124" t="n">
        <f aca="false">F278/R$3</f>
        <v>0</v>
      </c>
      <c r="S278" s="126" t="n">
        <f aca="false">J278/$R$3</f>
        <v>0</v>
      </c>
      <c r="T278" s="126" t="n">
        <f aca="false">L278/$R$3</f>
        <v>0</v>
      </c>
      <c r="U278" s="126" t="n">
        <f aca="false">I278/$R$3</f>
        <v>-2627.51135</v>
      </c>
      <c r="V278" s="126" t="n">
        <f aca="false">M278/$R$3</f>
        <v>-2306.18035</v>
      </c>
      <c r="W278" s="126" t="n">
        <f aca="false">N278/$R$3</f>
        <v>-2221.37275281252</v>
      </c>
    </row>
    <row r="279" customFormat="false" ht="12.75" hidden="false" customHeight="false" outlineLevel="0" collapsed="false">
      <c r="A279" s="120" t="n">
        <f aca="false">A278+1</f>
        <v>37165</v>
      </c>
      <c r="B279" s="131" t="str">
        <f aca="false">INDEX('Master Data'!$A$2:$B$8,MATCH(WEEKDAY('MM PLANT'!A279,3),'Master Data'!$A$2:$A$8,0),2)</f>
        <v>M</v>
      </c>
      <c r="D279" s="124" t="n">
        <v>0</v>
      </c>
      <c r="E279" s="124" t="n">
        <v>0</v>
      </c>
      <c r="F279" s="124" t="n">
        <v>0</v>
      </c>
      <c r="G279" s="124" t="n">
        <v>0</v>
      </c>
      <c r="I279" s="124" t="n">
        <f aca="false">IF(MONTH($A279)=MONTH($A278),IF(G279=0,I278,G279),G279)</f>
        <v>0</v>
      </c>
      <c r="J279" s="124" t="n">
        <f aca="false">IF(MONTH($A279)=MONTH($A278),SUM(I279-I278),I279)</f>
        <v>0</v>
      </c>
      <c r="K279" s="124" t="n">
        <f aca="false">IF(WEEKDAY(A279,3)&gt;4,0,(IF(A279&lt;K$2,0,IF(A279&lt;=K$3,1,0))))</f>
        <v>0</v>
      </c>
      <c r="L279" s="124" t="n">
        <f aca="false">J279*K279</f>
        <v>0</v>
      </c>
      <c r="M279" s="124" t="n">
        <f aca="false">SUM(J$188:J279)</f>
        <v>-2306180.35</v>
      </c>
      <c r="N279" s="124" t="n">
        <f aca="false">SUM(J$6:J279)</f>
        <v>-2221372.75281252</v>
      </c>
      <c r="P279" s="124" t="n">
        <f aca="false">D279/P$3</f>
        <v>0</v>
      </c>
      <c r="Q279" s="124" t="n">
        <f aca="false">E279/P$3</f>
        <v>0</v>
      </c>
      <c r="R279" s="124" t="n">
        <f aca="false">F279/R$3</f>
        <v>0</v>
      </c>
      <c r="S279" s="126" t="n">
        <f aca="false">J279/$R$3</f>
        <v>0</v>
      </c>
      <c r="T279" s="126" t="n">
        <f aca="false">L279/$R$3</f>
        <v>0</v>
      </c>
      <c r="U279" s="126" t="n">
        <f aca="false">I279/$R$3</f>
        <v>0</v>
      </c>
      <c r="V279" s="126" t="n">
        <f aca="false">M279/$R$3</f>
        <v>-2306.18035</v>
      </c>
      <c r="W279" s="126" t="n">
        <f aca="false">N279/$R$3</f>
        <v>-2221.37275281252</v>
      </c>
    </row>
    <row r="280" customFormat="false" ht="12.75" hidden="false" customHeight="false" outlineLevel="0" collapsed="false">
      <c r="A280" s="120" t="n">
        <f aca="false">A279+1</f>
        <v>37166</v>
      </c>
      <c r="B280" s="131" t="str">
        <f aca="false">INDEX('Master Data'!$A$2:$B$8,MATCH(WEEKDAY('MM PLANT'!A280,3),'Master Data'!$A$2:$A$8,0),2)</f>
        <v>T</v>
      </c>
      <c r="D280" s="124" t="n">
        <v>0</v>
      </c>
      <c r="E280" s="124" t="n">
        <v>0</v>
      </c>
      <c r="F280" s="124" t="n">
        <v>0</v>
      </c>
      <c r="G280" s="124" t="n">
        <v>0</v>
      </c>
      <c r="I280" s="124" t="n">
        <f aca="false">IF(MONTH($A280)=MONTH($A279),IF(G280=0,I279,G280),G280)</f>
        <v>0</v>
      </c>
      <c r="J280" s="124" t="n">
        <f aca="false">IF(MONTH($A280)=MONTH($A279),SUM(I280-I279),I280)</f>
        <v>0</v>
      </c>
      <c r="K280" s="124" t="n">
        <f aca="false">IF(WEEKDAY(A280,3)&gt;4,0,(IF(A280&lt;K$2,0,IF(A280&lt;=K$3,1,0))))</f>
        <v>0</v>
      </c>
      <c r="L280" s="124" t="n">
        <f aca="false">J280*K280</f>
        <v>0</v>
      </c>
      <c r="M280" s="124" t="n">
        <f aca="false">SUM(J$280:J280)</f>
        <v>0</v>
      </c>
      <c r="N280" s="124" t="n">
        <f aca="false">SUM(J$6:J280)</f>
        <v>-2221372.75281252</v>
      </c>
      <c r="P280" s="124" t="n">
        <f aca="false">D280/P$3</f>
        <v>0</v>
      </c>
      <c r="Q280" s="124" t="n">
        <f aca="false">E280/P$3</f>
        <v>0</v>
      </c>
      <c r="R280" s="124" t="n">
        <f aca="false">F280/R$3</f>
        <v>0</v>
      </c>
      <c r="S280" s="126" t="n">
        <f aca="false">J280/$R$3</f>
        <v>0</v>
      </c>
      <c r="T280" s="126" t="n">
        <f aca="false">L280/$R$3</f>
        <v>0</v>
      </c>
      <c r="U280" s="126" t="n">
        <f aca="false">I280/$R$3</f>
        <v>0</v>
      </c>
      <c r="V280" s="126" t="n">
        <f aca="false">M280/$R$3</f>
        <v>0</v>
      </c>
      <c r="W280" s="126" t="n">
        <f aca="false">N280/$R$3</f>
        <v>-2221.37275281252</v>
      </c>
    </row>
    <row r="281" customFormat="false" ht="12.75" hidden="false" customHeight="false" outlineLevel="0" collapsed="false">
      <c r="A281" s="120" t="n">
        <f aca="false">A280+1</f>
        <v>37167</v>
      </c>
      <c r="B281" s="131" t="str">
        <f aca="false">INDEX('Master Data'!$A$2:$B$8,MATCH(WEEKDAY('MM PLANT'!A281,3),'Master Data'!$A$2:$A$8,0),2)</f>
        <v>W</v>
      </c>
      <c r="D281" s="124" t="n">
        <v>0</v>
      </c>
      <c r="E281" s="124" t="n">
        <v>0</v>
      </c>
      <c r="F281" s="124" t="n">
        <v>0</v>
      </c>
      <c r="G281" s="124" t="n">
        <v>0</v>
      </c>
      <c r="I281" s="124" t="n">
        <f aca="false">IF(MONTH($A281)=MONTH($A280),IF(G281=0,I280,G281),G281)</f>
        <v>0</v>
      </c>
      <c r="J281" s="124" t="n">
        <f aca="false">IF(MONTH($A281)=MONTH($A280),SUM(I281-I280),I281)</f>
        <v>0</v>
      </c>
      <c r="K281" s="124" t="n">
        <f aca="false">IF(WEEKDAY(A281,3)&gt;4,0,(IF(A281&lt;K$2,0,IF(A281&lt;=K$3,1,0))))</f>
        <v>0</v>
      </c>
      <c r="L281" s="124" t="n">
        <f aca="false">J281*K281</f>
        <v>0</v>
      </c>
      <c r="M281" s="124" t="n">
        <f aca="false">SUM(J$280:J281)</f>
        <v>0</v>
      </c>
      <c r="N281" s="124" t="n">
        <f aca="false">SUM(J$6:J281)</f>
        <v>-2221372.75281252</v>
      </c>
      <c r="P281" s="124" t="n">
        <f aca="false">D281/P$3</f>
        <v>0</v>
      </c>
      <c r="Q281" s="124" t="n">
        <f aca="false">E281/P$3</f>
        <v>0</v>
      </c>
      <c r="R281" s="124" t="n">
        <f aca="false">F281/R$3</f>
        <v>0</v>
      </c>
      <c r="S281" s="126" t="n">
        <f aca="false">J281/$R$3</f>
        <v>0</v>
      </c>
      <c r="T281" s="126" t="n">
        <f aca="false">L281/$R$3</f>
        <v>0</v>
      </c>
      <c r="U281" s="126" t="n">
        <f aca="false">I281/$R$3</f>
        <v>0</v>
      </c>
      <c r="V281" s="126" t="n">
        <f aca="false">M281/$R$3</f>
        <v>0</v>
      </c>
      <c r="W281" s="126" t="n">
        <f aca="false">N281/$R$3</f>
        <v>-2221.37275281252</v>
      </c>
    </row>
    <row r="282" customFormat="false" ht="12.75" hidden="false" customHeight="false" outlineLevel="0" collapsed="false">
      <c r="A282" s="120" t="n">
        <f aca="false">A281+1</f>
        <v>37168</v>
      </c>
      <c r="B282" s="131" t="str">
        <f aca="false">INDEX('Master Data'!$A$2:$B$8,MATCH(WEEKDAY('MM PLANT'!A282,3),'Master Data'!$A$2:$A$8,0),2)</f>
        <v>Th</v>
      </c>
      <c r="D282" s="124" t="n">
        <v>0</v>
      </c>
      <c r="E282" s="124" t="n">
        <v>0</v>
      </c>
      <c r="F282" s="124" t="n">
        <v>0</v>
      </c>
      <c r="G282" s="124" t="n">
        <v>0</v>
      </c>
      <c r="I282" s="124" t="n">
        <f aca="false">IF(MONTH($A282)=MONTH($A281),IF(G282=0,I281,G282),G282)</f>
        <v>0</v>
      </c>
      <c r="J282" s="124" t="n">
        <f aca="false">IF(MONTH($A282)=MONTH($A281),SUM(I282-I281),I282)</f>
        <v>0</v>
      </c>
      <c r="K282" s="124" t="n">
        <f aca="false">IF(WEEKDAY(A282,3)&gt;4,0,(IF(A282&lt;K$2,0,IF(A282&lt;=K$3,1,0))))</f>
        <v>0</v>
      </c>
      <c r="L282" s="124" t="n">
        <f aca="false">J282*K282</f>
        <v>0</v>
      </c>
      <c r="M282" s="124" t="n">
        <f aca="false">SUM(J$280:J282)</f>
        <v>0</v>
      </c>
      <c r="N282" s="124" t="n">
        <f aca="false">SUM(J$6:J282)</f>
        <v>-2221372.75281252</v>
      </c>
      <c r="P282" s="124" t="n">
        <f aca="false">D282/P$3</f>
        <v>0</v>
      </c>
      <c r="Q282" s="124" t="n">
        <f aca="false">E282/P$3</f>
        <v>0</v>
      </c>
      <c r="R282" s="124" t="n">
        <f aca="false">F282/R$3</f>
        <v>0</v>
      </c>
      <c r="S282" s="126" t="n">
        <f aca="false">J282/$R$3</f>
        <v>0</v>
      </c>
      <c r="T282" s="126" t="n">
        <f aca="false">L282/$R$3</f>
        <v>0</v>
      </c>
      <c r="U282" s="126" t="n">
        <f aca="false">I282/$R$3</f>
        <v>0</v>
      </c>
      <c r="V282" s="126" t="n">
        <f aca="false">M282/$R$3</f>
        <v>0</v>
      </c>
      <c r="W282" s="126" t="n">
        <f aca="false">N282/$R$3</f>
        <v>-2221.37275281252</v>
      </c>
    </row>
    <row r="283" customFormat="false" ht="12.75" hidden="false" customHeight="false" outlineLevel="0" collapsed="false">
      <c r="A283" s="120" t="n">
        <f aca="false">A282+1</f>
        <v>37169</v>
      </c>
      <c r="B283" s="131" t="str">
        <f aca="false">INDEX('Master Data'!$A$2:$B$8,MATCH(WEEKDAY('MM PLANT'!A283,3),'Master Data'!$A$2:$A$8,0),2)</f>
        <v>F</v>
      </c>
      <c r="D283" s="124" t="n">
        <v>0</v>
      </c>
      <c r="E283" s="124" t="n">
        <v>0</v>
      </c>
      <c r="F283" s="124" t="n">
        <v>0</v>
      </c>
      <c r="G283" s="124" t="n">
        <v>0</v>
      </c>
      <c r="I283" s="124" t="n">
        <f aca="false">IF(MONTH($A283)=MONTH($A282),IF(G283=0,I282,G283),G283)</f>
        <v>0</v>
      </c>
      <c r="J283" s="124" t="n">
        <f aca="false">IF(MONTH($A283)=MONTH($A282),SUM(I283-I282),I283)</f>
        <v>0</v>
      </c>
      <c r="K283" s="124" t="n">
        <f aca="false">IF(WEEKDAY(A283,3)&gt;4,0,(IF(A283&lt;K$2,0,IF(A283&lt;=K$3,1,0))))</f>
        <v>0</v>
      </c>
      <c r="L283" s="124" t="n">
        <f aca="false">J283*K283</f>
        <v>0</v>
      </c>
      <c r="M283" s="124" t="n">
        <f aca="false">SUM(J$280:J283)</f>
        <v>0</v>
      </c>
      <c r="N283" s="124" t="n">
        <f aca="false">SUM(J$6:J283)</f>
        <v>-2221372.75281252</v>
      </c>
      <c r="P283" s="124" t="n">
        <f aca="false">D283/P$3</f>
        <v>0</v>
      </c>
      <c r="Q283" s="124" t="n">
        <f aca="false">E283/P$3</f>
        <v>0</v>
      </c>
      <c r="R283" s="124" t="n">
        <f aca="false">F283/R$3</f>
        <v>0</v>
      </c>
      <c r="S283" s="126" t="n">
        <f aca="false">J283/$R$3</f>
        <v>0</v>
      </c>
      <c r="T283" s="126" t="n">
        <f aca="false">L283/$R$3</f>
        <v>0</v>
      </c>
      <c r="U283" s="126" t="n">
        <f aca="false">I283/$R$3</f>
        <v>0</v>
      </c>
      <c r="V283" s="126" t="n">
        <f aca="false">M283/$R$3</f>
        <v>0</v>
      </c>
      <c r="W283" s="126" t="n">
        <f aca="false">N283/$R$3</f>
        <v>-2221.37275281252</v>
      </c>
    </row>
    <row r="284" customFormat="false" ht="12.75" hidden="false" customHeight="false" outlineLevel="0" collapsed="false">
      <c r="A284" s="120" t="n">
        <f aca="false">A283+1</f>
        <v>37170</v>
      </c>
      <c r="B284" s="131" t="str">
        <f aca="false">INDEX('Master Data'!$A$2:$B$8,MATCH(WEEKDAY('MM PLANT'!A284,3),'Master Data'!$A$2:$A$8,0),2)</f>
        <v>Sa</v>
      </c>
      <c r="D284" s="124" t="n">
        <v>0</v>
      </c>
      <c r="E284" s="124" t="n">
        <v>0</v>
      </c>
      <c r="F284" s="124" t="n">
        <v>0</v>
      </c>
      <c r="G284" s="124" t="n">
        <v>0</v>
      </c>
      <c r="I284" s="124" t="n">
        <f aca="false">IF(MONTH($A284)=MONTH($A283),IF(G284=0,I283,G284),G284)</f>
        <v>0</v>
      </c>
      <c r="J284" s="124" t="n">
        <f aca="false">IF(MONTH($A284)=MONTH($A283),SUM(I284-I283),I284)</f>
        <v>0</v>
      </c>
      <c r="K284" s="124" t="n">
        <f aca="false">IF(WEEKDAY(A284,3)&gt;4,0,(IF(A284&lt;K$2,0,IF(A284&lt;=K$3,1,0))))</f>
        <v>0</v>
      </c>
      <c r="L284" s="124" t="n">
        <f aca="false">J284*K284</f>
        <v>0</v>
      </c>
      <c r="M284" s="124" t="n">
        <f aca="false">SUM(J$280:J284)</f>
        <v>0</v>
      </c>
      <c r="N284" s="124" t="n">
        <f aca="false">SUM(J$6:J284)</f>
        <v>-2221372.75281252</v>
      </c>
      <c r="P284" s="124" t="n">
        <f aca="false">D284/P$3</f>
        <v>0</v>
      </c>
      <c r="Q284" s="124" t="n">
        <f aca="false">E284/P$3</f>
        <v>0</v>
      </c>
      <c r="R284" s="124" t="n">
        <f aca="false">F284/R$3</f>
        <v>0</v>
      </c>
      <c r="S284" s="126" t="n">
        <f aca="false">J284/$R$3</f>
        <v>0</v>
      </c>
      <c r="T284" s="126" t="n">
        <f aca="false">L284/$R$3</f>
        <v>0</v>
      </c>
      <c r="U284" s="126" t="n">
        <f aca="false">I284/$R$3</f>
        <v>0</v>
      </c>
      <c r="V284" s="126" t="n">
        <f aca="false">M284/$R$3</f>
        <v>0</v>
      </c>
      <c r="W284" s="126" t="n">
        <f aca="false">N284/$R$3</f>
        <v>-2221.37275281252</v>
      </c>
    </row>
    <row r="285" customFormat="false" ht="12.75" hidden="false" customHeight="false" outlineLevel="0" collapsed="false">
      <c r="A285" s="120" t="n">
        <f aca="false">A284+1</f>
        <v>37171</v>
      </c>
      <c r="B285" s="131" t="str">
        <f aca="false">INDEX('Master Data'!$A$2:$B$8,MATCH(WEEKDAY('MM PLANT'!A285,3),'Master Data'!$A$2:$A$8,0),2)</f>
        <v>Su</v>
      </c>
      <c r="D285" s="124" t="n">
        <v>0</v>
      </c>
      <c r="E285" s="124" t="n">
        <v>0</v>
      </c>
      <c r="F285" s="124" t="n">
        <v>0</v>
      </c>
      <c r="G285" s="124" t="n">
        <v>0</v>
      </c>
      <c r="I285" s="124" t="n">
        <f aca="false">IF(MONTH($A285)=MONTH($A284),IF(G285=0,I284,G285),G285)</f>
        <v>0</v>
      </c>
      <c r="J285" s="124" t="n">
        <f aca="false">IF(MONTH($A285)=MONTH($A284),SUM(I285-I284),I285)</f>
        <v>0</v>
      </c>
      <c r="K285" s="124" t="n">
        <f aca="false">IF(WEEKDAY(A285,3)&gt;4,0,(IF(A285&lt;K$2,0,IF(A285&lt;=K$3,1,0))))</f>
        <v>0</v>
      </c>
      <c r="L285" s="124" t="n">
        <f aca="false">J285*K285</f>
        <v>0</v>
      </c>
      <c r="M285" s="124" t="n">
        <f aca="false">SUM(J$280:J285)</f>
        <v>0</v>
      </c>
      <c r="N285" s="124" t="n">
        <f aca="false">SUM(J$6:J285)</f>
        <v>-2221372.75281252</v>
      </c>
      <c r="P285" s="124" t="n">
        <f aca="false">D285/P$3</f>
        <v>0</v>
      </c>
      <c r="Q285" s="124" t="n">
        <f aca="false">E285/P$3</f>
        <v>0</v>
      </c>
      <c r="R285" s="124" t="n">
        <f aca="false">F285/R$3</f>
        <v>0</v>
      </c>
      <c r="S285" s="126" t="n">
        <f aca="false">J285/$R$3</f>
        <v>0</v>
      </c>
      <c r="T285" s="126" t="n">
        <f aca="false">L285/$R$3</f>
        <v>0</v>
      </c>
      <c r="U285" s="126" t="n">
        <f aca="false">I285/$R$3</f>
        <v>0</v>
      </c>
      <c r="V285" s="126" t="n">
        <f aca="false">M285/$R$3</f>
        <v>0</v>
      </c>
      <c r="W285" s="126" t="n">
        <f aca="false">N285/$R$3</f>
        <v>-2221.37275281252</v>
      </c>
    </row>
    <row r="286" customFormat="false" ht="12.75" hidden="false" customHeight="false" outlineLevel="0" collapsed="false">
      <c r="A286" s="120" t="n">
        <f aca="false">A285+1</f>
        <v>37172</v>
      </c>
      <c r="B286" s="131" t="str">
        <f aca="false">INDEX('Master Data'!$A$2:$B$8,MATCH(WEEKDAY('MM PLANT'!A286,3),'Master Data'!$A$2:$A$8,0),2)</f>
        <v>M</v>
      </c>
      <c r="D286" s="124" t="n">
        <v>0</v>
      </c>
      <c r="E286" s="124" t="n">
        <v>0</v>
      </c>
      <c r="F286" s="124" t="n">
        <v>0</v>
      </c>
      <c r="G286" s="124" t="n">
        <v>0</v>
      </c>
      <c r="I286" s="124" t="n">
        <f aca="false">IF(MONTH($A286)=MONTH($A285),IF(G286=0,I285,G286),G286)</f>
        <v>0</v>
      </c>
      <c r="J286" s="124" t="n">
        <f aca="false">IF(MONTH($A286)=MONTH($A285),SUM(I286-I285),I286)</f>
        <v>0</v>
      </c>
      <c r="K286" s="124" t="n">
        <f aca="false">IF(WEEKDAY(A286,3)&gt;4,0,(IF(A286&lt;K$2,0,IF(A286&lt;=K$3,1,0))))</f>
        <v>0</v>
      </c>
      <c r="L286" s="124" t="n">
        <f aca="false">J286*K286</f>
        <v>0</v>
      </c>
      <c r="M286" s="124" t="n">
        <f aca="false">SUM(J$280:J286)</f>
        <v>0</v>
      </c>
      <c r="N286" s="124" t="n">
        <f aca="false">SUM(J$6:J286)</f>
        <v>-2221372.75281252</v>
      </c>
      <c r="P286" s="124" t="n">
        <f aca="false">D286/P$3</f>
        <v>0</v>
      </c>
      <c r="Q286" s="124" t="n">
        <f aca="false">E286/P$3</f>
        <v>0</v>
      </c>
      <c r="R286" s="124" t="n">
        <f aca="false">F286/R$3</f>
        <v>0</v>
      </c>
      <c r="S286" s="126" t="n">
        <f aca="false">J286/$R$3</f>
        <v>0</v>
      </c>
      <c r="T286" s="126" t="n">
        <f aca="false">L286/$R$3</f>
        <v>0</v>
      </c>
      <c r="U286" s="126" t="n">
        <f aca="false">I286/$R$3</f>
        <v>0</v>
      </c>
      <c r="V286" s="126" t="n">
        <f aca="false">M286/$R$3</f>
        <v>0</v>
      </c>
      <c r="W286" s="126" t="n">
        <f aca="false">N286/$R$3</f>
        <v>-2221.37275281252</v>
      </c>
    </row>
    <row r="287" customFormat="false" ht="12.75" hidden="false" customHeight="false" outlineLevel="0" collapsed="false">
      <c r="A287" s="120" t="n">
        <f aca="false">A286+1</f>
        <v>37173</v>
      </c>
      <c r="B287" s="131" t="str">
        <f aca="false">INDEX('Master Data'!$A$2:$B$8,MATCH(WEEKDAY('MM PLANT'!A287,3),'Master Data'!$A$2:$A$8,0),2)</f>
        <v>T</v>
      </c>
      <c r="D287" s="124" t="n">
        <v>0</v>
      </c>
      <c r="E287" s="124" t="n">
        <v>0</v>
      </c>
      <c r="F287" s="124" t="n">
        <v>0</v>
      </c>
      <c r="G287" s="124" t="n">
        <v>0</v>
      </c>
      <c r="I287" s="124" t="n">
        <f aca="false">IF(MONTH($A287)=MONTH($A286),IF(G287=0,I286,G287),G287)</f>
        <v>0</v>
      </c>
      <c r="J287" s="124" t="n">
        <f aca="false">IF(MONTH($A287)=MONTH($A286),SUM(I287-I286),I287)</f>
        <v>0</v>
      </c>
      <c r="K287" s="124" t="n">
        <f aca="false">IF(WEEKDAY(A287,3)&gt;4,0,(IF(A287&lt;K$2,0,IF(A287&lt;=K$3,1,0))))</f>
        <v>0</v>
      </c>
      <c r="L287" s="124" t="n">
        <f aca="false">J287*K287</f>
        <v>0</v>
      </c>
      <c r="M287" s="124" t="n">
        <f aca="false">SUM(J$280:J287)</f>
        <v>0</v>
      </c>
      <c r="N287" s="124" t="n">
        <f aca="false">SUM(J$6:J287)</f>
        <v>-2221372.75281252</v>
      </c>
      <c r="P287" s="124" t="n">
        <f aca="false">D287/P$3</f>
        <v>0</v>
      </c>
      <c r="Q287" s="124" t="n">
        <f aca="false">E287/P$3</f>
        <v>0</v>
      </c>
      <c r="R287" s="124" t="n">
        <f aca="false">F287/R$3</f>
        <v>0</v>
      </c>
      <c r="S287" s="126" t="n">
        <f aca="false">J287/$R$3</f>
        <v>0</v>
      </c>
      <c r="T287" s="126" t="n">
        <f aca="false">L287/$R$3</f>
        <v>0</v>
      </c>
      <c r="U287" s="126" t="n">
        <f aca="false">I287/$R$3</f>
        <v>0</v>
      </c>
      <c r="V287" s="126" t="n">
        <f aca="false">M287/$R$3</f>
        <v>0</v>
      </c>
      <c r="W287" s="126" t="n">
        <f aca="false">N287/$R$3</f>
        <v>-2221.37275281252</v>
      </c>
    </row>
    <row r="288" customFormat="false" ht="12.75" hidden="false" customHeight="false" outlineLevel="0" collapsed="false">
      <c r="A288" s="120" t="n">
        <f aca="false">A287+1</f>
        <v>37174</v>
      </c>
      <c r="B288" s="131" t="str">
        <f aca="false">INDEX('Master Data'!$A$2:$B$8,MATCH(WEEKDAY('MM PLANT'!A288,3),'Master Data'!$A$2:$A$8,0),2)</f>
        <v>W</v>
      </c>
      <c r="D288" s="124" t="n">
        <v>0</v>
      </c>
      <c r="E288" s="124" t="n">
        <v>0</v>
      </c>
      <c r="F288" s="124" t="n">
        <v>0</v>
      </c>
      <c r="G288" s="124" t="n">
        <v>0</v>
      </c>
      <c r="I288" s="124" t="n">
        <f aca="false">IF(MONTH($A288)=MONTH($A287),IF(G288=0,I287,G288),G288)</f>
        <v>0</v>
      </c>
      <c r="J288" s="124" t="n">
        <f aca="false">IF(MONTH($A288)=MONTH($A287),SUM(I288-I287),I288)</f>
        <v>0</v>
      </c>
      <c r="K288" s="124" t="n">
        <f aca="false">IF(WEEKDAY(A288,3)&gt;4,0,(IF(A288&lt;K$2,0,IF(A288&lt;=K$3,1,0))))</f>
        <v>0</v>
      </c>
      <c r="L288" s="124" t="n">
        <f aca="false">J288*K288</f>
        <v>0</v>
      </c>
      <c r="M288" s="124" t="n">
        <f aca="false">SUM(J$280:J288)</f>
        <v>0</v>
      </c>
      <c r="N288" s="124" t="n">
        <f aca="false">SUM(J$6:J288)</f>
        <v>-2221372.75281252</v>
      </c>
      <c r="P288" s="124" t="n">
        <f aca="false">D288/P$3</f>
        <v>0</v>
      </c>
      <c r="Q288" s="124" t="n">
        <f aca="false">E288/P$3</f>
        <v>0</v>
      </c>
      <c r="R288" s="124" t="n">
        <f aca="false">F288/R$3</f>
        <v>0</v>
      </c>
      <c r="S288" s="126" t="n">
        <f aca="false">J288/$R$3</f>
        <v>0</v>
      </c>
      <c r="T288" s="126" t="n">
        <f aca="false">L288/$R$3</f>
        <v>0</v>
      </c>
      <c r="U288" s="126" t="n">
        <f aca="false">I288/$R$3</f>
        <v>0</v>
      </c>
      <c r="V288" s="126" t="n">
        <f aca="false">M288/$R$3</f>
        <v>0</v>
      </c>
      <c r="W288" s="126" t="n">
        <f aca="false">N288/$R$3</f>
        <v>-2221.37275281252</v>
      </c>
    </row>
    <row r="289" customFormat="false" ht="12.75" hidden="false" customHeight="false" outlineLevel="0" collapsed="false">
      <c r="A289" s="120" t="n">
        <f aca="false">A288+1</f>
        <v>37175</v>
      </c>
      <c r="B289" s="131" t="str">
        <f aca="false">INDEX('Master Data'!$A$2:$B$8,MATCH(WEEKDAY('MM PLANT'!A289,3),'Master Data'!$A$2:$A$8,0),2)</f>
        <v>Th</v>
      </c>
      <c r="D289" s="124" t="n">
        <v>0</v>
      </c>
      <c r="E289" s="124" t="n">
        <v>0</v>
      </c>
      <c r="F289" s="124" t="n">
        <v>0</v>
      </c>
      <c r="G289" s="124" t="n">
        <v>0</v>
      </c>
      <c r="I289" s="124" t="n">
        <f aca="false">IF(MONTH($A289)=MONTH($A288),IF(G289=0,I288,G289),G289)</f>
        <v>0</v>
      </c>
      <c r="J289" s="124" t="n">
        <f aca="false">IF(MONTH($A289)=MONTH($A288),SUM(I289-I288),I289)</f>
        <v>0</v>
      </c>
      <c r="K289" s="124" t="n">
        <f aca="false">IF(WEEKDAY(A289,3)&gt;4,0,(IF(A289&lt;K$2,0,IF(A289&lt;=K$3,1,0))))</f>
        <v>0</v>
      </c>
      <c r="L289" s="124" t="n">
        <f aca="false">J289*K289</f>
        <v>0</v>
      </c>
      <c r="M289" s="124" t="n">
        <f aca="false">SUM(J$280:J289)</f>
        <v>0</v>
      </c>
      <c r="N289" s="124" t="n">
        <f aca="false">SUM(J$6:J289)</f>
        <v>-2221372.75281252</v>
      </c>
      <c r="P289" s="124" t="n">
        <f aca="false">D289/P$3</f>
        <v>0</v>
      </c>
      <c r="Q289" s="124" t="n">
        <f aca="false">E289/P$3</f>
        <v>0</v>
      </c>
      <c r="R289" s="124" t="n">
        <f aca="false">F289/R$3</f>
        <v>0</v>
      </c>
      <c r="S289" s="126" t="n">
        <f aca="false">J289/$R$3</f>
        <v>0</v>
      </c>
      <c r="T289" s="126" t="n">
        <f aca="false">L289/$R$3</f>
        <v>0</v>
      </c>
      <c r="U289" s="126" t="n">
        <f aca="false">I289/$R$3</f>
        <v>0</v>
      </c>
      <c r="V289" s="126" t="n">
        <f aca="false">M289/$R$3</f>
        <v>0</v>
      </c>
      <c r="W289" s="126" t="n">
        <f aca="false">N289/$R$3</f>
        <v>-2221.37275281252</v>
      </c>
    </row>
    <row r="290" customFormat="false" ht="12.75" hidden="false" customHeight="false" outlineLevel="0" collapsed="false">
      <c r="A290" s="120" t="n">
        <f aca="false">A289+1</f>
        <v>37176</v>
      </c>
      <c r="B290" s="131" t="str">
        <f aca="false">INDEX('Master Data'!$A$2:$B$8,MATCH(WEEKDAY('MM PLANT'!A290,3),'Master Data'!$A$2:$A$8,0),2)</f>
        <v>F</v>
      </c>
      <c r="D290" s="124" t="n">
        <v>0</v>
      </c>
      <c r="E290" s="124" t="n">
        <v>0</v>
      </c>
      <c r="F290" s="124" t="n">
        <v>0</v>
      </c>
      <c r="G290" s="124" t="n">
        <v>0</v>
      </c>
      <c r="I290" s="124" t="n">
        <f aca="false">IF(MONTH($A290)=MONTH($A289),IF(G290=0,I289,G290),G290)</f>
        <v>0</v>
      </c>
      <c r="J290" s="124" t="n">
        <f aca="false">IF(MONTH($A290)=MONTH($A289),SUM(I290-I289),I290)</f>
        <v>0</v>
      </c>
      <c r="K290" s="124" t="n">
        <f aca="false">IF(WEEKDAY(A290,3)&gt;4,0,(IF(A290&lt;K$2,0,IF(A290&lt;=K$3,1,0))))</f>
        <v>0</v>
      </c>
      <c r="L290" s="124" t="n">
        <f aca="false">J290*K290</f>
        <v>0</v>
      </c>
      <c r="M290" s="124" t="n">
        <f aca="false">SUM(J$280:J290)</f>
        <v>0</v>
      </c>
      <c r="N290" s="124" t="n">
        <f aca="false">SUM(J$6:J290)</f>
        <v>-2221372.75281252</v>
      </c>
      <c r="P290" s="124" t="n">
        <f aca="false">D290/P$3</f>
        <v>0</v>
      </c>
      <c r="Q290" s="124" t="n">
        <f aca="false">E290/P$3</f>
        <v>0</v>
      </c>
      <c r="R290" s="124" t="n">
        <f aca="false">F290/R$3</f>
        <v>0</v>
      </c>
      <c r="S290" s="126" t="n">
        <f aca="false">J290/$R$3</f>
        <v>0</v>
      </c>
      <c r="T290" s="126" t="n">
        <f aca="false">L290/$R$3</f>
        <v>0</v>
      </c>
      <c r="U290" s="126" t="n">
        <f aca="false">I290/$R$3</f>
        <v>0</v>
      </c>
      <c r="V290" s="126" t="n">
        <f aca="false">M290/$R$3</f>
        <v>0</v>
      </c>
      <c r="W290" s="126" t="n">
        <f aca="false">N290/$R$3</f>
        <v>-2221.37275281252</v>
      </c>
    </row>
    <row r="291" customFormat="false" ht="12.75" hidden="false" customHeight="false" outlineLevel="0" collapsed="false">
      <c r="A291" s="120" t="n">
        <f aca="false">A290+1</f>
        <v>37177</v>
      </c>
      <c r="B291" s="131" t="str">
        <f aca="false">INDEX('Master Data'!$A$2:$B$8,MATCH(WEEKDAY('MM PLANT'!A291,3),'Master Data'!$A$2:$A$8,0),2)</f>
        <v>Sa</v>
      </c>
      <c r="D291" s="124" t="n">
        <v>0</v>
      </c>
      <c r="E291" s="124" t="n">
        <v>0</v>
      </c>
      <c r="F291" s="124" t="n">
        <v>0</v>
      </c>
      <c r="G291" s="124" t="n">
        <v>0</v>
      </c>
      <c r="I291" s="124" t="n">
        <f aca="false">IF(MONTH($A291)=MONTH($A290),IF(G291=0,I290,G291),G291)</f>
        <v>0</v>
      </c>
      <c r="J291" s="124" t="n">
        <f aca="false">IF(MONTH($A291)=MONTH($A290),SUM(I291-I290),I291)</f>
        <v>0</v>
      </c>
      <c r="K291" s="124" t="n">
        <f aca="false">IF(WEEKDAY(A291,3)&gt;4,0,(IF(A291&lt;K$2,0,IF(A291&lt;=K$3,1,0))))</f>
        <v>0</v>
      </c>
      <c r="L291" s="124" t="n">
        <f aca="false">J291*K291</f>
        <v>0</v>
      </c>
      <c r="M291" s="124" t="n">
        <f aca="false">SUM(J$280:J291)</f>
        <v>0</v>
      </c>
      <c r="N291" s="124" t="n">
        <f aca="false">SUM(J$6:J291)</f>
        <v>-2221372.75281252</v>
      </c>
      <c r="P291" s="124" t="n">
        <f aca="false">D291/P$3</f>
        <v>0</v>
      </c>
      <c r="Q291" s="124" t="n">
        <f aca="false">E291/P$3</f>
        <v>0</v>
      </c>
      <c r="R291" s="124" t="n">
        <f aca="false">F291/R$3</f>
        <v>0</v>
      </c>
      <c r="S291" s="126" t="n">
        <f aca="false">J291/$R$3</f>
        <v>0</v>
      </c>
      <c r="T291" s="126" t="n">
        <f aca="false">L291/$R$3</f>
        <v>0</v>
      </c>
      <c r="U291" s="126" t="n">
        <f aca="false">I291/$R$3</f>
        <v>0</v>
      </c>
      <c r="V291" s="126" t="n">
        <f aca="false">M291/$R$3</f>
        <v>0</v>
      </c>
      <c r="W291" s="126" t="n">
        <f aca="false">N291/$R$3</f>
        <v>-2221.37275281252</v>
      </c>
    </row>
    <row r="292" customFormat="false" ht="12.75" hidden="false" customHeight="false" outlineLevel="0" collapsed="false">
      <c r="A292" s="120" t="n">
        <f aca="false">A291+1</f>
        <v>37178</v>
      </c>
      <c r="B292" s="131" t="str">
        <f aca="false">INDEX('Master Data'!$A$2:$B$8,MATCH(WEEKDAY('MM PLANT'!A292,3),'Master Data'!$A$2:$A$8,0),2)</f>
        <v>Su</v>
      </c>
      <c r="D292" s="124" t="n">
        <v>0</v>
      </c>
      <c r="E292" s="124" t="n">
        <v>0</v>
      </c>
      <c r="F292" s="124" t="n">
        <v>0</v>
      </c>
      <c r="G292" s="124" t="n">
        <v>0</v>
      </c>
      <c r="I292" s="124" t="n">
        <f aca="false">IF(MONTH($A292)=MONTH($A291),IF(G292=0,I291,G292),G292)</f>
        <v>0</v>
      </c>
      <c r="J292" s="124" t="n">
        <f aca="false">IF(MONTH($A292)=MONTH($A291),SUM(I292-I291),I292)</f>
        <v>0</v>
      </c>
      <c r="K292" s="124" t="n">
        <f aca="false">IF(WEEKDAY(A292,3)&gt;4,0,(IF(A292&lt;K$2,0,IF(A292&lt;=K$3,1,0))))</f>
        <v>0</v>
      </c>
      <c r="L292" s="124" t="n">
        <f aca="false">J292*K292</f>
        <v>0</v>
      </c>
      <c r="M292" s="124" t="n">
        <f aca="false">SUM(J$280:J292)</f>
        <v>0</v>
      </c>
      <c r="N292" s="124" t="n">
        <f aca="false">SUM(J$6:J292)</f>
        <v>-2221372.75281252</v>
      </c>
      <c r="P292" s="124" t="n">
        <f aca="false">D292/P$3</f>
        <v>0</v>
      </c>
      <c r="Q292" s="124" t="n">
        <f aca="false">E292/P$3</f>
        <v>0</v>
      </c>
      <c r="R292" s="124" t="n">
        <f aca="false">F292/R$3</f>
        <v>0</v>
      </c>
      <c r="S292" s="126" t="n">
        <f aca="false">J292/$R$3</f>
        <v>0</v>
      </c>
      <c r="T292" s="126" t="n">
        <f aca="false">L292/$R$3</f>
        <v>0</v>
      </c>
      <c r="U292" s="126" t="n">
        <f aca="false">I292/$R$3</f>
        <v>0</v>
      </c>
      <c r="V292" s="126" t="n">
        <f aca="false">M292/$R$3</f>
        <v>0</v>
      </c>
      <c r="W292" s="126" t="n">
        <f aca="false">N292/$R$3</f>
        <v>-2221.37275281252</v>
      </c>
    </row>
    <row r="293" customFormat="false" ht="12.75" hidden="false" customHeight="false" outlineLevel="0" collapsed="false">
      <c r="A293" s="120" t="n">
        <f aca="false">A292+1</f>
        <v>37179</v>
      </c>
      <c r="B293" s="131" t="str">
        <f aca="false">INDEX('Master Data'!$A$2:$B$8,MATCH(WEEKDAY('MM PLANT'!A293,3),'Master Data'!$A$2:$A$8,0),2)</f>
        <v>M</v>
      </c>
      <c r="D293" s="124" t="n">
        <v>0</v>
      </c>
      <c r="E293" s="124" t="n">
        <v>0</v>
      </c>
      <c r="F293" s="124" t="n">
        <v>0</v>
      </c>
      <c r="G293" s="124" t="n">
        <v>0</v>
      </c>
      <c r="I293" s="124" t="n">
        <f aca="false">IF(MONTH($A293)=MONTH($A292),IF(G293=0,I292,G293),G293)</f>
        <v>0</v>
      </c>
      <c r="J293" s="124" t="n">
        <f aca="false">IF(MONTH($A293)=MONTH($A292),SUM(I293-I292),I293)</f>
        <v>0</v>
      </c>
      <c r="K293" s="124" t="n">
        <f aca="false">IF(WEEKDAY(A293,3)&gt;4,0,(IF(A293&lt;K$2,0,IF(A293&lt;=K$3,1,0))))</f>
        <v>0</v>
      </c>
      <c r="L293" s="124" t="n">
        <f aca="false">J293*K293</f>
        <v>0</v>
      </c>
      <c r="M293" s="124" t="n">
        <f aca="false">SUM(J$280:J293)</f>
        <v>0</v>
      </c>
      <c r="N293" s="124" t="n">
        <f aca="false">SUM(J$6:J293)</f>
        <v>-2221372.75281252</v>
      </c>
      <c r="P293" s="124" t="n">
        <f aca="false">D293/P$3</f>
        <v>0</v>
      </c>
      <c r="Q293" s="124" t="n">
        <f aca="false">E293/P$3</f>
        <v>0</v>
      </c>
      <c r="R293" s="124" t="n">
        <f aca="false">F293/R$3</f>
        <v>0</v>
      </c>
      <c r="S293" s="126" t="n">
        <f aca="false">J293/$R$3</f>
        <v>0</v>
      </c>
      <c r="T293" s="126" t="n">
        <f aca="false">L293/$R$3</f>
        <v>0</v>
      </c>
      <c r="U293" s="126" t="n">
        <f aca="false">I293/$R$3</f>
        <v>0</v>
      </c>
      <c r="V293" s="126" t="n">
        <f aca="false">M293/$R$3</f>
        <v>0</v>
      </c>
      <c r="W293" s="126" t="n">
        <f aca="false">N293/$R$3</f>
        <v>-2221.37275281252</v>
      </c>
    </row>
    <row r="294" customFormat="false" ht="12.75" hidden="false" customHeight="false" outlineLevel="0" collapsed="false">
      <c r="A294" s="120" t="n">
        <f aca="false">A293+1</f>
        <v>37180</v>
      </c>
      <c r="B294" s="131" t="str">
        <f aca="false">INDEX('Master Data'!$A$2:$B$8,MATCH(WEEKDAY('MM PLANT'!A294,3),'Master Data'!$A$2:$A$8,0),2)</f>
        <v>T</v>
      </c>
      <c r="D294" s="124" t="n">
        <v>0</v>
      </c>
      <c r="E294" s="124" t="n">
        <v>0</v>
      </c>
      <c r="F294" s="124" t="n">
        <v>0</v>
      </c>
      <c r="G294" s="124" t="n">
        <v>0</v>
      </c>
      <c r="I294" s="124" t="n">
        <f aca="false">IF(MONTH($A294)=MONTH($A293),IF(G294=0,I293,G294),G294)</f>
        <v>0</v>
      </c>
      <c r="J294" s="124" t="n">
        <f aca="false">IF(MONTH($A294)=MONTH($A293),SUM(I294-I293),I294)</f>
        <v>0</v>
      </c>
      <c r="K294" s="124" t="n">
        <f aca="false">IF(WEEKDAY(A294,3)&gt;4,0,(IF(A294&lt;K$2,0,IF(A294&lt;=K$3,1,0))))</f>
        <v>0</v>
      </c>
      <c r="L294" s="124" t="n">
        <f aca="false">J294*K294</f>
        <v>0</v>
      </c>
      <c r="M294" s="124" t="n">
        <f aca="false">SUM(J$280:J294)</f>
        <v>0</v>
      </c>
      <c r="N294" s="124" t="n">
        <f aca="false">SUM(J$6:J294)</f>
        <v>-2221372.75281252</v>
      </c>
      <c r="P294" s="124" t="n">
        <f aca="false">D294/P$3</f>
        <v>0</v>
      </c>
      <c r="Q294" s="124" t="n">
        <f aca="false">E294/P$3</f>
        <v>0</v>
      </c>
      <c r="R294" s="124" t="n">
        <f aca="false">F294/R$3</f>
        <v>0</v>
      </c>
      <c r="S294" s="126" t="n">
        <f aca="false">J294/$R$3</f>
        <v>0</v>
      </c>
      <c r="T294" s="126" t="n">
        <f aca="false">L294/$R$3</f>
        <v>0</v>
      </c>
      <c r="U294" s="126" t="n">
        <f aca="false">I294/$R$3</f>
        <v>0</v>
      </c>
      <c r="V294" s="126" t="n">
        <f aca="false">M294/$R$3</f>
        <v>0</v>
      </c>
      <c r="W294" s="126" t="n">
        <f aca="false">N294/$R$3</f>
        <v>-2221.37275281252</v>
      </c>
    </row>
    <row r="295" customFormat="false" ht="12.75" hidden="false" customHeight="false" outlineLevel="0" collapsed="false">
      <c r="A295" s="120" t="n">
        <f aca="false">A294+1</f>
        <v>37181</v>
      </c>
      <c r="B295" s="131" t="str">
        <f aca="false">INDEX('Master Data'!$A$2:$B$8,MATCH(WEEKDAY('MM PLANT'!A295,3),'Master Data'!$A$2:$A$8,0),2)</f>
        <v>W</v>
      </c>
      <c r="D295" s="124" t="n">
        <v>0</v>
      </c>
      <c r="E295" s="124" t="n">
        <v>0</v>
      </c>
      <c r="F295" s="124" t="n">
        <v>0</v>
      </c>
      <c r="G295" s="124" t="n">
        <v>0</v>
      </c>
      <c r="I295" s="124" t="n">
        <f aca="false">IF(MONTH($A295)=MONTH($A294),IF(G295=0,I294,G295),G295)</f>
        <v>0</v>
      </c>
      <c r="J295" s="124" t="n">
        <f aca="false">IF(MONTH($A295)=MONTH($A294),SUM(I295-I294),I295)</f>
        <v>0</v>
      </c>
      <c r="K295" s="124" t="n">
        <f aca="false">IF(WEEKDAY(A295,3)&gt;4,0,(IF(A295&lt;K$2,0,IF(A295&lt;=K$3,1,0))))</f>
        <v>0</v>
      </c>
      <c r="L295" s="124" t="n">
        <f aca="false">J295*K295</f>
        <v>0</v>
      </c>
      <c r="M295" s="124" t="n">
        <f aca="false">SUM(J$280:J295)</f>
        <v>0</v>
      </c>
      <c r="N295" s="124" t="n">
        <f aca="false">SUM(J$6:J295)</f>
        <v>-2221372.75281252</v>
      </c>
      <c r="P295" s="124" t="n">
        <f aca="false">D295/P$3</f>
        <v>0</v>
      </c>
      <c r="Q295" s="124" t="n">
        <f aca="false">E295/P$3</f>
        <v>0</v>
      </c>
      <c r="R295" s="124" t="n">
        <f aca="false">F295/R$3</f>
        <v>0</v>
      </c>
      <c r="S295" s="126" t="n">
        <f aca="false">J295/$R$3</f>
        <v>0</v>
      </c>
      <c r="T295" s="126" t="n">
        <f aca="false">L295/$R$3</f>
        <v>0</v>
      </c>
      <c r="U295" s="126" t="n">
        <f aca="false">I295/$R$3</f>
        <v>0</v>
      </c>
      <c r="V295" s="126" t="n">
        <f aca="false">M295/$R$3</f>
        <v>0</v>
      </c>
      <c r="W295" s="126" t="n">
        <f aca="false">N295/$R$3</f>
        <v>-2221.37275281252</v>
      </c>
    </row>
    <row r="296" customFormat="false" ht="12.75" hidden="false" customHeight="false" outlineLevel="0" collapsed="false">
      <c r="A296" s="120" t="n">
        <f aca="false">A295+1</f>
        <v>37182</v>
      </c>
      <c r="B296" s="131" t="str">
        <f aca="false">INDEX('Master Data'!$A$2:$B$8,MATCH(WEEKDAY('MM PLANT'!A296,3),'Master Data'!$A$2:$A$8,0),2)</f>
        <v>Th</v>
      </c>
      <c r="D296" s="124" t="n">
        <v>0</v>
      </c>
      <c r="E296" s="124" t="n">
        <v>0</v>
      </c>
      <c r="F296" s="124" t="n">
        <v>0</v>
      </c>
      <c r="G296" s="124" t="n">
        <v>0</v>
      </c>
      <c r="I296" s="124" t="n">
        <f aca="false">IF(MONTH($A296)=MONTH($A295),IF(G296=0,I295,G296),G296)</f>
        <v>0</v>
      </c>
      <c r="J296" s="124" t="n">
        <f aca="false">IF(MONTH($A296)=MONTH($A295),SUM(I296-I295),I296)</f>
        <v>0</v>
      </c>
      <c r="K296" s="124" t="n">
        <f aca="false">IF(WEEKDAY(A296,3)&gt;4,0,(IF(A296&lt;K$2,0,IF(A296&lt;=K$3,1,0))))</f>
        <v>0</v>
      </c>
      <c r="L296" s="124" t="n">
        <f aca="false">J296*K296</f>
        <v>0</v>
      </c>
      <c r="M296" s="124" t="n">
        <f aca="false">SUM(J$280:J296)</f>
        <v>0</v>
      </c>
      <c r="N296" s="124" t="n">
        <f aca="false">SUM(J$6:J296)</f>
        <v>-2221372.75281252</v>
      </c>
      <c r="P296" s="124" t="n">
        <f aca="false">D296/P$3</f>
        <v>0</v>
      </c>
      <c r="Q296" s="124" t="n">
        <f aca="false">E296/P$3</f>
        <v>0</v>
      </c>
      <c r="R296" s="124" t="n">
        <f aca="false">F296/R$3</f>
        <v>0</v>
      </c>
      <c r="S296" s="126" t="n">
        <f aca="false">J296/$R$3</f>
        <v>0</v>
      </c>
      <c r="T296" s="126" t="n">
        <f aca="false">L296/$R$3</f>
        <v>0</v>
      </c>
      <c r="U296" s="126" t="n">
        <f aca="false">I296/$R$3</f>
        <v>0</v>
      </c>
      <c r="V296" s="126" t="n">
        <f aca="false">M296/$R$3</f>
        <v>0</v>
      </c>
      <c r="W296" s="126" t="n">
        <f aca="false">N296/$R$3</f>
        <v>-2221.37275281252</v>
      </c>
    </row>
    <row r="297" customFormat="false" ht="12.75" hidden="false" customHeight="false" outlineLevel="0" collapsed="false">
      <c r="A297" s="120" t="n">
        <f aca="false">A296+1</f>
        <v>37183</v>
      </c>
      <c r="B297" s="131" t="str">
        <f aca="false">INDEX('Master Data'!$A$2:$B$8,MATCH(WEEKDAY('MM PLANT'!A297,3),'Master Data'!$A$2:$A$8,0),2)</f>
        <v>F</v>
      </c>
      <c r="D297" s="124" t="n">
        <v>0</v>
      </c>
      <c r="E297" s="124" t="n">
        <v>0</v>
      </c>
      <c r="F297" s="124" t="n">
        <v>0</v>
      </c>
      <c r="G297" s="124" t="n">
        <v>0</v>
      </c>
      <c r="I297" s="124" t="n">
        <f aca="false">IF(MONTH($A297)=MONTH($A296),IF(G297=0,I296,G297),G297)</f>
        <v>0</v>
      </c>
      <c r="J297" s="124" t="n">
        <f aca="false">IF(MONTH($A297)=MONTH($A296),SUM(I297-I296),I297)</f>
        <v>0</v>
      </c>
      <c r="K297" s="124" t="n">
        <f aca="false">IF(WEEKDAY(A297,3)&gt;4,0,(IF(A297&lt;K$2,0,IF(A297&lt;=K$3,1,0))))</f>
        <v>0</v>
      </c>
      <c r="L297" s="124" t="n">
        <f aca="false">J297*K297</f>
        <v>0</v>
      </c>
      <c r="M297" s="124" t="n">
        <f aca="false">SUM(J$280:J297)</f>
        <v>0</v>
      </c>
      <c r="N297" s="124" t="n">
        <f aca="false">SUM(J$6:J297)</f>
        <v>-2221372.75281252</v>
      </c>
      <c r="P297" s="124" t="n">
        <f aca="false">D297/P$3</f>
        <v>0</v>
      </c>
      <c r="Q297" s="124" t="n">
        <f aca="false">E297/P$3</f>
        <v>0</v>
      </c>
      <c r="R297" s="124" t="n">
        <f aca="false">F297/R$3</f>
        <v>0</v>
      </c>
      <c r="S297" s="126" t="n">
        <f aca="false">J297/$R$3</f>
        <v>0</v>
      </c>
      <c r="T297" s="126" t="n">
        <f aca="false">L297/$R$3</f>
        <v>0</v>
      </c>
      <c r="U297" s="126" t="n">
        <f aca="false">I297/$R$3</f>
        <v>0</v>
      </c>
      <c r="V297" s="126" t="n">
        <f aca="false">M297/$R$3</f>
        <v>0</v>
      </c>
      <c r="W297" s="126" t="n">
        <f aca="false">N297/$R$3</f>
        <v>-2221.37275281252</v>
      </c>
    </row>
    <row r="298" customFormat="false" ht="12.75" hidden="false" customHeight="false" outlineLevel="0" collapsed="false">
      <c r="A298" s="120" t="n">
        <f aca="false">A297+1</f>
        <v>37184</v>
      </c>
      <c r="B298" s="131" t="str">
        <f aca="false">INDEX('Master Data'!$A$2:$B$8,MATCH(WEEKDAY('MM PLANT'!A298,3),'Master Data'!$A$2:$A$8,0),2)</f>
        <v>Sa</v>
      </c>
      <c r="D298" s="124" t="n">
        <v>0</v>
      </c>
      <c r="E298" s="124" t="n">
        <v>0</v>
      </c>
      <c r="F298" s="124" t="n">
        <v>0</v>
      </c>
      <c r="G298" s="124" t="n">
        <v>0</v>
      </c>
      <c r="I298" s="124" t="n">
        <f aca="false">IF(MONTH($A298)=MONTH($A297),IF(G298=0,I297,G298),G298)</f>
        <v>0</v>
      </c>
      <c r="J298" s="124" t="n">
        <f aca="false">IF(MONTH($A298)=MONTH($A297),SUM(I298-I297),I298)</f>
        <v>0</v>
      </c>
      <c r="K298" s="124" t="n">
        <f aca="false">IF(WEEKDAY(A298,3)&gt;4,0,(IF(A298&lt;K$2,0,IF(A298&lt;=K$3,1,0))))</f>
        <v>0</v>
      </c>
      <c r="L298" s="124" t="n">
        <f aca="false">J298*K298</f>
        <v>0</v>
      </c>
      <c r="M298" s="124" t="n">
        <f aca="false">SUM(J$280:J298)</f>
        <v>0</v>
      </c>
      <c r="N298" s="124" t="n">
        <f aca="false">SUM(J$6:J298)</f>
        <v>-2221372.75281252</v>
      </c>
      <c r="P298" s="124" t="n">
        <f aca="false">D298/P$3</f>
        <v>0</v>
      </c>
      <c r="Q298" s="124" t="n">
        <f aca="false">E298/P$3</f>
        <v>0</v>
      </c>
      <c r="R298" s="124" t="n">
        <f aca="false">F298/R$3</f>
        <v>0</v>
      </c>
      <c r="S298" s="126" t="n">
        <f aca="false">J298/$R$3</f>
        <v>0</v>
      </c>
      <c r="T298" s="126" t="n">
        <f aca="false">L298/$R$3</f>
        <v>0</v>
      </c>
      <c r="U298" s="126" t="n">
        <f aca="false">I298/$R$3</f>
        <v>0</v>
      </c>
      <c r="V298" s="126" t="n">
        <f aca="false">M298/$R$3</f>
        <v>0</v>
      </c>
      <c r="W298" s="126" t="n">
        <f aca="false">N298/$R$3</f>
        <v>-2221.37275281252</v>
      </c>
    </row>
    <row r="299" customFormat="false" ht="12.75" hidden="false" customHeight="false" outlineLevel="0" collapsed="false">
      <c r="A299" s="120" t="n">
        <f aca="false">A298+1</f>
        <v>37185</v>
      </c>
      <c r="B299" s="131" t="str">
        <f aca="false">INDEX('Master Data'!$A$2:$B$8,MATCH(WEEKDAY('MM PLANT'!A299,3),'Master Data'!$A$2:$A$8,0),2)</f>
        <v>Su</v>
      </c>
      <c r="D299" s="124" t="n">
        <v>0</v>
      </c>
      <c r="E299" s="124" t="n">
        <v>0</v>
      </c>
      <c r="F299" s="124" t="n">
        <v>0</v>
      </c>
      <c r="G299" s="124" t="n">
        <v>0</v>
      </c>
      <c r="I299" s="124" t="n">
        <f aca="false">IF(MONTH($A299)=MONTH($A298),IF(G299=0,I298,G299),G299)</f>
        <v>0</v>
      </c>
      <c r="J299" s="124" t="n">
        <f aca="false">IF(MONTH($A299)=MONTH($A298),SUM(I299-I298),I299)</f>
        <v>0</v>
      </c>
      <c r="K299" s="124" t="n">
        <f aca="false">IF(WEEKDAY(A299,3)&gt;4,0,(IF(A299&lt;K$2,0,IF(A299&lt;=K$3,1,0))))</f>
        <v>0</v>
      </c>
      <c r="L299" s="124" t="n">
        <f aca="false">J299*K299</f>
        <v>0</v>
      </c>
      <c r="M299" s="124" t="n">
        <f aca="false">SUM(J$280:J299)</f>
        <v>0</v>
      </c>
      <c r="N299" s="124" t="n">
        <f aca="false">SUM(J$6:J299)</f>
        <v>-2221372.75281252</v>
      </c>
      <c r="P299" s="124" t="n">
        <f aca="false">D299/P$3</f>
        <v>0</v>
      </c>
      <c r="Q299" s="124" t="n">
        <f aca="false">E299/P$3</f>
        <v>0</v>
      </c>
      <c r="R299" s="124" t="n">
        <f aca="false">F299/R$3</f>
        <v>0</v>
      </c>
      <c r="S299" s="126" t="n">
        <f aca="false">J299/$R$3</f>
        <v>0</v>
      </c>
      <c r="T299" s="126" t="n">
        <f aca="false">L299/$R$3</f>
        <v>0</v>
      </c>
      <c r="U299" s="126" t="n">
        <f aca="false">I299/$R$3</f>
        <v>0</v>
      </c>
      <c r="V299" s="126" t="n">
        <f aca="false">M299/$R$3</f>
        <v>0</v>
      </c>
      <c r="W299" s="126" t="n">
        <f aca="false">N299/$R$3</f>
        <v>-2221.37275281252</v>
      </c>
    </row>
    <row r="300" customFormat="false" ht="12.75" hidden="false" customHeight="false" outlineLevel="0" collapsed="false">
      <c r="A300" s="120" t="n">
        <f aca="false">A299+1</f>
        <v>37186</v>
      </c>
      <c r="B300" s="131" t="str">
        <f aca="false">INDEX('Master Data'!$A$2:$B$8,MATCH(WEEKDAY('MM PLANT'!A300,3),'Master Data'!$A$2:$A$8,0),2)</f>
        <v>M</v>
      </c>
      <c r="D300" s="124" t="n">
        <v>0</v>
      </c>
      <c r="E300" s="124" t="n">
        <v>0</v>
      </c>
      <c r="F300" s="124" t="n">
        <v>0</v>
      </c>
      <c r="G300" s="124" t="n">
        <v>0</v>
      </c>
      <c r="I300" s="124" t="n">
        <f aca="false">IF(MONTH($A300)=MONTH($A299),IF(G300=0,I299,G300),G300)</f>
        <v>0</v>
      </c>
      <c r="J300" s="124" t="n">
        <f aca="false">IF(MONTH($A300)=MONTH($A299),SUM(I300-I299),I300)</f>
        <v>0</v>
      </c>
      <c r="K300" s="124" t="n">
        <f aca="false">IF(WEEKDAY(A300,3)&gt;4,0,(IF(A300&lt;K$2,0,IF(A300&lt;=K$3,1,0))))</f>
        <v>0</v>
      </c>
      <c r="L300" s="124" t="n">
        <f aca="false">J300*K300</f>
        <v>0</v>
      </c>
      <c r="M300" s="124" t="n">
        <f aca="false">SUM(J$280:J300)</f>
        <v>0</v>
      </c>
      <c r="N300" s="124" t="n">
        <f aca="false">SUM(J$6:J300)</f>
        <v>-2221372.75281252</v>
      </c>
      <c r="P300" s="124" t="n">
        <f aca="false">D300/P$3</f>
        <v>0</v>
      </c>
      <c r="Q300" s="124" t="n">
        <f aca="false">E300/P$3</f>
        <v>0</v>
      </c>
      <c r="R300" s="124" t="n">
        <f aca="false">F300/R$3</f>
        <v>0</v>
      </c>
      <c r="S300" s="126" t="n">
        <f aca="false">J300/$R$3</f>
        <v>0</v>
      </c>
      <c r="T300" s="126" t="n">
        <f aca="false">L300/$R$3</f>
        <v>0</v>
      </c>
      <c r="U300" s="126" t="n">
        <f aca="false">I300/$R$3</f>
        <v>0</v>
      </c>
      <c r="V300" s="126" t="n">
        <f aca="false">M300/$R$3</f>
        <v>0</v>
      </c>
      <c r="W300" s="126" t="n">
        <f aca="false">N300/$R$3</f>
        <v>-2221.37275281252</v>
      </c>
    </row>
    <row r="301" customFormat="false" ht="12.75" hidden="false" customHeight="false" outlineLevel="0" collapsed="false">
      <c r="A301" s="120" t="n">
        <f aca="false">A300+1</f>
        <v>37187</v>
      </c>
      <c r="B301" s="131" t="str">
        <f aca="false">INDEX('Master Data'!$A$2:$B$8,MATCH(WEEKDAY('MM PLANT'!A301,3),'Master Data'!$A$2:$A$8,0),2)</f>
        <v>T</v>
      </c>
      <c r="D301" s="124" t="n">
        <v>0</v>
      </c>
      <c r="E301" s="124" t="n">
        <v>0</v>
      </c>
      <c r="F301" s="124" t="n">
        <v>0</v>
      </c>
      <c r="G301" s="124" t="n">
        <v>0</v>
      </c>
      <c r="I301" s="124" t="n">
        <f aca="false">IF(MONTH($A301)=MONTH($A300),IF(G301=0,I300,G301),G301)</f>
        <v>0</v>
      </c>
      <c r="J301" s="124" t="n">
        <f aca="false">IF(MONTH($A301)=MONTH($A300),SUM(I301-I300),I301)</f>
        <v>0</v>
      </c>
      <c r="K301" s="124" t="n">
        <f aca="false">IF(WEEKDAY(A301,3)&gt;4,0,(IF(A301&lt;K$2,0,IF(A301&lt;=K$3,1,0))))</f>
        <v>0</v>
      </c>
      <c r="L301" s="124" t="n">
        <f aca="false">J301*K301</f>
        <v>0</v>
      </c>
      <c r="M301" s="124" t="n">
        <f aca="false">SUM(J$280:J301)</f>
        <v>0</v>
      </c>
      <c r="N301" s="124" t="n">
        <f aca="false">SUM(J$6:J301)</f>
        <v>-2221372.75281252</v>
      </c>
      <c r="P301" s="124" t="n">
        <f aca="false">D301/P$3</f>
        <v>0</v>
      </c>
      <c r="Q301" s="124" t="n">
        <f aca="false">E301/P$3</f>
        <v>0</v>
      </c>
      <c r="R301" s="124" t="n">
        <f aca="false">F301/R$3</f>
        <v>0</v>
      </c>
      <c r="S301" s="126" t="n">
        <f aca="false">J301/$R$3</f>
        <v>0</v>
      </c>
      <c r="T301" s="126" t="n">
        <f aca="false">L301/$R$3</f>
        <v>0</v>
      </c>
      <c r="U301" s="126" t="n">
        <f aca="false">I301/$R$3</f>
        <v>0</v>
      </c>
      <c r="V301" s="126" t="n">
        <f aca="false">M301/$R$3</f>
        <v>0</v>
      </c>
      <c r="W301" s="126" t="n">
        <f aca="false">N301/$R$3</f>
        <v>-2221.37275281252</v>
      </c>
    </row>
    <row r="302" customFormat="false" ht="12.75" hidden="false" customHeight="false" outlineLevel="0" collapsed="false">
      <c r="A302" s="120" t="n">
        <f aca="false">A301+1</f>
        <v>37188</v>
      </c>
      <c r="B302" s="131" t="str">
        <f aca="false">INDEX('Master Data'!$A$2:$B$8,MATCH(WEEKDAY('MM PLANT'!A302,3),'Master Data'!$A$2:$A$8,0),2)</f>
        <v>W</v>
      </c>
      <c r="D302" s="124" t="n">
        <v>0</v>
      </c>
      <c r="E302" s="124" t="n">
        <v>0</v>
      </c>
      <c r="F302" s="124" t="n">
        <v>0</v>
      </c>
      <c r="G302" s="124" t="n">
        <v>0</v>
      </c>
      <c r="I302" s="124" t="n">
        <f aca="false">IF(MONTH($A302)=MONTH($A301),IF(G302=0,I301,G302),G302)</f>
        <v>0</v>
      </c>
      <c r="J302" s="124" t="n">
        <f aca="false">IF(MONTH($A302)=MONTH($A301),SUM(I302-I301),I302)</f>
        <v>0</v>
      </c>
      <c r="K302" s="124" t="n">
        <f aca="false">IF(WEEKDAY(A302,3)&gt;4,0,(IF(A302&lt;K$2,0,IF(A302&lt;=K$3,1,0))))</f>
        <v>0</v>
      </c>
      <c r="L302" s="124" t="n">
        <f aca="false">J302*K302</f>
        <v>0</v>
      </c>
      <c r="M302" s="124" t="n">
        <f aca="false">SUM(J$280:J302)</f>
        <v>0</v>
      </c>
      <c r="N302" s="124" t="n">
        <f aca="false">SUM(J$6:J302)</f>
        <v>-2221372.75281252</v>
      </c>
      <c r="P302" s="124" t="n">
        <f aca="false">D302/P$3</f>
        <v>0</v>
      </c>
      <c r="Q302" s="124" t="n">
        <f aca="false">E302/P$3</f>
        <v>0</v>
      </c>
      <c r="R302" s="124" t="n">
        <f aca="false">F302/R$3</f>
        <v>0</v>
      </c>
      <c r="S302" s="126" t="n">
        <f aca="false">J302/$R$3</f>
        <v>0</v>
      </c>
      <c r="T302" s="126" t="n">
        <f aca="false">L302/$R$3</f>
        <v>0</v>
      </c>
      <c r="U302" s="126" t="n">
        <f aca="false">I302/$R$3</f>
        <v>0</v>
      </c>
      <c r="V302" s="126" t="n">
        <f aca="false">M302/$R$3</f>
        <v>0</v>
      </c>
      <c r="W302" s="126" t="n">
        <f aca="false">N302/$R$3</f>
        <v>-2221.37275281252</v>
      </c>
    </row>
    <row r="303" customFormat="false" ht="12.75" hidden="false" customHeight="false" outlineLevel="0" collapsed="false">
      <c r="A303" s="120" t="n">
        <f aca="false">A302+1</f>
        <v>37189</v>
      </c>
      <c r="B303" s="131" t="str">
        <f aca="false">INDEX('Master Data'!$A$2:$B$8,MATCH(WEEKDAY('MM PLANT'!A303,3),'Master Data'!$A$2:$A$8,0),2)</f>
        <v>Th</v>
      </c>
      <c r="D303" s="124" t="n">
        <v>0</v>
      </c>
      <c r="E303" s="124" t="n">
        <v>0</v>
      </c>
      <c r="F303" s="124" t="n">
        <v>0</v>
      </c>
      <c r="G303" s="124" t="n">
        <v>-125504</v>
      </c>
      <c r="I303" s="124" t="n">
        <f aca="false">IF(MONTH($A303)=MONTH($A302),IF(G303=0,I302,G303),G303)</f>
        <v>-125504</v>
      </c>
      <c r="J303" s="124" t="n">
        <f aca="false">IF(MONTH($A303)=MONTH($A302),SUM(I303-I302),I303)</f>
        <v>-125504</v>
      </c>
      <c r="K303" s="124" t="n">
        <f aca="false">IF(WEEKDAY(A303,3)&gt;4,0,(IF(A303&lt;K$2,0,IF(A303&lt;=K$3,1,0))))</f>
        <v>0</v>
      </c>
      <c r="L303" s="124" t="n">
        <f aca="false">J303*K303</f>
        <v>-0</v>
      </c>
      <c r="M303" s="124" t="n">
        <f aca="false">SUM(J$280:J303)</f>
        <v>-125504</v>
      </c>
      <c r="N303" s="124" t="n">
        <f aca="false">SUM(J$6:J303)</f>
        <v>-2346876.75281252</v>
      </c>
      <c r="P303" s="124" t="n">
        <f aca="false">D303/P$3</f>
        <v>0</v>
      </c>
      <c r="Q303" s="124" t="n">
        <f aca="false">E303/P$3</f>
        <v>0</v>
      </c>
      <c r="R303" s="124" t="n">
        <f aca="false">F303/R$3</f>
        <v>0</v>
      </c>
      <c r="S303" s="126" t="n">
        <f aca="false">J303/$R$3</f>
        <v>-125.504</v>
      </c>
      <c r="T303" s="126" t="n">
        <f aca="false">L303/$R$3</f>
        <v>-0</v>
      </c>
      <c r="U303" s="126" t="n">
        <f aca="false">I303/$R$3</f>
        <v>-125.504</v>
      </c>
      <c r="V303" s="126" t="n">
        <f aca="false">M303/$R$3</f>
        <v>-125.504</v>
      </c>
      <c r="W303" s="126" t="n">
        <f aca="false">N303/$R$3</f>
        <v>-2346.87675281252</v>
      </c>
    </row>
    <row r="304" customFormat="false" ht="12.75" hidden="false" customHeight="false" outlineLevel="0" collapsed="false">
      <c r="A304" s="120" t="n">
        <f aca="false">A303+1</f>
        <v>37190</v>
      </c>
      <c r="B304" s="131" t="str">
        <f aca="false">INDEX('Master Data'!$A$2:$B$8,MATCH(WEEKDAY('MM PLANT'!A304,3),'Master Data'!$A$2:$A$8,0),2)</f>
        <v>F</v>
      </c>
      <c r="D304" s="124" t="n">
        <v>0</v>
      </c>
      <c r="E304" s="124" t="n">
        <v>0</v>
      </c>
      <c r="F304" s="124" t="n">
        <v>0</v>
      </c>
      <c r="G304" s="124" t="n">
        <v>-125504</v>
      </c>
      <c r="I304" s="124" t="n">
        <f aca="false">IF(MONTH($A304)=MONTH($A303),IF(G304=0,I303,G304),G304)</f>
        <v>-125504</v>
      </c>
      <c r="J304" s="124" t="n">
        <f aca="false">IF(MONTH($A304)=MONTH($A303),SUM(I304-I303),I304)</f>
        <v>0</v>
      </c>
      <c r="K304" s="124" t="n">
        <f aca="false">IF(WEEKDAY(A304,3)&gt;4,0,(IF(A304&lt;K$2,0,IF(A304&lt;=K$3,1,0))))</f>
        <v>1</v>
      </c>
      <c r="L304" s="124" t="n">
        <f aca="false">J304*K304</f>
        <v>0</v>
      </c>
      <c r="M304" s="124" t="n">
        <f aca="false">SUM(J$280:J304)</f>
        <v>-125504</v>
      </c>
      <c r="N304" s="124" t="n">
        <f aca="false">SUM(J$6:J304)</f>
        <v>-2346876.75281252</v>
      </c>
      <c r="P304" s="124" t="n">
        <f aca="false">D304/P$3</f>
        <v>0</v>
      </c>
      <c r="Q304" s="124" t="n">
        <f aca="false">E304/P$3</f>
        <v>0</v>
      </c>
      <c r="R304" s="124" t="n">
        <f aca="false">F304/R$3</f>
        <v>0</v>
      </c>
      <c r="S304" s="126" t="n">
        <f aca="false">J304/$R$3</f>
        <v>0</v>
      </c>
      <c r="T304" s="126" t="n">
        <f aca="false">L304/$R$3</f>
        <v>0</v>
      </c>
      <c r="U304" s="126" t="n">
        <f aca="false">I304/$R$3</f>
        <v>-125.504</v>
      </c>
      <c r="V304" s="126" t="n">
        <f aca="false">M304/$R$3</f>
        <v>-125.504</v>
      </c>
      <c r="W304" s="126" t="n">
        <f aca="false">N304/$R$3</f>
        <v>-2346.87675281252</v>
      </c>
    </row>
    <row r="305" customFormat="false" ht="12.75" hidden="false" customHeight="false" outlineLevel="0" collapsed="false">
      <c r="A305" s="120" t="n">
        <f aca="false">A304+1</f>
        <v>37191</v>
      </c>
      <c r="B305" s="131" t="str">
        <f aca="false">INDEX('Master Data'!$A$2:$B$8,MATCH(WEEKDAY('MM PLANT'!A305,3),'Master Data'!$A$2:$A$8,0),2)</f>
        <v>Sa</v>
      </c>
      <c r="D305" s="124" t="n">
        <v>0</v>
      </c>
      <c r="E305" s="124" t="n">
        <v>0</v>
      </c>
      <c r="F305" s="124" t="n">
        <v>0</v>
      </c>
      <c r="G305" s="124" t="n">
        <v>0</v>
      </c>
      <c r="I305" s="124" t="n">
        <f aca="false">IF(MONTH($A305)=MONTH($A304),IF(G305=0,I304,G305),G305)</f>
        <v>-125504</v>
      </c>
      <c r="J305" s="124" t="n">
        <f aca="false">IF(MONTH($A305)=MONTH($A304),SUM(I305-I304),I305)</f>
        <v>0</v>
      </c>
      <c r="K305" s="124" t="n">
        <f aca="false">IF(WEEKDAY(A305,3)&gt;4,0,(IF(A305&lt;K$2,0,IF(A305&lt;=K$3,1,0))))</f>
        <v>0</v>
      </c>
      <c r="L305" s="124" t="n">
        <f aca="false">J305*K305</f>
        <v>0</v>
      </c>
      <c r="M305" s="124" t="n">
        <f aca="false">SUM(J$280:J305)</f>
        <v>-125504</v>
      </c>
      <c r="N305" s="124" t="n">
        <f aca="false">SUM(J$6:J305)</f>
        <v>-2346876.75281252</v>
      </c>
      <c r="P305" s="124" t="n">
        <f aca="false">D305/P$3</f>
        <v>0</v>
      </c>
      <c r="Q305" s="124" t="n">
        <f aca="false">E305/P$3</f>
        <v>0</v>
      </c>
      <c r="R305" s="124" t="n">
        <f aca="false">F305/R$3</f>
        <v>0</v>
      </c>
      <c r="S305" s="126" t="n">
        <f aca="false">J305/$R$3</f>
        <v>0</v>
      </c>
      <c r="T305" s="126" t="n">
        <f aca="false">L305/$R$3</f>
        <v>0</v>
      </c>
      <c r="U305" s="126" t="n">
        <f aca="false">I305/$R$3</f>
        <v>-125.504</v>
      </c>
      <c r="V305" s="126" t="n">
        <f aca="false">M305/$R$3</f>
        <v>-125.504</v>
      </c>
      <c r="W305" s="126" t="n">
        <f aca="false">N305/$R$3</f>
        <v>-2346.87675281252</v>
      </c>
    </row>
    <row r="306" customFormat="false" ht="12.75" hidden="false" customHeight="false" outlineLevel="0" collapsed="false">
      <c r="A306" s="120" t="n">
        <f aca="false">A305+1</f>
        <v>37192</v>
      </c>
      <c r="B306" s="131" t="str">
        <f aca="false">INDEX('Master Data'!$A$2:$B$8,MATCH(WEEKDAY('MM PLANT'!A306,3),'Master Data'!$A$2:$A$8,0),2)</f>
        <v>Su</v>
      </c>
      <c r="D306" s="124" t="n">
        <v>0</v>
      </c>
      <c r="E306" s="124" t="n">
        <v>0</v>
      </c>
      <c r="F306" s="124" t="n">
        <v>0</v>
      </c>
      <c r="G306" s="124" t="n">
        <v>0</v>
      </c>
      <c r="I306" s="124" t="n">
        <f aca="false">IF(MONTH($A306)=MONTH($A305),IF(G306=0,I305,G306),G306)</f>
        <v>-125504</v>
      </c>
      <c r="J306" s="124" t="n">
        <f aca="false">IF(MONTH($A306)=MONTH($A305),SUM(I306-I305),I306)</f>
        <v>0</v>
      </c>
      <c r="K306" s="124" t="n">
        <f aca="false">IF(WEEKDAY(A306,3)&gt;4,0,(IF(A306&lt;K$2,0,IF(A306&lt;=K$3,1,0))))</f>
        <v>0</v>
      </c>
      <c r="L306" s="124" t="n">
        <f aca="false">J306*K306</f>
        <v>0</v>
      </c>
      <c r="M306" s="124" t="n">
        <f aca="false">SUM(J$280:J306)</f>
        <v>-125504</v>
      </c>
      <c r="N306" s="124" t="n">
        <f aca="false">SUM(J$6:J306)</f>
        <v>-2346876.75281252</v>
      </c>
      <c r="P306" s="124" t="n">
        <f aca="false">D306/P$3</f>
        <v>0</v>
      </c>
      <c r="Q306" s="124" t="n">
        <f aca="false">E306/P$3</f>
        <v>0</v>
      </c>
      <c r="R306" s="124" t="n">
        <f aca="false">F306/R$3</f>
        <v>0</v>
      </c>
      <c r="S306" s="126" t="n">
        <f aca="false">J306/$R$3</f>
        <v>0</v>
      </c>
      <c r="T306" s="126" t="n">
        <f aca="false">L306/$R$3</f>
        <v>0</v>
      </c>
      <c r="U306" s="126" t="n">
        <f aca="false">I306/$R$3</f>
        <v>-125.504</v>
      </c>
      <c r="V306" s="126" t="n">
        <f aca="false">M306/$R$3</f>
        <v>-125.504</v>
      </c>
      <c r="W306" s="126" t="n">
        <f aca="false">N306/$R$3</f>
        <v>-2346.87675281252</v>
      </c>
    </row>
    <row r="307" customFormat="false" ht="12.75" hidden="false" customHeight="false" outlineLevel="0" collapsed="false">
      <c r="A307" s="120" t="n">
        <f aca="false">A306+1</f>
        <v>37193</v>
      </c>
      <c r="B307" s="131" t="str">
        <f aca="false">INDEX('Master Data'!$A$2:$B$8,MATCH(WEEKDAY('MM PLANT'!A307,3),'Master Data'!$A$2:$A$8,0),2)</f>
        <v>M</v>
      </c>
      <c r="D307" s="124" t="n">
        <v>0</v>
      </c>
      <c r="E307" s="124" t="n">
        <v>0</v>
      </c>
      <c r="F307" s="124" t="n">
        <v>0</v>
      </c>
      <c r="G307" s="124" t="n">
        <v>-125504</v>
      </c>
      <c r="I307" s="124" t="n">
        <f aca="false">IF(MONTH($A307)=MONTH($A306),IF(G307=0,I306,G307),G307)</f>
        <v>-125504</v>
      </c>
      <c r="J307" s="124" t="n">
        <f aca="false">IF(MONTH($A307)=MONTH($A306),SUM(I307-I306),I307)</f>
        <v>0</v>
      </c>
      <c r="K307" s="124" t="n">
        <f aca="false">IF(WEEKDAY(A307,3)&gt;4,0,(IF(A307&lt;K$2,0,IF(A307&lt;=K$3,1,0))))</f>
        <v>1</v>
      </c>
      <c r="L307" s="124" t="n">
        <f aca="false">J307*K307</f>
        <v>0</v>
      </c>
      <c r="M307" s="124" t="n">
        <f aca="false">SUM(J$280:J307)</f>
        <v>-125504</v>
      </c>
      <c r="N307" s="124" t="n">
        <f aca="false">SUM(J$6:J307)</f>
        <v>-2346876.75281252</v>
      </c>
      <c r="P307" s="124" t="n">
        <f aca="false">D307/P$3</f>
        <v>0</v>
      </c>
      <c r="Q307" s="124" t="n">
        <f aca="false">E307/P$3</f>
        <v>0</v>
      </c>
      <c r="R307" s="124" t="n">
        <f aca="false">F307/R$3</f>
        <v>0</v>
      </c>
      <c r="S307" s="126" t="n">
        <f aca="false">J307/$R$3</f>
        <v>0</v>
      </c>
      <c r="T307" s="126" t="n">
        <f aca="false">L307/$R$3</f>
        <v>0</v>
      </c>
      <c r="U307" s="126" t="n">
        <f aca="false">I307/$R$3</f>
        <v>-125.504</v>
      </c>
      <c r="V307" s="126" t="n">
        <f aca="false">M307/$R$3</f>
        <v>-125.504</v>
      </c>
      <c r="W307" s="126" t="n">
        <f aca="false">N307/$R$3</f>
        <v>-2346.87675281252</v>
      </c>
    </row>
    <row r="308" customFormat="false" ht="12.75" hidden="false" customHeight="false" outlineLevel="0" collapsed="false">
      <c r="A308" s="120" t="n">
        <f aca="false">A307+1</f>
        <v>37194</v>
      </c>
      <c r="B308" s="131" t="str">
        <f aca="false">INDEX('Master Data'!$A$2:$B$8,MATCH(WEEKDAY('MM PLANT'!A308,3),'Master Data'!$A$2:$A$8,0),2)</f>
        <v>T</v>
      </c>
      <c r="D308" s="124" t="n">
        <v>0</v>
      </c>
      <c r="E308" s="124" t="n">
        <v>0</v>
      </c>
      <c r="F308" s="124" t="n">
        <v>0</v>
      </c>
      <c r="G308" s="124" t="n">
        <v>-125504</v>
      </c>
      <c r="I308" s="124" t="n">
        <f aca="false">IF(MONTH($A308)=MONTH($A307),IF(G308=0,I307,G308),G308)</f>
        <v>-125504</v>
      </c>
      <c r="J308" s="124" t="n">
        <f aca="false">IF(MONTH($A308)=MONTH($A307),SUM(I308-I307),I308)</f>
        <v>0</v>
      </c>
      <c r="K308" s="124" t="n">
        <f aca="false">IF(WEEKDAY(A308,3)&gt;4,0,(IF(A308&lt;K$2,0,IF(A308&lt;=K$3,1,0))))</f>
        <v>1</v>
      </c>
      <c r="L308" s="124" t="n">
        <f aca="false">J308*K308</f>
        <v>0</v>
      </c>
      <c r="M308" s="124" t="n">
        <f aca="false">SUM(J$280:J308)</f>
        <v>-125504</v>
      </c>
      <c r="N308" s="124" t="n">
        <f aca="false">SUM(J$6:J308)</f>
        <v>-2346876.75281252</v>
      </c>
      <c r="P308" s="124" t="n">
        <f aca="false">D308/P$3</f>
        <v>0</v>
      </c>
      <c r="Q308" s="124" t="n">
        <f aca="false">E308/P$3</f>
        <v>0</v>
      </c>
      <c r="R308" s="124" t="n">
        <f aca="false">F308/R$3</f>
        <v>0</v>
      </c>
      <c r="S308" s="126" t="n">
        <f aca="false">J308/$R$3</f>
        <v>0</v>
      </c>
      <c r="T308" s="126" t="n">
        <f aca="false">L308/$R$3</f>
        <v>0</v>
      </c>
      <c r="U308" s="126" t="n">
        <f aca="false">I308/$R$3</f>
        <v>-125.504</v>
      </c>
      <c r="V308" s="126" t="n">
        <f aca="false">M308/$R$3</f>
        <v>-125.504</v>
      </c>
      <c r="W308" s="126" t="n">
        <f aca="false">N308/$R$3</f>
        <v>-2346.87675281252</v>
      </c>
    </row>
    <row r="309" customFormat="false" ht="12.75" hidden="false" customHeight="false" outlineLevel="0" collapsed="false">
      <c r="A309" s="120" t="n">
        <f aca="false">A308+1</f>
        <v>37195</v>
      </c>
      <c r="B309" s="131" t="str">
        <f aca="false">INDEX('Master Data'!$A$2:$B$8,MATCH(WEEKDAY('MM PLANT'!A309,3),'Master Data'!$A$2:$A$8,0),2)</f>
        <v>W</v>
      </c>
      <c r="D309" s="124" t="n">
        <v>0</v>
      </c>
      <c r="E309" s="124" t="n">
        <v>0</v>
      </c>
      <c r="F309" s="124" t="n">
        <v>0</v>
      </c>
      <c r="G309" s="124" t="n">
        <v>-125504</v>
      </c>
      <c r="I309" s="124" t="n">
        <f aca="false">IF(MONTH($A309)=MONTH($A308),IF(G309=0,I308,G309),G309)</f>
        <v>-125504</v>
      </c>
      <c r="J309" s="124" t="n">
        <f aca="false">IF(MONTH($A309)=MONTH($A308),SUM(I309-I308),I309)</f>
        <v>0</v>
      </c>
      <c r="K309" s="124" t="n">
        <f aca="false">IF(WEEKDAY(A309,3)&gt;4,0,(IF(A309&lt;K$2,0,IF(A309&lt;=K$3,1,0))))</f>
        <v>1</v>
      </c>
      <c r="L309" s="124" t="n">
        <f aca="false">J309*K309</f>
        <v>0</v>
      </c>
      <c r="M309" s="124" t="n">
        <f aca="false">SUM(J$280:J309)</f>
        <v>-125504</v>
      </c>
      <c r="N309" s="124" t="n">
        <f aca="false">SUM(J$6:J309)</f>
        <v>-2346876.75281252</v>
      </c>
      <c r="P309" s="124" t="n">
        <f aca="false">D309/P$3</f>
        <v>0</v>
      </c>
      <c r="Q309" s="124" t="n">
        <f aca="false">E309/P$3</f>
        <v>0</v>
      </c>
      <c r="R309" s="124" t="n">
        <f aca="false">F309/R$3</f>
        <v>0</v>
      </c>
      <c r="S309" s="126" t="n">
        <f aca="false">J309/$R$3</f>
        <v>0</v>
      </c>
      <c r="T309" s="126" t="n">
        <f aca="false">L309/$R$3</f>
        <v>0</v>
      </c>
      <c r="U309" s="126" t="n">
        <f aca="false">I309/$R$3</f>
        <v>-125.504</v>
      </c>
      <c r="V309" s="126" t="n">
        <f aca="false">M309/$R$3</f>
        <v>-125.504</v>
      </c>
      <c r="W309" s="126" t="n">
        <f aca="false">N309/$R$3</f>
        <v>-2346.87675281252</v>
      </c>
    </row>
    <row r="310" customFormat="false" ht="12.75" hidden="false" customHeight="false" outlineLevel="0" collapsed="false">
      <c r="A310" s="120" t="n">
        <f aca="false">A309+1</f>
        <v>37196</v>
      </c>
      <c r="B310" s="131" t="str">
        <f aca="false">INDEX('Master Data'!$A$2:$B$8,MATCH(WEEKDAY('MM PLANT'!A310,3),'Master Data'!$A$2:$A$8,0),2)</f>
        <v>Th</v>
      </c>
      <c r="D310" s="124" t="n">
        <v>0</v>
      </c>
      <c r="E310" s="124" t="n">
        <v>0</v>
      </c>
      <c r="F310" s="124" t="n">
        <v>0</v>
      </c>
      <c r="G310" s="124" t="n">
        <v>0</v>
      </c>
      <c r="I310" s="124" t="n">
        <f aca="false">IF(MONTH($A310)=MONTH($A309),IF(G310=0,I309,G310),G310)</f>
        <v>0</v>
      </c>
      <c r="J310" s="124" t="n">
        <f aca="false">IF(MONTH($A310)=MONTH($A309),SUM(I310-I309),I310)</f>
        <v>0</v>
      </c>
      <c r="K310" s="124" t="n">
        <f aca="false">IF(WEEKDAY(A310,3)&gt;4,0,(IF(A310&lt;K$2,0,IF(A310&lt;=K$3,1,0))))</f>
        <v>1</v>
      </c>
      <c r="L310" s="124" t="n">
        <f aca="false">J310*K310</f>
        <v>0</v>
      </c>
      <c r="M310" s="124" t="n">
        <f aca="false">SUM(J$280:J310)</f>
        <v>-125504</v>
      </c>
      <c r="N310" s="124" t="n">
        <f aca="false">SUM(J$6:J310)</f>
        <v>-2346876.75281252</v>
      </c>
      <c r="P310" s="124" t="n">
        <f aca="false">D310/P$3</f>
        <v>0</v>
      </c>
      <c r="Q310" s="124" t="n">
        <f aca="false">E310/P$3</f>
        <v>0</v>
      </c>
      <c r="R310" s="124" t="n">
        <f aca="false">F310/R$3</f>
        <v>0</v>
      </c>
      <c r="S310" s="126" t="n">
        <f aca="false">J310/$R$3</f>
        <v>0</v>
      </c>
      <c r="T310" s="126" t="n">
        <f aca="false">L310/$R$3</f>
        <v>0</v>
      </c>
      <c r="U310" s="126" t="n">
        <f aca="false">I310/$R$3</f>
        <v>0</v>
      </c>
      <c r="V310" s="126" t="n">
        <f aca="false">M310/$R$3</f>
        <v>-125.504</v>
      </c>
      <c r="W310" s="126" t="n">
        <f aca="false">N310/$R$3</f>
        <v>-2346.87675281252</v>
      </c>
    </row>
    <row r="311" customFormat="false" ht="12.75" hidden="false" customHeight="false" outlineLevel="0" collapsed="false">
      <c r="A311" s="120" t="n">
        <f aca="false">A310+1</f>
        <v>37197</v>
      </c>
      <c r="B311" s="131" t="str">
        <f aca="false">INDEX('Master Data'!$A$2:$B$8,MATCH(WEEKDAY('MM PLANT'!A311,3),'Master Data'!$A$2:$A$8,0),2)</f>
        <v>F</v>
      </c>
      <c r="D311" s="124" t="n">
        <v>0</v>
      </c>
      <c r="E311" s="124" t="n">
        <v>0</v>
      </c>
      <c r="F311" s="124" t="n">
        <v>0</v>
      </c>
      <c r="G311" s="124" t="n">
        <v>0</v>
      </c>
      <c r="I311" s="124" t="n">
        <f aca="false">IF(MONTH($A311)=MONTH($A310),IF(G311=0,I310,G311),G311)</f>
        <v>0</v>
      </c>
      <c r="J311" s="124" t="n">
        <f aca="false">IF(MONTH($A311)=MONTH($A310),SUM(I311-I310),I311)</f>
        <v>0</v>
      </c>
      <c r="K311" s="124" t="n">
        <f aca="false">IF(WEEKDAY(A311,3)&gt;4,0,(IF(A311&lt;K$2,0,IF(A311&lt;=K$3,1,0))))</f>
        <v>0</v>
      </c>
      <c r="L311" s="124" t="n">
        <f aca="false">J311*K311</f>
        <v>0</v>
      </c>
      <c r="M311" s="124" t="n">
        <f aca="false">SUM(J$280:J311)</f>
        <v>-125504</v>
      </c>
      <c r="N311" s="124" t="n">
        <f aca="false">SUM(J$6:J311)</f>
        <v>-2346876.75281252</v>
      </c>
      <c r="P311" s="124" t="n">
        <f aca="false">D311/P$3</f>
        <v>0</v>
      </c>
      <c r="Q311" s="124" t="n">
        <f aca="false">E311/P$3</f>
        <v>0</v>
      </c>
      <c r="R311" s="124" t="n">
        <f aca="false">F311/R$3</f>
        <v>0</v>
      </c>
      <c r="S311" s="126" t="n">
        <f aca="false">J311/$R$3</f>
        <v>0</v>
      </c>
      <c r="T311" s="126" t="n">
        <f aca="false">L311/$R$3</f>
        <v>0</v>
      </c>
      <c r="U311" s="126" t="n">
        <f aca="false">I311/$R$3</f>
        <v>0</v>
      </c>
      <c r="V311" s="126" t="n">
        <f aca="false">M311/$R$3</f>
        <v>-125.504</v>
      </c>
      <c r="W311" s="126" t="n">
        <f aca="false">N311/$R$3</f>
        <v>-2346.87675281252</v>
      </c>
    </row>
    <row r="312" customFormat="false" ht="12.75" hidden="false" customHeight="false" outlineLevel="0" collapsed="false">
      <c r="A312" s="120" t="n">
        <f aca="false">A311+1</f>
        <v>37198</v>
      </c>
      <c r="B312" s="131" t="str">
        <f aca="false">INDEX('Master Data'!$A$2:$B$8,MATCH(WEEKDAY('MM PLANT'!A312,3),'Master Data'!$A$2:$A$8,0),2)</f>
        <v>Sa</v>
      </c>
      <c r="D312" s="124" t="n">
        <v>0</v>
      </c>
      <c r="E312" s="124" t="n">
        <v>0</v>
      </c>
      <c r="F312" s="124" t="n">
        <v>0</v>
      </c>
      <c r="G312" s="124" t="n">
        <v>0</v>
      </c>
      <c r="I312" s="124" t="n">
        <f aca="false">IF(MONTH($A312)=MONTH($A311),IF(G312=0,I311,G312),G312)</f>
        <v>0</v>
      </c>
      <c r="J312" s="124" t="n">
        <f aca="false">IF(MONTH($A312)=MONTH($A311),SUM(I312-I311),I312)</f>
        <v>0</v>
      </c>
      <c r="K312" s="124" t="n">
        <f aca="false">IF(WEEKDAY(A312,3)&gt;4,0,(IF(A312&lt;K$2,0,IF(A312&lt;=K$3,1,0))))</f>
        <v>0</v>
      </c>
      <c r="L312" s="124" t="n">
        <f aca="false">J312*K312</f>
        <v>0</v>
      </c>
      <c r="M312" s="124" t="n">
        <f aca="false">SUM(J$280:J312)</f>
        <v>-125504</v>
      </c>
      <c r="N312" s="124" t="n">
        <f aca="false">SUM(J$6:J312)</f>
        <v>-2346876.75281252</v>
      </c>
      <c r="P312" s="124" t="n">
        <f aca="false">D312/P$3</f>
        <v>0</v>
      </c>
      <c r="Q312" s="124" t="n">
        <f aca="false">E312/P$3</f>
        <v>0</v>
      </c>
      <c r="R312" s="124" t="n">
        <f aca="false">F312/R$3</f>
        <v>0</v>
      </c>
      <c r="S312" s="126" t="n">
        <f aca="false">J312/$R$3</f>
        <v>0</v>
      </c>
      <c r="T312" s="126" t="n">
        <f aca="false">L312/$R$3</f>
        <v>0</v>
      </c>
      <c r="U312" s="126" t="n">
        <f aca="false">I312/$R$3</f>
        <v>0</v>
      </c>
      <c r="V312" s="126" t="n">
        <f aca="false">M312/$R$3</f>
        <v>-125.504</v>
      </c>
      <c r="W312" s="126" t="n">
        <f aca="false">N312/$R$3</f>
        <v>-2346.87675281252</v>
      </c>
    </row>
    <row r="313" customFormat="false" ht="12.75" hidden="false" customHeight="false" outlineLevel="0" collapsed="false">
      <c r="A313" s="120" t="n">
        <f aca="false">A312+1</f>
        <v>37199</v>
      </c>
      <c r="B313" s="131" t="str">
        <f aca="false">INDEX('Master Data'!$A$2:$B$8,MATCH(WEEKDAY('MM PLANT'!A313,3),'Master Data'!$A$2:$A$8,0),2)</f>
        <v>Su</v>
      </c>
      <c r="D313" s="124" t="n">
        <v>0</v>
      </c>
      <c r="E313" s="124" t="n">
        <v>0</v>
      </c>
      <c r="F313" s="124" t="n">
        <v>0</v>
      </c>
      <c r="G313" s="124" t="n">
        <v>0</v>
      </c>
      <c r="I313" s="124" t="n">
        <f aca="false">IF(MONTH($A313)=MONTH($A312),IF(G313=0,I312,G313),G313)</f>
        <v>0</v>
      </c>
      <c r="J313" s="124" t="n">
        <f aca="false">IF(MONTH($A313)=MONTH($A312),SUM(I313-I312),I313)</f>
        <v>0</v>
      </c>
      <c r="K313" s="124" t="n">
        <f aca="false">IF(WEEKDAY(A313,3)&gt;4,0,(IF(A313&lt;K$2,0,IF(A313&lt;=K$3,1,0))))</f>
        <v>0</v>
      </c>
      <c r="L313" s="124" t="n">
        <f aca="false">J313*K313</f>
        <v>0</v>
      </c>
      <c r="M313" s="124" t="n">
        <f aca="false">SUM(J$280:J313)</f>
        <v>-125504</v>
      </c>
      <c r="N313" s="124" t="n">
        <f aca="false">SUM(J$6:J313)</f>
        <v>-2346876.75281252</v>
      </c>
      <c r="P313" s="124" t="n">
        <f aca="false">D313/P$3</f>
        <v>0</v>
      </c>
      <c r="Q313" s="124" t="n">
        <f aca="false">E313/P$3</f>
        <v>0</v>
      </c>
      <c r="R313" s="124" t="n">
        <f aca="false">F313/R$3</f>
        <v>0</v>
      </c>
      <c r="S313" s="126" t="n">
        <f aca="false">J313/$R$3</f>
        <v>0</v>
      </c>
      <c r="T313" s="126" t="n">
        <f aca="false">L313/$R$3</f>
        <v>0</v>
      </c>
      <c r="U313" s="126" t="n">
        <f aca="false">I313/$R$3</f>
        <v>0</v>
      </c>
      <c r="V313" s="126" t="n">
        <f aca="false">M313/$R$3</f>
        <v>-125.504</v>
      </c>
      <c r="W313" s="126" t="n">
        <f aca="false">N313/$R$3</f>
        <v>-2346.87675281252</v>
      </c>
    </row>
    <row r="314" customFormat="false" ht="12.75" hidden="false" customHeight="false" outlineLevel="0" collapsed="false">
      <c r="A314" s="120" t="n">
        <f aca="false">A313+1</f>
        <v>37200</v>
      </c>
      <c r="B314" s="131" t="str">
        <f aca="false">INDEX('Master Data'!$A$2:$B$8,MATCH(WEEKDAY('MM PLANT'!A314,3),'Master Data'!$A$2:$A$8,0),2)</f>
        <v>M</v>
      </c>
      <c r="D314" s="124" t="n">
        <v>0</v>
      </c>
      <c r="E314" s="124" t="n">
        <v>0</v>
      </c>
      <c r="F314" s="124" t="n">
        <v>0</v>
      </c>
      <c r="G314" s="124" t="n">
        <v>0</v>
      </c>
      <c r="I314" s="124" t="n">
        <f aca="false">IF(MONTH($A314)=MONTH($A313),IF(G314=0,I313,G314),G314)</f>
        <v>0</v>
      </c>
      <c r="J314" s="124" t="n">
        <f aca="false">IF(MONTH($A314)=MONTH($A313),SUM(I314-I313),I314)</f>
        <v>0</v>
      </c>
      <c r="K314" s="124" t="n">
        <f aca="false">IF(WEEKDAY(A314,3)&gt;4,0,(IF(A314&lt;K$2,0,IF(A314&lt;=K$3,1,0))))</f>
        <v>0</v>
      </c>
      <c r="L314" s="124" t="n">
        <f aca="false">J314*K314</f>
        <v>0</v>
      </c>
      <c r="M314" s="124" t="n">
        <f aca="false">SUM(J$280:J314)</f>
        <v>-125504</v>
      </c>
      <c r="N314" s="124" t="n">
        <f aca="false">SUM(J$6:J314)</f>
        <v>-2346876.75281252</v>
      </c>
      <c r="P314" s="124" t="n">
        <f aca="false">D314/P$3</f>
        <v>0</v>
      </c>
      <c r="Q314" s="124" t="n">
        <f aca="false">E314/P$3</f>
        <v>0</v>
      </c>
      <c r="R314" s="124" t="n">
        <f aca="false">F314/R$3</f>
        <v>0</v>
      </c>
      <c r="S314" s="126" t="n">
        <f aca="false">J314/$R$3</f>
        <v>0</v>
      </c>
      <c r="T314" s="126" t="n">
        <f aca="false">L314/$R$3</f>
        <v>0</v>
      </c>
      <c r="U314" s="126" t="n">
        <f aca="false">I314/$R$3</f>
        <v>0</v>
      </c>
      <c r="V314" s="126" t="n">
        <f aca="false">M314/$R$3</f>
        <v>-125.504</v>
      </c>
      <c r="W314" s="126" t="n">
        <f aca="false">N314/$R$3</f>
        <v>-2346.87675281252</v>
      </c>
    </row>
    <row r="315" customFormat="false" ht="12.75" hidden="false" customHeight="false" outlineLevel="0" collapsed="false">
      <c r="A315" s="120" t="n">
        <f aca="false">A314+1</f>
        <v>37201</v>
      </c>
      <c r="B315" s="131" t="str">
        <f aca="false">INDEX('Master Data'!$A$2:$B$8,MATCH(WEEKDAY('MM PLANT'!A315,3),'Master Data'!$A$2:$A$8,0),2)</f>
        <v>T</v>
      </c>
      <c r="D315" s="124" t="n">
        <v>0</v>
      </c>
      <c r="E315" s="124" t="n">
        <v>0</v>
      </c>
      <c r="F315" s="124" t="n">
        <v>0</v>
      </c>
      <c r="G315" s="124" t="n">
        <v>0</v>
      </c>
      <c r="I315" s="124" t="n">
        <f aca="false">IF(MONTH($A315)=MONTH($A314),IF(G315=0,I314,G315),G315)</f>
        <v>0</v>
      </c>
      <c r="J315" s="124" t="n">
        <f aca="false">IF(MONTH($A315)=MONTH($A314),SUM(I315-I314),I315)</f>
        <v>0</v>
      </c>
      <c r="K315" s="124" t="n">
        <f aca="false">IF(WEEKDAY(A315,3)&gt;4,0,(IF(A315&lt;K$2,0,IF(A315&lt;=K$3,1,0))))</f>
        <v>0</v>
      </c>
      <c r="L315" s="124" t="n">
        <f aca="false">J315*K315</f>
        <v>0</v>
      </c>
      <c r="M315" s="124" t="n">
        <f aca="false">SUM(J$280:J315)</f>
        <v>-125504</v>
      </c>
      <c r="N315" s="124" t="n">
        <f aca="false">SUM(J$6:J315)</f>
        <v>-2346876.75281252</v>
      </c>
      <c r="P315" s="124" t="n">
        <f aca="false">D315/P$3</f>
        <v>0</v>
      </c>
      <c r="Q315" s="124" t="n">
        <f aca="false">E315/P$3</f>
        <v>0</v>
      </c>
      <c r="R315" s="124" t="n">
        <f aca="false">F315/R$3</f>
        <v>0</v>
      </c>
      <c r="S315" s="126" t="n">
        <f aca="false">J315/$R$3</f>
        <v>0</v>
      </c>
      <c r="T315" s="126" t="n">
        <f aca="false">L315/$R$3</f>
        <v>0</v>
      </c>
      <c r="U315" s="126" t="n">
        <f aca="false">I315/$R$3</f>
        <v>0</v>
      </c>
      <c r="V315" s="126" t="n">
        <f aca="false">M315/$R$3</f>
        <v>-125.504</v>
      </c>
      <c r="W315" s="126" t="n">
        <f aca="false">N315/$R$3</f>
        <v>-2346.87675281252</v>
      </c>
    </row>
    <row r="316" customFormat="false" ht="12.75" hidden="false" customHeight="false" outlineLevel="0" collapsed="false">
      <c r="A316" s="120" t="n">
        <f aca="false">A315+1</f>
        <v>37202</v>
      </c>
      <c r="B316" s="131" t="str">
        <f aca="false">INDEX('Master Data'!$A$2:$B$8,MATCH(WEEKDAY('MM PLANT'!A316,3),'Master Data'!$A$2:$A$8,0),2)</f>
        <v>W</v>
      </c>
      <c r="D316" s="124" t="n">
        <v>0</v>
      </c>
      <c r="E316" s="124" t="n">
        <v>0</v>
      </c>
      <c r="F316" s="124" t="n">
        <v>0</v>
      </c>
      <c r="G316" s="124" t="n">
        <v>0</v>
      </c>
      <c r="I316" s="124" t="n">
        <f aca="false">IF(MONTH($A316)=MONTH($A315),IF(G316=0,I315,G316),G316)</f>
        <v>0</v>
      </c>
      <c r="J316" s="124" t="n">
        <f aca="false">IF(MONTH($A316)=MONTH($A315),SUM(I316-I315),I316)</f>
        <v>0</v>
      </c>
      <c r="K316" s="124" t="n">
        <f aca="false">IF(WEEKDAY(A316,3)&gt;4,0,(IF(A316&lt;K$2,0,IF(A316&lt;=K$3,1,0))))</f>
        <v>0</v>
      </c>
      <c r="L316" s="124" t="n">
        <f aca="false">J316*K316</f>
        <v>0</v>
      </c>
      <c r="M316" s="124" t="n">
        <f aca="false">SUM(J$280:J316)</f>
        <v>-125504</v>
      </c>
      <c r="N316" s="124" t="n">
        <f aca="false">SUM(J$6:J316)</f>
        <v>-2346876.75281252</v>
      </c>
      <c r="P316" s="124" t="n">
        <f aca="false">D316/P$3</f>
        <v>0</v>
      </c>
      <c r="Q316" s="124" t="n">
        <f aca="false">E316/P$3</f>
        <v>0</v>
      </c>
      <c r="R316" s="124" t="n">
        <f aca="false">F316/R$3</f>
        <v>0</v>
      </c>
      <c r="S316" s="126" t="n">
        <f aca="false">J316/$R$3</f>
        <v>0</v>
      </c>
      <c r="T316" s="126" t="n">
        <f aca="false">L316/$R$3</f>
        <v>0</v>
      </c>
      <c r="U316" s="126" t="n">
        <f aca="false">I316/$R$3</f>
        <v>0</v>
      </c>
      <c r="V316" s="126" t="n">
        <f aca="false">M316/$R$3</f>
        <v>-125.504</v>
      </c>
      <c r="W316" s="126" t="n">
        <f aca="false">N316/$R$3</f>
        <v>-2346.87675281252</v>
      </c>
    </row>
    <row r="317" customFormat="false" ht="12.75" hidden="false" customHeight="false" outlineLevel="0" collapsed="false">
      <c r="A317" s="120" t="n">
        <f aca="false">A316+1</f>
        <v>37203</v>
      </c>
      <c r="B317" s="131" t="str">
        <f aca="false">INDEX('Master Data'!$A$2:$B$8,MATCH(WEEKDAY('MM PLANT'!A317,3),'Master Data'!$A$2:$A$8,0),2)</f>
        <v>Th</v>
      </c>
      <c r="D317" s="124" t="n">
        <v>0</v>
      </c>
      <c r="E317" s="124" t="n">
        <v>0</v>
      </c>
      <c r="F317" s="124" t="n">
        <v>0</v>
      </c>
      <c r="G317" s="124" t="n">
        <v>0</v>
      </c>
      <c r="I317" s="124" t="n">
        <f aca="false">IF(MONTH($A317)=MONTH($A316),IF(G317=0,I316,G317),G317)</f>
        <v>0</v>
      </c>
      <c r="J317" s="124" t="n">
        <f aca="false">IF(MONTH($A317)=MONTH($A316),SUM(I317-I316),I317)</f>
        <v>0</v>
      </c>
      <c r="K317" s="124" t="n">
        <f aca="false">IF(WEEKDAY(A317,3)&gt;4,0,(IF(A317&lt;K$2,0,IF(A317&lt;=K$3,1,0))))</f>
        <v>0</v>
      </c>
      <c r="L317" s="124" t="n">
        <f aca="false">J317*K317</f>
        <v>0</v>
      </c>
      <c r="M317" s="124" t="n">
        <f aca="false">SUM(J$280:J317)</f>
        <v>-125504</v>
      </c>
      <c r="N317" s="124" t="n">
        <f aca="false">SUM(J$6:J317)</f>
        <v>-2346876.75281252</v>
      </c>
      <c r="P317" s="124" t="n">
        <f aca="false">D317/P$3</f>
        <v>0</v>
      </c>
      <c r="Q317" s="124" t="n">
        <f aca="false">E317/P$3</f>
        <v>0</v>
      </c>
      <c r="R317" s="124" t="n">
        <f aca="false">F317/R$3</f>
        <v>0</v>
      </c>
      <c r="S317" s="126" t="n">
        <f aca="false">J317/$R$3</f>
        <v>0</v>
      </c>
      <c r="T317" s="126" t="n">
        <f aca="false">L317/$R$3</f>
        <v>0</v>
      </c>
      <c r="U317" s="126" t="n">
        <f aca="false">I317/$R$3</f>
        <v>0</v>
      </c>
      <c r="V317" s="126" t="n">
        <f aca="false">M317/$R$3</f>
        <v>-125.504</v>
      </c>
      <c r="W317" s="126" t="n">
        <f aca="false">N317/$R$3</f>
        <v>-2346.87675281252</v>
      </c>
    </row>
    <row r="318" customFormat="false" ht="12.75" hidden="false" customHeight="false" outlineLevel="0" collapsed="false">
      <c r="A318" s="120" t="n">
        <f aca="false">A317+1</f>
        <v>37204</v>
      </c>
      <c r="B318" s="131" t="str">
        <f aca="false">INDEX('Master Data'!$A$2:$B$8,MATCH(WEEKDAY('MM PLANT'!A318,3),'Master Data'!$A$2:$A$8,0),2)</f>
        <v>F</v>
      </c>
      <c r="D318" s="124" t="n">
        <v>0</v>
      </c>
      <c r="E318" s="124" t="n">
        <v>0</v>
      </c>
      <c r="F318" s="124" t="n">
        <v>0</v>
      </c>
      <c r="G318" s="124" t="n">
        <v>0</v>
      </c>
      <c r="I318" s="124" t="n">
        <f aca="false">IF(MONTH($A318)=MONTH($A317),IF(G318=0,I317,G318),G318)</f>
        <v>0</v>
      </c>
      <c r="J318" s="124" t="n">
        <f aca="false">IF(MONTH($A318)=MONTH($A317),SUM(I318-I317),I318)</f>
        <v>0</v>
      </c>
      <c r="K318" s="124" t="n">
        <f aca="false">IF(WEEKDAY(A318,3)&gt;4,0,(IF(A318&lt;K$2,0,IF(A318&lt;=K$3,1,0))))</f>
        <v>0</v>
      </c>
      <c r="L318" s="124" t="n">
        <f aca="false">J318*K318</f>
        <v>0</v>
      </c>
      <c r="M318" s="124" t="n">
        <f aca="false">SUM(J$280:J318)</f>
        <v>-125504</v>
      </c>
      <c r="N318" s="124" t="n">
        <f aca="false">SUM(J$6:J318)</f>
        <v>-2346876.75281252</v>
      </c>
      <c r="P318" s="124" t="n">
        <f aca="false">D318/P$3</f>
        <v>0</v>
      </c>
      <c r="Q318" s="124" t="n">
        <f aca="false">E318/P$3</f>
        <v>0</v>
      </c>
      <c r="R318" s="124" t="n">
        <f aca="false">F318/R$3</f>
        <v>0</v>
      </c>
      <c r="S318" s="126" t="n">
        <f aca="false">J318/$R$3</f>
        <v>0</v>
      </c>
      <c r="T318" s="126" t="n">
        <f aca="false">L318/$R$3</f>
        <v>0</v>
      </c>
      <c r="U318" s="126" t="n">
        <f aca="false">I318/$R$3</f>
        <v>0</v>
      </c>
      <c r="V318" s="126" t="n">
        <f aca="false">M318/$R$3</f>
        <v>-125.504</v>
      </c>
      <c r="W318" s="126" t="n">
        <f aca="false">N318/$R$3</f>
        <v>-2346.87675281252</v>
      </c>
    </row>
    <row r="319" customFormat="false" ht="12.75" hidden="false" customHeight="false" outlineLevel="0" collapsed="false">
      <c r="A319" s="120" t="n">
        <f aca="false">A318+1</f>
        <v>37205</v>
      </c>
      <c r="B319" s="131" t="str">
        <f aca="false">INDEX('Master Data'!$A$2:$B$8,MATCH(WEEKDAY('MM PLANT'!A319,3),'Master Data'!$A$2:$A$8,0),2)</f>
        <v>Sa</v>
      </c>
      <c r="D319" s="124" t="n">
        <v>0</v>
      </c>
      <c r="E319" s="124" t="n">
        <v>0</v>
      </c>
      <c r="F319" s="124" t="n">
        <v>0</v>
      </c>
      <c r="G319" s="124" t="n">
        <v>0</v>
      </c>
      <c r="I319" s="124" t="n">
        <f aca="false">IF(MONTH($A319)=MONTH($A318),IF(G319=0,I318,G319),G319)</f>
        <v>0</v>
      </c>
      <c r="J319" s="124" t="n">
        <f aca="false">IF(MONTH($A319)=MONTH($A318),SUM(I319-I318),I319)</f>
        <v>0</v>
      </c>
      <c r="K319" s="124" t="n">
        <f aca="false">IF(WEEKDAY(A319,3)&gt;4,0,(IF(A319&lt;K$2,0,IF(A319&lt;=K$3,1,0))))</f>
        <v>0</v>
      </c>
      <c r="L319" s="124" t="n">
        <f aca="false">J319*K319</f>
        <v>0</v>
      </c>
      <c r="M319" s="124" t="n">
        <f aca="false">SUM(J$280:J319)</f>
        <v>-125504</v>
      </c>
      <c r="N319" s="124" t="n">
        <f aca="false">SUM(J$6:J319)</f>
        <v>-2346876.75281252</v>
      </c>
      <c r="P319" s="124" t="n">
        <f aca="false">D319/P$3</f>
        <v>0</v>
      </c>
      <c r="Q319" s="124" t="n">
        <f aca="false">E319/P$3</f>
        <v>0</v>
      </c>
      <c r="R319" s="124" t="n">
        <f aca="false">F319/R$3</f>
        <v>0</v>
      </c>
      <c r="S319" s="126" t="n">
        <f aca="false">J319/$R$3</f>
        <v>0</v>
      </c>
      <c r="T319" s="126" t="n">
        <f aca="false">L319/$R$3</f>
        <v>0</v>
      </c>
      <c r="U319" s="126" t="n">
        <f aca="false">I319/$R$3</f>
        <v>0</v>
      </c>
      <c r="V319" s="126" t="n">
        <f aca="false">M319/$R$3</f>
        <v>-125.504</v>
      </c>
      <c r="W319" s="126" t="n">
        <f aca="false">N319/$R$3</f>
        <v>-2346.87675281252</v>
      </c>
    </row>
    <row r="320" customFormat="false" ht="12.75" hidden="false" customHeight="false" outlineLevel="0" collapsed="false">
      <c r="A320" s="120" t="n">
        <f aca="false">A319+1</f>
        <v>37206</v>
      </c>
      <c r="B320" s="131" t="str">
        <f aca="false">INDEX('Master Data'!$A$2:$B$8,MATCH(WEEKDAY('MM PLANT'!A320,3),'Master Data'!$A$2:$A$8,0),2)</f>
        <v>Su</v>
      </c>
      <c r="D320" s="124" t="n">
        <v>0</v>
      </c>
      <c r="E320" s="124" t="n">
        <v>0</v>
      </c>
      <c r="F320" s="124" t="n">
        <v>0</v>
      </c>
      <c r="G320" s="124" t="n">
        <v>0</v>
      </c>
      <c r="I320" s="124" t="n">
        <f aca="false">IF(MONTH($A320)=MONTH($A319),IF(G320=0,I319,G320),G320)</f>
        <v>0</v>
      </c>
      <c r="J320" s="124" t="n">
        <f aca="false">IF(MONTH($A320)=MONTH($A319),SUM(I320-I319),I320)</f>
        <v>0</v>
      </c>
      <c r="K320" s="124" t="n">
        <f aca="false">IF(WEEKDAY(A320,3)&gt;4,0,(IF(A320&lt;K$2,0,IF(A320&lt;=K$3,1,0))))</f>
        <v>0</v>
      </c>
      <c r="L320" s="124" t="n">
        <f aca="false">J320*K320</f>
        <v>0</v>
      </c>
      <c r="M320" s="124" t="n">
        <f aca="false">SUM(J$280:J320)</f>
        <v>-125504</v>
      </c>
      <c r="N320" s="124" t="n">
        <f aca="false">SUM(J$6:J320)</f>
        <v>-2346876.75281252</v>
      </c>
      <c r="P320" s="124" t="n">
        <f aca="false">D320/P$3</f>
        <v>0</v>
      </c>
      <c r="Q320" s="124" t="n">
        <f aca="false">E320/P$3</f>
        <v>0</v>
      </c>
      <c r="R320" s="124" t="n">
        <f aca="false">F320/R$3</f>
        <v>0</v>
      </c>
      <c r="S320" s="126" t="n">
        <f aca="false">J320/$R$3</f>
        <v>0</v>
      </c>
      <c r="T320" s="126" t="n">
        <f aca="false">L320/$R$3</f>
        <v>0</v>
      </c>
      <c r="U320" s="126" t="n">
        <f aca="false">I320/$R$3</f>
        <v>0</v>
      </c>
      <c r="V320" s="126" t="n">
        <f aca="false">M320/$R$3</f>
        <v>-125.504</v>
      </c>
      <c r="W320" s="126" t="n">
        <f aca="false">N320/$R$3</f>
        <v>-2346.87675281252</v>
      </c>
    </row>
    <row r="321" customFormat="false" ht="12.75" hidden="false" customHeight="false" outlineLevel="0" collapsed="false">
      <c r="A321" s="120" t="n">
        <f aca="false">A320+1</f>
        <v>37207</v>
      </c>
      <c r="B321" s="131" t="str">
        <f aca="false">INDEX('Master Data'!$A$2:$B$8,MATCH(WEEKDAY('MM PLANT'!A321,3),'Master Data'!$A$2:$A$8,0),2)</f>
        <v>M</v>
      </c>
      <c r="D321" s="124" t="n">
        <v>0</v>
      </c>
      <c r="E321" s="124" t="n">
        <v>0</v>
      </c>
      <c r="F321" s="124" t="n">
        <v>0</v>
      </c>
      <c r="G321" s="124" t="n">
        <v>0</v>
      </c>
      <c r="I321" s="124" t="n">
        <f aca="false">IF(MONTH($A321)=MONTH($A320),IF(G321=0,I320,G321),G321)</f>
        <v>0</v>
      </c>
      <c r="J321" s="124" t="n">
        <f aca="false">IF(MONTH($A321)=MONTH($A320),SUM(I321-I320),I321)</f>
        <v>0</v>
      </c>
      <c r="K321" s="124" t="n">
        <f aca="false">IF(WEEKDAY(A321,3)&gt;4,0,(IF(A321&lt;K$2,0,IF(A321&lt;=K$3,1,0))))</f>
        <v>0</v>
      </c>
      <c r="L321" s="124" t="n">
        <f aca="false">J321*K321</f>
        <v>0</v>
      </c>
      <c r="M321" s="124" t="n">
        <f aca="false">SUM(J$280:J321)</f>
        <v>-125504</v>
      </c>
      <c r="N321" s="124" t="n">
        <f aca="false">SUM(J$6:J321)</f>
        <v>-2346876.75281252</v>
      </c>
      <c r="P321" s="124" t="n">
        <f aca="false">D321/P$3</f>
        <v>0</v>
      </c>
      <c r="Q321" s="124" t="n">
        <f aca="false">E321/P$3</f>
        <v>0</v>
      </c>
      <c r="R321" s="124" t="n">
        <f aca="false">F321/R$3</f>
        <v>0</v>
      </c>
      <c r="S321" s="126" t="n">
        <f aca="false">J321/$R$3</f>
        <v>0</v>
      </c>
      <c r="T321" s="126" t="n">
        <f aca="false">L321/$R$3</f>
        <v>0</v>
      </c>
      <c r="U321" s="126" t="n">
        <f aca="false">I321/$R$3</f>
        <v>0</v>
      </c>
      <c r="V321" s="126" t="n">
        <f aca="false">M321/$R$3</f>
        <v>-125.504</v>
      </c>
      <c r="W321" s="126" t="n">
        <f aca="false">N321/$R$3</f>
        <v>-2346.87675281252</v>
      </c>
    </row>
    <row r="322" customFormat="false" ht="12.75" hidden="false" customHeight="false" outlineLevel="0" collapsed="false">
      <c r="A322" s="120" t="n">
        <f aca="false">A321+1</f>
        <v>37208</v>
      </c>
      <c r="B322" s="131" t="str">
        <f aca="false">INDEX('Master Data'!$A$2:$B$8,MATCH(WEEKDAY('MM PLANT'!A322,3),'Master Data'!$A$2:$A$8,0),2)</f>
        <v>T</v>
      </c>
      <c r="D322" s="124" t="n">
        <v>0</v>
      </c>
      <c r="E322" s="124" t="n">
        <v>0</v>
      </c>
      <c r="F322" s="124" t="n">
        <v>0</v>
      </c>
      <c r="G322" s="124" t="n">
        <v>0</v>
      </c>
      <c r="I322" s="124" t="n">
        <f aca="false">IF(MONTH($A322)=MONTH($A321),IF(G322=0,I321,G322),G322)</f>
        <v>0</v>
      </c>
      <c r="J322" s="124" t="n">
        <f aca="false">IF(MONTH($A322)=MONTH($A321),SUM(I322-I321),I322)</f>
        <v>0</v>
      </c>
      <c r="K322" s="124" t="n">
        <f aca="false">IF(WEEKDAY(A322,3)&gt;4,0,(IF(A322&lt;K$2,0,IF(A322&lt;=K$3,1,0))))</f>
        <v>0</v>
      </c>
      <c r="L322" s="124" t="n">
        <f aca="false">J322*K322</f>
        <v>0</v>
      </c>
      <c r="M322" s="124" t="n">
        <f aca="false">SUM(J$280:J322)</f>
        <v>-125504</v>
      </c>
      <c r="N322" s="124" t="n">
        <f aca="false">SUM(J$6:J322)</f>
        <v>-2346876.75281252</v>
      </c>
      <c r="P322" s="124" t="n">
        <f aca="false">D322/P$3</f>
        <v>0</v>
      </c>
      <c r="Q322" s="124" t="n">
        <f aca="false">E322/P$3</f>
        <v>0</v>
      </c>
      <c r="R322" s="124" t="n">
        <f aca="false">F322/R$3</f>
        <v>0</v>
      </c>
      <c r="S322" s="126" t="n">
        <f aca="false">J322/$R$3</f>
        <v>0</v>
      </c>
      <c r="T322" s="126" t="n">
        <f aca="false">L322/$R$3</f>
        <v>0</v>
      </c>
      <c r="U322" s="126" t="n">
        <f aca="false">I322/$R$3</f>
        <v>0</v>
      </c>
      <c r="V322" s="126" t="n">
        <f aca="false">M322/$R$3</f>
        <v>-125.504</v>
      </c>
      <c r="W322" s="126" t="n">
        <f aca="false">N322/$R$3</f>
        <v>-2346.87675281252</v>
      </c>
    </row>
    <row r="323" customFormat="false" ht="12.75" hidden="false" customHeight="false" outlineLevel="0" collapsed="false">
      <c r="A323" s="120" t="n">
        <f aca="false">A322+1</f>
        <v>37209</v>
      </c>
      <c r="B323" s="131" t="str">
        <f aca="false">INDEX('Master Data'!$A$2:$B$8,MATCH(WEEKDAY('MM PLANT'!A323,3),'Master Data'!$A$2:$A$8,0),2)</f>
        <v>W</v>
      </c>
      <c r="D323" s="124" t="n">
        <v>0</v>
      </c>
      <c r="E323" s="124" t="n">
        <v>0</v>
      </c>
      <c r="F323" s="124" t="n">
        <v>0</v>
      </c>
      <c r="G323" s="124" t="n">
        <v>0</v>
      </c>
      <c r="I323" s="124" t="n">
        <f aca="false">IF(MONTH($A323)=MONTH($A322),IF(G323=0,I322,G323),G323)</f>
        <v>0</v>
      </c>
      <c r="J323" s="124" t="n">
        <f aca="false">IF(MONTH($A323)=MONTH($A322),SUM(I323-I322),I323)</f>
        <v>0</v>
      </c>
      <c r="K323" s="124" t="n">
        <f aca="false">IF(WEEKDAY(A323,3)&gt;4,0,(IF(A323&lt;K$2,0,IF(A323&lt;=K$3,1,0))))</f>
        <v>0</v>
      </c>
      <c r="L323" s="124" t="n">
        <f aca="false">J323*K323</f>
        <v>0</v>
      </c>
      <c r="M323" s="124" t="n">
        <f aca="false">SUM(J$280:J323)</f>
        <v>-125504</v>
      </c>
      <c r="N323" s="124" t="n">
        <f aca="false">SUM(J$6:J323)</f>
        <v>-2346876.75281252</v>
      </c>
      <c r="P323" s="124" t="n">
        <f aca="false">D323/P$3</f>
        <v>0</v>
      </c>
      <c r="Q323" s="124" t="n">
        <f aca="false">E323/P$3</f>
        <v>0</v>
      </c>
      <c r="R323" s="124" t="n">
        <f aca="false">F323/R$3</f>
        <v>0</v>
      </c>
      <c r="S323" s="126" t="n">
        <f aca="false">J323/$R$3</f>
        <v>0</v>
      </c>
      <c r="T323" s="126" t="n">
        <f aca="false">L323/$R$3</f>
        <v>0</v>
      </c>
      <c r="U323" s="126" t="n">
        <f aca="false">I323/$R$3</f>
        <v>0</v>
      </c>
      <c r="V323" s="126" t="n">
        <f aca="false">M323/$R$3</f>
        <v>-125.504</v>
      </c>
      <c r="W323" s="126" t="n">
        <f aca="false">N323/$R$3</f>
        <v>-2346.87675281252</v>
      </c>
    </row>
    <row r="324" customFormat="false" ht="12.75" hidden="false" customHeight="false" outlineLevel="0" collapsed="false">
      <c r="A324" s="120" t="n">
        <f aca="false">A323+1</f>
        <v>37210</v>
      </c>
      <c r="B324" s="131" t="str">
        <f aca="false">INDEX('Master Data'!$A$2:$B$8,MATCH(WEEKDAY('MM PLANT'!A324,3),'Master Data'!$A$2:$A$8,0),2)</f>
        <v>Th</v>
      </c>
      <c r="D324" s="124" t="n">
        <v>0</v>
      </c>
      <c r="E324" s="124" t="n">
        <v>0</v>
      </c>
      <c r="F324" s="124" t="n">
        <v>0</v>
      </c>
      <c r="G324" s="124" t="n">
        <v>0</v>
      </c>
      <c r="I324" s="124" t="n">
        <f aca="false">IF(MONTH($A324)=MONTH($A323),IF(G324=0,I323,G324),G324)</f>
        <v>0</v>
      </c>
      <c r="J324" s="124" t="n">
        <f aca="false">IF(MONTH($A324)=MONTH($A323),SUM(I324-I323),I324)</f>
        <v>0</v>
      </c>
      <c r="K324" s="124" t="n">
        <f aca="false">IF(WEEKDAY(A324,3)&gt;4,0,(IF(A324&lt;K$2,0,IF(A324&lt;=K$3,1,0))))</f>
        <v>0</v>
      </c>
      <c r="L324" s="124" t="n">
        <f aca="false">J324*K324</f>
        <v>0</v>
      </c>
      <c r="M324" s="124" t="n">
        <f aca="false">SUM(J$280:J324)</f>
        <v>-125504</v>
      </c>
      <c r="N324" s="124" t="n">
        <f aca="false">SUM(J$6:J324)</f>
        <v>-2346876.75281252</v>
      </c>
      <c r="P324" s="124" t="n">
        <f aca="false">D324/P$3</f>
        <v>0</v>
      </c>
      <c r="Q324" s="124" t="n">
        <f aca="false">E324/P$3</f>
        <v>0</v>
      </c>
      <c r="R324" s="124" t="n">
        <f aca="false">F324/R$3</f>
        <v>0</v>
      </c>
      <c r="S324" s="126" t="n">
        <f aca="false">J324/$R$3</f>
        <v>0</v>
      </c>
      <c r="T324" s="126" t="n">
        <f aca="false">L324/$R$3</f>
        <v>0</v>
      </c>
      <c r="U324" s="126" t="n">
        <f aca="false">I324/$R$3</f>
        <v>0</v>
      </c>
      <c r="V324" s="126" t="n">
        <f aca="false">M324/$R$3</f>
        <v>-125.504</v>
      </c>
      <c r="W324" s="126" t="n">
        <f aca="false">N324/$R$3</f>
        <v>-2346.87675281252</v>
      </c>
    </row>
    <row r="325" customFormat="false" ht="12.75" hidden="false" customHeight="false" outlineLevel="0" collapsed="false">
      <c r="A325" s="120" t="n">
        <f aca="false">A324+1</f>
        <v>37211</v>
      </c>
      <c r="B325" s="131" t="str">
        <f aca="false">INDEX('Master Data'!$A$2:$B$8,MATCH(WEEKDAY('MM PLANT'!A325,3),'Master Data'!$A$2:$A$8,0),2)</f>
        <v>F</v>
      </c>
      <c r="D325" s="124" t="n">
        <v>0</v>
      </c>
      <c r="E325" s="124" t="n">
        <v>0</v>
      </c>
      <c r="F325" s="124" t="n">
        <v>0</v>
      </c>
      <c r="G325" s="124" t="n">
        <v>0</v>
      </c>
      <c r="I325" s="124" t="n">
        <f aca="false">IF(MONTH($A325)=MONTH($A324),IF(G325=0,I324,G325),G325)</f>
        <v>0</v>
      </c>
      <c r="J325" s="124" t="n">
        <f aca="false">IF(MONTH($A325)=MONTH($A324),SUM(I325-I324),I325)</f>
        <v>0</v>
      </c>
      <c r="K325" s="124" t="n">
        <f aca="false">IF(WEEKDAY(A325,3)&gt;4,0,(IF(A325&lt;K$2,0,IF(A325&lt;=K$3,1,0))))</f>
        <v>0</v>
      </c>
      <c r="L325" s="124" t="n">
        <f aca="false">J325*K325</f>
        <v>0</v>
      </c>
      <c r="M325" s="124" t="n">
        <f aca="false">SUM(J$280:J325)</f>
        <v>-125504</v>
      </c>
      <c r="N325" s="124" t="n">
        <f aca="false">SUM(J$6:J325)</f>
        <v>-2346876.75281252</v>
      </c>
      <c r="P325" s="124" t="n">
        <f aca="false">D325/P$3</f>
        <v>0</v>
      </c>
      <c r="Q325" s="124" t="n">
        <f aca="false">E325/P$3</f>
        <v>0</v>
      </c>
      <c r="R325" s="124" t="n">
        <f aca="false">F325/R$3</f>
        <v>0</v>
      </c>
      <c r="S325" s="126" t="n">
        <f aca="false">J325/$R$3</f>
        <v>0</v>
      </c>
      <c r="T325" s="126" t="n">
        <f aca="false">L325/$R$3</f>
        <v>0</v>
      </c>
      <c r="U325" s="126" t="n">
        <f aca="false">I325/$R$3</f>
        <v>0</v>
      </c>
      <c r="V325" s="126" t="n">
        <f aca="false">M325/$R$3</f>
        <v>-125.504</v>
      </c>
      <c r="W325" s="126" t="n">
        <f aca="false">N325/$R$3</f>
        <v>-2346.87675281252</v>
      </c>
    </row>
    <row r="326" customFormat="false" ht="12.75" hidden="false" customHeight="false" outlineLevel="0" collapsed="false">
      <c r="A326" s="120" t="n">
        <f aca="false">A325+1</f>
        <v>37212</v>
      </c>
      <c r="B326" s="131" t="str">
        <f aca="false">INDEX('Master Data'!$A$2:$B$8,MATCH(WEEKDAY('MM PLANT'!A326,3),'Master Data'!$A$2:$A$8,0),2)</f>
        <v>Sa</v>
      </c>
      <c r="D326" s="124" t="n">
        <v>0</v>
      </c>
      <c r="E326" s="124" t="n">
        <v>0</v>
      </c>
      <c r="F326" s="124" t="n">
        <v>0</v>
      </c>
      <c r="G326" s="124" t="n">
        <v>0</v>
      </c>
      <c r="I326" s="124" t="n">
        <f aca="false">IF(MONTH($A326)=MONTH($A325),IF(G326=0,I325,G326),G326)</f>
        <v>0</v>
      </c>
      <c r="J326" s="124" t="n">
        <f aca="false">IF(MONTH($A326)=MONTH($A325),SUM(I326-I325),I326)</f>
        <v>0</v>
      </c>
      <c r="K326" s="124" t="n">
        <f aca="false">IF(WEEKDAY(A326,3)&gt;4,0,(IF(A326&lt;K$2,0,IF(A326&lt;=K$3,1,0))))</f>
        <v>0</v>
      </c>
      <c r="L326" s="124" t="n">
        <f aca="false">J326*K326</f>
        <v>0</v>
      </c>
      <c r="M326" s="124" t="n">
        <f aca="false">SUM(J$280:J326)</f>
        <v>-125504</v>
      </c>
      <c r="N326" s="124" t="n">
        <f aca="false">SUM(J$6:J326)</f>
        <v>-2346876.75281252</v>
      </c>
      <c r="P326" s="124" t="n">
        <f aca="false">D326/P$3</f>
        <v>0</v>
      </c>
      <c r="Q326" s="124" t="n">
        <f aca="false">E326/P$3</f>
        <v>0</v>
      </c>
      <c r="R326" s="124" t="n">
        <f aca="false">F326/R$3</f>
        <v>0</v>
      </c>
      <c r="S326" s="126" t="n">
        <f aca="false">J326/$R$3</f>
        <v>0</v>
      </c>
      <c r="T326" s="126" t="n">
        <f aca="false">L326/$R$3</f>
        <v>0</v>
      </c>
      <c r="U326" s="126" t="n">
        <f aca="false">I326/$R$3</f>
        <v>0</v>
      </c>
      <c r="V326" s="126" t="n">
        <f aca="false">M326/$R$3</f>
        <v>-125.504</v>
      </c>
      <c r="W326" s="126" t="n">
        <f aca="false">N326/$R$3</f>
        <v>-2346.87675281252</v>
      </c>
    </row>
    <row r="327" customFormat="false" ht="12.75" hidden="false" customHeight="false" outlineLevel="0" collapsed="false">
      <c r="A327" s="120" t="n">
        <f aca="false">A326+1</f>
        <v>37213</v>
      </c>
      <c r="B327" s="131" t="str">
        <f aca="false">INDEX('Master Data'!$A$2:$B$8,MATCH(WEEKDAY('MM PLANT'!A327,3),'Master Data'!$A$2:$A$8,0),2)</f>
        <v>Su</v>
      </c>
      <c r="D327" s="124" t="n">
        <v>0</v>
      </c>
      <c r="E327" s="124" t="n">
        <v>0</v>
      </c>
      <c r="F327" s="124" t="n">
        <v>0</v>
      </c>
      <c r="G327" s="124" t="n">
        <v>0</v>
      </c>
      <c r="I327" s="124" t="n">
        <f aca="false">IF(MONTH($A327)=MONTH($A326),IF(G327=0,I326,G327),G327)</f>
        <v>0</v>
      </c>
      <c r="J327" s="124" t="n">
        <f aca="false">IF(MONTH($A327)=MONTH($A326),SUM(I327-I326),I327)</f>
        <v>0</v>
      </c>
      <c r="K327" s="124" t="n">
        <f aca="false">IF(WEEKDAY(A327,3)&gt;4,0,(IF(A327&lt;K$2,0,IF(A327&lt;=K$3,1,0))))</f>
        <v>0</v>
      </c>
      <c r="L327" s="124" t="n">
        <f aca="false">J327*K327</f>
        <v>0</v>
      </c>
      <c r="M327" s="124" t="n">
        <f aca="false">SUM(J$280:J327)</f>
        <v>-125504</v>
      </c>
      <c r="N327" s="124" t="n">
        <f aca="false">SUM(J$6:J327)</f>
        <v>-2346876.75281252</v>
      </c>
      <c r="P327" s="124" t="n">
        <f aca="false">D327/P$3</f>
        <v>0</v>
      </c>
      <c r="Q327" s="124" t="n">
        <f aca="false">E327/P$3</f>
        <v>0</v>
      </c>
      <c r="R327" s="124" t="n">
        <f aca="false">F327/R$3</f>
        <v>0</v>
      </c>
      <c r="S327" s="126" t="n">
        <f aca="false">J327/$R$3</f>
        <v>0</v>
      </c>
      <c r="T327" s="126" t="n">
        <f aca="false">L327/$R$3</f>
        <v>0</v>
      </c>
      <c r="U327" s="126" t="n">
        <f aca="false">I327/$R$3</f>
        <v>0</v>
      </c>
      <c r="V327" s="126" t="n">
        <f aca="false">M327/$R$3</f>
        <v>-125.504</v>
      </c>
      <c r="W327" s="126" t="n">
        <f aca="false">N327/$R$3</f>
        <v>-2346.87675281252</v>
      </c>
    </row>
    <row r="328" customFormat="false" ht="12.75" hidden="false" customHeight="false" outlineLevel="0" collapsed="false">
      <c r="A328" s="120" t="n">
        <f aca="false">A327+1</f>
        <v>37214</v>
      </c>
      <c r="B328" s="131" t="str">
        <f aca="false">INDEX('Master Data'!$A$2:$B$8,MATCH(WEEKDAY('MM PLANT'!A328,3),'Master Data'!$A$2:$A$8,0),2)</f>
        <v>M</v>
      </c>
      <c r="D328" s="124" t="n">
        <v>0</v>
      </c>
      <c r="E328" s="124" t="n">
        <v>0</v>
      </c>
      <c r="F328" s="124" t="n">
        <v>0</v>
      </c>
      <c r="G328" s="124" t="n">
        <v>0</v>
      </c>
      <c r="I328" s="124" t="n">
        <f aca="false">IF(MONTH($A328)=MONTH($A327),IF(G328=0,I327,G328),G328)</f>
        <v>0</v>
      </c>
      <c r="J328" s="124" t="n">
        <f aca="false">IF(MONTH($A328)=MONTH($A327),SUM(I328-I327),I328)</f>
        <v>0</v>
      </c>
      <c r="K328" s="124" t="n">
        <f aca="false">IF(WEEKDAY(A328,3)&gt;4,0,(IF(A328&lt;K$2,0,IF(A328&lt;=K$3,1,0))))</f>
        <v>0</v>
      </c>
      <c r="L328" s="124" t="n">
        <f aca="false">J328*K328</f>
        <v>0</v>
      </c>
      <c r="M328" s="124" t="n">
        <f aca="false">SUM(J$280:J328)</f>
        <v>-125504</v>
      </c>
      <c r="N328" s="124" t="n">
        <f aca="false">SUM(J$6:J328)</f>
        <v>-2346876.75281252</v>
      </c>
      <c r="P328" s="124" t="n">
        <f aca="false">D328/P$3</f>
        <v>0</v>
      </c>
      <c r="Q328" s="124" t="n">
        <f aca="false">E328/P$3</f>
        <v>0</v>
      </c>
      <c r="R328" s="124" t="n">
        <f aca="false">F328/R$3</f>
        <v>0</v>
      </c>
      <c r="S328" s="126" t="n">
        <f aca="false">J328/$R$3</f>
        <v>0</v>
      </c>
      <c r="T328" s="126" t="n">
        <f aca="false">L328/$R$3</f>
        <v>0</v>
      </c>
      <c r="U328" s="126" t="n">
        <f aca="false">I328/$R$3</f>
        <v>0</v>
      </c>
      <c r="V328" s="126" t="n">
        <f aca="false">M328/$R$3</f>
        <v>-125.504</v>
      </c>
      <c r="W328" s="126" t="n">
        <f aca="false">N328/$R$3</f>
        <v>-2346.87675281252</v>
      </c>
    </row>
    <row r="329" customFormat="false" ht="12.75" hidden="false" customHeight="false" outlineLevel="0" collapsed="false">
      <c r="A329" s="120" t="n">
        <f aca="false">A328+1</f>
        <v>37215</v>
      </c>
      <c r="B329" s="131" t="str">
        <f aca="false">INDEX('Master Data'!$A$2:$B$8,MATCH(WEEKDAY('MM PLANT'!A329,3),'Master Data'!$A$2:$A$8,0),2)</f>
        <v>T</v>
      </c>
      <c r="D329" s="124" t="n">
        <v>0</v>
      </c>
      <c r="E329" s="124" t="n">
        <v>0</v>
      </c>
      <c r="F329" s="124" t="n">
        <v>0</v>
      </c>
      <c r="G329" s="124" t="n">
        <v>0</v>
      </c>
      <c r="I329" s="124" t="n">
        <f aca="false">IF(MONTH($A329)=MONTH($A328),IF(G329=0,I328,G329),G329)</f>
        <v>0</v>
      </c>
      <c r="J329" s="124" t="n">
        <f aca="false">IF(MONTH($A329)=MONTH($A328),SUM(I329-I328),I329)</f>
        <v>0</v>
      </c>
      <c r="K329" s="124" t="n">
        <f aca="false">IF(WEEKDAY(A329,3)&gt;4,0,(IF(A329&lt;K$2,0,IF(A329&lt;=K$3,1,0))))</f>
        <v>0</v>
      </c>
      <c r="L329" s="124" t="n">
        <f aca="false">J329*K329</f>
        <v>0</v>
      </c>
      <c r="M329" s="124" t="n">
        <f aca="false">SUM(J$280:J329)</f>
        <v>-125504</v>
      </c>
      <c r="N329" s="124" t="n">
        <f aca="false">SUM(J$6:J329)</f>
        <v>-2346876.75281252</v>
      </c>
      <c r="P329" s="124" t="n">
        <f aca="false">D329/P$3</f>
        <v>0</v>
      </c>
      <c r="Q329" s="124" t="n">
        <f aca="false">E329/P$3</f>
        <v>0</v>
      </c>
      <c r="R329" s="124" t="n">
        <f aca="false">F329/R$3</f>
        <v>0</v>
      </c>
      <c r="S329" s="126" t="n">
        <f aca="false">J329/$R$3</f>
        <v>0</v>
      </c>
      <c r="T329" s="126" t="n">
        <f aca="false">L329/$R$3</f>
        <v>0</v>
      </c>
      <c r="U329" s="126" t="n">
        <f aca="false">I329/$R$3</f>
        <v>0</v>
      </c>
      <c r="V329" s="126" t="n">
        <f aca="false">M329/$R$3</f>
        <v>-125.504</v>
      </c>
      <c r="W329" s="126" t="n">
        <f aca="false">N329/$R$3</f>
        <v>-2346.87675281252</v>
      </c>
    </row>
    <row r="330" customFormat="false" ht="12.75" hidden="false" customHeight="false" outlineLevel="0" collapsed="false">
      <c r="A330" s="120" t="n">
        <f aca="false">A329+1</f>
        <v>37216</v>
      </c>
      <c r="B330" s="131" t="str">
        <f aca="false">INDEX('Master Data'!$A$2:$B$8,MATCH(WEEKDAY('MM PLANT'!A330,3),'Master Data'!$A$2:$A$8,0),2)</f>
        <v>W</v>
      </c>
      <c r="D330" s="124" t="n">
        <v>0</v>
      </c>
      <c r="E330" s="124" t="n">
        <v>0</v>
      </c>
      <c r="F330" s="124" t="n">
        <v>0</v>
      </c>
      <c r="G330" s="124" t="n">
        <v>0</v>
      </c>
      <c r="I330" s="124" t="n">
        <f aca="false">IF(MONTH($A330)=MONTH($A329),IF(G330=0,I329,G330),G330)</f>
        <v>0</v>
      </c>
      <c r="J330" s="124" t="n">
        <f aca="false">IF(MONTH($A330)=MONTH($A329),SUM(I330-I329),I330)</f>
        <v>0</v>
      </c>
      <c r="K330" s="124" t="n">
        <f aca="false">IF(WEEKDAY(A330,3)&gt;4,0,(IF(A330&lt;K$2,0,IF(A330&lt;=K$3,1,0))))</f>
        <v>0</v>
      </c>
      <c r="L330" s="124" t="n">
        <f aca="false">J330*K330</f>
        <v>0</v>
      </c>
      <c r="M330" s="124" t="n">
        <f aca="false">SUM(J$280:J330)</f>
        <v>-125504</v>
      </c>
      <c r="N330" s="124" t="n">
        <f aca="false">SUM(J$6:J330)</f>
        <v>-2346876.75281252</v>
      </c>
      <c r="P330" s="124" t="n">
        <f aca="false">D330/P$3</f>
        <v>0</v>
      </c>
      <c r="Q330" s="124" t="n">
        <f aca="false">E330/P$3</f>
        <v>0</v>
      </c>
      <c r="R330" s="124" t="n">
        <f aca="false">F330/R$3</f>
        <v>0</v>
      </c>
      <c r="S330" s="126" t="n">
        <f aca="false">J330/$R$3</f>
        <v>0</v>
      </c>
      <c r="T330" s="126" t="n">
        <f aca="false">L330/$R$3</f>
        <v>0</v>
      </c>
      <c r="U330" s="126" t="n">
        <f aca="false">I330/$R$3</f>
        <v>0</v>
      </c>
      <c r="V330" s="126" t="n">
        <f aca="false">M330/$R$3</f>
        <v>-125.504</v>
      </c>
      <c r="W330" s="126" t="n">
        <f aca="false">N330/$R$3</f>
        <v>-2346.87675281252</v>
      </c>
    </row>
    <row r="331" customFormat="false" ht="12.75" hidden="false" customHeight="false" outlineLevel="0" collapsed="false">
      <c r="A331" s="120" t="n">
        <f aca="false">A330+1</f>
        <v>37217</v>
      </c>
      <c r="B331" s="131" t="str">
        <f aca="false">INDEX('Master Data'!$A$2:$B$8,MATCH(WEEKDAY('MM PLANT'!A331,3),'Master Data'!$A$2:$A$8,0),2)</f>
        <v>Th</v>
      </c>
      <c r="D331" s="124" t="n">
        <v>0</v>
      </c>
      <c r="E331" s="124" t="n">
        <v>0</v>
      </c>
      <c r="F331" s="124" t="n">
        <v>0</v>
      </c>
      <c r="G331" s="124" t="n">
        <v>0</v>
      </c>
      <c r="I331" s="124" t="n">
        <f aca="false">IF(MONTH($A331)=MONTH($A330),IF(G331=0,I330,G331),G331)</f>
        <v>0</v>
      </c>
      <c r="J331" s="124" t="n">
        <f aca="false">IF(MONTH($A331)=MONTH($A330),SUM(I331-I330),I331)</f>
        <v>0</v>
      </c>
      <c r="K331" s="124" t="n">
        <f aca="false">IF(WEEKDAY(A331,3)&gt;4,0,(IF(A331&lt;K$2,0,IF(A331&lt;=K$3,1,0))))</f>
        <v>0</v>
      </c>
      <c r="L331" s="124" t="n">
        <f aca="false">J331*K331</f>
        <v>0</v>
      </c>
      <c r="M331" s="124" t="n">
        <f aca="false">SUM(J$280:J331)</f>
        <v>-125504</v>
      </c>
      <c r="N331" s="124" t="n">
        <f aca="false">SUM(J$6:J331)</f>
        <v>-2346876.75281252</v>
      </c>
      <c r="P331" s="124" t="n">
        <f aca="false">D331/P$3</f>
        <v>0</v>
      </c>
      <c r="Q331" s="124" t="n">
        <f aca="false">E331/P$3</f>
        <v>0</v>
      </c>
      <c r="R331" s="124" t="n">
        <f aca="false">F331/R$3</f>
        <v>0</v>
      </c>
      <c r="S331" s="126" t="n">
        <f aca="false">J331/$R$3</f>
        <v>0</v>
      </c>
      <c r="T331" s="126" t="n">
        <f aca="false">L331/$R$3</f>
        <v>0</v>
      </c>
      <c r="U331" s="126" t="n">
        <f aca="false">I331/$R$3</f>
        <v>0</v>
      </c>
      <c r="V331" s="126" t="n">
        <f aca="false">M331/$R$3</f>
        <v>-125.504</v>
      </c>
      <c r="W331" s="126" t="n">
        <f aca="false">N331/$R$3</f>
        <v>-2346.87675281252</v>
      </c>
    </row>
    <row r="332" customFormat="false" ht="12.75" hidden="false" customHeight="false" outlineLevel="0" collapsed="false">
      <c r="A332" s="120" t="n">
        <f aca="false">A331+1</f>
        <v>37218</v>
      </c>
      <c r="B332" s="131" t="str">
        <f aca="false">INDEX('Master Data'!$A$2:$B$8,MATCH(WEEKDAY('MM PLANT'!A332,3),'Master Data'!$A$2:$A$8,0),2)</f>
        <v>F</v>
      </c>
      <c r="D332" s="124" t="n">
        <v>0</v>
      </c>
      <c r="E332" s="124" t="n">
        <v>0</v>
      </c>
      <c r="F332" s="124" t="n">
        <v>0</v>
      </c>
      <c r="G332" s="124" t="n">
        <v>0</v>
      </c>
      <c r="I332" s="124" t="n">
        <f aca="false">IF(MONTH($A332)=MONTH($A331),IF(G332=0,I331,G332),G332)</f>
        <v>0</v>
      </c>
      <c r="J332" s="124" t="n">
        <f aca="false">IF(MONTH($A332)=MONTH($A331),SUM(I332-I331),I332)</f>
        <v>0</v>
      </c>
      <c r="K332" s="124" t="n">
        <f aca="false">IF(WEEKDAY(A332,3)&gt;4,0,(IF(A332&lt;K$2,0,IF(A332&lt;=K$3,1,0))))</f>
        <v>0</v>
      </c>
      <c r="L332" s="124" t="n">
        <f aca="false">J332*K332</f>
        <v>0</v>
      </c>
      <c r="M332" s="124" t="n">
        <f aca="false">SUM(J$280:J332)</f>
        <v>-125504</v>
      </c>
      <c r="N332" s="124" t="n">
        <f aca="false">SUM(J$6:J332)</f>
        <v>-2346876.75281252</v>
      </c>
      <c r="P332" s="124" t="n">
        <f aca="false">D332/P$3</f>
        <v>0</v>
      </c>
      <c r="Q332" s="124" t="n">
        <f aca="false">E332/P$3</f>
        <v>0</v>
      </c>
      <c r="R332" s="124" t="n">
        <f aca="false">F332/R$3</f>
        <v>0</v>
      </c>
      <c r="S332" s="126" t="n">
        <f aca="false">J332/$R$3</f>
        <v>0</v>
      </c>
      <c r="T332" s="126" t="n">
        <f aca="false">L332/$R$3</f>
        <v>0</v>
      </c>
      <c r="U332" s="126" t="n">
        <f aca="false">I332/$R$3</f>
        <v>0</v>
      </c>
      <c r="V332" s="126" t="n">
        <f aca="false">M332/$R$3</f>
        <v>-125.504</v>
      </c>
      <c r="W332" s="126" t="n">
        <f aca="false">N332/$R$3</f>
        <v>-2346.87675281252</v>
      </c>
    </row>
    <row r="333" customFormat="false" ht="12.75" hidden="false" customHeight="false" outlineLevel="0" collapsed="false">
      <c r="A333" s="120" t="n">
        <f aca="false">A332+1</f>
        <v>37219</v>
      </c>
      <c r="B333" s="131" t="str">
        <f aca="false">INDEX('Master Data'!$A$2:$B$8,MATCH(WEEKDAY('MM PLANT'!A333,3),'Master Data'!$A$2:$A$8,0),2)</f>
        <v>Sa</v>
      </c>
      <c r="D333" s="124" t="n">
        <v>0</v>
      </c>
      <c r="E333" s="124" t="n">
        <v>0</v>
      </c>
      <c r="F333" s="124" t="n">
        <v>0</v>
      </c>
      <c r="G333" s="124" t="n">
        <v>0</v>
      </c>
      <c r="I333" s="124" t="n">
        <f aca="false">IF(MONTH($A333)=MONTH($A332),IF(G333=0,I332,G333),G333)</f>
        <v>0</v>
      </c>
      <c r="J333" s="124" t="n">
        <f aca="false">IF(MONTH($A333)=MONTH($A332),SUM(I333-I332),I333)</f>
        <v>0</v>
      </c>
      <c r="K333" s="124" t="n">
        <f aca="false">IF(WEEKDAY(A333,3)&gt;4,0,(IF(A333&lt;K$2,0,IF(A333&lt;=K$3,1,0))))</f>
        <v>0</v>
      </c>
      <c r="L333" s="124" t="n">
        <f aca="false">J333*K333</f>
        <v>0</v>
      </c>
      <c r="M333" s="124" t="n">
        <f aca="false">SUM(J$280:J333)</f>
        <v>-125504</v>
      </c>
      <c r="N333" s="124" t="n">
        <f aca="false">SUM(J$6:J333)</f>
        <v>-2346876.75281252</v>
      </c>
      <c r="P333" s="124" t="n">
        <f aca="false">D333/P$3</f>
        <v>0</v>
      </c>
      <c r="Q333" s="124" t="n">
        <f aca="false">E333/P$3</f>
        <v>0</v>
      </c>
      <c r="R333" s="124" t="n">
        <f aca="false">F333/R$3</f>
        <v>0</v>
      </c>
      <c r="S333" s="126" t="n">
        <f aca="false">J333/$R$3</f>
        <v>0</v>
      </c>
      <c r="T333" s="126" t="n">
        <f aca="false">L333/$R$3</f>
        <v>0</v>
      </c>
      <c r="U333" s="126" t="n">
        <f aca="false">I333/$R$3</f>
        <v>0</v>
      </c>
      <c r="V333" s="126" t="n">
        <f aca="false">M333/$R$3</f>
        <v>-125.504</v>
      </c>
      <c r="W333" s="126" t="n">
        <f aca="false">N333/$R$3</f>
        <v>-2346.87675281252</v>
      </c>
    </row>
    <row r="334" customFormat="false" ht="12.75" hidden="false" customHeight="false" outlineLevel="0" collapsed="false">
      <c r="A334" s="120" t="n">
        <f aca="false">A333+1</f>
        <v>37220</v>
      </c>
      <c r="B334" s="131" t="str">
        <f aca="false">INDEX('Master Data'!$A$2:$B$8,MATCH(WEEKDAY('MM PLANT'!A334,3),'Master Data'!$A$2:$A$8,0),2)</f>
        <v>Su</v>
      </c>
      <c r="D334" s="124" t="n">
        <v>0</v>
      </c>
      <c r="E334" s="124" t="n">
        <v>0</v>
      </c>
      <c r="F334" s="124" t="n">
        <v>0</v>
      </c>
      <c r="G334" s="124" t="n">
        <v>0</v>
      </c>
      <c r="I334" s="124" t="n">
        <f aca="false">IF(MONTH($A334)=MONTH($A333),IF(G334=0,I333,G334),G334)</f>
        <v>0</v>
      </c>
      <c r="J334" s="124" t="n">
        <f aca="false">IF(MONTH($A334)=MONTH($A333),SUM(I334-I333),I334)</f>
        <v>0</v>
      </c>
      <c r="K334" s="124" t="n">
        <f aca="false">IF(WEEKDAY(A334,3)&gt;4,0,(IF(A334&lt;K$2,0,IF(A334&lt;=K$3,1,0))))</f>
        <v>0</v>
      </c>
      <c r="L334" s="124" t="n">
        <f aca="false">J334*K334</f>
        <v>0</v>
      </c>
      <c r="M334" s="124" t="n">
        <f aca="false">SUM(J$280:J334)</f>
        <v>-125504</v>
      </c>
      <c r="N334" s="124" t="n">
        <f aca="false">SUM(J$6:J334)</f>
        <v>-2346876.75281252</v>
      </c>
      <c r="P334" s="124" t="n">
        <f aca="false">D334/P$3</f>
        <v>0</v>
      </c>
      <c r="Q334" s="124" t="n">
        <f aca="false">E334/P$3</f>
        <v>0</v>
      </c>
      <c r="R334" s="124" t="n">
        <f aca="false">F334/R$3</f>
        <v>0</v>
      </c>
      <c r="S334" s="126" t="n">
        <f aca="false">J334/$R$3</f>
        <v>0</v>
      </c>
      <c r="T334" s="126" t="n">
        <f aca="false">L334/$R$3</f>
        <v>0</v>
      </c>
      <c r="U334" s="126" t="n">
        <f aca="false">I334/$R$3</f>
        <v>0</v>
      </c>
      <c r="V334" s="126" t="n">
        <f aca="false">M334/$R$3</f>
        <v>-125.504</v>
      </c>
      <c r="W334" s="126" t="n">
        <f aca="false">N334/$R$3</f>
        <v>-2346.87675281252</v>
      </c>
    </row>
    <row r="335" customFormat="false" ht="12.75" hidden="false" customHeight="false" outlineLevel="0" collapsed="false">
      <c r="A335" s="120" t="n">
        <f aca="false">A334+1</f>
        <v>37221</v>
      </c>
      <c r="B335" s="131" t="str">
        <f aca="false">INDEX('Master Data'!$A$2:$B$8,MATCH(WEEKDAY('MM PLANT'!A335,3),'Master Data'!$A$2:$A$8,0),2)</f>
        <v>M</v>
      </c>
      <c r="D335" s="124" t="n">
        <v>0</v>
      </c>
      <c r="E335" s="124" t="n">
        <v>0</v>
      </c>
      <c r="F335" s="124" t="n">
        <v>0</v>
      </c>
      <c r="G335" s="124" t="n">
        <v>0</v>
      </c>
      <c r="I335" s="124" t="n">
        <f aca="false">IF(MONTH($A335)=MONTH($A334),IF(G335=0,I334,G335),G335)</f>
        <v>0</v>
      </c>
      <c r="J335" s="124" t="n">
        <f aca="false">IF(MONTH($A335)=MONTH($A334),SUM(I335-I334),I335)</f>
        <v>0</v>
      </c>
      <c r="K335" s="124" t="n">
        <f aca="false">IF(WEEKDAY(A335,3)&gt;4,0,(IF(A335&lt;K$2,0,IF(A335&lt;=K$3,1,0))))</f>
        <v>0</v>
      </c>
      <c r="L335" s="124" t="n">
        <f aca="false">J335*K335</f>
        <v>0</v>
      </c>
      <c r="M335" s="124" t="n">
        <f aca="false">SUM(J$280:J335)</f>
        <v>-125504</v>
      </c>
      <c r="N335" s="124" t="n">
        <f aca="false">SUM(J$6:J335)</f>
        <v>-2346876.75281252</v>
      </c>
      <c r="P335" s="124" t="n">
        <f aca="false">D335/P$3</f>
        <v>0</v>
      </c>
      <c r="Q335" s="124" t="n">
        <f aca="false">E335/P$3</f>
        <v>0</v>
      </c>
      <c r="R335" s="124" t="n">
        <f aca="false">F335/R$3</f>
        <v>0</v>
      </c>
      <c r="S335" s="126" t="n">
        <f aca="false">J335/$R$3</f>
        <v>0</v>
      </c>
      <c r="T335" s="126" t="n">
        <f aca="false">L335/$R$3</f>
        <v>0</v>
      </c>
      <c r="U335" s="126" t="n">
        <f aca="false">I335/$R$3</f>
        <v>0</v>
      </c>
      <c r="V335" s="126" t="n">
        <f aca="false">M335/$R$3</f>
        <v>-125.504</v>
      </c>
      <c r="W335" s="126" t="n">
        <f aca="false">N335/$R$3</f>
        <v>-2346.87675281252</v>
      </c>
    </row>
    <row r="336" customFormat="false" ht="12.75" hidden="false" customHeight="false" outlineLevel="0" collapsed="false">
      <c r="A336" s="120" t="n">
        <f aca="false">A335+1</f>
        <v>37222</v>
      </c>
      <c r="B336" s="131" t="str">
        <f aca="false">INDEX('Master Data'!$A$2:$B$8,MATCH(WEEKDAY('MM PLANT'!A336,3),'Master Data'!$A$2:$A$8,0),2)</f>
        <v>T</v>
      </c>
      <c r="D336" s="124" t="n">
        <v>0</v>
      </c>
      <c r="E336" s="124" t="n">
        <v>0</v>
      </c>
      <c r="F336" s="124" t="n">
        <v>0</v>
      </c>
      <c r="G336" s="124" t="n">
        <v>0</v>
      </c>
      <c r="I336" s="124" t="n">
        <f aca="false">IF(MONTH($A336)=MONTH($A335),IF(G336=0,I335,G336),G336)</f>
        <v>0</v>
      </c>
      <c r="J336" s="124" t="n">
        <f aca="false">IF(MONTH($A336)=MONTH($A335),SUM(I336-I335),I336)</f>
        <v>0</v>
      </c>
      <c r="K336" s="124" t="n">
        <f aca="false">IF(WEEKDAY(A336,3)&gt;4,0,(IF(A336&lt;K$2,0,IF(A336&lt;=K$3,1,0))))</f>
        <v>0</v>
      </c>
      <c r="L336" s="124" t="n">
        <f aca="false">J336*K336</f>
        <v>0</v>
      </c>
      <c r="M336" s="124" t="n">
        <f aca="false">SUM(J$280:J336)</f>
        <v>-125504</v>
      </c>
      <c r="N336" s="124" t="n">
        <f aca="false">SUM(J$6:J336)</f>
        <v>-2346876.75281252</v>
      </c>
      <c r="P336" s="124" t="n">
        <f aca="false">D336/P$3</f>
        <v>0</v>
      </c>
      <c r="Q336" s="124" t="n">
        <f aca="false">E336/P$3</f>
        <v>0</v>
      </c>
      <c r="R336" s="124" t="n">
        <f aca="false">F336/R$3</f>
        <v>0</v>
      </c>
      <c r="S336" s="126" t="n">
        <f aca="false">J336/$R$3</f>
        <v>0</v>
      </c>
      <c r="T336" s="126" t="n">
        <f aca="false">L336/$R$3</f>
        <v>0</v>
      </c>
      <c r="U336" s="126" t="n">
        <f aca="false">I336/$R$3</f>
        <v>0</v>
      </c>
      <c r="V336" s="126" t="n">
        <f aca="false">M336/$R$3</f>
        <v>-125.504</v>
      </c>
      <c r="W336" s="126" t="n">
        <f aca="false">N336/$R$3</f>
        <v>-2346.87675281252</v>
      </c>
    </row>
    <row r="337" customFormat="false" ht="12.75" hidden="false" customHeight="false" outlineLevel="0" collapsed="false">
      <c r="A337" s="120" t="n">
        <f aca="false">A336+1</f>
        <v>37223</v>
      </c>
      <c r="B337" s="131" t="str">
        <f aca="false">INDEX('Master Data'!$A$2:$B$8,MATCH(WEEKDAY('MM PLANT'!A337,3),'Master Data'!$A$2:$A$8,0),2)</f>
        <v>W</v>
      </c>
      <c r="D337" s="124" t="n">
        <v>0</v>
      </c>
      <c r="E337" s="124" t="n">
        <v>0</v>
      </c>
      <c r="F337" s="124" t="n">
        <v>0</v>
      </c>
      <c r="G337" s="124" t="n">
        <v>0</v>
      </c>
      <c r="I337" s="124" t="n">
        <f aca="false">IF(MONTH($A337)=MONTH($A336),IF(G337=0,I336,G337),G337)</f>
        <v>0</v>
      </c>
      <c r="J337" s="124" t="n">
        <f aca="false">IF(MONTH($A337)=MONTH($A336),SUM(I337-I336),I337)</f>
        <v>0</v>
      </c>
      <c r="K337" s="124" t="n">
        <f aca="false">IF(WEEKDAY(A337,3)&gt;4,0,(IF(A337&lt;K$2,0,IF(A337&lt;=K$3,1,0))))</f>
        <v>0</v>
      </c>
      <c r="L337" s="124" t="n">
        <f aca="false">J337*K337</f>
        <v>0</v>
      </c>
      <c r="M337" s="124" t="n">
        <f aca="false">SUM(J$280:J337)</f>
        <v>-125504</v>
      </c>
      <c r="N337" s="124" t="n">
        <f aca="false">SUM(J$6:J337)</f>
        <v>-2346876.75281252</v>
      </c>
      <c r="P337" s="124" t="n">
        <f aca="false">D337/P$3</f>
        <v>0</v>
      </c>
      <c r="Q337" s="124" t="n">
        <f aca="false">E337/P$3</f>
        <v>0</v>
      </c>
      <c r="R337" s="124" t="n">
        <f aca="false">F337/R$3</f>
        <v>0</v>
      </c>
      <c r="S337" s="126" t="n">
        <f aca="false">J337/$R$3</f>
        <v>0</v>
      </c>
      <c r="T337" s="126" t="n">
        <f aca="false">L337/$R$3</f>
        <v>0</v>
      </c>
      <c r="U337" s="126" t="n">
        <f aca="false">I337/$R$3</f>
        <v>0</v>
      </c>
      <c r="V337" s="126" t="n">
        <f aca="false">M337/$R$3</f>
        <v>-125.504</v>
      </c>
      <c r="W337" s="126" t="n">
        <f aca="false">N337/$R$3</f>
        <v>-2346.87675281252</v>
      </c>
    </row>
    <row r="338" customFormat="false" ht="12.75" hidden="false" customHeight="false" outlineLevel="0" collapsed="false">
      <c r="A338" s="120" t="n">
        <f aca="false">A337+1</f>
        <v>37224</v>
      </c>
      <c r="B338" s="131" t="str">
        <f aca="false">INDEX('Master Data'!$A$2:$B$8,MATCH(WEEKDAY('MM PLANT'!A338,3),'Master Data'!$A$2:$A$8,0),2)</f>
        <v>Th</v>
      </c>
      <c r="D338" s="124" t="n">
        <v>0</v>
      </c>
      <c r="E338" s="124" t="n">
        <v>0</v>
      </c>
      <c r="F338" s="124" t="n">
        <v>0</v>
      </c>
      <c r="G338" s="124" t="n">
        <v>0</v>
      </c>
      <c r="I338" s="124" t="n">
        <f aca="false">IF(MONTH($A338)=MONTH($A337),IF(G338=0,I337,G338),G338)</f>
        <v>0</v>
      </c>
      <c r="J338" s="124" t="n">
        <f aca="false">IF(MONTH($A338)=MONTH($A337),SUM(I338-I337),I338)</f>
        <v>0</v>
      </c>
      <c r="K338" s="124" t="n">
        <f aca="false">IF(WEEKDAY(A338,3)&gt;4,0,(IF(A338&lt;K$2,0,IF(A338&lt;=K$3,1,0))))</f>
        <v>0</v>
      </c>
      <c r="L338" s="124" t="n">
        <f aca="false">J338*K338</f>
        <v>0</v>
      </c>
      <c r="M338" s="124" t="n">
        <f aca="false">SUM(J$280:J338)</f>
        <v>-125504</v>
      </c>
      <c r="N338" s="124" t="n">
        <f aca="false">SUM(J$6:J338)</f>
        <v>-2346876.75281252</v>
      </c>
      <c r="P338" s="124" t="n">
        <f aca="false">D338/P$3</f>
        <v>0</v>
      </c>
      <c r="Q338" s="124" t="n">
        <f aca="false">E338/P$3</f>
        <v>0</v>
      </c>
      <c r="R338" s="124" t="n">
        <f aca="false">F338/R$3</f>
        <v>0</v>
      </c>
      <c r="S338" s="126" t="n">
        <f aca="false">J338/$R$3</f>
        <v>0</v>
      </c>
      <c r="T338" s="126" t="n">
        <f aca="false">L338/$R$3</f>
        <v>0</v>
      </c>
      <c r="U338" s="126" t="n">
        <f aca="false">I338/$R$3</f>
        <v>0</v>
      </c>
      <c r="V338" s="126" t="n">
        <f aca="false">M338/$R$3</f>
        <v>-125.504</v>
      </c>
      <c r="W338" s="126" t="n">
        <f aca="false">N338/$R$3</f>
        <v>-2346.87675281252</v>
      </c>
    </row>
    <row r="339" customFormat="false" ht="12.75" hidden="false" customHeight="false" outlineLevel="0" collapsed="false">
      <c r="A339" s="120" t="n">
        <f aca="false">A338+1</f>
        <v>37225</v>
      </c>
      <c r="B339" s="131" t="str">
        <f aca="false">INDEX('Master Data'!$A$2:$B$8,MATCH(WEEKDAY('MM PLANT'!A339,3),'Master Data'!$A$2:$A$8,0),2)</f>
        <v>F</v>
      </c>
      <c r="D339" s="124" t="n">
        <v>0</v>
      </c>
      <c r="E339" s="124" t="n">
        <v>0</v>
      </c>
      <c r="F339" s="124" t="n">
        <v>0</v>
      </c>
      <c r="G339" s="124" t="n">
        <v>0</v>
      </c>
      <c r="I339" s="124" t="n">
        <f aca="false">IF(MONTH($A339)=MONTH($A338),IF(G339=0,I338,G339),G339)</f>
        <v>0</v>
      </c>
      <c r="J339" s="124" t="n">
        <f aca="false">IF(MONTH($A339)=MONTH($A338),SUM(I339-I338),I339)</f>
        <v>0</v>
      </c>
      <c r="K339" s="124" t="n">
        <f aca="false">IF(WEEKDAY(A339,3)&gt;4,0,(IF(A339&lt;K$2,0,IF(A339&lt;=K$3,1,0))))</f>
        <v>0</v>
      </c>
      <c r="L339" s="124" t="n">
        <f aca="false">J339*K339</f>
        <v>0</v>
      </c>
      <c r="M339" s="124" t="n">
        <f aca="false">SUM(J$280:J339)</f>
        <v>-125504</v>
      </c>
      <c r="N339" s="124" t="n">
        <f aca="false">SUM(J$6:J339)</f>
        <v>-2346876.75281252</v>
      </c>
      <c r="P339" s="124" t="n">
        <f aca="false">D339/P$3</f>
        <v>0</v>
      </c>
      <c r="Q339" s="124" t="n">
        <f aca="false">E339/P$3</f>
        <v>0</v>
      </c>
      <c r="R339" s="124" t="n">
        <f aca="false">F339/R$3</f>
        <v>0</v>
      </c>
      <c r="S339" s="126" t="n">
        <f aca="false">J339/$R$3</f>
        <v>0</v>
      </c>
      <c r="T339" s="126" t="n">
        <f aca="false">L339/$R$3</f>
        <v>0</v>
      </c>
      <c r="U339" s="126" t="n">
        <f aca="false">I339/$R$3</f>
        <v>0</v>
      </c>
      <c r="V339" s="126" t="n">
        <f aca="false">M339/$R$3</f>
        <v>-125.504</v>
      </c>
      <c r="W339" s="126" t="n">
        <f aca="false">N339/$R$3</f>
        <v>-2346.87675281252</v>
      </c>
    </row>
    <row r="340" customFormat="false" ht="12.75" hidden="false" customHeight="false" outlineLevel="0" collapsed="false">
      <c r="A340" s="120" t="n">
        <f aca="false">A339+1</f>
        <v>37226</v>
      </c>
      <c r="B340" s="131" t="str">
        <f aca="false">INDEX('Master Data'!$A$2:$B$8,MATCH(WEEKDAY('MM PLANT'!A340,3),'Master Data'!$A$2:$A$8,0),2)</f>
        <v>Sa</v>
      </c>
      <c r="D340" s="124" t="n">
        <v>0</v>
      </c>
      <c r="E340" s="124" t="n">
        <v>0</v>
      </c>
      <c r="F340" s="124" t="n">
        <v>0</v>
      </c>
      <c r="G340" s="124" t="n">
        <v>0</v>
      </c>
      <c r="I340" s="124" t="n">
        <f aca="false">IF(MONTH($A340)=MONTH($A339),IF(G340=0,I339,G340),G340)</f>
        <v>0</v>
      </c>
      <c r="J340" s="124" t="n">
        <f aca="false">IF(MONTH($A340)=MONTH($A339),SUM(I340-I339),I340)</f>
        <v>0</v>
      </c>
      <c r="K340" s="124" t="n">
        <f aca="false">IF(WEEKDAY(A340,3)&gt;4,0,(IF(A340&lt;K$2,0,IF(A340&lt;=K$3,1,0))))</f>
        <v>0</v>
      </c>
      <c r="L340" s="124" t="n">
        <f aca="false">J340*K340</f>
        <v>0</v>
      </c>
      <c r="M340" s="124" t="n">
        <f aca="false">SUM(J$280:J340)</f>
        <v>-125504</v>
      </c>
      <c r="N340" s="124" t="n">
        <f aca="false">SUM(J$6:J340)</f>
        <v>-2346876.75281252</v>
      </c>
      <c r="P340" s="124" t="n">
        <f aca="false">D340/P$3</f>
        <v>0</v>
      </c>
      <c r="Q340" s="124" t="n">
        <f aca="false">E340/P$3</f>
        <v>0</v>
      </c>
      <c r="R340" s="124" t="n">
        <f aca="false">F340/R$3</f>
        <v>0</v>
      </c>
      <c r="S340" s="126" t="n">
        <f aca="false">J340/$R$3</f>
        <v>0</v>
      </c>
      <c r="T340" s="126" t="n">
        <f aca="false">L340/$R$3</f>
        <v>0</v>
      </c>
      <c r="U340" s="126" t="n">
        <f aca="false">I340/$R$3</f>
        <v>0</v>
      </c>
      <c r="V340" s="126" t="n">
        <f aca="false">M340/$R$3</f>
        <v>-125.504</v>
      </c>
      <c r="W340" s="126" t="n">
        <f aca="false">N340/$R$3</f>
        <v>-2346.87675281252</v>
      </c>
    </row>
    <row r="341" customFormat="false" ht="12.75" hidden="false" customHeight="false" outlineLevel="0" collapsed="false">
      <c r="A341" s="120" t="n">
        <f aca="false">A340+1</f>
        <v>37227</v>
      </c>
      <c r="B341" s="131" t="str">
        <f aca="false">INDEX('Master Data'!$A$2:$B$8,MATCH(WEEKDAY('MM PLANT'!A341,3),'Master Data'!$A$2:$A$8,0),2)</f>
        <v>Su</v>
      </c>
      <c r="D341" s="124" t="n">
        <v>0</v>
      </c>
      <c r="E341" s="124" t="n">
        <v>0</v>
      </c>
      <c r="F341" s="124" t="n">
        <v>0</v>
      </c>
      <c r="G341" s="124" t="n">
        <v>0</v>
      </c>
      <c r="I341" s="124" t="n">
        <f aca="false">IF(MONTH($A341)=MONTH($A340),IF(G341=0,I340,G341),G341)</f>
        <v>0</v>
      </c>
      <c r="J341" s="124" t="n">
        <f aca="false">IF(MONTH($A341)=MONTH($A340),SUM(I341-I340),I341)</f>
        <v>0</v>
      </c>
      <c r="K341" s="124" t="n">
        <f aca="false">IF(WEEKDAY(A341,3)&gt;4,0,(IF(A341&lt;K$2,0,IF(A341&lt;=K$3,1,0))))</f>
        <v>0</v>
      </c>
      <c r="L341" s="124" t="n">
        <f aca="false">J341*K341</f>
        <v>0</v>
      </c>
      <c r="M341" s="124" t="n">
        <f aca="false">SUM(J$280:J341)</f>
        <v>-125504</v>
      </c>
      <c r="N341" s="124" t="n">
        <f aca="false">SUM(J$6:J341)</f>
        <v>-2346876.75281252</v>
      </c>
      <c r="P341" s="124" t="n">
        <f aca="false">D341/P$3</f>
        <v>0</v>
      </c>
      <c r="Q341" s="124" t="n">
        <f aca="false">E341/P$3</f>
        <v>0</v>
      </c>
      <c r="R341" s="124" t="n">
        <f aca="false">F341/R$3</f>
        <v>0</v>
      </c>
      <c r="S341" s="126" t="n">
        <f aca="false">J341/$R$3</f>
        <v>0</v>
      </c>
      <c r="T341" s="126" t="n">
        <f aca="false">L341/$R$3</f>
        <v>0</v>
      </c>
      <c r="U341" s="126" t="n">
        <f aca="false">I341/$R$3</f>
        <v>0</v>
      </c>
      <c r="V341" s="126" t="n">
        <f aca="false">M341/$R$3</f>
        <v>-125.504</v>
      </c>
      <c r="W341" s="126" t="n">
        <f aca="false">N341/$R$3</f>
        <v>-2346.87675281252</v>
      </c>
    </row>
    <row r="342" customFormat="false" ht="12.75" hidden="false" customHeight="false" outlineLevel="0" collapsed="false">
      <c r="A342" s="120" t="n">
        <f aca="false">A341+1</f>
        <v>37228</v>
      </c>
      <c r="B342" s="131" t="str">
        <f aca="false">INDEX('Master Data'!$A$2:$B$8,MATCH(WEEKDAY('MM PLANT'!A342,3),'Master Data'!$A$2:$A$8,0),2)</f>
        <v>M</v>
      </c>
      <c r="D342" s="124" t="n">
        <v>0</v>
      </c>
      <c r="E342" s="124" t="n">
        <v>0</v>
      </c>
      <c r="F342" s="124" t="n">
        <v>0</v>
      </c>
      <c r="G342" s="124" t="n">
        <v>0</v>
      </c>
      <c r="I342" s="124" t="n">
        <f aca="false">IF(MONTH($A342)=MONTH($A341),IF(G342=0,I341,G342),G342)</f>
        <v>0</v>
      </c>
      <c r="J342" s="124" t="n">
        <f aca="false">IF(MONTH($A342)=MONTH($A341),SUM(I342-I341),I342)</f>
        <v>0</v>
      </c>
      <c r="K342" s="124" t="n">
        <f aca="false">IF(WEEKDAY(A342,3)&gt;4,0,(IF(A342&lt;K$2,0,IF(A342&lt;=K$3,1,0))))</f>
        <v>0</v>
      </c>
      <c r="L342" s="124" t="n">
        <f aca="false">J342*K342</f>
        <v>0</v>
      </c>
      <c r="M342" s="124" t="n">
        <f aca="false">SUM(J$280:J342)</f>
        <v>-125504</v>
      </c>
      <c r="N342" s="124" t="n">
        <f aca="false">SUM(J$6:J342)</f>
        <v>-2346876.75281252</v>
      </c>
      <c r="P342" s="124" t="n">
        <f aca="false">D342/P$3</f>
        <v>0</v>
      </c>
      <c r="Q342" s="124" t="n">
        <f aca="false">E342/P$3</f>
        <v>0</v>
      </c>
      <c r="R342" s="124" t="n">
        <f aca="false">F342/R$3</f>
        <v>0</v>
      </c>
      <c r="S342" s="126" t="n">
        <f aca="false">J342/$R$3</f>
        <v>0</v>
      </c>
      <c r="T342" s="126" t="n">
        <f aca="false">L342/$R$3</f>
        <v>0</v>
      </c>
      <c r="U342" s="126" t="n">
        <f aca="false">I342/$R$3</f>
        <v>0</v>
      </c>
      <c r="V342" s="126" t="n">
        <f aca="false">M342/$R$3</f>
        <v>-125.504</v>
      </c>
      <c r="W342" s="126" t="n">
        <f aca="false">N342/$R$3</f>
        <v>-2346.87675281252</v>
      </c>
    </row>
    <row r="343" customFormat="false" ht="12.75" hidden="false" customHeight="false" outlineLevel="0" collapsed="false">
      <c r="A343" s="120" t="n">
        <f aca="false">A342+1</f>
        <v>37229</v>
      </c>
      <c r="B343" s="131" t="str">
        <f aca="false">INDEX('Master Data'!$A$2:$B$8,MATCH(WEEKDAY('MM PLANT'!A343,3),'Master Data'!$A$2:$A$8,0),2)</f>
        <v>T</v>
      </c>
      <c r="D343" s="124" t="n">
        <v>0</v>
      </c>
      <c r="E343" s="124" t="n">
        <v>0</v>
      </c>
      <c r="F343" s="124" t="n">
        <v>0</v>
      </c>
      <c r="G343" s="124" t="n">
        <v>0</v>
      </c>
      <c r="I343" s="124" t="n">
        <f aca="false">IF(MONTH($A343)=MONTH($A342),IF(G343=0,I342,G343),G343)</f>
        <v>0</v>
      </c>
      <c r="J343" s="124" t="n">
        <f aca="false">IF(MONTH($A343)=MONTH($A342),SUM(I343-I342),I343)</f>
        <v>0</v>
      </c>
      <c r="K343" s="124" t="n">
        <f aca="false">IF(WEEKDAY(A343,3)&gt;4,0,(IF(A343&lt;K$2,0,IF(A343&lt;=K$3,1,0))))</f>
        <v>0</v>
      </c>
      <c r="L343" s="124" t="n">
        <f aca="false">J343*K343</f>
        <v>0</v>
      </c>
      <c r="M343" s="124" t="n">
        <f aca="false">SUM(J$280:J343)</f>
        <v>-125504</v>
      </c>
      <c r="N343" s="124" t="n">
        <f aca="false">SUM(J$6:J343)</f>
        <v>-2346876.75281252</v>
      </c>
      <c r="P343" s="124" t="n">
        <f aca="false">D343/P$3</f>
        <v>0</v>
      </c>
      <c r="Q343" s="124" t="n">
        <f aca="false">E343/P$3</f>
        <v>0</v>
      </c>
      <c r="R343" s="124" t="n">
        <f aca="false">F343/R$3</f>
        <v>0</v>
      </c>
      <c r="S343" s="126" t="n">
        <f aca="false">J343/$R$3</f>
        <v>0</v>
      </c>
      <c r="T343" s="126" t="n">
        <f aca="false">L343/$R$3</f>
        <v>0</v>
      </c>
      <c r="U343" s="126" t="n">
        <f aca="false">I343/$R$3</f>
        <v>0</v>
      </c>
      <c r="V343" s="126" t="n">
        <f aca="false">M343/$R$3</f>
        <v>-125.504</v>
      </c>
      <c r="W343" s="126" t="n">
        <f aca="false">N343/$R$3</f>
        <v>-2346.87675281252</v>
      </c>
    </row>
    <row r="344" customFormat="false" ht="12.75" hidden="false" customHeight="false" outlineLevel="0" collapsed="false">
      <c r="A344" s="120" t="n">
        <f aca="false">A343+1</f>
        <v>37230</v>
      </c>
      <c r="B344" s="131" t="str">
        <f aca="false">INDEX('Master Data'!$A$2:$B$8,MATCH(WEEKDAY('MM PLANT'!A344,3),'Master Data'!$A$2:$A$8,0),2)</f>
        <v>W</v>
      </c>
      <c r="D344" s="124" t="n">
        <v>0</v>
      </c>
      <c r="E344" s="124" t="n">
        <v>0</v>
      </c>
      <c r="F344" s="124" t="n">
        <v>0</v>
      </c>
      <c r="G344" s="124" t="n">
        <v>0</v>
      </c>
      <c r="I344" s="124" t="n">
        <f aca="false">IF(MONTH($A344)=MONTH($A343),IF(G344=0,I343,G344),G344)</f>
        <v>0</v>
      </c>
      <c r="J344" s="124" t="n">
        <f aca="false">IF(MONTH($A344)=MONTH($A343),SUM(I344-I343),I344)</f>
        <v>0</v>
      </c>
      <c r="K344" s="124" t="n">
        <f aca="false">IF(WEEKDAY(A344,3)&gt;4,0,(IF(A344&lt;K$2,0,IF(A344&lt;=K$3,1,0))))</f>
        <v>0</v>
      </c>
      <c r="L344" s="124" t="n">
        <f aca="false">J344*K344</f>
        <v>0</v>
      </c>
      <c r="M344" s="124" t="n">
        <f aca="false">SUM(J$280:J344)</f>
        <v>-125504</v>
      </c>
      <c r="N344" s="124" t="n">
        <f aca="false">SUM(J$6:J344)</f>
        <v>-2346876.75281252</v>
      </c>
      <c r="P344" s="124" t="n">
        <f aca="false">D344/P$3</f>
        <v>0</v>
      </c>
      <c r="Q344" s="124" t="n">
        <f aca="false">E344/P$3</f>
        <v>0</v>
      </c>
      <c r="R344" s="124" t="n">
        <f aca="false">F344/R$3</f>
        <v>0</v>
      </c>
      <c r="S344" s="126" t="n">
        <f aca="false">J344/$R$3</f>
        <v>0</v>
      </c>
      <c r="T344" s="126" t="n">
        <f aca="false">L344/$R$3</f>
        <v>0</v>
      </c>
      <c r="U344" s="126" t="n">
        <f aca="false">I344/$R$3</f>
        <v>0</v>
      </c>
      <c r="V344" s="126" t="n">
        <f aca="false">M344/$R$3</f>
        <v>-125.504</v>
      </c>
      <c r="W344" s="126" t="n">
        <f aca="false">N344/$R$3</f>
        <v>-2346.87675281252</v>
      </c>
    </row>
    <row r="345" customFormat="false" ht="12.75" hidden="false" customHeight="false" outlineLevel="0" collapsed="false">
      <c r="A345" s="120" t="n">
        <f aca="false">A344+1</f>
        <v>37231</v>
      </c>
      <c r="B345" s="131" t="str">
        <f aca="false">INDEX('Master Data'!$A$2:$B$8,MATCH(WEEKDAY('MM PLANT'!A345,3),'Master Data'!$A$2:$A$8,0),2)</f>
        <v>Th</v>
      </c>
      <c r="D345" s="124" t="n">
        <v>0</v>
      </c>
      <c r="E345" s="124" t="n">
        <v>0</v>
      </c>
      <c r="F345" s="124" t="n">
        <v>0</v>
      </c>
      <c r="G345" s="124" t="n">
        <v>0</v>
      </c>
      <c r="I345" s="124" t="n">
        <f aca="false">IF(MONTH($A345)=MONTH($A344),IF(G345=0,I344,G345),G345)</f>
        <v>0</v>
      </c>
      <c r="J345" s="124" t="n">
        <f aca="false">IF(MONTH($A345)=MONTH($A344),SUM(I345-I344),I345)</f>
        <v>0</v>
      </c>
      <c r="K345" s="124" t="n">
        <f aca="false">IF(WEEKDAY(A345,3)&gt;4,0,(IF(A345&lt;K$2,0,IF(A345&lt;=K$3,1,0))))</f>
        <v>0</v>
      </c>
      <c r="L345" s="124" t="n">
        <f aca="false">J345*K345</f>
        <v>0</v>
      </c>
      <c r="M345" s="124" t="n">
        <f aca="false">SUM(J$280:J345)</f>
        <v>-125504</v>
      </c>
      <c r="N345" s="124" t="n">
        <f aca="false">SUM(J$6:J345)</f>
        <v>-2346876.75281252</v>
      </c>
      <c r="P345" s="124" t="n">
        <f aca="false">D345/P$3</f>
        <v>0</v>
      </c>
      <c r="Q345" s="124" t="n">
        <f aca="false">E345/P$3</f>
        <v>0</v>
      </c>
      <c r="R345" s="124" t="n">
        <f aca="false">F345/R$3</f>
        <v>0</v>
      </c>
      <c r="S345" s="126" t="n">
        <f aca="false">J345/$R$3</f>
        <v>0</v>
      </c>
      <c r="T345" s="126" t="n">
        <f aca="false">L345/$R$3</f>
        <v>0</v>
      </c>
      <c r="U345" s="126" t="n">
        <f aca="false">I345/$R$3</f>
        <v>0</v>
      </c>
      <c r="V345" s="126" t="n">
        <f aca="false">M345/$R$3</f>
        <v>-125.504</v>
      </c>
      <c r="W345" s="126" t="n">
        <f aca="false">N345/$R$3</f>
        <v>-2346.87675281252</v>
      </c>
    </row>
    <row r="346" customFormat="false" ht="12.75" hidden="false" customHeight="false" outlineLevel="0" collapsed="false">
      <c r="A346" s="120" t="n">
        <f aca="false">A345+1</f>
        <v>37232</v>
      </c>
      <c r="B346" s="131" t="str">
        <f aca="false">INDEX('Master Data'!$A$2:$B$8,MATCH(WEEKDAY('MM PLANT'!A346,3),'Master Data'!$A$2:$A$8,0),2)</f>
        <v>F</v>
      </c>
      <c r="D346" s="124" t="n">
        <v>0</v>
      </c>
      <c r="E346" s="124" t="n">
        <v>0</v>
      </c>
      <c r="F346" s="124" t="n">
        <v>0</v>
      </c>
      <c r="G346" s="124" t="n">
        <v>0</v>
      </c>
      <c r="I346" s="124" t="n">
        <f aca="false">IF(MONTH($A346)=MONTH($A345),IF(G346=0,I345,G346),G346)</f>
        <v>0</v>
      </c>
      <c r="J346" s="124" t="n">
        <f aca="false">IF(MONTH($A346)=MONTH($A345),SUM(I346-I345),I346)</f>
        <v>0</v>
      </c>
      <c r="K346" s="124" t="n">
        <f aca="false">IF(WEEKDAY(A346,3)&gt;4,0,(IF(A346&lt;K$2,0,IF(A346&lt;=K$3,1,0))))</f>
        <v>0</v>
      </c>
      <c r="L346" s="124" t="n">
        <f aca="false">J346*K346</f>
        <v>0</v>
      </c>
      <c r="M346" s="124" t="n">
        <f aca="false">SUM(J$280:J346)</f>
        <v>-125504</v>
      </c>
      <c r="N346" s="124" t="n">
        <f aca="false">SUM(J$6:J346)</f>
        <v>-2346876.75281252</v>
      </c>
      <c r="P346" s="124" t="n">
        <f aca="false">D346/P$3</f>
        <v>0</v>
      </c>
      <c r="Q346" s="124" t="n">
        <f aca="false">E346/P$3</f>
        <v>0</v>
      </c>
      <c r="R346" s="124" t="n">
        <f aca="false">F346/R$3</f>
        <v>0</v>
      </c>
      <c r="S346" s="126" t="n">
        <f aca="false">J346/$R$3</f>
        <v>0</v>
      </c>
      <c r="T346" s="126" t="n">
        <f aca="false">L346/$R$3</f>
        <v>0</v>
      </c>
      <c r="U346" s="126" t="n">
        <f aca="false">I346/$R$3</f>
        <v>0</v>
      </c>
      <c r="V346" s="126" t="n">
        <f aca="false">M346/$R$3</f>
        <v>-125.504</v>
      </c>
      <c r="W346" s="126" t="n">
        <f aca="false">N346/$R$3</f>
        <v>-2346.87675281252</v>
      </c>
    </row>
    <row r="347" customFormat="false" ht="12.75" hidden="false" customHeight="false" outlineLevel="0" collapsed="false">
      <c r="A347" s="120" t="n">
        <f aca="false">A346+1</f>
        <v>37233</v>
      </c>
      <c r="B347" s="131" t="str">
        <f aca="false">INDEX('Master Data'!$A$2:$B$8,MATCH(WEEKDAY('MM PLANT'!A347,3),'Master Data'!$A$2:$A$8,0),2)</f>
        <v>Sa</v>
      </c>
      <c r="D347" s="124" t="n">
        <v>0</v>
      </c>
      <c r="E347" s="124" t="n">
        <v>0</v>
      </c>
      <c r="F347" s="124" t="n">
        <v>0</v>
      </c>
      <c r="G347" s="124" t="n">
        <v>0</v>
      </c>
      <c r="I347" s="124" t="n">
        <f aca="false">IF(MONTH($A347)=MONTH($A346),IF(G347=0,I346,G347),G347)</f>
        <v>0</v>
      </c>
      <c r="J347" s="124" t="n">
        <f aca="false">IF(MONTH($A347)=MONTH($A346),SUM(I347-I346),I347)</f>
        <v>0</v>
      </c>
      <c r="K347" s="124" t="n">
        <f aca="false">IF(WEEKDAY(A347,3)&gt;4,0,(IF(A347&lt;K$2,0,IF(A347&lt;=K$3,1,0))))</f>
        <v>0</v>
      </c>
      <c r="L347" s="124" t="n">
        <f aca="false">J347*K347</f>
        <v>0</v>
      </c>
      <c r="M347" s="124" t="n">
        <f aca="false">SUM(J$280:J347)</f>
        <v>-125504</v>
      </c>
      <c r="N347" s="124" t="n">
        <f aca="false">SUM(J$6:J347)</f>
        <v>-2346876.75281252</v>
      </c>
      <c r="P347" s="124" t="n">
        <f aca="false">D347/P$3</f>
        <v>0</v>
      </c>
      <c r="Q347" s="124" t="n">
        <f aca="false">E347/P$3</f>
        <v>0</v>
      </c>
      <c r="R347" s="124" t="n">
        <f aca="false">F347/R$3</f>
        <v>0</v>
      </c>
      <c r="S347" s="126" t="n">
        <f aca="false">J347/$R$3</f>
        <v>0</v>
      </c>
      <c r="T347" s="126" t="n">
        <f aca="false">L347/$R$3</f>
        <v>0</v>
      </c>
      <c r="U347" s="126" t="n">
        <f aca="false">I347/$R$3</f>
        <v>0</v>
      </c>
      <c r="V347" s="126" t="n">
        <f aca="false">M347/$R$3</f>
        <v>-125.504</v>
      </c>
      <c r="W347" s="126" t="n">
        <f aca="false">N347/$R$3</f>
        <v>-2346.87675281252</v>
      </c>
    </row>
    <row r="348" customFormat="false" ht="12.75" hidden="false" customHeight="false" outlineLevel="0" collapsed="false">
      <c r="A348" s="120" t="n">
        <f aca="false">A347+1</f>
        <v>37234</v>
      </c>
      <c r="B348" s="131" t="str">
        <f aca="false">INDEX('Master Data'!$A$2:$B$8,MATCH(WEEKDAY('MM PLANT'!A348,3),'Master Data'!$A$2:$A$8,0),2)</f>
        <v>Su</v>
      </c>
      <c r="D348" s="124" t="n">
        <v>0</v>
      </c>
      <c r="E348" s="124" t="n">
        <v>0</v>
      </c>
      <c r="F348" s="124" t="n">
        <v>0</v>
      </c>
      <c r="G348" s="124" t="n">
        <v>0</v>
      </c>
      <c r="I348" s="124" t="n">
        <f aca="false">IF(MONTH($A348)=MONTH($A347),IF(G348=0,I347,G348),G348)</f>
        <v>0</v>
      </c>
      <c r="J348" s="124" t="n">
        <f aca="false">IF(MONTH($A348)=MONTH($A347),SUM(I348-I347),I348)</f>
        <v>0</v>
      </c>
      <c r="K348" s="124" t="n">
        <f aca="false">IF(WEEKDAY(A348,3)&gt;4,0,(IF(A348&lt;K$2,0,IF(A348&lt;=K$3,1,0))))</f>
        <v>0</v>
      </c>
      <c r="L348" s="124" t="n">
        <f aca="false">J348*K348</f>
        <v>0</v>
      </c>
      <c r="M348" s="124" t="n">
        <f aca="false">SUM(J$280:J348)</f>
        <v>-125504</v>
      </c>
      <c r="N348" s="124" t="n">
        <f aca="false">SUM(J$6:J348)</f>
        <v>-2346876.75281252</v>
      </c>
      <c r="P348" s="124" t="n">
        <f aca="false">D348/P$3</f>
        <v>0</v>
      </c>
      <c r="Q348" s="124" t="n">
        <f aca="false">E348/P$3</f>
        <v>0</v>
      </c>
      <c r="R348" s="124" t="n">
        <f aca="false">F348/R$3</f>
        <v>0</v>
      </c>
      <c r="S348" s="126" t="n">
        <f aca="false">J348/$R$3</f>
        <v>0</v>
      </c>
      <c r="T348" s="126" t="n">
        <f aca="false">L348/$R$3</f>
        <v>0</v>
      </c>
      <c r="U348" s="126" t="n">
        <f aca="false">I348/$R$3</f>
        <v>0</v>
      </c>
      <c r="V348" s="126" t="n">
        <f aca="false">M348/$R$3</f>
        <v>-125.504</v>
      </c>
      <c r="W348" s="126" t="n">
        <f aca="false">N348/$R$3</f>
        <v>-2346.87675281252</v>
      </c>
    </row>
    <row r="349" customFormat="false" ht="12.75" hidden="false" customHeight="false" outlineLevel="0" collapsed="false">
      <c r="A349" s="120" t="n">
        <f aca="false">A348+1</f>
        <v>37235</v>
      </c>
      <c r="B349" s="131" t="str">
        <f aca="false">INDEX('Master Data'!$A$2:$B$8,MATCH(WEEKDAY('MM PLANT'!A349,3),'Master Data'!$A$2:$A$8,0),2)</f>
        <v>M</v>
      </c>
      <c r="D349" s="124" t="n">
        <v>0</v>
      </c>
      <c r="E349" s="124" t="n">
        <v>0</v>
      </c>
      <c r="F349" s="124" t="n">
        <v>0</v>
      </c>
      <c r="G349" s="124" t="n">
        <v>0</v>
      </c>
      <c r="I349" s="124" t="n">
        <f aca="false">IF(MONTH($A349)=MONTH($A348),IF(G349=0,I348,G349),G349)</f>
        <v>0</v>
      </c>
      <c r="J349" s="124" t="n">
        <f aca="false">IF(MONTH($A349)=MONTH($A348),SUM(I349-I348),I349)</f>
        <v>0</v>
      </c>
      <c r="K349" s="124" t="n">
        <f aca="false">IF(WEEKDAY(A349,3)&gt;4,0,(IF(A349&lt;K$2,0,IF(A349&lt;=K$3,1,0))))</f>
        <v>0</v>
      </c>
      <c r="L349" s="124" t="n">
        <f aca="false">J349*K349</f>
        <v>0</v>
      </c>
      <c r="M349" s="124" t="n">
        <f aca="false">SUM(J$280:J349)</f>
        <v>-125504</v>
      </c>
      <c r="N349" s="124" t="n">
        <f aca="false">SUM(J$6:J349)</f>
        <v>-2346876.75281252</v>
      </c>
      <c r="P349" s="124" t="n">
        <f aca="false">D349/P$3</f>
        <v>0</v>
      </c>
      <c r="Q349" s="124" t="n">
        <f aca="false">E349/P$3</f>
        <v>0</v>
      </c>
      <c r="R349" s="124" t="n">
        <f aca="false">F349/R$3</f>
        <v>0</v>
      </c>
      <c r="S349" s="126" t="n">
        <f aca="false">J349/$R$3</f>
        <v>0</v>
      </c>
      <c r="T349" s="126" t="n">
        <f aca="false">L349/$R$3</f>
        <v>0</v>
      </c>
      <c r="U349" s="126" t="n">
        <f aca="false">I349/$R$3</f>
        <v>0</v>
      </c>
      <c r="V349" s="126" t="n">
        <f aca="false">M349/$R$3</f>
        <v>-125.504</v>
      </c>
      <c r="W349" s="126" t="n">
        <f aca="false">N349/$R$3</f>
        <v>-2346.87675281252</v>
      </c>
    </row>
    <row r="350" customFormat="false" ht="12.75" hidden="false" customHeight="false" outlineLevel="0" collapsed="false">
      <c r="A350" s="120" t="n">
        <f aca="false">A349+1</f>
        <v>37236</v>
      </c>
      <c r="B350" s="131" t="str">
        <f aca="false">INDEX('Master Data'!$A$2:$B$8,MATCH(WEEKDAY('MM PLANT'!A350,3),'Master Data'!$A$2:$A$8,0),2)</f>
        <v>T</v>
      </c>
      <c r="D350" s="124" t="n">
        <v>0</v>
      </c>
      <c r="E350" s="124" t="n">
        <v>0</v>
      </c>
      <c r="F350" s="124" t="n">
        <v>0</v>
      </c>
      <c r="G350" s="124" t="n">
        <v>0</v>
      </c>
      <c r="I350" s="124" t="n">
        <f aca="false">IF(MONTH($A350)=MONTH($A349),IF(G350=0,I349,G350),G350)</f>
        <v>0</v>
      </c>
      <c r="J350" s="124" t="n">
        <f aca="false">IF(MONTH($A350)=MONTH($A349),SUM(I350-I349),I350)</f>
        <v>0</v>
      </c>
      <c r="K350" s="124" t="n">
        <f aca="false">IF(WEEKDAY(A350,3)&gt;4,0,(IF(A350&lt;K$2,0,IF(A350&lt;=K$3,1,0))))</f>
        <v>0</v>
      </c>
      <c r="L350" s="124" t="n">
        <f aca="false">J350*K350</f>
        <v>0</v>
      </c>
      <c r="M350" s="124" t="n">
        <f aca="false">SUM(J$280:J350)</f>
        <v>-125504</v>
      </c>
      <c r="N350" s="124" t="n">
        <f aca="false">SUM(J$6:J350)</f>
        <v>-2346876.75281252</v>
      </c>
      <c r="P350" s="124" t="n">
        <f aca="false">D350/P$3</f>
        <v>0</v>
      </c>
      <c r="Q350" s="124" t="n">
        <f aca="false">E350/P$3</f>
        <v>0</v>
      </c>
      <c r="R350" s="124" t="n">
        <f aca="false">F350/R$3</f>
        <v>0</v>
      </c>
      <c r="S350" s="126" t="n">
        <f aca="false">J350/$R$3</f>
        <v>0</v>
      </c>
      <c r="T350" s="126" t="n">
        <f aca="false">L350/$R$3</f>
        <v>0</v>
      </c>
      <c r="U350" s="126" t="n">
        <f aca="false">I350/$R$3</f>
        <v>0</v>
      </c>
      <c r="V350" s="126" t="n">
        <f aca="false">M350/$R$3</f>
        <v>-125.504</v>
      </c>
      <c r="W350" s="126" t="n">
        <f aca="false">N350/$R$3</f>
        <v>-2346.87675281252</v>
      </c>
    </row>
    <row r="351" customFormat="false" ht="12.75" hidden="false" customHeight="false" outlineLevel="0" collapsed="false">
      <c r="A351" s="120" t="n">
        <f aca="false">A350+1</f>
        <v>37237</v>
      </c>
      <c r="B351" s="131" t="str">
        <f aca="false">INDEX('Master Data'!$A$2:$B$8,MATCH(WEEKDAY('MM PLANT'!A351,3),'Master Data'!$A$2:$A$8,0),2)</f>
        <v>W</v>
      </c>
      <c r="D351" s="124" t="n">
        <v>0</v>
      </c>
      <c r="E351" s="124" t="n">
        <v>0</v>
      </c>
      <c r="F351" s="124" t="n">
        <v>0</v>
      </c>
      <c r="G351" s="124" t="n">
        <v>0</v>
      </c>
      <c r="I351" s="124" t="n">
        <f aca="false">IF(MONTH($A351)=MONTH($A350),IF(G351=0,I350,G351),G351)</f>
        <v>0</v>
      </c>
      <c r="J351" s="124" t="n">
        <f aca="false">IF(MONTH($A351)=MONTH($A350),SUM(I351-I350),I351)</f>
        <v>0</v>
      </c>
      <c r="K351" s="124" t="n">
        <f aca="false">IF(WEEKDAY(A351,3)&gt;4,0,(IF(A351&lt;K$2,0,IF(A351&lt;=K$3,1,0))))</f>
        <v>0</v>
      </c>
      <c r="L351" s="124" t="n">
        <f aca="false">J351*K351</f>
        <v>0</v>
      </c>
      <c r="M351" s="124" t="n">
        <f aca="false">SUM(J$280:J351)</f>
        <v>-125504</v>
      </c>
      <c r="N351" s="124" t="n">
        <f aca="false">SUM(J$6:J351)</f>
        <v>-2346876.75281252</v>
      </c>
      <c r="P351" s="124" t="n">
        <f aca="false">D351/P$3</f>
        <v>0</v>
      </c>
      <c r="Q351" s="124" t="n">
        <f aca="false">E351/P$3</f>
        <v>0</v>
      </c>
      <c r="R351" s="124" t="n">
        <f aca="false">F351/R$3</f>
        <v>0</v>
      </c>
      <c r="S351" s="126" t="n">
        <f aca="false">J351/$R$3</f>
        <v>0</v>
      </c>
      <c r="T351" s="126" t="n">
        <f aca="false">L351/$R$3</f>
        <v>0</v>
      </c>
      <c r="U351" s="126" t="n">
        <f aca="false">I351/$R$3</f>
        <v>0</v>
      </c>
      <c r="V351" s="126" t="n">
        <f aca="false">M351/$R$3</f>
        <v>-125.504</v>
      </c>
      <c r="W351" s="126" t="n">
        <f aca="false">N351/$R$3</f>
        <v>-2346.87675281252</v>
      </c>
    </row>
    <row r="352" customFormat="false" ht="12.75" hidden="false" customHeight="false" outlineLevel="0" collapsed="false">
      <c r="A352" s="120" t="n">
        <f aca="false">A351+1</f>
        <v>37238</v>
      </c>
      <c r="B352" s="131" t="str">
        <f aca="false">INDEX('Master Data'!$A$2:$B$8,MATCH(WEEKDAY('MM PLANT'!A352,3),'Master Data'!$A$2:$A$8,0),2)</f>
        <v>Th</v>
      </c>
      <c r="D352" s="124" t="n">
        <v>0</v>
      </c>
      <c r="E352" s="124" t="n">
        <v>0</v>
      </c>
      <c r="F352" s="124" t="n">
        <v>0</v>
      </c>
      <c r="G352" s="124" t="n">
        <v>0</v>
      </c>
      <c r="I352" s="124" t="n">
        <f aca="false">IF(MONTH($A352)=MONTH($A351),IF(G352=0,I351,G352),G352)</f>
        <v>0</v>
      </c>
      <c r="J352" s="124" t="n">
        <f aca="false">IF(MONTH($A352)=MONTH($A351),SUM(I352-I351),I352)</f>
        <v>0</v>
      </c>
      <c r="K352" s="124" t="n">
        <f aca="false">IF(WEEKDAY(A352,3)&gt;4,0,(IF(A352&lt;K$2,0,IF(A352&lt;=K$3,1,0))))</f>
        <v>0</v>
      </c>
      <c r="L352" s="124" t="n">
        <f aca="false">J352*K352</f>
        <v>0</v>
      </c>
      <c r="M352" s="124" t="n">
        <f aca="false">SUM(J$280:J352)</f>
        <v>-125504</v>
      </c>
      <c r="N352" s="124" t="n">
        <f aca="false">SUM(J$6:J352)</f>
        <v>-2346876.75281252</v>
      </c>
      <c r="P352" s="124" t="n">
        <f aca="false">D352/P$3</f>
        <v>0</v>
      </c>
      <c r="Q352" s="124" t="n">
        <f aca="false">E352/P$3</f>
        <v>0</v>
      </c>
      <c r="R352" s="124" t="n">
        <f aca="false">F352/R$3</f>
        <v>0</v>
      </c>
      <c r="S352" s="126" t="n">
        <f aca="false">J352/$R$3</f>
        <v>0</v>
      </c>
      <c r="T352" s="126" t="n">
        <f aca="false">L352/$R$3</f>
        <v>0</v>
      </c>
      <c r="U352" s="126" t="n">
        <f aca="false">I352/$R$3</f>
        <v>0</v>
      </c>
      <c r="V352" s="126" t="n">
        <f aca="false">M352/$R$3</f>
        <v>-125.504</v>
      </c>
      <c r="W352" s="126" t="n">
        <f aca="false">N352/$R$3</f>
        <v>-2346.87675281252</v>
      </c>
    </row>
    <row r="353" customFormat="false" ht="12.75" hidden="false" customHeight="false" outlineLevel="0" collapsed="false">
      <c r="A353" s="120" t="n">
        <f aca="false">A352+1</f>
        <v>37239</v>
      </c>
      <c r="B353" s="131" t="str">
        <f aca="false">INDEX('Master Data'!$A$2:$B$8,MATCH(WEEKDAY('MM PLANT'!A353,3),'Master Data'!$A$2:$A$8,0),2)</f>
        <v>F</v>
      </c>
      <c r="D353" s="124" t="n">
        <v>0</v>
      </c>
      <c r="E353" s="124" t="n">
        <v>0</v>
      </c>
      <c r="F353" s="124" t="n">
        <v>0</v>
      </c>
      <c r="G353" s="124" t="n">
        <v>0</v>
      </c>
      <c r="I353" s="124" t="n">
        <f aca="false">IF(MONTH($A353)=MONTH($A352),IF(G353=0,I352,G353),G353)</f>
        <v>0</v>
      </c>
      <c r="J353" s="124" t="n">
        <f aca="false">IF(MONTH($A353)=MONTH($A352),SUM(I353-I352),I353)</f>
        <v>0</v>
      </c>
      <c r="K353" s="124" t="n">
        <f aca="false">IF(WEEKDAY(A353,3)&gt;4,0,(IF(A353&lt;K$2,0,IF(A353&lt;=K$3,1,0))))</f>
        <v>0</v>
      </c>
      <c r="L353" s="124" t="n">
        <f aca="false">J353*K353</f>
        <v>0</v>
      </c>
      <c r="M353" s="124" t="n">
        <f aca="false">SUM(J$280:J353)</f>
        <v>-125504</v>
      </c>
      <c r="N353" s="124" t="n">
        <f aca="false">SUM(J$6:J353)</f>
        <v>-2346876.75281252</v>
      </c>
      <c r="P353" s="124" t="n">
        <f aca="false">D353/P$3</f>
        <v>0</v>
      </c>
      <c r="Q353" s="124" t="n">
        <f aca="false">E353/P$3</f>
        <v>0</v>
      </c>
      <c r="R353" s="124" t="n">
        <f aca="false">F353/R$3</f>
        <v>0</v>
      </c>
      <c r="S353" s="126" t="n">
        <f aca="false">J353/$R$3</f>
        <v>0</v>
      </c>
      <c r="T353" s="126" t="n">
        <f aca="false">L353/$R$3</f>
        <v>0</v>
      </c>
      <c r="U353" s="126" t="n">
        <f aca="false">I353/$R$3</f>
        <v>0</v>
      </c>
      <c r="V353" s="126" t="n">
        <f aca="false">M353/$R$3</f>
        <v>-125.504</v>
      </c>
      <c r="W353" s="126" t="n">
        <f aca="false">N353/$R$3</f>
        <v>-2346.87675281252</v>
      </c>
    </row>
    <row r="354" customFormat="false" ht="12.75" hidden="false" customHeight="false" outlineLevel="0" collapsed="false">
      <c r="A354" s="120" t="n">
        <f aca="false">A353+1</f>
        <v>37240</v>
      </c>
      <c r="B354" s="131" t="str">
        <f aca="false">INDEX('Master Data'!$A$2:$B$8,MATCH(WEEKDAY('MM PLANT'!A354,3),'Master Data'!$A$2:$A$8,0),2)</f>
        <v>Sa</v>
      </c>
      <c r="D354" s="124" t="n">
        <v>0</v>
      </c>
      <c r="E354" s="124" t="n">
        <v>0</v>
      </c>
      <c r="F354" s="124" t="n">
        <v>0</v>
      </c>
      <c r="G354" s="124" t="n">
        <v>0</v>
      </c>
      <c r="I354" s="124" t="n">
        <f aca="false">IF(MONTH($A354)=MONTH($A353),IF(G354=0,I353,G354),G354)</f>
        <v>0</v>
      </c>
      <c r="J354" s="124" t="n">
        <f aca="false">IF(MONTH($A354)=MONTH($A353),SUM(I354-I353),I354)</f>
        <v>0</v>
      </c>
      <c r="K354" s="124" t="n">
        <f aca="false">IF(WEEKDAY(A354,3)&gt;4,0,(IF(A354&lt;K$2,0,IF(A354&lt;=K$3,1,0))))</f>
        <v>0</v>
      </c>
      <c r="L354" s="124" t="n">
        <f aca="false">J354*K354</f>
        <v>0</v>
      </c>
      <c r="M354" s="124" t="n">
        <f aca="false">SUM(J$280:J354)</f>
        <v>-125504</v>
      </c>
      <c r="N354" s="124" t="n">
        <f aca="false">SUM(J$6:J354)</f>
        <v>-2346876.75281252</v>
      </c>
      <c r="P354" s="124" t="n">
        <f aca="false">D354/P$3</f>
        <v>0</v>
      </c>
      <c r="Q354" s="124" t="n">
        <f aca="false">E354/P$3</f>
        <v>0</v>
      </c>
      <c r="R354" s="124" t="n">
        <f aca="false">F354/R$3</f>
        <v>0</v>
      </c>
      <c r="S354" s="126" t="n">
        <f aca="false">J354/$R$3</f>
        <v>0</v>
      </c>
      <c r="T354" s="126" t="n">
        <f aca="false">L354/$R$3</f>
        <v>0</v>
      </c>
      <c r="U354" s="126" t="n">
        <f aca="false">I354/$R$3</f>
        <v>0</v>
      </c>
      <c r="V354" s="126" t="n">
        <f aca="false">M354/$R$3</f>
        <v>-125.504</v>
      </c>
      <c r="W354" s="126" t="n">
        <f aca="false">N354/$R$3</f>
        <v>-2346.87675281252</v>
      </c>
    </row>
    <row r="355" customFormat="false" ht="12.75" hidden="false" customHeight="false" outlineLevel="0" collapsed="false">
      <c r="A355" s="120" t="n">
        <f aca="false">A354+1</f>
        <v>37241</v>
      </c>
      <c r="B355" s="131" t="str">
        <f aca="false">INDEX('Master Data'!$A$2:$B$8,MATCH(WEEKDAY('MM PLANT'!A355,3),'Master Data'!$A$2:$A$8,0),2)</f>
        <v>Su</v>
      </c>
      <c r="D355" s="124" t="n">
        <v>0</v>
      </c>
      <c r="E355" s="124" t="n">
        <v>0</v>
      </c>
      <c r="F355" s="124" t="n">
        <v>0</v>
      </c>
      <c r="G355" s="124" t="n">
        <v>0</v>
      </c>
      <c r="I355" s="124" t="n">
        <f aca="false">IF(MONTH($A355)=MONTH($A354),IF(G355=0,I354,G355),G355)</f>
        <v>0</v>
      </c>
      <c r="J355" s="124" t="n">
        <f aca="false">IF(MONTH($A355)=MONTH($A354),SUM(I355-I354),I355)</f>
        <v>0</v>
      </c>
      <c r="K355" s="124" t="n">
        <f aca="false">IF(WEEKDAY(A355,3)&gt;4,0,(IF(A355&lt;K$2,0,IF(A355&lt;=K$3,1,0))))</f>
        <v>0</v>
      </c>
      <c r="L355" s="124" t="n">
        <f aca="false">J355*K355</f>
        <v>0</v>
      </c>
      <c r="M355" s="124" t="n">
        <f aca="false">SUM(J$280:J355)</f>
        <v>-125504</v>
      </c>
      <c r="N355" s="124" t="n">
        <f aca="false">SUM(J$6:J355)</f>
        <v>-2346876.75281252</v>
      </c>
      <c r="P355" s="124" t="n">
        <f aca="false">D355/P$3</f>
        <v>0</v>
      </c>
      <c r="Q355" s="124" t="n">
        <f aca="false">E355/P$3</f>
        <v>0</v>
      </c>
      <c r="R355" s="124" t="n">
        <f aca="false">F355/R$3</f>
        <v>0</v>
      </c>
      <c r="S355" s="126" t="n">
        <f aca="false">J355/$R$3</f>
        <v>0</v>
      </c>
      <c r="T355" s="126" t="n">
        <f aca="false">L355/$R$3</f>
        <v>0</v>
      </c>
      <c r="U355" s="126" t="n">
        <f aca="false">I355/$R$3</f>
        <v>0</v>
      </c>
      <c r="V355" s="126" t="n">
        <f aca="false">M355/$R$3</f>
        <v>-125.504</v>
      </c>
      <c r="W355" s="126" t="n">
        <f aca="false">N355/$R$3</f>
        <v>-2346.87675281252</v>
      </c>
    </row>
    <row r="356" customFormat="false" ht="12.75" hidden="false" customHeight="false" outlineLevel="0" collapsed="false">
      <c r="A356" s="120" t="n">
        <f aca="false">A355+1</f>
        <v>37242</v>
      </c>
      <c r="B356" s="131" t="str">
        <f aca="false">INDEX('Master Data'!$A$2:$B$8,MATCH(WEEKDAY('MM PLANT'!A356,3),'Master Data'!$A$2:$A$8,0),2)</f>
        <v>M</v>
      </c>
      <c r="D356" s="124" t="n">
        <v>0</v>
      </c>
      <c r="E356" s="124" t="n">
        <v>0</v>
      </c>
      <c r="F356" s="124" t="n">
        <v>0</v>
      </c>
      <c r="G356" s="124" t="n">
        <v>0</v>
      </c>
      <c r="I356" s="124" t="n">
        <f aca="false">IF(MONTH($A356)=MONTH($A355),IF(G356=0,I355,G356),G356)</f>
        <v>0</v>
      </c>
      <c r="J356" s="124" t="n">
        <f aca="false">IF(MONTH($A356)=MONTH($A355),SUM(I356-I355),I356)</f>
        <v>0</v>
      </c>
      <c r="K356" s="124" t="n">
        <f aca="false">IF(WEEKDAY(A356,3)&gt;4,0,(IF(A356&lt;K$2,0,IF(A356&lt;=K$3,1,0))))</f>
        <v>0</v>
      </c>
      <c r="L356" s="124" t="n">
        <f aca="false">J356*K356</f>
        <v>0</v>
      </c>
      <c r="M356" s="124" t="n">
        <f aca="false">SUM(J$280:J356)</f>
        <v>-125504</v>
      </c>
      <c r="N356" s="124" t="n">
        <f aca="false">SUM(J$6:J356)</f>
        <v>-2346876.75281252</v>
      </c>
      <c r="P356" s="124" t="n">
        <f aca="false">D356/P$3</f>
        <v>0</v>
      </c>
      <c r="Q356" s="124" t="n">
        <f aca="false">E356/P$3</f>
        <v>0</v>
      </c>
      <c r="R356" s="124" t="n">
        <f aca="false">F356/R$3</f>
        <v>0</v>
      </c>
      <c r="S356" s="126" t="n">
        <f aca="false">J356/$R$3</f>
        <v>0</v>
      </c>
      <c r="T356" s="126" t="n">
        <f aca="false">L356/$R$3</f>
        <v>0</v>
      </c>
      <c r="U356" s="126" t="n">
        <f aca="false">I356/$R$3</f>
        <v>0</v>
      </c>
      <c r="V356" s="126" t="n">
        <f aca="false">M356/$R$3</f>
        <v>-125.504</v>
      </c>
      <c r="W356" s="126" t="n">
        <f aca="false">N356/$R$3</f>
        <v>-2346.87675281252</v>
      </c>
    </row>
    <row r="357" customFormat="false" ht="12.75" hidden="false" customHeight="false" outlineLevel="0" collapsed="false">
      <c r="A357" s="120" t="n">
        <f aca="false">A356+1</f>
        <v>37243</v>
      </c>
      <c r="B357" s="131" t="str">
        <f aca="false">INDEX('Master Data'!$A$2:$B$8,MATCH(WEEKDAY('MM PLANT'!A357,3),'Master Data'!$A$2:$A$8,0),2)</f>
        <v>T</v>
      </c>
      <c r="D357" s="124" t="n">
        <v>0</v>
      </c>
      <c r="E357" s="124" t="n">
        <v>0</v>
      </c>
      <c r="F357" s="124" t="n">
        <v>0</v>
      </c>
      <c r="G357" s="124" t="n">
        <v>0</v>
      </c>
      <c r="I357" s="124" t="n">
        <f aca="false">IF(MONTH($A357)=MONTH($A356),IF(G357=0,I356,G357),G357)</f>
        <v>0</v>
      </c>
      <c r="J357" s="124" t="n">
        <f aca="false">IF(MONTH($A357)=MONTH($A356),SUM(I357-I356),I357)</f>
        <v>0</v>
      </c>
      <c r="K357" s="124" t="n">
        <f aca="false">IF(WEEKDAY(A357,3)&gt;4,0,(IF(A357&lt;K$2,0,IF(A357&lt;=K$3,1,0))))</f>
        <v>0</v>
      </c>
      <c r="L357" s="124" t="n">
        <f aca="false">J357*K357</f>
        <v>0</v>
      </c>
      <c r="M357" s="124" t="n">
        <f aca="false">SUM(J$280:J357)</f>
        <v>-125504</v>
      </c>
      <c r="N357" s="124" t="n">
        <f aca="false">SUM(J$6:J357)</f>
        <v>-2346876.75281252</v>
      </c>
      <c r="P357" s="124" t="n">
        <f aca="false">D357/P$3</f>
        <v>0</v>
      </c>
      <c r="Q357" s="124" t="n">
        <f aca="false">E357/P$3</f>
        <v>0</v>
      </c>
      <c r="R357" s="124" t="n">
        <f aca="false">F357/R$3</f>
        <v>0</v>
      </c>
      <c r="S357" s="126" t="n">
        <f aca="false">J357/$R$3</f>
        <v>0</v>
      </c>
      <c r="T357" s="126" t="n">
        <f aca="false">L357/$R$3</f>
        <v>0</v>
      </c>
      <c r="U357" s="126" t="n">
        <f aca="false">I357/$R$3</f>
        <v>0</v>
      </c>
      <c r="V357" s="126" t="n">
        <f aca="false">M357/$R$3</f>
        <v>-125.504</v>
      </c>
      <c r="W357" s="126" t="n">
        <f aca="false">N357/$R$3</f>
        <v>-2346.87675281252</v>
      </c>
    </row>
    <row r="358" customFormat="false" ht="12.75" hidden="false" customHeight="false" outlineLevel="0" collapsed="false">
      <c r="A358" s="120" t="n">
        <f aca="false">A357+1</f>
        <v>37244</v>
      </c>
      <c r="B358" s="131" t="str">
        <f aca="false">INDEX('Master Data'!$A$2:$B$8,MATCH(WEEKDAY('MM PLANT'!A358,3),'Master Data'!$A$2:$A$8,0),2)</f>
        <v>W</v>
      </c>
      <c r="D358" s="124" t="n">
        <v>0</v>
      </c>
      <c r="E358" s="124" t="n">
        <v>0</v>
      </c>
      <c r="F358" s="124" t="n">
        <v>0</v>
      </c>
      <c r="G358" s="124" t="n">
        <v>0</v>
      </c>
      <c r="I358" s="124" t="n">
        <f aca="false">IF(MONTH($A358)=MONTH($A357),IF(G358=0,I357,G358),G358)</f>
        <v>0</v>
      </c>
      <c r="J358" s="124" t="n">
        <f aca="false">IF(MONTH($A358)=MONTH($A357),SUM(I358-I357),I358)</f>
        <v>0</v>
      </c>
      <c r="K358" s="124" t="n">
        <f aca="false">IF(WEEKDAY(A358,3)&gt;4,0,(IF(A358&lt;K$2,0,IF(A358&lt;=K$3,1,0))))</f>
        <v>0</v>
      </c>
      <c r="L358" s="124" t="n">
        <f aca="false">J358*K358</f>
        <v>0</v>
      </c>
      <c r="M358" s="124" t="n">
        <f aca="false">SUM(J$280:J358)</f>
        <v>-125504</v>
      </c>
      <c r="N358" s="124" t="n">
        <f aca="false">SUM(J$6:J358)</f>
        <v>-2346876.75281252</v>
      </c>
      <c r="P358" s="124" t="n">
        <f aca="false">D358/P$3</f>
        <v>0</v>
      </c>
      <c r="Q358" s="124" t="n">
        <f aca="false">E358/P$3</f>
        <v>0</v>
      </c>
      <c r="R358" s="124" t="n">
        <f aca="false">F358/R$3</f>
        <v>0</v>
      </c>
      <c r="S358" s="126" t="n">
        <f aca="false">J358/$R$3</f>
        <v>0</v>
      </c>
      <c r="T358" s="126" t="n">
        <f aca="false">L358/$R$3</f>
        <v>0</v>
      </c>
      <c r="U358" s="126" t="n">
        <f aca="false">I358/$R$3</f>
        <v>0</v>
      </c>
      <c r="V358" s="126" t="n">
        <f aca="false">M358/$R$3</f>
        <v>-125.504</v>
      </c>
      <c r="W358" s="126" t="n">
        <f aca="false">N358/$R$3</f>
        <v>-2346.87675281252</v>
      </c>
    </row>
    <row r="359" customFormat="false" ht="12.75" hidden="false" customHeight="false" outlineLevel="0" collapsed="false">
      <c r="A359" s="120" t="n">
        <f aca="false">A358+1</f>
        <v>37245</v>
      </c>
      <c r="B359" s="131" t="str">
        <f aca="false">INDEX('Master Data'!$A$2:$B$8,MATCH(WEEKDAY('MM PLANT'!A359,3),'Master Data'!$A$2:$A$8,0),2)</f>
        <v>Th</v>
      </c>
      <c r="D359" s="124" t="n">
        <v>0</v>
      </c>
      <c r="E359" s="124" t="n">
        <v>0</v>
      </c>
      <c r="F359" s="124" t="n">
        <v>0</v>
      </c>
      <c r="G359" s="124" t="n">
        <v>0</v>
      </c>
      <c r="I359" s="124" t="n">
        <f aca="false">IF(MONTH($A359)=MONTH($A358),IF(G359=0,I358,G359),G359)</f>
        <v>0</v>
      </c>
      <c r="J359" s="124" t="n">
        <f aca="false">IF(MONTH($A359)=MONTH($A358),SUM(I359-I358),I359)</f>
        <v>0</v>
      </c>
      <c r="K359" s="124" t="n">
        <f aca="false">IF(WEEKDAY(A359,3)&gt;4,0,(IF(A359&lt;K$2,0,IF(A359&lt;=K$3,1,0))))</f>
        <v>0</v>
      </c>
      <c r="L359" s="124" t="n">
        <f aca="false">J359*K359</f>
        <v>0</v>
      </c>
      <c r="M359" s="124" t="n">
        <f aca="false">SUM(J$280:J359)</f>
        <v>-125504</v>
      </c>
      <c r="N359" s="124" t="n">
        <f aca="false">SUM(J$6:J359)</f>
        <v>-2346876.75281252</v>
      </c>
      <c r="P359" s="124" t="n">
        <f aca="false">D359/P$3</f>
        <v>0</v>
      </c>
      <c r="Q359" s="124" t="n">
        <f aca="false">E359/P$3</f>
        <v>0</v>
      </c>
      <c r="R359" s="124" t="n">
        <f aca="false">F359/R$3</f>
        <v>0</v>
      </c>
      <c r="S359" s="126" t="n">
        <f aca="false">J359/$R$3</f>
        <v>0</v>
      </c>
      <c r="T359" s="126" t="n">
        <f aca="false">L359/$R$3</f>
        <v>0</v>
      </c>
      <c r="U359" s="126" t="n">
        <f aca="false">I359/$R$3</f>
        <v>0</v>
      </c>
      <c r="V359" s="126" t="n">
        <f aca="false">M359/$R$3</f>
        <v>-125.504</v>
      </c>
      <c r="W359" s="126" t="n">
        <f aca="false">N359/$R$3</f>
        <v>-2346.87675281252</v>
      </c>
    </row>
    <row r="360" customFormat="false" ht="12.75" hidden="false" customHeight="false" outlineLevel="0" collapsed="false">
      <c r="A360" s="120" t="n">
        <f aca="false">A359+1</f>
        <v>37246</v>
      </c>
      <c r="B360" s="131" t="str">
        <f aca="false">INDEX('Master Data'!$A$2:$B$8,MATCH(WEEKDAY('MM PLANT'!A360,3),'Master Data'!$A$2:$A$8,0),2)</f>
        <v>F</v>
      </c>
      <c r="D360" s="124" t="n">
        <v>0</v>
      </c>
      <c r="E360" s="124" t="n">
        <v>0</v>
      </c>
      <c r="F360" s="124" t="n">
        <v>0</v>
      </c>
      <c r="G360" s="124" t="n">
        <v>0</v>
      </c>
      <c r="I360" s="124" t="n">
        <f aca="false">IF(MONTH($A360)=MONTH($A359),IF(G360=0,I359,G360),G360)</f>
        <v>0</v>
      </c>
      <c r="J360" s="124" t="n">
        <f aca="false">IF(MONTH($A360)=MONTH($A359),SUM(I360-I359),I360)</f>
        <v>0</v>
      </c>
      <c r="K360" s="124" t="n">
        <f aca="false">IF(WEEKDAY(A360,3)&gt;4,0,(IF(A360&lt;K$2,0,IF(A360&lt;=K$3,1,0))))</f>
        <v>0</v>
      </c>
      <c r="L360" s="124" t="n">
        <f aca="false">J360*K360</f>
        <v>0</v>
      </c>
      <c r="M360" s="124" t="n">
        <f aca="false">SUM(J$280:J360)</f>
        <v>-125504</v>
      </c>
      <c r="N360" s="124" t="n">
        <f aca="false">SUM(J$6:J360)</f>
        <v>-2346876.75281252</v>
      </c>
      <c r="P360" s="124" t="n">
        <f aca="false">D360/P$3</f>
        <v>0</v>
      </c>
      <c r="Q360" s="124" t="n">
        <f aca="false">E360/P$3</f>
        <v>0</v>
      </c>
      <c r="R360" s="124" t="n">
        <f aca="false">F360/R$3</f>
        <v>0</v>
      </c>
      <c r="S360" s="126" t="n">
        <f aca="false">J360/$R$3</f>
        <v>0</v>
      </c>
      <c r="T360" s="126" t="n">
        <f aca="false">L360/$R$3</f>
        <v>0</v>
      </c>
      <c r="U360" s="126" t="n">
        <f aca="false">I360/$R$3</f>
        <v>0</v>
      </c>
      <c r="V360" s="126" t="n">
        <f aca="false">M360/$R$3</f>
        <v>-125.504</v>
      </c>
      <c r="W360" s="126" t="n">
        <f aca="false">N360/$R$3</f>
        <v>-2346.87675281252</v>
      </c>
    </row>
    <row r="361" customFormat="false" ht="12.75" hidden="false" customHeight="false" outlineLevel="0" collapsed="false">
      <c r="A361" s="120" t="n">
        <f aca="false">A360+1</f>
        <v>37247</v>
      </c>
      <c r="B361" s="131" t="str">
        <f aca="false">INDEX('Master Data'!$A$2:$B$8,MATCH(WEEKDAY('MM PLANT'!A361,3),'Master Data'!$A$2:$A$8,0),2)</f>
        <v>Sa</v>
      </c>
      <c r="D361" s="124" t="n">
        <v>0</v>
      </c>
      <c r="E361" s="124" t="n">
        <v>0</v>
      </c>
      <c r="F361" s="124" t="n">
        <v>0</v>
      </c>
      <c r="G361" s="124" t="n">
        <v>0</v>
      </c>
      <c r="I361" s="124" t="n">
        <f aca="false">IF(MONTH($A361)=MONTH($A360),IF(G361=0,I360,G361),G361)</f>
        <v>0</v>
      </c>
      <c r="J361" s="124" t="n">
        <f aca="false">IF(MONTH($A361)=MONTH($A360),SUM(I361-I360),I361)</f>
        <v>0</v>
      </c>
      <c r="K361" s="124" t="n">
        <f aca="false">IF(WEEKDAY(A361,3)&gt;4,0,(IF(A361&lt;K$2,0,IF(A361&lt;=K$3,1,0))))</f>
        <v>0</v>
      </c>
      <c r="L361" s="124" t="n">
        <f aca="false">J361*K361</f>
        <v>0</v>
      </c>
      <c r="M361" s="124" t="n">
        <f aca="false">SUM(J$280:J361)</f>
        <v>-125504</v>
      </c>
      <c r="N361" s="124" t="n">
        <f aca="false">SUM(J$6:J361)</f>
        <v>-2346876.75281252</v>
      </c>
      <c r="P361" s="124" t="n">
        <f aca="false">D361/P$3</f>
        <v>0</v>
      </c>
      <c r="Q361" s="124" t="n">
        <f aca="false">E361/P$3</f>
        <v>0</v>
      </c>
      <c r="R361" s="124" t="n">
        <f aca="false">F361/R$3</f>
        <v>0</v>
      </c>
      <c r="S361" s="126" t="n">
        <f aca="false">J361/$R$3</f>
        <v>0</v>
      </c>
      <c r="T361" s="126" t="n">
        <f aca="false">L361/$R$3</f>
        <v>0</v>
      </c>
      <c r="U361" s="126" t="n">
        <f aca="false">I361/$R$3</f>
        <v>0</v>
      </c>
      <c r="V361" s="126" t="n">
        <f aca="false">M361/$R$3</f>
        <v>-125.504</v>
      </c>
      <c r="W361" s="126" t="n">
        <f aca="false">N361/$R$3</f>
        <v>-2346.87675281252</v>
      </c>
    </row>
    <row r="362" customFormat="false" ht="12.75" hidden="false" customHeight="false" outlineLevel="0" collapsed="false">
      <c r="A362" s="120" t="n">
        <f aca="false">A361+1</f>
        <v>37248</v>
      </c>
      <c r="B362" s="131" t="str">
        <f aca="false">INDEX('Master Data'!$A$2:$B$8,MATCH(WEEKDAY('MM PLANT'!A362,3),'Master Data'!$A$2:$A$8,0),2)</f>
        <v>Su</v>
      </c>
      <c r="D362" s="124" t="n">
        <v>0</v>
      </c>
      <c r="E362" s="124" t="n">
        <v>0</v>
      </c>
      <c r="F362" s="124" t="n">
        <v>0</v>
      </c>
      <c r="G362" s="124" t="n">
        <v>0</v>
      </c>
      <c r="I362" s="124" t="n">
        <f aca="false">IF(MONTH($A362)=MONTH($A361),IF(G362=0,I361,G362),G362)</f>
        <v>0</v>
      </c>
      <c r="J362" s="124" t="n">
        <f aca="false">IF(MONTH($A362)=MONTH($A361),SUM(I362-I361),I362)</f>
        <v>0</v>
      </c>
      <c r="K362" s="124" t="n">
        <f aca="false">IF(WEEKDAY(A362,3)&gt;4,0,(IF(A362&lt;K$2,0,IF(A362&lt;=K$3,1,0))))</f>
        <v>0</v>
      </c>
      <c r="L362" s="124" t="n">
        <f aca="false">J362*K362</f>
        <v>0</v>
      </c>
      <c r="M362" s="124" t="n">
        <f aca="false">SUM(J$280:J362)</f>
        <v>-125504</v>
      </c>
      <c r="N362" s="124" t="n">
        <f aca="false">SUM(J$6:J362)</f>
        <v>-2346876.75281252</v>
      </c>
      <c r="P362" s="124" t="n">
        <f aca="false">D362/P$3</f>
        <v>0</v>
      </c>
      <c r="Q362" s="124" t="n">
        <f aca="false">E362/P$3</f>
        <v>0</v>
      </c>
      <c r="R362" s="124" t="n">
        <f aca="false">F362/R$3</f>
        <v>0</v>
      </c>
      <c r="S362" s="126" t="n">
        <f aca="false">J362/$R$3</f>
        <v>0</v>
      </c>
      <c r="T362" s="126" t="n">
        <f aca="false">L362/$R$3</f>
        <v>0</v>
      </c>
      <c r="U362" s="126" t="n">
        <f aca="false">I362/$R$3</f>
        <v>0</v>
      </c>
      <c r="V362" s="126" t="n">
        <f aca="false">M362/$R$3</f>
        <v>-125.504</v>
      </c>
      <c r="W362" s="126" t="n">
        <f aca="false">N362/$R$3</f>
        <v>-2346.87675281252</v>
      </c>
    </row>
    <row r="363" customFormat="false" ht="12.75" hidden="false" customHeight="false" outlineLevel="0" collapsed="false">
      <c r="A363" s="120" t="n">
        <f aca="false">A362+1</f>
        <v>37249</v>
      </c>
      <c r="B363" s="131" t="str">
        <f aca="false">INDEX('Master Data'!$A$2:$B$8,MATCH(WEEKDAY('MM PLANT'!A363,3),'Master Data'!$A$2:$A$8,0),2)</f>
        <v>M</v>
      </c>
      <c r="D363" s="124" t="n">
        <v>0</v>
      </c>
      <c r="E363" s="124" t="n">
        <v>0</v>
      </c>
      <c r="F363" s="124" t="n">
        <v>0</v>
      </c>
      <c r="G363" s="124" t="n">
        <v>0</v>
      </c>
      <c r="I363" s="124" t="n">
        <f aca="false">IF(MONTH($A363)=MONTH($A362),IF(G363=0,I362,G363),G363)</f>
        <v>0</v>
      </c>
      <c r="J363" s="124" t="n">
        <f aca="false">IF(MONTH($A363)=MONTH($A362),SUM(I363-I362),I363)</f>
        <v>0</v>
      </c>
      <c r="K363" s="124" t="n">
        <f aca="false">IF(WEEKDAY(A363,3)&gt;4,0,(IF(A363&lt;K$2,0,IF(A363&lt;=K$3,1,0))))</f>
        <v>0</v>
      </c>
      <c r="L363" s="124" t="n">
        <f aca="false">J363*K363</f>
        <v>0</v>
      </c>
      <c r="M363" s="124" t="n">
        <f aca="false">SUM(J$280:J363)</f>
        <v>-125504</v>
      </c>
      <c r="N363" s="124" t="n">
        <f aca="false">SUM(J$6:J363)</f>
        <v>-2346876.75281252</v>
      </c>
      <c r="P363" s="124" t="n">
        <f aca="false">D363/P$3</f>
        <v>0</v>
      </c>
      <c r="Q363" s="124" t="n">
        <f aca="false">E363/P$3</f>
        <v>0</v>
      </c>
      <c r="R363" s="124" t="n">
        <f aca="false">F363/R$3</f>
        <v>0</v>
      </c>
      <c r="S363" s="126" t="n">
        <f aca="false">J363/$R$3</f>
        <v>0</v>
      </c>
      <c r="T363" s="126" t="n">
        <f aca="false">L363/$R$3</f>
        <v>0</v>
      </c>
      <c r="U363" s="126" t="n">
        <f aca="false">I363/$R$3</f>
        <v>0</v>
      </c>
      <c r="V363" s="126" t="n">
        <f aca="false">M363/$R$3</f>
        <v>-125.504</v>
      </c>
      <c r="W363" s="126" t="n">
        <f aca="false">N363/$R$3</f>
        <v>-2346.87675281252</v>
      </c>
    </row>
    <row r="364" customFormat="false" ht="12.75" hidden="false" customHeight="false" outlineLevel="0" collapsed="false">
      <c r="A364" s="120" t="n">
        <f aca="false">A363+1</f>
        <v>37250</v>
      </c>
      <c r="B364" s="131" t="str">
        <f aca="false">INDEX('Master Data'!$A$2:$B$8,MATCH(WEEKDAY('MM PLANT'!A364,3),'Master Data'!$A$2:$A$8,0),2)</f>
        <v>T</v>
      </c>
      <c r="D364" s="124" t="n">
        <v>0</v>
      </c>
      <c r="E364" s="124" t="n">
        <v>0</v>
      </c>
      <c r="F364" s="124" t="n">
        <v>0</v>
      </c>
      <c r="G364" s="124" t="n">
        <v>0</v>
      </c>
      <c r="I364" s="124" t="n">
        <f aca="false">IF(MONTH($A364)=MONTH($A363),IF(G364=0,I363,G364),G364)</f>
        <v>0</v>
      </c>
      <c r="J364" s="124" t="n">
        <f aca="false">IF(MONTH($A364)=MONTH($A363),SUM(I364-I363),I364)</f>
        <v>0</v>
      </c>
      <c r="K364" s="124" t="n">
        <f aca="false">IF(WEEKDAY(A364,3)&gt;4,0,(IF(A364&lt;K$2,0,IF(A364&lt;=K$3,1,0))))</f>
        <v>0</v>
      </c>
      <c r="L364" s="124" t="n">
        <f aca="false">J364*K364</f>
        <v>0</v>
      </c>
      <c r="M364" s="124" t="n">
        <f aca="false">SUM(J$280:J364)</f>
        <v>-125504</v>
      </c>
      <c r="N364" s="124" t="n">
        <f aca="false">SUM(J$6:J364)</f>
        <v>-2346876.75281252</v>
      </c>
      <c r="P364" s="124" t="n">
        <f aca="false">D364/P$3</f>
        <v>0</v>
      </c>
      <c r="Q364" s="124" t="n">
        <f aca="false">E364/P$3</f>
        <v>0</v>
      </c>
      <c r="R364" s="124" t="n">
        <f aca="false">F364/R$3</f>
        <v>0</v>
      </c>
      <c r="S364" s="126" t="n">
        <f aca="false">J364/$R$3</f>
        <v>0</v>
      </c>
      <c r="T364" s="126" t="n">
        <f aca="false">L364/$R$3</f>
        <v>0</v>
      </c>
      <c r="U364" s="126" t="n">
        <f aca="false">I364/$R$3</f>
        <v>0</v>
      </c>
      <c r="V364" s="126" t="n">
        <f aca="false">M364/$R$3</f>
        <v>-125.504</v>
      </c>
      <c r="W364" s="126" t="n">
        <f aca="false">N364/$R$3</f>
        <v>-2346.87675281252</v>
      </c>
    </row>
    <row r="365" customFormat="false" ht="12.75" hidden="false" customHeight="false" outlineLevel="0" collapsed="false">
      <c r="A365" s="120" t="n">
        <f aca="false">A364+1</f>
        <v>37251</v>
      </c>
      <c r="B365" s="131" t="str">
        <f aca="false">INDEX('Master Data'!$A$2:$B$8,MATCH(WEEKDAY('MM PLANT'!A365,3),'Master Data'!$A$2:$A$8,0),2)</f>
        <v>W</v>
      </c>
      <c r="D365" s="124" t="n">
        <v>0</v>
      </c>
      <c r="E365" s="124" t="n">
        <v>0</v>
      </c>
      <c r="F365" s="124" t="n">
        <v>0</v>
      </c>
      <c r="G365" s="124" t="n">
        <v>0</v>
      </c>
      <c r="I365" s="124" t="n">
        <f aca="false">IF(MONTH($A365)=MONTH($A364),IF(G365=0,I364,G365),G365)</f>
        <v>0</v>
      </c>
      <c r="J365" s="124" t="n">
        <f aca="false">IF(MONTH($A365)=MONTH($A364),SUM(I365-I364),I365)</f>
        <v>0</v>
      </c>
      <c r="K365" s="124" t="n">
        <f aca="false">IF(WEEKDAY(A365,3)&gt;4,0,(IF(A365&lt;K$2,0,IF(A365&lt;=K$3,1,0))))</f>
        <v>0</v>
      </c>
      <c r="L365" s="124" t="n">
        <f aca="false">J365*K365</f>
        <v>0</v>
      </c>
      <c r="M365" s="124" t="n">
        <f aca="false">SUM(J$280:J365)</f>
        <v>-125504</v>
      </c>
      <c r="N365" s="124" t="n">
        <f aca="false">SUM(J$6:J365)</f>
        <v>-2346876.75281252</v>
      </c>
      <c r="P365" s="124" t="n">
        <f aca="false">D365/P$3</f>
        <v>0</v>
      </c>
      <c r="Q365" s="124" t="n">
        <f aca="false">E365/P$3</f>
        <v>0</v>
      </c>
      <c r="R365" s="124" t="n">
        <f aca="false">F365/R$3</f>
        <v>0</v>
      </c>
      <c r="S365" s="126" t="n">
        <f aca="false">J365/$R$3</f>
        <v>0</v>
      </c>
      <c r="T365" s="126" t="n">
        <f aca="false">L365/$R$3</f>
        <v>0</v>
      </c>
      <c r="U365" s="126" t="n">
        <f aca="false">I365/$R$3</f>
        <v>0</v>
      </c>
      <c r="V365" s="126" t="n">
        <f aca="false">M365/$R$3</f>
        <v>-125.504</v>
      </c>
      <c r="W365" s="126" t="n">
        <f aca="false">N365/$R$3</f>
        <v>-2346.87675281252</v>
      </c>
    </row>
    <row r="366" customFormat="false" ht="12.75" hidden="false" customHeight="false" outlineLevel="0" collapsed="false">
      <c r="A366" s="120" t="n">
        <f aca="false">A365+1</f>
        <v>37252</v>
      </c>
      <c r="B366" s="131" t="str">
        <f aca="false">INDEX('Master Data'!$A$2:$B$8,MATCH(WEEKDAY('MM PLANT'!A366,3),'Master Data'!$A$2:$A$8,0),2)</f>
        <v>Th</v>
      </c>
      <c r="D366" s="124" t="n">
        <v>0</v>
      </c>
      <c r="E366" s="124" t="n">
        <v>0</v>
      </c>
      <c r="F366" s="124" t="n">
        <v>0</v>
      </c>
      <c r="G366" s="124" t="n">
        <v>0</v>
      </c>
      <c r="I366" s="124" t="n">
        <f aca="false">IF(MONTH($A366)=MONTH($A365),IF(G366=0,I365,G366),G366)</f>
        <v>0</v>
      </c>
      <c r="J366" s="124" t="n">
        <f aca="false">IF(MONTH($A366)=MONTH($A365),SUM(I366-I365),I366)</f>
        <v>0</v>
      </c>
      <c r="K366" s="124" t="n">
        <f aca="false">IF(WEEKDAY(A366,3)&gt;4,0,(IF(A366&lt;K$2,0,IF(A366&lt;=K$3,1,0))))</f>
        <v>0</v>
      </c>
      <c r="L366" s="124" t="n">
        <f aca="false">J366*K366</f>
        <v>0</v>
      </c>
      <c r="M366" s="124" t="n">
        <f aca="false">SUM(J$280:J366)</f>
        <v>-125504</v>
      </c>
      <c r="N366" s="124" t="n">
        <f aca="false">SUM(J$6:J366)</f>
        <v>-2346876.75281252</v>
      </c>
      <c r="P366" s="124" t="n">
        <f aca="false">D366/P$3</f>
        <v>0</v>
      </c>
      <c r="Q366" s="124" t="n">
        <f aca="false">E366/P$3</f>
        <v>0</v>
      </c>
      <c r="R366" s="124" t="n">
        <f aca="false">F366/R$3</f>
        <v>0</v>
      </c>
      <c r="S366" s="126" t="n">
        <f aca="false">J366/$R$3</f>
        <v>0</v>
      </c>
      <c r="T366" s="126" t="n">
        <f aca="false">L366/$R$3</f>
        <v>0</v>
      </c>
      <c r="U366" s="126" t="n">
        <f aca="false">I366/$R$3</f>
        <v>0</v>
      </c>
      <c r="V366" s="126" t="n">
        <f aca="false">M366/$R$3</f>
        <v>-125.504</v>
      </c>
      <c r="W366" s="126" t="n">
        <f aca="false">N366/$R$3</f>
        <v>-2346.87675281252</v>
      </c>
    </row>
    <row r="367" customFormat="false" ht="12.75" hidden="false" customHeight="false" outlineLevel="0" collapsed="false">
      <c r="A367" s="120" t="n">
        <f aca="false">A366+1</f>
        <v>37253</v>
      </c>
      <c r="B367" s="131" t="str">
        <f aca="false">INDEX('Master Data'!$A$2:$B$8,MATCH(WEEKDAY('MM PLANT'!A367,3),'Master Data'!$A$2:$A$8,0),2)</f>
        <v>F</v>
      </c>
      <c r="D367" s="124" t="n">
        <v>0</v>
      </c>
      <c r="E367" s="124" t="n">
        <v>0</v>
      </c>
      <c r="F367" s="124" t="n">
        <v>0</v>
      </c>
      <c r="G367" s="124" t="n">
        <v>0</v>
      </c>
      <c r="I367" s="124" t="n">
        <f aca="false">IF(MONTH($A367)=MONTH($A366),IF(G367=0,I366,G367),G367)</f>
        <v>0</v>
      </c>
      <c r="J367" s="124" t="n">
        <f aca="false">IF(MONTH($A367)=MONTH($A366),SUM(I367-I366),I367)</f>
        <v>0</v>
      </c>
      <c r="K367" s="124" t="n">
        <f aca="false">IF(WEEKDAY(A367,3)&gt;4,0,(IF(A367&lt;K$2,0,IF(A367&lt;=K$3,1,0))))</f>
        <v>0</v>
      </c>
      <c r="L367" s="124" t="n">
        <f aca="false">J367*K367</f>
        <v>0</v>
      </c>
      <c r="M367" s="124" t="n">
        <f aca="false">SUM(J$280:J367)</f>
        <v>-125504</v>
      </c>
      <c r="N367" s="124" t="n">
        <f aca="false">SUM(J$6:J367)</f>
        <v>-2346876.75281252</v>
      </c>
      <c r="P367" s="124" t="n">
        <f aca="false">D367/P$3</f>
        <v>0</v>
      </c>
      <c r="Q367" s="124" t="n">
        <f aca="false">E367/P$3</f>
        <v>0</v>
      </c>
      <c r="R367" s="124" t="n">
        <f aca="false">F367/R$3</f>
        <v>0</v>
      </c>
      <c r="S367" s="126" t="n">
        <f aca="false">J367/$R$3</f>
        <v>0</v>
      </c>
      <c r="T367" s="126" t="n">
        <f aca="false">L367/$R$3</f>
        <v>0</v>
      </c>
      <c r="U367" s="126" t="n">
        <f aca="false">I367/$R$3</f>
        <v>0</v>
      </c>
      <c r="V367" s="126" t="n">
        <f aca="false">M367/$R$3</f>
        <v>-125.504</v>
      </c>
      <c r="W367" s="126" t="n">
        <f aca="false">N367/$R$3</f>
        <v>-2346.87675281252</v>
      </c>
    </row>
    <row r="368" customFormat="false" ht="12.75" hidden="false" customHeight="false" outlineLevel="0" collapsed="false">
      <c r="A368" s="120" t="n">
        <f aca="false">A367+1</f>
        <v>37254</v>
      </c>
      <c r="B368" s="131" t="str">
        <f aca="false">INDEX('Master Data'!$A$2:$B$8,MATCH(WEEKDAY('MM PLANT'!A368,3),'Master Data'!$A$2:$A$8,0),2)</f>
        <v>Sa</v>
      </c>
      <c r="D368" s="124" t="n">
        <v>0</v>
      </c>
      <c r="E368" s="124" t="n">
        <v>0</v>
      </c>
      <c r="F368" s="124" t="n">
        <v>0</v>
      </c>
      <c r="G368" s="124" t="n">
        <v>0</v>
      </c>
      <c r="I368" s="124" t="n">
        <f aca="false">IF(MONTH($A368)=MONTH($A367),IF(G368=0,I367,G368),G368)</f>
        <v>0</v>
      </c>
      <c r="J368" s="124" t="n">
        <f aca="false">IF(MONTH($A368)=MONTH($A367),SUM(I368-I367),I368)</f>
        <v>0</v>
      </c>
      <c r="K368" s="124" t="n">
        <f aca="false">IF(WEEKDAY(A368,3)&gt;4,0,(IF(A368&lt;K$2,0,IF(A368&lt;=K$3,1,0))))</f>
        <v>0</v>
      </c>
      <c r="L368" s="124" t="n">
        <f aca="false">J368*K368</f>
        <v>0</v>
      </c>
      <c r="M368" s="124" t="n">
        <f aca="false">SUM(J$280:J368)</f>
        <v>-125504</v>
      </c>
      <c r="N368" s="124" t="n">
        <f aca="false">SUM(J$6:J368)</f>
        <v>-2346876.75281252</v>
      </c>
      <c r="P368" s="124" t="n">
        <f aca="false">D368/P$3</f>
        <v>0</v>
      </c>
      <c r="Q368" s="124" t="n">
        <f aca="false">E368/P$3</f>
        <v>0</v>
      </c>
      <c r="R368" s="124" t="n">
        <f aca="false">F368/R$3</f>
        <v>0</v>
      </c>
      <c r="S368" s="126" t="n">
        <f aca="false">J368/$R$3</f>
        <v>0</v>
      </c>
      <c r="T368" s="126" t="n">
        <f aca="false">L368/$R$3</f>
        <v>0</v>
      </c>
      <c r="U368" s="126" t="n">
        <f aca="false">I368/$R$3</f>
        <v>0</v>
      </c>
      <c r="V368" s="126" t="n">
        <f aca="false">M368/$R$3</f>
        <v>-125.504</v>
      </c>
      <c r="W368" s="126" t="n">
        <f aca="false">N368/$R$3</f>
        <v>-2346.87675281252</v>
      </c>
    </row>
    <row r="369" customFormat="false" ht="12.75" hidden="false" customHeight="false" outlineLevel="0" collapsed="false">
      <c r="A369" s="120" t="n">
        <f aca="false">A368+1</f>
        <v>37255</v>
      </c>
      <c r="B369" s="131" t="str">
        <f aca="false">INDEX('Master Data'!$A$2:$B$8,MATCH(WEEKDAY('MM PLANT'!A369,3),'Master Data'!$A$2:$A$8,0),2)</f>
        <v>Su</v>
      </c>
      <c r="D369" s="124" t="n">
        <v>0</v>
      </c>
      <c r="E369" s="124" t="n">
        <v>0</v>
      </c>
      <c r="F369" s="124" t="n">
        <v>0</v>
      </c>
      <c r="G369" s="124" t="n">
        <v>0</v>
      </c>
      <c r="I369" s="124" t="n">
        <f aca="false">IF(MONTH($A369)=MONTH($A368),IF(G369=0,I368,G369),G369)</f>
        <v>0</v>
      </c>
      <c r="J369" s="124" t="n">
        <f aca="false">IF(MONTH($A369)=MONTH($A368),SUM(I369-I368),I369)</f>
        <v>0</v>
      </c>
      <c r="K369" s="124" t="n">
        <f aca="false">IF(WEEKDAY(A369,3)&gt;4,0,(IF(A369&lt;K$2,0,IF(A369&lt;=K$3,1,0))))</f>
        <v>0</v>
      </c>
      <c r="L369" s="124" t="n">
        <f aca="false">J369*K369</f>
        <v>0</v>
      </c>
      <c r="M369" s="124" t="n">
        <f aca="false">SUM(J$280:J369)</f>
        <v>-125504</v>
      </c>
      <c r="N369" s="124" t="n">
        <f aca="false">SUM(J$6:J369)</f>
        <v>-2346876.75281252</v>
      </c>
      <c r="P369" s="124" t="n">
        <f aca="false">D369/P$3</f>
        <v>0</v>
      </c>
      <c r="Q369" s="124" t="n">
        <f aca="false">E369/P$3</f>
        <v>0</v>
      </c>
      <c r="R369" s="124" t="n">
        <f aca="false">F369/R$3</f>
        <v>0</v>
      </c>
      <c r="S369" s="126" t="n">
        <f aca="false">J369/$R$3</f>
        <v>0</v>
      </c>
      <c r="T369" s="126" t="n">
        <f aca="false">L369/$R$3</f>
        <v>0</v>
      </c>
      <c r="U369" s="126" t="n">
        <f aca="false">I369/$R$3</f>
        <v>0</v>
      </c>
      <c r="V369" s="126" t="n">
        <f aca="false">M369/$R$3</f>
        <v>-125.504</v>
      </c>
      <c r="W369" s="126" t="n">
        <f aca="false">N369/$R$3</f>
        <v>-2346.87675281252</v>
      </c>
    </row>
    <row r="370" customFormat="false" ht="12.75" hidden="false" customHeight="false" outlineLevel="0" collapsed="false">
      <c r="A370" s="120" t="n">
        <f aca="false">A369+1</f>
        <v>37256</v>
      </c>
      <c r="B370" s="131" t="str">
        <f aca="false">INDEX('Master Data'!$A$2:$B$8,MATCH(WEEKDAY('MM PLANT'!A370,3),'Master Data'!$A$2:$A$8,0),2)</f>
        <v>M</v>
      </c>
      <c r="D370" s="124" t="n">
        <v>0</v>
      </c>
      <c r="E370" s="124" t="n">
        <v>0</v>
      </c>
      <c r="F370" s="124" t="n">
        <v>0</v>
      </c>
      <c r="G370" s="124" t="n">
        <v>0</v>
      </c>
      <c r="I370" s="124" t="n">
        <f aca="false">IF(MONTH($A370)=MONTH($A369),IF(G370=0,I369,G370),G370)</f>
        <v>0</v>
      </c>
      <c r="J370" s="124" t="n">
        <f aca="false">IF(MONTH($A370)=MONTH($A369),SUM(I370-I369),I370)</f>
        <v>0</v>
      </c>
      <c r="K370" s="124" t="n">
        <f aca="false">IF(WEEKDAY(A370,3)&gt;4,0,(IF(A370&lt;K$2,0,IF(A370&lt;=K$3,1,0))))</f>
        <v>0</v>
      </c>
      <c r="L370" s="124" t="n">
        <f aca="false">J370*K370</f>
        <v>0</v>
      </c>
      <c r="M370" s="124" t="n">
        <f aca="false">SUM(J$280:J370)</f>
        <v>-125504</v>
      </c>
      <c r="N370" s="124" t="n">
        <f aca="false">SUM(J$6:J370)</f>
        <v>-2346876.75281252</v>
      </c>
      <c r="P370" s="124" t="n">
        <f aca="false">D370/P$3</f>
        <v>0</v>
      </c>
      <c r="Q370" s="124" t="n">
        <f aca="false">E370/P$3</f>
        <v>0</v>
      </c>
      <c r="R370" s="124" t="n">
        <f aca="false">F370/R$3</f>
        <v>0</v>
      </c>
      <c r="S370" s="126" t="n">
        <f aca="false">J370/$R$3</f>
        <v>0</v>
      </c>
      <c r="T370" s="126" t="n">
        <f aca="false">L370/$R$3</f>
        <v>0</v>
      </c>
      <c r="U370" s="126" t="n">
        <f aca="false">I370/$R$3</f>
        <v>0</v>
      </c>
      <c r="V370" s="126" t="n">
        <f aca="false">M370/$R$3</f>
        <v>-125.504</v>
      </c>
      <c r="W370" s="126" t="n">
        <f aca="false">N370/$R$3</f>
        <v>-2346.87675281252</v>
      </c>
    </row>
    <row r="371" customFormat="false" ht="12.75" hidden="false" customHeight="false" outlineLevel="0" collapsed="false">
      <c r="A371" s="120" t="n">
        <f aca="false">A370+1</f>
        <v>37257</v>
      </c>
      <c r="B371" s="131" t="str">
        <f aca="false">INDEX('Master Data'!$A$2:$B$8,MATCH(WEEKDAY('MM PLANT'!A371,3),'Master Data'!$A$2:$A$8,0),2)</f>
        <v>T</v>
      </c>
      <c r="D371" s="124" t="n">
        <v>0</v>
      </c>
      <c r="E371" s="124" t="n">
        <v>0</v>
      </c>
      <c r="F371" s="124" t="n">
        <v>0</v>
      </c>
      <c r="G371" s="124" t="n">
        <v>0</v>
      </c>
      <c r="I371" s="124" t="n">
        <f aca="false">IF(MONTH($A371)=MONTH($A370),IF(G371=0,I370,G371),G371)</f>
        <v>0</v>
      </c>
      <c r="J371" s="124" t="n">
        <f aca="false">IF(MONTH($A371)=MONTH($A370),SUM(I371-I370),I371)</f>
        <v>0</v>
      </c>
      <c r="K371" s="124" t="n">
        <f aca="false">IF(WEEKDAY(A371,3)&gt;4,0,(IF(A371&lt;K$2,0,IF(A371&lt;=K$3,1,0))))</f>
        <v>0</v>
      </c>
      <c r="L371" s="124" t="n">
        <f aca="false">J371*K371</f>
        <v>0</v>
      </c>
      <c r="M371" s="124" t="n">
        <f aca="false">SUM(J$280:J371)</f>
        <v>-125504</v>
      </c>
      <c r="N371" s="124" t="n">
        <f aca="false">SUM(J$6:J371)</f>
        <v>-2346876.75281252</v>
      </c>
      <c r="P371" s="124" t="n">
        <f aca="false">D371/P$3</f>
        <v>0</v>
      </c>
      <c r="Q371" s="124" t="n">
        <f aca="false">E371/P$3</f>
        <v>0</v>
      </c>
      <c r="R371" s="124" t="n">
        <f aca="false">F371/R$3</f>
        <v>0</v>
      </c>
      <c r="S371" s="126" t="n">
        <f aca="false">J371/$R$3</f>
        <v>0</v>
      </c>
      <c r="T371" s="126" t="n">
        <f aca="false">L371/$R$3</f>
        <v>0</v>
      </c>
      <c r="U371" s="126" t="n">
        <f aca="false">I371/$R$3</f>
        <v>0</v>
      </c>
      <c r="V371" s="126" t="n">
        <f aca="false">M371/$R$3</f>
        <v>-125.504</v>
      </c>
      <c r="W371" s="126" t="n">
        <f aca="false">N371/$R$3</f>
        <v>-2346.87675281252</v>
      </c>
    </row>
    <row r="372" customFormat="false" ht="12.75" hidden="false" customHeight="false" outlineLevel="0" collapsed="false">
      <c r="D372" s="124"/>
      <c r="E372" s="124"/>
      <c r="F372" s="124"/>
      <c r="G372" s="124"/>
    </row>
    <row r="373" customFormat="false" ht="12.75" hidden="false" customHeight="false" outlineLevel="0" collapsed="false">
      <c r="D373" s="124"/>
      <c r="E373" s="124"/>
      <c r="F373" s="124"/>
      <c r="G373" s="124"/>
    </row>
    <row r="374" customFormat="false" ht="12.75" hidden="false" customHeight="false" outlineLevel="0" collapsed="false">
      <c r="D374" s="124"/>
      <c r="E374" s="124"/>
      <c r="F374" s="124"/>
      <c r="G374" s="124"/>
    </row>
    <row r="375" customFormat="false" ht="12.75" hidden="false" customHeight="false" outlineLevel="0" collapsed="false">
      <c r="D375" s="124"/>
      <c r="E375" s="124"/>
      <c r="F375" s="124"/>
      <c r="G375" s="124"/>
    </row>
    <row r="376" customFormat="false" ht="12.75" hidden="false" customHeight="false" outlineLevel="0" collapsed="false">
      <c r="D376" s="124"/>
      <c r="E376" s="124"/>
      <c r="F376" s="124"/>
      <c r="G376" s="124"/>
    </row>
    <row r="377" customFormat="false" ht="12.75" hidden="false" customHeight="false" outlineLevel="0" collapsed="false">
      <c r="D377" s="124"/>
      <c r="E377" s="124"/>
      <c r="F377" s="124"/>
      <c r="G377" s="124"/>
    </row>
    <row r="378" customFormat="false" ht="12.75" hidden="false" customHeight="false" outlineLevel="0" collapsed="false">
      <c r="D378" s="124"/>
      <c r="E378" s="124"/>
      <c r="F378" s="124"/>
      <c r="G378" s="124"/>
    </row>
    <row r="379" customFormat="false" ht="12.75" hidden="false" customHeight="false" outlineLevel="0" collapsed="false">
      <c r="D379" s="124"/>
      <c r="E379" s="124"/>
      <c r="F379" s="124"/>
      <c r="G379" s="124"/>
    </row>
    <row r="380" customFormat="false" ht="12.75" hidden="false" customHeight="false" outlineLevel="0" collapsed="false">
      <c r="D380" s="124"/>
      <c r="E380" s="124"/>
      <c r="F380" s="124"/>
      <c r="G380" s="124"/>
    </row>
    <row r="381" customFormat="false" ht="12.75" hidden="false" customHeight="false" outlineLevel="0" collapsed="false">
      <c r="D381" s="124"/>
      <c r="E381" s="124"/>
      <c r="F381" s="124"/>
      <c r="G381" s="124"/>
    </row>
    <row r="382" customFormat="false" ht="12.75" hidden="false" customHeight="false" outlineLevel="0" collapsed="false">
      <c r="D382" s="124"/>
      <c r="E382" s="124"/>
      <c r="F382" s="124"/>
      <c r="G382" s="124"/>
    </row>
    <row r="383" customFormat="false" ht="12.75" hidden="false" customHeight="false" outlineLevel="0" collapsed="false">
      <c r="D383" s="124"/>
      <c r="E383" s="124"/>
      <c r="F383" s="124"/>
      <c r="G383" s="124"/>
    </row>
    <row r="384" customFormat="false" ht="12.75" hidden="false" customHeight="false" outlineLevel="0" collapsed="false">
      <c r="D384" s="124"/>
      <c r="E384" s="124"/>
      <c r="F384" s="124"/>
      <c r="G384" s="124"/>
    </row>
    <row r="385" customFormat="false" ht="12.75" hidden="false" customHeight="false" outlineLevel="0" collapsed="false">
      <c r="D385" s="124"/>
      <c r="E385" s="124"/>
      <c r="F385" s="124"/>
      <c r="G385" s="124"/>
    </row>
    <row r="386" customFormat="false" ht="12.75" hidden="false" customHeight="false" outlineLevel="0" collapsed="false">
      <c r="D386" s="124"/>
      <c r="E386" s="124"/>
      <c r="F386" s="124"/>
      <c r="G386" s="124"/>
    </row>
    <row r="387" customFormat="false" ht="12.75" hidden="false" customHeight="false" outlineLevel="0" collapsed="false">
      <c r="D387" s="124"/>
      <c r="E387" s="124"/>
      <c r="F387" s="124"/>
      <c r="G387" s="124"/>
    </row>
    <row r="388" customFormat="false" ht="12.75" hidden="false" customHeight="false" outlineLevel="0" collapsed="false">
      <c r="D388" s="124"/>
      <c r="E388" s="124"/>
      <c r="F388" s="124"/>
      <c r="G388" s="124"/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88"/>
  <sheetViews>
    <sheetView showFormulas="false" showGridLines="true" showRowColHeaders="true" showZeros="true" rightToLeft="false" tabSelected="false" showOutlineSymbols="true" defaultGridColor="true" view="normal" topLeftCell="A36" colorId="64" zoomScale="100" zoomScaleNormal="100" zoomScalePageLayoutView="100" workbookViewId="0">
      <selection pane="topLeft" activeCell="B309" activeCellId="0" sqref="B309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20" width="7.28"/>
    <col collapsed="false" customWidth="true" hidden="false" outlineLevel="0" max="2" min="2" style="121" width="4.14"/>
    <col collapsed="false" customWidth="true" hidden="false" outlineLevel="0" max="3" min="3" style="122" width="2.7"/>
    <col collapsed="false" customWidth="true" hidden="false" outlineLevel="0" max="7" min="4" style="121" width="14.99"/>
    <col collapsed="false" customWidth="true" hidden="false" outlineLevel="0" max="8" min="8" style="122" width="2.7"/>
    <col collapsed="false" customWidth="true" hidden="false" outlineLevel="0" max="9" min="9" style="123" width="13.14"/>
    <col collapsed="false" customWidth="true" hidden="false" outlineLevel="0" max="10" min="10" style="124" width="13.14"/>
    <col collapsed="false" customWidth="true" hidden="false" outlineLevel="0" max="11" min="11" style="124" width="10.99"/>
    <col collapsed="false" customWidth="true" hidden="false" outlineLevel="0" max="14" min="12" style="124" width="13.14"/>
    <col collapsed="false" customWidth="true" hidden="false" outlineLevel="0" max="15" min="15" style="125" width="2.7"/>
    <col collapsed="false" customWidth="true" hidden="false" outlineLevel="0" max="18" min="16" style="121" width="16.13"/>
    <col collapsed="false" customWidth="true" hidden="false" outlineLevel="0" max="23" min="19" style="126" width="12.7"/>
    <col collapsed="false" customWidth="false" hidden="false" outlineLevel="0" max="257" min="24" style="121" width="9.14"/>
  </cols>
  <sheetData>
    <row r="1" customFormat="false" ht="12.75" hidden="false" customHeight="false" outlineLevel="0" collapsed="false">
      <c r="A1" s="127" t="n">
        <v>1</v>
      </c>
      <c r="B1" s="121" t="n">
        <f aca="false">+A1+1</f>
        <v>2</v>
      </c>
      <c r="C1" s="122" t="n">
        <f aca="false">+B1+1</f>
        <v>3</v>
      </c>
      <c r="D1" s="121" t="n">
        <f aca="false">+C1+1</f>
        <v>4</v>
      </c>
      <c r="E1" s="121" t="n">
        <f aca="false">+D1+1</f>
        <v>5</v>
      </c>
      <c r="F1" s="121" t="n">
        <f aca="false">+E1+1</f>
        <v>6</v>
      </c>
      <c r="G1" s="121" t="n">
        <f aca="false">+F1+1</f>
        <v>7</v>
      </c>
      <c r="H1" s="122" t="n">
        <f aca="false">+G1+1</f>
        <v>8</v>
      </c>
      <c r="I1" s="123" t="n">
        <f aca="false">+H1+1</f>
        <v>9</v>
      </c>
      <c r="J1" s="124" t="n">
        <f aca="false">+I1+1</f>
        <v>10</v>
      </c>
      <c r="K1" s="124" t="n">
        <f aca="false">+J1+1</f>
        <v>11</v>
      </c>
      <c r="L1" s="124" t="n">
        <f aca="false">+K1+1</f>
        <v>12</v>
      </c>
      <c r="M1" s="124" t="n">
        <f aca="false">+L1+1</f>
        <v>13</v>
      </c>
      <c r="N1" s="124" t="n">
        <f aca="false">+M1+1</f>
        <v>14</v>
      </c>
      <c r="O1" s="125" t="n">
        <f aca="false">+N1+1</f>
        <v>15</v>
      </c>
      <c r="P1" s="121" t="n">
        <f aca="false">+O1+1</f>
        <v>16</v>
      </c>
      <c r="Q1" s="121" t="n">
        <f aca="false">+P1+1</f>
        <v>17</v>
      </c>
      <c r="R1" s="121" t="n">
        <f aca="false">+Q1+1</f>
        <v>18</v>
      </c>
      <c r="S1" s="121" t="n">
        <f aca="false">+R1+1</f>
        <v>19</v>
      </c>
      <c r="T1" s="121" t="n">
        <f aca="false">+S1+1</f>
        <v>20</v>
      </c>
      <c r="U1" s="121" t="n">
        <f aca="false">+T1+1</f>
        <v>21</v>
      </c>
      <c r="V1" s="121" t="n">
        <f aca="false">+U1+1</f>
        <v>22</v>
      </c>
      <c r="W1" s="121" t="n">
        <f aca="false">+V1+1</f>
        <v>23</v>
      </c>
    </row>
    <row r="2" customFormat="false" ht="12.75" hidden="false" customHeight="false" outlineLevel="0" collapsed="false">
      <c r="K2" s="128" t="n">
        <f aca="false">WORKDAY(K3,-4)</f>
        <v>37190</v>
      </c>
    </row>
    <row r="3" customFormat="false" ht="12.75" hidden="false" customHeight="false" outlineLevel="0" collapsed="false">
      <c r="I3" s="146"/>
      <c r="K3" s="128" t="n">
        <f aca="false">Summary!B8</f>
        <v>37196</v>
      </c>
      <c r="L3" s="129" t="n">
        <f aca="false">SUM(L6:L371)</f>
        <v>0</v>
      </c>
      <c r="P3" s="124" t="n">
        <v>1000000</v>
      </c>
      <c r="Q3" s="124"/>
      <c r="R3" s="124" t="n">
        <v>1000</v>
      </c>
      <c r="S3" s="121"/>
      <c r="T3" s="130" t="n">
        <f aca="false">SUM(T6:T371)</f>
        <v>0</v>
      </c>
    </row>
    <row r="4" customFormat="false" ht="12.75" hidden="false" customHeight="false" outlineLevel="0" collapsed="false">
      <c r="D4" s="131" t="s">
        <v>57</v>
      </c>
      <c r="E4" s="131" t="s">
        <v>57</v>
      </c>
      <c r="F4" s="131" t="s">
        <v>58</v>
      </c>
      <c r="G4" s="131" t="s">
        <v>58</v>
      </c>
      <c r="I4" s="132" t="s">
        <v>58</v>
      </c>
      <c r="J4" s="132"/>
      <c r="K4" s="132"/>
      <c r="L4" s="132"/>
      <c r="M4" s="132"/>
      <c r="N4" s="132"/>
      <c r="O4" s="133"/>
      <c r="P4" s="134" t="s">
        <v>59</v>
      </c>
      <c r="Q4" s="134"/>
      <c r="R4" s="135" t="s">
        <v>60</v>
      </c>
      <c r="S4" s="135"/>
      <c r="T4" s="135"/>
      <c r="U4" s="135"/>
      <c r="V4" s="135"/>
      <c r="W4" s="135"/>
    </row>
    <row r="5" customFormat="false" ht="12.75" hidden="false" customHeight="false" outlineLevel="0" collapsed="false">
      <c r="A5" s="136" t="s">
        <v>61</v>
      </c>
      <c r="B5" s="131" t="s">
        <v>62</v>
      </c>
      <c r="C5" s="137"/>
      <c r="D5" s="138" t="s">
        <v>63</v>
      </c>
      <c r="E5" s="138" t="s">
        <v>64</v>
      </c>
      <c r="F5" s="138" t="s">
        <v>65</v>
      </c>
      <c r="G5" s="138" t="s">
        <v>66</v>
      </c>
      <c r="H5" s="139"/>
      <c r="I5" s="138" t="s">
        <v>67</v>
      </c>
      <c r="J5" s="140" t="s">
        <v>68</v>
      </c>
      <c r="K5" s="140" t="s">
        <v>69</v>
      </c>
      <c r="L5" s="140" t="s">
        <v>70</v>
      </c>
      <c r="M5" s="140" t="s">
        <v>71</v>
      </c>
      <c r="N5" s="140" t="s">
        <v>72</v>
      </c>
      <c r="O5" s="141"/>
      <c r="P5" s="138" t="s">
        <v>63</v>
      </c>
      <c r="Q5" s="138" t="s">
        <v>64</v>
      </c>
      <c r="R5" s="138" t="s">
        <v>65</v>
      </c>
      <c r="S5" s="142" t="s">
        <v>68</v>
      </c>
      <c r="T5" s="140" t="s">
        <v>70</v>
      </c>
      <c r="U5" s="142" t="s">
        <v>66</v>
      </c>
      <c r="V5" s="142" t="s">
        <v>71</v>
      </c>
      <c r="W5" s="142" t="s">
        <v>72</v>
      </c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1"/>
      <c r="AW5" s="131"/>
      <c r="AX5" s="131"/>
      <c r="AY5" s="131"/>
      <c r="AZ5" s="131"/>
      <c r="BA5" s="131"/>
      <c r="BB5" s="131"/>
      <c r="BC5" s="131"/>
      <c r="BD5" s="131"/>
      <c r="BE5" s="131"/>
      <c r="BF5" s="131"/>
      <c r="BG5" s="131"/>
      <c r="BH5" s="131"/>
      <c r="BI5" s="131"/>
      <c r="BJ5" s="131"/>
      <c r="BK5" s="131"/>
      <c r="BL5" s="131"/>
      <c r="BM5" s="131"/>
      <c r="BN5" s="131"/>
      <c r="BO5" s="131"/>
      <c r="BP5" s="131"/>
      <c r="BQ5" s="131"/>
      <c r="BR5" s="131"/>
      <c r="BS5" s="131"/>
      <c r="BT5" s="131"/>
      <c r="BU5" s="131"/>
      <c r="BV5" s="131"/>
      <c r="BW5" s="131"/>
      <c r="BX5" s="131"/>
      <c r="BY5" s="131"/>
      <c r="BZ5" s="131"/>
      <c r="CA5" s="131"/>
      <c r="CB5" s="131"/>
      <c r="CC5" s="131"/>
      <c r="CD5" s="131"/>
      <c r="CE5" s="131"/>
      <c r="CF5" s="131"/>
      <c r="CG5" s="131"/>
      <c r="CH5" s="131"/>
      <c r="CI5" s="131"/>
      <c r="CJ5" s="131"/>
      <c r="CK5" s="131"/>
      <c r="CL5" s="131"/>
      <c r="CM5" s="131"/>
      <c r="CN5" s="131"/>
      <c r="CO5" s="131"/>
      <c r="CP5" s="131"/>
      <c r="CQ5" s="131"/>
      <c r="CR5" s="131"/>
      <c r="CS5" s="131"/>
      <c r="CT5" s="131"/>
      <c r="CU5" s="131"/>
      <c r="CV5" s="131"/>
      <c r="CW5" s="131"/>
      <c r="CX5" s="131"/>
      <c r="CY5" s="131"/>
      <c r="CZ5" s="131"/>
      <c r="DA5" s="131"/>
      <c r="DB5" s="131"/>
      <c r="DC5" s="131"/>
      <c r="DD5" s="131"/>
      <c r="DE5" s="131"/>
      <c r="DF5" s="131"/>
      <c r="DG5" s="131"/>
      <c r="DH5" s="131"/>
      <c r="DI5" s="131"/>
      <c r="DJ5" s="131"/>
      <c r="DK5" s="131"/>
      <c r="DL5" s="131"/>
      <c r="DM5" s="131"/>
      <c r="DN5" s="131"/>
      <c r="DO5" s="131"/>
      <c r="DP5" s="131"/>
      <c r="DQ5" s="131"/>
      <c r="DR5" s="131"/>
      <c r="DS5" s="131"/>
      <c r="DT5" s="131"/>
      <c r="DU5" s="131"/>
      <c r="DV5" s="131"/>
      <c r="DW5" s="131"/>
      <c r="DX5" s="131"/>
      <c r="DY5" s="131"/>
      <c r="DZ5" s="131"/>
      <c r="EA5" s="131"/>
      <c r="EB5" s="131"/>
      <c r="EC5" s="131"/>
      <c r="ED5" s="131"/>
      <c r="EE5" s="131"/>
      <c r="EF5" s="131"/>
      <c r="EG5" s="131"/>
      <c r="EH5" s="131"/>
      <c r="EI5" s="131"/>
      <c r="EJ5" s="131"/>
      <c r="EK5" s="131"/>
      <c r="EL5" s="131"/>
      <c r="EM5" s="131"/>
      <c r="EN5" s="131"/>
      <c r="EO5" s="131"/>
      <c r="EP5" s="131"/>
      <c r="EQ5" s="131"/>
      <c r="ER5" s="131"/>
      <c r="ES5" s="131"/>
      <c r="ET5" s="131"/>
      <c r="EU5" s="131"/>
      <c r="EV5" s="131"/>
      <c r="EW5" s="131"/>
      <c r="EX5" s="131"/>
      <c r="EY5" s="131"/>
      <c r="EZ5" s="131"/>
      <c r="FA5" s="131"/>
      <c r="FB5" s="131"/>
      <c r="FC5" s="131"/>
      <c r="FD5" s="131"/>
      <c r="FE5" s="131"/>
      <c r="FF5" s="131"/>
      <c r="FG5" s="131"/>
      <c r="FH5" s="131"/>
      <c r="FI5" s="131"/>
      <c r="FJ5" s="131"/>
      <c r="FK5" s="131"/>
      <c r="FL5" s="131"/>
      <c r="FM5" s="131"/>
      <c r="FN5" s="131"/>
      <c r="FO5" s="131"/>
      <c r="FP5" s="131"/>
      <c r="FQ5" s="131"/>
      <c r="FR5" s="131"/>
      <c r="FS5" s="131"/>
      <c r="FT5" s="131"/>
      <c r="FU5" s="131"/>
      <c r="FV5" s="131"/>
      <c r="FW5" s="131"/>
      <c r="FX5" s="131"/>
      <c r="FY5" s="131"/>
      <c r="FZ5" s="131"/>
      <c r="GA5" s="131"/>
      <c r="GB5" s="131"/>
      <c r="GC5" s="131"/>
      <c r="GD5" s="131"/>
      <c r="GE5" s="131"/>
      <c r="GF5" s="131"/>
      <c r="GG5" s="131"/>
      <c r="GH5" s="131"/>
      <c r="GI5" s="131"/>
      <c r="GJ5" s="131"/>
      <c r="GK5" s="131"/>
      <c r="GL5" s="131"/>
      <c r="GM5" s="131"/>
      <c r="GN5" s="131"/>
      <c r="GO5" s="131"/>
      <c r="GP5" s="131"/>
      <c r="GQ5" s="131"/>
      <c r="GR5" s="131"/>
      <c r="GS5" s="131"/>
      <c r="GT5" s="131"/>
      <c r="GU5" s="131"/>
      <c r="GV5" s="131"/>
      <c r="GW5" s="131"/>
      <c r="GX5" s="131"/>
      <c r="GY5" s="131"/>
      <c r="GZ5" s="131"/>
      <c r="HA5" s="131"/>
      <c r="HB5" s="131"/>
      <c r="HC5" s="131"/>
      <c r="HD5" s="131"/>
      <c r="HE5" s="131"/>
      <c r="HF5" s="131"/>
      <c r="HG5" s="131"/>
      <c r="HH5" s="131"/>
      <c r="HI5" s="131"/>
      <c r="HJ5" s="131"/>
      <c r="HK5" s="131"/>
      <c r="HL5" s="131"/>
      <c r="HM5" s="131"/>
      <c r="HN5" s="131"/>
      <c r="HO5" s="131"/>
      <c r="HP5" s="131"/>
      <c r="HQ5" s="131"/>
      <c r="HR5" s="131"/>
      <c r="HS5" s="131"/>
      <c r="HT5" s="131"/>
      <c r="HU5" s="131"/>
      <c r="HV5" s="131"/>
      <c r="HW5" s="131"/>
      <c r="HX5" s="131"/>
      <c r="HY5" s="131"/>
      <c r="HZ5" s="131"/>
      <c r="IA5" s="131"/>
      <c r="IB5" s="131"/>
      <c r="IC5" s="131"/>
      <c r="ID5" s="131"/>
      <c r="IE5" s="131"/>
      <c r="IF5" s="131"/>
      <c r="IG5" s="131"/>
      <c r="IH5" s="131"/>
      <c r="II5" s="131"/>
      <c r="IJ5" s="131"/>
      <c r="IK5" s="131"/>
      <c r="IL5" s="131"/>
      <c r="IM5" s="131"/>
      <c r="IN5" s="131"/>
      <c r="IO5" s="131"/>
      <c r="IP5" s="131"/>
      <c r="IQ5" s="131"/>
      <c r="IR5" s="131"/>
      <c r="IS5" s="131"/>
      <c r="IT5" s="131"/>
      <c r="IU5" s="131"/>
      <c r="IV5" s="131"/>
      <c r="IW5" s="131"/>
    </row>
    <row r="6" customFormat="false" ht="12.75" hidden="true" customHeight="false" outlineLevel="0" collapsed="false">
      <c r="A6" s="120" t="n">
        <v>36892</v>
      </c>
      <c r="B6" s="131" t="str">
        <f aca="false">INDEX('Master Data'!$A$2:$B$8,MATCH(WEEKDAY('Plant Manager'!A6,3),'Master Data'!$A$2:$A$8,0),2)</f>
        <v>M</v>
      </c>
      <c r="D6" s="124" t="n">
        <v>0</v>
      </c>
      <c r="E6" s="124" t="n">
        <v>0</v>
      </c>
      <c r="F6" s="124" t="n">
        <v>0</v>
      </c>
      <c r="G6" s="124" t="n">
        <v>0</v>
      </c>
      <c r="I6" s="124" t="n">
        <f aca="false">G6</f>
        <v>0</v>
      </c>
      <c r="J6" s="124" t="n">
        <f aca="false">I6</f>
        <v>0</v>
      </c>
      <c r="K6" s="124" t="n">
        <f aca="false">IF(WEEKDAY(A6,3)&gt;4,0,(IF(A6&lt;K$2,0,IF(A6&lt;=K$3,1,0))))</f>
        <v>0</v>
      </c>
      <c r="L6" s="124" t="n">
        <f aca="false">J6*K6</f>
        <v>0</v>
      </c>
      <c r="M6" s="124" t="n">
        <f aca="false">SUM(J$6:J6)</f>
        <v>0</v>
      </c>
      <c r="N6" s="124" t="n">
        <f aca="false">SUM(J$6:J6)</f>
        <v>0</v>
      </c>
      <c r="P6" s="124" t="n">
        <f aca="false">D6/P$3</f>
        <v>0</v>
      </c>
      <c r="Q6" s="124" t="n">
        <f aca="false">E6/P$3</f>
        <v>0</v>
      </c>
      <c r="R6" s="124" t="n">
        <f aca="false">F6/R$3</f>
        <v>0</v>
      </c>
      <c r="S6" s="126" t="n">
        <f aca="false">J6/$R$3</f>
        <v>0</v>
      </c>
      <c r="T6" s="126" t="n">
        <f aca="false">L6/$R$3</f>
        <v>0</v>
      </c>
      <c r="U6" s="126" t="n">
        <f aca="false">I6/$R$3</f>
        <v>0</v>
      </c>
      <c r="V6" s="126" t="n">
        <f aca="false">M6/$R$3</f>
        <v>0</v>
      </c>
      <c r="W6" s="126" t="n">
        <f aca="false">N6/$R$3</f>
        <v>0</v>
      </c>
    </row>
    <row r="7" customFormat="false" ht="12.75" hidden="true" customHeight="false" outlineLevel="0" collapsed="false">
      <c r="A7" s="120" t="n">
        <f aca="false">A6+1</f>
        <v>36893</v>
      </c>
      <c r="B7" s="131" t="str">
        <f aca="false">INDEX('Master Data'!$A$2:$B$8,MATCH(WEEKDAY('Plant Manager'!A7,3),'Master Data'!$A$2:$A$8,0),2)</f>
        <v>T</v>
      </c>
      <c r="D7" s="124" t="n">
        <v>0</v>
      </c>
      <c r="E7" s="124" t="n">
        <v>0</v>
      </c>
      <c r="F7" s="124" t="n">
        <v>0</v>
      </c>
      <c r="G7" s="124" t="n">
        <v>0</v>
      </c>
      <c r="I7" s="124" t="n">
        <f aca="false">IF(MONTH($A7)=MONTH($A6),IF(G7=0,I6,G7),0)</f>
        <v>0</v>
      </c>
      <c r="J7" s="124" t="n">
        <f aca="false">IF(MONTH($A7)=MONTH($A6),SUM(I7-I6),I7)</f>
        <v>0</v>
      </c>
      <c r="K7" s="124" t="n">
        <f aca="false">IF(WEEKDAY(A7,3)&gt;4,0,(IF(A7&lt;K$2,0,IF(A7&lt;=K$3,1,0))))</f>
        <v>0</v>
      </c>
      <c r="L7" s="124" t="n">
        <f aca="false">J7*K7</f>
        <v>0</v>
      </c>
      <c r="M7" s="124" t="n">
        <f aca="false">SUM(J$6:J7)</f>
        <v>0</v>
      </c>
      <c r="N7" s="124" t="n">
        <f aca="false">SUM(J$6:J7)</f>
        <v>0</v>
      </c>
      <c r="P7" s="124" t="n">
        <f aca="false">D7/P$3</f>
        <v>0</v>
      </c>
      <c r="Q7" s="124" t="n">
        <f aca="false">E7/P$3</f>
        <v>0</v>
      </c>
      <c r="R7" s="124" t="n">
        <f aca="false">F7/R$3</f>
        <v>0</v>
      </c>
      <c r="S7" s="126" t="n">
        <f aca="false">J7/$R$3</f>
        <v>0</v>
      </c>
      <c r="T7" s="126" t="n">
        <f aca="false">L7/$R$3</f>
        <v>0</v>
      </c>
      <c r="U7" s="126" t="n">
        <f aca="false">I7/$R$3</f>
        <v>0</v>
      </c>
      <c r="V7" s="126" t="n">
        <f aca="false">M7/$R$3</f>
        <v>0</v>
      </c>
      <c r="W7" s="126" t="n">
        <f aca="false">N7/$R$3</f>
        <v>0</v>
      </c>
    </row>
    <row r="8" customFormat="false" ht="12.75" hidden="true" customHeight="false" outlineLevel="0" collapsed="false">
      <c r="A8" s="120" t="n">
        <f aca="false">A7+1</f>
        <v>36894</v>
      </c>
      <c r="B8" s="131" t="str">
        <f aca="false">INDEX('Master Data'!$A$2:$B$8,MATCH(WEEKDAY('Plant Manager'!A8,3),'Master Data'!$A$2:$A$8,0),2)</f>
        <v>W</v>
      </c>
      <c r="D8" s="124" t="n">
        <v>0</v>
      </c>
      <c r="E8" s="124" t="n">
        <v>0</v>
      </c>
      <c r="F8" s="124" t="n">
        <v>0</v>
      </c>
      <c r="G8" s="124" t="n">
        <v>0</v>
      </c>
      <c r="I8" s="124" t="n">
        <f aca="false">IF(MONTH($A8)=MONTH($A7),IF(G8=0,I7,G8),0)</f>
        <v>0</v>
      </c>
      <c r="J8" s="124" t="n">
        <f aca="false">IF(MONTH($A8)=MONTH($A7),SUM(I8-I7),I8)</f>
        <v>0</v>
      </c>
      <c r="K8" s="124" t="n">
        <f aca="false">IF(WEEKDAY(A8,3)&gt;4,0,(IF(A8&lt;K$2,0,IF(A8&lt;=K$3,1,0))))</f>
        <v>0</v>
      </c>
      <c r="L8" s="124" t="n">
        <f aca="false">J8*K8</f>
        <v>0</v>
      </c>
      <c r="M8" s="124" t="n">
        <f aca="false">SUM(J$6:J8)</f>
        <v>0</v>
      </c>
      <c r="N8" s="124" t="n">
        <f aca="false">SUM(J$6:J8)</f>
        <v>0</v>
      </c>
      <c r="P8" s="124" t="n">
        <f aca="false">D8/P$3</f>
        <v>0</v>
      </c>
      <c r="Q8" s="124" t="n">
        <f aca="false">E8/P$3</f>
        <v>0</v>
      </c>
      <c r="R8" s="124" t="n">
        <f aca="false">F8/R$3</f>
        <v>0</v>
      </c>
      <c r="S8" s="126" t="n">
        <f aca="false">J8/$R$3</f>
        <v>0</v>
      </c>
      <c r="T8" s="126" t="n">
        <f aca="false">L8/$R$3</f>
        <v>0</v>
      </c>
      <c r="U8" s="126" t="n">
        <f aca="false">I8/$R$3</f>
        <v>0</v>
      </c>
      <c r="V8" s="126" t="n">
        <f aca="false">M8/$R$3</f>
        <v>0</v>
      </c>
      <c r="W8" s="126" t="n">
        <f aca="false">N8/$R$3</f>
        <v>0</v>
      </c>
    </row>
    <row r="9" customFormat="false" ht="12.75" hidden="true" customHeight="false" outlineLevel="0" collapsed="false">
      <c r="A9" s="120" t="n">
        <f aca="false">A8+1</f>
        <v>36895</v>
      </c>
      <c r="B9" s="131" t="str">
        <f aca="false">INDEX('Master Data'!$A$2:$B$8,MATCH(WEEKDAY('Plant Manager'!A9,3),'Master Data'!$A$2:$A$8,0),2)</f>
        <v>Th</v>
      </c>
      <c r="D9" s="124" t="n">
        <v>0</v>
      </c>
      <c r="E9" s="124" t="n">
        <v>0</v>
      </c>
      <c r="F9" s="124" t="n">
        <v>0</v>
      </c>
      <c r="G9" s="124" t="n">
        <v>0</v>
      </c>
      <c r="I9" s="124" t="n">
        <f aca="false">IF(MONTH($A9)=MONTH($A8),IF(G9=0,I8,G9),0)</f>
        <v>0</v>
      </c>
      <c r="J9" s="124" t="n">
        <f aca="false">IF(MONTH($A9)=MONTH($A8),SUM(I9-I8),I9)</f>
        <v>0</v>
      </c>
      <c r="K9" s="124" t="n">
        <f aca="false">IF(WEEKDAY(A9,3)&gt;4,0,(IF(A9&lt;K$2,0,IF(A9&lt;=K$3,1,0))))</f>
        <v>0</v>
      </c>
      <c r="L9" s="124" t="n">
        <f aca="false">J9*K9</f>
        <v>0</v>
      </c>
      <c r="M9" s="124" t="n">
        <f aca="false">SUM(J$6:J9)</f>
        <v>0</v>
      </c>
      <c r="N9" s="124" t="n">
        <f aca="false">SUM(J$6:J9)</f>
        <v>0</v>
      </c>
      <c r="P9" s="124" t="n">
        <f aca="false">D9/P$3</f>
        <v>0</v>
      </c>
      <c r="Q9" s="124" t="n">
        <f aca="false">E9/P$3</f>
        <v>0</v>
      </c>
      <c r="R9" s="124" t="n">
        <f aca="false">F9/R$3</f>
        <v>0</v>
      </c>
      <c r="S9" s="126" t="n">
        <f aca="false">J9/$R$3</f>
        <v>0</v>
      </c>
      <c r="T9" s="126" t="n">
        <f aca="false">L9/$R$3</f>
        <v>0</v>
      </c>
      <c r="U9" s="126" t="n">
        <f aca="false">I9/$R$3</f>
        <v>0</v>
      </c>
      <c r="V9" s="126" t="n">
        <f aca="false">M9/$R$3</f>
        <v>0</v>
      </c>
      <c r="W9" s="126" t="n">
        <f aca="false">N9/$R$3</f>
        <v>0</v>
      </c>
    </row>
    <row r="10" customFormat="false" ht="12.75" hidden="true" customHeight="false" outlineLevel="0" collapsed="false">
      <c r="A10" s="120" t="n">
        <f aca="false">A9+1</f>
        <v>36896</v>
      </c>
      <c r="B10" s="131" t="str">
        <f aca="false">INDEX('Master Data'!$A$2:$B$8,MATCH(WEEKDAY('Plant Manager'!A10,3),'Master Data'!$A$2:$A$8,0),2)</f>
        <v>F</v>
      </c>
      <c r="D10" s="124" t="n">
        <v>0</v>
      </c>
      <c r="E10" s="124" t="n">
        <v>0</v>
      </c>
      <c r="F10" s="124" t="n">
        <v>0</v>
      </c>
      <c r="G10" s="124" t="n">
        <v>0</v>
      </c>
      <c r="I10" s="124" t="n">
        <f aca="false">IF(MONTH($A10)=MONTH($A9),IF(G10=0,I9,G10),0)</f>
        <v>0</v>
      </c>
      <c r="J10" s="124" t="n">
        <f aca="false">IF(MONTH($A10)=MONTH($A9),SUM(I10-I9),I10)</f>
        <v>0</v>
      </c>
      <c r="K10" s="124" t="n">
        <f aca="false">IF(WEEKDAY(A10,3)&gt;4,0,(IF(A10&lt;K$2,0,IF(A10&lt;=K$3,1,0))))</f>
        <v>0</v>
      </c>
      <c r="L10" s="124" t="n">
        <f aca="false">J10*K10</f>
        <v>0</v>
      </c>
      <c r="M10" s="124" t="n">
        <f aca="false">SUM(J$6:J10)</f>
        <v>0</v>
      </c>
      <c r="N10" s="124" t="n">
        <f aca="false">SUM(J$6:J10)</f>
        <v>0</v>
      </c>
      <c r="P10" s="124" t="n">
        <f aca="false">D10/P$3</f>
        <v>0</v>
      </c>
      <c r="Q10" s="124" t="n">
        <f aca="false">E10/P$3</f>
        <v>0</v>
      </c>
      <c r="R10" s="124" t="n">
        <f aca="false">F10/R$3</f>
        <v>0</v>
      </c>
      <c r="S10" s="126" t="n">
        <f aca="false">J10/$R$3</f>
        <v>0</v>
      </c>
      <c r="T10" s="126" t="n">
        <f aca="false">L10/$R$3</f>
        <v>0</v>
      </c>
      <c r="U10" s="126" t="n">
        <f aca="false">I10/$R$3</f>
        <v>0</v>
      </c>
      <c r="V10" s="126" t="n">
        <f aca="false">M10/$R$3</f>
        <v>0</v>
      </c>
      <c r="W10" s="126" t="n">
        <f aca="false">N10/$R$3</f>
        <v>0</v>
      </c>
    </row>
    <row r="11" customFormat="false" ht="12.75" hidden="true" customHeight="false" outlineLevel="0" collapsed="false">
      <c r="A11" s="120" t="n">
        <f aca="false">A10+1</f>
        <v>36897</v>
      </c>
      <c r="B11" s="131" t="str">
        <f aca="false">INDEX('Master Data'!$A$2:$B$8,MATCH(WEEKDAY('Plant Manager'!A11,3),'Master Data'!$A$2:$A$8,0),2)</f>
        <v>Sa</v>
      </c>
      <c r="D11" s="124" t="n">
        <v>0</v>
      </c>
      <c r="E11" s="124" t="n">
        <v>0</v>
      </c>
      <c r="F11" s="124" t="n">
        <v>0</v>
      </c>
      <c r="G11" s="124" t="n">
        <v>0</v>
      </c>
      <c r="I11" s="124" t="n">
        <f aca="false">IF(MONTH($A11)=MONTH($A10),IF(G11=0,I10,G11),0)</f>
        <v>0</v>
      </c>
      <c r="J11" s="124" t="n">
        <f aca="false">IF(MONTH($A11)=MONTH($A10),SUM(I11-I10),I11)</f>
        <v>0</v>
      </c>
      <c r="K11" s="124" t="n">
        <f aca="false">IF(WEEKDAY(A11,3)&gt;4,0,(IF(A11&lt;K$2,0,IF(A11&lt;=K$3,1,0))))</f>
        <v>0</v>
      </c>
      <c r="L11" s="124" t="n">
        <f aca="false">J11*K11</f>
        <v>0</v>
      </c>
      <c r="M11" s="124" t="n">
        <f aca="false">SUM(J$6:J11)</f>
        <v>0</v>
      </c>
      <c r="N11" s="124" t="n">
        <f aca="false">SUM(J$6:J11)</f>
        <v>0</v>
      </c>
      <c r="P11" s="124" t="n">
        <f aca="false">D11/P$3</f>
        <v>0</v>
      </c>
      <c r="Q11" s="124" t="n">
        <f aca="false">E11/P$3</f>
        <v>0</v>
      </c>
      <c r="R11" s="124" t="n">
        <f aca="false">F11/R$3</f>
        <v>0</v>
      </c>
      <c r="S11" s="126" t="n">
        <f aca="false">J11/$R$3</f>
        <v>0</v>
      </c>
      <c r="T11" s="126" t="n">
        <f aca="false">L11/$R$3</f>
        <v>0</v>
      </c>
      <c r="U11" s="126" t="n">
        <f aca="false">I11/$R$3</f>
        <v>0</v>
      </c>
      <c r="V11" s="126" t="n">
        <f aca="false">M11/$R$3</f>
        <v>0</v>
      </c>
      <c r="W11" s="126" t="n">
        <f aca="false">N11/$R$3</f>
        <v>0</v>
      </c>
    </row>
    <row r="12" customFormat="false" ht="12.75" hidden="true" customHeight="false" outlineLevel="0" collapsed="false">
      <c r="A12" s="120" t="n">
        <f aca="false">A11+1</f>
        <v>36898</v>
      </c>
      <c r="B12" s="131" t="str">
        <f aca="false">INDEX('Master Data'!$A$2:$B$8,MATCH(WEEKDAY('Plant Manager'!A12,3),'Master Data'!$A$2:$A$8,0),2)</f>
        <v>Su</v>
      </c>
      <c r="D12" s="124" t="n">
        <v>0</v>
      </c>
      <c r="E12" s="124" t="n">
        <v>0</v>
      </c>
      <c r="F12" s="124" t="n">
        <v>0</v>
      </c>
      <c r="G12" s="124" t="n">
        <v>0</v>
      </c>
      <c r="I12" s="124" t="n">
        <f aca="false">IF(MONTH($A12)=MONTH($A11),IF(G12=0,I11,G12),0)</f>
        <v>0</v>
      </c>
      <c r="J12" s="124" t="n">
        <f aca="false">IF(MONTH($A12)=MONTH($A11),SUM(I12-I11),I12)</f>
        <v>0</v>
      </c>
      <c r="K12" s="124" t="n">
        <f aca="false">IF(WEEKDAY(A12,3)&gt;4,0,(IF(A12&lt;K$2,0,IF(A12&lt;=K$3,1,0))))</f>
        <v>0</v>
      </c>
      <c r="L12" s="124" t="n">
        <f aca="false">J12*K12</f>
        <v>0</v>
      </c>
      <c r="M12" s="124" t="n">
        <f aca="false">SUM(J$6:J12)</f>
        <v>0</v>
      </c>
      <c r="N12" s="124" t="n">
        <f aca="false">SUM(J$6:J12)</f>
        <v>0</v>
      </c>
      <c r="P12" s="124" t="n">
        <f aca="false">D12/P$3</f>
        <v>0</v>
      </c>
      <c r="Q12" s="124" t="n">
        <f aca="false">E12/P$3</f>
        <v>0</v>
      </c>
      <c r="R12" s="124" t="n">
        <f aca="false">F12/R$3</f>
        <v>0</v>
      </c>
      <c r="S12" s="126" t="n">
        <f aca="false">J12/$R$3</f>
        <v>0</v>
      </c>
      <c r="T12" s="126" t="n">
        <f aca="false">L12/$R$3</f>
        <v>0</v>
      </c>
      <c r="U12" s="126" t="n">
        <f aca="false">I12/$R$3</f>
        <v>0</v>
      </c>
      <c r="V12" s="126" t="n">
        <f aca="false">M12/$R$3</f>
        <v>0</v>
      </c>
      <c r="W12" s="126" t="n">
        <f aca="false">N12/$R$3</f>
        <v>0</v>
      </c>
    </row>
    <row r="13" customFormat="false" ht="12.75" hidden="true" customHeight="false" outlineLevel="0" collapsed="false">
      <c r="A13" s="120" t="n">
        <f aca="false">A12+1</f>
        <v>36899</v>
      </c>
      <c r="B13" s="131" t="str">
        <f aca="false">INDEX('Master Data'!$A$2:$B$8,MATCH(WEEKDAY('Plant Manager'!A13,3),'Master Data'!$A$2:$A$8,0),2)</f>
        <v>M</v>
      </c>
      <c r="D13" s="124" t="n">
        <v>0</v>
      </c>
      <c r="E13" s="124" t="n">
        <v>0</v>
      </c>
      <c r="F13" s="124" t="n">
        <v>0</v>
      </c>
      <c r="G13" s="124" t="n">
        <v>0</v>
      </c>
      <c r="I13" s="124" t="n">
        <f aca="false">IF(MONTH($A13)=MONTH($A12),IF(G13=0,I12,G13),0)</f>
        <v>0</v>
      </c>
      <c r="J13" s="124" t="n">
        <f aca="false">IF(MONTH($A13)=MONTH($A12),SUM(I13-I12),I13)</f>
        <v>0</v>
      </c>
      <c r="K13" s="124" t="n">
        <f aca="false">IF(WEEKDAY(A13,3)&gt;4,0,(IF(A13&lt;K$2,0,IF(A13&lt;=K$3,1,0))))</f>
        <v>0</v>
      </c>
      <c r="L13" s="124" t="n">
        <f aca="false">J13*K13</f>
        <v>0</v>
      </c>
      <c r="M13" s="124" t="n">
        <f aca="false">SUM(J$6:J13)</f>
        <v>0</v>
      </c>
      <c r="N13" s="124" t="n">
        <f aca="false">SUM(J$6:J13)</f>
        <v>0</v>
      </c>
      <c r="P13" s="124" t="n">
        <f aca="false">D13/P$3</f>
        <v>0</v>
      </c>
      <c r="Q13" s="124" t="n">
        <f aca="false">E13/P$3</f>
        <v>0</v>
      </c>
      <c r="R13" s="124" t="n">
        <f aca="false">F13/R$3</f>
        <v>0</v>
      </c>
      <c r="S13" s="126" t="n">
        <f aca="false">J13/$R$3</f>
        <v>0</v>
      </c>
      <c r="T13" s="126" t="n">
        <f aca="false">L13/$R$3</f>
        <v>0</v>
      </c>
      <c r="U13" s="126" t="n">
        <f aca="false">I13/$R$3</f>
        <v>0</v>
      </c>
      <c r="V13" s="126" t="n">
        <f aca="false">M13/$R$3</f>
        <v>0</v>
      </c>
      <c r="W13" s="126" t="n">
        <f aca="false">N13/$R$3</f>
        <v>0</v>
      </c>
    </row>
    <row r="14" customFormat="false" ht="12.75" hidden="true" customHeight="false" outlineLevel="0" collapsed="false">
      <c r="A14" s="120" t="n">
        <f aca="false">A13+1</f>
        <v>36900</v>
      </c>
      <c r="B14" s="131" t="str">
        <f aca="false">INDEX('Master Data'!$A$2:$B$8,MATCH(WEEKDAY('Plant Manager'!A14,3),'Master Data'!$A$2:$A$8,0),2)</f>
        <v>T</v>
      </c>
      <c r="D14" s="124" t="n">
        <v>0</v>
      </c>
      <c r="E14" s="124" t="n">
        <v>0</v>
      </c>
      <c r="F14" s="124" t="n">
        <v>0</v>
      </c>
      <c r="G14" s="124" t="n">
        <v>0</v>
      </c>
      <c r="I14" s="124" t="n">
        <f aca="false">IF(MONTH($A14)=MONTH($A13),IF(G14=0,I13,G14),0)</f>
        <v>0</v>
      </c>
      <c r="J14" s="124" t="n">
        <f aca="false">IF(MONTH($A14)=MONTH($A13),SUM(I14-I13),I14)</f>
        <v>0</v>
      </c>
      <c r="K14" s="124" t="n">
        <f aca="false">IF(WEEKDAY(A14,3)&gt;4,0,(IF(A14&lt;K$2,0,IF(A14&lt;=K$3,1,0))))</f>
        <v>0</v>
      </c>
      <c r="L14" s="124" t="n">
        <f aca="false">J14*K14</f>
        <v>0</v>
      </c>
      <c r="M14" s="124" t="n">
        <f aca="false">SUM(J$6:J14)</f>
        <v>0</v>
      </c>
      <c r="N14" s="124" t="n">
        <f aca="false">SUM(J$6:J14)</f>
        <v>0</v>
      </c>
      <c r="P14" s="124" t="n">
        <f aca="false">D14/P$3</f>
        <v>0</v>
      </c>
      <c r="Q14" s="124" t="n">
        <f aca="false">E14/P$3</f>
        <v>0</v>
      </c>
      <c r="R14" s="124" t="n">
        <f aca="false">F14/R$3</f>
        <v>0</v>
      </c>
      <c r="S14" s="126" t="n">
        <f aca="false">J14/$R$3</f>
        <v>0</v>
      </c>
      <c r="T14" s="126" t="n">
        <f aca="false">L14/$R$3</f>
        <v>0</v>
      </c>
      <c r="U14" s="126" t="n">
        <f aca="false">I14/$R$3</f>
        <v>0</v>
      </c>
      <c r="V14" s="126" t="n">
        <f aca="false">M14/$R$3</f>
        <v>0</v>
      </c>
      <c r="W14" s="126" t="n">
        <f aca="false">N14/$R$3</f>
        <v>0</v>
      </c>
    </row>
    <row r="15" customFormat="false" ht="12.75" hidden="true" customHeight="false" outlineLevel="0" collapsed="false">
      <c r="A15" s="120" t="n">
        <f aca="false">A14+1</f>
        <v>36901</v>
      </c>
      <c r="B15" s="131" t="str">
        <f aca="false">INDEX('Master Data'!$A$2:$B$8,MATCH(WEEKDAY('Plant Manager'!A15,3),'Master Data'!$A$2:$A$8,0),2)</f>
        <v>W</v>
      </c>
      <c r="D15" s="124" t="n">
        <v>0</v>
      </c>
      <c r="E15" s="124" t="n">
        <v>0</v>
      </c>
      <c r="F15" s="124" t="n">
        <v>0</v>
      </c>
      <c r="G15" s="124" t="n">
        <v>0</v>
      </c>
      <c r="I15" s="124" t="n">
        <f aca="false">IF(MONTH($A15)=MONTH($A14),IF(G15=0,I14,G15),0)</f>
        <v>0</v>
      </c>
      <c r="J15" s="124" t="n">
        <f aca="false">IF(MONTH($A15)=MONTH($A14),SUM(I15-I14),I15)</f>
        <v>0</v>
      </c>
      <c r="K15" s="124" t="n">
        <f aca="false">IF(WEEKDAY(A15,3)&gt;4,0,(IF(A15&lt;K$2,0,IF(A15&lt;=K$3,1,0))))</f>
        <v>0</v>
      </c>
      <c r="L15" s="124" t="n">
        <f aca="false">J15*K15</f>
        <v>0</v>
      </c>
      <c r="M15" s="124" t="n">
        <f aca="false">SUM(J$6:J15)</f>
        <v>0</v>
      </c>
      <c r="N15" s="124" t="n">
        <f aca="false">SUM(J$6:J15)</f>
        <v>0</v>
      </c>
      <c r="P15" s="124" t="n">
        <f aca="false">D15/P$3</f>
        <v>0</v>
      </c>
      <c r="Q15" s="124" t="n">
        <f aca="false">E15/P$3</f>
        <v>0</v>
      </c>
      <c r="R15" s="124" t="n">
        <f aca="false">F15/R$3</f>
        <v>0</v>
      </c>
      <c r="S15" s="126" t="n">
        <f aca="false">J15/$R$3</f>
        <v>0</v>
      </c>
      <c r="T15" s="126" t="n">
        <f aca="false">L15/$R$3</f>
        <v>0</v>
      </c>
      <c r="U15" s="126" t="n">
        <f aca="false">I15/$R$3</f>
        <v>0</v>
      </c>
      <c r="V15" s="126" t="n">
        <f aca="false">M15/$R$3</f>
        <v>0</v>
      </c>
      <c r="W15" s="126" t="n">
        <f aca="false">N15/$R$3</f>
        <v>0</v>
      </c>
    </row>
    <row r="16" customFormat="false" ht="12.75" hidden="true" customHeight="false" outlineLevel="0" collapsed="false">
      <c r="A16" s="120" t="n">
        <f aca="false">A15+1</f>
        <v>36902</v>
      </c>
      <c r="B16" s="131" t="str">
        <f aca="false">INDEX('Master Data'!$A$2:$B$8,MATCH(WEEKDAY('Plant Manager'!A16,3),'Master Data'!$A$2:$A$8,0),2)</f>
        <v>Th</v>
      </c>
      <c r="D16" s="124" t="n">
        <v>0</v>
      </c>
      <c r="E16" s="124" t="n">
        <v>0</v>
      </c>
      <c r="F16" s="124" t="n">
        <v>0</v>
      </c>
      <c r="G16" s="124" t="n">
        <v>0</v>
      </c>
      <c r="I16" s="124" t="n">
        <f aca="false">IF(MONTH($A16)=MONTH($A15),IF(G16=0,I15,G16),0)</f>
        <v>0</v>
      </c>
      <c r="J16" s="124" t="n">
        <f aca="false">IF(MONTH($A16)=MONTH($A15),SUM(I16-I15),I16)</f>
        <v>0</v>
      </c>
      <c r="K16" s="124" t="n">
        <f aca="false">IF(WEEKDAY(A16,3)&gt;4,0,(IF(A16&lt;K$2,0,IF(A16&lt;=K$3,1,0))))</f>
        <v>0</v>
      </c>
      <c r="L16" s="124" t="n">
        <f aca="false">J16*K16</f>
        <v>0</v>
      </c>
      <c r="M16" s="124" t="n">
        <f aca="false">SUM(J$6:J16)</f>
        <v>0</v>
      </c>
      <c r="N16" s="124" t="n">
        <f aca="false">SUM(J$6:J16)</f>
        <v>0</v>
      </c>
      <c r="P16" s="124" t="n">
        <f aca="false">D16/P$3</f>
        <v>0</v>
      </c>
      <c r="Q16" s="124" t="n">
        <f aca="false">E16/P$3</f>
        <v>0</v>
      </c>
      <c r="R16" s="124" t="n">
        <f aca="false">F16/R$3</f>
        <v>0</v>
      </c>
      <c r="S16" s="126" t="n">
        <f aca="false">J16/$R$3</f>
        <v>0</v>
      </c>
      <c r="T16" s="126" t="n">
        <f aca="false">L16/$R$3</f>
        <v>0</v>
      </c>
      <c r="U16" s="126" t="n">
        <f aca="false">I16/$R$3</f>
        <v>0</v>
      </c>
      <c r="V16" s="126" t="n">
        <f aca="false">M16/$R$3</f>
        <v>0</v>
      </c>
      <c r="W16" s="126" t="n">
        <f aca="false">N16/$R$3</f>
        <v>0</v>
      </c>
    </row>
    <row r="17" customFormat="false" ht="12.75" hidden="true" customHeight="false" outlineLevel="0" collapsed="false">
      <c r="A17" s="120" t="n">
        <f aca="false">A16+1</f>
        <v>36903</v>
      </c>
      <c r="B17" s="131" t="str">
        <f aca="false">INDEX('Master Data'!$A$2:$B$8,MATCH(WEEKDAY('Plant Manager'!A17,3),'Master Data'!$A$2:$A$8,0),2)</f>
        <v>F</v>
      </c>
      <c r="D17" s="124" t="n">
        <v>0</v>
      </c>
      <c r="E17" s="124" t="n">
        <v>0</v>
      </c>
      <c r="F17" s="124" t="n">
        <v>0</v>
      </c>
      <c r="G17" s="124" t="n">
        <v>0</v>
      </c>
      <c r="I17" s="124" t="n">
        <f aca="false">IF(MONTH($A17)=MONTH($A16),IF(G17=0,I16,G17),0)</f>
        <v>0</v>
      </c>
      <c r="J17" s="124" t="n">
        <f aca="false">IF(MONTH($A17)=MONTH($A16),SUM(I17-I16),I17)</f>
        <v>0</v>
      </c>
      <c r="K17" s="124" t="n">
        <f aca="false">IF(WEEKDAY(A17,3)&gt;4,0,(IF(A17&lt;K$2,0,IF(A17&lt;=K$3,1,0))))</f>
        <v>0</v>
      </c>
      <c r="L17" s="124" t="n">
        <f aca="false">J17*K17</f>
        <v>0</v>
      </c>
      <c r="M17" s="124" t="n">
        <f aca="false">SUM(J$6:J17)</f>
        <v>0</v>
      </c>
      <c r="N17" s="124" t="n">
        <f aca="false">SUM(J$6:J17)</f>
        <v>0</v>
      </c>
      <c r="P17" s="124" t="n">
        <f aca="false">D17/P$3</f>
        <v>0</v>
      </c>
      <c r="Q17" s="124" t="n">
        <f aca="false">E17/P$3</f>
        <v>0</v>
      </c>
      <c r="R17" s="124" t="n">
        <f aca="false">F17/R$3</f>
        <v>0</v>
      </c>
      <c r="S17" s="126" t="n">
        <f aca="false">J17/$R$3</f>
        <v>0</v>
      </c>
      <c r="T17" s="126" t="n">
        <f aca="false">L17/$R$3</f>
        <v>0</v>
      </c>
      <c r="U17" s="126" t="n">
        <f aca="false">I17/$R$3</f>
        <v>0</v>
      </c>
      <c r="V17" s="126" t="n">
        <f aca="false">M17/$R$3</f>
        <v>0</v>
      </c>
      <c r="W17" s="126" t="n">
        <f aca="false">N17/$R$3</f>
        <v>0</v>
      </c>
    </row>
    <row r="18" customFormat="false" ht="12.75" hidden="true" customHeight="false" outlineLevel="0" collapsed="false">
      <c r="A18" s="120" t="n">
        <f aca="false">A17+1</f>
        <v>36904</v>
      </c>
      <c r="B18" s="131" t="str">
        <f aca="false">INDEX('Master Data'!$A$2:$B$8,MATCH(WEEKDAY('Plant Manager'!A18,3),'Master Data'!$A$2:$A$8,0),2)</f>
        <v>Sa</v>
      </c>
      <c r="D18" s="124" t="n">
        <v>0</v>
      </c>
      <c r="E18" s="124" t="n">
        <v>0</v>
      </c>
      <c r="F18" s="124" t="n">
        <v>0</v>
      </c>
      <c r="G18" s="124" t="n">
        <v>0</v>
      </c>
      <c r="I18" s="124" t="n">
        <f aca="false">IF(MONTH($A18)=MONTH($A17),IF(G18=0,I17,G18),0)</f>
        <v>0</v>
      </c>
      <c r="J18" s="124" t="n">
        <f aca="false">IF(MONTH($A18)=MONTH($A17),SUM(I18-I17),I18)</f>
        <v>0</v>
      </c>
      <c r="K18" s="124" t="n">
        <f aca="false">IF(WEEKDAY(A18,3)&gt;4,0,(IF(A18&lt;K$2,0,IF(A18&lt;=K$3,1,0))))</f>
        <v>0</v>
      </c>
      <c r="L18" s="124" t="n">
        <f aca="false">J18*K18</f>
        <v>0</v>
      </c>
      <c r="M18" s="124" t="n">
        <f aca="false">SUM(J$6:J18)</f>
        <v>0</v>
      </c>
      <c r="N18" s="124" t="n">
        <f aca="false">SUM(J$6:J18)</f>
        <v>0</v>
      </c>
      <c r="P18" s="124" t="n">
        <f aca="false">D18/P$3</f>
        <v>0</v>
      </c>
      <c r="Q18" s="124" t="n">
        <f aca="false">E18/P$3</f>
        <v>0</v>
      </c>
      <c r="R18" s="124" t="n">
        <f aca="false">F18/R$3</f>
        <v>0</v>
      </c>
      <c r="S18" s="126" t="n">
        <f aca="false">J18/$R$3</f>
        <v>0</v>
      </c>
      <c r="T18" s="126" t="n">
        <f aca="false">L18/$R$3</f>
        <v>0</v>
      </c>
      <c r="U18" s="126" t="n">
        <f aca="false">I18/$R$3</f>
        <v>0</v>
      </c>
      <c r="V18" s="126" t="n">
        <f aca="false">M18/$R$3</f>
        <v>0</v>
      </c>
      <c r="W18" s="126" t="n">
        <f aca="false">N18/$R$3</f>
        <v>0</v>
      </c>
    </row>
    <row r="19" customFormat="false" ht="12.75" hidden="true" customHeight="false" outlineLevel="0" collapsed="false">
      <c r="A19" s="120" t="n">
        <f aca="false">A18+1</f>
        <v>36905</v>
      </c>
      <c r="B19" s="131" t="str">
        <f aca="false">INDEX('Master Data'!$A$2:$B$8,MATCH(WEEKDAY('Plant Manager'!A19,3),'Master Data'!$A$2:$A$8,0),2)</f>
        <v>Su</v>
      </c>
      <c r="D19" s="124" t="n">
        <v>0</v>
      </c>
      <c r="E19" s="124" t="n">
        <v>0</v>
      </c>
      <c r="F19" s="124" t="n">
        <v>0</v>
      </c>
      <c r="G19" s="124" t="n">
        <v>0</v>
      </c>
      <c r="I19" s="124" t="n">
        <f aca="false">IF(MONTH($A19)=MONTH($A18),IF(G19=0,I18,G19),0)</f>
        <v>0</v>
      </c>
      <c r="J19" s="124" t="n">
        <f aca="false">IF(MONTH($A19)=MONTH($A18),SUM(I19-I18),I19)</f>
        <v>0</v>
      </c>
      <c r="K19" s="124" t="n">
        <f aca="false">IF(WEEKDAY(A19,3)&gt;4,0,(IF(A19&lt;K$2,0,IF(A19&lt;=K$3,1,0))))</f>
        <v>0</v>
      </c>
      <c r="L19" s="124" t="n">
        <f aca="false">J19*K19</f>
        <v>0</v>
      </c>
      <c r="M19" s="124" t="n">
        <f aca="false">SUM(J$6:J19)</f>
        <v>0</v>
      </c>
      <c r="N19" s="124" t="n">
        <f aca="false">SUM(J$6:J19)</f>
        <v>0</v>
      </c>
      <c r="P19" s="124" t="n">
        <f aca="false">D19/P$3</f>
        <v>0</v>
      </c>
      <c r="Q19" s="124" t="n">
        <f aca="false">E19/P$3</f>
        <v>0</v>
      </c>
      <c r="R19" s="124" t="n">
        <f aca="false">F19/R$3</f>
        <v>0</v>
      </c>
      <c r="S19" s="126" t="n">
        <f aca="false">J19/$R$3</f>
        <v>0</v>
      </c>
      <c r="T19" s="126" t="n">
        <f aca="false">L19/$R$3</f>
        <v>0</v>
      </c>
      <c r="U19" s="126" t="n">
        <f aca="false">I19/$R$3</f>
        <v>0</v>
      </c>
      <c r="V19" s="126" t="n">
        <f aca="false">M19/$R$3</f>
        <v>0</v>
      </c>
      <c r="W19" s="126" t="n">
        <f aca="false">N19/$R$3</f>
        <v>0</v>
      </c>
    </row>
    <row r="20" customFormat="false" ht="12.75" hidden="true" customHeight="false" outlineLevel="0" collapsed="false">
      <c r="A20" s="120" t="n">
        <f aca="false">A19+1</f>
        <v>36906</v>
      </c>
      <c r="B20" s="131" t="str">
        <f aca="false">INDEX('Master Data'!$A$2:$B$8,MATCH(WEEKDAY('Plant Manager'!A20,3),'Master Data'!$A$2:$A$8,0),2)</f>
        <v>M</v>
      </c>
      <c r="D20" s="124" t="n">
        <v>0</v>
      </c>
      <c r="E20" s="124" t="n">
        <v>0</v>
      </c>
      <c r="F20" s="124" t="n">
        <v>0</v>
      </c>
      <c r="G20" s="124" t="n">
        <v>0</v>
      </c>
      <c r="I20" s="124" t="n">
        <f aca="false">IF(MONTH($A20)=MONTH($A19),IF(G20=0,I19,G20),0)</f>
        <v>0</v>
      </c>
      <c r="J20" s="124" t="n">
        <f aca="false">IF(MONTH($A20)=MONTH($A19),SUM(I20-I19),I20)</f>
        <v>0</v>
      </c>
      <c r="K20" s="124" t="n">
        <f aca="false">IF(WEEKDAY(A20,3)&gt;4,0,(IF(A20&lt;K$2,0,IF(A20&lt;=K$3,1,0))))</f>
        <v>0</v>
      </c>
      <c r="L20" s="124" t="n">
        <f aca="false">J20*K20</f>
        <v>0</v>
      </c>
      <c r="M20" s="124" t="n">
        <f aca="false">SUM(J$6:J20)</f>
        <v>0</v>
      </c>
      <c r="N20" s="124" t="n">
        <f aca="false">SUM(J$6:J20)</f>
        <v>0</v>
      </c>
      <c r="P20" s="124" t="n">
        <f aca="false">D20/P$3</f>
        <v>0</v>
      </c>
      <c r="Q20" s="124" t="n">
        <f aca="false">E20/P$3</f>
        <v>0</v>
      </c>
      <c r="R20" s="124" t="n">
        <f aca="false">F20/R$3</f>
        <v>0</v>
      </c>
      <c r="S20" s="126" t="n">
        <f aca="false">J20/$R$3</f>
        <v>0</v>
      </c>
      <c r="T20" s="126" t="n">
        <f aca="false">L20/$R$3</f>
        <v>0</v>
      </c>
      <c r="U20" s="126" t="n">
        <f aca="false">I20/$R$3</f>
        <v>0</v>
      </c>
      <c r="V20" s="126" t="n">
        <f aca="false">M20/$R$3</f>
        <v>0</v>
      </c>
      <c r="W20" s="126" t="n">
        <f aca="false">N20/$R$3</f>
        <v>0</v>
      </c>
    </row>
    <row r="21" customFormat="false" ht="12.75" hidden="true" customHeight="false" outlineLevel="0" collapsed="false">
      <c r="A21" s="120" t="n">
        <f aca="false">A20+1</f>
        <v>36907</v>
      </c>
      <c r="B21" s="131" t="str">
        <f aca="false">INDEX('Master Data'!$A$2:$B$8,MATCH(WEEKDAY('Plant Manager'!A21,3),'Master Data'!$A$2:$A$8,0),2)</f>
        <v>T</v>
      </c>
      <c r="D21" s="124" t="n">
        <v>0</v>
      </c>
      <c r="E21" s="124" t="n">
        <v>0</v>
      </c>
      <c r="F21" s="124" t="n">
        <v>0</v>
      </c>
      <c r="G21" s="124" t="n">
        <v>0</v>
      </c>
      <c r="I21" s="124" t="n">
        <f aca="false">IF(MONTH($A21)=MONTH($A20),IF(G21=0,I20,G21),0)</f>
        <v>0</v>
      </c>
      <c r="J21" s="124" t="n">
        <f aca="false">IF(MONTH($A21)=MONTH($A20),SUM(I21-I20),I21)</f>
        <v>0</v>
      </c>
      <c r="K21" s="124" t="n">
        <f aca="false">IF(WEEKDAY(A21,3)&gt;4,0,(IF(A21&lt;K$2,0,IF(A21&lt;=K$3,1,0))))</f>
        <v>0</v>
      </c>
      <c r="L21" s="124" t="n">
        <f aca="false">J21*K21</f>
        <v>0</v>
      </c>
      <c r="M21" s="124" t="n">
        <f aca="false">SUM(J$6:J21)</f>
        <v>0</v>
      </c>
      <c r="N21" s="124" t="n">
        <f aca="false">SUM(J$6:J21)</f>
        <v>0</v>
      </c>
      <c r="P21" s="124" t="n">
        <f aca="false">D21/P$3</f>
        <v>0</v>
      </c>
      <c r="Q21" s="124" t="n">
        <f aca="false">E21/P$3</f>
        <v>0</v>
      </c>
      <c r="R21" s="124" t="n">
        <f aca="false">F21/R$3</f>
        <v>0</v>
      </c>
      <c r="S21" s="126" t="n">
        <f aca="false">J21/$R$3</f>
        <v>0</v>
      </c>
      <c r="T21" s="126" t="n">
        <f aca="false">L21/$R$3</f>
        <v>0</v>
      </c>
      <c r="U21" s="126" t="n">
        <f aca="false">I21/$R$3</f>
        <v>0</v>
      </c>
      <c r="V21" s="126" t="n">
        <f aca="false">M21/$R$3</f>
        <v>0</v>
      </c>
      <c r="W21" s="126" t="n">
        <f aca="false">N21/$R$3</f>
        <v>0</v>
      </c>
    </row>
    <row r="22" customFormat="false" ht="12.75" hidden="true" customHeight="false" outlineLevel="0" collapsed="false">
      <c r="A22" s="120" t="n">
        <f aca="false">A21+1</f>
        <v>36908</v>
      </c>
      <c r="B22" s="131" t="str">
        <f aca="false">INDEX('Master Data'!$A$2:$B$8,MATCH(WEEKDAY('Plant Manager'!A22,3),'Master Data'!$A$2:$A$8,0),2)</f>
        <v>W</v>
      </c>
      <c r="D22" s="124" t="n">
        <v>0</v>
      </c>
      <c r="E22" s="124" t="n">
        <v>0</v>
      </c>
      <c r="F22" s="124" t="n">
        <v>0</v>
      </c>
      <c r="G22" s="124" t="n">
        <v>0</v>
      </c>
      <c r="I22" s="124" t="n">
        <f aca="false">IF(MONTH($A22)=MONTH($A21),IF(G22=0,I21,G22),0)</f>
        <v>0</v>
      </c>
      <c r="J22" s="124" t="n">
        <f aca="false">IF(MONTH($A22)=MONTH($A21),SUM(I22-I21),I22)</f>
        <v>0</v>
      </c>
      <c r="K22" s="124" t="n">
        <f aca="false">IF(WEEKDAY(A22,3)&gt;4,0,(IF(A22&lt;K$2,0,IF(A22&lt;=K$3,1,0))))</f>
        <v>0</v>
      </c>
      <c r="L22" s="124" t="n">
        <f aca="false">J22*K22</f>
        <v>0</v>
      </c>
      <c r="M22" s="124" t="n">
        <f aca="false">SUM(J$6:J22)</f>
        <v>0</v>
      </c>
      <c r="N22" s="124" t="n">
        <f aca="false">SUM(J$6:J22)</f>
        <v>0</v>
      </c>
      <c r="P22" s="124" t="n">
        <f aca="false">D22/P$3</f>
        <v>0</v>
      </c>
      <c r="Q22" s="124" t="n">
        <f aca="false">E22/P$3</f>
        <v>0</v>
      </c>
      <c r="R22" s="124" t="n">
        <f aca="false">F22/R$3</f>
        <v>0</v>
      </c>
      <c r="S22" s="126" t="n">
        <f aca="false">J22/$R$3</f>
        <v>0</v>
      </c>
      <c r="T22" s="126" t="n">
        <f aca="false">L22/$R$3</f>
        <v>0</v>
      </c>
      <c r="U22" s="126" t="n">
        <f aca="false">I22/$R$3</f>
        <v>0</v>
      </c>
      <c r="V22" s="126" t="n">
        <f aca="false">M22/$R$3</f>
        <v>0</v>
      </c>
      <c r="W22" s="126" t="n">
        <f aca="false">N22/$R$3</f>
        <v>0</v>
      </c>
    </row>
    <row r="23" customFormat="false" ht="12.75" hidden="true" customHeight="false" outlineLevel="0" collapsed="false">
      <c r="A23" s="120" t="n">
        <f aca="false">A22+1</f>
        <v>36909</v>
      </c>
      <c r="B23" s="131" t="str">
        <f aca="false">INDEX('Master Data'!$A$2:$B$8,MATCH(WEEKDAY('Plant Manager'!A23,3),'Master Data'!$A$2:$A$8,0),2)</f>
        <v>Th</v>
      </c>
      <c r="D23" s="124" t="n">
        <v>0</v>
      </c>
      <c r="E23" s="124" t="n">
        <v>0</v>
      </c>
      <c r="F23" s="124" t="n">
        <v>0</v>
      </c>
      <c r="G23" s="124" t="n">
        <v>0</v>
      </c>
      <c r="I23" s="124" t="n">
        <f aca="false">IF(MONTH($A23)=MONTH($A22),IF(G23=0,I22,G23),0)</f>
        <v>0</v>
      </c>
      <c r="J23" s="124" t="n">
        <f aca="false">IF(MONTH($A23)=MONTH($A22),SUM(I23-I22),I23)</f>
        <v>0</v>
      </c>
      <c r="K23" s="124" t="n">
        <f aca="false">IF(WEEKDAY(A23,3)&gt;4,0,(IF(A23&lt;K$2,0,IF(A23&lt;=K$3,1,0))))</f>
        <v>0</v>
      </c>
      <c r="L23" s="124" t="n">
        <f aca="false">J23*K23</f>
        <v>0</v>
      </c>
      <c r="M23" s="124" t="n">
        <f aca="false">SUM(J$6:J23)</f>
        <v>0</v>
      </c>
      <c r="N23" s="124" t="n">
        <f aca="false">SUM(J$6:J23)</f>
        <v>0</v>
      </c>
      <c r="P23" s="124" t="n">
        <f aca="false">D23/P$3</f>
        <v>0</v>
      </c>
      <c r="Q23" s="124" t="n">
        <f aca="false">E23/P$3</f>
        <v>0</v>
      </c>
      <c r="R23" s="124" t="n">
        <f aca="false">F23/R$3</f>
        <v>0</v>
      </c>
      <c r="S23" s="126" t="n">
        <f aca="false">J23/$R$3</f>
        <v>0</v>
      </c>
      <c r="T23" s="126" t="n">
        <f aca="false">L23/$R$3</f>
        <v>0</v>
      </c>
      <c r="U23" s="126" t="n">
        <f aca="false">I23/$R$3</f>
        <v>0</v>
      </c>
      <c r="V23" s="126" t="n">
        <f aca="false">M23/$R$3</f>
        <v>0</v>
      </c>
      <c r="W23" s="126" t="n">
        <f aca="false">N23/$R$3</f>
        <v>0</v>
      </c>
    </row>
    <row r="24" customFormat="false" ht="12.75" hidden="true" customHeight="false" outlineLevel="0" collapsed="false">
      <c r="A24" s="120" t="n">
        <f aca="false">A23+1</f>
        <v>36910</v>
      </c>
      <c r="B24" s="131" t="str">
        <f aca="false">INDEX('Master Data'!$A$2:$B$8,MATCH(WEEKDAY('Plant Manager'!A24,3),'Master Data'!$A$2:$A$8,0),2)</f>
        <v>F</v>
      </c>
      <c r="D24" s="124" t="n">
        <v>0</v>
      </c>
      <c r="E24" s="124" t="n">
        <v>0</v>
      </c>
      <c r="F24" s="124" t="n">
        <v>0</v>
      </c>
      <c r="G24" s="124" t="n">
        <v>0</v>
      </c>
      <c r="I24" s="124" t="n">
        <f aca="false">IF(MONTH($A24)=MONTH($A23),IF(G24=0,I23,G24),0)</f>
        <v>0</v>
      </c>
      <c r="J24" s="124" t="n">
        <f aca="false">IF(MONTH($A24)=MONTH($A23),SUM(I24-I23),I24)</f>
        <v>0</v>
      </c>
      <c r="K24" s="124" t="n">
        <f aca="false">IF(WEEKDAY(A24,3)&gt;4,0,(IF(A24&lt;K$2,0,IF(A24&lt;=K$3,1,0))))</f>
        <v>0</v>
      </c>
      <c r="L24" s="124" t="n">
        <f aca="false">J24*K24</f>
        <v>0</v>
      </c>
      <c r="M24" s="124" t="n">
        <f aca="false">SUM(J$6:J24)</f>
        <v>0</v>
      </c>
      <c r="N24" s="124" t="n">
        <f aca="false">SUM(J$6:J24)</f>
        <v>0</v>
      </c>
      <c r="P24" s="124" t="n">
        <f aca="false">D24/P$3</f>
        <v>0</v>
      </c>
      <c r="Q24" s="124" t="n">
        <f aca="false">E24/P$3</f>
        <v>0</v>
      </c>
      <c r="R24" s="124" t="n">
        <f aca="false">F24/R$3</f>
        <v>0</v>
      </c>
      <c r="S24" s="126" t="n">
        <f aca="false">J24/$R$3</f>
        <v>0</v>
      </c>
      <c r="T24" s="126" t="n">
        <f aca="false">L24/$R$3</f>
        <v>0</v>
      </c>
      <c r="U24" s="126" t="n">
        <f aca="false">I24/$R$3</f>
        <v>0</v>
      </c>
      <c r="V24" s="126" t="n">
        <f aca="false">M24/$R$3</f>
        <v>0</v>
      </c>
      <c r="W24" s="126" t="n">
        <f aca="false">N24/$R$3</f>
        <v>0</v>
      </c>
    </row>
    <row r="25" customFormat="false" ht="12.75" hidden="true" customHeight="false" outlineLevel="0" collapsed="false">
      <c r="A25" s="120" t="n">
        <f aca="false">A24+1</f>
        <v>36911</v>
      </c>
      <c r="B25" s="131" t="str">
        <f aca="false">INDEX('Master Data'!$A$2:$B$8,MATCH(WEEKDAY('Plant Manager'!A25,3),'Master Data'!$A$2:$A$8,0),2)</f>
        <v>Sa</v>
      </c>
      <c r="D25" s="124" t="n">
        <v>0</v>
      </c>
      <c r="E25" s="124" t="n">
        <v>0</v>
      </c>
      <c r="F25" s="124" t="n">
        <v>0</v>
      </c>
      <c r="G25" s="124" t="n">
        <v>0</v>
      </c>
      <c r="I25" s="124" t="n">
        <f aca="false">IF(MONTH($A25)=MONTH($A24),IF(G25=0,I24,G25),0)</f>
        <v>0</v>
      </c>
      <c r="J25" s="124" t="n">
        <f aca="false">IF(MONTH($A25)=MONTH($A24),SUM(I25-I24),I25)</f>
        <v>0</v>
      </c>
      <c r="K25" s="124" t="n">
        <f aca="false">IF(WEEKDAY(A25,3)&gt;4,0,(IF(A25&lt;K$2,0,IF(A25&lt;=K$3,1,0))))</f>
        <v>0</v>
      </c>
      <c r="L25" s="124" t="n">
        <f aca="false">J25*K25</f>
        <v>0</v>
      </c>
      <c r="M25" s="124" t="n">
        <f aca="false">SUM(J$6:J25)</f>
        <v>0</v>
      </c>
      <c r="N25" s="124" t="n">
        <f aca="false">SUM(J$6:J25)</f>
        <v>0</v>
      </c>
      <c r="P25" s="124" t="n">
        <f aca="false">D25/P$3</f>
        <v>0</v>
      </c>
      <c r="Q25" s="124" t="n">
        <f aca="false">E25/P$3</f>
        <v>0</v>
      </c>
      <c r="R25" s="124" t="n">
        <f aca="false">F25/R$3</f>
        <v>0</v>
      </c>
      <c r="S25" s="126" t="n">
        <f aca="false">J25/$R$3</f>
        <v>0</v>
      </c>
      <c r="T25" s="126" t="n">
        <f aca="false">L25/$R$3</f>
        <v>0</v>
      </c>
      <c r="U25" s="126" t="n">
        <f aca="false">I25/$R$3</f>
        <v>0</v>
      </c>
      <c r="V25" s="126" t="n">
        <f aca="false">M25/$R$3</f>
        <v>0</v>
      </c>
      <c r="W25" s="126" t="n">
        <f aca="false">N25/$R$3</f>
        <v>0</v>
      </c>
    </row>
    <row r="26" customFormat="false" ht="12.75" hidden="true" customHeight="false" outlineLevel="0" collapsed="false">
      <c r="A26" s="120" t="n">
        <f aca="false">A25+1</f>
        <v>36912</v>
      </c>
      <c r="B26" s="131" t="str">
        <f aca="false">INDEX('Master Data'!$A$2:$B$8,MATCH(WEEKDAY('Plant Manager'!A26,3),'Master Data'!$A$2:$A$8,0),2)</f>
        <v>Su</v>
      </c>
      <c r="D26" s="124" t="n">
        <v>0</v>
      </c>
      <c r="E26" s="124" t="n">
        <v>0</v>
      </c>
      <c r="F26" s="124" t="n">
        <v>0</v>
      </c>
      <c r="G26" s="124" t="n">
        <v>0</v>
      </c>
      <c r="I26" s="124" t="n">
        <f aca="false">IF(MONTH($A26)=MONTH($A25),IF(G26=0,I25,G26),0)</f>
        <v>0</v>
      </c>
      <c r="J26" s="124" t="n">
        <f aca="false">IF(MONTH($A26)=MONTH($A25),SUM(I26-I25),I26)</f>
        <v>0</v>
      </c>
      <c r="K26" s="124" t="n">
        <f aca="false">IF(WEEKDAY(A26,3)&gt;4,0,(IF(A26&lt;K$2,0,IF(A26&lt;=K$3,1,0))))</f>
        <v>0</v>
      </c>
      <c r="L26" s="124" t="n">
        <f aca="false">J26*K26</f>
        <v>0</v>
      </c>
      <c r="M26" s="124" t="n">
        <f aca="false">SUM(J$6:J26)</f>
        <v>0</v>
      </c>
      <c r="N26" s="124" t="n">
        <f aca="false">SUM(J$6:J26)</f>
        <v>0</v>
      </c>
      <c r="P26" s="124" t="n">
        <f aca="false">D26/P$3</f>
        <v>0</v>
      </c>
      <c r="Q26" s="124" t="n">
        <f aca="false">E26/P$3</f>
        <v>0</v>
      </c>
      <c r="R26" s="124" t="n">
        <f aca="false">F26/R$3</f>
        <v>0</v>
      </c>
      <c r="S26" s="126" t="n">
        <f aca="false">J26/$R$3</f>
        <v>0</v>
      </c>
      <c r="T26" s="126" t="n">
        <f aca="false">L26/$R$3</f>
        <v>0</v>
      </c>
      <c r="U26" s="126" t="n">
        <f aca="false">I26/$R$3</f>
        <v>0</v>
      </c>
      <c r="V26" s="126" t="n">
        <f aca="false">M26/$R$3</f>
        <v>0</v>
      </c>
      <c r="W26" s="126" t="n">
        <f aca="false">N26/$R$3</f>
        <v>0</v>
      </c>
    </row>
    <row r="27" customFormat="false" ht="12.75" hidden="true" customHeight="false" outlineLevel="0" collapsed="false">
      <c r="A27" s="120" t="n">
        <f aca="false">A26+1</f>
        <v>36913</v>
      </c>
      <c r="B27" s="131" t="str">
        <f aca="false">INDEX('Master Data'!$A$2:$B$8,MATCH(WEEKDAY('Plant Manager'!A27,3),'Master Data'!$A$2:$A$8,0),2)</f>
        <v>M</v>
      </c>
      <c r="D27" s="124" t="n">
        <v>0</v>
      </c>
      <c r="E27" s="124" t="n">
        <v>0</v>
      </c>
      <c r="F27" s="124" t="n">
        <v>0</v>
      </c>
      <c r="G27" s="124" t="n">
        <v>0</v>
      </c>
      <c r="I27" s="124" t="n">
        <f aca="false">IF(MONTH($A27)=MONTH($A26),IF(G27=0,I26,G27),0)</f>
        <v>0</v>
      </c>
      <c r="J27" s="124" t="n">
        <f aca="false">IF(MONTH($A27)=MONTH($A26),SUM(I27-I26),I27)</f>
        <v>0</v>
      </c>
      <c r="K27" s="124" t="n">
        <f aca="false">IF(WEEKDAY(A27,3)&gt;4,0,(IF(A27&lt;K$2,0,IF(A27&lt;=K$3,1,0))))</f>
        <v>0</v>
      </c>
      <c r="L27" s="124" t="n">
        <f aca="false">J27*K27</f>
        <v>0</v>
      </c>
      <c r="M27" s="124" t="n">
        <f aca="false">SUM(J$6:J27)</f>
        <v>0</v>
      </c>
      <c r="N27" s="124" t="n">
        <f aca="false">SUM(J$6:J27)</f>
        <v>0</v>
      </c>
      <c r="P27" s="124" t="n">
        <f aca="false">D27/P$3</f>
        <v>0</v>
      </c>
      <c r="Q27" s="124" t="n">
        <f aca="false">E27/P$3</f>
        <v>0</v>
      </c>
      <c r="R27" s="124" t="n">
        <f aca="false">F27/R$3</f>
        <v>0</v>
      </c>
      <c r="S27" s="126" t="n">
        <f aca="false">J27/$R$3</f>
        <v>0</v>
      </c>
      <c r="T27" s="126" t="n">
        <f aca="false">L27/$R$3</f>
        <v>0</v>
      </c>
      <c r="U27" s="126" t="n">
        <f aca="false">I27/$R$3</f>
        <v>0</v>
      </c>
      <c r="V27" s="126" t="n">
        <f aca="false">M27/$R$3</f>
        <v>0</v>
      </c>
      <c r="W27" s="126" t="n">
        <f aca="false">N27/$R$3</f>
        <v>0</v>
      </c>
    </row>
    <row r="28" customFormat="false" ht="12.75" hidden="true" customHeight="false" outlineLevel="0" collapsed="false">
      <c r="A28" s="120" t="n">
        <f aca="false">A27+1</f>
        <v>36914</v>
      </c>
      <c r="B28" s="131" t="str">
        <f aca="false">INDEX('Master Data'!$A$2:$B$8,MATCH(WEEKDAY('Plant Manager'!A28,3),'Master Data'!$A$2:$A$8,0),2)</f>
        <v>T</v>
      </c>
      <c r="D28" s="124" t="n">
        <v>0</v>
      </c>
      <c r="E28" s="124" t="n">
        <v>0</v>
      </c>
      <c r="F28" s="124" t="n">
        <v>0</v>
      </c>
      <c r="G28" s="124" t="n">
        <v>0</v>
      </c>
      <c r="I28" s="124" t="n">
        <f aca="false">IF(MONTH($A28)=MONTH($A27),IF(G28=0,I27,G28),0)</f>
        <v>0</v>
      </c>
      <c r="J28" s="124" t="n">
        <f aca="false">IF(MONTH($A28)=MONTH($A27),SUM(I28-I27),I28)</f>
        <v>0</v>
      </c>
      <c r="K28" s="124" t="n">
        <f aca="false">IF(WEEKDAY(A28,3)&gt;4,0,(IF(A28&lt;K$2,0,IF(A28&lt;=K$3,1,0))))</f>
        <v>0</v>
      </c>
      <c r="L28" s="124" t="n">
        <f aca="false">J28*K28</f>
        <v>0</v>
      </c>
      <c r="M28" s="124" t="n">
        <f aca="false">SUM(J$6:J28)</f>
        <v>0</v>
      </c>
      <c r="N28" s="124" t="n">
        <f aca="false">SUM(J$6:J28)</f>
        <v>0</v>
      </c>
      <c r="P28" s="124" t="n">
        <f aca="false">D28/P$3</f>
        <v>0</v>
      </c>
      <c r="Q28" s="124" t="n">
        <f aca="false">E28/P$3</f>
        <v>0</v>
      </c>
      <c r="R28" s="124" t="n">
        <f aca="false">F28/R$3</f>
        <v>0</v>
      </c>
      <c r="S28" s="126" t="n">
        <f aca="false">J28/$R$3</f>
        <v>0</v>
      </c>
      <c r="T28" s="126" t="n">
        <f aca="false">L28/$R$3</f>
        <v>0</v>
      </c>
      <c r="U28" s="126" t="n">
        <f aca="false">I28/$R$3</f>
        <v>0</v>
      </c>
      <c r="V28" s="126" t="n">
        <f aca="false">M28/$R$3</f>
        <v>0</v>
      </c>
      <c r="W28" s="126" t="n">
        <f aca="false">N28/$R$3</f>
        <v>0</v>
      </c>
    </row>
    <row r="29" customFormat="false" ht="12.75" hidden="true" customHeight="false" outlineLevel="0" collapsed="false">
      <c r="A29" s="120" t="n">
        <f aca="false">A28+1</f>
        <v>36915</v>
      </c>
      <c r="B29" s="131" t="str">
        <f aca="false">INDEX('Master Data'!$A$2:$B$8,MATCH(WEEKDAY('Plant Manager'!A29,3),'Master Data'!$A$2:$A$8,0),2)</f>
        <v>W</v>
      </c>
      <c r="D29" s="124" t="n">
        <v>0</v>
      </c>
      <c r="E29" s="124" t="n">
        <v>0</v>
      </c>
      <c r="F29" s="124" t="n">
        <v>0</v>
      </c>
      <c r="G29" s="124" t="n">
        <v>0</v>
      </c>
      <c r="I29" s="124" t="n">
        <f aca="false">IF(MONTH($A29)=MONTH($A28),IF(G29=0,I28,G29),0)</f>
        <v>0</v>
      </c>
      <c r="J29" s="124" t="n">
        <f aca="false">IF(MONTH($A29)=MONTH($A28),SUM(I29-I28),I29)</f>
        <v>0</v>
      </c>
      <c r="K29" s="124" t="n">
        <f aca="false">IF(WEEKDAY(A29,3)&gt;4,0,(IF(A29&lt;K$2,0,IF(A29&lt;=K$3,1,0))))</f>
        <v>0</v>
      </c>
      <c r="L29" s="124" t="n">
        <f aca="false">J29*K29</f>
        <v>0</v>
      </c>
      <c r="M29" s="124" t="n">
        <f aca="false">SUM(J$6:J29)</f>
        <v>0</v>
      </c>
      <c r="N29" s="124" t="n">
        <f aca="false">SUM(J$6:J29)</f>
        <v>0</v>
      </c>
      <c r="P29" s="124" t="n">
        <f aca="false">D29/P$3</f>
        <v>0</v>
      </c>
      <c r="Q29" s="124" t="n">
        <f aca="false">E29/P$3</f>
        <v>0</v>
      </c>
      <c r="R29" s="124" t="n">
        <f aca="false">F29/R$3</f>
        <v>0</v>
      </c>
      <c r="S29" s="126" t="n">
        <f aca="false">J29/$R$3</f>
        <v>0</v>
      </c>
      <c r="T29" s="126" t="n">
        <f aca="false">L29/$R$3</f>
        <v>0</v>
      </c>
      <c r="U29" s="126" t="n">
        <f aca="false">I29/$R$3</f>
        <v>0</v>
      </c>
      <c r="V29" s="126" t="n">
        <f aca="false">M29/$R$3</f>
        <v>0</v>
      </c>
      <c r="W29" s="126" t="n">
        <f aca="false">N29/$R$3</f>
        <v>0</v>
      </c>
    </row>
    <row r="30" customFormat="false" ht="12.75" hidden="true" customHeight="false" outlineLevel="0" collapsed="false">
      <c r="A30" s="120" t="n">
        <f aca="false">A29+1</f>
        <v>36916</v>
      </c>
      <c r="B30" s="131" t="str">
        <f aca="false">INDEX('Master Data'!$A$2:$B$8,MATCH(WEEKDAY('Plant Manager'!A30,3),'Master Data'!$A$2:$A$8,0),2)</f>
        <v>Th</v>
      </c>
      <c r="D30" s="124" t="n">
        <v>0</v>
      </c>
      <c r="E30" s="124" t="n">
        <v>0</v>
      </c>
      <c r="F30" s="124" t="n">
        <v>0</v>
      </c>
      <c r="G30" s="124" t="n">
        <v>0</v>
      </c>
      <c r="I30" s="124" t="n">
        <f aca="false">IF(MONTH($A30)=MONTH($A29),IF(G30=0,I29,G30),0)</f>
        <v>0</v>
      </c>
      <c r="J30" s="124" t="n">
        <f aca="false">IF(MONTH($A30)=MONTH($A29),SUM(I30-I29),I30)</f>
        <v>0</v>
      </c>
      <c r="K30" s="124" t="n">
        <f aca="false">IF(WEEKDAY(A30,3)&gt;4,0,(IF(A30&lt;K$2,0,IF(A30&lt;=K$3,1,0))))</f>
        <v>0</v>
      </c>
      <c r="L30" s="124" t="n">
        <f aca="false">J30*K30</f>
        <v>0</v>
      </c>
      <c r="M30" s="124" t="n">
        <f aca="false">SUM(J$6:J30)</f>
        <v>0</v>
      </c>
      <c r="N30" s="124" t="n">
        <f aca="false">SUM(J$6:J30)</f>
        <v>0</v>
      </c>
      <c r="P30" s="124" t="n">
        <f aca="false">D30/P$3</f>
        <v>0</v>
      </c>
      <c r="Q30" s="124" t="n">
        <f aca="false">E30/P$3</f>
        <v>0</v>
      </c>
      <c r="R30" s="124" t="n">
        <f aca="false">F30/R$3</f>
        <v>0</v>
      </c>
      <c r="S30" s="126" t="n">
        <f aca="false">J30/$R$3</f>
        <v>0</v>
      </c>
      <c r="T30" s="126" t="n">
        <f aca="false">L30/$R$3</f>
        <v>0</v>
      </c>
      <c r="U30" s="126" t="n">
        <f aca="false">I30/$R$3</f>
        <v>0</v>
      </c>
      <c r="V30" s="126" t="n">
        <f aca="false">M30/$R$3</f>
        <v>0</v>
      </c>
      <c r="W30" s="126" t="n">
        <f aca="false">N30/$R$3</f>
        <v>0</v>
      </c>
    </row>
    <row r="31" customFormat="false" ht="12.75" hidden="true" customHeight="false" outlineLevel="0" collapsed="false">
      <c r="A31" s="120" t="n">
        <f aca="false">A30+1</f>
        <v>36917</v>
      </c>
      <c r="B31" s="131" t="str">
        <f aca="false">INDEX('Master Data'!$A$2:$B$8,MATCH(WEEKDAY('Plant Manager'!A31,3),'Master Data'!$A$2:$A$8,0),2)</f>
        <v>F</v>
      </c>
      <c r="D31" s="124" t="n">
        <v>0</v>
      </c>
      <c r="E31" s="124" t="n">
        <v>0</v>
      </c>
      <c r="F31" s="124" t="n">
        <v>0</v>
      </c>
      <c r="G31" s="124" t="n">
        <v>0</v>
      </c>
      <c r="I31" s="124" t="n">
        <f aca="false">IF(MONTH($A31)=MONTH($A30),IF(G31=0,I30,G31),0)</f>
        <v>0</v>
      </c>
      <c r="J31" s="124" t="n">
        <f aca="false">IF(MONTH($A31)=MONTH($A30),SUM(I31-I30),I31)</f>
        <v>0</v>
      </c>
      <c r="K31" s="124" t="n">
        <f aca="false">IF(WEEKDAY(A31,3)&gt;4,0,(IF(A31&lt;K$2,0,IF(A31&lt;=K$3,1,0))))</f>
        <v>0</v>
      </c>
      <c r="L31" s="124" t="n">
        <f aca="false">J31*K31</f>
        <v>0</v>
      </c>
      <c r="M31" s="124" t="n">
        <f aca="false">SUM(J$6:J31)</f>
        <v>0</v>
      </c>
      <c r="N31" s="124" t="n">
        <f aca="false">SUM(J$6:J31)</f>
        <v>0</v>
      </c>
      <c r="P31" s="124" t="n">
        <f aca="false">D31/P$3</f>
        <v>0</v>
      </c>
      <c r="Q31" s="124" t="n">
        <f aca="false">E31/P$3</f>
        <v>0</v>
      </c>
      <c r="R31" s="124" t="n">
        <f aca="false">F31/R$3</f>
        <v>0</v>
      </c>
      <c r="S31" s="126" t="n">
        <f aca="false">J31/$R$3</f>
        <v>0</v>
      </c>
      <c r="T31" s="126" t="n">
        <f aca="false">L31/$R$3</f>
        <v>0</v>
      </c>
      <c r="U31" s="126" t="n">
        <f aca="false">I31/$R$3</f>
        <v>0</v>
      </c>
      <c r="V31" s="126" t="n">
        <f aca="false">M31/$R$3</f>
        <v>0</v>
      </c>
      <c r="W31" s="126" t="n">
        <f aca="false">N31/$R$3</f>
        <v>0</v>
      </c>
    </row>
    <row r="32" customFormat="false" ht="12.75" hidden="true" customHeight="false" outlineLevel="0" collapsed="false">
      <c r="A32" s="120" t="n">
        <f aca="false">A31+1</f>
        <v>36918</v>
      </c>
      <c r="B32" s="131" t="str">
        <f aca="false">INDEX('Master Data'!$A$2:$B$8,MATCH(WEEKDAY('Plant Manager'!A32,3),'Master Data'!$A$2:$A$8,0),2)</f>
        <v>Sa</v>
      </c>
      <c r="D32" s="124" t="n">
        <v>0</v>
      </c>
      <c r="E32" s="124" t="n">
        <v>0</v>
      </c>
      <c r="F32" s="124" t="n">
        <v>0</v>
      </c>
      <c r="G32" s="124" t="n">
        <v>0</v>
      </c>
      <c r="I32" s="124" t="n">
        <f aca="false">IF(MONTH($A32)=MONTH($A31),IF(G32=0,I31,G32),0)</f>
        <v>0</v>
      </c>
      <c r="J32" s="124" t="n">
        <f aca="false">IF(MONTH($A32)=MONTH($A31),SUM(I32-I31),I32)</f>
        <v>0</v>
      </c>
      <c r="K32" s="124" t="n">
        <f aca="false">IF(WEEKDAY(A32,3)&gt;4,0,(IF(A32&lt;K$2,0,IF(A32&lt;=K$3,1,0))))</f>
        <v>0</v>
      </c>
      <c r="L32" s="124" t="n">
        <f aca="false">J32*K32</f>
        <v>0</v>
      </c>
      <c r="M32" s="124" t="n">
        <f aca="false">SUM(J$6:J32)</f>
        <v>0</v>
      </c>
      <c r="N32" s="124" t="n">
        <f aca="false">SUM(J$6:J32)</f>
        <v>0</v>
      </c>
      <c r="P32" s="124" t="n">
        <f aca="false">D32/P$3</f>
        <v>0</v>
      </c>
      <c r="Q32" s="124" t="n">
        <f aca="false">E32/P$3</f>
        <v>0</v>
      </c>
      <c r="R32" s="124" t="n">
        <f aca="false">F32/R$3</f>
        <v>0</v>
      </c>
      <c r="S32" s="126" t="n">
        <f aca="false">J32/$R$3</f>
        <v>0</v>
      </c>
      <c r="T32" s="126" t="n">
        <f aca="false">L32/$R$3</f>
        <v>0</v>
      </c>
      <c r="U32" s="126" t="n">
        <f aca="false">I32/$R$3</f>
        <v>0</v>
      </c>
      <c r="V32" s="126" t="n">
        <f aca="false">M32/$R$3</f>
        <v>0</v>
      </c>
      <c r="W32" s="126" t="n">
        <f aca="false">N32/$R$3</f>
        <v>0</v>
      </c>
    </row>
    <row r="33" customFormat="false" ht="12.75" hidden="true" customHeight="false" outlineLevel="0" collapsed="false">
      <c r="A33" s="120" t="n">
        <f aca="false">A32+1</f>
        <v>36919</v>
      </c>
      <c r="B33" s="131" t="str">
        <f aca="false">INDEX('Master Data'!$A$2:$B$8,MATCH(WEEKDAY('Plant Manager'!A33,3),'Master Data'!$A$2:$A$8,0),2)</f>
        <v>Su</v>
      </c>
      <c r="D33" s="124" t="n">
        <v>0</v>
      </c>
      <c r="E33" s="124" t="n">
        <v>0</v>
      </c>
      <c r="F33" s="124" t="n">
        <v>0</v>
      </c>
      <c r="G33" s="124" t="n">
        <v>0</v>
      </c>
      <c r="I33" s="124" t="n">
        <f aca="false">IF(MONTH($A33)=MONTH($A32),IF(G33=0,I32,G33),0)</f>
        <v>0</v>
      </c>
      <c r="J33" s="124" t="n">
        <f aca="false">IF(MONTH($A33)=MONTH($A32),SUM(I33-I32),I33)</f>
        <v>0</v>
      </c>
      <c r="K33" s="124" t="n">
        <f aca="false">IF(WEEKDAY(A33,3)&gt;4,0,(IF(A33&lt;K$2,0,IF(A33&lt;=K$3,1,0))))</f>
        <v>0</v>
      </c>
      <c r="L33" s="124" t="n">
        <f aca="false">J33*K33</f>
        <v>0</v>
      </c>
      <c r="M33" s="124" t="n">
        <f aca="false">SUM(J$6:J33)</f>
        <v>0</v>
      </c>
      <c r="N33" s="124" t="n">
        <f aca="false">SUM(J$6:J33)</f>
        <v>0</v>
      </c>
      <c r="P33" s="124" t="n">
        <f aca="false">D33/P$3</f>
        <v>0</v>
      </c>
      <c r="Q33" s="124" t="n">
        <f aca="false">E33/P$3</f>
        <v>0</v>
      </c>
      <c r="R33" s="124" t="n">
        <f aca="false">F33/R$3</f>
        <v>0</v>
      </c>
      <c r="S33" s="126" t="n">
        <f aca="false">J33/$R$3</f>
        <v>0</v>
      </c>
      <c r="T33" s="126" t="n">
        <f aca="false">L33/$R$3</f>
        <v>0</v>
      </c>
      <c r="U33" s="126" t="n">
        <f aca="false">I33/$R$3</f>
        <v>0</v>
      </c>
      <c r="V33" s="126" t="n">
        <f aca="false">M33/$R$3</f>
        <v>0</v>
      </c>
      <c r="W33" s="126" t="n">
        <f aca="false">N33/$R$3</f>
        <v>0</v>
      </c>
    </row>
    <row r="34" customFormat="false" ht="12.75" hidden="true" customHeight="false" outlineLevel="0" collapsed="false">
      <c r="A34" s="120" t="n">
        <f aca="false">A33+1</f>
        <v>36920</v>
      </c>
      <c r="B34" s="131" t="str">
        <f aca="false">INDEX('Master Data'!$A$2:$B$8,MATCH(WEEKDAY('Plant Manager'!A34,3),'Master Data'!$A$2:$A$8,0),2)</f>
        <v>M</v>
      </c>
      <c r="D34" s="124" t="n">
        <v>0</v>
      </c>
      <c r="E34" s="124" t="n">
        <v>0</v>
      </c>
      <c r="F34" s="124" t="n">
        <v>0</v>
      </c>
      <c r="G34" s="124" t="n">
        <v>0</v>
      </c>
      <c r="I34" s="124" t="n">
        <f aca="false">IF(MONTH($A34)=MONTH($A33),IF(G34=0,I33,G34),0)</f>
        <v>0</v>
      </c>
      <c r="J34" s="124" t="n">
        <f aca="false">IF(MONTH($A34)=MONTH($A33),SUM(I34-I33),I34)</f>
        <v>0</v>
      </c>
      <c r="K34" s="124" t="n">
        <f aca="false">IF(WEEKDAY(A34,3)&gt;4,0,(IF(A34&lt;K$2,0,IF(A34&lt;=K$3,1,0))))</f>
        <v>0</v>
      </c>
      <c r="L34" s="124" t="n">
        <f aca="false">J34*K34</f>
        <v>0</v>
      </c>
      <c r="M34" s="124" t="n">
        <f aca="false">SUM(J$6:J34)</f>
        <v>0</v>
      </c>
      <c r="N34" s="124" t="n">
        <f aca="false">SUM(J$6:J34)</f>
        <v>0</v>
      </c>
      <c r="P34" s="124" t="n">
        <f aca="false">D34/P$3</f>
        <v>0</v>
      </c>
      <c r="Q34" s="124" t="n">
        <f aca="false">E34/P$3</f>
        <v>0</v>
      </c>
      <c r="R34" s="124" t="n">
        <f aca="false">F34/R$3</f>
        <v>0</v>
      </c>
      <c r="S34" s="126" t="n">
        <f aca="false">J34/$R$3</f>
        <v>0</v>
      </c>
      <c r="T34" s="126" t="n">
        <f aca="false">L34/$R$3</f>
        <v>0</v>
      </c>
      <c r="U34" s="126" t="n">
        <f aca="false">I34/$R$3</f>
        <v>0</v>
      </c>
      <c r="V34" s="126" t="n">
        <f aca="false">M34/$R$3</f>
        <v>0</v>
      </c>
      <c r="W34" s="126" t="n">
        <f aca="false">N34/$R$3</f>
        <v>0</v>
      </c>
    </row>
    <row r="35" customFormat="false" ht="12.75" hidden="true" customHeight="false" outlineLevel="0" collapsed="false">
      <c r="A35" s="120" t="n">
        <f aca="false">A34+1</f>
        <v>36921</v>
      </c>
      <c r="B35" s="131" t="str">
        <f aca="false">INDEX('Master Data'!$A$2:$B$8,MATCH(WEEKDAY('Plant Manager'!A35,3),'Master Data'!$A$2:$A$8,0),2)</f>
        <v>T</v>
      </c>
      <c r="D35" s="124" t="n">
        <v>0</v>
      </c>
      <c r="E35" s="124" t="n">
        <v>0</v>
      </c>
      <c r="F35" s="124" t="n">
        <v>0</v>
      </c>
      <c r="G35" s="124" t="n">
        <v>0</v>
      </c>
      <c r="I35" s="124" t="n">
        <f aca="false">IF(MONTH($A35)=MONTH($A34),IF(G35=0,I34,G35),0)</f>
        <v>0</v>
      </c>
      <c r="J35" s="124" t="n">
        <f aca="false">IF(MONTH($A35)=MONTH($A34),SUM(I35-I34),I35)</f>
        <v>0</v>
      </c>
      <c r="K35" s="124" t="n">
        <f aca="false">IF(WEEKDAY(A35,3)&gt;4,0,(IF(A35&lt;K$2,0,IF(A35&lt;=K$3,1,0))))</f>
        <v>0</v>
      </c>
      <c r="L35" s="124" t="n">
        <f aca="false">J35*K35</f>
        <v>0</v>
      </c>
      <c r="M35" s="124" t="n">
        <f aca="false">SUM(J$6:J35)</f>
        <v>0</v>
      </c>
      <c r="N35" s="124" t="n">
        <f aca="false">SUM(J$6:J35)</f>
        <v>0</v>
      </c>
      <c r="P35" s="124" t="n">
        <f aca="false">D35/P$3</f>
        <v>0</v>
      </c>
      <c r="Q35" s="124" t="n">
        <f aca="false">E35/P$3</f>
        <v>0</v>
      </c>
      <c r="R35" s="124" t="n">
        <f aca="false">F35/R$3</f>
        <v>0</v>
      </c>
      <c r="S35" s="126" t="n">
        <f aca="false">J35/$R$3</f>
        <v>0</v>
      </c>
      <c r="T35" s="126" t="n">
        <f aca="false">L35/$R$3</f>
        <v>0</v>
      </c>
      <c r="U35" s="126" t="n">
        <f aca="false">I35/$R$3</f>
        <v>0</v>
      </c>
      <c r="V35" s="126" t="n">
        <f aca="false">M35/$R$3</f>
        <v>0</v>
      </c>
      <c r="W35" s="126" t="n">
        <f aca="false">N35/$R$3</f>
        <v>0</v>
      </c>
    </row>
    <row r="36" customFormat="false" ht="12.75" hidden="false" customHeight="false" outlineLevel="0" collapsed="false">
      <c r="A36" s="120" t="n">
        <f aca="false">A35+1</f>
        <v>36922</v>
      </c>
      <c r="B36" s="131" t="str">
        <f aca="false">INDEX('Master Data'!$A$2:$B$8,MATCH(WEEKDAY('Plant Manager'!A36,3),'Master Data'!$A$2:$A$8,0),2)</f>
        <v>W</v>
      </c>
      <c r="D36" s="124" t="n">
        <v>0</v>
      </c>
      <c r="E36" s="124" t="n">
        <v>0</v>
      </c>
      <c r="F36" s="124" t="n">
        <v>0</v>
      </c>
      <c r="G36" s="124" t="n">
        <v>0</v>
      </c>
      <c r="I36" s="124" t="n">
        <f aca="false">IF(MONTH($A36)=MONTH($A35),IF(G36=0,I35,G36),0)</f>
        <v>0</v>
      </c>
      <c r="J36" s="124" t="n">
        <f aca="false">IF(MONTH($A36)=MONTH($A35),SUM(I36-I35),I36)</f>
        <v>0</v>
      </c>
      <c r="K36" s="124" t="n">
        <f aca="false">IF(WEEKDAY(A36,3)&gt;4,0,(IF(A36&lt;K$2,0,IF(A36&lt;=K$3,1,0))))</f>
        <v>0</v>
      </c>
      <c r="L36" s="124" t="n">
        <f aca="false">J36*K36</f>
        <v>0</v>
      </c>
      <c r="M36" s="124" t="n">
        <f aca="false">SUM(J$6:J36)</f>
        <v>0</v>
      </c>
      <c r="N36" s="124" t="n">
        <f aca="false">SUM(J$6:J36)</f>
        <v>0</v>
      </c>
      <c r="P36" s="124" t="n">
        <f aca="false">D36/P$3</f>
        <v>0</v>
      </c>
      <c r="Q36" s="124" t="n">
        <f aca="false">E36/P$3</f>
        <v>0</v>
      </c>
      <c r="R36" s="124" t="n">
        <f aca="false">F36/R$3</f>
        <v>0</v>
      </c>
      <c r="S36" s="126" t="n">
        <f aca="false">J36/$R$3</f>
        <v>0</v>
      </c>
      <c r="T36" s="126" t="n">
        <f aca="false">L36/$R$3</f>
        <v>0</v>
      </c>
      <c r="U36" s="126" t="n">
        <f aca="false">I36/$R$3</f>
        <v>0</v>
      </c>
      <c r="V36" s="126" t="n">
        <f aca="false">M36/$R$3</f>
        <v>0</v>
      </c>
      <c r="W36" s="126" t="n">
        <f aca="false">N36/$R$3</f>
        <v>0</v>
      </c>
    </row>
    <row r="37" customFormat="false" ht="12.75" hidden="true" customHeight="false" outlineLevel="0" collapsed="false">
      <c r="A37" s="120" t="n">
        <f aca="false">A36+1</f>
        <v>36923</v>
      </c>
      <c r="B37" s="131" t="str">
        <f aca="false">INDEX('Master Data'!$A$2:$B$8,MATCH(WEEKDAY('Plant Manager'!A37,3),'Master Data'!$A$2:$A$8,0),2)</f>
        <v>Th</v>
      </c>
      <c r="D37" s="124" t="n">
        <v>0</v>
      </c>
      <c r="E37" s="124" t="n">
        <v>0</v>
      </c>
      <c r="F37" s="124" t="n">
        <v>0</v>
      </c>
      <c r="G37" s="124" t="n">
        <v>0</v>
      </c>
      <c r="I37" s="124" t="n">
        <f aca="false">IF(MONTH($A37)=MONTH($A36),IF(G37=0,I36,G37),G37)</f>
        <v>0</v>
      </c>
      <c r="J37" s="124" t="n">
        <f aca="false">IF(MONTH($A37)=MONTH($A36),SUM(I37-I36),I37)</f>
        <v>0</v>
      </c>
      <c r="K37" s="124" t="n">
        <f aca="false">IF(WEEKDAY(A37,3)&gt;4,0,(IF(A37&lt;K$2,0,IF(A37&lt;=K$3,1,0))))</f>
        <v>0</v>
      </c>
      <c r="L37" s="124" t="n">
        <f aca="false">J37*K37</f>
        <v>0</v>
      </c>
      <c r="M37" s="124" t="n">
        <f aca="false">SUM(J$6:J37)</f>
        <v>0</v>
      </c>
      <c r="N37" s="124" t="n">
        <f aca="false">SUM(J$6:J37)</f>
        <v>0</v>
      </c>
      <c r="P37" s="124" t="n">
        <f aca="false">D37/P$3</f>
        <v>0</v>
      </c>
      <c r="Q37" s="124" t="n">
        <f aca="false">E37/P$3</f>
        <v>0</v>
      </c>
      <c r="R37" s="124" t="n">
        <f aca="false">F37/R$3</f>
        <v>0</v>
      </c>
      <c r="S37" s="126" t="n">
        <f aca="false">J37/$R$3</f>
        <v>0</v>
      </c>
      <c r="T37" s="126" t="n">
        <f aca="false">L37/$R$3</f>
        <v>0</v>
      </c>
      <c r="U37" s="126" t="n">
        <f aca="false">I37/$R$3</f>
        <v>0</v>
      </c>
      <c r="V37" s="126" t="n">
        <f aca="false">M37/$R$3</f>
        <v>0</v>
      </c>
      <c r="W37" s="126" t="n">
        <f aca="false">N37/$R$3</f>
        <v>0</v>
      </c>
    </row>
    <row r="38" customFormat="false" ht="12.75" hidden="true" customHeight="false" outlineLevel="0" collapsed="false">
      <c r="A38" s="120" t="n">
        <f aca="false">A37+1</f>
        <v>36924</v>
      </c>
      <c r="B38" s="131" t="str">
        <f aca="false">INDEX('Master Data'!$A$2:$B$8,MATCH(WEEKDAY('Plant Manager'!A38,3),'Master Data'!$A$2:$A$8,0),2)</f>
        <v>F</v>
      </c>
      <c r="D38" s="124" t="n">
        <v>0</v>
      </c>
      <c r="E38" s="124" t="n">
        <v>0</v>
      </c>
      <c r="F38" s="124" t="n">
        <v>0</v>
      </c>
      <c r="G38" s="124" t="n">
        <v>0</v>
      </c>
      <c r="I38" s="124" t="n">
        <f aca="false">IF(MONTH($A38)=MONTH($A37),IF(G38=0,I37,G38),G38)</f>
        <v>0</v>
      </c>
      <c r="J38" s="124" t="n">
        <f aca="false">IF(MONTH($A38)=MONTH($A37),SUM(I38-I37),I38)</f>
        <v>0</v>
      </c>
      <c r="K38" s="124" t="n">
        <f aca="false">IF(WEEKDAY(A38,3)&gt;4,0,(IF(A38&lt;K$2,0,IF(A38&lt;=K$3,1,0))))</f>
        <v>0</v>
      </c>
      <c r="L38" s="124" t="n">
        <f aca="false">J38*K38</f>
        <v>0</v>
      </c>
      <c r="M38" s="124" t="n">
        <f aca="false">SUM(J$6:J38)</f>
        <v>0</v>
      </c>
      <c r="N38" s="124" t="n">
        <f aca="false">SUM(J$6:J38)</f>
        <v>0</v>
      </c>
      <c r="P38" s="124" t="n">
        <f aca="false">D38/P$3</f>
        <v>0</v>
      </c>
      <c r="Q38" s="124" t="n">
        <f aca="false">E38/P$3</f>
        <v>0</v>
      </c>
      <c r="R38" s="124" t="n">
        <f aca="false">F38/R$3</f>
        <v>0</v>
      </c>
      <c r="S38" s="126" t="n">
        <f aca="false">J38/$R$3</f>
        <v>0</v>
      </c>
      <c r="T38" s="126" t="n">
        <f aca="false">L38/$R$3</f>
        <v>0</v>
      </c>
      <c r="U38" s="126" t="n">
        <f aca="false">I38/$R$3</f>
        <v>0</v>
      </c>
      <c r="V38" s="126" t="n">
        <f aca="false">M38/$R$3</f>
        <v>0</v>
      </c>
      <c r="W38" s="126" t="n">
        <f aca="false">N38/$R$3</f>
        <v>0</v>
      </c>
    </row>
    <row r="39" customFormat="false" ht="12.75" hidden="true" customHeight="false" outlineLevel="0" collapsed="false">
      <c r="A39" s="120" t="n">
        <f aca="false">A38+1</f>
        <v>36925</v>
      </c>
      <c r="B39" s="131" t="str">
        <f aca="false">INDEX('Master Data'!$A$2:$B$8,MATCH(WEEKDAY('Plant Manager'!A39,3),'Master Data'!$A$2:$A$8,0),2)</f>
        <v>Sa</v>
      </c>
      <c r="D39" s="124" t="n">
        <v>0</v>
      </c>
      <c r="E39" s="124" t="n">
        <v>0</v>
      </c>
      <c r="F39" s="124" t="n">
        <v>0</v>
      </c>
      <c r="G39" s="124" t="n">
        <v>0</v>
      </c>
      <c r="I39" s="124" t="n">
        <f aca="false">IF(MONTH($A39)=MONTH($A38),IF(G39=0,I38,G39),G39)</f>
        <v>0</v>
      </c>
      <c r="J39" s="124" t="n">
        <f aca="false">IF(MONTH($A39)=MONTH($A38),SUM(I39-I38),I39)</f>
        <v>0</v>
      </c>
      <c r="K39" s="124" t="n">
        <f aca="false">IF(WEEKDAY(A39,3)&gt;4,0,(IF(A39&lt;K$2,0,IF(A39&lt;=K$3,1,0))))</f>
        <v>0</v>
      </c>
      <c r="L39" s="124" t="n">
        <f aca="false">J39*K39</f>
        <v>0</v>
      </c>
      <c r="M39" s="124" t="n">
        <f aca="false">SUM(J$6:J39)</f>
        <v>0</v>
      </c>
      <c r="N39" s="124" t="n">
        <f aca="false">SUM(J$6:J39)</f>
        <v>0</v>
      </c>
      <c r="P39" s="124" t="n">
        <f aca="false">D39/P$3</f>
        <v>0</v>
      </c>
      <c r="Q39" s="124" t="n">
        <f aca="false">E39/P$3</f>
        <v>0</v>
      </c>
      <c r="R39" s="124" t="n">
        <f aca="false">F39/R$3</f>
        <v>0</v>
      </c>
      <c r="S39" s="126" t="n">
        <f aca="false">J39/$R$3</f>
        <v>0</v>
      </c>
      <c r="T39" s="126" t="n">
        <f aca="false">L39/$R$3</f>
        <v>0</v>
      </c>
      <c r="U39" s="126" t="n">
        <f aca="false">I39/$R$3</f>
        <v>0</v>
      </c>
      <c r="V39" s="126" t="n">
        <f aca="false">M39/$R$3</f>
        <v>0</v>
      </c>
      <c r="W39" s="126" t="n">
        <f aca="false">N39/$R$3</f>
        <v>0</v>
      </c>
    </row>
    <row r="40" customFormat="false" ht="12.75" hidden="true" customHeight="false" outlineLevel="0" collapsed="false">
      <c r="A40" s="120" t="n">
        <f aca="false">A39+1</f>
        <v>36926</v>
      </c>
      <c r="B40" s="131" t="str">
        <f aca="false">INDEX('Master Data'!$A$2:$B$8,MATCH(WEEKDAY('Plant Manager'!A40,3),'Master Data'!$A$2:$A$8,0),2)</f>
        <v>Su</v>
      </c>
      <c r="D40" s="124" t="n">
        <v>0</v>
      </c>
      <c r="E40" s="124" t="n">
        <v>0</v>
      </c>
      <c r="F40" s="124" t="n">
        <v>0</v>
      </c>
      <c r="G40" s="124" t="n">
        <v>0</v>
      </c>
      <c r="I40" s="124" t="n">
        <f aca="false">IF(MONTH($A40)=MONTH($A39),IF(G40=0,I39,G40),G40)</f>
        <v>0</v>
      </c>
      <c r="J40" s="124" t="n">
        <f aca="false">IF(MONTH($A40)=MONTH($A39),SUM(I40-I39),I40)</f>
        <v>0</v>
      </c>
      <c r="K40" s="124" t="n">
        <f aca="false">IF(WEEKDAY(A40,3)&gt;4,0,(IF(A40&lt;K$2,0,IF(A40&lt;=K$3,1,0))))</f>
        <v>0</v>
      </c>
      <c r="L40" s="124" t="n">
        <f aca="false">J40*K40</f>
        <v>0</v>
      </c>
      <c r="M40" s="124" t="n">
        <f aca="false">SUM(J$6:J40)</f>
        <v>0</v>
      </c>
      <c r="N40" s="124" t="n">
        <f aca="false">SUM(J$6:J40)</f>
        <v>0</v>
      </c>
      <c r="P40" s="124" t="n">
        <f aca="false">D40/P$3</f>
        <v>0</v>
      </c>
      <c r="Q40" s="124" t="n">
        <f aca="false">E40/P$3</f>
        <v>0</v>
      </c>
      <c r="R40" s="124" t="n">
        <f aca="false">F40/R$3</f>
        <v>0</v>
      </c>
      <c r="S40" s="126" t="n">
        <f aca="false">J40/$R$3</f>
        <v>0</v>
      </c>
      <c r="T40" s="126" t="n">
        <f aca="false">L40/$R$3</f>
        <v>0</v>
      </c>
      <c r="U40" s="126" t="n">
        <f aca="false">I40/$R$3</f>
        <v>0</v>
      </c>
      <c r="V40" s="126" t="n">
        <f aca="false">M40/$R$3</f>
        <v>0</v>
      </c>
      <c r="W40" s="126" t="n">
        <f aca="false">N40/$R$3</f>
        <v>0</v>
      </c>
    </row>
    <row r="41" customFormat="false" ht="12.75" hidden="true" customHeight="false" outlineLevel="0" collapsed="false">
      <c r="A41" s="120" t="n">
        <f aca="false">A40+1</f>
        <v>36927</v>
      </c>
      <c r="B41" s="131" t="str">
        <f aca="false">INDEX('Master Data'!$A$2:$B$8,MATCH(WEEKDAY('Plant Manager'!A41,3),'Master Data'!$A$2:$A$8,0),2)</f>
        <v>M</v>
      </c>
      <c r="D41" s="124" t="n">
        <v>0</v>
      </c>
      <c r="E41" s="124" t="n">
        <v>0</v>
      </c>
      <c r="F41" s="124" t="n">
        <v>0</v>
      </c>
      <c r="G41" s="124" t="n">
        <v>0</v>
      </c>
      <c r="I41" s="124" t="n">
        <f aca="false">IF(MONTH($A41)=MONTH($A40),IF(G41=0,I40,G41),G41)</f>
        <v>0</v>
      </c>
      <c r="J41" s="124" t="n">
        <f aca="false">IF(MONTH($A41)=MONTH($A40),SUM(I41-I40),I41)</f>
        <v>0</v>
      </c>
      <c r="K41" s="124" t="n">
        <f aca="false">IF(WEEKDAY(A41,3)&gt;4,0,(IF(A41&lt;K$2,0,IF(A41&lt;=K$3,1,0))))</f>
        <v>0</v>
      </c>
      <c r="L41" s="124" t="n">
        <f aca="false">J41*K41</f>
        <v>0</v>
      </c>
      <c r="M41" s="124" t="n">
        <f aca="false">SUM(J$6:J41)</f>
        <v>0</v>
      </c>
      <c r="N41" s="124" t="n">
        <f aca="false">SUM(J$6:J41)</f>
        <v>0</v>
      </c>
      <c r="P41" s="124" t="n">
        <f aca="false">D41/P$3</f>
        <v>0</v>
      </c>
      <c r="Q41" s="124" t="n">
        <f aca="false">E41/P$3</f>
        <v>0</v>
      </c>
      <c r="R41" s="124" t="n">
        <f aca="false">F41/R$3</f>
        <v>0</v>
      </c>
      <c r="S41" s="126" t="n">
        <f aca="false">J41/$R$3</f>
        <v>0</v>
      </c>
      <c r="T41" s="126" t="n">
        <f aca="false">L41/$R$3</f>
        <v>0</v>
      </c>
      <c r="U41" s="126" t="n">
        <f aca="false">I41/$R$3</f>
        <v>0</v>
      </c>
      <c r="V41" s="126" t="n">
        <f aca="false">M41/$R$3</f>
        <v>0</v>
      </c>
      <c r="W41" s="126" t="n">
        <f aca="false">N41/$R$3</f>
        <v>0</v>
      </c>
    </row>
    <row r="42" customFormat="false" ht="12.75" hidden="true" customHeight="false" outlineLevel="0" collapsed="false">
      <c r="A42" s="120" t="n">
        <f aca="false">A41+1</f>
        <v>36928</v>
      </c>
      <c r="B42" s="131" t="str">
        <f aca="false">INDEX('Master Data'!$A$2:$B$8,MATCH(WEEKDAY('Plant Manager'!A42,3),'Master Data'!$A$2:$A$8,0),2)</f>
        <v>T</v>
      </c>
      <c r="D42" s="124" t="n">
        <v>0</v>
      </c>
      <c r="E42" s="124" t="n">
        <v>0</v>
      </c>
      <c r="F42" s="124" t="n">
        <v>0</v>
      </c>
      <c r="G42" s="124" t="n">
        <v>0</v>
      </c>
      <c r="I42" s="124" t="n">
        <f aca="false">IF(MONTH($A42)=MONTH($A41),IF(G42=0,I41,G42),G42)</f>
        <v>0</v>
      </c>
      <c r="J42" s="124" t="n">
        <f aca="false">IF(MONTH($A42)=MONTH($A41),SUM(I42-I41),I42)</f>
        <v>0</v>
      </c>
      <c r="K42" s="124" t="n">
        <f aca="false">IF(WEEKDAY(A42,3)&gt;4,0,(IF(A42&lt;K$2,0,IF(A42&lt;=K$3,1,0))))</f>
        <v>0</v>
      </c>
      <c r="L42" s="124" t="n">
        <f aca="false">J42*K42</f>
        <v>0</v>
      </c>
      <c r="M42" s="124" t="n">
        <f aca="false">SUM(J$6:J42)</f>
        <v>0</v>
      </c>
      <c r="N42" s="124" t="n">
        <f aca="false">SUM(J$6:J42)</f>
        <v>0</v>
      </c>
      <c r="P42" s="124" t="n">
        <f aca="false">D42/P$3</f>
        <v>0</v>
      </c>
      <c r="Q42" s="124" t="n">
        <f aca="false">E42/P$3</f>
        <v>0</v>
      </c>
      <c r="R42" s="124" t="n">
        <f aca="false">F42/R$3</f>
        <v>0</v>
      </c>
      <c r="S42" s="126" t="n">
        <f aca="false">J42/$R$3</f>
        <v>0</v>
      </c>
      <c r="T42" s="126" t="n">
        <f aca="false">L42/$R$3</f>
        <v>0</v>
      </c>
      <c r="U42" s="126" t="n">
        <f aca="false">I42/$R$3</f>
        <v>0</v>
      </c>
      <c r="V42" s="126" t="n">
        <f aca="false">M42/$R$3</f>
        <v>0</v>
      </c>
      <c r="W42" s="126" t="n">
        <f aca="false">N42/$R$3</f>
        <v>0</v>
      </c>
    </row>
    <row r="43" customFormat="false" ht="12.75" hidden="true" customHeight="false" outlineLevel="0" collapsed="false">
      <c r="A43" s="120" t="n">
        <f aca="false">A42+1</f>
        <v>36929</v>
      </c>
      <c r="B43" s="131" t="str">
        <f aca="false">INDEX('Master Data'!$A$2:$B$8,MATCH(WEEKDAY('Plant Manager'!A43,3),'Master Data'!$A$2:$A$8,0),2)</f>
        <v>W</v>
      </c>
      <c r="D43" s="124" t="n">
        <v>0</v>
      </c>
      <c r="E43" s="124" t="n">
        <v>0</v>
      </c>
      <c r="F43" s="124" t="n">
        <v>0</v>
      </c>
      <c r="G43" s="124" t="n">
        <v>0</v>
      </c>
      <c r="I43" s="124" t="n">
        <f aca="false">IF(MONTH($A43)=MONTH($A42),IF(G43=0,I42,G43),G43)</f>
        <v>0</v>
      </c>
      <c r="J43" s="124" t="n">
        <f aca="false">IF(MONTH($A43)=MONTH($A42),SUM(I43-I42),I43)</f>
        <v>0</v>
      </c>
      <c r="K43" s="124" t="n">
        <f aca="false">IF(WEEKDAY(A43,3)&gt;4,0,(IF(A43&lt;K$2,0,IF(A43&lt;=K$3,1,0))))</f>
        <v>0</v>
      </c>
      <c r="L43" s="124" t="n">
        <f aca="false">J43*K43</f>
        <v>0</v>
      </c>
      <c r="M43" s="124" t="n">
        <f aca="false">SUM(J$6:J43)</f>
        <v>0</v>
      </c>
      <c r="N43" s="124" t="n">
        <f aca="false">SUM(J$6:J43)</f>
        <v>0</v>
      </c>
      <c r="P43" s="124" t="n">
        <f aca="false">D43/P$3</f>
        <v>0</v>
      </c>
      <c r="Q43" s="124" t="n">
        <f aca="false">E43/P$3</f>
        <v>0</v>
      </c>
      <c r="R43" s="124" t="n">
        <f aca="false">F43/R$3</f>
        <v>0</v>
      </c>
      <c r="S43" s="126" t="n">
        <f aca="false">J43/$R$3</f>
        <v>0</v>
      </c>
      <c r="T43" s="126" t="n">
        <f aca="false">L43/$R$3</f>
        <v>0</v>
      </c>
      <c r="U43" s="126" t="n">
        <f aca="false">I43/$R$3</f>
        <v>0</v>
      </c>
      <c r="V43" s="126" t="n">
        <f aca="false">M43/$R$3</f>
        <v>0</v>
      </c>
      <c r="W43" s="126" t="n">
        <f aca="false">N43/$R$3</f>
        <v>0</v>
      </c>
    </row>
    <row r="44" customFormat="false" ht="12.75" hidden="true" customHeight="false" outlineLevel="0" collapsed="false">
      <c r="A44" s="120" t="n">
        <f aca="false">A43+1</f>
        <v>36930</v>
      </c>
      <c r="B44" s="131" t="str">
        <f aca="false">INDEX('Master Data'!$A$2:$B$8,MATCH(WEEKDAY('Plant Manager'!A44,3),'Master Data'!$A$2:$A$8,0),2)</f>
        <v>Th</v>
      </c>
      <c r="D44" s="124" t="n">
        <v>0</v>
      </c>
      <c r="E44" s="124" t="n">
        <v>0</v>
      </c>
      <c r="F44" s="124" t="n">
        <v>0</v>
      </c>
      <c r="G44" s="124" t="n">
        <v>0</v>
      </c>
      <c r="I44" s="124" t="n">
        <f aca="false">IF(MONTH($A44)=MONTH($A43),IF(G44=0,I43,G44),G44)</f>
        <v>0</v>
      </c>
      <c r="J44" s="124" t="n">
        <f aca="false">IF(MONTH($A44)=MONTH($A43),SUM(I44-I43),I44)</f>
        <v>0</v>
      </c>
      <c r="K44" s="124" t="n">
        <f aca="false">IF(WEEKDAY(A44,3)&gt;4,0,(IF(A44&lt;K$2,0,IF(A44&lt;=K$3,1,0))))</f>
        <v>0</v>
      </c>
      <c r="L44" s="124" t="n">
        <f aca="false">J44*K44</f>
        <v>0</v>
      </c>
      <c r="M44" s="124" t="n">
        <f aca="false">SUM(J$6:J44)</f>
        <v>0</v>
      </c>
      <c r="N44" s="124" t="n">
        <f aca="false">SUM(J$6:J44)</f>
        <v>0</v>
      </c>
      <c r="P44" s="124" t="n">
        <f aca="false">D44/P$3</f>
        <v>0</v>
      </c>
      <c r="Q44" s="124" t="n">
        <f aca="false">E44/P$3</f>
        <v>0</v>
      </c>
      <c r="R44" s="124" t="n">
        <f aca="false">F44/R$3</f>
        <v>0</v>
      </c>
      <c r="S44" s="126" t="n">
        <f aca="false">J44/$R$3</f>
        <v>0</v>
      </c>
      <c r="T44" s="126" t="n">
        <f aca="false">L44/$R$3</f>
        <v>0</v>
      </c>
      <c r="U44" s="126" t="n">
        <f aca="false">I44/$R$3</f>
        <v>0</v>
      </c>
      <c r="V44" s="126" t="n">
        <f aca="false">M44/$R$3</f>
        <v>0</v>
      </c>
      <c r="W44" s="126" t="n">
        <f aca="false">N44/$R$3</f>
        <v>0</v>
      </c>
    </row>
    <row r="45" customFormat="false" ht="12.75" hidden="true" customHeight="false" outlineLevel="0" collapsed="false">
      <c r="A45" s="120" t="n">
        <f aca="false">A44+1</f>
        <v>36931</v>
      </c>
      <c r="B45" s="131" t="str">
        <f aca="false">INDEX('Master Data'!$A$2:$B$8,MATCH(WEEKDAY('Plant Manager'!A45,3),'Master Data'!$A$2:$A$8,0),2)</f>
        <v>F</v>
      </c>
      <c r="D45" s="124" t="n">
        <v>0</v>
      </c>
      <c r="E45" s="124" t="n">
        <v>0</v>
      </c>
      <c r="F45" s="124" t="n">
        <v>0</v>
      </c>
      <c r="G45" s="124" t="n">
        <v>0</v>
      </c>
      <c r="I45" s="124" t="n">
        <f aca="false">IF(MONTH($A45)=MONTH($A44),IF(G45=0,I44,G45),G45)</f>
        <v>0</v>
      </c>
      <c r="J45" s="124" t="n">
        <f aca="false">IF(MONTH($A45)=MONTH($A44),SUM(I45-I44),I45)</f>
        <v>0</v>
      </c>
      <c r="K45" s="124" t="n">
        <f aca="false">IF(WEEKDAY(A45,3)&gt;4,0,(IF(A45&lt;K$2,0,IF(A45&lt;=K$3,1,0))))</f>
        <v>0</v>
      </c>
      <c r="L45" s="124" t="n">
        <f aca="false">J45*K45</f>
        <v>0</v>
      </c>
      <c r="M45" s="124" t="n">
        <f aca="false">SUM(J$6:J45)</f>
        <v>0</v>
      </c>
      <c r="N45" s="124" t="n">
        <f aca="false">SUM(J$6:J45)</f>
        <v>0</v>
      </c>
      <c r="P45" s="124" t="n">
        <f aca="false">D45/P$3</f>
        <v>0</v>
      </c>
      <c r="Q45" s="124" t="n">
        <f aca="false">E45/P$3</f>
        <v>0</v>
      </c>
      <c r="R45" s="124" t="n">
        <f aca="false">F45/R$3</f>
        <v>0</v>
      </c>
      <c r="S45" s="126" t="n">
        <f aca="false">J45/$R$3</f>
        <v>0</v>
      </c>
      <c r="T45" s="126" t="n">
        <f aca="false">L45/$R$3</f>
        <v>0</v>
      </c>
      <c r="U45" s="126" t="n">
        <f aca="false">I45/$R$3</f>
        <v>0</v>
      </c>
      <c r="V45" s="126" t="n">
        <f aca="false">M45/$R$3</f>
        <v>0</v>
      </c>
      <c r="W45" s="126" t="n">
        <f aca="false">N45/$R$3</f>
        <v>0</v>
      </c>
    </row>
    <row r="46" customFormat="false" ht="12.75" hidden="true" customHeight="false" outlineLevel="0" collapsed="false">
      <c r="A46" s="120" t="n">
        <f aca="false">A45+1</f>
        <v>36932</v>
      </c>
      <c r="B46" s="131" t="str">
        <f aca="false">INDEX('Master Data'!$A$2:$B$8,MATCH(WEEKDAY('Plant Manager'!A46,3),'Master Data'!$A$2:$A$8,0),2)</f>
        <v>Sa</v>
      </c>
      <c r="D46" s="124" t="n">
        <v>0</v>
      </c>
      <c r="E46" s="124" t="n">
        <v>0</v>
      </c>
      <c r="F46" s="124" t="n">
        <v>0</v>
      </c>
      <c r="G46" s="124" t="n">
        <v>0</v>
      </c>
      <c r="I46" s="124" t="n">
        <f aca="false">IF(MONTH($A46)=MONTH($A45),IF(G46=0,I45,G46),G46)</f>
        <v>0</v>
      </c>
      <c r="J46" s="124" t="n">
        <f aca="false">IF(MONTH($A46)=MONTH($A45),SUM(I46-I45),I46)</f>
        <v>0</v>
      </c>
      <c r="K46" s="124" t="n">
        <f aca="false">IF(WEEKDAY(A46,3)&gt;4,0,(IF(A46&lt;K$2,0,IF(A46&lt;=K$3,1,0))))</f>
        <v>0</v>
      </c>
      <c r="L46" s="124" t="n">
        <f aca="false">J46*K46</f>
        <v>0</v>
      </c>
      <c r="M46" s="124" t="n">
        <f aca="false">SUM(J$6:J46)</f>
        <v>0</v>
      </c>
      <c r="N46" s="124" t="n">
        <f aca="false">SUM(J$6:J46)</f>
        <v>0</v>
      </c>
      <c r="P46" s="124" t="n">
        <f aca="false">D46/P$3</f>
        <v>0</v>
      </c>
      <c r="Q46" s="124" t="n">
        <f aca="false">E46/P$3</f>
        <v>0</v>
      </c>
      <c r="R46" s="124" t="n">
        <f aca="false">F46/R$3</f>
        <v>0</v>
      </c>
      <c r="S46" s="126" t="n">
        <f aca="false">J46/$R$3</f>
        <v>0</v>
      </c>
      <c r="T46" s="126" t="n">
        <f aca="false">L46/$R$3</f>
        <v>0</v>
      </c>
      <c r="U46" s="126" t="n">
        <f aca="false">I46/$R$3</f>
        <v>0</v>
      </c>
      <c r="V46" s="126" t="n">
        <f aca="false">M46/$R$3</f>
        <v>0</v>
      </c>
      <c r="W46" s="126" t="n">
        <f aca="false">N46/$R$3</f>
        <v>0</v>
      </c>
    </row>
    <row r="47" customFormat="false" ht="12.75" hidden="true" customHeight="false" outlineLevel="0" collapsed="false">
      <c r="A47" s="120" t="n">
        <f aca="false">A46+1</f>
        <v>36933</v>
      </c>
      <c r="B47" s="131" t="str">
        <f aca="false">INDEX('Master Data'!$A$2:$B$8,MATCH(WEEKDAY('Plant Manager'!A47,3),'Master Data'!$A$2:$A$8,0),2)</f>
        <v>Su</v>
      </c>
      <c r="D47" s="124" t="n">
        <v>0</v>
      </c>
      <c r="E47" s="124" t="n">
        <v>0</v>
      </c>
      <c r="F47" s="124" t="n">
        <v>0</v>
      </c>
      <c r="G47" s="124" t="n">
        <v>0</v>
      </c>
      <c r="I47" s="124" t="n">
        <f aca="false">IF(MONTH($A47)=MONTH($A46),IF(G47=0,I46,G47),G47)</f>
        <v>0</v>
      </c>
      <c r="J47" s="124" t="n">
        <f aca="false">IF(MONTH($A47)=MONTH($A46),SUM(I47-I46),I47)</f>
        <v>0</v>
      </c>
      <c r="K47" s="124" t="n">
        <f aca="false">IF(WEEKDAY(A47,3)&gt;4,0,(IF(A47&lt;K$2,0,IF(A47&lt;=K$3,1,0))))</f>
        <v>0</v>
      </c>
      <c r="L47" s="124" t="n">
        <f aca="false">J47*K47</f>
        <v>0</v>
      </c>
      <c r="M47" s="124" t="n">
        <f aca="false">SUM(J$6:J47)</f>
        <v>0</v>
      </c>
      <c r="N47" s="124" t="n">
        <f aca="false">SUM(J$6:J47)</f>
        <v>0</v>
      </c>
      <c r="P47" s="124" t="n">
        <f aca="false">D47/P$3</f>
        <v>0</v>
      </c>
      <c r="Q47" s="124" t="n">
        <f aca="false">E47/P$3</f>
        <v>0</v>
      </c>
      <c r="R47" s="124" t="n">
        <f aca="false">F47/R$3</f>
        <v>0</v>
      </c>
      <c r="S47" s="126" t="n">
        <f aca="false">J47/$R$3</f>
        <v>0</v>
      </c>
      <c r="T47" s="126" t="n">
        <f aca="false">L47/$R$3</f>
        <v>0</v>
      </c>
      <c r="U47" s="126" t="n">
        <f aca="false">I47/$R$3</f>
        <v>0</v>
      </c>
      <c r="V47" s="126" t="n">
        <f aca="false">M47/$R$3</f>
        <v>0</v>
      </c>
      <c r="W47" s="126" t="n">
        <f aca="false">N47/$R$3</f>
        <v>0</v>
      </c>
    </row>
    <row r="48" customFormat="false" ht="12.75" hidden="true" customHeight="false" outlineLevel="0" collapsed="false">
      <c r="A48" s="120" t="n">
        <f aca="false">A47+1</f>
        <v>36934</v>
      </c>
      <c r="B48" s="131" t="str">
        <f aca="false">INDEX('Master Data'!$A$2:$B$8,MATCH(WEEKDAY('Plant Manager'!A48,3),'Master Data'!$A$2:$A$8,0),2)</f>
        <v>M</v>
      </c>
      <c r="D48" s="124" t="n">
        <v>0</v>
      </c>
      <c r="E48" s="124" t="n">
        <v>0</v>
      </c>
      <c r="F48" s="124" t="n">
        <v>0</v>
      </c>
      <c r="G48" s="124" t="n">
        <v>0</v>
      </c>
      <c r="I48" s="124" t="n">
        <f aca="false">IF(MONTH($A48)=MONTH($A47),IF(G48=0,I47,G48),G48)</f>
        <v>0</v>
      </c>
      <c r="J48" s="124" t="n">
        <f aca="false">IF(MONTH($A48)=MONTH($A47),SUM(I48-I47),I48)</f>
        <v>0</v>
      </c>
      <c r="K48" s="124" t="n">
        <f aca="false">IF(WEEKDAY(A48,3)&gt;4,0,(IF(A48&lt;K$2,0,IF(A48&lt;=K$3,1,0))))</f>
        <v>0</v>
      </c>
      <c r="L48" s="124" t="n">
        <f aca="false">J48*K48</f>
        <v>0</v>
      </c>
      <c r="M48" s="124" t="n">
        <f aca="false">SUM(J$6:J48)</f>
        <v>0</v>
      </c>
      <c r="N48" s="124" t="n">
        <f aca="false">SUM(J$6:J48)</f>
        <v>0</v>
      </c>
      <c r="P48" s="124" t="n">
        <f aca="false">D48/P$3</f>
        <v>0</v>
      </c>
      <c r="Q48" s="124" t="n">
        <f aca="false">E48/P$3</f>
        <v>0</v>
      </c>
      <c r="R48" s="124" t="n">
        <f aca="false">F48/R$3</f>
        <v>0</v>
      </c>
      <c r="S48" s="126" t="n">
        <f aca="false">J48/$R$3</f>
        <v>0</v>
      </c>
      <c r="T48" s="126" t="n">
        <f aca="false">L48/$R$3</f>
        <v>0</v>
      </c>
      <c r="U48" s="126" t="n">
        <f aca="false">I48/$R$3</f>
        <v>0</v>
      </c>
      <c r="V48" s="126" t="n">
        <f aca="false">M48/$R$3</f>
        <v>0</v>
      </c>
      <c r="W48" s="126" t="n">
        <f aca="false">N48/$R$3</f>
        <v>0</v>
      </c>
    </row>
    <row r="49" customFormat="false" ht="12.75" hidden="true" customHeight="false" outlineLevel="0" collapsed="false">
      <c r="A49" s="120" t="n">
        <f aca="false">A48+1</f>
        <v>36935</v>
      </c>
      <c r="B49" s="131" t="str">
        <f aca="false">INDEX('Master Data'!$A$2:$B$8,MATCH(WEEKDAY('Plant Manager'!A49,3),'Master Data'!$A$2:$A$8,0),2)</f>
        <v>T</v>
      </c>
      <c r="D49" s="124" t="n">
        <v>0</v>
      </c>
      <c r="E49" s="124" t="n">
        <v>0</v>
      </c>
      <c r="F49" s="124" t="n">
        <v>0</v>
      </c>
      <c r="G49" s="124" t="n">
        <v>0</v>
      </c>
      <c r="I49" s="124" t="n">
        <f aca="false">IF(MONTH($A49)=MONTH($A48),IF(G49=0,I48,G49),G49)</f>
        <v>0</v>
      </c>
      <c r="J49" s="124" t="n">
        <f aca="false">IF(MONTH($A49)=MONTH($A48),SUM(I49-I48),I49)</f>
        <v>0</v>
      </c>
      <c r="K49" s="124" t="n">
        <f aca="false">IF(WEEKDAY(A49,3)&gt;4,0,(IF(A49&lt;K$2,0,IF(A49&lt;=K$3,1,0))))</f>
        <v>0</v>
      </c>
      <c r="L49" s="124" t="n">
        <f aca="false">J49*K49</f>
        <v>0</v>
      </c>
      <c r="M49" s="124" t="n">
        <f aca="false">SUM(J$6:J49)</f>
        <v>0</v>
      </c>
      <c r="N49" s="124" t="n">
        <f aca="false">SUM(J$6:J49)</f>
        <v>0</v>
      </c>
      <c r="P49" s="124" t="n">
        <f aca="false">D49/P$3</f>
        <v>0</v>
      </c>
      <c r="Q49" s="124" t="n">
        <f aca="false">E49/P$3</f>
        <v>0</v>
      </c>
      <c r="R49" s="124" t="n">
        <f aca="false">F49/R$3</f>
        <v>0</v>
      </c>
      <c r="S49" s="126" t="n">
        <f aca="false">J49/$R$3</f>
        <v>0</v>
      </c>
      <c r="T49" s="126" t="n">
        <f aca="false">L49/$R$3</f>
        <v>0</v>
      </c>
      <c r="U49" s="126" t="n">
        <f aca="false">I49/$R$3</f>
        <v>0</v>
      </c>
      <c r="V49" s="126" t="n">
        <f aca="false">M49/$R$3</f>
        <v>0</v>
      </c>
      <c r="W49" s="126" t="n">
        <f aca="false">N49/$R$3</f>
        <v>0</v>
      </c>
    </row>
    <row r="50" customFormat="false" ht="12.75" hidden="true" customHeight="false" outlineLevel="0" collapsed="false">
      <c r="A50" s="120" t="n">
        <f aca="false">A49+1</f>
        <v>36936</v>
      </c>
      <c r="B50" s="131" t="str">
        <f aca="false">INDEX('Master Data'!$A$2:$B$8,MATCH(WEEKDAY('Plant Manager'!A50,3),'Master Data'!$A$2:$A$8,0),2)</f>
        <v>W</v>
      </c>
      <c r="D50" s="124" t="n">
        <v>0</v>
      </c>
      <c r="E50" s="124" t="n">
        <v>0</v>
      </c>
      <c r="F50" s="124" t="n">
        <v>0</v>
      </c>
      <c r="G50" s="124" t="n">
        <v>0</v>
      </c>
      <c r="I50" s="124" t="n">
        <f aca="false">IF(MONTH($A50)=MONTH($A49),IF(G50=0,I49,G50),G50)</f>
        <v>0</v>
      </c>
      <c r="J50" s="124" t="n">
        <f aca="false">IF(MONTH($A50)=MONTH($A49),SUM(I50-I49),I50)</f>
        <v>0</v>
      </c>
      <c r="K50" s="124" t="n">
        <f aca="false">IF(WEEKDAY(A50,3)&gt;4,0,(IF(A50&lt;K$2,0,IF(A50&lt;=K$3,1,0))))</f>
        <v>0</v>
      </c>
      <c r="L50" s="124" t="n">
        <f aca="false">J50*K50</f>
        <v>0</v>
      </c>
      <c r="M50" s="124" t="n">
        <f aca="false">SUM(J$6:J50)</f>
        <v>0</v>
      </c>
      <c r="N50" s="124" t="n">
        <f aca="false">SUM(J$6:J50)</f>
        <v>0</v>
      </c>
      <c r="P50" s="124" t="n">
        <f aca="false">D50/P$3</f>
        <v>0</v>
      </c>
      <c r="Q50" s="124" t="n">
        <f aca="false">E50/P$3</f>
        <v>0</v>
      </c>
      <c r="R50" s="124" t="n">
        <f aca="false">F50/R$3</f>
        <v>0</v>
      </c>
      <c r="S50" s="126" t="n">
        <f aca="false">J50/$R$3</f>
        <v>0</v>
      </c>
      <c r="T50" s="126" t="n">
        <f aca="false">L50/$R$3</f>
        <v>0</v>
      </c>
      <c r="U50" s="126" t="n">
        <f aca="false">I50/$R$3</f>
        <v>0</v>
      </c>
      <c r="V50" s="126" t="n">
        <f aca="false">M50/$R$3</f>
        <v>0</v>
      </c>
      <c r="W50" s="126" t="n">
        <f aca="false">N50/$R$3</f>
        <v>0</v>
      </c>
    </row>
    <row r="51" customFormat="false" ht="12.75" hidden="true" customHeight="false" outlineLevel="0" collapsed="false">
      <c r="A51" s="120" t="n">
        <f aca="false">A50+1</f>
        <v>36937</v>
      </c>
      <c r="B51" s="131" t="str">
        <f aca="false">INDEX('Master Data'!$A$2:$B$8,MATCH(WEEKDAY('Plant Manager'!A51,3),'Master Data'!$A$2:$A$8,0),2)</f>
        <v>Th</v>
      </c>
      <c r="D51" s="124" t="n">
        <v>0</v>
      </c>
      <c r="E51" s="124" t="n">
        <v>0</v>
      </c>
      <c r="F51" s="124" t="n">
        <v>0</v>
      </c>
      <c r="G51" s="124" t="n">
        <v>0</v>
      </c>
      <c r="I51" s="124" t="n">
        <f aca="false">IF(MONTH($A51)=MONTH($A50),IF(G51=0,I50,G51),G51)</f>
        <v>0</v>
      </c>
      <c r="J51" s="124" t="n">
        <f aca="false">IF(MONTH($A51)=MONTH($A50),SUM(I51-I50),I51)</f>
        <v>0</v>
      </c>
      <c r="K51" s="124" t="n">
        <f aca="false">IF(WEEKDAY(A51,3)&gt;4,0,(IF(A51&lt;K$2,0,IF(A51&lt;=K$3,1,0))))</f>
        <v>0</v>
      </c>
      <c r="L51" s="124" t="n">
        <f aca="false">J51*K51</f>
        <v>0</v>
      </c>
      <c r="M51" s="124" t="n">
        <f aca="false">SUM(J$6:J51)</f>
        <v>0</v>
      </c>
      <c r="N51" s="124" t="n">
        <f aca="false">SUM(J$6:J51)</f>
        <v>0</v>
      </c>
      <c r="P51" s="124" t="n">
        <f aca="false">D51/P$3</f>
        <v>0</v>
      </c>
      <c r="Q51" s="124" t="n">
        <f aca="false">E51/P$3</f>
        <v>0</v>
      </c>
      <c r="R51" s="124" t="n">
        <f aca="false">F51/R$3</f>
        <v>0</v>
      </c>
      <c r="S51" s="126" t="n">
        <f aca="false">J51/$R$3</f>
        <v>0</v>
      </c>
      <c r="T51" s="126" t="n">
        <f aca="false">L51/$R$3</f>
        <v>0</v>
      </c>
      <c r="U51" s="126" t="n">
        <f aca="false">I51/$R$3</f>
        <v>0</v>
      </c>
      <c r="V51" s="126" t="n">
        <f aca="false">M51/$R$3</f>
        <v>0</v>
      </c>
      <c r="W51" s="126" t="n">
        <f aca="false">N51/$R$3</f>
        <v>0</v>
      </c>
    </row>
    <row r="52" customFormat="false" ht="12.75" hidden="true" customHeight="false" outlineLevel="0" collapsed="false">
      <c r="A52" s="120" t="n">
        <f aca="false">A51+1</f>
        <v>36938</v>
      </c>
      <c r="B52" s="131" t="str">
        <f aca="false">INDEX('Master Data'!$A$2:$B$8,MATCH(WEEKDAY('Plant Manager'!A52,3),'Master Data'!$A$2:$A$8,0),2)</f>
        <v>F</v>
      </c>
      <c r="D52" s="124" t="n">
        <v>0</v>
      </c>
      <c r="E52" s="124" t="n">
        <v>0</v>
      </c>
      <c r="F52" s="124" t="n">
        <v>0</v>
      </c>
      <c r="G52" s="124" t="n">
        <v>0</v>
      </c>
      <c r="I52" s="124" t="n">
        <f aca="false">IF(MONTH($A52)=MONTH($A51),IF(G52=0,I51,G52),G52)</f>
        <v>0</v>
      </c>
      <c r="J52" s="124" t="n">
        <f aca="false">IF(MONTH($A52)=MONTH($A51),SUM(I52-I51),I52)</f>
        <v>0</v>
      </c>
      <c r="K52" s="124" t="n">
        <f aca="false">IF(WEEKDAY(A52,3)&gt;4,0,(IF(A52&lt;K$2,0,IF(A52&lt;=K$3,1,0))))</f>
        <v>0</v>
      </c>
      <c r="L52" s="124" t="n">
        <f aca="false">J52*K52</f>
        <v>0</v>
      </c>
      <c r="M52" s="124" t="n">
        <f aca="false">SUM(J$6:J52)</f>
        <v>0</v>
      </c>
      <c r="N52" s="124" t="n">
        <f aca="false">SUM(J$6:J52)</f>
        <v>0</v>
      </c>
      <c r="P52" s="124" t="n">
        <f aca="false">D52/P$3</f>
        <v>0</v>
      </c>
      <c r="Q52" s="124" t="n">
        <f aca="false">E52/P$3</f>
        <v>0</v>
      </c>
      <c r="R52" s="124" t="n">
        <f aca="false">F52/R$3</f>
        <v>0</v>
      </c>
      <c r="S52" s="126" t="n">
        <f aca="false">J52/$R$3</f>
        <v>0</v>
      </c>
      <c r="T52" s="126" t="n">
        <f aca="false">L52/$R$3</f>
        <v>0</v>
      </c>
      <c r="U52" s="126" t="n">
        <f aca="false">I52/$R$3</f>
        <v>0</v>
      </c>
      <c r="V52" s="126" t="n">
        <f aca="false">M52/$R$3</f>
        <v>0</v>
      </c>
      <c r="W52" s="126" t="n">
        <f aca="false">N52/$R$3</f>
        <v>0</v>
      </c>
    </row>
    <row r="53" customFormat="false" ht="12.75" hidden="true" customHeight="false" outlineLevel="0" collapsed="false">
      <c r="A53" s="120" t="n">
        <f aca="false">A52+1</f>
        <v>36939</v>
      </c>
      <c r="B53" s="131" t="str">
        <f aca="false">INDEX('Master Data'!$A$2:$B$8,MATCH(WEEKDAY('Plant Manager'!A53,3),'Master Data'!$A$2:$A$8,0),2)</f>
        <v>Sa</v>
      </c>
      <c r="D53" s="124" t="n">
        <v>0</v>
      </c>
      <c r="E53" s="124" t="n">
        <v>0</v>
      </c>
      <c r="F53" s="124" t="n">
        <v>0</v>
      </c>
      <c r="G53" s="124" t="n">
        <v>0</v>
      </c>
      <c r="I53" s="124" t="n">
        <f aca="false">IF(MONTH($A53)=MONTH($A52),IF(G53=0,I52,G53),G53)</f>
        <v>0</v>
      </c>
      <c r="J53" s="124" t="n">
        <f aca="false">IF(MONTH($A53)=MONTH($A52),SUM(I53-I52),I53)</f>
        <v>0</v>
      </c>
      <c r="K53" s="124" t="n">
        <f aca="false">IF(WEEKDAY(A53,3)&gt;4,0,(IF(A53&lt;K$2,0,IF(A53&lt;=K$3,1,0))))</f>
        <v>0</v>
      </c>
      <c r="L53" s="124" t="n">
        <f aca="false">J53*K53</f>
        <v>0</v>
      </c>
      <c r="M53" s="124" t="n">
        <f aca="false">SUM(J$6:J53)</f>
        <v>0</v>
      </c>
      <c r="N53" s="124" t="n">
        <f aca="false">SUM(J$6:J53)</f>
        <v>0</v>
      </c>
      <c r="P53" s="124" t="n">
        <f aca="false">D53/P$3</f>
        <v>0</v>
      </c>
      <c r="Q53" s="124" t="n">
        <f aca="false">E53/P$3</f>
        <v>0</v>
      </c>
      <c r="R53" s="124" t="n">
        <f aca="false">F53/R$3</f>
        <v>0</v>
      </c>
      <c r="S53" s="126" t="n">
        <f aca="false">J53/$R$3</f>
        <v>0</v>
      </c>
      <c r="T53" s="126" t="n">
        <f aca="false">L53/$R$3</f>
        <v>0</v>
      </c>
      <c r="U53" s="126" t="n">
        <f aca="false">I53/$R$3</f>
        <v>0</v>
      </c>
      <c r="V53" s="126" t="n">
        <f aca="false">M53/$R$3</f>
        <v>0</v>
      </c>
      <c r="W53" s="126" t="n">
        <f aca="false">N53/$R$3</f>
        <v>0</v>
      </c>
    </row>
    <row r="54" customFormat="false" ht="12.75" hidden="true" customHeight="false" outlineLevel="0" collapsed="false">
      <c r="A54" s="120" t="n">
        <f aca="false">A53+1</f>
        <v>36940</v>
      </c>
      <c r="B54" s="131" t="str">
        <f aca="false">INDEX('Master Data'!$A$2:$B$8,MATCH(WEEKDAY('Plant Manager'!A54,3),'Master Data'!$A$2:$A$8,0),2)</f>
        <v>Su</v>
      </c>
      <c r="D54" s="124" t="n">
        <v>0</v>
      </c>
      <c r="E54" s="124" t="n">
        <v>0</v>
      </c>
      <c r="F54" s="124" t="n">
        <v>0</v>
      </c>
      <c r="G54" s="124" t="n">
        <v>0</v>
      </c>
      <c r="I54" s="124" t="n">
        <f aca="false">IF(MONTH($A54)=MONTH($A53),IF(G54=0,I53,G54),G54)</f>
        <v>0</v>
      </c>
      <c r="J54" s="124" t="n">
        <f aca="false">IF(MONTH($A54)=MONTH($A53),SUM(I54-I53),I54)</f>
        <v>0</v>
      </c>
      <c r="K54" s="124" t="n">
        <f aca="false">IF(WEEKDAY(A54,3)&gt;4,0,(IF(A54&lt;K$2,0,IF(A54&lt;=K$3,1,0))))</f>
        <v>0</v>
      </c>
      <c r="L54" s="124" t="n">
        <f aca="false">J54*K54</f>
        <v>0</v>
      </c>
      <c r="M54" s="124" t="n">
        <f aca="false">SUM(J$6:J54)</f>
        <v>0</v>
      </c>
      <c r="N54" s="124" t="n">
        <f aca="false">SUM(J$6:J54)</f>
        <v>0</v>
      </c>
      <c r="P54" s="124" t="n">
        <f aca="false">D54/P$3</f>
        <v>0</v>
      </c>
      <c r="Q54" s="124" t="n">
        <f aca="false">E54/P$3</f>
        <v>0</v>
      </c>
      <c r="R54" s="124" t="n">
        <f aca="false">F54/R$3</f>
        <v>0</v>
      </c>
      <c r="S54" s="126" t="n">
        <f aca="false">J54/$R$3</f>
        <v>0</v>
      </c>
      <c r="T54" s="126" t="n">
        <f aca="false">L54/$R$3</f>
        <v>0</v>
      </c>
      <c r="U54" s="126" t="n">
        <f aca="false">I54/$R$3</f>
        <v>0</v>
      </c>
      <c r="V54" s="126" t="n">
        <f aca="false">M54/$R$3</f>
        <v>0</v>
      </c>
      <c r="W54" s="126" t="n">
        <f aca="false">N54/$R$3</f>
        <v>0</v>
      </c>
    </row>
    <row r="55" customFormat="false" ht="12.75" hidden="true" customHeight="false" outlineLevel="0" collapsed="false">
      <c r="A55" s="120" t="n">
        <f aca="false">A54+1</f>
        <v>36941</v>
      </c>
      <c r="B55" s="131" t="str">
        <f aca="false">INDEX('Master Data'!$A$2:$B$8,MATCH(WEEKDAY('Plant Manager'!A55,3),'Master Data'!$A$2:$A$8,0),2)</f>
        <v>M</v>
      </c>
      <c r="D55" s="124" t="n">
        <v>0</v>
      </c>
      <c r="E55" s="124" t="n">
        <v>0</v>
      </c>
      <c r="F55" s="124" t="n">
        <v>0</v>
      </c>
      <c r="G55" s="124" t="n">
        <v>0</v>
      </c>
      <c r="I55" s="124" t="n">
        <f aca="false">IF(MONTH($A55)=MONTH($A54),IF(G55=0,I54,G55),G55)</f>
        <v>0</v>
      </c>
      <c r="J55" s="124" t="n">
        <f aca="false">IF(MONTH($A55)=MONTH($A54),SUM(I55-I54),I55)</f>
        <v>0</v>
      </c>
      <c r="K55" s="124" t="n">
        <f aca="false">IF(WEEKDAY(A55,3)&gt;4,0,(IF(A55&lt;K$2,0,IF(A55&lt;=K$3,1,0))))</f>
        <v>0</v>
      </c>
      <c r="L55" s="124" t="n">
        <f aca="false">J55*K55</f>
        <v>0</v>
      </c>
      <c r="M55" s="124" t="n">
        <f aca="false">SUM(J$6:J55)</f>
        <v>0</v>
      </c>
      <c r="N55" s="124" t="n">
        <f aca="false">SUM(J$6:J55)</f>
        <v>0</v>
      </c>
      <c r="P55" s="124" t="n">
        <f aca="false">D55/P$3</f>
        <v>0</v>
      </c>
      <c r="Q55" s="124" t="n">
        <f aca="false">E55/P$3</f>
        <v>0</v>
      </c>
      <c r="R55" s="124" t="n">
        <f aca="false">F55/R$3</f>
        <v>0</v>
      </c>
      <c r="S55" s="126" t="n">
        <f aca="false">J55/$R$3</f>
        <v>0</v>
      </c>
      <c r="T55" s="126" t="n">
        <f aca="false">L55/$R$3</f>
        <v>0</v>
      </c>
      <c r="U55" s="126" t="n">
        <f aca="false">I55/$R$3</f>
        <v>0</v>
      </c>
      <c r="V55" s="126" t="n">
        <f aca="false">M55/$R$3</f>
        <v>0</v>
      </c>
      <c r="W55" s="126" t="n">
        <f aca="false">N55/$R$3</f>
        <v>0</v>
      </c>
    </row>
    <row r="56" customFormat="false" ht="12.75" hidden="true" customHeight="false" outlineLevel="0" collapsed="false">
      <c r="A56" s="120" t="n">
        <f aca="false">A55+1</f>
        <v>36942</v>
      </c>
      <c r="B56" s="131" t="str">
        <f aca="false">INDEX('Master Data'!$A$2:$B$8,MATCH(WEEKDAY('Plant Manager'!A56,3),'Master Data'!$A$2:$A$8,0),2)</f>
        <v>T</v>
      </c>
      <c r="D56" s="124" t="n">
        <v>0</v>
      </c>
      <c r="E56" s="124" t="n">
        <v>0</v>
      </c>
      <c r="F56" s="124" t="n">
        <v>0</v>
      </c>
      <c r="G56" s="124" t="n">
        <v>0</v>
      </c>
      <c r="I56" s="124" t="n">
        <f aca="false">IF(MONTH($A56)=MONTH($A55),IF(G56=0,I55,G56),G56)</f>
        <v>0</v>
      </c>
      <c r="J56" s="124" t="n">
        <f aca="false">IF(MONTH($A56)=MONTH($A55),SUM(I56-I55),I56)</f>
        <v>0</v>
      </c>
      <c r="K56" s="124" t="n">
        <f aca="false">IF(WEEKDAY(A56,3)&gt;4,0,(IF(A56&lt;K$2,0,IF(A56&lt;=K$3,1,0))))</f>
        <v>0</v>
      </c>
      <c r="L56" s="124" t="n">
        <f aca="false">J56*K56</f>
        <v>0</v>
      </c>
      <c r="M56" s="124" t="n">
        <f aca="false">SUM(J$6:J56)</f>
        <v>0</v>
      </c>
      <c r="N56" s="124" t="n">
        <f aca="false">SUM(J$6:J56)</f>
        <v>0</v>
      </c>
      <c r="P56" s="124" t="n">
        <f aca="false">D56/P$3</f>
        <v>0</v>
      </c>
      <c r="Q56" s="124" t="n">
        <f aca="false">E56/P$3</f>
        <v>0</v>
      </c>
      <c r="R56" s="124" t="n">
        <f aca="false">F56/R$3</f>
        <v>0</v>
      </c>
      <c r="S56" s="126" t="n">
        <f aca="false">J56/$R$3</f>
        <v>0</v>
      </c>
      <c r="T56" s="126" t="n">
        <f aca="false">L56/$R$3</f>
        <v>0</v>
      </c>
      <c r="U56" s="126" t="n">
        <f aca="false">I56/$R$3</f>
        <v>0</v>
      </c>
      <c r="V56" s="126" t="n">
        <f aca="false">M56/$R$3</f>
        <v>0</v>
      </c>
      <c r="W56" s="126" t="n">
        <f aca="false">N56/$R$3</f>
        <v>0</v>
      </c>
    </row>
    <row r="57" customFormat="false" ht="12.75" hidden="true" customHeight="false" outlineLevel="0" collapsed="false">
      <c r="A57" s="120" t="n">
        <f aca="false">A56+1</f>
        <v>36943</v>
      </c>
      <c r="B57" s="131" t="str">
        <f aca="false">INDEX('Master Data'!$A$2:$B$8,MATCH(WEEKDAY('Plant Manager'!A57,3),'Master Data'!$A$2:$A$8,0),2)</f>
        <v>W</v>
      </c>
      <c r="D57" s="124" t="n">
        <v>0</v>
      </c>
      <c r="E57" s="124" t="n">
        <v>0</v>
      </c>
      <c r="F57" s="124" t="n">
        <v>0</v>
      </c>
      <c r="G57" s="124" t="n">
        <v>0</v>
      </c>
      <c r="I57" s="124" t="n">
        <f aca="false">IF(MONTH($A57)=MONTH($A56),IF(G57=0,I56,G57),G57)</f>
        <v>0</v>
      </c>
      <c r="J57" s="124" t="n">
        <f aca="false">IF(MONTH($A57)=MONTH($A56),SUM(I57-I56),I57)</f>
        <v>0</v>
      </c>
      <c r="K57" s="124" t="n">
        <f aca="false">IF(WEEKDAY(A57,3)&gt;4,0,(IF(A57&lt;K$2,0,IF(A57&lt;=K$3,1,0))))</f>
        <v>0</v>
      </c>
      <c r="L57" s="124" t="n">
        <f aca="false">J57*K57</f>
        <v>0</v>
      </c>
      <c r="M57" s="124" t="n">
        <f aca="false">SUM(J$6:J57)</f>
        <v>0</v>
      </c>
      <c r="N57" s="124" t="n">
        <f aca="false">SUM(J$6:J57)</f>
        <v>0</v>
      </c>
      <c r="P57" s="124" t="n">
        <f aca="false">D57/P$3</f>
        <v>0</v>
      </c>
      <c r="Q57" s="124" t="n">
        <f aca="false">E57/P$3</f>
        <v>0</v>
      </c>
      <c r="R57" s="124" t="n">
        <f aca="false">F57/R$3</f>
        <v>0</v>
      </c>
      <c r="S57" s="126" t="n">
        <f aca="false">J57/$R$3</f>
        <v>0</v>
      </c>
      <c r="T57" s="126" t="n">
        <f aca="false">L57/$R$3</f>
        <v>0</v>
      </c>
      <c r="U57" s="126" t="n">
        <f aca="false">I57/$R$3</f>
        <v>0</v>
      </c>
      <c r="V57" s="126" t="n">
        <f aca="false">M57/$R$3</f>
        <v>0</v>
      </c>
      <c r="W57" s="126" t="n">
        <f aca="false">N57/$R$3</f>
        <v>0</v>
      </c>
    </row>
    <row r="58" customFormat="false" ht="12.75" hidden="true" customHeight="false" outlineLevel="0" collapsed="false">
      <c r="A58" s="120" t="n">
        <f aca="false">A57+1</f>
        <v>36944</v>
      </c>
      <c r="B58" s="131" t="str">
        <f aca="false">INDEX('Master Data'!$A$2:$B$8,MATCH(WEEKDAY('Plant Manager'!A58,3),'Master Data'!$A$2:$A$8,0),2)</f>
        <v>Th</v>
      </c>
      <c r="D58" s="124" t="n">
        <v>0</v>
      </c>
      <c r="E58" s="124" t="n">
        <v>0</v>
      </c>
      <c r="F58" s="124" t="n">
        <v>0</v>
      </c>
      <c r="G58" s="124" t="n">
        <v>0</v>
      </c>
      <c r="I58" s="124" t="n">
        <f aca="false">IF(MONTH($A58)=MONTH($A57),IF(G58=0,I57,G58),G58)</f>
        <v>0</v>
      </c>
      <c r="J58" s="124" t="n">
        <f aca="false">IF(MONTH($A58)=MONTH($A57),SUM(I58-I57),I58)</f>
        <v>0</v>
      </c>
      <c r="K58" s="124" t="n">
        <f aca="false">IF(WEEKDAY(A58,3)&gt;4,0,(IF(A58&lt;K$2,0,IF(A58&lt;=K$3,1,0))))</f>
        <v>0</v>
      </c>
      <c r="L58" s="124" t="n">
        <f aca="false">J58*K58</f>
        <v>0</v>
      </c>
      <c r="M58" s="124" t="n">
        <f aca="false">SUM(J$6:J58)</f>
        <v>0</v>
      </c>
      <c r="N58" s="124" t="n">
        <f aca="false">SUM(J$6:J58)</f>
        <v>0</v>
      </c>
      <c r="P58" s="124" t="n">
        <f aca="false">D58/P$3</f>
        <v>0</v>
      </c>
      <c r="Q58" s="124" t="n">
        <f aca="false">E58/P$3</f>
        <v>0</v>
      </c>
      <c r="R58" s="124" t="n">
        <f aca="false">F58/R$3</f>
        <v>0</v>
      </c>
      <c r="S58" s="126" t="n">
        <f aca="false">J58/$R$3</f>
        <v>0</v>
      </c>
      <c r="T58" s="126" t="n">
        <f aca="false">L58/$R$3</f>
        <v>0</v>
      </c>
      <c r="U58" s="126" t="n">
        <f aca="false">I58/$R$3</f>
        <v>0</v>
      </c>
      <c r="V58" s="126" t="n">
        <f aca="false">M58/$R$3</f>
        <v>0</v>
      </c>
      <c r="W58" s="126" t="n">
        <f aca="false">N58/$R$3</f>
        <v>0</v>
      </c>
    </row>
    <row r="59" customFormat="false" ht="12.75" hidden="true" customHeight="false" outlineLevel="0" collapsed="false">
      <c r="A59" s="120" t="n">
        <f aca="false">A58+1</f>
        <v>36945</v>
      </c>
      <c r="B59" s="131" t="str">
        <f aca="false">INDEX('Master Data'!$A$2:$B$8,MATCH(WEEKDAY('Plant Manager'!A59,3),'Master Data'!$A$2:$A$8,0),2)</f>
        <v>F</v>
      </c>
      <c r="D59" s="124" t="n">
        <v>0</v>
      </c>
      <c r="E59" s="124" t="n">
        <v>0</v>
      </c>
      <c r="F59" s="124" t="n">
        <v>0</v>
      </c>
      <c r="G59" s="124" t="n">
        <v>0</v>
      </c>
      <c r="I59" s="124" t="n">
        <f aca="false">IF(MONTH($A59)=MONTH($A58),IF(G59=0,I58,G59),G59)</f>
        <v>0</v>
      </c>
      <c r="J59" s="124" t="n">
        <f aca="false">IF(MONTH($A59)=MONTH($A58),SUM(I59-I58),I59)</f>
        <v>0</v>
      </c>
      <c r="K59" s="124" t="n">
        <f aca="false">IF(WEEKDAY(A59,3)&gt;4,0,(IF(A59&lt;K$2,0,IF(A59&lt;=K$3,1,0))))</f>
        <v>0</v>
      </c>
      <c r="L59" s="124" t="n">
        <f aca="false">J59*K59</f>
        <v>0</v>
      </c>
      <c r="M59" s="124" t="n">
        <f aca="false">SUM(J$6:J59)</f>
        <v>0</v>
      </c>
      <c r="N59" s="124" t="n">
        <f aca="false">SUM(J$6:J59)</f>
        <v>0</v>
      </c>
      <c r="P59" s="124" t="n">
        <f aca="false">D59/P$3</f>
        <v>0</v>
      </c>
      <c r="Q59" s="124" t="n">
        <f aca="false">E59/P$3</f>
        <v>0</v>
      </c>
      <c r="R59" s="124" t="n">
        <f aca="false">F59/R$3</f>
        <v>0</v>
      </c>
      <c r="S59" s="126" t="n">
        <f aca="false">J59/$R$3</f>
        <v>0</v>
      </c>
      <c r="T59" s="126" t="n">
        <f aca="false">L59/$R$3</f>
        <v>0</v>
      </c>
      <c r="U59" s="126" t="n">
        <f aca="false">I59/$R$3</f>
        <v>0</v>
      </c>
      <c r="V59" s="126" t="n">
        <f aca="false">M59/$R$3</f>
        <v>0</v>
      </c>
      <c r="W59" s="126" t="n">
        <f aca="false">N59/$R$3</f>
        <v>0</v>
      </c>
    </row>
    <row r="60" customFormat="false" ht="12.75" hidden="true" customHeight="false" outlineLevel="0" collapsed="false">
      <c r="A60" s="120" t="n">
        <f aca="false">A59+1</f>
        <v>36946</v>
      </c>
      <c r="B60" s="131" t="str">
        <f aca="false">INDEX('Master Data'!$A$2:$B$8,MATCH(WEEKDAY('Plant Manager'!A60,3),'Master Data'!$A$2:$A$8,0),2)</f>
        <v>Sa</v>
      </c>
      <c r="D60" s="124" t="n">
        <v>0</v>
      </c>
      <c r="E60" s="124" t="n">
        <v>0</v>
      </c>
      <c r="F60" s="124" t="n">
        <v>0</v>
      </c>
      <c r="G60" s="124" t="n">
        <v>0</v>
      </c>
      <c r="I60" s="124" t="n">
        <f aca="false">IF(MONTH($A60)=MONTH($A59),IF(G60=0,I59,G60),G60)</f>
        <v>0</v>
      </c>
      <c r="J60" s="124" t="n">
        <f aca="false">IF(MONTH($A60)=MONTH($A59),SUM(I60-I59),I60)</f>
        <v>0</v>
      </c>
      <c r="K60" s="124" t="n">
        <f aca="false">IF(WEEKDAY(A60,3)&gt;4,0,(IF(A60&lt;K$2,0,IF(A60&lt;=K$3,1,0))))</f>
        <v>0</v>
      </c>
      <c r="L60" s="124" t="n">
        <f aca="false">J60*K60</f>
        <v>0</v>
      </c>
      <c r="M60" s="124" t="n">
        <f aca="false">SUM(J$6:J60)</f>
        <v>0</v>
      </c>
      <c r="N60" s="124" t="n">
        <f aca="false">SUM(J$6:J60)</f>
        <v>0</v>
      </c>
      <c r="P60" s="124" t="n">
        <f aca="false">D60/P$3</f>
        <v>0</v>
      </c>
      <c r="Q60" s="124" t="n">
        <f aca="false">E60/P$3</f>
        <v>0</v>
      </c>
      <c r="R60" s="124" t="n">
        <f aca="false">F60/R$3</f>
        <v>0</v>
      </c>
      <c r="S60" s="126" t="n">
        <f aca="false">J60/$R$3</f>
        <v>0</v>
      </c>
      <c r="T60" s="126" t="n">
        <f aca="false">L60/$R$3</f>
        <v>0</v>
      </c>
      <c r="U60" s="126" t="n">
        <f aca="false">I60/$R$3</f>
        <v>0</v>
      </c>
      <c r="V60" s="126" t="n">
        <f aca="false">M60/$R$3</f>
        <v>0</v>
      </c>
      <c r="W60" s="126" t="n">
        <f aca="false">N60/$R$3</f>
        <v>0</v>
      </c>
    </row>
    <row r="61" customFormat="false" ht="12.75" hidden="true" customHeight="false" outlineLevel="0" collapsed="false">
      <c r="A61" s="120" t="n">
        <f aca="false">A60+1</f>
        <v>36947</v>
      </c>
      <c r="B61" s="131" t="str">
        <f aca="false">INDEX('Master Data'!$A$2:$B$8,MATCH(WEEKDAY('Plant Manager'!A61,3),'Master Data'!$A$2:$A$8,0),2)</f>
        <v>Su</v>
      </c>
      <c r="D61" s="124" t="n">
        <v>0</v>
      </c>
      <c r="E61" s="124" t="n">
        <v>0</v>
      </c>
      <c r="F61" s="124" t="n">
        <v>0</v>
      </c>
      <c r="G61" s="124" t="n">
        <v>0</v>
      </c>
      <c r="I61" s="124" t="n">
        <f aca="false">IF(MONTH($A61)=MONTH($A60),IF(G61=0,I60,G61),G61)</f>
        <v>0</v>
      </c>
      <c r="J61" s="124" t="n">
        <f aca="false">IF(MONTH($A61)=MONTH($A60),SUM(I61-I60),I61)</f>
        <v>0</v>
      </c>
      <c r="K61" s="124" t="n">
        <f aca="false">IF(WEEKDAY(A61,3)&gt;4,0,(IF(A61&lt;K$2,0,IF(A61&lt;=K$3,1,0))))</f>
        <v>0</v>
      </c>
      <c r="L61" s="124" t="n">
        <f aca="false">J61*K61</f>
        <v>0</v>
      </c>
      <c r="M61" s="124" t="n">
        <f aca="false">SUM(J$6:J61)</f>
        <v>0</v>
      </c>
      <c r="N61" s="124" t="n">
        <f aca="false">SUM(J$6:J61)</f>
        <v>0</v>
      </c>
      <c r="P61" s="124" t="n">
        <f aca="false">D61/P$3</f>
        <v>0</v>
      </c>
      <c r="Q61" s="124" t="n">
        <f aca="false">E61/P$3</f>
        <v>0</v>
      </c>
      <c r="R61" s="124" t="n">
        <f aca="false">F61/R$3</f>
        <v>0</v>
      </c>
      <c r="S61" s="126" t="n">
        <f aca="false">J61/$R$3</f>
        <v>0</v>
      </c>
      <c r="T61" s="126" t="n">
        <f aca="false">L61/$R$3</f>
        <v>0</v>
      </c>
      <c r="U61" s="126" t="n">
        <f aca="false">I61/$R$3</f>
        <v>0</v>
      </c>
      <c r="V61" s="126" t="n">
        <f aca="false">M61/$R$3</f>
        <v>0</v>
      </c>
      <c r="W61" s="126" t="n">
        <f aca="false">N61/$R$3</f>
        <v>0</v>
      </c>
    </row>
    <row r="62" customFormat="false" ht="12.75" hidden="true" customHeight="false" outlineLevel="0" collapsed="false">
      <c r="A62" s="120" t="n">
        <f aca="false">A61+1</f>
        <v>36948</v>
      </c>
      <c r="B62" s="131" t="str">
        <f aca="false">INDEX('Master Data'!$A$2:$B$8,MATCH(WEEKDAY('Plant Manager'!A62,3),'Master Data'!$A$2:$A$8,0),2)</f>
        <v>M</v>
      </c>
      <c r="D62" s="124" t="n">
        <v>0</v>
      </c>
      <c r="E62" s="124" t="n">
        <v>0</v>
      </c>
      <c r="F62" s="124" t="n">
        <v>0</v>
      </c>
      <c r="G62" s="124" t="n">
        <v>0</v>
      </c>
      <c r="I62" s="124" t="n">
        <f aca="false">IF(MONTH($A62)=MONTH($A61),IF(G62=0,I61,G62),G62)</f>
        <v>0</v>
      </c>
      <c r="J62" s="124" t="n">
        <f aca="false">IF(MONTH($A62)=MONTH($A61),SUM(I62-I61),I62)</f>
        <v>0</v>
      </c>
      <c r="K62" s="124" t="n">
        <f aca="false">IF(WEEKDAY(A62,3)&gt;4,0,(IF(A62&lt;K$2,0,IF(A62&lt;=K$3,1,0))))</f>
        <v>0</v>
      </c>
      <c r="L62" s="124" t="n">
        <f aca="false">J62*K62</f>
        <v>0</v>
      </c>
      <c r="M62" s="124" t="n">
        <f aca="false">SUM(J$6:J62)</f>
        <v>0</v>
      </c>
      <c r="N62" s="124" t="n">
        <f aca="false">SUM(J$6:J62)</f>
        <v>0</v>
      </c>
      <c r="P62" s="124" t="n">
        <f aca="false">D62/P$3</f>
        <v>0</v>
      </c>
      <c r="Q62" s="124" t="n">
        <f aca="false">E62/P$3</f>
        <v>0</v>
      </c>
      <c r="R62" s="124" t="n">
        <f aca="false">F62/R$3</f>
        <v>0</v>
      </c>
      <c r="S62" s="126" t="n">
        <f aca="false">J62/$R$3</f>
        <v>0</v>
      </c>
      <c r="T62" s="126" t="n">
        <f aca="false">L62/$R$3</f>
        <v>0</v>
      </c>
      <c r="U62" s="126" t="n">
        <f aca="false">I62/$R$3</f>
        <v>0</v>
      </c>
      <c r="V62" s="126" t="n">
        <f aca="false">M62/$R$3</f>
        <v>0</v>
      </c>
      <c r="W62" s="126" t="n">
        <f aca="false">N62/$R$3</f>
        <v>0</v>
      </c>
    </row>
    <row r="63" customFormat="false" ht="12.75" hidden="true" customHeight="false" outlineLevel="0" collapsed="false">
      <c r="A63" s="120" t="n">
        <f aca="false">A62+1</f>
        <v>36949</v>
      </c>
      <c r="B63" s="131" t="str">
        <f aca="false">INDEX('Master Data'!$A$2:$B$8,MATCH(WEEKDAY('Plant Manager'!A63,3),'Master Data'!$A$2:$A$8,0),2)</f>
        <v>T</v>
      </c>
      <c r="D63" s="124" t="n">
        <v>0</v>
      </c>
      <c r="E63" s="124" t="n">
        <v>0</v>
      </c>
      <c r="F63" s="124" t="n">
        <v>0</v>
      </c>
      <c r="G63" s="124" t="n">
        <v>0</v>
      </c>
      <c r="I63" s="124" t="n">
        <f aca="false">IF(MONTH($A63)=MONTH($A62),IF(G63=0,I62,G63),G63)</f>
        <v>0</v>
      </c>
      <c r="J63" s="124" t="n">
        <f aca="false">IF(MONTH($A63)=MONTH($A62),SUM(I63-I62),I63)</f>
        <v>0</v>
      </c>
      <c r="K63" s="124" t="n">
        <f aca="false">IF(WEEKDAY(A63,3)&gt;4,0,(IF(A63&lt;K$2,0,IF(A63&lt;=K$3,1,0))))</f>
        <v>0</v>
      </c>
      <c r="L63" s="124" t="n">
        <f aca="false">J63*K63</f>
        <v>0</v>
      </c>
      <c r="M63" s="124" t="n">
        <f aca="false">SUM(J$6:J63)</f>
        <v>0</v>
      </c>
      <c r="N63" s="124" t="n">
        <f aca="false">SUM(J$6:J63)</f>
        <v>0</v>
      </c>
      <c r="P63" s="124" t="n">
        <f aca="false">D63/P$3</f>
        <v>0</v>
      </c>
      <c r="Q63" s="124" t="n">
        <f aca="false">E63/P$3</f>
        <v>0</v>
      </c>
      <c r="R63" s="124" t="n">
        <f aca="false">F63/R$3</f>
        <v>0</v>
      </c>
      <c r="S63" s="126" t="n">
        <f aca="false">J63/$R$3</f>
        <v>0</v>
      </c>
      <c r="T63" s="126" t="n">
        <f aca="false">L63/$R$3</f>
        <v>0</v>
      </c>
      <c r="U63" s="126" t="n">
        <f aca="false">I63/$R$3</f>
        <v>0</v>
      </c>
      <c r="V63" s="126" t="n">
        <f aca="false">M63/$R$3</f>
        <v>0</v>
      </c>
      <c r="W63" s="126" t="n">
        <f aca="false">N63/$R$3</f>
        <v>0</v>
      </c>
    </row>
    <row r="64" customFormat="false" ht="12.75" hidden="false" customHeight="false" outlineLevel="0" collapsed="false">
      <c r="A64" s="120" t="n">
        <f aca="false">A63+1</f>
        <v>36950</v>
      </c>
      <c r="B64" s="131" t="str">
        <f aca="false">INDEX('Master Data'!$A$2:$B$8,MATCH(WEEKDAY('Plant Manager'!A64,3),'Master Data'!$A$2:$A$8,0),2)</f>
        <v>W</v>
      </c>
      <c r="D64" s="124" t="n">
        <v>0</v>
      </c>
      <c r="E64" s="124" t="n">
        <v>0</v>
      </c>
      <c r="F64" s="124" t="n">
        <v>0</v>
      </c>
      <c r="G64" s="124" t="n">
        <v>0</v>
      </c>
      <c r="I64" s="124" t="n">
        <f aca="false">IF(MONTH($A64)=MONTH($A63),IF(G64=0,I63,G64),G64)</f>
        <v>0</v>
      </c>
      <c r="J64" s="124" t="n">
        <f aca="false">IF(MONTH($A64)=MONTH($A63),SUM(I64-I63),I64)</f>
        <v>0</v>
      </c>
      <c r="K64" s="124" t="n">
        <f aca="false">IF(WEEKDAY(A64,3)&gt;4,0,(IF(A64&lt;K$2,0,IF(A64&lt;=K$3,1,0))))</f>
        <v>0</v>
      </c>
      <c r="L64" s="124" t="n">
        <f aca="false">J64*K64</f>
        <v>0</v>
      </c>
      <c r="M64" s="124" t="n">
        <f aca="false">SUM(J$6:J64)</f>
        <v>0</v>
      </c>
      <c r="N64" s="124" t="n">
        <f aca="false">SUM(J$6:J64)</f>
        <v>0</v>
      </c>
      <c r="P64" s="124" t="n">
        <f aca="false">D64/P$3</f>
        <v>0</v>
      </c>
      <c r="Q64" s="124" t="n">
        <f aca="false">E64/P$3</f>
        <v>0</v>
      </c>
      <c r="R64" s="124" t="n">
        <f aca="false">F64/R$3</f>
        <v>0</v>
      </c>
      <c r="S64" s="126" t="n">
        <f aca="false">J64/$R$3</f>
        <v>0</v>
      </c>
      <c r="T64" s="126" t="n">
        <f aca="false">L64/$R$3</f>
        <v>0</v>
      </c>
      <c r="U64" s="126" t="n">
        <f aca="false">I64/$R$3</f>
        <v>0</v>
      </c>
      <c r="V64" s="126" t="n">
        <f aca="false">M64/$R$3</f>
        <v>0</v>
      </c>
      <c r="W64" s="126" t="n">
        <f aca="false">N64/$R$3</f>
        <v>0</v>
      </c>
    </row>
    <row r="65" customFormat="false" ht="12.75" hidden="true" customHeight="false" outlineLevel="0" collapsed="false">
      <c r="A65" s="120" t="n">
        <f aca="false">A64+1</f>
        <v>36951</v>
      </c>
      <c r="B65" s="131" t="str">
        <f aca="false">INDEX('Master Data'!$A$2:$B$8,MATCH(WEEKDAY('Plant Manager'!A65,3),'Master Data'!$A$2:$A$8,0),2)</f>
        <v>Th</v>
      </c>
      <c r="D65" s="124" t="n">
        <v>0</v>
      </c>
      <c r="E65" s="124" t="n">
        <v>0</v>
      </c>
      <c r="F65" s="124" t="n">
        <v>0</v>
      </c>
      <c r="G65" s="124" t="n">
        <v>0</v>
      </c>
      <c r="I65" s="124" t="n">
        <f aca="false">IF(MONTH($A65)=MONTH($A64),IF(G65=0,I64,G65),G65)</f>
        <v>0</v>
      </c>
      <c r="J65" s="124" t="n">
        <f aca="false">IF(MONTH($A65)=MONTH($A64),SUM(I65-I64),I65)</f>
        <v>0</v>
      </c>
      <c r="K65" s="124" t="n">
        <f aca="false">IF(WEEKDAY(A65,3)&gt;4,0,(IF(A65&lt;K$2,0,IF(A65&lt;=K$3,1,0))))</f>
        <v>0</v>
      </c>
      <c r="L65" s="124" t="n">
        <f aca="false">J65*K65</f>
        <v>0</v>
      </c>
      <c r="M65" s="124" t="n">
        <f aca="false">SUM(J$6:J65)</f>
        <v>0</v>
      </c>
      <c r="N65" s="124" t="n">
        <f aca="false">SUM(J$6:J65)</f>
        <v>0</v>
      </c>
      <c r="P65" s="124" t="n">
        <f aca="false">D65/P$3</f>
        <v>0</v>
      </c>
      <c r="Q65" s="124" t="n">
        <f aca="false">E65/P$3</f>
        <v>0</v>
      </c>
      <c r="R65" s="124" t="n">
        <f aca="false">F65/R$3</f>
        <v>0</v>
      </c>
      <c r="S65" s="126" t="n">
        <f aca="false">J65/$R$3</f>
        <v>0</v>
      </c>
      <c r="T65" s="126" t="n">
        <f aca="false">L65/$R$3</f>
        <v>0</v>
      </c>
      <c r="U65" s="126" t="n">
        <f aca="false">I65/$R$3</f>
        <v>0</v>
      </c>
      <c r="V65" s="126" t="n">
        <f aca="false">M65/$R$3</f>
        <v>0</v>
      </c>
      <c r="W65" s="126" t="n">
        <f aca="false">N65/$R$3</f>
        <v>0</v>
      </c>
    </row>
    <row r="66" customFormat="false" ht="12.75" hidden="true" customHeight="false" outlineLevel="0" collapsed="false">
      <c r="A66" s="120" t="n">
        <f aca="false">A65+1</f>
        <v>36952</v>
      </c>
      <c r="B66" s="131" t="str">
        <f aca="false">INDEX('Master Data'!$A$2:$B$8,MATCH(WEEKDAY('Plant Manager'!A66,3),'Master Data'!$A$2:$A$8,0),2)</f>
        <v>F</v>
      </c>
      <c r="D66" s="124" t="n">
        <v>0</v>
      </c>
      <c r="E66" s="124" t="n">
        <v>0</v>
      </c>
      <c r="F66" s="124" t="n">
        <v>0</v>
      </c>
      <c r="G66" s="124" t="n">
        <v>0</v>
      </c>
      <c r="I66" s="124" t="n">
        <f aca="false">IF(MONTH($A66)=MONTH($A65),IF(G66=0,I65,G66),G66)</f>
        <v>0</v>
      </c>
      <c r="J66" s="124" t="n">
        <f aca="false">IF(MONTH($A66)=MONTH($A65),SUM(I66-I65),I66)</f>
        <v>0</v>
      </c>
      <c r="K66" s="124" t="n">
        <f aca="false">IF(WEEKDAY(A66,3)&gt;4,0,(IF(A66&lt;K$2,0,IF(A66&lt;=K$3,1,0))))</f>
        <v>0</v>
      </c>
      <c r="L66" s="124" t="n">
        <f aca="false">J66*K66</f>
        <v>0</v>
      </c>
      <c r="M66" s="124" t="n">
        <f aca="false">SUM(J$6:J66)</f>
        <v>0</v>
      </c>
      <c r="N66" s="124" t="n">
        <f aca="false">SUM(J$6:J66)</f>
        <v>0</v>
      </c>
      <c r="P66" s="124" t="n">
        <f aca="false">D66/P$3</f>
        <v>0</v>
      </c>
      <c r="Q66" s="124" t="n">
        <f aca="false">E66/P$3</f>
        <v>0</v>
      </c>
      <c r="R66" s="124" t="n">
        <f aca="false">F66/R$3</f>
        <v>0</v>
      </c>
      <c r="S66" s="126" t="n">
        <f aca="false">J66/$R$3</f>
        <v>0</v>
      </c>
      <c r="T66" s="126" t="n">
        <f aca="false">L66/$R$3</f>
        <v>0</v>
      </c>
      <c r="U66" s="126" t="n">
        <f aca="false">I66/$R$3</f>
        <v>0</v>
      </c>
      <c r="V66" s="126" t="n">
        <f aca="false">M66/$R$3</f>
        <v>0</v>
      </c>
      <c r="W66" s="126" t="n">
        <f aca="false">N66/$R$3</f>
        <v>0</v>
      </c>
    </row>
    <row r="67" customFormat="false" ht="12.75" hidden="true" customHeight="false" outlineLevel="0" collapsed="false">
      <c r="A67" s="120" t="n">
        <f aca="false">A66+1</f>
        <v>36953</v>
      </c>
      <c r="B67" s="131" t="str">
        <f aca="false">INDEX('Master Data'!$A$2:$B$8,MATCH(WEEKDAY('Plant Manager'!A67,3),'Master Data'!$A$2:$A$8,0),2)</f>
        <v>Sa</v>
      </c>
      <c r="D67" s="124" t="n">
        <v>0</v>
      </c>
      <c r="E67" s="124" t="n">
        <v>0</v>
      </c>
      <c r="F67" s="124" t="n">
        <v>0</v>
      </c>
      <c r="G67" s="124" t="n">
        <v>0</v>
      </c>
      <c r="I67" s="124" t="n">
        <f aca="false">IF(MONTH($A67)=MONTH($A66),IF(G67=0,I66,G67),G67)</f>
        <v>0</v>
      </c>
      <c r="J67" s="124" t="n">
        <f aca="false">IF(MONTH($A67)=MONTH($A66),SUM(I67-I66),I67)</f>
        <v>0</v>
      </c>
      <c r="K67" s="124" t="n">
        <f aca="false">IF(WEEKDAY(A67,3)&gt;4,0,(IF(A67&lt;K$2,0,IF(A67&lt;=K$3,1,0))))</f>
        <v>0</v>
      </c>
      <c r="L67" s="124" t="n">
        <f aca="false">J67*K67</f>
        <v>0</v>
      </c>
      <c r="M67" s="124" t="n">
        <f aca="false">SUM(J$6:J67)</f>
        <v>0</v>
      </c>
      <c r="N67" s="124" t="n">
        <f aca="false">SUM(J$6:J67)</f>
        <v>0</v>
      </c>
      <c r="P67" s="124" t="n">
        <f aca="false">D67/P$3</f>
        <v>0</v>
      </c>
      <c r="Q67" s="124" t="n">
        <f aca="false">E67/P$3</f>
        <v>0</v>
      </c>
      <c r="R67" s="124" t="n">
        <f aca="false">F67/R$3</f>
        <v>0</v>
      </c>
      <c r="S67" s="126" t="n">
        <f aca="false">J67/$R$3</f>
        <v>0</v>
      </c>
      <c r="T67" s="126" t="n">
        <f aca="false">L67/$R$3</f>
        <v>0</v>
      </c>
      <c r="U67" s="126" t="n">
        <f aca="false">I67/$R$3</f>
        <v>0</v>
      </c>
      <c r="V67" s="126" t="n">
        <f aca="false">M67/$R$3</f>
        <v>0</v>
      </c>
      <c r="W67" s="126" t="n">
        <f aca="false">N67/$R$3</f>
        <v>0</v>
      </c>
    </row>
    <row r="68" customFormat="false" ht="12.75" hidden="true" customHeight="false" outlineLevel="0" collapsed="false">
      <c r="A68" s="120" t="n">
        <f aca="false">A67+1</f>
        <v>36954</v>
      </c>
      <c r="B68" s="131" t="str">
        <f aca="false">INDEX('Master Data'!$A$2:$B$8,MATCH(WEEKDAY('Plant Manager'!A68,3),'Master Data'!$A$2:$A$8,0),2)</f>
        <v>Su</v>
      </c>
      <c r="D68" s="124" t="n">
        <v>0</v>
      </c>
      <c r="E68" s="124" t="n">
        <v>0</v>
      </c>
      <c r="F68" s="124" t="n">
        <v>0</v>
      </c>
      <c r="G68" s="124" t="n">
        <v>0</v>
      </c>
      <c r="I68" s="124" t="n">
        <f aca="false">IF(MONTH($A68)=MONTH($A67),IF(G68=0,I67,G68),G68)</f>
        <v>0</v>
      </c>
      <c r="J68" s="124" t="n">
        <f aca="false">IF(MONTH($A68)=MONTH($A67),SUM(I68-I67),I68)</f>
        <v>0</v>
      </c>
      <c r="K68" s="124" t="n">
        <f aca="false">IF(WEEKDAY(A68,3)&gt;4,0,(IF(A68&lt;K$2,0,IF(A68&lt;=K$3,1,0))))</f>
        <v>0</v>
      </c>
      <c r="L68" s="124" t="n">
        <f aca="false">J68*K68</f>
        <v>0</v>
      </c>
      <c r="M68" s="124" t="n">
        <f aca="false">SUM(J$6:J68)</f>
        <v>0</v>
      </c>
      <c r="N68" s="124" t="n">
        <f aca="false">SUM(J$6:J68)</f>
        <v>0</v>
      </c>
      <c r="P68" s="124" t="n">
        <f aca="false">D68/P$3</f>
        <v>0</v>
      </c>
      <c r="Q68" s="124" t="n">
        <f aca="false">E68/P$3</f>
        <v>0</v>
      </c>
      <c r="R68" s="124" t="n">
        <f aca="false">F68/R$3</f>
        <v>0</v>
      </c>
      <c r="S68" s="126" t="n">
        <f aca="false">J68/$R$3</f>
        <v>0</v>
      </c>
      <c r="T68" s="126" t="n">
        <f aca="false">L68/$R$3</f>
        <v>0</v>
      </c>
      <c r="U68" s="126" t="n">
        <f aca="false">I68/$R$3</f>
        <v>0</v>
      </c>
      <c r="V68" s="126" t="n">
        <f aca="false">M68/$R$3</f>
        <v>0</v>
      </c>
      <c r="W68" s="126" t="n">
        <f aca="false">N68/$R$3</f>
        <v>0</v>
      </c>
    </row>
    <row r="69" customFormat="false" ht="12.75" hidden="true" customHeight="false" outlineLevel="0" collapsed="false">
      <c r="A69" s="120" t="n">
        <f aca="false">A68+1</f>
        <v>36955</v>
      </c>
      <c r="B69" s="131" t="str">
        <f aca="false">INDEX('Master Data'!$A$2:$B$8,MATCH(WEEKDAY('Plant Manager'!A69,3),'Master Data'!$A$2:$A$8,0),2)</f>
        <v>M</v>
      </c>
      <c r="D69" s="124" t="n">
        <v>0</v>
      </c>
      <c r="E69" s="124" t="n">
        <v>0</v>
      </c>
      <c r="F69" s="124" t="n">
        <v>0</v>
      </c>
      <c r="G69" s="124" t="n">
        <v>0</v>
      </c>
      <c r="I69" s="124" t="n">
        <f aca="false">IF(MONTH($A69)=MONTH($A68),IF(G69=0,I68,G69),G69)</f>
        <v>0</v>
      </c>
      <c r="J69" s="124" t="n">
        <f aca="false">IF(MONTH($A69)=MONTH($A68),SUM(I69-I68),I69)</f>
        <v>0</v>
      </c>
      <c r="K69" s="124" t="n">
        <f aca="false">IF(WEEKDAY(A69,3)&gt;4,0,(IF(A69&lt;K$2,0,IF(A69&lt;=K$3,1,0))))</f>
        <v>0</v>
      </c>
      <c r="L69" s="124" t="n">
        <f aca="false">J69*K69</f>
        <v>0</v>
      </c>
      <c r="M69" s="124" t="n">
        <f aca="false">SUM(J$6:J69)</f>
        <v>0</v>
      </c>
      <c r="N69" s="124" t="n">
        <f aca="false">SUM(J$6:J69)</f>
        <v>0</v>
      </c>
      <c r="P69" s="124" t="n">
        <f aca="false">D69/P$3</f>
        <v>0</v>
      </c>
      <c r="Q69" s="124" t="n">
        <f aca="false">E69/P$3</f>
        <v>0</v>
      </c>
      <c r="R69" s="124" t="n">
        <f aca="false">F69/R$3</f>
        <v>0</v>
      </c>
      <c r="S69" s="126" t="n">
        <f aca="false">J69/$R$3</f>
        <v>0</v>
      </c>
      <c r="T69" s="126" t="n">
        <f aca="false">L69/$R$3</f>
        <v>0</v>
      </c>
      <c r="U69" s="126" t="n">
        <f aca="false">I69/$R$3</f>
        <v>0</v>
      </c>
      <c r="V69" s="126" t="n">
        <f aca="false">M69/$R$3</f>
        <v>0</v>
      </c>
      <c r="W69" s="126" t="n">
        <f aca="false">N69/$R$3</f>
        <v>0</v>
      </c>
    </row>
    <row r="70" customFormat="false" ht="12.75" hidden="true" customHeight="false" outlineLevel="0" collapsed="false">
      <c r="A70" s="120" t="n">
        <f aca="false">A69+1</f>
        <v>36956</v>
      </c>
      <c r="B70" s="131" t="str">
        <f aca="false">INDEX('Master Data'!$A$2:$B$8,MATCH(WEEKDAY('Plant Manager'!A70,3),'Master Data'!$A$2:$A$8,0),2)</f>
        <v>T</v>
      </c>
      <c r="D70" s="124" t="n">
        <v>0</v>
      </c>
      <c r="E70" s="124" t="n">
        <v>0</v>
      </c>
      <c r="F70" s="124" t="n">
        <v>0</v>
      </c>
      <c r="G70" s="124" t="n">
        <v>0</v>
      </c>
      <c r="I70" s="124" t="n">
        <f aca="false">IF(MONTH($A70)=MONTH($A69),IF(G70=0,I69,G70),G70)</f>
        <v>0</v>
      </c>
      <c r="J70" s="124" t="n">
        <f aca="false">IF(MONTH($A70)=MONTH($A69),SUM(I70-I69),I70)</f>
        <v>0</v>
      </c>
      <c r="K70" s="124" t="n">
        <f aca="false">IF(WEEKDAY(A70,3)&gt;4,0,(IF(A70&lt;K$2,0,IF(A70&lt;=K$3,1,0))))</f>
        <v>0</v>
      </c>
      <c r="L70" s="124" t="n">
        <f aca="false">J70*K70</f>
        <v>0</v>
      </c>
      <c r="M70" s="124" t="n">
        <f aca="false">SUM(J$6:J70)</f>
        <v>0</v>
      </c>
      <c r="N70" s="124" t="n">
        <f aca="false">SUM(J$6:J70)</f>
        <v>0</v>
      </c>
      <c r="P70" s="124" t="n">
        <f aca="false">D70/P$3</f>
        <v>0</v>
      </c>
      <c r="Q70" s="124" t="n">
        <f aca="false">E70/P$3</f>
        <v>0</v>
      </c>
      <c r="R70" s="124" t="n">
        <f aca="false">F70/R$3</f>
        <v>0</v>
      </c>
      <c r="S70" s="126" t="n">
        <f aca="false">J70/$R$3</f>
        <v>0</v>
      </c>
      <c r="T70" s="126" t="n">
        <f aca="false">L70/$R$3</f>
        <v>0</v>
      </c>
      <c r="U70" s="126" t="n">
        <f aca="false">I70/$R$3</f>
        <v>0</v>
      </c>
      <c r="V70" s="126" t="n">
        <f aca="false">M70/$R$3</f>
        <v>0</v>
      </c>
      <c r="W70" s="126" t="n">
        <f aca="false">N70/$R$3</f>
        <v>0</v>
      </c>
    </row>
    <row r="71" customFormat="false" ht="12.75" hidden="true" customHeight="false" outlineLevel="0" collapsed="false">
      <c r="A71" s="120" t="n">
        <f aca="false">A70+1</f>
        <v>36957</v>
      </c>
      <c r="B71" s="131" t="str">
        <f aca="false">INDEX('Master Data'!$A$2:$B$8,MATCH(WEEKDAY('Plant Manager'!A71,3),'Master Data'!$A$2:$A$8,0),2)</f>
        <v>W</v>
      </c>
      <c r="D71" s="124" t="n">
        <v>0</v>
      </c>
      <c r="E71" s="124" t="n">
        <v>0</v>
      </c>
      <c r="F71" s="124" t="n">
        <v>0</v>
      </c>
      <c r="G71" s="124" t="n">
        <v>0</v>
      </c>
      <c r="I71" s="124" t="n">
        <f aca="false">IF(MONTH($A71)=MONTH($A70),IF(G71=0,I70,G71),G71)</f>
        <v>0</v>
      </c>
      <c r="J71" s="124" t="n">
        <f aca="false">IF(MONTH($A71)=MONTH($A70),SUM(I71-I70),I71)</f>
        <v>0</v>
      </c>
      <c r="K71" s="124" t="n">
        <f aca="false">IF(WEEKDAY(A71,3)&gt;4,0,(IF(A71&lt;K$2,0,IF(A71&lt;=K$3,1,0))))</f>
        <v>0</v>
      </c>
      <c r="L71" s="124" t="n">
        <f aca="false">J71*K71</f>
        <v>0</v>
      </c>
      <c r="M71" s="124" t="n">
        <f aca="false">SUM(J$6:J71)</f>
        <v>0</v>
      </c>
      <c r="N71" s="124" t="n">
        <f aca="false">SUM(J$6:J71)</f>
        <v>0</v>
      </c>
      <c r="P71" s="124" t="n">
        <f aca="false">D71/P$3</f>
        <v>0</v>
      </c>
      <c r="Q71" s="124" t="n">
        <f aca="false">E71/P$3</f>
        <v>0</v>
      </c>
      <c r="R71" s="124" t="n">
        <f aca="false">F71/R$3</f>
        <v>0</v>
      </c>
      <c r="S71" s="126" t="n">
        <f aca="false">J71/$R$3</f>
        <v>0</v>
      </c>
      <c r="T71" s="126" t="n">
        <f aca="false">L71/$R$3</f>
        <v>0</v>
      </c>
      <c r="U71" s="126" t="n">
        <f aca="false">I71/$R$3</f>
        <v>0</v>
      </c>
      <c r="V71" s="126" t="n">
        <f aca="false">M71/$R$3</f>
        <v>0</v>
      </c>
      <c r="W71" s="126" t="n">
        <f aca="false">N71/$R$3</f>
        <v>0</v>
      </c>
    </row>
    <row r="72" customFormat="false" ht="12.75" hidden="true" customHeight="false" outlineLevel="0" collapsed="false">
      <c r="A72" s="120" t="n">
        <f aca="false">A71+1</f>
        <v>36958</v>
      </c>
      <c r="B72" s="131" t="str">
        <f aca="false">INDEX('Master Data'!$A$2:$B$8,MATCH(WEEKDAY('Plant Manager'!A72,3),'Master Data'!$A$2:$A$8,0),2)</f>
        <v>Th</v>
      </c>
      <c r="D72" s="124" t="n">
        <v>0</v>
      </c>
      <c r="E72" s="124" t="n">
        <v>0</v>
      </c>
      <c r="F72" s="124" t="n">
        <v>0</v>
      </c>
      <c r="G72" s="124" t="n">
        <v>0</v>
      </c>
      <c r="I72" s="124" t="n">
        <f aca="false">IF(MONTH($A72)=MONTH($A71),IF(G72=0,I71,G72),G72)</f>
        <v>0</v>
      </c>
      <c r="J72" s="124" t="n">
        <f aca="false">IF(MONTH($A72)=MONTH($A71),SUM(I72-I71),I72)</f>
        <v>0</v>
      </c>
      <c r="K72" s="124" t="n">
        <f aca="false">IF(WEEKDAY(A72,3)&gt;4,0,(IF(A72&lt;K$2,0,IF(A72&lt;=K$3,1,0))))</f>
        <v>0</v>
      </c>
      <c r="L72" s="124" t="n">
        <f aca="false">J72*K72</f>
        <v>0</v>
      </c>
      <c r="M72" s="124" t="n">
        <f aca="false">SUM(J$6:J72)</f>
        <v>0</v>
      </c>
      <c r="N72" s="124" t="n">
        <f aca="false">SUM(J$6:J72)</f>
        <v>0</v>
      </c>
      <c r="P72" s="124" t="n">
        <f aca="false">D72/P$3</f>
        <v>0</v>
      </c>
      <c r="Q72" s="124" t="n">
        <f aca="false">E72/P$3</f>
        <v>0</v>
      </c>
      <c r="R72" s="124" t="n">
        <f aca="false">F72/R$3</f>
        <v>0</v>
      </c>
      <c r="S72" s="126" t="n">
        <f aca="false">J72/$R$3</f>
        <v>0</v>
      </c>
      <c r="T72" s="126" t="n">
        <f aca="false">L72/$R$3</f>
        <v>0</v>
      </c>
      <c r="U72" s="126" t="n">
        <f aca="false">I72/$R$3</f>
        <v>0</v>
      </c>
      <c r="V72" s="126" t="n">
        <f aca="false">M72/$R$3</f>
        <v>0</v>
      </c>
      <c r="W72" s="126" t="n">
        <f aca="false">N72/$R$3</f>
        <v>0</v>
      </c>
    </row>
    <row r="73" customFormat="false" ht="12.75" hidden="true" customHeight="false" outlineLevel="0" collapsed="false">
      <c r="A73" s="120" t="n">
        <f aca="false">A72+1</f>
        <v>36959</v>
      </c>
      <c r="B73" s="131" t="str">
        <f aca="false">INDEX('Master Data'!$A$2:$B$8,MATCH(WEEKDAY('Plant Manager'!A73,3),'Master Data'!$A$2:$A$8,0),2)</f>
        <v>F</v>
      </c>
      <c r="D73" s="124" t="n">
        <v>0</v>
      </c>
      <c r="E73" s="124" t="n">
        <v>0</v>
      </c>
      <c r="F73" s="124" t="n">
        <v>0</v>
      </c>
      <c r="G73" s="124" t="n">
        <v>0</v>
      </c>
      <c r="I73" s="124" t="n">
        <f aca="false">IF(MONTH($A73)=MONTH($A72),IF(G73=0,I72,G73),G73)</f>
        <v>0</v>
      </c>
      <c r="J73" s="124" t="n">
        <f aca="false">IF(MONTH($A73)=MONTH($A72),SUM(I73-I72),I73)</f>
        <v>0</v>
      </c>
      <c r="K73" s="124" t="n">
        <f aca="false">IF(WEEKDAY(A73,3)&gt;4,0,(IF(A73&lt;K$2,0,IF(A73&lt;=K$3,1,0))))</f>
        <v>0</v>
      </c>
      <c r="L73" s="124" t="n">
        <f aca="false">J73*K73</f>
        <v>0</v>
      </c>
      <c r="M73" s="124" t="n">
        <f aca="false">SUM(J$6:J73)</f>
        <v>0</v>
      </c>
      <c r="N73" s="124" t="n">
        <f aca="false">SUM(J$6:J73)</f>
        <v>0</v>
      </c>
      <c r="P73" s="124" t="n">
        <f aca="false">D73/P$3</f>
        <v>0</v>
      </c>
      <c r="Q73" s="124" t="n">
        <f aca="false">E73/P$3</f>
        <v>0</v>
      </c>
      <c r="R73" s="124" t="n">
        <f aca="false">F73/R$3</f>
        <v>0</v>
      </c>
      <c r="S73" s="126" t="n">
        <f aca="false">J73/$R$3</f>
        <v>0</v>
      </c>
      <c r="T73" s="126" t="n">
        <f aca="false">L73/$R$3</f>
        <v>0</v>
      </c>
      <c r="U73" s="126" t="n">
        <f aca="false">I73/$R$3</f>
        <v>0</v>
      </c>
      <c r="V73" s="126" t="n">
        <f aca="false">M73/$R$3</f>
        <v>0</v>
      </c>
      <c r="W73" s="126" t="n">
        <f aca="false">N73/$R$3</f>
        <v>0</v>
      </c>
    </row>
    <row r="74" customFormat="false" ht="12.75" hidden="true" customHeight="false" outlineLevel="0" collapsed="false">
      <c r="A74" s="120" t="n">
        <f aca="false">A73+1</f>
        <v>36960</v>
      </c>
      <c r="B74" s="131" t="str">
        <f aca="false">INDEX('Master Data'!$A$2:$B$8,MATCH(WEEKDAY('Plant Manager'!A74,3),'Master Data'!$A$2:$A$8,0),2)</f>
        <v>Sa</v>
      </c>
      <c r="D74" s="124" t="n">
        <v>0</v>
      </c>
      <c r="E74" s="124" t="n">
        <v>0</v>
      </c>
      <c r="F74" s="124" t="n">
        <v>0</v>
      </c>
      <c r="G74" s="124" t="n">
        <v>0</v>
      </c>
      <c r="I74" s="124" t="n">
        <f aca="false">IF(MONTH($A74)=MONTH($A73),IF(G74=0,I73,G74),G74)</f>
        <v>0</v>
      </c>
      <c r="J74" s="124" t="n">
        <f aca="false">IF(MONTH($A74)=MONTH($A73),SUM(I74-I73),I74)</f>
        <v>0</v>
      </c>
      <c r="K74" s="124" t="n">
        <f aca="false">IF(WEEKDAY(A74,3)&gt;4,0,(IF(A74&lt;K$2,0,IF(A74&lt;=K$3,1,0))))</f>
        <v>0</v>
      </c>
      <c r="L74" s="124" t="n">
        <f aca="false">J74*K74</f>
        <v>0</v>
      </c>
      <c r="M74" s="124" t="n">
        <f aca="false">SUM(J$6:J74)</f>
        <v>0</v>
      </c>
      <c r="N74" s="124" t="n">
        <f aca="false">SUM(J$6:J74)</f>
        <v>0</v>
      </c>
      <c r="P74" s="124" t="n">
        <f aca="false">D74/P$3</f>
        <v>0</v>
      </c>
      <c r="Q74" s="124" t="n">
        <f aca="false">E74/P$3</f>
        <v>0</v>
      </c>
      <c r="R74" s="124" t="n">
        <f aca="false">F74/R$3</f>
        <v>0</v>
      </c>
      <c r="S74" s="126" t="n">
        <f aca="false">J74/$R$3</f>
        <v>0</v>
      </c>
      <c r="T74" s="126" t="n">
        <f aca="false">L74/$R$3</f>
        <v>0</v>
      </c>
      <c r="U74" s="126" t="n">
        <f aca="false">I74/$R$3</f>
        <v>0</v>
      </c>
      <c r="V74" s="126" t="n">
        <f aca="false">M74/$R$3</f>
        <v>0</v>
      </c>
      <c r="W74" s="126" t="n">
        <f aca="false">N74/$R$3</f>
        <v>0</v>
      </c>
    </row>
    <row r="75" customFormat="false" ht="12.75" hidden="true" customHeight="false" outlineLevel="0" collapsed="false">
      <c r="A75" s="120" t="n">
        <f aca="false">A74+1</f>
        <v>36961</v>
      </c>
      <c r="B75" s="131" t="str">
        <f aca="false">INDEX('Master Data'!$A$2:$B$8,MATCH(WEEKDAY('Plant Manager'!A75,3),'Master Data'!$A$2:$A$8,0),2)</f>
        <v>Su</v>
      </c>
      <c r="D75" s="124" t="n">
        <v>0</v>
      </c>
      <c r="E75" s="124" t="n">
        <v>0</v>
      </c>
      <c r="F75" s="124" t="n">
        <v>0</v>
      </c>
      <c r="G75" s="124" t="n">
        <v>0</v>
      </c>
      <c r="I75" s="124" t="n">
        <f aca="false">IF(MONTH($A75)=MONTH($A74),IF(G75=0,I74,G75),G75)</f>
        <v>0</v>
      </c>
      <c r="J75" s="124" t="n">
        <f aca="false">IF(MONTH($A75)=MONTH($A74),SUM(I75-I74),I75)</f>
        <v>0</v>
      </c>
      <c r="K75" s="124" t="n">
        <f aca="false">IF(WEEKDAY(A75,3)&gt;4,0,(IF(A75&lt;K$2,0,IF(A75&lt;=K$3,1,0))))</f>
        <v>0</v>
      </c>
      <c r="L75" s="124" t="n">
        <f aca="false">J75*K75</f>
        <v>0</v>
      </c>
      <c r="M75" s="124" t="n">
        <f aca="false">SUM(J$6:J75)</f>
        <v>0</v>
      </c>
      <c r="N75" s="124" t="n">
        <f aca="false">SUM(J$6:J75)</f>
        <v>0</v>
      </c>
      <c r="P75" s="124" t="n">
        <f aca="false">D75/P$3</f>
        <v>0</v>
      </c>
      <c r="Q75" s="124" t="n">
        <f aca="false">E75/P$3</f>
        <v>0</v>
      </c>
      <c r="R75" s="124" t="n">
        <f aca="false">F75/R$3</f>
        <v>0</v>
      </c>
      <c r="S75" s="126" t="n">
        <f aca="false">J75/$R$3</f>
        <v>0</v>
      </c>
      <c r="T75" s="126" t="n">
        <f aca="false">L75/$R$3</f>
        <v>0</v>
      </c>
      <c r="U75" s="126" t="n">
        <f aca="false">I75/$R$3</f>
        <v>0</v>
      </c>
      <c r="V75" s="126" t="n">
        <f aca="false">M75/$R$3</f>
        <v>0</v>
      </c>
      <c r="W75" s="126" t="n">
        <f aca="false">N75/$R$3</f>
        <v>0</v>
      </c>
    </row>
    <row r="76" customFormat="false" ht="12.75" hidden="true" customHeight="false" outlineLevel="0" collapsed="false">
      <c r="A76" s="120" t="n">
        <f aca="false">A75+1</f>
        <v>36962</v>
      </c>
      <c r="B76" s="131" t="str">
        <f aca="false">INDEX('Master Data'!$A$2:$B$8,MATCH(WEEKDAY('Plant Manager'!A76,3),'Master Data'!$A$2:$A$8,0),2)</f>
        <v>M</v>
      </c>
      <c r="D76" s="124" t="n">
        <v>0</v>
      </c>
      <c r="E76" s="124" t="n">
        <v>0</v>
      </c>
      <c r="F76" s="124" t="n">
        <v>0</v>
      </c>
      <c r="G76" s="124" t="n">
        <v>0</v>
      </c>
      <c r="I76" s="124" t="n">
        <f aca="false">IF(MONTH($A76)=MONTH($A75),IF(G76=0,I75,G76),G76)</f>
        <v>0</v>
      </c>
      <c r="J76" s="124" t="n">
        <f aca="false">IF(MONTH($A76)=MONTH($A75),SUM(I76-I75),I76)</f>
        <v>0</v>
      </c>
      <c r="K76" s="124" t="n">
        <f aca="false">IF(WEEKDAY(A76,3)&gt;4,0,(IF(A76&lt;K$2,0,IF(A76&lt;=K$3,1,0))))</f>
        <v>0</v>
      </c>
      <c r="L76" s="124" t="n">
        <f aca="false">J76*K76</f>
        <v>0</v>
      </c>
      <c r="M76" s="124" t="n">
        <f aca="false">SUM(J$6:J76)</f>
        <v>0</v>
      </c>
      <c r="N76" s="124" t="n">
        <f aca="false">SUM(J$6:J76)</f>
        <v>0</v>
      </c>
      <c r="P76" s="124" t="n">
        <f aca="false">D76/P$3</f>
        <v>0</v>
      </c>
      <c r="Q76" s="124" t="n">
        <f aca="false">E76/P$3</f>
        <v>0</v>
      </c>
      <c r="R76" s="124" t="n">
        <f aca="false">F76/R$3</f>
        <v>0</v>
      </c>
      <c r="S76" s="126" t="n">
        <f aca="false">J76/$R$3</f>
        <v>0</v>
      </c>
      <c r="T76" s="126" t="n">
        <f aca="false">L76/$R$3</f>
        <v>0</v>
      </c>
      <c r="U76" s="126" t="n">
        <f aca="false">I76/$R$3</f>
        <v>0</v>
      </c>
      <c r="V76" s="126" t="n">
        <f aca="false">M76/$R$3</f>
        <v>0</v>
      </c>
      <c r="W76" s="126" t="n">
        <f aca="false">N76/$R$3</f>
        <v>0</v>
      </c>
    </row>
    <row r="77" customFormat="false" ht="12.75" hidden="true" customHeight="false" outlineLevel="0" collapsed="false">
      <c r="A77" s="120" t="n">
        <f aca="false">A76+1</f>
        <v>36963</v>
      </c>
      <c r="B77" s="131" t="str">
        <f aca="false">INDEX('Master Data'!$A$2:$B$8,MATCH(WEEKDAY('Plant Manager'!A77,3),'Master Data'!$A$2:$A$8,0),2)</f>
        <v>T</v>
      </c>
      <c r="D77" s="124" t="n">
        <v>0</v>
      </c>
      <c r="E77" s="124" t="n">
        <v>0</v>
      </c>
      <c r="F77" s="124" t="n">
        <v>0</v>
      </c>
      <c r="G77" s="124" t="n">
        <v>0</v>
      </c>
      <c r="I77" s="124" t="n">
        <f aca="false">IF(MONTH($A77)=MONTH($A76),IF(G77=0,I76,G77),G77)</f>
        <v>0</v>
      </c>
      <c r="J77" s="124" t="n">
        <f aca="false">IF(MONTH($A77)=MONTH($A76),SUM(I77-I76),I77)</f>
        <v>0</v>
      </c>
      <c r="K77" s="124" t="n">
        <f aca="false">IF(WEEKDAY(A77,3)&gt;4,0,(IF(A77&lt;K$2,0,IF(A77&lt;=K$3,1,0))))</f>
        <v>0</v>
      </c>
      <c r="L77" s="124" t="n">
        <f aca="false">J77*K77</f>
        <v>0</v>
      </c>
      <c r="M77" s="124" t="n">
        <f aca="false">SUM(J$6:J77)</f>
        <v>0</v>
      </c>
      <c r="N77" s="124" t="n">
        <f aca="false">SUM(J$6:J77)</f>
        <v>0</v>
      </c>
      <c r="P77" s="124" t="n">
        <f aca="false">D77/P$3</f>
        <v>0</v>
      </c>
      <c r="Q77" s="124" t="n">
        <f aca="false">E77/P$3</f>
        <v>0</v>
      </c>
      <c r="R77" s="124" t="n">
        <f aca="false">F77/R$3</f>
        <v>0</v>
      </c>
      <c r="S77" s="126" t="n">
        <f aca="false">J77/$R$3</f>
        <v>0</v>
      </c>
      <c r="T77" s="126" t="n">
        <f aca="false">L77/$R$3</f>
        <v>0</v>
      </c>
      <c r="U77" s="126" t="n">
        <f aca="false">I77/$R$3</f>
        <v>0</v>
      </c>
      <c r="V77" s="126" t="n">
        <f aca="false">M77/$R$3</f>
        <v>0</v>
      </c>
      <c r="W77" s="126" t="n">
        <f aca="false">N77/$R$3</f>
        <v>0</v>
      </c>
    </row>
    <row r="78" customFormat="false" ht="12.75" hidden="true" customHeight="false" outlineLevel="0" collapsed="false">
      <c r="A78" s="120" t="n">
        <f aca="false">A77+1</f>
        <v>36964</v>
      </c>
      <c r="B78" s="131" t="str">
        <f aca="false">INDEX('Master Data'!$A$2:$B$8,MATCH(WEEKDAY('Plant Manager'!A78,3),'Master Data'!$A$2:$A$8,0),2)</f>
        <v>W</v>
      </c>
      <c r="D78" s="124" t="n">
        <v>0</v>
      </c>
      <c r="E78" s="124" t="n">
        <v>0</v>
      </c>
      <c r="F78" s="124" t="n">
        <v>0</v>
      </c>
      <c r="G78" s="124" t="n">
        <v>0</v>
      </c>
      <c r="I78" s="124" t="n">
        <f aca="false">IF(MONTH($A78)=MONTH($A77),IF(G78=0,I77,G78),G78)</f>
        <v>0</v>
      </c>
      <c r="J78" s="124" t="n">
        <f aca="false">IF(MONTH($A78)=MONTH($A77),SUM(I78-I77),I78)</f>
        <v>0</v>
      </c>
      <c r="K78" s="124" t="n">
        <f aca="false">IF(WEEKDAY(A78,3)&gt;4,0,(IF(A78&lt;K$2,0,IF(A78&lt;=K$3,1,0))))</f>
        <v>0</v>
      </c>
      <c r="L78" s="124" t="n">
        <f aca="false">J78*K78</f>
        <v>0</v>
      </c>
      <c r="M78" s="124" t="n">
        <f aca="false">SUM(J$6:J78)</f>
        <v>0</v>
      </c>
      <c r="N78" s="124" t="n">
        <f aca="false">SUM(J$6:J78)</f>
        <v>0</v>
      </c>
      <c r="P78" s="124" t="n">
        <f aca="false">D78/P$3</f>
        <v>0</v>
      </c>
      <c r="Q78" s="124" t="n">
        <f aca="false">E78/P$3</f>
        <v>0</v>
      </c>
      <c r="R78" s="124" t="n">
        <f aca="false">F78/R$3</f>
        <v>0</v>
      </c>
      <c r="S78" s="126" t="n">
        <f aca="false">J78/$R$3</f>
        <v>0</v>
      </c>
      <c r="T78" s="126" t="n">
        <f aca="false">L78/$R$3</f>
        <v>0</v>
      </c>
      <c r="U78" s="126" t="n">
        <f aca="false">I78/$R$3</f>
        <v>0</v>
      </c>
      <c r="V78" s="126" t="n">
        <f aca="false">M78/$R$3</f>
        <v>0</v>
      </c>
      <c r="W78" s="126" t="n">
        <f aca="false">N78/$R$3</f>
        <v>0</v>
      </c>
    </row>
    <row r="79" customFormat="false" ht="12.75" hidden="true" customHeight="false" outlineLevel="0" collapsed="false">
      <c r="A79" s="120" t="n">
        <f aca="false">A78+1</f>
        <v>36965</v>
      </c>
      <c r="B79" s="131" t="str">
        <f aca="false">INDEX('Master Data'!$A$2:$B$8,MATCH(WEEKDAY('Plant Manager'!A79,3),'Master Data'!$A$2:$A$8,0),2)</f>
        <v>Th</v>
      </c>
      <c r="D79" s="124" t="n">
        <v>0</v>
      </c>
      <c r="E79" s="124" t="n">
        <v>0</v>
      </c>
      <c r="F79" s="124" t="n">
        <v>0</v>
      </c>
      <c r="G79" s="124" t="n">
        <v>0</v>
      </c>
      <c r="I79" s="124" t="n">
        <f aca="false">IF(MONTH($A79)=MONTH($A78),IF(G79=0,I78,G79),G79)</f>
        <v>0</v>
      </c>
      <c r="J79" s="124" t="n">
        <f aca="false">IF(MONTH($A79)=MONTH($A78),SUM(I79-I78),I79)</f>
        <v>0</v>
      </c>
      <c r="K79" s="124" t="n">
        <f aca="false">IF(WEEKDAY(A79,3)&gt;4,0,(IF(A79&lt;K$2,0,IF(A79&lt;=K$3,1,0))))</f>
        <v>0</v>
      </c>
      <c r="L79" s="124" t="n">
        <f aca="false">J79*K79</f>
        <v>0</v>
      </c>
      <c r="M79" s="124" t="n">
        <f aca="false">SUM(J$6:J79)</f>
        <v>0</v>
      </c>
      <c r="N79" s="124" t="n">
        <f aca="false">SUM(J$6:J79)</f>
        <v>0</v>
      </c>
      <c r="P79" s="124" t="n">
        <f aca="false">D79/P$3</f>
        <v>0</v>
      </c>
      <c r="Q79" s="124" t="n">
        <f aca="false">E79/P$3</f>
        <v>0</v>
      </c>
      <c r="R79" s="124" t="n">
        <f aca="false">F79/R$3</f>
        <v>0</v>
      </c>
      <c r="S79" s="126" t="n">
        <f aca="false">J79/$R$3</f>
        <v>0</v>
      </c>
      <c r="T79" s="126" t="n">
        <f aca="false">L79/$R$3</f>
        <v>0</v>
      </c>
      <c r="U79" s="126" t="n">
        <f aca="false">I79/$R$3</f>
        <v>0</v>
      </c>
      <c r="V79" s="126" t="n">
        <f aca="false">M79/$R$3</f>
        <v>0</v>
      </c>
      <c r="W79" s="126" t="n">
        <f aca="false">N79/$R$3</f>
        <v>0</v>
      </c>
    </row>
    <row r="80" customFormat="false" ht="12.75" hidden="true" customHeight="false" outlineLevel="0" collapsed="false">
      <c r="A80" s="120" t="n">
        <f aca="false">A79+1</f>
        <v>36966</v>
      </c>
      <c r="B80" s="131" t="str">
        <f aca="false">INDEX('Master Data'!$A$2:$B$8,MATCH(WEEKDAY('Plant Manager'!A80,3),'Master Data'!$A$2:$A$8,0),2)</f>
        <v>F</v>
      </c>
      <c r="D80" s="124" t="n">
        <v>0</v>
      </c>
      <c r="E80" s="124" t="n">
        <v>0</v>
      </c>
      <c r="F80" s="124" t="n">
        <v>0</v>
      </c>
      <c r="G80" s="124" t="n">
        <v>0</v>
      </c>
      <c r="I80" s="124" t="n">
        <f aca="false">IF(MONTH($A80)=MONTH($A79),IF(G80=0,I79,G80),G80)</f>
        <v>0</v>
      </c>
      <c r="J80" s="124" t="n">
        <f aca="false">IF(MONTH($A80)=MONTH($A79),SUM(I80-I79),I80)</f>
        <v>0</v>
      </c>
      <c r="K80" s="124" t="n">
        <f aca="false">IF(WEEKDAY(A80,3)&gt;4,0,(IF(A80&lt;K$2,0,IF(A80&lt;=K$3,1,0))))</f>
        <v>0</v>
      </c>
      <c r="L80" s="124" t="n">
        <f aca="false">J80*K80</f>
        <v>0</v>
      </c>
      <c r="M80" s="124" t="n">
        <f aca="false">SUM(J$6:J80)</f>
        <v>0</v>
      </c>
      <c r="N80" s="124" t="n">
        <f aca="false">SUM(J$6:J80)</f>
        <v>0</v>
      </c>
      <c r="P80" s="124" t="n">
        <f aca="false">D80/P$3</f>
        <v>0</v>
      </c>
      <c r="Q80" s="124" t="n">
        <f aca="false">E80/P$3</f>
        <v>0</v>
      </c>
      <c r="R80" s="124" t="n">
        <f aca="false">F80/R$3</f>
        <v>0</v>
      </c>
      <c r="S80" s="126" t="n">
        <f aca="false">J80/$R$3</f>
        <v>0</v>
      </c>
      <c r="T80" s="126" t="n">
        <f aca="false">L80/$R$3</f>
        <v>0</v>
      </c>
      <c r="U80" s="126" t="n">
        <f aca="false">I80/$R$3</f>
        <v>0</v>
      </c>
      <c r="V80" s="126" t="n">
        <f aca="false">M80/$R$3</f>
        <v>0</v>
      </c>
      <c r="W80" s="126" t="n">
        <f aca="false">N80/$R$3</f>
        <v>0</v>
      </c>
    </row>
    <row r="81" customFormat="false" ht="12.75" hidden="true" customHeight="false" outlineLevel="0" collapsed="false">
      <c r="A81" s="120" t="n">
        <f aca="false">A80+1</f>
        <v>36967</v>
      </c>
      <c r="B81" s="131" t="str">
        <f aca="false">INDEX('Master Data'!$A$2:$B$8,MATCH(WEEKDAY('Plant Manager'!A81,3),'Master Data'!$A$2:$A$8,0),2)</f>
        <v>Sa</v>
      </c>
      <c r="D81" s="124" t="n">
        <v>0</v>
      </c>
      <c r="E81" s="124" t="n">
        <v>0</v>
      </c>
      <c r="F81" s="124" t="n">
        <v>0</v>
      </c>
      <c r="G81" s="124" t="n">
        <v>0</v>
      </c>
      <c r="I81" s="124" t="n">
        <f aca="false">IF(MONTH($A81)=MONTH($A80),IF(G81=0,I80,G81),G81)</f>
        <v>0</v>
      </c>
      <c r="J81" s="124" t="n">
        <f aca="false">IF(MONTH($A81)=MONTH($A80),SUM(I81-I80),I81)</f>
        <v>0</v>
      </c>
      <c r="K81" s="124" t="n">
        <f aca="false">IF(WEEKDAY(A81,3)&gt;4,0,(IF(A81&lt;K$2,0,IF(A81&lt;=K$3,1,0))))</f>
        <v>0</v>
      </c>
      <c r="L81" s="124" t="n">
        <f aca="false">J81*K81</f>
        <v>0</v>
      </c>
      <c r="M81" s="124" t="n">
        <f aca="false">SUM(J$6:J81)</f>
        <v>0</v>
      </c>
      <c r="N81" s="124" t="n">
        <f aca="false">SUM(J$6:J81)</f>
        <v>0</v>
      </c>
      <c r="P81" s="124" t="n">
        <f aca="false">D81/P$3</f>
        <v>0</v>
      </c>
      <c r="Q81" s="124" t="n">
        <f aca="false">E81/P$3</f>
        <v>0</v>
      </c>
      <c r="R81" s="124" t="n">
        <f aca="false">F81/R$3</f>
        <v>0</v>
      </c>
      <c r="S81" s="126" t="n">
        <f aca="false">J81/$R$3</f>
        <v>0</v>
      </c>
      <c r="T81" s="126" t="n">
        <f aca="false">L81/$R$3</f>
        <v>0</v>
      </c>
      <c r="U81" s="126" t="n">
        <f aca="false">I81/$R$3</f>
        <v>0</v>
      </c>
      <c r="V81" s="126" t="n">
        <f aca="false">M81/$R$3</f>
        <v>0</v>
      </c>
      <c r="W81" s="126" t="n">
        <f aca="false">N81/$R$3</f>
        <v>0</v>
      </c>
    </row>
    <row r="82" customFormat="false" ht="12.75" hidden="true" customHeight="false" outlineLevel="0" collapsed="false">
      <c r="A82" s="120" t="n">
        <f aca="false">A81+1</f>
        <v>36968</v>
      </c>
      <c r="B82" s="131" t="str">
        <f aca="false">INDEX('Master Data'!$A$2:$B$8,MATCH(WEEKDAY('Plant Manager'!A82,3),'Master Data'!$A$2:$A$8,0),2)</f>
        <v>Su</v>
      </c>
      <c r="D82" s="124" t="n">
        <v>0</v>
      </c>
      <c r="E82" s="124" t="n">
        <v>0</v>
      </c>
      <c r="F82" s="124" t="n">
        <v>0</v>
      </c>
      <c r="G82" s="124" t="n">
        <v>0</v>
      </c>
      <c r="I82" s="124" t="n">
        <f aca="false">IF(MONTH($A82)=MONTH($A81),IF(G82=0,I81,G82),G82)</f>
        <v>0</v>
      </c>
      <c r="J82" s="124" t="n">
        <f aca="false">IF(MONTH($A82)=MONTH($A81),SUM(I82-I81),I82)</f>
        <v>0</v>
      </c>
      <c r="K82" s="124" t="n">
        <f aca="false">IF(WEEKDAY(A82,3)&gt;4,0,(IF(A82&lt;K$2,0,IF(A82&lt;=K$3,1,0))))</f>
        <v>0</v>
      </c>
      <c r="L82" s="124" t="n">
        <f aca="false">J82*K82</f>
        <v>0</v>
      </c>
      <c r="M82" s="124" t="n">
        <f aca="false">SUM(J$6:J82)</f>
        <v>0</v>
      </c>
      <c r="N82" s="124" t="n">
        <f aca="false">SUM(J$6:J82)</f>
        <v>0</v>
      </c>
      <c r="P82" s="124" t="n">
        <f aca="false">D82/P$3</f>
        <v>0</v>
      </c>
      <c r="Q82" s="124" t="n">
        <f aca="false">E82/P$3</f>
        <v>0</v>
      </c>
      <c r="R82" s="124" t="n">
        <f aca="false">F82/R$3</f>
        <v>0</v>
      </c>
      <c r="S82" s="126" t="n">
        <f aca="false">J82/$R$3</f>
        <v>0</v>
      </c>
      <c r="T82" s="126" t="n">
        <f aca="false">L82/$R$3</f>
        <v>0</v>
      </c>
      <c r="U82" s="126" t="n">
        <f aca="false">I82/$R$3</f>
        <v>0</v>
      </c>
      <c r="V82" s="126" t="n">
        <f aca="false">M82/$R$3</f>
        <v>0</v>
      </c>
      <c r="W82" s="126" t="n">
        <f aca="false">N82/$R$3</f>
        <v>0</v>
      </c>
    </row>
    <row r="83" customFormat="false" ht="12.75" hidden="true" customHeight="false" outlineLevel="0" collapsed="false">
      <c r="A83" s="120" t="n">
        <f aca="false">A82+1</f>
        <v>36969</v>
      </c>
      <c r="B83" s="131" t="str">
        <f aca="false">INDEX('Master Data'!$A$2:$B$8,MATCH(WEEKDAY('Plant Manager'!A83,3),'Master Data'!$A$2:$A$8,0),2)</f>
        <v>M</v>
      </c>
      <c r="D83" s="124" t="n">
        <v>0</v>
      </c>
      <c r="E83" s="124" t="n">
        <v>0</v>
      </c>
      <c r="F83" s="124" t="n">
        <v>0</v>
      </c>
      <c r="G83" s="124" t="n">
        <v>0</v>
      </c>
      <c r="I83" s="124" t="n">
        <f aca="false">IF(MONTH($A83)=MONTH($A82),IF(G83=0,I82,G83),G83)</f>
        <v>0</v>
      </c>
      <c r="J83" s="124" t="n">
        <f aca="false">IF(MONTH($A83)=MONTH($A82),SUM(I83-I82),I83)</f>
        <v>0</v>
      </c>
      <c r="K83" s="124" t="n">
        <f aca="false">IF(WEEKDAY(A83,3)&gt;4,0,(IF(A83&lt;K$2,0,IF(A83&lt;=K$3,1,0))))</f>
        <v>0</v>
      </c>
      <c r="L83" s="124" t="n">
        <f aca="false">J83*K83</f>
        <v>0</v>
      </c>
      <c r="M83" s="124" t="n">
        <f aca="false">SUM(J$6:J83)</f>
        <v>0</v>
      </c>
      <c r="N83" s="124" t="n">
        <f aca="false">SUM(J$6:J83)</f>
        <v>0</v>
      </c>
      <c r="P83" s="124" t="n">
        <f aca="false">D83/P$3</f>
        <v>0</v>
      </c>
      <c r="Q83" s="124" t="n">
        <f aca="false">E83/P$3</f>
        <v>0</v>
      </c>
      <c r="R83" s="124" t="n">
        <f aca="false">F83/R$3</f>
        <v>0</v>
      </c>
      <c r="S83" s="126" t="n">
        <f aca="false">J83/$R$3</f>
        <v>0</v>
      </c>
      <c r="T83" s="126" t="n">
        <f aca="false">L83/$R$3</f>
        <v>0</v>
      </c>
      <c r="U83" s="126" t="n">
        <f aca="false">I83/$R$3</f>
        <v>0</v>
      </c>
      <c r="V83" s="126" t="n">
        <f aca="false">M83/$R$3</f>
        <v>0</v>
      </c>
      <c r="W83" s="126" t="n">
        <f aca="false">N83/$R$3</f>
        <v>0</v>
      </c>
    </row>
    <row r="84" customFormat="false" ht="12.75" hidden="true" customHeight="false" outlineLevel="0" collapsed="false">
      <c r="A84" s="120" t="n">
        <f aca="false">A83+1</f>
        <v>36970</v>
      </c>
      <c r="B84" s="131" t="str">
        <f aca="false">INDEX('Master Data'!$A$2:$B$8,MATCH(WEEKDAY('Plant Manager'!A84,3),'Master Data'!$A$2:$A$8,0),2)</f>
        <v>T</v>
      </c>
      <c r="D84" s="124" t="n">
        <v>0</v>
      </c>
      <c r="E84" s="124" t="n">
        <v>0</v>
      </c>
      <c r="F84" s="124" t="n">
        <v>0</v>
      </c>
      <c r="G84" s="124" t="n">
        <v>0</v>
      </c>
      <c r="I84" s="124" t="n">
        <f aca="false">IF(MONTH($A84)=MONTH($A83),IF(G84=0,I83,G84),G84)</f>
        <v>0</v>
      </c>
      <c r="J84" s="124" t="n">
        <f aca="false">IF(MONTH($A84)=MONTH($A83),SUM(I84-I83),I84)</f>
        <v>0</v>
      </c>
      <c r="K84" s="124" t="n">
        <f aca="false">IF(WEEKDAY(A84,3)&gt;4,0,(IF(A84&lt;K$2,0,IF(A84&lt;=K$3,1,0))))</f>
        <v>0</v>
      </c>
      <c r="L84" s="124" t="n">
        <f aca="false">J84*K84</f>
        <v>0</v>
      </c>
      <c r="M84" s="124" t="n">
        <f aca="false">SUM(J$6:J84)</f>
        <v>0</v>
      </c>
      <c r="N84" s="124" t="n">
        <f aca="false">SUM(J$6:J84)</f>
        <v>0</v>
      </c>
      <c r="P84" s="124" t="n">
        <f aca="false">D84/P$3</f>
        <v>0</v>
      </c>
      <c r="Q84" s="124" t="n">
        <f aca="false">E84/P$3</f>
        <v>0</v>
      </c>
      <c r="R84" s="124" t="n">
        <f aca="false">F84/R$3</f>
        <v>0</v>
      </c>
      <c r="S84" s="126" t="n">
        <f aca="false">J84/$R$3</f>
        <v>0</v>
      </c>
      <c r="T84" s="126" t="n">
        <f aca="false">L84/$R$3</f>
        <v>0</v>
      </c>
      <c r="U84" s="126" t="n">
        <f aca="false">I84/$R$3</f>
        <v>0</v>
      </c>
      <c r="V84" s="126" t="n">
        <f aca="false">M84/$R$3</f>
        <v>0</v>
      </c>
      <c r="W84" s="126" t="n">
        <f aca="false">N84/$R$3</f>
        <v>0</v>
      </c>
    </row>
    <row r="85" customFormat="false" ht="12.75" hidden="true" customHeight="false" outlineLevel="0" collapsed="false">
      <c r="A85" s="120" t="n">
        <f aca="false">A84+1</f>
        <v>36971</v>
      </c>
      <c r="B85" s="131" t="str">
        <f aca="false">INDEX('Master Data'!$A$2:$B$8,MATCH(WEEKDAY('Plant Manager'!A85,3),'Master Data'!$A$2:$A$8,0),2)</f>
        <v>W</v>
      </c>
      <c r="D85" s="124" t="n">
        <v>0</v>
      </c>
      <c r="E85" s="124" t="n">
        <v>0</v>
      </c>
      <c r="F85" s="124" t="n">
        <v>0</v>
      </c>
      <c r="G85" s="124" t="n">
        <v>0</v>
      </c>
      <c r="I85" s="124" t="n">
        <f aca="false">IF(MONTH($A85)=MONTH($A84),IF(G85=0,I84,G85),G85)</f>
        <v>0</v>
      </c>
      <c r="J85" s="124" t="n">
        <f aca="false">IF(MONTH($A85)=MONTH($A84),SUM(I85-I84),I85)</f>
        <v>0</v>
      </c>
      <c r="K85" s="124" t="n">
        <f aca="false">IF(WEEKDAY(A85,3)&gt;4,0,(IF(A85&lt;K$2,0,IF(A85&lt;=K$3,1,0))))</f>
        <v>0</v>
      </c>
      <c r="L85" s="124" t="n">
        <f aca="false">J85*K85</f>
        <v>0</v>
      </c>
      <c r="M85" s="124" t="n">
        <f aca="false">SUM(J$6:J85)</f>
        <v>0</v>
      </c>
      <c r="N85" s="124" t="n">
        <f aca="false">SUM(J$6:J85)</f>
        <v>0</v>
      </c>
      <c r="P85" s="124" t="n">
        <f aca="false">D85/P$3</f>
        <v>0</v>
      </c>
      <c r="Q85" s="124" t="n">
        <f aca="false">E85/P$3</f>
        <v>0</v>
      </c>
      <c r="R85" s="124" t="n">
        <f aca="false">F85/R$3</f>
        <v>0</v>
      </c>
      <c r="S85" s="126" t="n">
        <f aca="false">J85/$R$3</f>
        <v>0</v>
      </c>
      <c r="T85" s="126" t="n">
        <f aca="false">L85/$R$3</f>
        <v>0</v>
      </c>
      <c r="U85" s="126" t="n">
        <f aca="false">I85/$R$3</f>
        <v>0</v>
      </c>
      <c r="V85" s="126" t="n">
        <f aca="false">M85/$R$3</f>
        <v>0</v>
      </c>
      <c r="W85" s="126" t="n">
        <f aca="false">N85/$R$3</f>
        <v>0</v>
      </c>
    </row>
    <row r="86" customFormat="false" ht="12.75" hidden="true" customHeight="false" outlineLevel="0" collapsed="false">
      <c r="A86" s="120" t="n">
        <f aca="false">A85+1</f>
        <v>36972</v>
      </c>
      <c r="B86" s="131" t="str">
        <f aca="false">INDEX('Master Data'!$A$2:$B$8,MATCH(WEEKDAY('Plant Manager'!A86,3),'Master Data'!$A$2:$A$8,0),2)</f>
        <v>Th</v>
      </c>
      <c r="D86" s="124" t="n">
        <v>0</v>
      </c>
      <c r="E86" s="124" t="n">
        <v>0</v>
      </c>
      <c r="F86" s="124" t="n">
        <v>0</v>
      </c>
      <c r="G86" s="124" t="n">
        <v>0</v>
      </c>
      <c r="I86" s="124" t="n">
        <f aca="false">IF(MONTH($A86)=MONTH($A85),IF(G86=0,I85,G86),G86)</f>
        <v>0</v>
      </c>
      <c r="J86" s="124" t="n">
        <f aca="false">IF(MONTH($A86)=MONTH($A85),SUM(I86-I85),I86)</f>
        <v>0</v>
      </c>
      <c r="K86" s="124" t="n">
        <f aca="false">IF(WEEKDAY(A86,3)&gt;4,0,(IF(A86&lt;K$2,0,IF(A86&lt;=K$3,1,0))))</f>
        <v>0</v>
      </c>
      <c r="L86" s="124" t="n">
        <f aca="false">J86*K86</f>
        <v>0</v>
      </c>
      <c r="M86" s="124" t="n">
        <f aca="false">SUM(J$6:J86)</f>
        <v>0</v>
      </c>
      <c r="N86" s="124" t="n">
        <f aca="false">SUM(J$6:J86)</f>
        <v>0</v>
      </c>
      <c r="P86" s="124" t="n">
        <f aca="false">D86/P$3</f>
        <v>0</v>
      </c>
      <c r="Q86" s="124" t="n">
        <f aca="false">E86/P$3</f>
        <v>0</v>
      </c>
      <c r="R86" s="124" t="n">
        <f aca="false">F86/R$3</f>
        <v>0</v>
      </c>
      <c r="S86" s="126" t="n">
        <f aca="false">J86/$R$3</f>
        <v>0</v>
      </c>
      <c r="T86" s="126" t="n">
        <f aca="false">L86/$R$3</f>
        <v>0</v>
      </c>
      <c r="U86" s="126" t="n">
        <f aca="false">I86/$R$3</f>
        <v>0</v>
      </c>
      <c r="V86" s="126" t="n">
        <f aca="false">M86/$R$3</f>
        <v>0</v>
      </c>
      <c r="W86" s="126" t="n">
        <f aca="false">N86/$R$3</f>
        <v>0</v>
      </c>
    </row>
    <row r="87" customFormat="false" ht="12.75" hidden="true" customHeight="false" outlineLevel="0" collapsed="false">
      <c r="A87" s="120" t="n">
        <f aca="false">A86+1</f>
        <v>36973</v>
      </c>
      <c r="B87" s="131" t="str">
        <f aca="false">INDEX('Master Data'!$A$2:$B$8,MATCH(WEEKDAY('Plant Manager'!A87,3),'Master Data'!$A$2:$A$8,0),2)</f>
        <v>F</v>
      </c>
      <c r="D87" s="124" t="n">
        <v>0</v>
      </c>
      <c r="E87" s="124" t="n">
        <v>0</v>
      </c>
      <c r="F87" s="124" t="n">
        <v>0</v>
      </c>
      <c r="G87" s="124" t="n">
        <v>0</v>
      </c>
      <c r="I87" s="124" t="n">
        <f aca="false">IF(MONTH($A87)=MONTH($A86),IF(G87=0,I86,G87),G87)</f>
        <v>0</v>
      </c>
      <c r="J87" s="124" t="n">
        <f aca="false">IF(MONTH($A87)=MONTH($A86),SUM(I87-I86),I87)</f>
        <v>0</v>
      </c>
      <c r="K87" s="124" t="n">
        <f aca="false">IF(WEEKDAY(A87,3)&gt;4,0,(IF(A87&lt;K$2,0,IF(A87&lt;=K$3,1,0))))</f>
        <v>0</v>
      </c>
      <c r="L87" s="124" t="n">
        <f aca="false">J87*K87</f>
        <v>0</v>
      </c>
      <c r="M87" s="124" t="n">
        <f aca="false">SUM(J$6:J87)</f>
        <v>0</v>
      </c>
      <c r="N87" s="124" t="n">
        <f aca="false">SUM(J$6:J87)</f>
        <v>0</v>
      </c>
      <c r="P87" s="124" t="n">
        <f aca="false">D87/P$3</f>
        <v>0</v>
      </c>
      <c r="Q87" s="124" t="n">
        <f aca="false">E87/P$3</f>
        <v>0</v>
      </c>
      <c r="R87" s="124" t="n">
        <f aca="false">F87/R$3</f>
        <v>0</v>
      </c>
      <c r="S87" s="126" t="n">
        <f aca="false">J87/$R$3</f>
        <v>0</v>
      </c>
      <c r="T87" s="126" t="n">
        <f aca="false">L87/$R$3</f>
        <v>0</v>
      </c>
      <c r="U87" s="126" t="n">
        <f aca="false">I87/$R$3</f>
        <v>0</v>
      </c>
      <c r="V87" s="126" t="n">
        <f aca="false">M87/$R$3</f>
        <v>0</v>
      </c>
      <c r="W87" s="126" t="n">
        <f aca="false">N87/$R$3</f>
        <v>0</v>
      </c>
    </row>
    <row r="88" customFormat="false" ht="12.75" hidden="true" customHeight="false" outlineLevel="0" collapsed="false">
      <c r="A88" s="120" t="n">
        <f aca="false">A87+1</f>
        <v>36974</v>
      </c>
      <c r="B88" s="131" t="str">
        <f aca="false">INDEX('Master Data'!$A$2:$B$8,MATCH(WEEKDAY('Plant Manager'!A88,3),'Master Data'!$A$2:$A$8,0),2)</f>
        <v>Sa</v>
      </c>
      <c r="D88" s="124" t="n">
        <v>0</v>
      </c>
      <c r="E88" s="124" t="n">
        <v>0</v>
      </c>
      <c r="F88" s="124" t="n">
        <v>0</v>
      </c>
      <c r="G88" s="124" t="n">
        <v>0</v>
      </c>
      <c r="I88" s="124" t="n">
        <f aca="false">IF(MONTH($A88)=MONTH($A87),IF(G88=0,I87,G88),G88)</f>
        <v>0</v>
      </c>
      <c r="J88" s="124" t="n">
        <f aca="false">IF(MONTH($A88)=MONTH($A87),SUM(I88-I87),I88)</f>
        <v>0</v>
      </c>
      <c r="K88" s="124" t="n">
        <f aca="false">IF(WEEKDAY(A88,3)&gt;4,0,(IF(A88&lt;K$2,0,IF(A88&lt;=K$3,1,0))))</f>
        <v>0</v>
      </c>
      <c r="L88" s="124" t="n">
        <f aca="false">J88*K88</f>
        <v>0</v>
      </c>
      <c r="M88" s="124" t="n">
        <f aca="false">SUM(J$6:J88)</f>
        <v>0</v>
      </c>
      <c r="N88" s="124" t="n">
        <f aca="false">SUM(J$6:J88)</f>
        <v>0</v>
      </c>
      <c r="P88" s="124" t="n">
        <f aca="false">D88/P$3</f>
        <v>0</v>
      </c>
      <c r="Q88" s="124" t="n">
        <f aca="false">E88/P$3</f>
        <v>0</v>
      </c>
      <c r="R88" s="124" t="n">
        <f aca="false">F88/R$3</f>
        <v>0</v>
      </c>
      <c r="S88" s="126" t="n">
        <f aca="false">J88/$R$3</f>
        <v>0</v>
      </c>
      <c r="T88" s="126" t="n">
        <f aca="false">L88/$R$3</f>
        <v>0</v>
      </c>
      <c r="U88" s="126" t="n">
        <f aca="false">I88/$R$3</f>
        <v>0</v>
      </c>
      <c r="V88" s="126" t="n">
        <f aca="false">M88/$R$3</f>
        <v>0</v>
      </c>
      <c r="W88" s="126" t="n">
        <f aca="false">N88/$R$3</f>
        <v>0</v>
      </c>
    </row>
    <row r="89" customFormat="false" ht="12.75" hidden="true" customHeight="false" outlineLevel="0" collapsed="false">
      <c r="A89" s="120" t="n">
        <f aca="false">A88+1</f>
        <v>36975</v>
      </c>
      <c r="B89" s="131" t="str">
        <f aca="false">INDEX('Master Data'!$A$2:$B$8,MATCH(WEEKDAY('Plant Manager'!A89,3),'Master Data'!$A$2:$A$8,0),2)</f>
        <v>Su</v>
      </c>
      <c r="D89" s="124" t="n">
        <v>0</v>
      </c>
      <c r="E89" s="124" t="n">
        <v>0</v>
      </c>
      <c r="F89" s="124" t="n">
        <v>0</v>
      </c>
      <c r="G89" s="124" t="n">
        <v>0</v>
      </c>
      <c r="I89" s="124" t="n">
        <f aca="false">IF(MONTH($A89)=MONTH($A88),IF(G89=0,I88,G89),G89)</f>
        <v>0</v>
      </c>
      <c r="J89" s="124" t="n">
        <f aca="false">IF(MONTH($A89)=MONTH($A88),SUM(I89-I88),I89)</f>
        <v>0</v>
      </c>
      <c r="K89" s="124" t="n">
        <f aca="false">IF(WEEKDAY(A89,3)&gt;4,0,(IF(A89&lt;K$2,0,IF(A89&lt;=K$3,1,0))))</f>
        <v>0</v>
      </c>
      <c r="L89" s="124" t="n">
        <f aca="false">J89*K89</f>
        <v>0</v>
      </c>
      <c r="M89" s="124" t="n">
        <f aca="false">SUM(J$6:J89)</f>
        <v>0</v>
      </c>
      <c r="N89" s="124" t="n">
        <f aca="false">SUM(J$6:J89)</f>
        <v>0</v>
      </c>
      <c r="P89" s="124" t="n">
        <f aca="false">D89/P$3</f>
        <v>0</v>
      </c>
      <c r="Q89" s="124" t="n">
        <f aca="false">E89/P$3</f>
        <v>0</v>
      </c>
      <c r="R89" s="124" t="n">
        <f aca="false">F89/R$3</f>
        <v>0</v>
      </c>
      <c r="S89" s="126" t="n">
        <f aca="false">J89/$R$3</f>
        <v>0</v>
      </c>
      <c r="T89" s="126" t="n">
        <f aca="false">L89/$R$3</f>
        <v>0</v>
      </c>
      <c r="U89" s="126" t="n">
        <f aca="false">I89/$R$3</f>
        <v>0</v>
      </c>
      <c r="V89" s="126" t="n">
        <f aca="false">M89/$R$3</f>
        <v>0</v>
      </c>
      <c r="W89" s="126" t="n">
        <f aca="false">N89/$R$3</f>
        <v>0</v>
      </c>
    </row>
    <row r="90" customFormat="false" ht="12.75" hidden="true" customHeight="false" outlineLevel="0" collapsed="false">
      <c r="A90" s="120" t="n">
        <f aca="false">A89+1</f>
        <v>36976</v>
      </c>
      <c r="B90" s="131" t="str">
        <f aca="false">INDEX('Master Data'!$A$2:$B$8,MATCH(WEEKDAY('Plant Manager'!A90,3),'Master Data'!$A$2:$A$8,0),2)</f>
        <v>M</v>
      </c>
      <c r="D90" s="124" t="n">
        <v>0</v>
      </c>
      <c r="E90" s="124" t="n">
        <v>0</v>
      </c>
      <c r="F90" s="124" t="n">
        <v>0</v>
      </c>
      <c r="G90" s="124" t="n">
        <v>0</v>
      </c>
      <c r="I90" s="124" t="n">
        <f aca="false">IF(MONTH($A90)=MONTH($A89),IF(G90=0,I89,G90),G90)</f>
        <v>0</v>
      </c>
      <c r="J90" s="124" t="n">
        <f aca="false">IF(MONTH($A90)=MONTH($A89),SUM(I90-I89),I90)</f>
        <v>0</v>
      </c>
      <c r="K90" s="124" t="n">
        <f aca="false">IF(WEEKDAY(A90,3)&gt;4,0,(IF(A90&lt;K$2,0,IF(A90&lt;=K$3,1,0))))</f>
        <v>0</v>
      </c>
      <c r="L90" s="124" t="n">
        <f aca="false">J90*K90</f>
        <v>0</v>
      </c>
      <c r="M90" s="124" t="n">
        <f aca="false">SUM(J$6:J90)</f>
        <v>0</v>
      </c>
      <c r="N90" s="124" t="n">
        <f aca="false">SUM(J$6:J90)</f>
        <v>0</v>
      </c>
      <c r="P90" s="124" t="n">
        <f aca="false">D90/P$3</f>
        <v>0</v>
      </c>
      <c r="Q90" s="124" t="n">
        <f aca="false">E90/P$3</f>
        <v>0</v>
      </c>
      <c r="R90" s="124" t="n">
        <f aca="false">F90/R$3</f>
        <v>0</v>
      </c>
      <c r="S90" s="126" t="n">
        <f aca="false">J90/$R$3</f>
        <v>0</v>
      </c>
      <c r="T90" s="126" t="n">
        <f aca="false">L90/$R$3</f>
        <v>0</v>
      </c>
      <c r="U90" s="126" t="n">
        <f aca="false">I90/$R$3</f>
        <v>0</v>
      </c>
      <c r="V90" s="126" t="n">
        <f aca="false">M90/$R$3</f>
        <v>0</v>
      </c>
      <c r="W90" s="126" t="n">
        <f aca="false">N90/$R$3</f>
        <v>0</v>
      </c>
    </row>
    <row r="91" customFormat="false" ht="12.75" hidden="true" customHeight="false" outlineLevel="0" collapsed="false">
      <c r="A91" s="120" t="n">
        <f aca="false">A90+1</f>
        <v>36977</v>
      </c>
      <c r="B91" s="131" t="str">
        <f aca="false">INDEX('Master Data'!$A$2:$B$8,MATCH(WEEKDAY('Plant Manager'!A91,3),'Master Data'!$A$2:$A$8,0),2)</f>
        <v>T</v>
      </c>
      <c r="D91" s="124" t="n">
        <v>0</v>
      </c>
      <c r="E91" s="124" t="n">
        <v>0</v>
      </c>
      <c r="F91" s="124" t="n">
        <v>0</v>
      </c>
      <c r="G91" s="124" t="n">
        <v>0</v>
      </c>
      <c r="I91" s="124" t="n">
        <f aca="false">IF(MONTH($A91)=MONTH($A90),IF(G91=0,I90,G91),G91)</f>
        <v>0</v>
      </c>
      <c r="J91" s="124" t="n">
        <f aca="false">IF(MONTH($A91)=MONTH($A90),SUM(I91-I90),I91)</f>
        <v>0</v>
      </c>
      <c r="K91" s="124" t="n">
        <f aca="false">IF(WEEKDAY(A91,3)&gt;4,0,(IF(A91&lt;K$2,0,IF(A91&lt;=K$3,1,0))))</f>
        <v>0</v>
      </c>
      <c r="L91" s="124" t="n">
        <f aca="false">J91*K91</f>
        <v>0</v>
      </c>
      <c r="M91" s="124" t="n">
        <f aca="false">SUM(J$6:J91)</f>
        <v>0</v>
      </c>
      <c r="N91" s="124" t="n">
        <f aca="false">SUM(J$6:J91)</f>
        <v>0</v>
      </c>
      <c r="P91" s="124" t="n">
        <f aca="false">D91/P$3</f>
        <v>0</v>
      </c>
      <c r="Q91" s="124" t="n">
        <f aca="false">E91/P$3</f>
        <v>0</v>
      </c>
      <c r="R91" s="124" t="n">
        <f aca="false">F91/R$3</f>
        <v>0</v>
      </c>
      <c r="S91" s="126" t="n">
        <f aca="false">J91/$R$3</f>
        <v>0</v>
      </c>
      <c r="T91" s="126" t="n">
        <f aca="false">L91/$R$3</f>
        <v>0</v>
      </c>
      <c r="U91" s="126" t="n">
        <f aca="false">I91/$R$3</f>
        <v>0</v>
      </c>
      <c r="V91" s="126" t="n">
        <f aca="false">M91/$R$3</f>
        <v>0</v>
      </c>
      <c r="W91" s="126" t="n">
        <f aca="false">N91/$R$3</f>
        <v>0</v>
      </c>
    </row>
    <row r="92" customFormat="false" ht="12.75" hidden="true" customHeight="false" outlineLevel="0" collapsed="false">
      <c r="A92" s="120" t="n">
        <f aca="false">A91+1</f>
        <v>36978</v>
      </c>
      <c r="B92" s="131" t="str">
        <f aca="false">INDEX('Master Data'!$A$2:$B$8,MATCH(WEEKDAY('Plant Manager'!A92,3),'Master Data'!$A$2:$A$8,0),2)</f>
        <v>W</v>
      </c>
      <c r="D92" s="124" t="n">
        <v>0</v>
      </c>
      <c r="E92" s="124" t="n">
        <v>0</v>
      </c>
      <c r="F92" s="124" t="n">
        <v>0</v>
      </c>
      <c r="G92" s="124" t="n">
        <v>0</v>
      </c>
      <c r="I92" s="124" t="n">
        <f aca="false">IF(MONTH($A92)=MONTH($A91),IF(G92=0,I91,G92),G92)</f>
        <v>0</v>
      </c>
      <c r="J92" s="124" t="n">
        <f aca="false">IF(MONTH($A92)=MONTH($A91),SUM(I92-I91),I92)</f>
        <v>0</v>
      </c>
      <c r="K92" s="124" t="n">
        <f aca="false">IF(WEEKDAY(A92,3)&gt;4,0,(IF(A92&lt;K$2,0,IF(A92&lt;=K$3,1,0))))</f>
        <v>0</v>
      </c>
      <c r="L92" s="124" t="n">
        <f aca="false">J92*K92</f>
        <v>0</v>
      </c>
      <c r="M92" s="124" t="n">
        <f aca="false">SUM(J$6:J92)</f>
        <v>0</v>
      </c>
      <c r="N92" s="124" t="n">
        <f aca="false">SUM(J$6:J92)</f>
        <v>0</v>
      </c>
      <c r="P92" s="124" t="n">
        <f aca="false">D92/P$3</f>
        <v>0</v>
      </c>
      <c r="Q92" s="124" t="n">
        <f aca="false">E92/P$3</f>
        <v>0</v>
      </c>
      <c r="R92" s="124" t="n">
        <f aca="false">F92/R$3</f>
        <v>0</v>
      </c>
      <c r="S92" s="126" t="n">
        <f aca="false">J92/$R$3</f>
        <v>0</v>
      </c>
      <c r="T92" s="126" t="n">
        <f aca="false">L92/$R$3</f>
        <v>0</v>
      </c>
      <c r="U92" s="126" t="n">
        <f aca="false">I92/$R$3</f>
        <v>0</v>
      </c>
      <c r="V92" s="126" t="n">
        <f aca="false">M92/$R$3</f>
        <v>0</v>
      </c>
      <c r="W92" s="126" t="n">
        <f aca="false">N92/$R$3</f>
        <v>0</v>
      </c>
    </row>
    <row r="93" customFormat="false" ht="12.75" hidden="true" customHeight="false" outlineLevel="0" collapsed="false">
      <c r="A93" s="120" t="n">
        <f aca="false">A92+1</f>
        <v>36979</v>
      </c>
      <c r="B93" s="131" t="str">
        <f aca="false">INDEX('Master Data'!$A$2:$B$8,MATCH(WEEKDAY('Plant Manager'!A93,3),'Master Data'!$A$2:$A$8,0),2)</f>
        <v>Th</v>
      </c>
      <c r="D93" s="124" t="n">
        <v>0</v>
      </c>
      <c r="E93" s="124" t="n">
        <v>0</v>
      </c>
      <c r="F93" s="124" t="n">
        <v>0</v>
      </c>
      <c r="G93" s="124" t="n">
        <v>0</v>
      </c>
      <c r="I93" s="124" t="n">
        <f aca="false">IF(MONTH($A93)=MONTH($A92),IF(G93=0,I92,G93),G93)</f>
        <v>0</v>
      </c>
      <c r="J93" s="124" t="n">
        <f aca="false">IF(MONTH($A93)=MONTH($A92),SUM(I93-I92),I93)</f>
        <v>0</v>
      </c>
      <c r="K93" s="124" t="n">
        <f aca="false">IF(WEEKDAY(A93,3)&gt;4,0,(IF(A93&lt;K$2,0,IF(A93&lt;=K$3,1,0))))</f>
        <v>0</v>
      </c>
      <c r="L93" s="124" t="n">
        <f aca="false">J93*K93</f>
        <v>0</v>
      </c>
      <c r="M93" s="124" t="n">
        <f aca="false">SUM(J$6:J93)</f>
        <v>0</v>
      </c>
      <c r="N93" s="124" t="n">
        <f aca="false">SUM(J$6:J93)</f>
        <v>0</v>
      </c>
      <c r="P93" s="124" t="n">
        <f aca="false">D93/P$3</f>
        <v>0</v>
      </c>
      <c r="Q93" s="124" t="n">
        <f aca="false">E93/P$3</f>
        <v>0</v>
      </c>
      <c r="R93" s="124" t="n">
        <f aca="false">F93/R$3</f>
        <v>0</v>
      </c>
      <c r="S93" s="126" t="n">
        <f aca="false">J93/$R$3</f>
        <v>0</v>
      </c>
      <c r="T93" s="126" t="n">
        <f aca="false">L93/$R$3</f>
        <v>0</v>
      </c>
      <c r="U93" s="126" t="n">
        <f aca="false">I93/$R$3</f>
        <v>0</v>
      </c>
      <c r="V93" s="126" t="n">
        <f aca="false">M93/$R$3</f>
        <v>0</v>
      </c>
      <c r="W93" s="126" t="n">
        <f aca="false">N93/$R$3</f>
        <v>0</v>
      </c>
    </row>
    <row r="94" customFormat="false" ht="12.75" hidden="true" customHeight="false" outlineLevel="0" collapsed="false">
      <c r="A94" s="120" t="n">
        <f aca="false">A93+1</f>
        <v>36980</v>
      </c>
      <c r="B94" s="131" t="str">
        <f aca="false">INDEX('Master Data'!$A$2:$B$8,MATCH(WEEKDAY('Plant Manager'!A94,3),'Master Data'!$A$2:$A$8,0),2)</f>
        <v>F</v>
      </c>
      <c r="D94" s="124" t="n">
        <v>0</v>
      </c>
      <c r="E94" s="124" t="n">
        <v>0</v>
      </c>
      <c r="F94" s="124" t="n">
        <v>0</v>
      </c>
      <c r="G94" s="124" t="n">
        <v>0</v>
      </c>
      <c r="I94" s="124" t="n">
        <f aca="false">IF(MONTH($A94)=MONTH($A93),IF(G94=0,I93,G94),G94)</f>
        <v>0</v>
      </c>
      <c r="J94" s="124" t="n">
        <f aca="false">IF(MONTH($A94)=MONTH($A93),SUM(I94-I93),I94)</f>
        <v>0</v>
      </c>
      <c r="K94" s="124" t="n">
        <f aca="false">IF(WEEKDAY(A94,3)&gt;4,0,(IF(A94&lt;K$2,0,IF(A94&lt;=K$3,1,0))))</f>
        <v>0</v>
      </c>
      <c r="L94" s="124" t="n">
        <f aca="false">J94*K94</f>
        <v>0</v>
      </c>
      <c r="M94" s="124" t="n">
        <f aca="false">SUM(J$6:J94)</f>
        <v>0</v>
      </c>
      <c r="N94" s="124" t="n">
        <f aca="false">SUM(J$6:J94)</f>
        <v>0</v>
      </c>
      <c r="P94" s="124" t="n">
        <f aca="false">D94/P$3</f>
        <v>0</v>
      </c>
      <c r="Q94" s="124" t="n">
        <f aca="false">E94/P$3</f>
        <v>0</v>
      </c>
      <c r="R94" s="124" t="n">
        <f aca="false">F94/R$3</f>
        <v>0</v>
      </c>
      <c r="S94" s="126" t="n">
        <f aca="false">J94/$R$3</f>
        <v>0</v>
      </c>
      <c r="T94" s="126" t="n">
        <f aca="false">L94/$R$3</f>
        <v>0</v>
      </c>
      <c r="U94" s="126" t="n">
        <f aca="false">I94/$R$3</f>
        <v>0</v>
      </c>
      <c r="V94" s="126" t="n">
        <f aca="false">M94/$R$3</f>
        <v>0</v>
      </c>
      <c r="W94" s="126" t="n">
        <f aca="false">N94/$R$3</f>
        <v>0</v>
      </c>
    </row>
    <row r="95" customFormat="false" ht="12.75" hidden="false" customHeight="false" outlineLevel="0" collapsed="false">
      <c r="A95" s="120" t="n">
        <f aca="false">A94+1</f>
        <v>36981</v>
      </c>
      <c r="B95" s="131" t="str">
        <f aca="false">INDEX('Master Data'!$A$2:$B$8,MATCH(WEEKDAY('Plant Manager'!A95,3),'Master Data'!$A$2:$A$8,0),2)</f>
        <v>Sa</v>
      </c>
      <c r="D95" s="124" t="n">
        <v>0</v>
      </c>
      <c r="E95" s="124" t="n">
        <v>0</v>
      </c>
      <c r="F95" s="124" t="n">
        <v>0</v>
      </c>
      <c r="G95" s="124" t="n">
        <v>0</v>
      </c>
      <c r="I95" s="124" t="n">
        <f aca="false">IF(MONTH($A95)=MONTH($A94),IF(G95=0,I94,G95),G95)</f>
        <v>0</v>
      </c>
      <c r="J95" s="124" t="n">
        <f aca="false">IF(MONTH($A95)=MONTH($A94),SUM(I95-I94),I95)</f>
        <v>0</v>
      </c>
      <c r="K95" s="124" t="n">
        <f aca="false">IF(WEEKDAY(A95,3)&gt;4,0,(IF(A95&lt;K$2,0,IF(A95&lt;=K$3,1,0))))</f>
        <v>0</v>
      </c>
      <c r="L95" s="124" t="n">
        <f aca="false">J95*K95</f>
        <v>0</v>
      </c>
      <c r="M95" s="124" t="n">
        <f aca="false">SUM(J$6:J95)</f>
        <v>0</v>
      </c>
      <c r="N95" s="124" t="n">
        <f aca="false">SUM(J$6:J95)</f>
        <v>0</v>
      </c>
      <c r="P95" s="124" t="n">
        <f aca="false">D95/P$3</f>
        <v>0</v>
      </c>
      <c r="Q95" s="124" t="n">
        <f aca="false">E95/P$3</f>
        <v>0</v>
      </c>
      <c r="R95" s="124" t="n">
        <f aca="false">F95/R$3</f>
        <v>0</v>
      </c>
      <c r="S95" s="126" t="n">
        <f aca="false">J95/$R$3</f>
        <v>0</v>
      </c>
      <c r="T95" s="126" t="n">
        <f aca="false">L95/$R$3</f>
        <v>0</v>
      </c>
      <c r="U95" s="126" t="n">
        <f aca="false">I95/$R$3</f>
        <v>0</v>
      </c>
      <c r="V95" s="126" t="n">
        <f aca="false">M95/$R$3</f>
        <v>0</v>
      </c>
      <c r="W95" s="126" t="n">
        <f aca="false">N95/$R$3</f>
        <v>0</v>
      </c>
    </row>
    <row r="96" customFormat="false" ht="12.75" hidden="true" customHeight="false" outlineLevel="0" collapsed="false">
      <c r="A96" s="120" t="n">
        <f aca="false">A95+1</f>
        <v>36982</v>
      </c>
      <c r="B96" s="131" t="str">
        <f aca="false">INDEX('Master Data'!$A$2:$B$8,MATCH(WEEKDAY('Plant Manager'!A96,3),'Master Data'!$A$2:$A$8,0),2)</f>
        <v>Su</v>
      </c>
      <c r="D96" s="124" t="n">
        <v>0</v>
      </c>
      <c r="E96" s="124" t="n">
        <v>0</v>
      </c>
      <c r="F96" s="124" t="n">
        <v>0</v>
      </c>
      <c r="G96" s="124" t="n">
        <v>0</v>
      </c>
      <c r="I96" s="124" t="n">
        <f aca="false">IF(MONTH($A96)=MONTH($A95),IF(G96=0,I95,G96),G96)</f>
        <v>0</v>
      </c>
      <c r="J96" s="124" t="n">
        <f aca="false">IF(MONTH($A96)=MONTH($A95),SUM(I96-I95),I96)</f>
        <v>0</v>
      </c>
      <c r="K96" s="124" t="n">
        <f aca="false">IF(WEEKDAY(A96,3)&gt;4,0,(IF(A96&lt;K$2,0,IF(A96&lt;=K$3,1,0))))</f>
        <v>0</v>
      </c>
      <c r="L96" s="124" t="n">
        <f aca="false">J96*K96</f>
        <v>0</v>
      </c>
      <c r="M96" s="124" t="n">
        <f aca="false">SUM(J$6:J96)</f>
        <v>0</v>
      </c>
      <c r="N96" s="124" t="n">
        <f aca="false">SUM(J$6:J96)</f>
        <v>0</v>
      </c>
      <c r="P96" s="124" t="n">
        <f aca="false">D96/P$3</f>
        <v>0</v>
      </c>
      <c r="Q96" s="124" t="n">
        <f aca="false">E96/P$3</f>
        <v>0</v>
      </c>
      <c r="R96" s="124" t="n">
        <f aca="false">F96/R$3</f>
        <v>0</v>
      </c>
      <c r="S96" s="126" t="n">
        <f aca="false">J96/$R$3</f>
        <v>0</v>
      </c>
      <c r="T96" s="126" t="n">
        <f aca="false">L96/$R$3</f>
        <v>0</v>
      </c>
      <c r="U96" s="126" t="n">
        <f aca="false">I96/$R$3</f>
        <v>0</v>
      </c>
      <c r="V96" s="126" t="n">
        <f aca="false">M96/$R$3</f>
        <v>0</v>
      </c>
      <c r="W96" s="126" t="n">
        <f aca="false">N96/$R$3</f>
        <v>0</v>
      </c>
    </row>
    <row r="97" customFormat="false" ht="12.75" hidden="true" customHeight="false" outlineLevel="0" collapsed="false">
      <c r="A97" s="120" t="n">
        <f aca="false">A96+1</f>
        <v>36983</v>
      </c>
      <c r="B97" s="131" t="str">
        <f aca="false">INDEX('Master Data'!$A$2:$B$8,MATCH(WEEKDAY('Plant Manager'!A97,3),'Master Data'!$A$2:$A$8,0),2)</f>
        <v>M</v>
      </c>
      <c r="D97" s="124" t="n">
        <v>0</v>
      </c>
      <c r="E97" s="124" t="n">
        <v>0</v>
      </c>
      <c r="F97" s="124" t="n">
        <v>0</v>
      </c>
      <c r="G97" s="124" t="n">
        <v>0</v>
      </c>
      <c r="I97" s="124" t="n">
        <f aca="false">IF(MONTH($A97)=MONTH($A96),IF(G97=0,I96,G97),G97)</f>
        <v>0</v>
      </c>
      <c r="J97" s="124" t="n">
        <f aca="false">IF(MONTH($A97)=MONTH($A96),SUM(I97-I96),I97)</f>
        <v>0</v>
      </c>
      <c r="K97" s="124" t="n">
        <f aca="false">IF(WEEKDAY(A97,3)&gt;4,0,(IF(A97&lt;K$2,0,IF(A97&lt;=K$3,1,0))))</f>
        <v>0</v>
      </c>
      <c r="L97" s="124" t="n">
        <f aca="false">J97*K97</f>
        <v>0</v>
      </c>
      <c r="M97" s="124" t="n">
        <f aca="false">SUM(J$97:J97)</f>
        <v>0</v>
      </c>
      <c r="N97" s="124" t="n">
        <f aca="false">SUM(J$6:J97)</f>
        <v>0</v>
      </c>
      <c r="P97" s="124" t="n">
        <f aca="false">D97/P$3</f>
        <v>0</v>
      </c>
      <c r="Q97" s="124" t="n">
        <f aca="false">E97/P$3</f>
        <v>0</v>
      </c>
      <c r="R97" s="124" t="n">
        <f aca="false">F97/R$3</f>
        <v>0</v>
      </c>
      <c r="S97" s="126" t="n">
        <f aca="false">J97/$R$3</f>
        <v>0</v>
      </c>
      <c r="T97" s="126" t="n">
        <f aca="false">L97/$R$3</f>
        <v>0</v>
      </c>
      <c r="U97" s="126" t="n">
        <f aca="false">I97/$R$3</f>
        <v>0</v>
      </c>
      <c r="V97" s="126" t="n">
        <f aca="false">M97/$R$3</f>
        <v>0</v>
      </c>
      <c r="W97" s="126" t="n">
        <f aca="false">N97/$R$3</f>
        <v>0</v>
      </c>
    </row>
    <row r="98" customFormat="false" ht="12.75" hidden="true" customHeight="false" outlineLevel="0" collapsed="false">
      <c r="A98" s="120" t="n">
        <f aca="false">A97+1</f>
        <v>36984</v>
      </c>
      <c r="B98" s="131" t="str">
        <f aca="false">INDEX('Master Data'!$A$2:$B$8,MATCH(WEEKDAY('Plant Manager'!A98,3),'Master Data'!$A$2:$A$8,0),2)</f>
        <v>T</v>
      </c>
      <c r="D98" s="124" t="n">
        <v>0</v>
      </c>
      <c r="E98" s="124" t="n">
        <v>0</v>
      </c>
      <c r="F98" s="124" t="n">
        <v>0</v>
      </c>
      <c r="G98" s="124" t="n">
        <v>0</v>
      </c>
      <c r="I98" s="124" t="n">
        <f aca="false">IF(MONTH($A98)=MONTH($A97),IF(G98=0,I97,G98),G98)</f>
        <v>0</v>
      </c>
      <c r="J98" s="124" t="n">
        <f aca="false">IF(MONTH($A98)=MONTH($A97),SUM(I98-I97),I98)</f>
        <v>0</v>
      </c>
      <c r="K98" s="124" t="n">
        <f aca="false">IF(WEEKDAY(A98,3)&gt;4,0,(IF(A98&lt;K$2,0,IF(A98&lt;=K$3,1,0))))</f>
        <v>0</v>
      </c>
      <c r="L98" s="124" t="n">
        <f aca="false">J98*K98</f>
        <v>0</v>
      </c>
      <c r="M98" s="124" t="n">
        <f aca="false">SUM(J$97:J98)</f>
        <v>0</v>
      </c>
      <c r="N98" s="124" t="n">
        <f aca="false">SUM(J$6:J98)</f>
        <v>0</v>
      </c>
      <c r="P98" s="124" t="n">
        <f aca="false">D98/P$3</f>
        <v>0</v>
      </c>
      <c r="Q98" s="124" t="n">
        <f aca="false">E98/P$3</f>
        <v>0</v>
      </c>
      <c r="R98" s="124" t="n">
        <f aca="false">F98/R$3</f>
        <v>0</v>
      </c>
      <c r="S98" s="126" t="n">
        <f aca="false">J98/$R$3</f>
        <v>0</v>
      </c>
      <c r="T98" s="126" t="n">
        <f aca="false">L98/$R$3</f>
        <v>0</v>
      </c>
      <c r="U98" s="126" t="n">
        <f aca="false">I98/$R$3</f>
        <v>0</v>
      </c>
      <c r="V98" s="126" t="n">
        <f aca="false">M98/$R$3</f>
        <v>0</v>
      </c>
      <c r="W98" s="126" t="n">
        <f aca="false">N98/$R$3</f>
        <v>0</v>
      </c>
    </row>
    <row r="99" customFormat="false" ht="12.75" hidden="true" customHeight="false" outlineLevel="0" collapsed="false">
      <c r="A99" s="120" t="n">
        <f aca="false">A98+1</f>
        <v>36985</v>
      </c>
      <c r="B99" s="131" t="str">
        <f aca="false">INDEX('Master Data'!$A$2:$B$8,MATCH(WEEKDAY('Plant Manager'!A99,3),'Master Data'!$A$2:$A$8,0),2)</f>
        <v>W</v>
      </c>
      <c r="D99" s="124" t="n">
        <v>0</v>
      </c>
      <c r="E99" s="124" t="n">
        <v>0</v>
      </c>
      <c r="F99" s="124" t="n">
        <v>0</v>
      </c>
      <c r="G99" s="124" t="n">
        <v>0</v>
      </c>
      <c r="I99" s="124" t="n">
        <f aca="false">IF(MONTH($A99)=MONTH($A98),IF(G99=0,I98,G99),G99)</f>
        <v>0</v>
      </c>
      <c r="J99" s="124" t="n">
        <f aca="false">IF(MONTH($A99)=MONTH($A98),SUM(I99-I98),I99)</f>
        <v>0</v>
      </c>
      <c r="K99" s="124" t="n">
        <f aca="false">IF(WEEKDAY(A99,3)&gt;4,0,(IF(A99&lt;K$2,0,IF(A99&lt;=K$3,1,0))))</f>
        <v>0</v>
      </c>
      <c r="L99" s="124" t="n">
        <f aca="false">J99*K99</f>
        <v>0</v>
      </c>
      <c r="M99" s="124" t="n">
        <f aca="false">SUM(J$97:J99)</f>
        <v>0</v>
      </c>
      <c r="N99" s="124" t="n">
        <f aca="false">SUM(J$6:J99)</f>
        <v>0</v>
      </c>
      <c r="P99" s="124" t="n">
        <f aca="false">D99/P$3</f>
        <v>0</v>
      </c>
      <c r="Q99" s="124" t="n">
        <f aca="false">E99/P$3</f>
        <v>0</v>
      </c>
      <c r="R99" s="124" t="n">
        <f aca="false">F99/R$3</f>
        <v>0</v>
      </c>
      <c r="S99" s="126" t="n">
        <f aca="false">J99/$R$3</f>
        <v>0</v>
      </c>
      <c r="T99" s="126" t="n">
        <f aca="false">L99/$R$3</f>
        <v>0</v>
      </c>
      <c r="U99" s="126" t="n">
        <f aca="false">I99/$R$3</f>
        <v>0</v>
      </c>
      <c r="V99" s="126" t="n">
        <f aca="false">M99/$R$3</f>
        <v>0</v>
      </c>
      <c r="W99" s="126" t="n">
        <f aca="false">N99/$R$3</f>
        <v>0</v>
      </c>
    </row>
    <row r="100" customFormat="false" ht="12.75" hidden="true" customHeight="false" outlineLevel="0" collapsed="false">
      <c r="A100" s="120" t="n">
        <f aca="false">A99+1</f>
        <v>36986</v>
      </c>
      <c r="B100" s="131" t="str">
        <f aca="false">INDEX('Master Data'!$A$2:$B$8,MATCH(WEEKDAY('Plant Manager'!A100,3),'Master Data'!$A$2:$A$8,0),2)</f>
        <v>Th</v>
      </c>
      <c r="D100" s="124" t="n">
        <v>0</v>
      </c>
      <c r="E100" s="124" t="n">
        <v>0</v>
      </c>
      <c r="F100" s="124" t="n">
        <v>0</v>
      </c>
      <c r="G100" s="124" t="n">
        <v>0</v>
      </c>
      <c r="I100" s="124" t="n">
        <f aca="false">IF(MONTH($A100)=MONTH($A99),IF(G100=0,I99,G100),G100)</f>
        <v>0</v>
      </c>
      <c r="J100" s="124" t="n">
        <f aca="false">IF(MONTH($A100)=MONTH($A99),SUM(I100-I99),I100)</f>
        <v>0</v>
      </c>
      <c r="K100" s="124" t="n">
        <f aca="false">IF(WEEKDAY(A100,3)&gt;4,0,(IF(A100&lt;K$2,0,IF(A100&lt;=K$3,1,0))))</f>
        <v>0</v>
      </c>
      <c r="L100" s="124" t="n">
        <f aca="false">J100*K100</f>
        <v>0</v>
      </c>
      <c r="M100" s="124" t="n">
        <f aca="false">SUM(J$97:J100)</f>
        <v>0</v>
      </c>
      <c r="N100" s="124" t="n">
        <f aca="false">SUM(J$6:J100)</f>
        <v>0</v>
      </c>
      <c r="P100" s="124" t="n">
        <f aca="false">D100/P$3</f>
        <v>0</v>
      </c>
      <c r="Q100" s="124" t="n">
        <f aca="false">E100/P$3</f>
        <v>0</v>
      </c>
      <c r="R100" s="124" t="n">
        <f aca="false">F100/R$3</f>
        <v>0</v>
      </c>
      <c r="S100" s="126" t="n">
        <f aca="false">J100/$R$3</f>
        <v>0</v>
      </c>
      <c r="T100" s="126" t="n">
        <f aca="false">L100/$R$3</f>
        <v>0</v>
      </c>
      <c r="U100" s="126" t="n">
        <f aca="false">I100/$R$3</f>
        <v>0</v>
      </c>
      <c r="V100" s="126" t="n">
        <f aca="false">M100/$R$3</f>
        <v>0</v>
      </c>
      <c r="W100" s="126" t="n">
        <f aca="false">N100/$R$3</f>
        <v>0</v>
      </c>
    </row>
    <row r="101" customFormat="false" ht="12.75" hidden="true" customHeight="false" outlineLevel="0" collapsed="false">
      <c r="A101" s="120" t="n">
        <f aca="false">A100+1</f>
        <v>36987</v>
      </c>
      <c r="B101" s="131" t="str">
        <f aca="false">INDEX('Master Data'!$A$2:$B$8,MATCH(WEEKDAY('Plant Manager'!A101,3),'Master Data'!$A$2:$A$8,0),2)</f>
        <v>F</v>
      </c>
      <c r="D101" s="124" t="n">
        <v>0</v>
      </c>
      <c r="E101" s="124" t="n">
        <v>0</v>
      </c>
      <c r="F101" s="124" t="n">
        <v>0</v>
      </c>
      <c r="G101" s="124" t="n">
        <v>0</v>
      </c>
      <c r="I101" s="124" t="n">
        <f aca="false">IF(MONTH($A101)=MONTH($A100),IF(G101=0,I100,G101),G101)</f>
        <v>0</v>
      </c>
      <c r="J101" s="124" t="n">
        <f aca="false">IF(MONTH($A101)=MONTH($A100),SUM(I101-I100),I101)</f>
        <v>0</v>
      </c>
      <c r="K101" s="124" t="n">
        <f aca="false">IF(WEEKDAY(A101,3)&gt;4,0,(IF(A101&lt;K$2,0,IF(A101&lt;=K$3,1,0))))</f>
        <v>0</v>
      </c>
      <c r="L101" s="124" t="n">
        <f aca="false">J101*K101</f>
        <v>0</v>
      </c>
      <c r="M101" s="124" t="n">
        <f aca="false">SUM(J$97:J101)</f>
        <v>0</v>
      </c>
      <c r="N101" s="124" t="n">
        <f aca="false">SUM(J$6:J101)</f>
        <v>0</v>
      </c>
      <c r="P101" s="124" t="n">
        <f aca="false">D101/P$3</f>
        <v>0</v>
      </c>
      <c r="Q101" s="124" t="n">
        <f aca="false">E101/P$3</f>
        <v>0</v>
      </c>
      <c r="R101" s="124" t="n">
        <f aca="false">F101/R$3</f>
        <v>0</v>
      </c>
      <c r="S101" s="126" t="n">
        <f aca="false">J101/$R$3</f>
        <v>0</v>
      </c>
      <c r="T101" s="126" t="n">
        <f aca="false">L101/$R$3</f>
        <v>0</v>
      </c>
      <c r="U101" s="126" t="n">
        <f aca="false">I101/$R$3</f>
        <v>0</v>
      </c>
      <c r="V101" s="126" t="n">
        <f aca="false">M101/$R$3</f>
        <v>0</v>
      </c>
      <c r="W101" s="126" t="n">
        <f aca="false">N101/$R$3</f>
        <v>0</v>
      </c>
    </row>
    <row r="102" customFormat="false" ht="12.75" hidden="true" customHeight="false" outlineLevel="0" collapsed="false">
      <c r="A102" s="120" t="n">
        <f aca="false">A101+1</f>
        <v>36988</v>
      </c>
      <c r="B102" s="131" t="str">
        <f aca="false">INDEX('Master Data'!$A$2:$B$8,MATCH(WEEKDAY('Plant Manager'!A102,3),'Master Data'!$A$2:$A$8,0),2)</f>
        <v>Sa</v>
      </c>
      <c r="D102" s="124" t="n">
        <v>0</v>
      </c>
      <c r="E102" s="124" t="n">
        <v>0</v>
      </c>
      <c r="F102" s="124" t="n">
        <v>0</v>
      </c>
      <c r="G102" s="124" t="n">
        <v>0</v>
      </c>
      <c r="I102" s="124" t="n">
        <f aca="false">IF(MONTH($A102)=MONTH($A101),IF(G102=0,I101,G102),G102)</f>
        <v>0</v>
      </c>
      <c r="J102" s="124" t="n">
        <f aca="false">IF(MONTH($A102)=MONTH($A101),SUM(I102-I101),I102)</f>
        <v>0</v>
      </c>
      <c r="K102" s="124" t="n">
        <f aca="false">IF(WEEKDAY(A102,3)&gt;4,0,(IF(A102&lt;K$2,0,IF(A102&lt;=K$3,1,0))))</f>
        <v>0</v>
      </c>
      <c r="L102" s="124" t="n">
        <f aca="false">J102*K102</f>
        <v>0</v>
      </c>
      <c r="M102" s="124" t="n">
        <f aca="false">SUM(J$97:J102)</f>
        <v>0</v>
      </c>
      <c r="N102" s="124" t="n">
        <f aca="false">SUM(J$6:J102)</f>
        <v>0</v>
      </c>
      <c r="P102" s="124" t="n">
        <f aca="false">D102/P$3</f>
        <v>0</v>
      </c>
      <c r="Q102" s="124" t="n">
        <f aca="false">E102/P$3</f>
        <v>0</v>
      </c>
      <c r="R102" s="124" t="n">
        <f aca="false">F102/R$3</f>
        <v>0</v>
      </c>
      <c r="S102" s="126" t="n">
        <f aca="false">J102/$R$3</f>
        <v>0</v>
      </c>
      <c r="T102" s="126" t="n">
        <f aca="false">L102/$R$3</f>
        <v>0</v>
      </c>
      <c r="U102" s="126" t="n">
        <f aca="false">I102/$R$3</f>
        <v>0</v>
      </c>
      <c r="V102" s="126" t="n">
        <f aca="false">M102/$R$3</f>
        <v>0</v>
      </c>
      <c r="W102" s="126" t="n">
        <f aca="false">N102/$R$3</f>
        <v>0</v>
      </c>
    </row>
    <row r="103" customFormat="false" ht="12.75" hidden="true" customHeight="false" outlineLevel="0" collapsed="false">
      <c r="A103" s="120" t="n">
        <f aca="false">A102+1</f>
        <v>36989</v>
      </c>
      <c r="B103" s="131" t="str">
        <f aca="false">INDEX('Master Data'!$A$2:$B$8,MATCH(WEEKDAY('Plant Manager'!A103,3),'Master Data'!$A$2:$A$8,0),2)</f>
        <v>Su</v>
      </c>
      <c r="D103" s="124" t="n">
        <v>0</v>
      </c>
      <c r="E103" s="124" t="n">
        <v>0</v>
      </c>
      <c r="F103" s="124" t="n">
        <v>0</v>
      </c>
      <c r="G103" s="124" t="n">
        <v>0</v>
      </c>
      <c r="I103" s="124" t="n">
        <f aca="false">IF(MONTH($A103)=MONTH($A102),IF(G103=0,I102,G103),G103)</f>
        <v>0</v>
      </c>
      <c r="J103" s="124" t="n">
        <f aca="false">IF(MONTH($A103)=MONTH($A102),SUM(I103-I102),I103)</f>
        <v>0</v>
      </c>
      <c r="K103" s="124" t="n">
        <f aca="false">IF(WEEKDAY(A103,3)&gt;4,0,(IF(A103&lt;K$2,0,IF(A103&lt;=K$3,1,0))))</f>
        <v>0</v>
      </c>
      <c r="L103" s="124" t="n">
        <f aca="false">J103*K103</f>
        <v>0</v>
      </c>
      <c r="M103" s="124" t="n">
        <f aca="false">SUM(J$97:J103)</f>
        <v>0</v>
      </c>
      <c r="N103" s="124" t="n">
        <f aca="false">SUM(J$6:J103)</f>
        <v>0</v>
      </c>
      <c r="P103" s="124" t="n">
        <f aca="false">D103/P$3</f>
        <v>0</v>
      </c>
      <c r="Q103" s="124" t="n">
        <f aca="false">E103/P$3</f>
        <v>0</v>
      </c>
      <c r="R103" s="124" t="n">
        <f aca="false">F103/R$3</f>
        <v>0</v>
      </c>
      <c r="S103" s="126" t="n">
        <f aca="false">J103/$R$3</f>
        <v>0</v>
      </c>
      <c r="T103" s="126" t="n">
        <f aca="false">L103/$R$3</f>
        <v>0</v>
      </c>
      <c r="U103" s="126" t="n">
        <f aca="false">I103/$R$3</f>
        <v>0</v>
      </c>
      <c r="V103" s="126" t="n">
        <f aca="false">M103/$R$3</f>
        <v>0</v>
      </c>
      <c r="W103" s="126" t="n">
        <f aca="false">N103/$R$3</f>
        <v>0</v>
      </c>
    </row>
    <row r="104" customFormat="false" ht="12.75" hidden="true" customHeight="false" outlineLevel="0" collapsed="false">
      <c r="A104" s="120" t="n">
        <f aca="false">A103+1</f>
        <v>36990</v>
      </c>
      <c r="B104" s="131" t="str">
        <f aca="false">INDEX('Master Data'!$A$2:$B$8,MATCH(WEEKDAY('Plant Manager'!A104,3),'Master Data'!$A$2:$A$8,0),2)</f>
        <v>M</v>
      </c>
      <c r="D104" s="124" t="n">
        <v>0</v>
      </c>
      <c r="E104" s="124" t="n">
        <v>0</v>
      </c>
      <c r="F104" s="124" t="n">
        <v>0</v>
      </c>
      <c r="G104" s="124" t="n">
        <v>0</v>
      </c>
      <c r="I104" s="124" t="n">
        <f aca="false">IF(MONTH($A104)=MONTH($A103),IF(G104=0,I103,G104),G104)</f>
        <v>0</v>
      </c>
      <c r="J104" s="124" t="n">
        <f aca="false">IF(MONTH($A104)=MONTH($A103),SUM(I104-I103),I104)</f>
        <v>0</v>
      </c>
      <c r="K104" s="124" t="n">
        <f aca="false">IF(WEEKDAY(A104,3)&gt;4,0,(IF(A104&lt;K$2,0,IF(A104&lt;=K$3,1,0))))</f>
        <v>0</v>
      </c>
      <c r="L104" s="124" t="n">
        <f aca="false">J104*K104</f>
        <v>0</v>
      </c>
      <c r="M104" s="124" t="n">
        <f aca="false">SUM(J$97:J104)</f>
        <v>0</v>
      </c>
      <c r="N104" s="124" t="n">
        <f aca="false">SUM(J$6:J104)</f>
        <v>0</v>
      </c>
      <c r="P104" s="124" t="n">
        <f aca="false">D104/P$3</f>
        <v>0</v>
      </c>
      <c r="Q104" s="124" t="n">
        <f aca="false">E104/P$3</f>
        <v>0</v>
      </c>
      <c r="R104" s="124" t="n">
        <f aca="false">F104/R$3</f>
        <v>0</v>
      </c>
      <c r="S104" s="126" t="n">
        <f aca="false">J104/$R$3</f>
        <v>0</v>
      </c>
      <c r="T104" s="126" t="n">
        <f aca="false">L104/$R$3</f>
        <v>0</v>
      </c>
      <c r="U104" s="126" t="n">
        <f aca="false">I104/$R$3</f>
        <v>0</v>
      </c>
      <c r="V104" s="126" t="n">
        <f aca="false">M104/$R$3</f>
        <v>0</v>
      </c>
      <c r="W104" s="126" t="n">
        <f aca="false">N104/$R$3</f>
        <v>0</v>
      </c>
    </row>
    <row r="105" customFormat="false" ht="12.75" hidden="true" customHeight="false" outlineLevel="0" collapsed="false">
      <c r="A105" s="120" t="n">
        <f aca="false">A104+1</f>
        <v>36991</v>
      </c>
      <c r="B105" s="131" t="str">
        <f aca="false">INDEX('Master Data'!$A$2:$B$8,MATCH(WEEKDAY('Plant Manager'!A105,3),'Master Data'!$A$2:$A$8,0),2)</f>
        <v>T</v>
      </c>
      <c r="D105" s="124" t="n">
        <v>0</v>
      </c>
      <c r="E105" s="124" t="n">
        <v>0</v>
      </c>
      <c r="F105" s="124" t="n">
        <v>0</v>
      </c>
      <c r="G105" s="124" t="n">
        <v>0</v>
      </c>
      <c r="I105" s="124" t="n">
        <f aca="false">IF(MONTH($A105)=MONTH($A104),IF(G105=0,I104,G105),G105)</f>
        <v>0</v>
      </c>
      <c r="J105" s="124" t="n">
        <f aca="false">IF(MONTH($A105)=MONTH($A104),SUM(I105-I104),I105)</f>
        <v>0</v>
      </c>
      <c r="K105" s="124" t="n">
        <f aca="false">IF(WEEKDAY(A105,3)&gt;4,0,(IF(A105&lt;K$2,0,IF(A105&lt;=K$3,1,0))))</f>
        <v>0</v>
      </c>
      <c r="L105" s="124" t="n">
        <f aca="false">J105*K105</f>
        <v>0</v>
      </c>
      <c r="M105" s="124" t="n">
        <f aca="false">SUM(J$97:J105)</f>
        <v>0</v>
      </c>
      <c r="N105" s="124" t="n">
        <f aca="false">SUM(J$6:J105)</f>
        <v>0</v>
      </c>
      <c r="P105" s="124" t="n">
        <f aca="false">D105/P$3</f>
        <v>0</v>
      </c>
      <c r="Q105" s="124" t="n">
        <f aca="false">E105/P$3</f>
        <v>0</v>
      </c>
      <c r="R105" s="124" t="n">
        <f aca="false">F105/R$3</f>
        <v>0</v>
      </c>
      <c r="S105" s="126" t="n">
        <f aca="false">J105/$R$3</f>
        <v>0</v>
      </c>
      <c r="T105" s="126" t="n">
        <f aca="false">L105/$R$3</f>
        <v>0</v>
      </c>
      <c r="U105" s="126" t="n">
        <f aca="false">I105/$R$3</f>
        <v>0</v>
      </c>
      <c r="V105" s="126" t="n">
        <f aca="false">M105/$R$3</f>
        <v>0</v>
      </c>
      <c r="W105" s="126" t="n">
        <f aca="false">N105/$R$3</f>
        <v>0</v>
      </c>
    </row>
    <row r="106" customFormat="false" ht="12.75" hidden="true" customHeight="false" outlineLevel="0" collapsed="false">
      <c r="A106" s="120" t="n">
        <f aca="false">A105+1</f>
        <v>36992</v>
      </c>
      <c r="B106" s="131" t="str">
        <f aca="false">INDEX('Master Data'!$A$2:$B$8,MATCH(WEEKDAY('Plant Manager'!A106,3),'Master Data'!$A$2:$A$8,0),2)</f>
        <v>W</v>
      </c>
      <c r="D106" s="124" t="n">
        <v>0</v>
      </c>
      <c r="E106" s="124" t="n">
        <v>0</v>
      </c>
      <c r="F106" s="124" t="n">
        <v>0</v>
      </c>
      <c r="G106" s="124" t="n">
        <v>0</v>
      </c>
      <c r="I106" s="124" t="n">
        <f aca="false">IF(MONTH($A106)=MONTH($A105),IF(G106=0,I105,G106),G106)</f>
        <v>0</v>
      </c>
      <c r="J106" s="124" t="n">
        <f aca="false">IF(MONTH($A106)=MONTH($A105),SUM(I106-I105),I106)</f>
        <v>0</v>
      </c>
      <c r="K106" s="124" t="n">
        <f aca="false">IF(WEEKDAY(A106,3)&gt;4,0,(IF(A106&lt;K$2,0,IF(A106&lt;=K$3,1,0))))</f>
        <v>0</v>
      </c>
      <c r="L106" s="124" t="n">
        <f aca="false">J106*K106</f>
        <v>0</v>
      </c>
      <c r="M106" s="124" t="n">
        <f aca="false">SUM(J$97:J106)</f>
        <v>0</v>
      </c>
      <c r="N106" s="124" t="n">
        <f aca="false">SUM(J$6:J106)</f>
        <v>0</v>
      </c>
      <c r="P106" s="124" t="n">
        <f aca="false">D106/P$3</f>
        <v>0</v>
      </c>
      <c r="Q106" s="124" t="n">
        <f aca="false">E106/P$3</f>
        <v>0</v>
      </c>
      <c r="R106" s="124" t="n">
        <f aca="false">F106/R$3</f>
        <v>0</v>
      </c>
      <c r="S106" s="126" t="n">
        <f aca="false">J106/$R$3</f>
        <v>0</v>
      </c>
      <c r="T106" s="126" t="n">
        <f aca="false">L106/$R$3</f>
        <v>0</v>
      </c>
      <c r="U106" s="126" t="n">
        <f aca="false">I106/$R$3</f>
        <v>0</v>
      </c>
      <c r="V106" s="126" t="n">
        <f aca="false">M106/$R$3</f>
        <v>0</v>
      </c>
      <c r="W106" s="126" t="n">
        <f aca="false">N106/$R$3</f>
        <v>0</v>
      </c>
    </row>
    <row r="107" customFormat="false" ht="12.75" hidden="true" customHeight="false" outlineLevel="0" collapsed="false">
      <c r="A107" s="120" t="n">
        <f aca="false">A106+1</f>
        <v>36993</v>
      </c>
      <c r="B107" s="131" t="str">
        <f aca="false">INDEX('Master Data'!$A$2:$B$8,MATCH(WEEKDAY('Plant Manager'!A107,3),'Master Data'!$A$2:$A$8,0),2)</f>
        <v>Th</v>
      </c>
      <c r="D107" s="124" t="n">
        <v>0</v>
      </c>
      <c r="E107" s="124" t="n">
        <v>0</v>
      </c>
      <c r="F107" s="124" t="n">
        <v>0</v>
      </c>
      <c r="G107" s="124" t="n">
        <v>0</v>
      </c>
      <c r="I107" s="124" t="n">
        <f aca="false">IF(MONTH($A107)=MONTH($A106),IF(G107=0,I106,G107),G107)</f>
        <v>0</v>
      </c>
      <c r="J107" s="124" t="n">
        <f aca="false">IF(MONTH($A107)=MONTH($A106),SUM(I107-I106),I107)</f>
        <v>0</v>
      </c>
      <c r="K107" s="124" t="n">
        <f aca="false">IF(WEEKDAY(A107,3)&gt;4,0,(IF(A107&lt;K$2,0,IF(A107&lt;=K$3,1,0))))</f>
        <v>0</v>
      </c>
      <c r="L107" s="124" t="n">
        <f aca="false">J107*K107</f>
        <v>0</v>
      </c>
      <c r="M107" s="124" t="n">
        <f aca="false">SUM(J$97:J107)</f>
        <v>0</v>
      </c>
      <c r="N107" s="124" t="n">
        <f aca="false">SUM(J$6:J107)</f>
        <v>0</v>
      </c>
      <c r="P107" s="124" t="n">
        <f aca="false">D107/P$3</f>
        <v>0</v>
      </c>
      <c r="Q107" s="124" t="n">
        <f aca="false">E107/P$3</f>
        <v>0</v>
      </c>
      <c r="R107" s="124" t="n">
        <f aca="false">F107/R$3</f>
        <v>0</v>
      </c>
      <c r="S107" s="126" t="n">
        <f aca="false">J107/$R$3</f>
        <v>0</v>
      </c>
      <c r="T107" s="126" t="n">
        <f aca="false">L107/$R$3</f>
        <v>0</v>
      </c>
      <c r="U107" s="126" t="n">
        <f aca="false">I107/$R$3</f>
        <v>0</v>
      </c>
      <c r="V107" s="126" t="n">
        <f aca="false">M107/$R$3</f>
        <v>0</v>
      </c>
      <c r="W107" s="126" t="n">
        <f aca="false">N107/$R$3</f>
        <v>0</v>
      </c>
    </row>
    <row r="108" customFormat="false" ht="12.75" hidden="true" customHeight="false" outlineLevel="0" collapsed="false">
      <c r="A108" s="120" t="n">
        <f aca="false">A107+1</f>
        <v>36994</v>
      </c>
      <c r="B108" s="131" t="str">
        <f aca="false">INDEX('Master Data'!$A$2:$B$8,MATCH(WEEKDAY('Plant Manager'!A108,3),'Master Data'!$A$2:$A$8,0),2)</f>
        <v>F</v>
      </c>
      <c r="D108" s="124" t="n">
        <v>0</v>
      </c>
      <c r="E108" s="124" t="n">
        <v>0</v>
      </c>
      <c r="F108" s="124" t="n">
        <v>0</v>
      </c>
      <c r="G108" s="124" t="n">
        <v>0</v>
      </c>
      <c r="I108" s="124" t="n">
        <f aca="false">IF(MONTH($A108)=MONTH($A107),IF(G108=0,I107,G108),G108)</f>
        <v>0</v>
      </c>
      <c r="J108" s="124" t="n">
        <f aca="false">IF(MONTH($A108)=MONTH($A107),SUM(I108-I107),I108)</f>
        <v>0</v>
      </c>
      <c r="K108" s="124" t="n">
        <f aca="false">IF(WEEKDAY(A108,3)&gt;4,0,(IF(A108&lt;K$2,0,IF(A108&lt;=K$3,1,0))))</f>
        <v>0</v>
      </c>
      <c r="L108" s="124" t="n">
        <f aca="false">J108*K108</f>
        <v>0</v>
      </c>
      <c r="M108" s="124" t="n">
        <f aca="false">SUM(J$97:J108)</f>
        <v>0</v>
      </c>
      <c r="N108" s="124" t="n">
        <f aca="false">SUM(J$6:J108)</f>
        <v>0</v>
      </c>
      <c r="P108" s="124" t="n">
        <f aca="false">D108/P$3</f>
        <v>0</v>
      </c>
      <c r="Q108" s="124" t="n">
        <f aca="false">E108/P$3</f>
        <v>0</v>
      </c>
      <c r="R108" s="124" t="n">
        <f aca="false">F108/R$3</f>
        <v>0</v>
      </c>
      <c r="S108" s="126" t="n">
        <f aca="false">J108/$R$3</f>
        <v>0</v>
      </c>
      <c r="T108" s="126" t="n">
        <f aca="false">L108/$R$3</f>
        <v>0</v>
      </c>
      <c r="U108" s="126" t="n">
        <f aca="false">I108/$R$3</f>
        <v>0</v>
      </c>
      <c r="V108" s="126" t="n">
        <f aca="false">M108/$R$3</f>
        <v>0</v>
      </c>
      <c r="W108" s="126" t="n">
        <f aca="false">N108/$R$3</f>
        <v>0</v>
      </c>
    </row>
    <row r="109" customFormat="false" ht="12.75" hidden="true" customHeight="false" outlineLevel="0" collapsed="false">
      <c r="A109" s="120" t="n">
        <f aca="false">A108+1</f>
        <v>36995</v>
      </c>
      <c r="B109" s="131" t="str">
        <f aca="false">INDEX('Master Data'!$A$2:$B$8,MATCH(WEEKDAY('Plant Manager'!A109,3),'Master Data'!$A$2:$A$8,0),2)</f>
        <v>Sa</v>
      </c>
      <c r="D109" s="124" t="n">
        <v>0</v>
      </c>
      <c r="E109" s="124" t="n">
        <v>0</v>
      </c>
      <c r="F109" s="124" t="n">
        <v>0</v>
      </c>
      <c r="G109" s="124" t="n">
        <v>0</v>
      </c>
      <c r="I109" s="124" t="n">
        <f aca="false">IF(MONTH($A109)=MONTH($A108),IF(G109=0,I108,G109),G109)</f>
        <v>0</v>
      </c>
      <c r="J109" s="124" t="n">
        <f aca="false">IF(MONTH($A109)=MONTH($A108),SUM(I109-I108),I109)</f>
        <v>0</v>
      </c>
      <c r="K109" s="124" t="n">
        <f aca="false">IF(WEEKDAY(A109,3)&gt;4,0,(IF(A109&lt;K$2,0,IF(A109&lt;=K$3,1,0))))</f>
        <v>0</v>
      </c>
      <c r="L109" s="124" t="n">
        <f aca="false">J109*K109</f>
        <v>0</v>
      </c>
      <c r="M109" s="124" t="n">
        <f aca="false">SUM(J$97:J109)</f>
        <v>0</v>
      </c>
      <c r="N109" s="124" t="n">
        <f aca="false">SUM(J$6:J109)</f>
        <v>0</v>
      </c>
      <c r="P109" s="124" t="n">
        <f aca="false">D109/P$3</f>
        <v>0</v>
      </c>
      <c r="Q109" s="124" t="n">
        <f aca="false">E109/P$3</f>
        <v>0</v>
      </c>
      <c r="R109" s="124" t="n">
        <f aca="false">F109/R$3</f>
        <v>0</v>
      </c>
      <c r="S109" s="126" t="n">
        <f aca="false">J109/$R$3</f>
        <v>0</v>
      </c>
      <c r="T109" s="126" t="n">
        <f aca="false">L109/$R$3</f>
        <v>0</v>
      </c>
      <c r="U109" s="126" t="n">
        <f aca="false">I109/$R$3</f>
        <v>0</v>
      </c>
      <c r="V109" s="126" t="n">
        <f aca="false">M109/$R$3</f>
        <v>0</v>
      </c>
      <c r="W109" s="126" t="n">
        <f aca="false">N109/$R$3</f>
        <v>0</v>
      </c>
    </row>
    <row r="110" customFormat="false" ht="12.75" hidden="true" customHeight="false" outlineLevel="0" collapsed="false">
      <c r="A110" s="120" t="n">
        <f aca="false">A109+1</f>
        <v>36996</v>
      </c>
      <c r="B110" s="131" t="str">
        <f aca="false">INDEX('Master Data'!$A$2:$B$8,MATCH(WEEKDAY('Plant Manager'!A110,3),'Master Data'!$A$2:$A$8,0),2)</f>
        <v>Su</v>
      </c>
      <c r="D110" s="124" t="n">
        <v>0</v>
      </c>
      <c r="E110" s="124" t="n">
        <v>0</v>
      </c>
      <c r="F110" s="124" t="n">
        <v>0</v>
      </c>
      <c r="G110" s="124" t="n">
        <v>0</v>
      </c>
      <c r="I110" s="124" t="n">
        <f aca="false">IF(MONTH($A110)=MONTH($A109),IF(G110=0,I109,G110),G110)</f>
        <v>0</v>
      </c>
      <c r="J110" s="124" t="n">
        <f aca="false">IF(MONTH($A110)=MONTH($A109),SUM(I110-I109),I110)</f>
        <v>0</v>
      </c>
      <c r="K110" s="124" t="n">
        <f aca="false">IF(WEEKDAY(A110,3)&gt;4,0,(IF(A110&lt;K$2,0,IF(A110&lt;=K$3,1,0))))</f>
        <v>0</v>
      </c>
      <c r="L110" s="124" t="n">
        <f aca="false">J110*K110</f>
        <v>0</v>
      </c>
      <c r="M110" s="124" t="n">
        <f aca="false">SUM(J$97:J110)</f>
        <v>0</v>
      </c>
      <c r="N110" s="124" t="n">
        <f aca="false">SUM(J$6:J110)</f>
        <v>0</v>
      </c>
      <c r="P110" s="124" t="n">
        <f aca="false">D110/P$3</f>
        <v>0</v>
      </c>
      <c r="Q110" s="124" t="n">
        <f aca="false">E110/P$3</f>
        <v>0</v>
      </c>
      <c r="R110" s="124" t="n">
        <f aca="false">F110/R$3</f>
        <v>0</v>
      </c>
      <c r="S110" s="126" t="n">
        <f aca="false">J110/$R$3</f>
        <v>0</v>
      </c>
      <c r="T110" s="126" t="n">
        <f aca="false">L110/$R$3</f>
        <v>0</v>
      </c>
      <c r="U110" s="126" t="n">
        <f aca="false">I110/$R$3</f>
        <v>0</v>
      </c>
      <c r="V110" s="126" t="n">
        <f aca="false">M110/$R$3</f>
        <v>0</v>
      </c>
      <c r="W110" s="126" t="n">
        <f aca="false">N110/$R$3</f>
        <v>0</v>
      </c>
    </row>
    <row r="111" customFormat="false" ht="12.75" hidden="true" customHeight="false" outlineLevel="0" collapsed="false">
      <c r="A111" s="120" t="n">
        <f aca="false">A110+1</f>
        <v>36997</v>
      </c>
      <c r="B111" s="131" t="str">
        <f aca="false">INDEX('Master Data'!$A$2:$B$8,MATCH(WEEKDAY('Plant Manager'!A111,3),'Master Data'!$A$2:$A$8,0),2)</f>
        <v>M</v>
      </c>
      <c r="D111" s="124" t="n">
        <v>0</v>
      </c>
      <c r="E111" s="124" t="n">
        <v>0</v>
      </c>
      <c r="F111" s="124" t="n">
        <v>0</v>
      </c>
      <c r="G111" s="124" t="n">
        <v>0</v>
      </c>
      <c r="I111" s="124" t="n">
        <f aca="false">IF(MONTH($A111)=MONTH($A110),IF(G111=0,I110,G111),G111)</f>
        <v>0</v>
      </c>
      <c r="J111" s="124" t="n">
        <f aca="false">IF(MONTH($A111)=MONTH($A110),SUM(I111-I110),I111)</f>
        <v>0</v>
      </c>
      <c r="K111" s="124" t="n">
        <f aca="false">IF(WEEKDAY(A111,3)&gt;4,0,(IF(A111&lt;K$2,0,IF(A111&lt;=K$3,1,0))))</f>
        <v>0</v>
      </c>
      <c r="L111" s="124" t="n">
        <f aca="false">J111*K111</f>
        <v>0</v>
      </c>
      <c r="M111" s="124" t="n">
        <f aca="false">SUM(J$97:J111)</f>
        <v>0</v>
      </c>
      <c r="N111" s="124" t="n">
        <f aca="false">SUM(J$6:J111)</f>
        <v>0</v>
      </c>
      <c r="P111" s="124" t="n">
        <f aca="false">D111/P$3</f>
        <v>0</v>
      </c>
      <c r="Q111" s="124" t="n">
        <f aca="false">E111/P$3</f>
        <v>0</v>
      </c>
      <c r="R111" s="124" t="n">
        <f aca="false">F111/R$3</f>
        <v>0</v>
      </c>
      <c r="S111" s="126" t="n">
        <f aca="false">J111/$R$3</f>
        <v>0</v>
      </c>
      <c r="T111" s="126" t="n">
        <f aca="false">L111/$R$3</f>
        <v>0</v>
      </c>
      <c r="U111" s="126" t="n">
        <f aca="false">I111/$R$3</f>
        <v>0</v>
      </c>
      <c r="V111" s="126" t="n">
        <f aca="false">M111/$R$3</f>
        <v>0</v>
      </c>
      <c r="W111" s="126" t="n">
        <f aca="false">N111/$R$3</f>
        <v>0</v>
      </c>
    </row>
    <row r="112" customFormat="false" ht="12.75" hidden="true" customHeight="false" outlineLevel="0" collapsed="false">
      <c r="A112" s="120" t="n">
        <f aca="false">A111+1</f>
        <v>36998</v>
      </c>
      <c r="B112" s="131" t="str">
        <f aca="false">INDEX('Master Data'!$A$2:$B$8,MATCH(WEEKDAY('Plant Manager'!A112,3),'Master Data'!$A$2:$A$8,0),2)</f>
        <v>T</v>
      </c>
      <c r="D112" s="124" t="n">
        <v>0</v>
      </c>
      <c r="E112" s="124" t="n">
        <v>0</v>
      </c>
      <c r="F112" s="124" t="n">
        <v>0</v>
      </c>
      <c r="G112" s="124" t="n">
        <v>0</v>
      </c>
      <c r="I112" s="124" t="n">
        <f aca="false">IF(MONTH($A112)=MONTH($A111),IF(G112=0,I111,G112),G112)</f>
        <v>0</v>
      </c>
      <c r="J112" s="124" t="n">
        <f aca="false">IF(MONTH($A112)=MONTH($A111),SUM(I112-I111),I112)</f>
        <v>0</v>
      </c>
      <c r="K112" s="124" t="n">
        <f aca="false">IF(WEEKDAY(A112,3)&gt;4,0,(IF(A112&lt;K$2,0,IF(A112&lt;=K$3,1,0))))</f>
        <v>0</v>
      </c>
      <c r="L112" s="124" t="n">
        <f aca="false">J112*K112</f>
        <v>0</v>
      </c>
      <c r="M112" s="124" t="n">
        <f aca="false">SUM(J$97:J112)</f>
        <v>0</v>
      </c>
      <c r="N112" s="124" t="n">
        <f aca="false">SUM(J$6:J112)</f>
        <v>0</v>
      </c>
      <c r="P112" s="124" t="n">
        <f aca="false">D112/P$3</f>
        <v>0</v>
      </c>
      <c r="Q112" s="124" t="n">
        <f aca="false">E112/P$3</f>
        <v>0</v>
      </c>
      <c r="R112" s="124" t="n">
        <f aca="false">F112/R$3</f>
        <v>0</v>
      </c>
      <c r="S112" s="126" t="n">
        <f aca="false">J112/$R$3</f>
        <v>0</v>
      </c>
      <c r="T112" s="126" t="n">
        <f aca="false">L112/$R$3</f>
        <v>0</v>
      </c>
      <c r="U112" s="126" t="n">
        <f aca="false">I112/$R$3</f>
        <v>0</v>
      </c>
      <c r="V112" s="126" t="n">
        <f aca="false">M112/$R$3</f>
        <v>0</v>
      </c>
      <c r="W112" s="126" t="n">
        <f aca="false">N112/$R$3</f>
        <v>0</v>
      </c>
    </row>
    <row r="113" customFormat="false" ht="12.75" hidden="true" customHeight="false" outlineLevel="0" collapsed="false">
      <c r="A113" s="120" t="n">
        <f aca="false">A112+1</f>
        <v>36999</v>
      </c>
      <c r="B113" s="131" t="str">
        <f aca="false">INDEX('Master Data'!$A$2:$B$8,MATCH(WEEKDAY('Plant Manager'!A113,3),'Master Data'!$A$2:$A$8,0),2)</f>
        <v>W</v>
      </c>
      <c r="D113" s="124" t="n">
        <v>0</v>
      </c>
      <c r="E113" s="124" t="n">
        <v>0</v>
      </c>
      <c r="F113" s="124" t="n">
        <v>0</v>
      </c>
      <c r="G113" s="124" t="n">
        <v>0</v>
      </c>
      <c r="I113" s="124" t="n">
        <f aca="false">IF(MONTH($A113)=MONTH($A112),IF(G113=0,I112,G113),G113)</f>
        <v>0</v>
      </c>
      <c r="J113" s="124" t="n">
        <f aca="false">IF(MONTH($A113)=MONTH($A112),SUM(I113-I112),I113)</f>
        <v>0</v>
      </c>
      <c r="K113" s="124" t="n">
        <f aca="false">IF(WEEKDAY(A113,3)&gt;4,0,(IF(A113&lt;K$2,0,IF(A113&lt;=K$3,1,0))))</f>
        <v>0</v>
      </c>
      <c r="L113" s="124" t="n">
        <f aca="false">J113*K113</f>
        <v>0</v>
      </c>
      <c r="M113" s="124" t="n">
        <f aca="false">SUM(J$97:J113)</f>
        <v>0</v>
      </c>
      <c r="N113" s="124" t="n">
        <f aca="false">SUM(J$6:J113)</f>
        <v>0</v>
      </c>
      <c r="P113" s="124" t="n">
        <f aca="false">D113/P$3</f>
        <v>0</v>
      </c>
      <c r="Q113" s="124" t="n">
        <f aca="false">E113/P$3</f>
        <v>0</v>
      </c>
      <c r="R113" s="124" t="n">
        <f aca="false">F113/R$3</f>
        <v>0</v>
      </c>
      <c r="S113" s="126" t="n">
        <f aca="false">J113/$R$3</f>
        <v>0</v>
      </c>
      <c r="T113" s="126" t="n">
        <f aca="false">L113/$R$3</f>
        <v>0</v>
      </c>
      <c r="U113" s="126" t="n">
        <f aca="false">I113/$R$3</f>
        <v>0</v>
      </c>
      <c r="V113" s="126" t="n">
        <f aca="false">M113/$R$3</f>
        <v>0</v>
      </c>
      <c r="W113" s="126" t="n">
        <f aca="false">N113/$R$3</f>
        <v>0</v>
      </c>
    </row>
    <row r="114" customFormat="false" ht="12.75" hidden="true" customHeight="false" outlineLevel="0" collapsed="false">
      <c r="A114" s="120" t="n">
        <f aca="false">A113+1</f>
        <v>37000</v>
      </c>
      <c r="B114" s="131" t="str">
        <f aca="false">INDEX('Master Data'!$A$2:$B$8,MATCH(WEEKDAY('Plant Manager'!A114,3),'Master Data'!$A$2:$A$8,0),2)</f>
        <v>Th</v>
      </c>
      <c r="D114" s="124" t="n">
        <v>0</v>
      </c>
      <c r="E114" s="124" t="n">
        <v>0</v>
      </c>
      <c r="F114" s="124" t="n">
        <v>0</v>
      </c>
      <c r="G114" s="124" t="n">
        <v>0</v>
      </c>
      <c r="I114" s="124" t="n">
        <f aca="false">IF(MONTH($A114)=MONTH($A113),IF(G114=0,I113,G114),G114)</f>
        <v>0</v>
      </c>
      <c r="J114" s="124" t="n">
        <f aca="false">IF(MONTH($A114)=MONTH($A113),SUM(I114-I113),I114)</f>
        <v>0</v>
      </c>
      <c r="K114" s="124" t="n">
        <f aca="false">IF(WEEKDAY(A114,3)&gt;4,0,(IF(A114&lt;K$2,0,IF(A114&lt;=K$3,1,0))))</f>
        <v>0</v>
      </c>
      <c r="L114" s="124" t="n">
        <f aca="false">J114*K114</f>
        <v>0</v>
      </c>
      <c r="M114" s="124" t="n">
        <f aca="false">SUM(J$97:J114)</f>
        <v>0</v>
      </c>
      <c r="N114" s="124" t="n">
        <f aca="false">SUM(J$6:J114)</f>
        <v>0</v>
      </c>
      <c r="P114" s="124" t="n">
        <f aca="false">D114/P$3</f>
        <v>0</v>
      </c>
      <c r="Q114" s="124" t="n">
        <f aca="false">E114/P$3</f>
        <v>0</v>
      </c>
      <c r="R114" s="124" t="n">
        <f aca="false">F114/R$3</f>
        <v>0</v>
      </c>
      <c r="S114" s="126" t="n">
        <f aca="false">J114/$R$3</f>
        <v>0</v>
      </c>
      <c r="T114" s="126" t="n">
        <f aca="false">L114/$R$3</f>
        <v>0</v>
      </c>
      <c r="U114" s="126" t="n">
        <f aca="false">I114/$R$3</f>
        <v>0</v>
      </c>
      <c r="V114" s="126" t="n">
        <f aca="false">M114/$R$3</f>
        <v>0</v>
      </c>
      <c r="W114" s="126" t="n">
        <f aca="false">N114/$R$3</f>
        <v>0</v>
      </c>
    </row>
    <row r="115" customFormat="false" ht="12.75" hidden="true" customHeight="false" outlineLevel="0" collapsed="false">
      <c r="A115" s="120" t="n">
        <f aca="false">A114+1</f>
        <v>37001</v>
      </c>
      <c r="B115" s="131" t="str">
        <f aca="false">INDEX('Master Data'!$A$2:$B$8,MATCH(WEEKDAY('Plant Manager'!A115,3),'Master Data'!$A$2:$A$8,0),2)</f>
        <v>F</v>
      </c>
      <c r="D115" s="124" t="n">
        <v>0</v>
      </c>
      <c r="E115" s="124" t="n">
        <v>0</v>
      </c>
      <c r="F115" s="124" t="n">
        <v>0</v>
      </c>
      <c r="G115" s="124" t="n">
        <v>0</v>
      </c>
      <c r="I115" s="124" t="n">
        <f aca="false">IF(MONTH($A115)=MONTH($A114),IF(G115=0,I114,G115),G115)</f>
        <v>0</v>
      </c>
      <c r="J115" s="124" t="n">
        <f aca="false">IF(MONTH($A115)=MONTH($A114),SUM(I115-I114),I115)</f>
        <v>0</v>
      </c>
      <c r="K115" s="124" t="n">
        <f aca="false">IF(WEEKDAY(A115,3)&gt;4,0,(IF(A115&lt;K$2,0,IF(A115&lt;=K$3,1,0))))</f>
        <v>0</v>
      </c>
      <c r="L115" s="124" t="n">
        <f aca="false">J115*K115</f>
        <v>0</v>
      </c>
      <c r="M115" s="124" t="n">
        <f aca="false">SUM(J$97:J115)</f>
        <v>0</v>
      </c>
      <c r="N115" s="124" t="n">
        <f aca="false">SUM(J$6:J115)</f>
        <v>0</v>
      </c>
      <c r="P115" s="124" t="n">
        <f aca="false">D115/P$3</f>
        <v>0</v>
      </c>
      <c r="Q115" s="124" t="n">
        <f aca="false">E115/P$3</f>
        <v>0</v>
      </c>
      <c r="R115" s="124" t="n">
        <f aca="false">F115/R$3</f>
        <v>0</v>
      </c>
      <c r="S115" s="126" t="n">
        <f aca="false">J115/$R$3</f>
        <v>0</v>
      </c>
      <c r="T115" s="126" t="n">
        <f aca="false">L115/$R$3</f>
        <v>0</v>
      </c>
      <c r="U115" s="126" t="n">
        <f aca="false">I115/$R$3</f>
        <v>0</v>
      </c>
      <c r="V115" s="126" t="n">
        <f aca="false">M115/$R$3</f>
        <v>0</v>
      </c>
      <c r="W115" s="126" t="n">
        <f aca="false">N115/$R$3</f>
        <v>0</v>
      </c>
    </row>
    <row r="116" customFormat="false" ht="12.75" hidden="true" customHeight="false" outlineLevel="0" collapsed="false">
      <c r="A116" s="120" t="n">
        <f aca="false">A115+1</f>
        <v>37002</v>
      </c>
      <c r="B116" s="131" t="str">
        <f aca="false">INDEX('Master Data'!$A$2:$B$8,MATCH(WEEKDAY('Plant Manager'!A116,3),'Master Data'!$A$2:$A$8,0),2)</f>
        <v>Sa</v>
      </c>
      <c r="D116" s="124" t="n">
        <v>0</v>
      </c>
      <c r="E116" s="124" t="n">
        <v>0</v>
      </c>
      <c r="F116" s="124" t="n">
        <v>0</v>
      </c>
      <c r="G116" s="124" t="n">
        <v>0</v>
      </c>
      <c r="I116" s="124" t="n">
        <f aca="false">IF(MONTH($A116)=MONTH($A115),IF(G116=0,I115,G116),G116)</f>
        <v>0</v>
      </c>
      <c r="J116" s="124" t="n">
        <f aca="false">IF(MONTH($A116)=MONTH($A115),SUM(I116-I115),I116)</f>
        <v>0</v>
      </c>
      <c r="K116" s="124" t="n">
        <f aca="false">IF(WEEKDAY(A116,3)&gt;4,0,(IF(A116&lt;K$2,0,IF(A116&lt;=K$3,1,0))))</f>
        <v>0</v>
      </c>
      <c r="L116" s="124" t="n">
        <f aca="false">J116*K116</f>
        <v>0</v>
      </c>
      <c r="M116" s="124" t="n">
        <f aca="false">SUM(J$97:J116)</f>
        <v>0</v>
      </c>
      <c r="N116" s="124" t="n">
        <f aca="false">SUM(J$6:J116)</f>
        <v>0</v>
      </c>
      <c r="P116" s="124" t="n">
        <f aca="false">D116/P$3</f>
        <v>0</v>
      </c>
      <c r="Q116" s="124" t="n">
        <f aca="false">E116/P$3</f>
        <v>0</v>
      </c>
      <c r="R116" s="124" t="n">
        <f aca="false">F116/R$3</f>
        <v>0</v>
      </c>
      <c r="S116" s="126" t="n">
        <f aca="false">J116/$R$3</f>
        <v>0</v>
      </c>
      <c r="T116" s="126" t="n">
        <f aca="false">L116/$R$3</f>
        <v>0</v>
      </c>
      <c r="U116" s="126" t="n">
        <f aca="false">I116/$R$3</f>
        <v>0</v>
      </c>
      <c r="V116" s="126" t="n">
        <f aca="false">M116/$R$3</f>
        <v>0</v>
      </c>
      <c r="W116" s="126" t="n">
        <f aca="false">N116/$R$3</f>
        <v>0</v>
      </c>
    </row>
    <row r="117" customFormat="false" ht="12.75" hidden="true" customHeight="false" outlineLevel="0" collapsed="false">
      <c r="A117" s="120" t="n">
        <f aca="false">A116+1</f>
        <v>37003</v>
      </c>
      <c r="B117" s="131" t="str">
        <f aca="false">INDEX('Master Data'!$A$2:$B$8,MATCH(WEEKDAY('Plant Manager'!A117,3),'Master Data'!$A$2:$A$8,0),2)</f>
        <v>Su</v>
      </c>
      <c r="D117" s="124" t="n">
        <v>0</v>
      </c>
      <c r="E117" s="124" t="n">
        <v>0</v>
      </c>
      <c r="F117" s="124" t="n">
        <v>0</v>
      </c>
      <c r="G117" s="124" t="n">
        <v>0</v>
      </c>
      <c r="I117" s="124" t="n">
        <f aca="false">IF(MONTH($A117)=MONTH($A116),IF(G117=0,I116,G117),G117)</f>
        <v>0</v>
      </c>
      <c r="J117" s="124" t="n">
        <f aca="false">IF(MONTH($A117)=MONTH($A116),SUM(I117-I116),I117)</f>
        <v>0</v>
      </c>
      <c r="K117" s="124" t="n">
        <f aca="false">IF(WEEKDAY(A117,3)&gt;4,0,(IF(A117&lt;K$2,0,IF(A117&lt;=K$3,1,0))))</f>
        <v>0</v>
      </c>
      <c r="L117" s="124" t="n">
        <f aca="false">J117*K117</f>
        <v>0</v>
      </c>
      <c r="M117" s="124" t="n">
        <f aca="false">SUM(J$97:J117)</f>
        <v>0</v>
      </c>
      <c r="N117" s="124" t="n">
        <f aca="false">SUM(J$6:J117)</f>
        <v>0</v>
      </c>
      <c r="P117" s="124" t="n">
        <f aca="false">D117/P$3</f>
        <v>0</v>
      </c>
      <c r="Q117" s="124" t="n">
        <f aca="false">E117/P$3</f>
        <v>0</v>
      </c>
      <c r="R117" s="124" t="n">
        <f aca="false">F117/R$3</f>
        <v>0</v>
      </c>
      <c r="S117" s="126" t="n">
        <f aca="false">J117/$R$3</f>
        <v>0</v>
      </c>
      <c r="T117" s="126" t="n">
        <f aca="false">L117/$R$3</f>
        <v>0</v>
      </c>
      <c r="U117" s="126" t="n">
        <f aca="false">I117/$R$3</f>
        <v>0</v>
      </c>
      <c r="V117" s="126" t="n">
        <f aca="false">M117/$R$3</f>
        <v>0</v>
      </c>
      <c r="W117" s="126" t="n">
        <f aca="false">N117/$R$3</f>
        <v>0</v>
      </c>
    </row>
    <row r="118" customFormat="false" ht="12.75" hidden="true" customHeight="false" outlineLevel="0" collapsed="false">
      <c r="A118" s="120" t="n">
        <f aca="false">A117+1</f>
        <v>37004</v>
      </c>
      <c r="B118" s="131" t="str">
        <f aca="false">INDEX('Master Data'!$A$2:$B$8,MATCH(WEEKDAY('Plant Manager'!A118,3),'Master Data'!$A$2:$A$8,0),2)</f>
        <v>M</v>
      </c>
      <c r="D118" s="124" t="n">
        <v>0</v>
      </c>
      <c r="E118" s="124" t="n">
        <v>0</v>
      </c>
      <c r="F118" s="124" t="n">
        <v>0</v>
      </c>
      <c r="G118" s="124" t="n">
        <v>0</v>
      </c>
      <c r="I118" s="124" t="n">
        <f aca="false">IF(MONTH($A118)=MONTH($A117),IF(G118=0,I117,G118),G118)</f>
        <v>0</v>
      </c>
      <c r="J118" s="124" t="n">
        <f aca="false">IF(MONTH($A118)=MONTH($A117),SUM(I118-I117),I118)</f>
        <v>0</v>
      </c>
      <c r="K118" s="124" t="n">
        <f aca="false">IF(WEEKDAY(A118,3)&gt;4,0,(IF(A118&lt;K$2,0,IF(A118&lt;=K$3,1,0))))</f>
        <v>0</v>
      </c>
      <c r="L118" s="124" t="n">
        <f aca="false">J118*K118</f>
        <v>0</v>
      </c>
      <c r="M118" s="124" t="n">
        <f aca="false">SUM(J$97:J118)</f>
        <v>0</v>
      </c>
      <c r="N118" s="124" t="n">
        <f aca="false">SUM(J$6:J118)</f>
        <v>0</v>
      </c>
      <c r="P118" s="124" t="n">
        <f aca="false">D118/P$3</f>
        <v>0</v>
      </c>
      <c r="Q118" s="124" t="n">
        <f aca="false">E118/P$3</f>
        <v>0</v>
      </c>
      <c r="R118" s="124" t="n">
        <f aca="false">F118/R$3</f>
        <v>0</v>
      </c>
      <c r="S118" s="126" t="n">
        <f aca="false">J118/$R$3</f>
        <v>0</v>
      </c>
      <c r="T118" s="126" t="n">
        <f aca="false">L118/$R$3</f>
        <v>0</v>
      </c>
      <c r="U118" s="126" t="n">
        <f aca="false">I118/$R$3</f>
        <v>0</v>
      </c>
      <c r="V118" s="126" t="n">
        <f aca="false">M118/$R$3</f>
        <v>0</v>
      </c>
      <c r="W118" s="126" t="n">
        <f aca="false">N118/$R$3</f>
        <v>0</v>
      </c>
    </row>
    <row r="119" customFormat="false" ht="12.75" hidden="true" customHeight="false" outlineLevel="0" collapsed="false">
      <c r="A119" s="120" t="n">
        <f aca="false">A118+1</f>
        <v>37005</v>
      </c>
      <c r="B119" s="131" t="str">
        <f aca="false">INDEX('Master Data'!$A$2:$B$8,MATCH(WEEKDAY('Plant Manager'!A119,3),'Master Data'!$A$2:$A$8,0),2)</f>
        <v>T</v>
      </c>
      <c r="D119" s="124" t="n">
        <v>0</v>
      </c>
      <c r="E119" s="124" t="n">
        <v>0</v>
      </c>
      <c r="F119" s="124" t="n">
        <v>0</v>
      </c>
      <c r="G119" s="124" t="n">
        <v>0</v>
      </c>
      <c r="I119" s="124" t="n">
        <f aca="false">IF(MONTH($A119)=MONTH($A118),IF(G119=0,I118,G119),G119)</f>
        <v>0</v>
      </c>
      <c r="J119" s="124" t="n">
        <f aca="false">IF(MONTH($A119)=MONTH($A118),SUM(I119-I118),I119)</f>
        <v>0</v>
      </c>
      <c r="K119" s="124" t="n">
        <f aca="false">IF(WEEKDAY(A119,3)&gt;4,0,(IF(A119&lt;K$2,0,IF(A119&lt;=K$3,1,0))))</f>
        <v>0</v>
      </c>
      <c r="L119" s="124" t="n">
        <f aca="false">J119*K119</f>
        <v>0</v>
      </c>
      <c r="M119" s="124" t="n">
        <f aca="false">SUM(J$97:J119)</f>
        <v>0</v>
      </c>
      <c r="N119" s="124" t="n">
        <f aca="false">SUM(J$6:J119)</f>
        <v>0</v>
      </c>
      <c r="P119" s="124" t="n">
        <f aca="false">D119/P$3</f>
        <v>0</v>
      </c>
      <c r="Q119" s="124" t="n">
        <f aca="false">E119/P$3</f>
        <v>0</v>
      </c>
      <c r="R119" s="124" t="n">
        <f aca="false">F119/R$3</f>
        <v>0</v>
      </c>
      <c r="S119" s="126" t="n">
        <f aca="false">J119/$R$3</f>
        <v>0</v>
      </c>
      <c r="T119" s="126" t="n">
        <f aca="false">L119/$R$3</f>
        <v>0</v>
      </c>
      <c r="U119" s="126" t="n">
        <f aca="false">I119/$R$3</f>
        <v>0</v>
      </c>
      <c r="V119" s="126" t="n">
        <f aca="false">M119/$R$3</f>
        <v>0</v>
      </c>
      <c r="W119" s="126" t="n">
        <f aca="false">N119/$R$3</f>
        <v>0</v>
      </c>
    </row>
    <row r="120" customFormat="false" ht="12.75" hidden="true" customHeight="false" outlineLevel="0" collapsed="false">
      <c r="A120" s="120" t="n">
        <f aca="false">A119+1</f>
        <v>37006</v>
      </c>
      <c r="B120" s="131" t="str">
        <f aca="false">INDEX('Master Data'!$A$2:$B$8,MATCH(WEEKDAY('Plant Manager'!A120,3),'Master Data'!$A$2:$A$8,0),2)</f>
        <v>W</v>
      </c>
      <c r="D120" s="124" t="n">
        <v>0</v>
      </c>
      <c r="E120" s="124" t="n">
        <v>0</v>
      </c>
      <c r="F120" s="124" t="n">
        <v>0</v>
      </c>
      <c r="G120" s="124" t="n">
        <v>0</v>
      </c>
      <c r="I120" s="124" t="n">
        <f aca="false">IF(MONTH($A120)=MONTH($A119),IF(G120=0,I119,G120),G120)</f>
        <v>0</v>
      </c>
      <c r="J120" s="124" t="n">
        <f aca="false">IF(MONTH($A120)=MONTH($A119),SUM(I120-I119),I120)</f>
        <v>0</v>
      </c>
      <c r="K120" s="124" t="n">
        <f aca="false">IF(WEEKDAY(A120,3)&gt;4,0,(IF(A120&lt;K$2,0,IF(A120&lt;=K$3,1,0))))</f>
        <v>0</v>
      </c>
      <c r="L120" s="124" t="n">
        <f aca="false">J120*K120</f>
        <v>0</v>
      </c>
      <c r="M120" s="124" t="n">
        <f aca="false">SUM(J$97:J120)</f>
        <v>0</v>
      </c>
      <c r="N120" s="124" t="n">
        <f aca="false">SUM(J$6:J120)</f>
        <v>0</v>
      </c>
      <c r="P120" s="124" t="n">
        <f aca="false">D120/P$3</f>
        <v>0</v>
      </c>
      <c r="Q120" s="124" t="n">
        <f aca="false">E120/P$3</f>
        <v>0</v>
      </c>
      <c r="R120" s="124" t="n">
        <f aca="false">F120/R$3</f>
        <v>0</v>
      </c>
      <c r="S120" s="126" t="n">
        <f aca="false">J120/$R$3</f>
        <v>0</v>
      </c>
      <c r="T120" s="126" t="n">
        <f aca="false">L120/$R$3</f>
        <v>0</v>
      </c>
      <c r="U120" s="126" t="n">
        <f aca="false">I120/$R$3</f>
        <v>0</v>
      </c>
      <c r="V120" s="126" t="n">
        <f aca="false">M120/$R$3</f>
        <v>0</v>
      </c>
      <c r="W120" s="126" t="n">
        <f aca="false">N120/$R$3</f>
        <v>0</v>
      </c>
    </row>
    <row r="121" customFormat="false" ht="12.75" hidden="true" customHeight="false" outlineLevel="0" collapsed="false">
      <c r="A121" s="120" t="n">
        <f aca="false">A120+1</f>
        <v>37007</v>
      </c>
      <c r="B121" s="131" t="str">
        <f aca="false">INDEX('Master Data'!$A$2:$B$8,MATCH(WEEKDAY('Plant Manager'!A121,3),'Master Data'!$A$2:$A$8,0),2)</f>
        <v>Th</v>
      </c>
      <c r="D121" s="124" t="n">
        <v>0</v>
      </c>
      <c r="E121" s="124" t="n">
        <v>0</v>
      </c>
      <c r="F121" s="124" t="n">
        <v>0</v>
      </c>
      <c r="G121" s="124" t="n">
        <v>0</v>
      </c>
      <c r="I121" s="124" t="n">
        <f aca="false">IF(MONTH($A121)=MONTH($A120),IF(G121=0,I120,G121),G121)</f>
        <v>0</v>
      </c>
      <c r="J121" s="124" t="n">
        <f aca="false">IF(MONTH($A121)=MONTH($A120),SUM(I121-I120),I121)</f>
        <v>0</v>
      </c>
      <c r="K121" s="124" t="n">
        <f aca="false">IF(WEEKDAY(A121,3)&gt;4,0,(IF(A121&lt;K$2,0,IF(A121&lt;=K$3,1,0))))</f>
        <v>0</v>
      </c>
      <c r="L121" s="124" t="n">
        <f aca="false">J121*K121</f>
        <v>0</v>
      </c>
      <c r="M121" s="124" t="n">
        <f aca="false">SUM(J$97:J121)</f>
        <v>0</v>
      </c>
      <c r="N121" s="124" t="n">
        <f aca="false">SUM(J$6:J121)</f>
        <v>0</v>
      </c>
      <c r="P121" s="124" t="n">
        <f aca="false">D121/P$3</f>
        <v>0</v>
      </c>
      <c r="Q121" s="124" t="n">
        <f aca="false">E121/P$3</f>
        <v>0</v>
      </c>
      <c r="R121" s="124" t="n">
        <f aca="false">F121/R$3</f>
        <v>0</v>
      </c>
      <c r="S121" s="126" t="n">
        <f aca="false">J121/$R$3</f>
        <v>0</v>
      </c>
      <c r="T121" s="126" t="n">
        <f aca="false">L121/$R$3</f>
        <v>0</v>
      </c>
      <c r="U121" s="126" t="n">
        <f aca="false">I121/$R$3</f>
        <v>0</v>
      </c>
      <c r="V121" s="126" t="n">
        <f aca="false">M121/$R$3</f>
        <v>0</v>
      </c>
      <c r="W121" s="126" t="n">
        <f aca="false">N121/$R$3</f>
        <v>0</v>
      </c>
    </row>
    <row r="122" customFormat="false" ht="12.75" hidden="true" customHeight="false" outlineLevel="0" collapsed="false">
      <c r="A122" s="120" t="n">
        <f aca="false">A121+1</f>
        <v>37008</v>
      </c>
      <c r="B122" s="131" t="str">
        <f aca="false">INDEX('Master Data'!$A$2:$B$8,MATCH(WEEKDAY('Plant Manager'!A122,3),'Master Data'!$A$2:$A$8,0),2)</f>
        <v>F</v>
      </c>
      <c r="D122" s="124" t="n">
        <v>0</v>
      </c>
      <c r="E122" s="124" t="n">
        <v>0</v>
      </c>
      <c r="F122" s="124" t="n">
        <v>0</v>
      </c>
      <c r="G122" s="124" t="n">
        <v>0</v>
      </c>
      <c r="I122" s="124" t="n">
        <f aca="false">IF(MONTH($A122)=MONTH($A121),IF(G122=0,I121,G122),G122)</f>
        <v>0</v>
      </c>
      <c r="J122" s="124" t="n">
        <f aca="false">IF(MONTH($A122)=MONTH($A121),SUM(I122-I121),I122)</f>
        <v>0</v>
      </c>
      <c r="K122" s="124" t="n">
        <f aca="false">IF(WEEKDAY(A122,3)&gt;4,0,(IF(A122&lt;K$2,0,IF(A122&lt;=K$3,1,0))))</f>
        <v>0</v>
      </c>
      <c r="L122" s="124" t="n">
        <f aca="false">J122*K122</f>
        <v>0</v>
      </c>
      <c r="M122" s="124" t="n">
        <f aca="false">SUM(J$97:J122)</f>
        <v>0</v>
      </c>
      <c r="N122" s="124" t="n">
        <f aca="false">SUM(J$6:J122)</f>
        <v>0</v>
      </c>
      <c r="P122" s="124" t="n">
        <f aca="false">D122/P$3</f>
        <v>0</v>
      </c>
      <c r="Q122" s="124" t="n">
        <f aca="false">E122/P$3</f>
        <v>0</v>
      </c>
      <c r="R122" s="124" t="n">
        <f aca="false">F122/R$3</f>
        <v>0</v>
      </c>
      <c r="S122" s="126" t="n">
        <f aca="false">J122/$R$3</f>
        <v>0</v>
      </c>
      <c r="T122" s="126" t="n">
        <f aca="false">L122/$R$3</f>
        <v>0</v>
      </c>
      <c r="U122" s="126" t="n">
        <f aca="false">I122/$R$3</f>
        <v>0</v>
      </c>
      <c r="V122" s="126" t="n">
        <f aca="false">M122/$R$3</f>
        <v>0</v>
      </c>
      <c r="W122" s="126" t="n">
        <f aca="false">N122/$R$3</f>
        <v>0</v>
      </c>
    </row>
    <row r="123" customFormat="false" ht="12.75" hidden="true" customHeight="false" outlineLevel="0" collapsed="false">
      <c r="A123" s="120" t="n">
        <f aca="false">A122+1</f>
        <v>37009</v>
      </c>
      <c r="B123" s="131" t="str">
        <f aca="false">INDEX('Master Data'!$A$2:$B$8,MATCH(WEEKDAY('Plant Manager'!A123,3),'Master Data'!$A$2:$A$8,0),2)</f>
        <v>Sa</v>
      </c>
      <c r="D123" s="124" t="n">
        <v>0</v>
      </c>
      <c r="E123" s="124" t="n">
        <v>0</v>
      </c>
      <c r="F123" s="124" t="n">
        <v>0</v>
      </c>
      <c r="G123" s="124" t="n">
        <v>0</v>
      </c>
      <c r="I123" s="124" t="n">
        <f aca="false">IF(MONTH($A123)=MONTH($A122),IF(G123=0,I122,G123),G123)</f>
        <v>0</v>
      </c>
      <c r="J123" s="124" t="n">
        <f aca="false">IF(MONTH($A123)=MONTH($A122),SUM(I123-I122),I123)</f>
        <v>0</v>
      </c>
      <c r="K123" s="124" t="n">
        <f aca="false">IF(WEEKDAY(A123,3)&gt;4,0,(IF(A123&lt;K$2,0,IF(A123&lt;=K$3,1,0))))</f>
        <v>0</v>
      </c>
      <c r="L123" s="124" t="n">
        <f aca="false">J123*K123</f>
        <v>0</v>
      </c>
      <c r="M123" s="124" t="n">
        <f aca="false">SUM(J$97:J123)</f>
        <v>0</v>
      </c>
      <c r="N123" s="124" t="n">
        <f aca="false">SUM(J$6:J123)</f>
        <v>0</v>
      </c>
      <c r="P123" s="124" t="n">
        <f aca="false">D123/P$3</f>
        <v>0</v>
      </c>
      <c r="Q123" s="124" t="n">
        <f aca="false">E123/P$3</f>
        <v>0</v>
      </c>
      <c r="R123" s="124" t="n">
        <f aca="false">F123/R$3</f>
        <v>0</v>
      </c>
      <c r="S123" s="126" t="n">
        <f aca="false">J123/$R$3</f>
        <v>0</v>
      </c>
      <c r="T123" s="126" t="n">
        <f aca="false">L123/$R$3</f>
        <v>0</v>
      </c>
      <c r="U123" s="126" t="n">
        <f aca="false">I123/$R$3</f>
        <v>0</v>
      </c>
      <c r="V123" s="126" t="n">
        <f aca="false">M123/$R$3</f>
        <v>0</v>
      </c>
      <c r="W123" s="126" t="n">
        <f aca="false">N123/$R$3</f>
        <v>0</v>
      </c>
    </row>
    <row r="124" customFormat="false" ht="12.75" hidden="true" customHeight="false" outlineLevel="0" collapsed="false">
      <c r="A124" s="120" t="n">
        <f aca="false">A123+1</f>
        <v>37010</v>
      </c>
      <c r="B124" s="131" t="str">
        <f aca="false">INDEX('Master Data'!$A$2:$B$8,MATCH(WEEKDAY('Plant Manager'!A124,3),'Master Data'!$A$2:$A$8,0),2)</f>
        <v>Su</v>
      </c>
      <c r="D124" s="124" t="n">
        <v>0</v>
      </c>
      <c r="E124" s="124" t="n">
        <v>0</v>
      </c>
      <c r="F124" s="124" t="n">
        <v>0</v>
      </c>
      <c r="G124" s="124" t="n">
        <v>0</v>
      </c>
      <c r="I124" s="124" t="n">
        <f aca="false">IF(MONTH($A124)=MONTH($A123),IF(G124=0,I123,G124),G124)</f>
        <v>0</v>
      </c>
      <c r="J124" s="124" t="n">
        <f aca="false">IF(MONTH($A124)=MONTH($A123),SUM(I124-I123),I124)</f>
        <v>0</v>
      </c>
      <c r="K124" s="124" t="n">
        <f aca="false">IF(WEEKDAY(A124,3)&gt;4,0,(IF(A124&lt;K$2,0,IF(A124&lt;=K$3,1,0))))</f>
        <v>0</v>
      </c>
      <c r="L124" s="124" t="n">
        <f aca="false">J124*K124</f>
        <v>0</v>
      </c>
      <c r="M124" s="124" t="n">
        <f aca="false">SUM(J$97:J124)</f>
        <v>0</v>
      </c>
      <c r="N124" s="124" t="n">
        <f aca="false">SUM(J$6:J124)</f>
        <v>0</v>
      </c>
      <c r="P124" s="124" t="n">
        <f aca="false">D124/P$3</f>
        <v>0</v>
      </c>
      <c r="Q124" s="124" t="n">
        <f aca="false">E124/P$3</f>
        <v>0</v>
      </c>
      <c r="R124" s="124" t="n">
        <f aca="false">F124/R$3</f>
        <v>0</v>
      </c>
      <c r="S124" s="126" t="n">
        <f aca="false">J124/$R$3</f>
        <v>0</v>
      </c>
      <c r="T124" s="126" t="n">
        <f aca="false">L124/$R$3</f>
        <v>0</v>
      </c>
      <c r="U124" s="126" t="n">
        <f aca="false">I124/$R$3</f>
        <v>0</v>
      </c>
      <c r="V124" s="126" t="n">
        <f aca="false">M124/$R$3</f>
        <v>0</v>
      </c>
      <c r="W124" s="126" t="n">
        <f aca="false">N124/$R$3</f>
        <v>0</v>
      </c>
    </row>
    <row r="125" customFormat="false" ht="12.75" hidden="false" customHeight="false" outlineLevel="0" collapsed="false">
      <c r="A125" s="120" t="n">
        <f aca="false">A124+1</f>
        <v>37011</v>
      </c>
      <c r="B125" s="131" t="str">
        <f aca="false">INDEX('Master Data'!$A$2:$B$8,MATCH(WEEKDAY('Plant Manager'!A125,3),'Master Data'!$A$2:$A$8,0),2)</f>
        <v>M</v>
      </c>
      <c r="D125" s="124" t="n">
        <v>0</v>
      </c>
      <c r="E125" s="124" t="n">
        <v>0</v>
      </c>
      <c r="F125" s="124" t="n">
        <v>0</v>
      </c>
      <c r="G125" s="124" t="n">
        <v>0</v>
      </c>
      <c r="I125" s="124" t="n">
        <f aca="false">IF(MONTH($A125)=MONTH($A124),IF(G125=0,I124,G125),G125)</f>
        <v>0</v>
      </c>
      <c r="J125" s="124" t="n">
        <f aca="false">IF(MONTH($A125)=MONTH($A124),SUM(I125-I124),I125)</f>
        <v>0</v>
      </c>
      <c r="K125" s="124" t="n">
        <f aca="false">IF(WEEKDAY(A125,3)&gt;4,0,(IF(A125&lt;K$2,0,IF(A125&lt;=K$3,1,0))))</f>
        <v>0</v>
      </c>
      <c r="L125" s="124" t="n">
        <f aca="false">J125*K125</f>
        <v>0</v>
      </c>
      <c r="M125" s="124" t="n">
        <f aca="false">SUM(J$97:J125)</f>
        <v>0</v>
      </c>
      <c r="N125" s="124" t="n">
        <f aca="false">SUM(J$6:J125)</f>
        <v>0</v>
      </c>
      <c r="P125" s="124" t="n">
        <f aca="false">D125/P$3</f>
        <v>0</v>
      </c>
      <c r="Q125" s="124" t="n">
        <f aca="false">E125/P$3</f>
        <v>0</v>
      </c>
      <c r="R125" s="124" t="n">
        <f aca="false">F125/R$3</f>
        <v>0</v>
      </c>
      <c r="S125" s="126" t="n">
        <f aca="false">J125/$R$3</f>
        <v>0</v>
      </c>
      <c r="T125" s="126" t="n">
        <f aca="false">L125/$R$3</f>
        <v>0</v>
      </c>
      <c r="U125" s="126" t="n">
        <f aca="false">I125/$R$3</f>
        <v>0</v>
      </c>
      <c r="V125" s="126" t="n">
        <f aca="false">M125/$R$3</f>
        <v>0</v>
      </c>
      <c r="W125" s="126" t="n">
        <f aca="false">N125/$R$3</f>
        <v>0</v>
      </c>
    </row>
    <row r="126" customFormat="false" ht="12.75" hidden="true" customHeight="false" outlineLevel="0" collapsed="false">
      <c r="A126" s="120" t="n">
        <f aca="false">A125+1</f>
        <v>37012</v>
      </c>
      <c r="B126" s="131" t="str">
        <f aca="false">INDEX('Master Data'!$A$2:$B$8,MATCH(WEEKDAY('Plant Manager'!A126,3),'Master Data'!$A$2:$A$8,0),2)</f>
        <v>T</v>
      </c>
      <c r="D126" s="124" t="n">
        <v>0</v>
      </c>
      <c r="E126" s="124" t="n">
        <v>0</v>
      </c>
      <c r="F126" s="124" t="n">
        <v>0</v>
      </c>
      <c r="G126" s="124" t="n">
        <v>0</v>
      </c>
      <c r="I126" s="124" t="n">
        <f aca="false">IF(MONTH($A126)=MONTH($A125),IF(G126=0,I125,G126),G126)</f>
        <v>0</v>
      </c>
      <c r="J126" s="124" t="n">
        <f aca="false">IF(MONTH($A126)=MONTH($A125),SUM(I126-I125),I126)</f>
        <v>0</v>
      </c>
      <c r="K126" s="124" t="n">
        <f aca="false">IF(WEEKDAY(A126,3)&gt;4,0,(IF(A126&lt;K$2,0,IF(A126&lt;=K$3,1,0))))</f>
        <v>0</v>
      </c>
      <c r="L126" s="124" t="n">
        <f aca="false">J126*K126</f>
        <v>0</v>
      </c>
      <c r="M126" s="124" t="n">
        <f aca="false">SUM(J$97:J126)</f>
        <v>0</v>
      </c>
      <c r="N126" s="124" t="n">
        <f aca="false">SUM(J$6:J126)</f>
        <v>0</v>
      </c>
      <c r="P126" s="124" t="n">
        <f aca="false">D126/P$3</f>
        <v>0</v>
      </c>
      <c r="Q126" s="124" t="n">
        <f aca="false">E126/P$3</f>
        <v>0</v>
      </c>
      <c r="R126" s="124" t="n">
        <f aca="false">F126/R$3</f>
        <v>0</v>
      </c>
      <c r="S126" s="126" t="n">
        <f aca="false">J126/$R$3</f>
        <v>0</v>
      </c>
      <c r="T126" s="126" t="n">
        <f aca="false">L126/$R$3</f>
        <v>0</v>
      </c>
      <c r="U126" s="126" t="n">
        <f aca="false">I126/$R$3</f>
        <v>0</v>
      </c>
      <c r="V126" s="126" t="n">
        <f aca="false">M126/$R$3</f>
        <v>0</v>
      </c>
      <c r="W126" s="126" t="n">
        <f aca="false">N126/$R$3</f>
        <v>0</v>
      </c>
    </row>
    <row r="127" customFormat="false" ht="12.75" hidden="true" customHeight="false" outlineLevel="0" collapsed="false">
      <c r="A127" s="120" t="n">
        <f aca="false">A126+1</f>
        <v>37013</v>
      </c>
      <c r="B127" s="131" t="str">
        <f aca="false">INDEX('Master Data'!$A$2:$B$8,MATCH(WEEKDAY('Plant Manager'!A127,3),'Master Data'!$A$2:$A$8,0),2)</f>
        <v>W</v>
      </c>
      <c r="D127" s="124" t="n">
        <v>0</v>
      </c>
      <c r="E127" s="124" t="n">
        <v>0</v>
      </c>
      <c r="F127" s="124" t="n">
        <v>0</v>
      </c>
      <c r="G127" s="124" t="n">
        <v>0</v>
      </c>
      <c r="I127" s="124" t="n">
        <f aca="false">IF(MONTH($A127)=MONTH($A126),IF(G127=0,I126,G127),G127)</f>
        <v>0</v>
      </c>
      <c r="J127" s="124" t="n">
        <f aca="false">IF(MONTH($A127)=MONTH($A126),SUM(I127-I126),I127)</f>
        <v>0</v>
      </c>
      <c r="K127" s="124" t="n">
        <f aca="false">IF(WEEKDAY(A127,3)&gt;4,0,(IF(A127&lt;K$2,0,IF(A127&lt;=K$3,1,0))))</f>
        <v>0</v>
      </c>
      <c r="L127" s="124" t="n">
        <f aca="false">J127*K127</f>
        <v>0</v>
      </c>
      <c r="M127" s="124" t="n">
        <f aca="false">SUM(J$97:J127)</f>
        <v>0</v>
      </c>
      <c r="N127" s="124" t="n">
        <f aca="false">SUM(J$6:J127)</f>
        <v>0</v>
      </c>
      <c r="P127" s="124" t="n">
        <f aca="false">D127/P$3</f>
        <v>0</v>
      </c>
      <c r="Q127" s="124" t="n">
        <f aca="false">E127/P$3</f>
        <v>0</v>
      </c>
      <c r="R127" s="124" t="n">
        <f aca="false">F127/R$3</f>
        <v>0</v>
      </c>
      <c r="S127" s="126" t="n">
        <f aca="false">J127/$R$3</f>
        <v>0</v>
      </c>
      <c r="T127" s="126" t="n">
        <f aca="false">L127/$R$3</f>
        <v>0</v>
      </c>
      <c r="U127" s="126" t="n">
        <f aca="false">I127/$R$3</f>
        <v>0</v>
      </c>
      <c r="V127" s="126" t="n">
        <f aca="false">M127/$R$3</f>
        <v>0</v>
      </c>
      <c r="W127" s="126" t="n">
        <f aca="false">N127/$R$3</f>
        <v>0</v>
      </c>
    </row>
    <row r="128" customFormat="false" ht="12.75" hidden="true" customHeight="false" outlineLevel="0" collapsed="false">
      <c r="A128" s="120" t="n">
        <f aca="false">A127+1</f>
        <v>37014</v>
      </c>
      <c r="B128" s="131" t="str">
        <f aca="false">INDEX('Master Data'!$A$2:$B$8,MATCH(WEEKDAY('Plant Manager'!A128,3),'Master Data'!$A$2:$A$8,0),2)</f>
        <v>Th</v>
      </c>
      <c r="D128" s="124" t="n">
        <v>0</v>
      </c>
      <c r="E128" s="124" t="n">
        <v>0</v>
      </c>
      <c r="F128" s="124" t="n">
        <v>0</v>
      </c>
      <c r="G128" s="124" t="n">
        <v>0</v>
      </c>
      <c r="I128" s="124" t="n">
        <f aca="false">IF(MONTH($A128)=MONTH($A127),IF(G128=0,I127,G128),G128)</f>
        <v>0</v>
      </c>
      <c r="J128" s="124" t="n">
        <f aca="false">IF(MONTH($A128)=MONTH($A127),SUM(I128-I127),I128)</f>
        <v>0</v>
      </c>
      <c r="K128" s="124" t="n">
        <f aca="false">IF(WEEKDAY(A128,3)&gt;4,0,(IF(A128&lt;K$2,0,IF(A128&lt;=K$3,1,0))))</f>
        <v>0</v>
      </c>
      <c r="L128" s="124" t="n">
        <f aca="false">J128*K128</f>
        <v>0</v>
      </c>
      <c r="M128" s="124" t="n">
        <f aca="false">SUM(J$97:J128)</f>
        <v>0</v>
      </c>
      <c r="N128" s="124" t="n">
        <f aca="false">SUM(J$6:J128)</f>
        <v>0</v>
      </c>
      <c r="P128" s="124" t="n">
        <f aca="false">D128/P$3</f>
        <v>0</v>
      </c>
      <c r="Q128" s="124" t="n">
        <f aca="false">E128/P$3</f>
        <v>0</v>
      </c>
      <c r="R128" s="124" t="n">
        <f aca="false">F128/R$3</f>
        <v>0</v>
      </c>
      <c r="S128" s="126" t="n">
        <f aca="false">J128/$R$3</f>
        <v>0</v>
      </c>
      <c r="T128" s="126" t="n">
        <f aca="false">L128/$R$3</f>
        <v>0</v>
      </c>
      <c r="U128" s="126" t="n">
        <f aca="false">I128/$R$3</f>
        <v>0</v>
      </c>
      <c r="V128" s="126" t="n">
        <f aca="false">M128/$R$3</f>
        <v>0</v>
      </c>
      <c r="W128" s="126" t="n">
        <f aca="false">N128/$R$3</f>
        <v>0</v>
      </c>
    </row>
    <row r="129" customFormat="false" ht="12.75" hidden="true" customHeight="false" outlineLevel="0" collapsed="false">
      <c r="A129" s="120" t="n">
        <f aca="false">A128+1</f>
        <v>37015</v>
      </c>
      <c r="B129" s="131" t="str">
        <f aca="false">INDEX('Master Data'!$A$2:$B$8,MATCH(WEEKDAY('Plant Manager'!A129,3),'Master Data'!$A$2:$A$8,0),2)</f>
        <v>F</v>
      </c>
      <c r="D129" s="124" t="n">
        <v>0</v>
      </c>
      <c r="E129" s="124" t="n">
        <v>0</v>
      </c>
      <c r="F129" s="124" t="n">
        <v>0</v>
      </c>
      <c r="G129" s="124" t="n">
        <v>0</v>
      </c>
      <c r="I129" s="124" t="n">
        <f aca="false">IF(MONTH($A129)=MONTH($A128),IF(G129=0,I128,G129),G129)</f>
        <v>0</v>
      </c>
      <c r="J129" s="124" t="n">
        <f aca="false">IF(MONTH($A129)=MONTH($A128),SUM(I129-I128),I129)</f>
        <v>0</v>
      </c>
      <c r="K129" s="124" t="n">
        <f aca="false">IF(WEEKDAY(A129,3)&gt;4,0,(IF(A129&lt;K$2,0,IF(A129&lt;=K$3,1,0))))</f>
        <v>0</v>
      </c>
      <c r="L129" s="124" t="n">
        <f aca="false">J129*K129</f>
        <v>0</v>
      </c>
      <c r="M129" s="124" t="n">
        <f aca="false">SUM(J$97:J129)</f>
        <v>0</v>
      </c>
      <c r="N129" s="124" t="n">
        <f aca="false">SUM(J$6:J129)</f>
        <v>0</v>
      </c>
      <c r="P129" s="124" t="n">
        <f aca="false">D129/P$3</f>
        <v>0</v>
      </c>
      <c r="Q129" s="124" t="n">
        <f aca="false">E129/P$3</f>
        <v>0</v>
      </c>
      <c r="R129" s="124" t="n">
        <f aca="false">F129/R$3</f>
        <v>0</v>
      </c>
      <c r="S129" s="126" t="n">
        <f aca="false">J129/$R$3</f>
        <v>0</v>
      </c>
      <c r="T129" s="126" t="n">
        <f aca="false">L129/$R$3</f>
        <v>0</v>
      </c>
      <c r="U129" s="126" t="n">
        <f aca="false">I129/$R$3</f>
        <v>0</v>
      </c>
      <c r="V129" s="126" t="n">
        <f aca="false">M129/$R$3</f>
        <v>0</v>
      </c>
      <c r="W129" s="126" t="n">
        <f aca="false">N129/$R$3</f>
        <v>0</v>
      </c>
    </row>
    <row r="130" customFormat="false" ht="12.75" hidden="true" customHeight="false" outlineLevel="0" collapsed="false">
      <c r="A130" s="120" t="n">
        <f aca="false">A129+1</f>
        <v>37016</v>
      </c>
      <c r="B130" s="131" t="str">
        <f aca="false">INDEX('Master Data'!$A$2:$B$8,MATCH(WEEKDAY('Plant Manager'!A130,3),'Master Data'!$A$2:$A$8,0),2)</f>
        <v>Sa</v>
      </c>
      <c r="D130" s="124" t="n">
        <v>0</v>
      </c>
      <c r="E130" s="124" t="n">
        <v>0</v>
      </c>
      <c r="F130" s="124" t="n">
        <v>0</v>
      </c>
      <c r="G130" s="124" t="n">
        <v>0</v>
      </c>
      <c r="I130" s="124" t="n">
        <f aca="false">IF(MONTH($A130)=MONTH($A129),IF(G130=0,I129,G130),G130)</f>
        <v>0</v>
      </c>
      <c r="J130" s="124" t="n">
        <f aca="false">IF(MONTH($A130)=MONTH($A129),SUM(I130-I129),I130)</f>
        <v>0</v>
      </c>
      <c r="K130" s="124" t="n">
        <f aca="false">IF(WEEKDAY(A130,3)&gt;4,0,(IF(A130&lt;K$2,0,IF(A130&lt;=K$3,1,0))))</f>
        <v>0</v>
      </c>
      <c r="L130" s="124" t="n">
        <f aca="false">J130*K130</f>
        <v>0</v>
      </c>
      <c r="M130" s="124" t="n">
        <f aca="false">SUM(J$97:J130)</f>
        <v>0</v>
      </c>
      <c r="N130" s="124" t="n">
        <f aca="false">SUM(J$6:J130)</f>
        <v>0</v>
      </c>
      <c r="P130" s="124" t="n">
        <f aca="false">D130/P$3</f>
        <v>0</v>
      </c>
      <c r="Q130" s="124" t="n">
        <f aca="false">E130/P$3</f>
        <v>0</v>
      </c>
      <c r="R130" s="124" t="n">
        <f aca="false">F130/R$3</f>
        <v>0</v>
      </c>
      <c r="S130" s="126" t="n">
        <f aca="false">J130/$R$3</f>
        <v>0</v>
      </c>
      <c r="T130" s="126" t="n">
        <f aca="false">L130/$R$3</f>
        <v>0</v>
      </c>
      <c r="U130" s="126" t="n">
        <f aca="false">I130/$R$3</f>
        <v>0</v>
      </c>
      <c r="V130" s="126" t="n">
        <f aca="false">M130/$R$3</f>
        <v>0</v>
      </c>
      <c r="W130" s="126" t="n">
        <f aca="false">N130/$R$3</f>
        <v>0</v>
      </c>
    </row>
    <row r="131" customFormat="false" ht="12.75" hidden="true" customHeight="false" outlineLevel="0" collapsed="false">
      <c r="A131" s="120" t="n">
        <f aca="false">A130+1</f>
        <v>37017</v>
      </c>
      <c r="B131" s="131" t="str">
        <f aca="false">INDEX('Master Data'!$A$2:$B$8,MATCH(WEEKDAY('Plant Manager'!A131,3),'Master Data'!$A$2:$A$8,0),2)</f>
        <v>Su</v>
      </c>
      <c r="D131" s="124" t="n">
        <v>0</v>
      </c>
      <c r="E131" s="124" t="n">
        <v>0</v>
      </c>
      <c r="F131" s="124" t="n">
        <v>0</v>
      </c>
      <c r="G131" s="124" t="n">
        <v>0</v>
      </c>
      <c r="I131" s="124" t="n">
        <f aca="false">IF(MONTH($A131)=MONTH($A130),IF(G131=0,I130,G131),G131)</f>
        <v>0</v>
      </c>
      <c r="J131" s="124" t="n">
        <f aca="false">IF(MONTH($A131)=MONTH($A130),SUM(I131-I130),I131)</f>
        <v>0</v>
      </c>
      <c r="K131" s="124" t="n">
        <f aca="false">IF(WEEKDAY(A131,3)&gt;4,0,(IF(A131&lt;K$2,0,IF(A131&lt;=K$3,1,0))))</f>
        <v>0</v>
      </c>
      <c r="L131" s="124" t="n">
        <f aca="false">J131*K131</f>
        <v>0</v>
      </c>
      <c r="M131" s="124" t="n">
        <f aca="false">SUM(J$97:J131)</f>
        <v>0</v>
      </c>
      <c r="N131" s="124" t="n">
        <f aca="false">SUM(J$6:J131)</f>
        <v>0</v>
      </c>
      <c r="P131" s="124" t="n">
        <f aca="false">D131/P$3</f>
        <v>0</v>
      </c>
      <c r="Q131" s="124" t="n">
        <f aca="false">E131/P$3</f>
        <v>0</v>
      </c>
      <c r="R131" s="124" t="n">
        <f aca="false">F131/R$3</f>
        <v>0</v>
      </c>
      <c r="S131" s="126" t="n">
        <f aca="false">J131/$R$3</f>
        <v>0</v>
      </c>
      <c r="T131" s="126" t="n">
        <f aca="false">L131/$R$3</f>
        <v>0</v>
      </c>
      <c r="U131" s="126" t="n">
        <f aca="false">I131/$R$3</f>
        <v>0</v>
      </c>
      <c r="V131" s="126" t="n">
        <f aca="false">M131/$R$3</f>
        <v>0</v>
      </c>
      <c r="W131" s="126" t="n">
        <f aca="false">N131/$R$3</f>
        <v>0</v>
      </c>
    </row>
    <row r="132" customFormat="false" ht="12.75" hidden="true" customHeight="false" outlineLevel="0" collapsed="false">
      <c r="A132" s="120" t="n">
        <f aca="false">A131+1</f>
        <v>37018</v>
      </c>
      <c r="B132" s="131" t="str">
        <f aca="false">INDEX('Master Data'!$A$2:$B$8,MATCH(WEEKDAY('Plant Manager'!A132,3),'Master Data'!$A$2:$A$8,0),2)</f>
        <v>M</v>
      </c>
      <c r="D132" s="124" t="n">
        <v>0</v>
      </c>
      <c r="E132" s="124" t="n">
        <v>0</v>
      </c>
      <c r="F132" s="124" t="n">
        <v>0</v>
      </c>
      <c r="G132" s="124" t="n">
        <v>0</v>
      </c>
      <c r="I132" s="124" t="n">
        <f aca="false">IF(MONTH($A132)=MONTH($A131),IF(G132=0,I131,G132),G132)</f>
        <v>0</v>
      </c>
      <c r="J132" s="124" t="n">
        <f aca="false">IF(MONTH($A132)=MONTH($A131),SUM(I132-I131),I132)</f>
        <v>0</v>
      </c>
      <c r="K132" s="124" t="n">
        <f aca="false">IF(WEEKDAY(A132,3)&gt;4,0,(IF(A132&lt;K$2,0,IF(A132&lt;=K$3,1,0))))</f>
        <v>0</v>
      </c>
      <c r="L132" s="124" t="n">
        <f aca="false">J132*K132</f>
        <v>0</v>
      </c>
      <c r="M132" s="124" t="n">
        <f aca="false">SUM(J$97:J132)</f>
        <v>0</v>
      </c>
      <c r="N132" s="124" t="n">
        <f aca="false">SUM(J$6:J132)</f>
        <v>0</v>
      </c>
      <c r="P132" s="124" t="n">
        <f aca="false">D132/P$3</f>
        <v>0</v>
      </c>
      <c r="Q132" s="124" t="n">
        <f aca="false">E132/P$3</f>
        <v>0</v>
      </c>
      <c r="R132" s="124" t="n">
        <f aca="false">F132/R$3</f>
        <v>0</v>
      </c>
      <c r="S132" s="126" t="n">
        <f aca="false">J132/$R$3</f>
        <v>0</v>
      </c>
      <c r="T132" s="126" t="n">
        <f aca="false">L132/$R$3</f>
        <v>0</v>
      </c>
      <c r="U132" s="126" t="n">
        <f aca="false">I132/$R$3</f>
        <v>0</v>
      </c>
      <c r="V132" s="126" t="n">
        <f aca="false">M132/$R$3</f>
        <v>0</v>
      </c>
      <c r="W132" s="126" t="n">
        <f aca="false">N132/$R$3</f>
        <v>0</v>
      </c>
    </row>
    <row r="133" customFormat="false" ht="12.75" hidden="true" customHeight="false" outlineLevel="0" collapsed="false">
      <c r="A133" s="120" t="n">
        <f aca="false">A132+1</f>
        <v>37019</v>
      </c>
      <c r="B133" s="131" t="str">
        <f aca="false">INDEX('Master Data'!$A$2:$B$8,MATCH(WEEKDAY('Plant Manager'!A133,3),'Master Data'!$A$2:$A$8,0),2)</f>
        <v>T</v>
      </c>
      <c r="D133" s="124" t="n">
        <v>0</v>
      </c>
      <c r="E133" s="124" t="n">
        <v>0</v>
      </c>
      <c r="F133" s="124" t="n">
        <v>0</v>
      </c>
      <c r="G133" s="124" t="n">
        <v>0</v>
      </c>
      <c r="I133" s="124" t="n">
        <f aca="false">IF(MONTH($A133)=MONTH($A132),IF(G133=0,I132,G133),G133)</f>
        <v>0</v>
      </c>
      <c r="J133" s="124" t="n">
        <f aca="false">IF(MONTH($A133)=MONTH($A132),SUM(I133-I132),I133)</f>
        <v>0</v>
      </c>
      <c r="K133" s="124" t="n">
        <f aca="false">IF(WEEKDAY(A133,3)&gt;4,0,(IF(A133&lt;K$2,0,IF(A133&lt;=K$3,1,0))))</f>
        <v>0</v>
      </c>
      <c r="L133" s="124" t="n">
        <f aca="false">J133*K133</f>
        <v>0</v>
      </c>
      <c r="M133" s="124" t="n">
        <f aca="false">SUM(J$97:J133)</f>
        <v>0</v>
      </c>
      <c r="N133" s="124" t="n">
        <f aca="false">SUM(J$6:J133)</f>
        <v>0</v>
      </c>
      <c r="P133" s="124" t="n">
        <f aca="false">D133/P$3</f>
        <v>0</v>
      </c>
      <c r="Q133" s="124" t="n">
        <f aca="false">E133/P$3</f>
        <v>0</v>
      </c>
      <c r="R133" s="124" t="n">
        <f aca="false">F133/R$3</f>
        <v>0</v>
      </c>
      <c r="S133" s="126" t="n">
        <f aca="false">J133/$R$3</f>
        <v>0</v>
      </c>
      <c r="T133" s="126" t="n">
        <f aca="false">L133/$R$3</f>
        <v>0</v>
      </c>
      <c r="U133" s="126" t="n">
        <f aca="false">I133/$R$3</f>
        <v>0</v>
      </c>
      <c r="V133" s="126" t="n">
        <f aca="false">M133/$R$3</f>
        <v>0</v>
      </c>
      <c r="W133" s="126" t="n">
        <f aca="false">N133/$R$3</f>
        <v>0</v>
      </c>
    </row>
    <row r="134" customFormat="false" ht="12.75" hidden="true" customHeight="false" outlineLevel="0" collapsed="false">
      <c r="A134" s="120" t="n">
        <f aca="false">A133+1</f>
        <v>37020</v>
      </c>
      <c r="B134" s="131" t="str">
        <f aca="false">INDEX('Master Data'!$A$2:$B$8,MATCH(WEEKDAY('Plant Manager'!A134,3),'Master Data'!$A$2:$A$8,0),2)</f>
        <v>W</v>
      </c>
      <c r="D134" s="124" t="n">
        <v>0</v>
      </c>
      <c r="E134" s="124" t="n">
        <v>0</v>
      </c>
      <c r="F134" s="124" t="n">
        <v>0</v>
      </c>
      <c r="G134" s="124" t="n">
        <v>0</v>
      </c>
      <c r="I134" s="124" t="n">
        <f aca="false">IF(MONTH($A134)=MONTH($A133),IF(G134=0,I133,G134),G134)</f>
        <v>0</v>
      </c>
      <c r="J134" s="124" t="n">
        <f aca="false">IF(MONTH($A134)=MONTH($A133),SUM(I134-I133),I134)</f>
        <v>0</v>
      </c>
      <c r="K134" s="124" t="n">
        <f aca="false">IF(WEEKDAY(A134,3)&gt;4,0,(IF(A134&lt;K$2,0,IF(A134&lt;=K$3,1,0))))</f>
        <v>0</v>
      </c>
      <c r="L134" s="124" t="n">
        <f aca="false">J134*K134</f>
        <v>0</v>
      </c>
      <c r="M134" s="124" t="n">
        <f aca="false">SUM(J$97:J134)</f>
        <v>0</v>
      </c>
      <c r="N134" s="124" t="n">
        <f aca="false">SUM(J$6:J134)</f>
        <v>0</v>
      </c>
      <c r="P134" s="124" t="n">
        <f aca="false">D134/P$3</f>
        <v>0</v>
      </c>
      <c r="Q134" s="124" t="n">
        <f aca="false">E134/P$3</f>
        <v>0</v>
      </c>
      <c r="R134" s="124" t="n">
        <f aca="false">F134/R$3</f>
        <v>0</v>
      </c>
      <c r="S134" s="126" t="n">
        <f aca="false">J134/$R$3</f>
        <v>0</v>
      </c>
      <c r="T134" s="126" t="n">
        <f aca="false">L134/$R$3</f>
        <v>0</v>
      </c>
      <c r="U134" s="126" t="n">
        <f aca="false">I134/$R$3</f>
        <v>0</v>
      </c>
      <c r="V134" s="126" t="n">
        <f aca="false">M134/$R$3</f>
        <v>0</v>
      </c>
      <c r="W134" s="126" t="n">
        <f aca="false">N134/$R$3</f>
        <v>0</v>
      </c>
    </row>
    <row r="135" customFormat="false" ht="12.75" hidden="true" customHeight="false" outlineLevel="0" collapsed="false">
      <c r="A135" s="120" t="n">
        <f aca="false">A134+1</f>
        <v>37021</v>
      </c>
      <c r="B135" s="131" t="str">
        <f aca="false">INDEX('Master Data'!$A$2:$B$8,MATCH(WEEKDAY('Plant Manager'!A135,3),'Master Data'!$A$2:$A$8,0),2)</f>
        <v>Th</v>
      </c>
      <c r="D135" s="124" t="n">
        <v>0</v>
      </c>
      <c r="E135" s="124" t="n">
        <v>0</v>
      </c>
      <c r="F135" s="124" t="n">
        <v>0</v>
      </c>
      <c r="G135" s="124" t="n">
        <v>0</v>
      </c>
      <c r="I135" s="124" t="n">
        <f aca="false">IF(MONTH($A135)=MONTH($A134),IF(G135=0,I134,G135),G135)</f>
        <v>0</v>
      </c>
      <c r="J135" s="124" t="n">
        <f aca="false">IF(MONTH($A135)=MONTH($A134),SUM(I135-I134),I135)</f>
        <v>0</v>
      </c>
      <c r="K135" s="124" t="n">
        <f aca="false">IF(WEEKDAY(A135,3)&gt;4,0,(IF(A135&lt;K$2,0,IF(A135&lt;=K$3,1,0))))</f>
        <v>0</v>
      </c>
      <c r="L135" s="124" t="n">
        <f aca="false">J135*K135</f>
        <v>0</v>
      </c>
      <c r="M135" s="124" t="n">
        <f aca="false">SUM(J$97:J135)</f>
        <v>0</v>
      </c>
      <c r="N135" s="124" t="n">
        <f aca="false">SUM(J$6:J135)</f>
        <v>0</v>
      </c>
      <c r="P135" s="124" t="n">
        <f aca="false">D135/P$3</f>
        <v>0</v>
      </c>
      <c r="Q135" s="124" t="n">
        <f aca="false">E135/P$3</f>
        <v>0</v>
      </c>
      <c r="R135" s="124" t="n">
        <f aca="false">F135/R$3</f>
        <v>0</v>
      </c>
      <c r="S135" s="126" t="n">
        <f aca="false">J135/$R$3</f>
        <v>0</v>
      </c>
      <c r="T135" s="126" t="n">
        <f aca="false">L135/$R$3</f>
        <v>0</v>
      </c>
      <c r="U135" s="126" t="n">
        <f aca="false">I135/$R$3</f>
        <v>0</v>
      </c>
      <c r="V135" s="126" t="n">
        <f aca="false">M135/$R$3</f>
        <v>0</v>
      </c>
      <c r="W135" s="126" t="n">
        <f aca="false">N135/$R$3</f>
        <v>0</v>
      </c>
    </row>
    <row r="136" customFormat="false" ht="12.75" hidden="true" customHeight="false" outlineLevel="0" collapsed="false">
      <c r="A136" s="120" t="n">
        <f aca="false">A135+1</f>
        <v>37022</v>
      </c>
      <c r="B136" s="131" t="str">
        <f aca="false">INDEX('Master Data'!$A$2:$B$8,MATCH(WEEKDAY('Plant Manager'!A136,3),'Master Data'!$A$2:$A$8,0),2)</f>
        <v>F</v>
      </c>
      <c r="D136" s="124" t="n">
        <v>0</v>
      </c>
      <c r="E136" s="124" t="n">
        <v>0</v>
      </c>
      <c r="F136" s="124" t="n">
        <v>0</v>
      </c>
      <c r="G136" s="124" t="n">
        <v>0</v>
      </c>
      <c r="I136" s="124" t="n">
        <f aca="false">IF(MONTH($A136)=MONTH($A135),IF(G136=0,I135,G136),G136)</f>
        <v>0</v>
      </c>
      <c r="J136" s="124" t="n">
        <f aca="false">IF(MONTH($A136)=MONTH($A135),SUM(I136-I135),I136)</f>
        <v>0</v>
      </c>
      <c r="K136" s="124" t="n">
        <f aca="false">IF(WEEKDAY(A136,3)&gt;4,0,(IF(A136&lt;K$2,0,IF(A136&lt;=K$3,1,0))))</f>
        <v>0</v>
      </c>
      <c r="L136" s="124" t="n">
        <f aca="false">J136*K136</f>
        <v>0</v>
      </c>
      <c r="M136" s="124" t="n">
        <f aca="false">SUM(J$97:J136)</f>
        <v>0</v>
      </c>
      <c r="N136" s="124" t="n">
        <f aca="false">SUM(J$6:J136)</f>
        <v>0</v>
      </c>
      <c r="P136" s="124" t="n">
        <f aca="false">D136/P$3</f>
        <v>0</v>
      </c>
      <c r="Q136" s="124" t="n">
        <f aca="false">E136/P$3</f>
        <v>0</v>
      </c>
      <c r="R136" s="124" t="n">
        <f aca="false">F136/R$3</f>
        <v>0</v>
      </c>
      <c r="S136" s="126" t="n">
        <f aca="false">J136/$R$3</f>
        <v>0</v>
      </c>
      <c r="T136" s="126" t="n">
        <f aca="false">L136/$R$3</f>
        <v>0</v>
      </c>
      <c r="U136" s="126" t="n">
        <f aca="false">I136/$R$3</f>
        <v>0</v>
      </c>
      <c r="V136" s="126" t="n">
        <f aca="false">M136/$R$3</f>
        <v>0</v>
      </c>
      <c r="W136" s="126" t="n">
        <f aca="false">N136/$R$3</f>
        <v>0</v>
      </c>
    </row>
    <row r="137" customFormat="false" ht="12.75" hidden="true" customHeight="false" outlineLevel="0" collapsed="false">
      <c r="A137" s="120" t="n">
        <f aca="false">A136+1</f>
        <v>37023</v>
      </c>
      <c r="B137" s="131" t="str">
        <f aca="false">INDEX('Master Data'!$A$2:$B$8,MATCH(WEEKDAY('Plant Manager'!A137,3),'Master Data'!$A$2:$A$8,0),2)</f>
        <v>Sa</v>
      </c>
      <c r="D137" s="124" t="n">
        <v>0</v>
      </c>
      <c r="E137" s="124" t="n">
        <v>0</v>
      </c>
      <c r="F137" s="124" t="n">
        <v>0</v>
      </c>
      <c r="G137" s="124" t="n">
        <v>0</v>
      </c>
      <c r="I137" s="124" t="n">
        <f aca="false">IF(MONTH($A137)=MONTH($A136),IF(G137=0,I136,G137),G137)</f>
        <v>0</v>
      </c>
      <c r="J137" s="124" t="n">
        <f aca="false">IF(MONTH($A137)=MONTH($A136),SUM(I137-I136),I137)</f>
        <v>0</v>
      </c>
      <c r="K137" s="124" t="n">
        <f aca="false">IF(WEEKDAY(A137,3)&gt;4,0,(IF(A137&lt;K$2,0,IF(A137&lt;=K$3,1,0))))</f>
        <v>0</v>
      </c>
      <c r="L137" s="124" t="n">
        <f aca="false">J137*K137</f>
        <v>0</v>
      </c>
      <c r="M137" s="124" t="n">
        <f aca="false">SUM(J$97:J137)</f>
        <v>0</v>
      </c>
      <c r="N137" s="124" t="n">
        <f aca="false">SUM(J$6:J137)</f>
        <v>0</v>
      </c>
      <c r="P137" s="124" t="n">
        <f aca="false">D137/P$3</f>
        <v>0</v>
      </c>
      <c r="Q137" s="124" t="n">
        <f aca="false">E137/P$3</f>
        <v>0</v>
      </c>
      <c r="R137" s="124" t="n">
        <f aca="false">F137/R$3</f>
        <v>0</v>
      </c>
      <c r="S137" s="126" t="n">
        <f aca="false">J137/$R$3</f>
        <v>0</v>
      </c>
      <c r="T137" s="126" t="n">
        <f aca="false">L137/$R$3</f>
        <v>0</v>
      </c>
      <c r="U137" s="126" t="n">
        <f aca="false">I137/$R$3</f>
        <v>0</v>
      </c>
      <c r="V137" s="126" t="n">
        <f aca="false">M137/$R$3</f>
        <v>0</v>
      </c>
      <c r="W137" s="126" t="n">
        <f aca="false">N137/$R$3</f>
        <v>0</v>
      </c>
    </row>
    <row r="138" customFormat="false" ht="12.75" hidden="true" customHeight="false" outlineLevel="0" collapsed="false">
      <c r="A138" s="120" t="n">
        <f aca="false">A137+1</f>
        <v>37024</v>
      </c>
      <c r="B138" s="131" t="str">
        <f aca="false">INDEX('Master Data'!$A$2:$B$8,MATCH(WEEKDAY('Plant Manager'!A138,3),'Master Data'!$A$2:$A$8,0),2)</f>
        <v>Su</v>
      </c>
      <c r="D138" s="124" t="n">
        <v>0</v>
      </c>
      <c r="E138" s="124" t="n">
        <v>0</v>
      </c>
      <c r="F138" s="124" t="n">
        <v>0</v>
      </c>
      <c r="G138" s="124" t="n">
        <v>0</v>
      </c>
      <c r="I138" s="124" t="n">
        <f aca="false">IF(MONTH($A138)=MONTH($A137),IF(G138=0,I137,G138),G138)</f>
        <v>0</v>
      </c>
      <c r="J138" s="124" t="n">
        <f aca="false">IF(MONTH($A138)=MONTH($A137),SUM(I138-I137),I138)</f>
        <v>0</v>
      </c>
      <c r="K138" s="124" t="n">
        <f aca="false">IF(WEEKDAY(A138,3)&gt;4,0,(IF(A138&lt;K$2,0,IF(A138&lt;=K$3,1,0))))</f>
        <v>0</v>
      </c>
      <c r="L138" s="124" t="n">
        <f aca="false">J138*K138</f>
        <v>0</v>
      </c>
      <c r="M138" s="124" t="n">
        <f aca="false">SUM(J$97:J138)</f>
        <v>0</v>
      </c>
      <c r="N138" s="124" t="n">
        <f aca="false">SUM(J$6:J138)</f>
        <v>0</v>
      </c>
      <c r="P138" s="124" t="n">
        <f aca="false">D138/P$3</f>
        <v>0</v>
      </c>
      <c r="Q138" s="124" t="n">
        <f aca="false">E138/P$3</f>
        <v>0</v>
      </c>
      <c r="R138" s="124" t="n">
        <f aca="false">F138/R$3</f>
        <v>0</v>
      </c>
      <c r="S138" s="126" t="n">
        <f aca="false">J138/$R$3</f>
        <v>0</v>
      </c>
      <c r="T138" s="126" t="n">
        <f aca="false">L138/$R$3</f>
        <v>0</v>
      </c>
      <c r="U138" s="126" t="n">
        <f aca="false">I138/$R$3</f>
        <v>0</v>
      </c>
      <c r="V138" s="126" t="n">
        <f aca="false">M138/$R$3</f>
        <v>0</v>
      </c>
      <c r="W138" s="126" t="n">
        <f aca="false">N138/$R$3</f>
        <v>0</v>
      </c>
    </row>
    <row r="139" customFormat="false" ht="12.75" hidden="true" customHeight="false" outlineLevel="0" collapsed="false">
      <c r="A139" s="120" t="n">
        <f aca="false">A138+1</f>
        <v>37025</v>
      </c>
      <c r="B139" s="131" t="str">
        <f aca="false">INDEX('Master Data'!$A$2:$B$8,MATCH(WEEKDAY('Plant Manager'!A139,3),'Master Data'!$A$2:$A$8,0),2)</f>
        <v>M</v>
      </c>
      <c r="D139" s="124" t="n">
        <v>0</v>
      </c>
      <c r="E139" s="124" t="n">
        <v>0</v>
      </c>
      <c r="F139" s="124" t="n">
        <v>0</v>
      </c>
      <c r="G139" s="124" t="n">
        <v>0</v>
      </c>
      <c r="I139" s="124" t="n">
        <f aca="false">IF(MONTH($A139)=MONTH($A138),IF(G139=0,I138,G139),G139)</f>
        <v>0</v>
      </c>
      <c r="J139" s="124" t="n">
        <f aca="false">IF(MONTH($A139)=MONTH($A138),SUM(I139-I138),I139)</f>
        <v>0</v>
      </c>
      <c r="K139" s="124" t="n">
        <f aca="false">IF(WEEKDAY(A139,3)&gt;4,0,(IF(A139&lt;K$2,0,IF(A139&lt;=K$3,1,0))))</f>
        <v>0</v>
      </c>
      <c r="L139" s="124" t="n">
        <f aca="false">J139*K139</f>
        <v>0</v>
      </c>
      <c r="M139" s="124" t="n">
        <f aca="false">SUM(J$97:J139)</f>
        <v>0</v>
      </c>
      <c r="N139" s="124" t="n">
        <f aca="false">SUM(J$6:J139)</f>
        <v>0</v>
      </c>
      <c r="P139" s="124" t="n">
        <f aca="false">D139/P$3</f>
        <v>0</v>
      </c>
      <c r="Q139" s="124" t="n">
        <f aca="false">E139/P$3</f>
        <v>0</v>
      </c>
      <c r="R139" s="124" t="n">
        <f aca="false">F139/R$3</f>
        <v>0</v>
      </c>
      <c r="S139" s="126" t="n">
        <f aca="false">J139/$R$3</f>
        <v>0</v>
      </c>
      <c r="T139" s="126" t="n">
        <f aca="false">L139/$R$3</f>
        <v>0</v>
      </c>
      <c r="U139" s="126" t="n">
        <f aca="false">I139/$R$3</f>
        <v>0</v>
      </c>
      <c r="V139" s="126" t="n">
        <f aca="false">M139/$R$3</f>
        <v>0</v>
      </c>
      <c r="W139" s="126" t="n">
        <f aca="false">N139/$R$3</f>
        <v>0</v>
      </c>
    </row>
    <row r="140" customFormat="false" ht="12.75" hidden="true" customHeight="false" outlineLevel="0" collapsed="false">
      <c r="A140" s="120" t="n">
        <f aca="false">A139+1</f>
        <v>37026</v>
      </c>
      <c r="B140" s="131" t="str">
        <f aca="false">INDEX('Master Data'!$A$2:$B$8,MATCH(WEEKDAY('Plant Manager'!A140,3),'Master Data'!$A$2:$A$8,0),2)</f>
        <v>T</v>
      </c>
      <c r="D140" s="124" t="n">
        <v>0</v>
      </c>
      <c r="E140" s="124" t="n">
        <v>0</v>
      </c>
      <c r="F140" s="124" t="n">
        <v>0</v>
      </c>
      <c r="G140" s="124" t="n">
        <v>0</v>
      </c>
      <c r="I140" s="124" t="n">
        <f aca="false">IF(MONTH($A140)=MONTH($A139),IF(G140=0,I139,G140),G140)</f>
        <v>0</v>
      </c>
      <c r="J140" s="124" t="n">
        <f aca="false">IF(MONTH($A140)=MONTH($A139),SUM(I140-I139),I140)</f>
        <v>0</v>
      </c>
      <c r="K140" s="124" t="n">
        <f aca="false">IF(WEEKDAY(A140,3)&gt;4,0,(IF(A140&lt;K$2,0,IF(A140&lt;=K$3,1,0))))</f>
        <v>0</v>
      </c>
      <c r="L140" s="124" t="n">
        <f aca="false">J140*K140</f>
        <v>0</v>
      </c>
      <c r="M140" s="124" t="n">
        <f aca="false">SUM(J$97:J140)</f>
        <v>0</v>
      </c>
      <c r="N140" s="124" t="n">
        <f aca="false">SUM(J$6:J140)</f>
        <v>0</v>
      </c>
      <c r="P140" s="124" t="n">
        <f aca="false">D140/P$3</f>
        <v>0</v>
      </c>
      <c r="Q140" s="124" t="n">
        <f aca="false">E140/P$3</f>
        <v>0</v>
      </c>
      <c r="R140" s="124" t="n">
        <f aca="false">F140/R$3</f>
        <v>0</v>
      </c>
      <c r="S140" s="126" t="n">
        <f aca="false">J140/$R$3</f>
        <v>0</v>
      </c>
      <c r="T140" s="126" t="n">
        <f aca="false">L140/$R$3</f>
        <v>0</v>
      </c>
      <c r="U140" s="126" t="n">
        <f aca="false">I140/$R$3</f>
        <v>0</v>
      </c>
      <c r="V140" s="126" t="n">
        <f aca="false">M140/$R$3</f>
        <v>0</v>
      </c>
      <c r="W140" s="126" t="n">
        <f aca="false">N140/$R$3</f>
        <v>0</v>
      </c>
    </row>
    <row r="141" customFormat="false" ht="12.75" hidden="true" customHeight="false" outlineLevel="0" collapsed="false">
      <c r="A141" s="120" t="n">
        <f aca="false">A140+1</f>
        <v>37027</v>
      </c>
      <c r="B141" s="131" t="str">
        <f aca="false">INDEX('Master Data'!$A$2:$B$8,MATCH(WEEKDAY('Plant Manager'!A141,3),'Master Data'!$A$2:$A$8,0),2)</f>
        <v>W</v>
      </c>
      <c r="D141" s="124" t="n">
        <v>0</v>
      </c>
      <c r="E141" s="124" t="n">
        <v>0</v>
      </c>
      <c r="F141" s="124" t="n">
        <v>0</v>
      </c>
      <c r="G141" s="124" t="n">
        <v>0</v>
      </c>
      <c r="I141" s="124" t="n">
        <f aca="false">IF(MONTH($A141)=MONTH($A140),IF(G141=0,I140,G141),G141)</f>
        <v>0</v>
      </c>
      <c r="J141" s="124" t="n">
        <f aca="false">IF(MONTH($A141)=MONTH($A140),SUM(I141-I140),I141)</f>
        <v>0</v>
      </c>
      <c r="K141" s="124" t="n">
        <f aca="false">IF(WEEKDAY(A141,3)&gt;4,0,(IF(A141&lt;K$2,0,IF(A141&lt;=K$3,1,0))))</f>
        <v>0</v>
      </c>
      <c r="L141" s="124" t="n">
        <f aca="false">J141*K141</f>
        <v>0</v>
      </c>
      <c r="M141" s="124" t="n">
        <f aca="false">SUM(J$97:J141)</f>
        <v>0</v>
      </c>
      <c r="N141" s="124" t="n">
        <f aca="false">SUM(J$6:J141)</f>
        <v>0</v>
      </c>
      <c r="P141" s="124" t="n">
        <f aca="false">D141/P$3</f>
        <v>0</v>
      </c>
      <c r="Q141" s="124" t="n">
        <f aca="false">E141/P$3</f>
        <v>0</v>
      </c>
      <c r="R141" s="124" t="n">
        <f aca="false">F141/R$3</f>
        <v>0</v>
      </c>
      <c r="S141" s="126" t="n">
        <f aca="false">J141/$R$3</f>
        <v>0</v>
      </c>
      <c r="T141" s="126" t="n">
        <f aca="false">L141/$R$3</f>
        <v>0</v>
      </c>
      <c r="U141" s="126" t="n">
        <f aca="false">I141/$R$3</f>
        <v>0</v>
      </c>
      <c r="V141" s="126" t="n">
        <f aca="false">M141/$R$3</f>
        <v>0</v>
      </c>
      <c r="W141" s="126" t="n">
        <f aca="false">N141/$R$3</f>
        <v>0</v>
      </c>
    </row>
    <row r="142" customFormat="false" ht="12.75" hidden="true" customHeight="false" outlineLevel="0" collapsed="false">
      <c r="A142" s="120" t="n">
        <f aca="false">A141+1</f>
        <v>37028</v>
      </c>
      <c r="B142" s="131" t="str">
        <f aca="false">INDEX('Master Data'!$A$2:$B$8,MATCH(WEEKDAY('Plant Manager'!A142,3),'Master Data'!$A$2:$A$8,0),2)</f>
        <v>Th</v>
      </c>
      <c r="D142" s="124" t="n">
        <v>0</v>
      </c>
      <c r="E142" s="124" t="n">
        <v>0</v>
      </c>
      <c r="F142" s="124" t="n">
        <v>0</v>
      </c>
      <c r="G142" s="124" t="n">
        <v>0</v>
      </c>
      <c r="I142" s="124" t="n">
        <f aca="false">IF(MONTH($A142)=MONTH($A141),IF(G142=0,I141,G142),G142)</f>
        <v>0</v>
      </c>
      <c r="J142" s="124" t="n">
        <f aca="false">IF(MONTH($A142)=MONTH($A141),SUM(I142-I141),I142)</f>
        <v>0</v>
      </c>
      <c r="K142" s="124" t="n">
        <f aca="false">IF(WEEKDAY(A142,3)&gt;4,0,(IF(A142&lt;K$2,0,IF(A142&lt;=K$3,1,0))))</f>
        <v>0</v>
      </c>
      <c r="L142" s="124" t="n">
        <f aca="false">J142*K142</f>
        <v>0</v>
      </c>
      <c r="M142" s="124" t="n">
        <f aca="false">SUM(J$97:J142)</f>
        <v>0</v>
      </c>
      <c r="N142" s="124" t="n">
        <f aca="false">SUM(J$6:J142)</f>
        <v>0</v>
      </c>
      <c r="P142" s="124" t="n">
        <f aca="false">D142/P$3</f>
        <v>0</v>
      </c>
      <c r="Q142" s="124" t="n">
        <f aca="false">E142/P$3</f>
        <v>0</v>
      </c>
      <c r="R142" s="124" t="n">
        <f aca="false">F142/R$3</f>
        <v>0</v>
      </c>
      <c r="S142" s="126" t="n">
        <f aca="false">J142/$R$3</f>
        <v>0</v>
      </c>
      <c r="T142" s="126" t="n">
        <f aca="false">L142/$R$3</f>
        <v>0</v>
      </c>
      <c r="U142" s="126" t="n">
        <f aca="false">I142/$R$3</f>
        <v>0</v>
      </c>
      <c r="V142" s="126" t="n">
        <f aca="false">M142/$R$3</f>
        <v>0</v>
      </c>
      <c r="W142" s="126" t="n">
        <f aca="false">N142/$R$3</f>
        <v>0</v>
      </c>
    </row>
    <row r="143" customFormat="false" ht="12.75" hidden="true" customHeight="false" outlineLevel="0" collapsed="false">
      <c r="A143" s="120" t="n">
        <f aca="false">A142+1</f>
        <v>37029</v>
      </c>
      <c r="B143" s="131" t="str">
        <f aca="false">INDEX('Master Data'!$A$2:$B$8,MATCH(WEEKDAY('Plant Manager'!A143,3),'Master Data'!$A$2:$A$8,0),2)</f>
        <v>F</v>
      </c>
      <c r="D143" s="124" t="n">
        <v>0</v>
      </c>
      <c r="E143" s="124" t="n">
        <v>0</v>
      </c>
      <c r="F143" s="124" t="n">
        <v>0</v>
      </c>
      <c r="G143" s="124" t="n">
        <v>0</v>
      </c>
      <c r="I143" s="124" t="n">
        <f aca="false">IF(MONTH($A143)=MONTH($A142),IF(G143=0,I142,G143),G143)</f>
        <v>0</v>
      </c>
      <c r="J143" s="124" t="n">
        <f aca="false">IF(MONTH($A143)=MONTH($A142),SUM(I143-I142),I143)</f>
        <v>0</v>
      </c>
      <c r="K143" s="124" t="n">
        <f aca="false">IF(WEEKDAY(A143,3)&gt;4,0,(IF(A143&lt;K$2,0,IF(A143&lt;=K$3,1,0))))</f>
        <v>0</v>
      </c>
      <c r="L143" s="124" t="n">
        <f aca="false">J143*K143</f>
        <v>0</v>
      </c>
      <c r="M143" s="124" t="n">
        <f aca="false">SUM(J$97:J143)</f>
        <v>0</v>
      </c>
      <c r="N143" s="124" t="n">
        <f aca="false">SUM(J$6:J143)</f>
        <v>0</v>
      </c>
      <c r="P143" s="124" t="n">
        <f aca="false">D143/P$3</f>
        <v>0</v>
      </c>
      <c r="Q143" s="124" t="n">
        <f aca="false">E143/P$3</f>
        <v>0</v>
      </c>
      <c r="R143" s="124" t="n">
        <f aca="false">F143/R$3</f>
        <v>0</v>
      </c>
      <c r="S143" s="126" t="n">
        <f aca="false">J143/$R$3</f>
        <v>0</v>
      </c>
      <c r="T143" s="126" t="n">
        <f aca="false">L143/$R$3</f>
        <v>0</v>
      </c>
      <c r="U143" s="126" t="n">
        <f aca="false">I143/$R$3</f>
        <v>0</v>
      </c>
      <c r="V143" s="126" t="n">
        <f aca="false">M143/$R$3</f>
        <v>0</v>
      </c>
      <c r="W143" s="126" t="n">
        <f aca="false">N143/$R$3</f>
        <v>0</v>
      </c>
    </row>
    <row r="144" customFormat="false" ht="12.75" hidden="true" customHeight="false" outlineLevel="0" collapsed="false">
      <c r="A144" s="120" t="n">
        <f aca="false">A143+1</f>
        <v>37030</v>
      </c>
      <c r="B144" s="131" t="str">
        <f aca="false">INDEX('Master Data'!$A$2:$B$8,MATCH(WEEKDAY('Plant Manager'!A144,3),'Master Data'!$A$2:$A$8,0),2)</f>
        <v>Sa</v>
      </c>
      <c r="D144" s="124" t="n">
        <v>0</v>
      </c>
      <c r="E144" s="124" t="n">
        <v>0</v>
      </c>
      <c r="F144" s="124" t="n">
        <v>0</v>
      </c>
      <c r="G144" s="124" t="n">
        <v>0</v>
      </c>
      <c r="I144" s="124" t="n">
        <f aca="false">IF(MONTH($A144)=MONTH($A143),IF(G144=0,I143,G144),G144)</f>
        <v>0</v>
      </c>
      <c r="J144" s="124" t="n">
        <f aca="false">IF(MONTH($A144)=MONTH($A143),SUM(I144-I143),I144)</f>
        <v>0</v>
      </c>
      <c r="K144" s="124" t="n">
        <f aca="false">IF(WEEKDAY(A144,3)&gt;4,0,(IF(A144&lt;K$2,0,IF(A144&lt;=K$3,1,0))))</f>
        <v>0</v>
      </c>
      <c r="L144" s="124" t="n">
        <f aca="false">J144*K144</f>
        <v>0</v>
      </c>
      <c r="M144" s="124" t="n">
        <f aca="false">SUM(J$97:J144)</f>
        <v>0</v>
      </c>
      <c r="N144" s="124" t="n">
        <f aca="false">SUM(J$6:J144)</f>
        <v>0</v>
      </c>
      <c r="P144" s="124" t="n">
        <f aca="false">D144/P$3</f>
        <v>0</v>
      </c>
      <c r="Q144" s="124" t="n">
        <f aca="false">E144/P$3</f>
        <v>0</v>
      </c>
      <c r="R144" s="124" t="n">
        <f aca="false">F144/R$3</f>
        <v>0</v>
      </c>
      <c r="S144" s="126" t="n">
        <f aca="false">J144/$R$3</f>
        <v>0</v>
      </c>
      <c r="T144" s="126" t="n">
        <f aca="false">L144/$R$3</f>
        <v>0</v>
      </c>
      <c r="U144" s="126" t="n">
        <f aca="false">I144/$R$3</f>
        <v>0</v>
      </c>
      <c r="V144" s="126" t="n">
        <f aca="false">M144/$R$3</f>
        <v>0</v>
      </c>
      <c r="W144" s="126" t="n">
        <f aca="false">N144/$R$3</f>
        <v>0</v>
      </c>
    </row>
    <row r="145" customFormat="false" ht="12.75" hidden="true" customHeight="false" outlineLevel="0" collapsed="false">
      <c r="A145" s="120" t="n">
        <f aca="false">A144+1</f>
        <v>37031</v>
      </c>
      <c r="B145" s="131" t="str">
        <f aca="false">INDEX('Master Data'!$A$2:$B$8,MATCH(WEEKDAY('Plant Manager'!A145,3),'Master Data'!$A$2:$A$8,0),2)</f>
        <v>Su</v>
      </c>
      <c r="D145" s="124" t="n">
        <v>0</v>
      </c>
      <c r="E145" s="124" t="n">
        <v>0</v>
      </c>
      <c r="F145" s="124" t="n">
        <v>0</v>
      </c>
      <c r="G145" s="124" t="n">
        <v>0</v>
      </c>
      <c r="I145" s="124" t="n">
        <f aca="false">IF(MONTH($A145)=MONTH($A144),IF(G145=0,I144,G145),G145)</f>
        <v>0</v>
      </c>
      <c r="J145" s="124" t="n">
        <f aca="false">IF(MONTH($A145)=MONTH($A144),SUM(I145-I144),I145)</f>
        <v>0</v>
      </c>
      <c r="K145" s="124" t="n">
        <f aca="false">IF(WEEKDAY(A145,3)&gt;4,0,(IF(A145&lt;K$2,0,IF(A145&lt;=K$3,1,0))))</f>
        <v>0</v>
      </c>
      <c r="L145" s="124" t="n">
        <f aca="false">J145*K145</f>
        <v>0</v>
      </c>
      <c r="M145" s="124" t="n">
        <f aca="false">SUM(J$97:J145)</f>
        <v>0</v>
      </c>
      <c r="N145" s="124" t="n">
        <f aca="false">SUM(J$6:J145)</f>
        <v>0</v>
      </c>
      <c r="P145" s="124" t="n">
        <f aca="false">D145/P$3</f>
        <v>0</v>
      </c>
      <c r="Q145" s="124" t="n">
        <f aca="false">E145/P$3</f>
        <v>0</v>
      </c>
      <c r="R145" s="124" t="n">
        <f aca="false">F145/R$3</f>
        <v>0</v>
      </c>
      <c r="S145" s="126" t="n">
        <f aca="false">J145/$R$3</f>
        <v>0</v>
      </c>
      <c r="T145" s="126" t="n">
        <f aca="false">L145/$R$3</f>
        <v>0</v>
      </c>
      <c r="U145" s="126" t="n">
        <f aca="false">I145/$R$3</f>
        <v>0</v>
      </c>
      <c r="V145" s="126" t="n">
        <f aca="false">M145/$R$3</f>
        <v>0</v>
      </c>
      <c r="W145" s="126" t="n">
        <f aca="false">N145/$R$3</f>
        <v>0</v>
      </c>
    </row>
    <row r="146" customFormat="false" ht="12.75" hidden="true" customHeight="false" outlineLevel="0" collapsed="false">
      <c r="A146" s="120" t="n">
        <f aca="false">A145+1</f>
        <v>37032</v>
      </c>
      <c r="B146" s="131" t="str">
        <f aca="false">INDEX('Master Data'!$A$2:$B$8,MATCH(WEEKDAY('Plant Manager'!A146,3),'Master Data'!$A$2:$A$8,0),2)</f>
        <v>M</v>
      </c>
      <c r="D146" s="124" t="n">
        <v>0</v>
      </c>
      <c r="E146" s="124" t="n">
        <v>0</v>
      </c>
      <c r="F146" s="124" t="n">
        <v>0</v>
      </c>
      <c r="G146" s="124" t="n">
        <v>0</v>
      </c>
      <c r="I146" s="124" t="n">
        <f aca="false">IF(MONTH($A146)=MONTH($A145),IF(G146=0,I145,G146),G146)</f>
        <v>0</v>
      </c>
      <c r="J146" s="124" t="n">
        <f aca="false">IF(MONTH($A146)=MONTH($A145),SUM(I146-I145),I146)</f>
        <v>0</v>
      </c>
      <c r="K146" s="124" t="n">
        <f aca="false">IF(WEEKDAY(A146,3)&gt;4,0,(IF(A146&lt;K$2,0,IF(A146&lt;=K$3,1,0))))</f>
        <v>0</v>
      </c>
      <c r="L146" s="124" t="n">
        <f aca="false">J146*K146</f>
        <v>0</v>
      </c>
      <c r="M146" s="124" t="n">
        <f aca="false">SUM(J$97:J146)</f>
        <v>0</v>
      </c>
      <c r="N146" s="124" t="n">
        <f aca="false">SUM(J$6:J146)</f>
        <v>0</v>
      </c>
      <c r="P146" s="124" t="n">
        <f aca="false">D146/P$3</f>
        <v>0</v>
      </c>
      <c r="Q146" s="124" t="n">
        <f aca="false">E146/P$3</f>
        <v>0</v>
      </c>
      <c r="R146" s="124" t="n">
        <f aca="false">F146/R$3</f>
        <v>0</v>
      </c>
      <c r="S146" s="126" t="n">
        <f aca="false">J146/$R$3</f>
        <v>0</v>
      </c>
      <c r="T146" s="126" t="n">
        <f aca="false">L146/$R$3</f>
        <v>0</v>
      </c>
      <c r="U146" s="126" t="n">
        <f aca="false">I146/$R$3</f>
        <v>0</v>
      </c>
      <c r="V146" s="126" t="n">
        <f aca="false">M146/$R$3</f>
        <v>0</v>
      </c>
      <c r="W146" s="126" t="n">
        <f aca="false">N146/$R$3</f>
        <v>0</v>
      </c>
    </row>
    <row r="147" customFormat="false" ht="12.75" hidden="true" customHeight="false" outlineLevel="0" collapsed="false">
      <c r="A147" s="120" t="n">
        <f aca="false">A146+1</f>
        <v>37033</v>
      </c>
      <c r="B147" s="131" t="str">
        <f aca="false">INDEX('Master Data'!$A$2:$B$8,MATCH(WEEKDAY('Plant Manager'!A147,3),'Master Data'!$A$2:$A$8,0),2)</f>
        <v>T</v>
      </c>
      <c r="D147" s="124" t="n">
        <v>0</v>
      </c>
      <c r="E147" s="124" t="n">
        <v>0</v>
      </c>
      <c r="F147" s="124" t="n">
        <v>0</v>
      </c>
      <c r="G147" s="124" t="n">
        <v>0</v>
      </c>
      <c r="I147" s="124" t="n">
        <f aca="false">IF(MONTH($A147)=MONTH($A146),IF(G147=0,I146,G147),G147)</f>
        <v>0</v>
      </c>
      <c r="J147" s="124" t="n">
        <f aca="false">IF(MONTH($A147)=MONTH($A146),SUM(I147-I146),I147)</f>
        <v>0</v>
      </c>
      <c r="K147" s="124" t="n">
        <f aca="false">IF(WEEKDAY(A147,3)&gt;4,0,(IF(A147&lt;K$2,0,IF(A147&lt;=K$3,1,0))))</f>
        <v>0</v>
      </c>
      <c r="L147" s="124" t="n">
        <f aca="false">J147*K147</f>
        <v>0</v>
      </c>
      <c r="M147" s="124" t="n">
        <f aca="false">SUM(J$97:J147)</f>
        <v>0</v>
      </c>
      <c r="N147" s="124" t="n">
        <f aca="false">SUM(J$6:J147)</f>
        <v>0</v>
      </c>
      <c r="P147" s="124" t="n">
        <f aca="false">D147/P$3</f>
        <v>0</v>
      </c>
      <c r="Q147" s="124" t="n">
        <f aca="false">E147/P$3</f>
        <v>0</v>
      </c>
      <c r="R147" s="124" t="n">
        <f aca="false">F147/R$3</f>
        <v>0</v>
      </c>
      <c r="S147" s="126" t="n">
        <f aca="false">J147/$R$3</f>
        <v>0</v>
      </c>
      <c r="T147" s="126" t="n">
        <f aca="false">L147/$R$3</f>
        <v>0</v>
      </c>
      <c r="U147" s="126" t="n">
        <f aca="false">I147/$R$3</f>
        <v>0</v>
      </c>
      <c r="V147" s="126" t="n">
        <f aca="false">M147/$R$3</f>
        <v>0</v>
      </c>
      <c r="W147" s="126" t="n">
        <f aca="false">N147/$R$3</f>
        <v>0</v>
      </c>
    </row>
    <row r="148" customFormat="false" ht="12.75" hidden="true" customHeight="false" outlineLevel="0" collapsed="false">
      <c r="A148" s="120" t="n">
        <f aca="false">A147+1</f>
        <v>37034</v>
      </c>
      <c r="B148" s="131" t="str">
        <f aca="false">INDEX('Master Data'!$A$2:$B$8,MATCH(WEEKDAY('Plant Manager'!A148,3),'Master Data'!$A$2:$A$8,0),2)</f>
        <v>W</v>
      </c>
      <c r="D148" s="124" t="n">
        <v>0</v>
      </c>
      <c r="E148" s="124" t="n">
        <v>0</v>
      </c>
      <c r="F148" s="124" t="n">
        <v>0</v>
      </c>
      <c r="G148" s="124" t="n">
        <v>0</v>
      </c>
      <c r="I148" s="124" t="n">
        <f aca="false">IF(MONTH($A148)=MONTH($A147),IF(G148=0,I147,G148),G148)</f>
        <v>0</v>
      </c>
      <c r="J148" s="124" t="n">
        <f aca="false">IF(MONTH($A148)=MONTH($A147),SUM(I148-I147),I148)</f>
        <v>0</v>
      </c>
      <c r="K148" s="124" t="n">
        <f aca="false">IF(WEEKDAY(A148,3)&gt;4,0,(IF(A148&lt;K$2,0,IF(A148&lt;=K$3,1,0))))</f>
        <v>0</v>
      </c>
      <c r="L148" s="124" t="n">
        <f aca="false">J148*K148</f>
        <v>0</v>
      </c>
      <c r="M148" s="124" t="n">
        <f aca="false">SUM(J$97:J148)</f>
        <v>0</v>
      </c>
      <c r="N148" s="124" t="n">
        <f aca="false">SUM(J$6:J148)</f>
        <v>0</v>
      </c>
      <c r="P148" s="124" t="n">
        <f aca="false">D148/P$3</f>
        <v>0</v>
      </c>
      <c r="Q148" s="124" t="n">
        <f aca="false">E148/P$3</f>
        <v>0</v>
      </c>
      <c r="R148" s="124" t="n">
        <f aca="false">F148/R$3</f>
        <v>0</v>
      </c>
      <c r="S148" s="126" t="n">
        <f aca="false">J148/$R$3</f>
        <v>0</v>
      </c>
      <c r="T148" s="126" t="n">
        <f aca="false">L148/$R$3</f>
        <v>0</v>
      </c>
      <c r="U148" s="126" t="n">
        <f aca="false">I148/$R$3</f>
        <v>0</v>
      </c>
      <c r="V148" s="126" t="n">
        <f aca="false">M148/$R$3</f>
        <v>0</v>
      </c>
      <c r="W148" s="126" t="n">
        <f aca="false">N148/$R$3</f>
        <v>0</v>
      </c>
    </row>
    <row r="149" customFormat="false" ht="12.75" hidden="true" customHeight="false" outlineLevel="0" collapsed="false">
      <c r="A149" s="120" t="n">
        <f aca="false">A148+1</f>
        <v>37035</v>
      </c>
      <c r="B149" s="131" t="str">
        <f aca="false">INDEX('Master Data'!$A$2:$B$8,MATCH(WEEKDAY('Plant Manager'!A149,3),'Master Data'!$A$2:$A$8,0),2)</f>
        <v>Th</v>
      </c>
      <c r="D149" s="124" t="n">
        <v>0</v>
      </c>
      <c r="E149" s="124" t="n">
        <v>0</v>
      </c>
      <c r="F149" s="124" t="n">
        <v>0</v>
      </c>
      <c r="G149" s="124" t="n">
        <v>0</v>
      </c>
      <c r="I149" s="124" t="n">
        <f aca="false">IF(MONTH($A149)=MONTH($A148),IF(G149=0,I148,G149),G149)</f>
        <v>0</v>
      </c>
      <c r="J149" s="124" t="n">
        <f aca="false">IF(MONTH($A149)=MONTH($A148),SUM(I149-I148),I149)</f>
        <v>0</v>
      </c>
      <c r="K149" s="124" t="n">
        <f aca="false">IF(WEEKDAY(A149,3)&gt;4,0,(IF(A149&lt;K$2,0,IF(A149&lt;=K$3,1,0))))</f>
        <v>0</v>
      </c>
      <c r="L149" s="124" t="n">
        <f aca="false">J149*K149</f>
        <v>0</v>
      </c>
      <c r="M149" s="124" t="n">
        <f aca="false">SUM(J$97:J149)</f>
        <v>0</v>
      </c>
      <c r="N149" s="124" t="n">
        <f aca="false">SUM(J$6:J149)</f>
        <v>0</v>
      </c>
      <c r="P149" s="124" t="n">
        <f aca="false">D149/P$3</f>
        <v>0</v>
      </c>
      <c r="Q149" s="124" t="n">
        <f aca="false">E149/P$3</f>
        <v>0</v>
      </c>
      <c r="R149" s="124" t="n">
        <f aca="false">F149/R$3</f>
        <v>0</v>
      </c>
      <c r="S149" s="126" t="n">
        <f aca="false">J149/$R$3</f>
        <v>0</v>
      </c>
      <c r="T149" s="126" t="n">
        <f aca="false">L149/$R$3</f>
        <v>0</v>
      </c>
      <c r="U149" s="126" t="n">
        <f aca="false">I149/$R$3</f>
        <v>0</v>
      </c>
      <c r="V149" s="126" t="n">
        <f aca="false">M149/$R$3</f>
        <v>0</v>
      </c>
      <c r="W149" s="126" t="n">
        <f aca="false">N149/$R$3</f>
        <v>0</v>
      </c>
    </row>
    <row r="150" customFormat="false" ht="12.75" hidden="true" customHeight="false" outlineLevel="0" collapsed="false">
      <c r="A150" s="120" t="n">
        <f aca="false">A149+1</f>
        <v>37036</v>
      </c>
      <c r="B150" s="131" t="str">
        <f aca="false">INDEX('Master Data'!$A$2:$B$8,MATCH(WEEKDAY('Plant Manager'!A150,3),'Master Data'!$A$2:$A$8,0),2)</f>
        <v>F</v>
      </c>
      <c r="D150" s="124" t="n">
        <v>0</v>
      </c>
      <c r="E150" s="124" t="n">
        <v>0</v>
      </c>
      <c r="F150" s="124" t="n">
        <v>0</v>
      </c>
      <c r="G150" s="124" t="n">
        <v>0</v>
      </c>
      <c r="I150" s="124" t="n">
        <f aca="false">IF(MONTH($A150)=MONTH($A149),IF(G150=0,I149,G150),G150)</f>
        <v>0</v>
      </c>
      <c r="J150" s="124" t="n">
        <f aca="false">IF(MONTH($A150)=MONTH($A149),SUM(I150-I149),I150)</f>
        <v>0</v>
      </c>
      <c r="K150" s="124" t="n">
        <f aca="false">IF(WEEKDAY(A150,3)&gt;4,0,(IF(A150&lt;K$2,0,IF(A150&lt;=K$3,1,0))))</f>
        <v>0</v>
      </c>
      <c r="L150" s="124" t="n">
        <f aca="false">J150*K150</f>
        <v>0</v>
      </c>
      <c r="M150" s="124" t="n">
        <f aca="false">SUM(J$97:J150)</f>
        <v>0</v>
      </c>
      <c r="N150" s="124" t="n">
        <f aca="false">SUM(J$6:J150)</f>
        <v>0</v>
      </c>
      <c r="P150" s="124" t="n">
        <f aca="false">D150/P$3</f>
        <v>0</v>
      </c>
      <c r="Q150" s="124" t="n">
        <f aca="false">E150/P$3</f>
        <v>0</v>
      </c>
      <c r="R150" s="124" t="n">
        <f aca="false">F150/R$3</f>
        <v>0</v>
      </c>
      <c r="S150" s="126" t="n">
        <f aca="false">J150/$R$3</f>
        <v>0</v>
      </c>
      <c r="T150" s="126" t="n">
        <f aca="false">L150/$R$3</f>
        <v>0</v>
      </c>
      <c r="U150" s="126" t="n">
        <f aca="false">I150/$R$3</f>
        <v>0</v>
      </c>
      <c r="V150" s="126" t="n">
        <f aca="false">M150/$R$3</f>
        <v>0</v>
      </c>
      <c r="W150" s="126" t="n">
        <f aca="false">N150/$R$3</f>
        <v>0</v>
      </c>
    </row>
    <row r="151" customFormat="false" ht="12.75" hidden="true" customHeight="false" outlineLevel="0" collapsed="false">
      <c r="A151" s="120" t="n">
        <f aca="false">A150+1</f>
        <v>37037</v>
      </c>
      <c r="B151" s="131" t="str">
        <f aca="false">INDEX('Master Data'!$A$2:$B$8,MATCH(WEEKDAY('Plant Manager'!A151,3),'Master Data'!$A$2:$A$8,0),2)</f>
        <v>Sa</v>
      </c>
      <c r="D151" s="124" t="n">
        <v>0</v>
      </c>
      <c r="E151" s="124" t="n">
        <v>0</v>
      </c>
      <c r="F151" s="124" t="n">
        <v>0</v>
      </c>
      <c r="G151" s="124" t="n">
        <v>0</v>
      </c>
      <c r="I151" s="124" t="n">
        <f aca="false">IF(MONTH($A151)=MONTH($A150),IF(G151=0,I150,G151),G151)</f>
        <v>0</v>
      </c>
      <c r="J151" s="124" t="n">
        <f aca="false">IF(MONTH($A151)=MONTH($A150),SUM(I151-I150),I151)</f>
        <v>0</v>
      </c>
      <c r="K151" s="124" t="n">
        <f aca="false">IF(WEEKDAY(A151,3)&gt;4,0,(IF(A151&lt;K$2,0,IF(A151&lt;=K$3,1,0))))</f>
        <v>0</v>
      </c>
      <c r="L151" s="124" t="n">
        <f aca="false">J151*K151</f>
        <v>0</v>
      </c>
      <c r="M151" s="124" t="n">
        <f aca="false">SUM(J$97:J151)</f>
        <v>0</v>
      </c>
      <c r="N151" s="124" t="n">
        <f aca="false">SUM(J$6:J151)</f>
        <v>0</v>
      </c>
      <c r="P151" s="124" t="n">
        <f aca="false">D151/P$3</f>
        <v>0</v>
      </c>
      <c r="Q151" s="124" t="n">
        <f aca="false">E151/P$3</f>
        <v>0</v>
      </c>
      <c r="R151" s="124" t="n">
        <f aca="false">F151/R$3</f>
        <v>0</v>
      </c>
      <c r="S151" s="126" t="n">
        <f aca="false">J151/$R$3</f>
        <v>0</v>
      </c>
      <c r="T151" s="126" t="n">
        <f aca="false">L151/$R$3</f>
        <v>0</v>
      </c>
      <c r="U151" s="126" t="n">
        <f aca="false">I151/$R$3</f>
        <v>0</v>
      </c>
      <c r="V151" s="126" t="n">
        <f aca="false">M151/$R$3</f>
        <v>0</v>
      </c>
      <c r="W151" s="126" t="n">
        <f aca="false">N151/$R$3</f>
        <v>0</v>
      </c>
    </row>
    <row r="152" customFormat="false" ht="12.75" hidden="true" customHeight="false" outlineLevel="0" collapsed="false">
      <c r="A152" s="120" t="n">
        <f aca="false">A151+1</f>
        <v>37038</v>
      </c>
      <c r="B152" s="131" t="str">
        <f aca="false">INDEX('Master Data'!$A$2:$B$8,MATCH(WEEKDAY('Plant Manager'!A152,3),'Master Data'!$A$2:$A$8,0),2)</f>
        <v>Su</v>
      </c>
      <c r="D152" s="124" t="n">
        <v>0</v>
      </c>
      <c r="E152" s="124" t="n">
        <v>0</v>
      </c>
      <c r="F152" s="124" t="n">
        <v>0</v>
      </c>
      <c r="G152" s="124" t="n">
        <v>0</v>
      </c>
      <c r="I152" s="124" t="n">
        <f aca="false">IF(MONTH($A152)=MONTH($A151),IF(G152=0,I151,G152),G152)</f>
        <v>0</v>
      </c>
      <c r="J152" s="124" t="n">
        <f aca="false">IF(MONTH($A152)=MONTH($A151),SUM(I152-I151),I152)</f>
        <v>0</v>
      </c>
      <c r="K152" s="124" t="n">
        <f aca="false">IF(WEEKDAY(A152,3)&gt;4,0,(IF(A152&lt;K$2,0,IF(A152&lt;=K$3,1,0))))</f>
        <v>0</v>
      </c>
      <c r="L152" s="124" t="n">
        <f aca="false">J152*K152</f>
        <v>0</v>
      </c>
      <c r="M152" s="124" t="n">
        <f aca="false">SUM(J$97:J152)</f>
        <v>0</v>
      </c>
      <c r="N152" s="124" t="n">
        <f aca="false">SUM(J$6:J152)</f>
        <v>0</v>
      </c>
      <c r="P152" s="124" t="n">
        <f aca="false">D152/P$3</f>
        <v>0</v>
      </c>
      <c r="Q152" s="124" t="n">
        <f aca="false">E152/P$3</f>
        <v>0</v>
      </c>
      <c r="R152" s="124" t="n">
        <f aca="false">F152/R$3</f>
        <v>0</v>
      </c>
      <c r="S152" s="126" t="n">
        <f aca="false">J152/$R$3</f>
        <v>0</v>
      </c>
      <c r="T152" s="126" t="n">
        <f aca="false">L152/$R$3</f>
        <v>0</v>
      </c>
      <c r="U152" s="126" t="n">
        <f aca="false">I152/$R$3</f>
        <v>0</v>
      </c>
      <c r="V152" s="126" t="n">
        <f aca="false">M152/$R$3</f>
        <v>0</v>
      </c>
      <c r="W152" s="126" t="n">
        <f aca="false">N152/$R$3</f>
        <v>0</v>
      </c>
    </row>
    <row r="153" customFormat="false" ht="12.75" hidden="true" customHeight="false" outlineLevel="0" collapsed="false">
      <c r="A153" s="120" t="n">
        <f aca="false">A152+1</f>
        <v>37039</v>
      </c>
      <c r="B153" s="131" t="str">
        <f aca="false">INDEX('Master Data'!$A$2:$B$8,MATCH(WEEKDAY('Plant Manager'!A153,3),'Master Data'!$A$2:$A$8,0),2)</f>
        <v>M</v>
      </c>
      <c r="D153" s="124" t="n">
        <v>0</v>
      </c>
      <c r="E153" s="124" t="n">
        <v>0</v>
      </c>
      <c r="F153" s="124" t="n">
        <v>0</v>
      </c>
      <c r="G153" s="124" t="n">
        <v>0</v>
      </c>
      <c r="I153" s="124" t="n">
        <f aca="false">IF(MONTH($A153)=MONTH($A152),IF(G153=0,I152,G153),G153)</f>
        <v>0</v>
      </c>
      <c r="J153" s="124" t="n">
        <f aca="false">IF(MONTH($A153)=MONTH($A152),SUM(I153-I152),I153)</f>
        <v>0</v>
      </c>
      <c r="K153" s="124" t="n">
        <f aca="false">IF(WEEKDAY(A153,3)&gt;4,0,(IF(A153&lt;K$2,0,IF(A153&lt;=K$3,1,0))))</f>
        <v>0</v>
      </c>
      <c r="L153" s="124" t="n">
        <f aca="false">J153*K153</f>
        <v>0</v>
      </c>
      <c r="M153" s="124" t="n">
        <f aca="false">SUM(J$97:J153)</f>
        <v>0</v>
      </c>
      <c r="N153" s="124" t="n">
        <f aca="false">SUM(J$6:J153)</f>
        <v>0</v>
      </c>
      <c r="P153" s="124" t="n">
        <f aca="false">D153/P$3</f>
        <v>0</v>
      </c>
      <c r="Q153" s="124" t="n">
        <f aca="false">E153/P$3</f>
        <v>0</v>
      </c>
      <c r="R153" s="124" t="n">
        <f aca="false">F153/R$3</f>
        <v>0</v>
      </c>
      <c r="S153" s="126" t="n">
        <f aca="false">J153/$R$3</f>
        <v>0</v>
      </c>
      <c r="T153" s="126" t="n">
        <f aca="false">L153/$R$3</f>
        <v>0</v>
      </c>
      <c r="U153" s="126" t="n">
        <f aca="false">I153/$R$3</f>
        <v>0</v>
      </c>
      <c r="V153" s="126" t="n">
        <f aca="false">M153/$R$3</f>
        <v>0</v>
      </c>
      <c r="W153" s="126" t="n">
        <f aca="false">N153/$R$3</f>
        <v>0</v>
      </c>
    </row>
    <row r="154" customFormat="false" ht="12.75" hidden="true" customHeight="false" outlineLevel="0" collapsed="false">
      <c r="A154" s="120" t="n">
        <f aca="false">A153+1</f>
        <v>37040</v>
      </c>
      <c r="B154" s="131" t="str">
        <f aca="false">INDEX('Master Data'!$A$2:$B$8,MATCH(WEEKDAY('Plant Manager'!A154,3),'Master Data'!$A$2:$A$8,0),2)</f>
        <v>T</v>
      </c>
      <c r="D154" s="124" t="n">
        <v>0</v>
      </c>
      <c r="E154" s="124" t="n">
        <v>0</v>
      </c>
      <c r="F154" s="124" t="n">
        <v>0</v>
      </c>
      <c r="G154" s="124" t="n">
        <v>0</v>
      </c>
      <c r="I154" s="124" t="n">
        <f aca="false">IF(MONTH($A154)=MONTH($A153),IF(G154=0,I153,G154),G154)</f>
        <v>0</v>
      </c>
      <c r="J154" s="124" t="n">
        <f aca="false">IF(MONTH($A154)=MONTH($A153),SUM(I154-I153),I154)</f>
        <v>0</v>
      </c>
      <c r="K154" s="124" t="n">
        <f aca="false">IF(WEEKDAY(A154,3)&gt;4,0,(IF(A154&lt;K$2,0,IF(A154&lt;=K$3,1,0))))</f>
        <v>0</v>
      </c>
      <c r="L154" s="124" t="n">
        <f aca="false">J154*K154</f>
        <v>0</v>
      </c>
      <c r="M154" s="124" t="n">
        <f aca="false">SUM(J$97:J154)</f>
        <v>0</v>
      </c>
      <c r="N154" s="124" t="n">
        <f aca="false">SUM(J$6:J154)</f>
        <v>0</v>
      </c>
      <c r="P154" s="124" t="n">
        <f aca="false">D154/P$3</f>
        <v>0</v>
      </c>
      <c r="Q154" s="124" t="n">
        <f aca="false">E154/P$3</f>
        <v>0</v>
      </c>
      <c r="R154" s="124" t="n">
        <f aca="false">F154/R$3</f>
        <v>0</v>
      </c>
      <c r="S154" s="126" t="n">
        <f aca="false">J154/$R$3</f>
        <v>0</v>
      </c>
      <c r="T154" s="126" t="n">
        <f aca="false">L154/$R$3</f>
        <v>0</v>
      </c>
      <c r="U154" s="126" t="n">
        <f aca="false">I154/$R$3</f>
        <v>0</v>
      </c>
      <c r="V154" s="126" t="n">
        <f aca="false">M154/$R$3</f>
        <v>0</v>
      </c>
      <c r="W154" s="126" t="n">
        <f aca="false">N154/$R$3</f>
        <v>0</v>
      </c>
    </row>
    <row r="155" customFormat="false" ht="12.75" hidden="true" customHeight="false" outlineLevel="0" collapsed="false">
      <c r="A155" s="120" t="n">
        <f aca="false">A154+1</f>
        <v>37041</v>
      </c>
      <c r="B155" s="131" t="str">
        <f aca="false">INDEX('Master Data'!$A$2:$B$8,MATCH(WEEKDAY('Plant Manager'!A155,3),'Master Data'!$A$2:$A$8,0),2)</f>
        <v>W</v>
      </c>
      <c r="D155" s="124" t="n">
        <v>0</v>
      </c>
      <c r="E155" s="124" t="n">
        <v>0</v>
      </c>
      <c r="F155" s="124" t="n">
        <v>0</v>
      </c>
      <c r="G155" s="124" t="n">
        <v>0</v>
      </c>
      <c r="I155" s="124" t="n">
        <f aca="false">IF(MONTH($A155)=MONTH($A154),IF(G155=0,I154,G155),G155)</f>
        <v>0</v>
      </c>
      <c r="J155" s="124" t="n">
        <f aca="false">IF(MONTH($A155)=MONTH($A154),SUM(I155-I154),I155)</f>
        <v>0</v>
      </c>
      <c r="K155" s="124" t="n">
        <f aca="false">IF(WEEKDAY(A155,3)&gt;4,0,(IF(A155&lt;K$2,0,IF(A155&lt;=K$3,1,0))))</f>
        <v>0</v>
      </c>
      <c r="L155" s="124" t="n">
        <f aca="false">J155*K155</f>
        <v>0</v>
      </c>
      <c r="M155" s="124" t="n">
        <f aca="false">SUM(J$97:J155)</f>
        <v>0</v>
      </c>
      <c r="N155" s="124" t="n">
        <f aca="false">SUM(J$6:J155)</f>
        <v>0</v>
      </c>
      <c r="P155" s="124" t="n">
        <f aca="false">D155/P$3</f>
        <v>0</v>
      </c>
      <c r="Q155" s="124" t="n">
        <f aca="false">E155/P$3</f>
        <v>0</v>
      </c>
      <c r="R155" s="124" t="n">
        <f aca="false">F155/R$3</f>
        <v>0</v>
      </c>
      <c r="S155" s="126" t="n">
        <f aca="false">J155/$R$3</f>
        <v>0</v>
      </c>
      <c r="T155" s="126" t="n">
        <f aca="false">L155/$R$3</f>
        <v>0</v>
      </c>
      <c r="U155" s="126" t="n">
        <f aca="false">I155/$R$3</f>
        <v>0</v>
      </c>
      <c r="V155" s="126" t="n">
        <f aca="false">M155/$R$3</f>
        <v>0</v>
      </c>
      <c r="W155" s="126" t="n">
        <f aca="false">N155/$R$3</f>
        <v>0</v>
      </c>
    </row>
    <row r="156" customFormat="false" ht="12.75" hidden="false" customHeight="false" outlineLevel="0" collapsed="false">
      <c r="A156" s="120" t="n">
        <f aca="false">A155+1</f>
        <v>37042</v>
      </c>
      <c r="B156" s="131" t="str">
        <f aca="false">INDEX('Master Data'!$A$2:$B$8,MATCH(WEEKDAY('Plant Manager'!A156,3),'Master Data'!$A$2:$A$8,0),2)</f>
        <v>Th</v>
      </c>
      <c r="D156" s="124" t="n">
        <v>0</v>
      </c>
      <c r="E156" s="124" t="n">
        <v>0</v>
      </c>
      <c r="F156" s="124" t="n">
        <v>0</v>
      </c>
      <c r="G156" s="124" t="n">
        <v>0</v>
      </c>
      <c r="I156" s="124" t="n">
        <f aca="false">IF(MONTH($A156)=MONTH($A155),IF(G156=0,I155,G156),G156)</f>
        <v>0</v>
      </c>
      <c r="J156" s="124" t="n">
        <f aca="false">IF(MONTH($A156)=MONTH($A155),SUM(I156-I155),I156)</f>
        <v>0</v>
      </c>
      <c r="K156" s="124" t="n">
        <f aca="false">IF(WEEKDAY(A156,3)&gt;4,0,(IF(A156&lt;K$2,0,IF(A156&lt;=K$3,1,0))))</f>
        <v>0</v>
      </c>
      <c r="L156" s="124" t="n">
        <f aca="false">J156*K156</f>
        <v>0</v>
      </c>
      <c r="M156" s="124" t="n">
        <f aca="false">SUM(J$97:J156)</f>
        <v>0</v>
      </c>
      <c r="N156" s="124" t="n">
        <f aca="false">SUM(J$6:J156)</f>
        <v>0</v>
      </c>
      <c r="P156" s="124" t="n">
        <f aca="false">D156/P$3</f>
        <v>0</v>
      </c>
      <c r="Q156" s="124" t="n">
        <f aca="false">E156/P$3</f>
        <v>0</v>
      </c>
      <c r="R156" s="124" t="n">
        <f aca="false">F156/R$3</f>
        <v>0</v>
      </c>
      <c r="S156" s="126" t="n">
        <f aca="false">J156/$R$3</f>
        <v>0</v>
      </c>
      <c r="T156" s="126" t="n">
        <f aca="false">L156/$R$3</f>
        <v>0</v>
      </c>
      <c r="U156" s="126" t="n">
        <f aca="false">I156/$R$3</f>
        <v>0</v>
      </c>
      <c r="V156" s="126" t="n">
        <f aca="false">M156/$R$3</f>
        <v>0</v>
      </c>
      <c r="W156" s="126" t="n">
        <f aca="false">N156/$R$3</f>
        <v>0</v>
      </c>
    </row>
    <row r="157" customFormat="false" ht="12.75" hidden="true" customHeight="false" outlineLevel="0" collapsed="false">
      <c r="A157" s="120" t="n">
        <f aca="false">A156+1</f>
        <v>37043</v>
      </c>
      <c r="B157" s="131" t="str">
        <f aca="false">INDEX('Master Data'!$A$2:$B$8,MATCH(WEEKDAY('Plant Manager'!A157,3),'Master Data'!$A$2:$A$8,0),2)</f>
        <v>F</v>
      </c>
      <c r="D157" s="124" t="n">
        <v>0</v>
      </c>
      <c r="E157" s="124" t="n">
        <v>0</v>
      </c>
      <c r="F157" s="124" t="n">
        <v>0</v>
      </c>
      <c r="G157" s="124" t="n">
        <v>0</v>
      </c>
      <c r="I157" s="124" t="n">
        <f aca="false">IF(MONTH($A157)=MONTH($A156),IF(G157=0,I156,G157),G157)</f>
        <v>0</v>
      </c>
      <c r="J157" s="124" t="n">
        <f aca="false">IF(MONTH($A157)=MONTH($A156),SUM(I157-I156),I157)</f>
        <v>0</v>
      </c>
      <c r="K157" s="124" t="n">
        <f aca="false">IF(WEEKDAY(A157,3)&gt;4,0,(IF(A157&lt;K$2,0,IF(A157&lt;=K$3,1,0))))</f>
        <v>0</v>
      </c>
      <c r="L157" s="124" t="n">
        <f aca="false">J157*K157</f>
        <v>0</v>
      </c>
      <c r="M157" s="124" t="n">
        <f aca="false">SUM(J$97:J157)</f>
        <v>0</v>
      </c>
      <c r="N157" s="124" t="n">
        <f aca="false">SUM(J$6:J157)</f>
        <v>0</v>
      </c>
      <c r="P157" s="124" t="n">
        <f aca="false">D157/P$3</f>
        <v>0</v>
      </c>
      <c r="Q157" s="124" t="n">
        <f aca="false">E157/P$3</f>
        <v>0</v>
      </c>
      <c r="R157" s="124" t="n">
        <f aca="false">F157/R$3</f>
        <v>0</v>
      </c>
      <c r="S157" s="126" t="n">
        <f aca="false">J157/$R$3</f>
        <v>0</v>
      </c>
      <c r="T157" s="126" t="n">
        <f aca="false">L157/$R$3</f>
        <v>0</v>
      </c>
      <c r="U157" s="126" t="n">
        <f aca="false">I157/$R$3</f>
        <v>0</v>
      </c>
      <c r="V157" s="126" t="n">
        <f aca="false">M157/$R$3</f>
        <v>0</v>
      </c>
      <c r="W157" s="126" t="n">
        <f aca="false">N157/$R$3</f>
        <v>0</v>
      </c>
    </row>
    <row r="158" customFormat="false" ht="12.75" hidden="true" customHeight="false" outlineLevel="0" collapsed="false">
      <c r="A158" s="120" t="n">
        <f aca="false">A157+1</f>
        <v>37044</v>
      </c>
      <c r="B158" s="131" t="str">
        <f aca="false">INDEX('Master Data'!$A$2:$B$8,MATCH(WEEKDAY('Plant Manager'!A158,3),'Master Data'!$A$2:$A$8,0),2)</f>
        <v>Sa</v>
      </c>
      <c r="D158" s="124" t="n">
        <v>0</v>
      </c>
      <c r="E158" s="124" t="n">
        <v>0</v>
      </c>
      <c r="F158" s="124" t="n">
        <v>0</v>
      </c>
      <c r="G158" s="124" t="n">
        <v>0</v>
      </c>
      <c r="I158" s="124" t="n">
        <f aca="false">IF(MONTH($A158)=MONTH($A157),IF(G158=0,I157,G158),G158)</f>
        <v>0</v>
      </c>
      <c r="J158" s="124" t="n">
        <f aca="false">IF(MONTH($A158)=MONTH($A157),SUM(I158-I157),I158)</f>
        <v>0</v>
      </c>
      <c r="K158" s="124" t="n">
        <f aca="false">IF(WEEKDAY(A158,3)&gt;4,0,(IF(A158&lt;K$2,0,IF(A158&lt;=K$3,1,0))))</f>
        <v>0</v>
      </c>
      <c r="L158" s="124" t="n">
        <f aca="false">J158*K158</f>
        <v>0</v>
      </c>
      <c r="M158" s="124" t="n">
        <f aca="false">SUM(J$97:J158)</f>
        <v>0</v>
      </c>
      <c r="N158" s="124" t="n">
        <f aca="false">SUM(J$6:J158)</f>
        <v>0</v>
      </c>
      <c r="P158" s="124" t="n">
        <f aca="false">D158/P$3</f>
        <v>0</v>
      </c>
      <c r="Q158" s="124" t="n">
        <f aca="false">E158/P$3</f>
        <v>0</v>
      </c>
      <c r="R158" s="124" t="n">
        <f aca="false">F158/R$3</f>
        <v>0</v>
      </c>
      <c r="S158" s="126" t="n">
        <f aca="false">J158/$R$3</f>
        <v>0</v>
      </c>
      <c r="T158" s="126" t="n">
        <f aca="false">L158/$R$3</f>
        <v>0</v>
      </c>
      <c r="U158" s="126" t="n">
        <f aca="false">I158/$R$3</f>
        <v>0</v>
      </c>
      <c r="V158" s="126" t="n">
        <f aca="false">M158/$R$3</f>
        <v>0</v>
      </c>
      <c r="W158" s="126" t="n">
        <f aca="false">N158/$R$3</f>
        <v>0</v>
      </c>
    </row>
    <row r="159" customFormat="false" ht="12.75" hidden="true" customHeight="false" outlineLevel="0" collapsed="false">
      <c r="A159" s="120" t="n">
        <f aca="false">A158+1</f>
        <v>37045</v>
      </c>
      <c r="B159" s="131" t="str">
        <f aca="false">INDEX('Master Data'!$A$2:$B$8,MATCH(WEEKDAY('Plant Manager'!A159,3),'Master Data'!$A$2:$A$8,0),2)</f>
        <v>Su</v>
      </c>
      <c r="D159" s="124" t="n">
        <v>0</v>
      </c>
      <c r="E159" s="124" t="n">
        <v>0</v>
      </c>
      <c r="F159" s="124" t="n">
        <v>0</v>
      </c>
      <c r="G159" s="124" t="n">
        <v>0</v>
      </c>
      <c r="I159" s="124" t="n">
        <f aca="false">IF(MONTH($A159)=MONTH($A158),IF(G159=0,I158,G159),G159)</f>
        <v>0</v>
      </c>
      <c r="J159" s="124" t="n">
        <f aca="false">IF(MONTH($A159)=MONTH($A158),SUM(I159-I158),I159)</f>
        <v>0</v>
      </c>
      <c r="K159" s="124" t="n">
        <f aca="false">IF(WEEKDAY(A159,3)&gt;4,0,(IF(A159&lt;K$2,0,IF(A159&lt;=K$3,1,0))))</f>
        <v>0</v>
      </c>
      <c r="L159" s="124" t="n">
        <f aca="false">J159*K159</f>
        <v>0</v>
      </c>
      <c r="M159" s="124" t="n">
        <f aca="false">SUM(J$97:J159)</f>
        <v>0</v>
      </c>
      <c r="N159" s="124" t="n">
        <f aca="false">SUM(J$6:J159)</f>
        <v>0</v>
      </c>
      <c r="P159" s="124" t="n">
        <f aca="false">D159/P$3</f>
        <v>0</v>
      </c>
      <c r="Q159" s="124" t="n">
        <f aca="false">E159/P$3</f>
        <v>0</v>
      </c>
      <c r="R159" s="124" t="n">
        <f aca="false">F159/R$3</f>
        <v>0</v>
      </c>
      <c r="S159" s="126" t="n">
        <f aca="false">J159/$R$3</f>
        <v>0</v>
      </c>
      <c r="T159" s="126" t="n">
        <f aca="false">L159/$R$3</f>
        <v>0</v>
      </c>
      <c r="U159" s="126" t="n">
        <f aca="false">I159/$R$3</f>
        <v>0</v>
      </c>
      <c r="V159" s="126" t="n">
        <f aca="false">M159/$R$3</f>
        <v>0</v>
      </c>
      <c r="W159" s="126" t="n">
        <f aca="false">N159/$R$3</f>
        <v>0</v>
      </c>
    </row>
    <row r="160" customFormat="false" ht="12.75" hidden="true" customHeight="false" outlineLevel="0" collapsed="false">
      <c r="A160" s="120" t="n">
        <f aca="false">A159+1</f>
        <v>37046</v>
      </c>
      <c r="B160" s="131" t="str">
        <f aca="false">INDEX('Master Data'!$A$2:$B$8,MATCH(WEEKDAY('Plant Manager'!A160,3),'Master Data'!$A$2:$A$8,0),2)</f>
        <v>M</v>
      </c>
      <c r="D160" s="124" t="n">
        <v>0</v>
      </c>
      <c r="E160" s="124" t="n">
        <v>0</v>
      </c>
      <c r="F160" s="124" t="n">
        <v>0</v>
      </c>
      <c r="G160" s="124" t="n">
        <v>0</v>
      </c>
      <c r="I160" s="124" t="n">
        <f aca="false">IF(MONTH($A160)=MONTH($A159),IF(G160=0,I159,G160),G160)</f>
        <v>0</v>
      </c>
      <c r="J160" s="124" t="n">
        <f aca="false">IF(MONTH($A160)=MONTH($A159),SUM(I160-I159),I160)</f>
        <v>0</v>
      </c>
      <c r="K160" s="124" t="n">
        <f aca="false">IF(WEEKDAY(A160,3)&gt;4,0,(IF(A160&lt;K$2,0,IF(A160&lt;=K$3,1,0))))</f>
        <v>0</v>
      </c>
      <c r="L160" s="124" t="n">
        <f aca="false">J160*K160</f>
        <v>0</v>
      </c>
      <c r="M160" s="124" t="n">
        <f aca="false">SUM(J$97:J160)</f>
        <v>0</v>
      </c>
      <c r="N160" s="124" t="n">
        <f aca="false">SUM(J$6:J160)</f>
        <v>0</v>
      </c>
      <c r="P160" s="124" t="n">
        <f aca="false">D160/P$3</f>
        <v>0</v>
      </c>
      <c r="Q160" s="124" t="n">
        <f aca="false">E160/P$3</f>
        <v>0</v>
      </c>
      <c r="R160" s="124" t="n">
        <f aca="false">F160/R$3</f>
        <v>0</v>
      </c>
      <c r="S160" s="126" t="n">
        <f aca="false">J160/$R$3</f>
        <v>0</v>
      </c>
      <c r="T160" s="126" t="n">
        <f aca="false">L160/$R$3</f>
        <v>0</v>
      </c>
      <c r="U160" s="126" t="n">
        <f aca="false">I160/$R$3</f>
        <v>0</v>
      </c>
      <c r="V160" s="126" t="n">
        <f aca="false">M160/$R$3</f>
        <v>0</v>
      </c>
      <c r="W160" s="126" t="n">
        <f aca="false">N160/$R$3</f>
        <v>0</v>
      </c>
    </row>
    <row r="161" customFormat="false" ht="12.75" hidden="true" customHeight="false" outlineLevel="0" collapsed="false">
      <c r="A161" s="120" t="n">
        <f aca="false">A160+1</f>
        <v>37047</v>
      </c>
      <c r="B161" s="131" t="str">
        <f aca="false">INDEX('Master Data'!$A$2:$B$8,MATCH(WEEKDAY('Plant Manager'!A161,3),'Master Data'!$A$2:$A$8,0),2)</f>
        <v>T</v>
      </c>
      <c r="D161" s="124" t="n">
        <v>0</v>
      </c>
      <c r="E161" s="124" t="n">
        <v>0</v>
      </c>
      <c r="F161" s="124" t="n">
        <v>0</v>
      </c>
      <c r="G161" s="124" t="n">
        <v>0</v>
      </c>
      <c r="I161" s="124" t="n">
        <f aca="false">IF(MONTH($A161)=MONTH($A160),IF(G161=0,I160,G161),G161)</f>
        <v>0</v>
      </c>
      <c r="J161" s="124" t="n">
        <f aca="false">IF(MONTH($A161)=MONTH($A160),SUM(I161-I160),I161)</f>
        <v>0</v>
      </c>
      <c r="K161" s="124" t="n">
        <f aca="false">IF(WEEKDAY(A161,3)&gt;4,0,(IF(A161&lt;K$2,0,IF(A161&lt;=K$3,1,0))))</f>
        <v>0</v>
      </c>
      <c r="L161" s="124" t="n">
        <f aca="false">J161*K161</f>
        <v>0</v>
      </c>
      <c r="M161" s="124" t="n">
        <f aca="false">SUM(J$97:J161)</f>
        <v>0</v>
      </c>
      <c r="N161" s="124" t="n">
        <f aca="false">SUM(J$6:J161)</f>
        <v>0</v>
      </c>
      <c r="P161" s="124" t="n">
        <f aca="false">D161/P$3</f>
        <v>0</v>
      </c>
      <c r="Q161" s="124" t="n">
        <f aca="false">E161/P$3</f>
        <v>0</v>
      </c>
      <c r="R161" s="124" t="n">
        <f aca="false">F161/R$3</f>
        <v>0</v>
      </c>
      <c r="S161" s="126" t="n">
        <f aca="false">J161/$R$3</f>
        <v>0</v>
      </c>
      <c r="T161" s="126" t="n">
        <f aca="false">L161/$R$3</f>
        <v>0</v>
      </c>
      <c r="U161" s="126" t="n">
        <f aca="false">I161/$R$3</f>
        <v>0</v>
      </c>
      <c r="V161" s="126" t="n">
        <f aca="false">M161/$R$3</f>
        <v>0</v>
      </c>
      <c r="W161" s="126" t="n">
        <f aca="false">N161/$R$3</f>
        <v>0</v>
      </c>
    </row>
    <row r="162" customFormat="false" ht="12.75" hidden="true" customHeight="false" outlineLevel="0" collapsed="false">
      <c r="A162" s="120" t="n">
        <f aca="false">A161+1</f>
        <v>37048</v>
      </c>
      <c r="B162" s="131" t="str">
        <f aca="false">INDEX('Master Data'!$A$2:$B$8,MATCH(WEEKDAY('Plant Manager'!A162,3),'Master Data'!$A$2:$A$8,0),2)</f>
        <v>W</v>
      </c>
      <c r="D162" s="124" t="n">
        <v>0</v>
      </c>
      <c r="E162" s="124" t="n">
        <v>0</v>
      </c>
      <c r="F162" s="124" t="n">
        <v>0</v>
      </c>
      <c r="G162" s="124" t="n">
        <v>0</v>
      </c>
      <c r="I162" s="124" t="n">
        <f aca="false">IF(MONTH($A162)=MONTH($A161),IF(G162=0,I161,G162),G162)</f>
        <v>0</v>
      </c>
      <c r="J162" s="124" t="n">
        <f aca="false">IF(MONTH($A162)=MONTH($A161),SUM(I162-I161),I162)</f>
        <v>0</v>
      </c>
      <c r="K162" s="124" t="n">
        <f aca="false">IF(WEEKDAY(A162,3)&gt;4,0,(IF(A162&lt;K$2,0,IF(A162&lt;=K$3,1,0))))</f>
        <v>0</v>
      </c>
      <c r="L162" s="124" t="n">
        <f aca="false">J162*K162</f>
        <v>0</v>
      </c>
      <c r="M162" s="124" t="n">
        <f aca="false">SUM(J$97:J162)</f>
        <v>0</v>
      </c>
      <c r="N162" s="124" t="n">
        <f aca="false">SUM(J$6:J162)</f>
        <v>0</v>
      </c>
      <c r="P162" s="124" t="n">
        <f aca="false">D162/P$3</f>
        <v>0</v>
      </c>
      <c r="Q162" s="124" t="n">
        <f aca="false">E162/P$3</f>
        <v>0</v>
      </c>
      <c r="R162" s="124" t="n">
        <f aca="false">F162/R$3</f>
        <v>0</v>
      </c>
      <c r="S162" s="126" t="n">
        <f aca="false">J162/$R$3</f>
        <v>0</v>
      </c>
      <c r="T162" s="126" t="n">
        <f aca="false">L162/$R$3</f>
        <v>0</v>
      </c>
      <c r="U162" s="126" t="n">
        <f aca="false">I162/$R$3</f>
        <v>0</v>
      </c>
      <c r="V162" s="126" t="n">
        <f aca="false">M162/$R$3</f>
        <v>0</v>
      </c>
      <c r="W162" s="126" t="n">
        <f aca="false">N162/$R$3</f>
        <v>0</v>
      </c>
    </row>
    <row r="163" customFormat="false" ht="12.75" hidden="true" customHeight="false" outlineLevel="0" collapsed="false">
      <c r="A163" s="120" t="n">
        <f aca="false">A162+1</f>
        <v>37049</v>
      </c>
      <c r="B163" s="131" t="str">
        <f aca="false">INDEX('Master Data'!$A$2:$B$8,MATCH(WEEKDAY('Plant Manager'!A163,3),'Master Data'!$A$2:$A$8,0),2)</f>
        <v>Th</v>
      </c>
      <c r="D163" s="124" t="n">
        <v>0</v>
      </c>
      <c r="E163" s="124" t="n">
        <v>0</v>
      </c>
      <c r="F163" s="124" t="n">
        <v>0</v>
      </c>
      <c r="G163" s="124" t="n">
        <v>0</v>
      </c>
      <c r="I163" s="124" t="n">
        <f aca="false">IF(MONTH($A163)=MONTH($A162),IF(G163=0,I162,G163),G163)</f>
        <v>0</v>
      </c>
      <c r="J163" s="124" t="n">
        <f aca="false">IF(MONTH($A163)=MONTH($A162),SUM(I163-I162),I163)</f>
        <v>0</v>
      </c>
      <c r="K163" s="124" t="n">
        <f aca="false">IF(WEEKDAY(A163,3)&gt;4,0,(IF(A163&lt;K$2,0,IF(A163&lt;=K$3,1,0))))</f>
        <v>0</v>
      </c>
      <c r="L163" s="124" t="n">
        <f aca="false">J163*K163</f>
        <v>0</v>
      </c>
      <c r="M163" s="124" t="n">
        <f aca="false">SUM(J$97:J163)</f>
        <v>0</v>
      </c>
      <c r="N163" s="124" t="n">
        <f aca="false">SUM(J$6:J163)</f>
        <v>0</v>
      </c>
      <c r="P163" s="124" t="n">
        <f aca="false">D163/P$3</f>
        <v>0</v>
      </c>
      <c r="Q163" s="124" t="n">
        <f aca="false">E163/P$3</f>
        <v>0</v>
      </c>
      <c r="R163" s="124" t="n">
        <f aca="false">F163/R$3</f>
        <v>0</v>
      </c>
      <c r="S163" s="126" t="n">
        <f aca="false">J163/$R$3</f>
        <v>0</v>
      </c>
      <c r="T163" s="126" t="n">
        <f aca="false">L163/$R$3</f>
        <v>0</v>
      </c>
      <c r="U163" s="126" t="n">
        <f aca="false">I163/$R$3</f>
        <v>0</v>
      </c>
      <c r="V163" s="126" t="n">
        <f aca="false">M163/$R$3</f>
        <v>0</v>
      </c>
      <c r="W163" s="126" t="n">
        <f aca="false">N163/$R$3</f>
        <v>0</v>
      </c>
    </row>
    <row r="164" customFormat="false" ht="12.75" hidden="true" customHeight="false" outlineLevel="0" collapsed="false">
      <c r="A164" s="120" t="n">
        <f aca="false">A163+1</f>
        <v>37050</v>
      </c>
      <c r="B164" s="131" t="str">
        <f aca="false">INDEX('Master Data'!$A$2:$B$8,MATCH(WEEKDAY('Plant Manager'!A164,3),'Master Data'!$A$2:$A$8,0),2)</f>
        <v>F</v>
      </c>
      <c r="D164" s="124" t="n">
        <v>0</v>
      </c>
      <c r="E164" s="124" t="n">
        <v>0</v>
      </c>
      <c r="F164" s="124" t="n">
        <v>0</v>
      </c>
      <c r="G164" s="124" t="n">
        <v>0</v>
      </c>
      <c r="I164" s="124" t="n">
        <f aca="false">IF(MONTH($A164)=MONTH($A163),IF(G164=0,I163,G164),G164)</f>
        <v>0</v>
      </c>
      <c r="J164" s="124" t="n">
        <f aca="false">IF(MONTH($A164)=MONTH($A163),SUM(I164-I163),I164)</f>
        <v>0</v>
      </c>
      <c r="K164" s="124" t="n">
        <f aca="false">IF(WEEKDAY(A164,3)&gt;4,0,(IF(A164&lt;K$2,0,IF(A164&lt;=K$3,1,0))))</f>
        <v>0</v>
      </c>
      <c r="L164" s="124" t="n">
        <f aca="false">J164*K164</f>
        <v>0</v>
      </c>
      <c r="M164" s="124" t="n">
        <f aca="false">SUM(J$97:J164)</f>
        <v>0</v>
      </c>
      <c r="N164" s="124" t="n">
        <f aca="false">SUM(J$6:J164)</f>
        <v>0</v>
      </c>
      <c r="P164" s="124" t="n">
        <f aca="false">D164/P$3</f>
        <v>0</v>
      </c>
      <c r="Q164" s="124" t="n">
        <f aca="false">E164/P$3</f>
        <v>0</v>
      </c>
      <c r="R164" s="124" t="n">
        <f aca="false">F164/R$3</f>
        <v>0</v>
      </c>
      <c r="S164" s="126" t="n">
        <f aca="false">J164/$R$3</f>
        <v>0</v>
      </c>
      <c r="T164" s="126" t="n">
        <f aca="false">L164/$R$3</f>
        <v>0</v>
      </c>
      <c r="U164" s="126" t="n">
        <f aca="false">I164/$R$3</f>
        <v>0</v>
      </c>
      <c r="V164" s="126" t="n">
        <f aca="false">M164/$R$3</f>
        <v>0</v>
      </c>
      <c r="W164" s="126" t="n">
        <f aca="false">N164/$R$3</f>
        <v>0</v>
      </c>
    </row>
    <row r="165" customFormat="false" ht="12.75" hidden="true" customHeight="false" outlineLevel="0" collapsed="false">
      <c r="A165" s="120" t="n">
        <f aca="false">A164+1</f>
        <v>37051</v>
      </c>
      <c r="B165" s="131" t="str">
        <f aca="false">INDEX('Master Data'!$A$2:$B$8,MATCH(WEEKDAY('Plant Manager'!A165,3),'Master Data'!$A$2:$A$8,0),2)</f>
        <v>Sa</v>
      </c>
      <c r="D165" s="124" t="n">
        <v>0</v>
      </c>
      <c r="E165" s="124" t="n">
        <v>0</v>
      </c>
      <c r="F165" s="124" t="n">
        <v>0</v>
      </c>
      <c r="G165" s="124" t="n">
        <v>0</v>
      </c>
      <c r="I165" s="124" t="n">
        <f aca="false">IF(MONTH($A165)=MONTH($A164),IF(G165=0,I164,G165),G165)</f>
        <v>0</v>
      </c>
      <c r="J165" s="124" t="n">
        <f aca="false">IF(MONTH($A165)=MONTH($A164),SUM(I165-I164),I165)</f>
        <v>0</v>
      </c>
      <c r="K165" s="124" t="n">
        <f aca="false">IF(WEEKDAY(A165,3)&gt;4,0,(IF(A165&lt;K$2,0,IF(A165&lt;=K$3,1,0))))</f>
        <v>0</v>
      </c>
      <c r="L165" s="124" t="n">
        <f aca="false">J165*K165</f>
        <v>0</v>
      </c>
      <c r="M165" s="124" t="n">
        <f aca="false">SUM(J$97:J165)</f>
        <v>0</v>
      </c>
      <c r="N165" s="124" t="n">
        <f aca="false">SUM(J$6:J165)</f>
        <v>0</v>
      </c>
      <c r="P165" s="124" t="n">
        <f aca="false">D165/P$3</f>
        <v>0</v>
      </c>
      <c r="Q165" s="124" t="n">
        <f aca="false">E165/P$3</f>
        <v>0</v>
      </c>
      <c r="R165" s="124" t="n">
        <f aca="false">F165/R$3</f>
        <v>0</v>
      </c>
      <c r="S165" s="126" t="n">
        <f aca="false">J165/$R$3</f>
        <v>0</v>
      </c>
      <c r="T165" s="126" t="n">
        <f aca="false">L165/$R$3</f>
        <v>0</v>
      </c>
      <c r="U165" s="126" t="n">
        <f aca="false">I165/$R$3</f>
        <v>0</v>
      </c>
      <c r="V165" s="126" t="n">
        <f aca="false">M165/$R$3</f>
        <v>0</v>
      </c>
      <c r="W165" s="126" t="n">
        <f aca="false">N165/$R$3</f>
        <v>0</v>
      </c>
    </row>
    <row r="166" customFormat="false" ht="12.75" hidden="true" customHeight="false" outlineLevel="0" collapsed="false">
      <c r="A166" s="120" t="n">
        <f aca="false">A165+1</f>
        <v>37052</v>
      </c>
      <c r="B166" s="131" t="str">
        <f aca="false">INDEX('Master Data'!$A$2:$B$8,MATCH(WEEKDAY('Plant Manager'!A166,3),'Master Data'!$A$2:$A$8,0),2)</f>
        <v>Su</v>
      </c>
      <c r="D166" s="124" t="n">
        <v>0</v>
      </c>
      <c r="E166" s="124" t="n">
        <v>0</v>
      </c>
      <c r="F166" s="124" t="n">
        <v>0</v>
      </c>
      <c r="G166" s="124" t="n">
        <v>0</v>
      </c>
      <c r="I166" s="124" t="n">
        <f aca="false">IF(MONTH($A166)=MONTH($A165),IF(G166=0,I165,G166),G166)</f>
        <v>0</v>
      </c>
      <c r="J166" s="124" t="n">
        <f aca="false">IF(MONTH($A166)=MONTH($A165),SUM(I166-I165),I166)</f>
        <v>0</v>
      </c>
      <c r="K166" s="124" t="n">
        <f aca="false">IF(WEEKDAY(A166,3)&gt;4,0,(IF(A166&lt;K$2,0,IF(A166&lt;=K$3,1,0))))</f>
        <v>0</v>
      </c>
      <c r="L166" s="124" t="n">
        <f aca="false">J166*K166</f>
        <v>0</v>
      </c>
      <c r="M166" s="124" t="n">
        <f aca="false">SUM(J$97:J166)</f>
        <v>0</v>
      </c>
      <c r="N166" s="124" t="n">
        <f aca="false">SUM(J$6:J166)</f>
        <v>0</v>
      </c>
      <c r="P166" s="124" t="n">
        <f aca="false">D166/P$3</f>
        <v>0</v>
      </c>
      <c r="Q166" s="124" t="n">
        <f aca="false">E166/P$3</f>
        <v>0</v>
      </c>
      <c r="R166" s="124" t="n">
        <f aca="false">F166/R$3</f>
        <v>0</v>
      </c>
      <c r="S166" s="126" t="n">
        <f aca="false">J166/$R$3</f>
        <v>0</v>
      </c>
      <c r="T166" s="126" t="n">
        <f aca="false">L166/$R$3</f>
        <v>0</v>
      </c>
      <c r="U166" s="126" t="n">
        <f aca="false">I166/$R$3</f>
        <v>0</v>
      </c>
      <c r="V166" s="126" t="n">
        <f aca="false">M166/$R$3</f>
        <v>0</v>
      </c>
      <c r="W166" s="126" t="n">
        <f aca="false">N166/$R$3</f>
        <v>0</v>
      </c>
    </row>
    <row r="167" customFormat="false" ht="12.75" hidden="true" customHeight="false" outlineLevel="0" collapsed="false">
      <c r="A167" s="120" t="n">
        <f aca="false">A166+1</f>
        <v>37053</v>
      </c>
      <c r="B167" s="131" t="str">
        <f aca="false">INDEX('Master Data'!$A$2:$B$8,MATCH(WEEKDAY('Plant Manager'!A167,3),'Master Data'!$A$2:$A$8,0),2)</f>
        <v>M</v>
      </c>
      <c r="D167" s="124" t="n">
        <v>0</v>
      </c>
      <c r="E167" s="124" t="n">
        <v>0</v>
      </c>
      <c r="F167" s="124" t="n">
        <v>0</v>
      </c>
      <c r="G167" s="124" t="n">
        <v>0</v>
      </c>
      <c r="I167" s="124" t="n">
        <f aca="false">IF(MONTH($A167)=MONTH($A166),IF(G167=0,I166,G167),G167)</f>
        <v>0</v>
      </c>
      <c r="J167" s="124" t="n">
        <f aca="false">IF(MONTH($A167)=MONTH($A166),SUM(I167-I166),I167)</f>
        <v>0</v>
      </c>
      <c r="K167" s="124" t="n">
        <f aca="false">IF(WEEKDAY(A167,3)&gt;4,0,(IF(A167&lt;K$2,0,IF(A167&lt;=K$3,1,0))))</f>
        <v>0</v>
      </c>
      <c r="L167" s="124" t="n">
        <f aca="false">J167*K167</f>
        <v>0</v>
      </c>
      <c r="M167" s="124" t="n">
        <f aca="false">SUM(J$97:J167)</f>
        <v>0</v>
      </c>
      <c r="N167" s="124" t="n">
        <f aca="false">SUM(J$6:J167)</f>
        <v>0</v>
      </c>
      <c r="P167" s="124" t="n">
        <f aca="false">D167/P$3</f>
        <v>0</v>
      </c>
      <c r="Q167" s="124" t="n">
        <f aca="false">E167/P$3</f>
        <v>0</v>
      </c>
      <c r="R167" s="124" t="n">
        <f aca="false">F167/R$3</f>
        <v>0</v>
      </c>
      <c r="S167" s="126" t="n">
        <f aca="false">J167/$R$3</f>
        <v>0</v>
      </c>
      <c r="T167" s="126" t="n">
        <f aca="false">L167/$R$3</f>
        <v>0</v>
      </c>
      <c r="U167" s="126" t="n">
        <f aca="false">I167/$R$3</f>
        <v>0</v>
      </c>
      <c r="V167" s="126" t="n">
        <f aca="false">M167/$R$3</f>
        <v>0</v>
      </c>
      <c r="W167" s="126" t="n">
        <f aca="false">N167/$R$3</f>
        <v>0</v>
      </c>
    </row>
    <row r="168" customFormat="false" ht="12.75" hidden="true" customHeight="false" outlineLevel="0" collapsed="false">
      <c r="A168" s="120" t="n">
        <f aca="false">A167+1</f>
        <v>37054</v>
      </c>
      <c r="B168" s="131" t="str">
        <f aca="false">INDEX('Master Data'!$A$2:$B$8,MATCH(WEEKDAY('Plant Manager'!A168,3),'Master Data'!$A$2:$A$8,0),2)</f>
        <v>T</v>
      </c>
      <c r="D168" s="124" t="n">
        <v>0</v>
      </c>
      <c r="E168" s="124" t="n">
        <v>0</v>
      </c>
      <c r="F168" s="124" t="n">
        <v>0</v>
      </c>
      <c r="G168" s="124" t="n">
        <v>0</v>
      </c>
      <c r="I168" s="124" t="n">
        <f aca="false">IF(MONTH($A168)=MONTH($A167),IF(G168=0,I167,G168),G168)</f>
        <v>0</v>
      </c>
      <c r="J168" s="124" t="n">
        <f aca="false">IF(MONTH($A168)=MONTH($A167),SUM(I168-I167),I168)</f>
        <v>0</v>
      </c>
      <c r="K168" s="124" t="n">
        <f aca="false">IF(WEEKDAY(A168,3)&gt;4,0,(IF(A168&lt;K$2,0,IF(A168&lt;=K$3,1,0))))</f>
        <v>0</v>
      </c>
      <c r="L168" s="124" t="n">
        <f aca="false">J168*K168</f>
        <v>0</v>
      </c>
      <c r="M168" s="124" t="n">
        <f aca="false">SUM(J$97:J168)</f>
        <v>0</v>
      </c>
      <c r="N168" s="124" t="n">
        <f aca="false">SUM(J$6:J168)</f>
        <v>0</v>
      </c>
      <c r="P168" s="124" t="n">
        <f aca="false">D168/P$3</f>
        <v>0</v>
      </c>
      <c r="Q168" s="124" t="n">
        <f aca="false">E168/P$3</f>
        <v>0</v>
      </c>
      <c r="R168" s="124" t="n">
        <f aca="false">F168/R$3</f>
        <v>0</v>
      </c>
      <c r="S168" s="126" t="n">
        <f aca="false">J168/$R$3</f>
        <v>0</v>
      </c>
      <c r="T168" s="126" t="n">
        <f aca="false">L168/$R$3</f>
        <v>0</v>
      </c>
      <c r="U168" s="126" t="n">
        <f aca="false">I168/$R$3</f>
        <v>0</v>
      </c>
      <c r="V168" s="126" t="n">
        <f aca="false">M168/$R$3</f>
        <v>0</v>
      </c>
      <c r="W168" s="126" t="n">
        <f aca="false">N168/$R$3</f>
        <v>0</v>
      </c>
    </row>
    <row r="169" customFormat="false" ht="12.75" hidden="true" customHeight="false" outlineLevel="0" collapsed="false">
      <c r="A169" s="120" t="n">
        <f aca="false">A168+1</f>
        <v>37055</v>
      </c>
      <c r="B169" s="131" t="str">
        <f aca="false">INDEX('Master Data'!$A$2:$B$8,MATCH(WEEKDAY('Plant Manager'!A169,3),'Master Data'!$A$2:$A$8,0),2)</f>
        <v>W</v>
      </c>
      <c r="D169" s="124" t="n">
        <v>0</v>
      </c>
      <c r="E169" s="124" t="n">
        <v>0</v>
      </c>
      <c r="F169" s="124" t="n">
        <v>0</v>
      </c>
      <c r="G169" s="124" t="n">
        <v>0</v>
      </c>
      <c r="I169" s="124" t="n">
        <f aca="false">IF(MONTH($A169)=MONTH($A168),IF(G169=0,I168,G169),G169)</f>
        <v>0</v>
      </c>
      <c r="J169" s="124" t="n">
        <f aca="false">IF(MONTH($A169)=MONTH($A168),SUM(I169-I168),I169)</f>
        <v>0</v>
      </c>
      <c r="K169" s="124" t="n">
        <f aca="false">IF(WEEKDAY(A169,3)&gt;4,0,(IF(A169&lt;K$2,0,IF(A169&lt;=K$3,1,0))))</f>
        <v>0</v>
      </c>
      <c r="L169" s="124" t="n">
        <f aca="false">J169*K169</f>
        <v>0</v>
      </c>
      <c r="M169" s="124" t="n">
        <f aca="false">SUM(J$97:J169)</f>
        <v>0</v>
      </c>
      <c r="N169" s="124" t="n">
        <f aca="false">SUM(J$6:J169)</f>
        <v>0</v>
      </c>
      <c r="P169" s="124" t="n">
        <f aca="false">D169/P$3</f>
        <v>0</v>
      </c>
      <c r="Q169" s="124" t="n">
        <f aca="false">E169/P$3</f>
        <v>0</v>
      </c>
      <c r="R169" s="124" t="n">
        <f aca="false">F169/R$3</f>
        <v>0</v>
      </c>
      <c r="S169" s="126" t="n">
        <f aca="false">J169/$R$3</f>
        <v>0</v>
      </c>
      <c r="T169" s="126" t="n">
        <f aca="false">L169/$R$3</f>
        <v>0</v>
      </c>
      <c r="U169" s="126" t="n">
        <f aca="false">I169/$R$3</f>
        <v>0</v>
      </c>
      <c r="V169" s="126" t="n">
        <f aca="false">M169/$R$3</f>
        <v>0</v>
      </c>
      <c r="W169" s="126" t="n">
        <f aca="false">N169/$R$3</f>
        <v>0</v>
      </c>
    </row>
    <row r="170" customFormat="false" ht="12.75" hidden="true" customHeight="false" outlineLevel="0" collapsed="false">
      <c r="A170" s="120" t="n">
        <f aca="false">A169+1</f>
        <v>37056</v>
      </c>
      <c r="B170" s="131" t="str">
        <f aca="false">INDEX('Master Data'!$A$2:$B$8,MATCH(WEEKDAY('Plant Manager'!A170,3),'Master Data'!$A$2:$A$8,0),2)</f>
        <v>Th</v>
      </c>
      <c r="D170" s="124" t="n">
        <v>0</v>
      </c>
      <c r="E170" s="124" t="n">
        <v>0</v>
      </c>
      <c r="F170" s="124" t="n">
        <v>0</v>
      </c>
      <c r="G170" s="124" t="n">
        <v>0</v>
      </c>
      <c r="I170" s="124" t="n">
        <f aca="false">IF(MONTH($A170)=MONTH($A169),IF(G170=0,I169,G170),G170)</f>
        <v>0</v>
      </c>
      <c r="J170" s="124" t="n">
        <f aca="false">IF(MONTH($A170)=MONTH($A169),SUM(I170-I169),I170)</f>
        <v>0</v>
      </c>
      <c r="K170" s="124" t="n">
        <f aca="false">IF(WEEKDAY(A170,3)&gt;4,0,(IF(A170&lt;K$2,0,IF(A170&lt;=K$3,1,0))))</f>
        <v>0</v>
      </c>
      <c r="L170" s="124" t="n">
        <f aca="false">J170*K170</f>
        <v>0</v>
      </c>
      <c r="M170" s="124" t="n">
        <f aca="false">SUM(J$97:J170)</f>
        <v>0</v>
      </c>
      <c r="N170" s="124" t="n">
        <f aca="false">SUM(J$6:J170)</f>
        <v>0</v>
      </c>
      <c r="P170" s="124" t="n">
        <f aca="false">D170/P$3</f>
        <v>0</v>
      </c>
      <c r="Q170" s="124" t="n">
        <f aca="false">E170/P$3</f>
        <v>0</v>
      </c>
      <c r="R170" s="124" t="n">
        <f aca="false">F170/R$3</f>
        <v>0</v>
      </c>
      <c r="S170" s="126" t="n">
        <f aca="false">J170/$R$3</f>
        <v>0</v>
      </c>
      <c r="T170" s="126" t="n">
        <f aca="false">L170/$R$3</f>
        <v>0</v>
      </c>
      <c r="U170" s="126" t="n">
        <f aca="false">I170/$R$3</f>
        <v>0</v>
      </c>
      <c r="V170" s="126" t="n">
        <f aca="false">M170/$R$3</f>
        <v>0</v>
      </c>
      <c r="W170" s="126" t="n">
        <f aca="false">N170/$R$3</f>
        <v>0</v>
      </c>
    </row>
    <row r="171" customFormat="false" ht="12.75" hidden="true" customHeight="false" outlineLevel="0" collapsed="false">
      <c r="A171" s="120" t="n">
        <f aca="false">A170+1</f>
        <v>37057</v>
      </c>
      <c r="B171" s="131" t="str">
        <f aca="false">INDEX('Master Data'!$A$2:$B$8,MATCH(WEEKDAY('Plant Manager'!A171,3),'Master Data'!$A$2:$A$8,0),2)</f>
        <v>F</v>
      </c>
      <c r="D171" s="124" t="n">
        <v>0</v>
      </c>
      <c r="E171" s="124" t="n">
        <v>0</v>
      </c>
      <c r="F171" s="124" t="n">
        <v>0</v>
      </c>
      <c r="G171" s="124" t="n">
        <v>0</v>
      </c>
      <c r="I171" s="124" t="n">
        <f aca="false">IF(MONTH($A171)=MONTH($A170),IF(G171=0,I170,G171),G171)</f>
        <v>0</v>
      </c>
      <c r="J171" s="124" t="n">
        <f aca="false">IF(MONTH($A171)=MONTH($A170),SUM(I171-I170),I171)</f>
        <v>0</v>
      </c>
      <c r="K171" s="124" t="n">
        <f aca="false">IF(WEEKDAY(A171,3)&gt;4,0,(IF(A171&lt;K$2,0,IF(A171&lt;=K$3,1,0))))</f>
        <v>0</v>
      </c>
      <c r="L171" s="124" t="n">
        <f aca="false">J171*K171</f>
        <v>0</v>
      </c>
      <c r="M171" s="124" t="n">
        <f aca="false">SUM(J$97:J171)</f>
        <v>0</v>
      </c>
      <c r="N171" s="124" t="n">
        <f aca="false">SUM(J$6:J171)</f>
        <v>0</v>
      </c>
      <c r="P171" s="124" t="n">
        <f aca="false">D171/P$3</f>
        <v>0</v>
      </c>
      <c r="Q171" s="124" t="n">
        <f aca="false">E171/P$3</f>
        <v>0</v>
      </c>
      <c r="R171" s="124" t="n">
        <f aca="false">F171/R$3</f>
        <v>0</v>
      </c>
      <c r="S171" s="126" t="n">
        <f aca="false">J171/$R$3</f>
        <v>0</v>
      </c>
      <c r="T171" s="126" t="n">
        <f aca="false">L171/$R$3</f>
        <v>0</v>
      </c>
      <c r="U171" s="126" t="n">
        <f aca="false">I171/$R$3</f>
        <v>0</v>
      </c>
      <c r="V171" s="126" t="n">
        <f aca="false">M171/$R$3</f>
        <v>0</v>
      </c>
      <c r="W171" s="126" t="n">
        <f aca="false">N171/$R$3</f>
        <v>0</v>
      </c>
    </row>
    <row r="172" customFormat="false" ht="12.75" hidden="true" customHeight="false" outlineLevel="0" collapsed="false">
      <c r="A172" s="120" t="n">
        <f aca="false">A171+1</f>
        <v>37058</v>
      </c>
      <c r="B172" s="131" t="str">
        <f aca="false">INDEX('Master Data'!$A$2:$B$8,MATCH(WEEKDAY('Plant Manager'!A172,3),'Master Data'!$A$2:$A$8,0),2)</f>
        <v>Sa</v>
      </c>
      <c r="D172" s="124" t="n">
        <v>0</v>
      </c>
      <c r="E172" s="124" t="n">
        <v>0</v>
      </c>
      <c r="F172" s="124" t="n">
        <v>0</v>
      </c>
      <c r="G172" s="124" t="n">
        <v>0</v>
      </c>
      <c r="I172" s="124" t="n">
        <f aca="false">IF(MONTH($A172)=MONTH($A171),IF(G172=0,I171,G172),G172)</f>
        <v>0</v>
      </c>
      <c r="J172" s="124" t="n">
        <f aca="false">IF(MONTH($A172)=MONTH($A171),SUM(I172-I171),I172)</f>
        <v>0</v>
      </c>
      <c r="K172" s="124" t="n">
        <f aca="false">IF(WEEKDAY(A172,3)&gt;4,0,(IF(A172&lt;K$2,0,IF(A172&lt;=K$3,1,0))))</f>
        <v>0</v>
      </c>
      <c r="L172" s="124" t="n">
        <f aca="false">J172*K172</f>
        <v>0</v>
      </c>
      <c r="M172" s="124" t="n">
        <f aca="false">SUM(J$97:J172)</f>
        <v>0</v>
      </c>
      <c r="N172" s="124" t="n">
        <f aca="false">SUM(J$6:J172)</f>
        <v>0</v>
      </c>
      <c r="P172" s="124" t="n">
        <f aca="false">D172/P$3</f>
        <v>0</v>
      </c>
      <c r="Q172" s="124" t="n">
        <f aca="false">E172/P$3</f>
        <v>0</v>
      </c>
      <c r="R172" s="124" t="n">
        <f aca="false">F172/R$3</f>
        <v>0</v>
      </c>
      <c r="S172" s="126" t="n">
        <f aca="false">J172/$R$3</f>
        <v>0</v>
      </c>
      <c r="T172" s="126" t="n">
        <f aca="false">L172/$R$3</f>
        <v>0</v>
      </c>
      <c r="U172" s="126" t="n">
        <f aca="false">I172/$R$3</f>
        <v>0</v>
      </c>
      <c r="V172" s="126" t="n">
        <f aca="false">M172/$R$3</f>
        <v>0</v>
      </c>
      <c r="W172" s="126" t="n">
        <f aca="false">N172/$R$3</f>
        <v>0</v>
      </c>
    </row>
    <row r="173" customFormat="false" ht="12.75" hidden="true" customHeight="false" outlineLevel="0" collapsed="false">
      <c r="A173" s="120" t="n">
        <f aca="false">A172+1</f>
        <v>37059</v>
      </c>
      <c r="B173" s="131" t="str">
        <f aca="false">INDEX('Master Data'!$A$2:$B$8,MATCH(WEEKDAY('Plant Manager'!A173,3),'Master Data'!$A$2:$A$8,0),2)</f>
        <v>Su</v>
      </c>
      <c r="D173" s="124" t="n">
        <v>0</v>
      </c>
      <c r="E173" s="124" t="n">
        <v>0</v>
      </c>
      <c r="F173" s="124" t="n">
        <v>0</v>
      </c>
      <c r="G173" s="124" t="n">
        <v>0</v>
      </c>
      <c r="I173" s="124" t="n">
        <f aca="false">IF(MONTH($A173)=MONTH($A172),IF(G173=0,I172,G173),G173)</f>
        <v>0</v>
      </c>
      <c r="J173" s="124" t="n">
        <f aca="false">IF(MONTH($A173)=MONTH($A172),SUM(I173-I172),I173)</f>
        <v>0</v>
      </c>
      <c r="K173" s="124" t="n">
        <f aca="false">IF(WEEKDAY(A173,3)&gt;4,0,(IF(A173&lt;K$2,0,IF(A173&lt;=K$3,1,0))))</f>
        <v>0</v>
      </c>
      <c r="L173" s="124" t="n">
        <f aca="false">J173*K173</f>
        <v>0</v>
      </c>
      <c r="M173" s="124" t="n">
        <f aca="false">SUM(J$97:J173)</f>
        <v>0</v>
      </c>
      <c r="N173" s="124" t="n">
        <f aca="false">SUM(J$6:J173)</f>
        <v>0</v>
      </c>
      <c r="P173" s="124" t="n">
        <f aca="false">D173/P$3</f>
        <v>0</v>
      </c>
      <c r="Q173" s="124" t="n">
        <f aca="false">E173/P$3</f>
        <v>0</v>
      </c>
      <c r="R173" s="124" t="n">
        <f aca="false">F173/R$3</f>
        <v>0</v>
      </c>
      <c r="S173" s="126" t="n">
        <f aca="false">J173/$R$3</f>
        <v>0</v>
      </c>
      <c r="T173" s="126" t="n">
        <f aca="false">L173/$R$3</f>
        <v>0</v>
      </c>
      <c r="U173" s="126" t="n">
        <f aca="false">I173/$R$3</f>
        <v>0</v>
      </c>
      <c r="V173" s="126" t="n">
        <f aca="false">M173/$R$3</f>
        <v>0</v>
      </c>
      <c r="W173" s="126" t="n">
        <f aca="false">N173/$R$3</f>
        <v>0</v>
      </c>
    </row>
    <row r="174" customFormat="false" ht="12.75" hidden="true" customHeight="false" outlineLevel="0" collapsed="false">
      <c r="A174" s="120" t="n">
        <f aca="false">A173+1</f>
        <v>37060</v>
      </c>
      <c r="B174" s="131" t="str">
        <f aca="false">INDEX('Master Data'!$A$2:$B$8,MATCH(WEEKDAY('Plant Manager'!A174,3),'Master Data'!$A$2:$A$8,0),2)</f>
        <v>M</v>
      </c>
      <c r="D174" s="124" t="n">
        <v>0</v>
      </c>
      <c r="E174" s="124" t="n">
        <v>0</v>
      </c>
      <c r="F174" s="124" t="n">
        <v>0</v>
      </c>
      <c r="G174" s="124" t="n">
        <v>0</v>
      </c>
      <c r="I174" s="124" t="n">
        <f aca="false">IF(MONTH($A174)=MONTH($A173),IF(G174=0,I173,G174),G174)</f>
        <v>0</v>
      </c>
      <c r="J174" s="124" t="n">
        <f aca="false">IF(MONTH($A174)=MONTH($A173),SUM(I174-I173),I174)</f>
        <v>0</v>
      </c>
      <c r="K174" s="124" t="n">
        <f aca="false">IF(WEEKDAY(A174,3)&gt;4,0,(IF(A174&lt;K$2,0,IF(A174&lt;=K$3,1,0))))</f>
        <v>0</v>
      </c>
      <c r="L174" s="124" t="n">
        <f aca="false">J174*K174</f>
        <v>0</v>
      </c>
      <c r="M174" s="124" t="n">
        <f aca="false">SUM(J$97:J174)</f>
        <v>0</v>
      </c>
      <c r="N174" s="124" t="n">
        <f aca="false">SUM(J$6:J174)</f>
        <v>0</v>
      </c>
      <c r="P174" s="124" t="n">
        <f aca="false">D174/P$3</f>
        <v>0</v>
      </c>
      <c r="Q174" s="124" t="n">
        <f aca="false">E174/P$3</f>
        <v>0</v>
      </c>
      <c r="R174" s="124" t="n">
        <f aca="false">F174/R$3</f>
        <v>0</v>
      </c>
      <c r="S174" s="126" t="n">
        <f aca="false">J174/$R$3</f>
        <v>0</v>
      </c>
      <c r="T174" s="126" t="n">
        <f aca="false">L174/$R$3</f>
        <v>0</v>
      </c>
      <c r="U174" s="126" t="n">
        <f aca="false">I174/$R$3</f>
        <v>0</v>
      </c>
      <c r="V174" s="126" t="n">
        <f aca="false">M174/$R$3</f>
        <v>0</v>
      </c>
      <c r="W174" s="126" t="n">
        <f aca="false">N174/$R$3</f>
        <v>0</v>
      </c>
    </row>
    <row r="175" customFormat="false" ht="12.75" hidden="true" customHeight="false" outlineLevel="0" collapsed="false">
      <c r="A175" s="120" t="n">
        <f aca="false">A174+1</f>
        <v>37061</v>
      </c>
      <c r="B175" s="131" t="str">
        <f aca="false">INDEX('Master Data'!$A$2:$B$8,MATCH(WEEKDAY('Plant Manager'!A175,3),'Master Data'!$A$2:$A$8,0),2)</f>
        <v>T</v>
      </c>
      <c r="D175" s="124" t="n">
        <v>0</v>
      </c>
      <c r="E175" s="124" t="n">
        <v>0</v>
      </c>
      <c r="F175" s="124" t="n">
        <v>0</v>
      </c>
      <c r="G175" s="124" t="n">
        <v>0</v>
      </c>
      <c r="I175" s="124" t="n">
        <f aca="false">IF(MONTH($A175)=MONTH($A174),IF(G175=0,I174,G175),G175)</f>
        <v>0</v>
      </c>
      <c r="J175" s="124" t="n">
        <f aca="false">IF(MONTH($A175)=MONTH($A174),SUM(I175-I174),I175)</f>
        <v>0</v>
      </c>
      <c r="K175" s="124" t="n">
        <f aca="false">IF(WEEKDAY(A175,3)&gt;4,0,(IF(A175&lt;K$2,0,IF(A175&lt;=K$3,1,0))))</f>
        <v>0</v>
      </c>
      <c r="L175" s="124" t="n">
        <f aca="false">J175*K175</f>
        <v>0</v>
      </c>
      <c r="M175" s="124" t="n">
        <f aca="false">SUM(J$97:J175)</f>
        <v>0</v>
      </c>
      <c r="N175" s="124" t="n">
        <f aca="false">SUM(J$6:J175)</f>
        <v>0</v>
      </c>
      <c r="P175" s="124" t="n">
        <f aca="false">D175/P$3</f>
        <v>0</v>
      </c>
      <c r="Q175" s="124" t="n">
        <f aca="false">E175/P$3</f>
        <v>0</v>
      </c>
      <c r="R175" s="124" t="n">
        <f aca="false">F175/R$3</f>
        <v>0</v>
      </c>
      <c r="S175" s="126" t="n">
        <f aca="false">J175/$R$3</f>
        <v>0</v>
      </c>
      <c r="T175" s="126" t="n">
        <f aca="false">L175/$R$3</f>
        <v>0</v>
      </c>
      <c r="U175" s="126" t="n">
        <f aca="false">I175/$R$3</f>
        <v>0</v>
      </c>
      <c r="V175" s="126" t="n">
        <f aca="false">M175/$R$3</f>
        <v>0</v>
      </c>
      <c r="W175" s="126" t="n">
        <f aca="false">N175/$R$3</f>
        <v>0</v>
      </c>
    </row>
    <row r="176" customFormat="false" ht="12.75" hidden="true" customHeight="false" outlineLevel="0" collapsed="false">
      <c r="A176" s="120" t="n">
        <f aca="false">A175+1</f>
        <v>37062</v>
      </c>
      <c r="B176" s="131" t="str">
        <f aca="false">INDEX('Master Data'!$A$2:$B$8,MATCH(WEEKDAY('Plant Manager'!A176,3),'Master Data'!$A$2:$A$8,0),2)</f>
        <v>W</v>
      </c>
      <c r="D176" s="124" t="n">
        <v>0</v>
      </c>
      <c r="E176" s="124" t="n">
        <v>0</v>
      </c>
      <c r="F176" s="124" t="n">
        <v>0</v>
      </c>
      <c r="G176" s="124" t="n">
        <v>0</v>
      </c>
      <c r="I176" s="124" t="n">
        <f aca="false">IF(MONTH($A176)=MONTH($A175),IF(G176=0,I175,G176),G176)</f>
        <v>0</v>
      </c>
      <c r="J176" s="124" t="n">
        <f aca="false">IF(MONTH($A176)=MONTH($A175),SUM(I176-I175),I176)</f>
        <v>0</v>
      </c>
      <c r="K176" s="124" t="n">
        <f aca="false">IF(WEEKDAY(A176,3)&gt;4,0,(IF(A176&lt;K$2,0,IF(A176&lt;=K$3,1,0))))</f>
        <v>0</v>
      </c>
      <c r="L176" s="124" t="n">
        <f aca="false">J176*K176</f>
        <v>0</v>
      </c>
      <c r="M176" s="124" t="n">
        <f aca="false">SUM(J$97:J176)</f>
        <v>0</v>
      </c>
      <c r="N176" s="124" t="n">
        <f aca="false">SUM(J$6:J176)</f>
        <v>0</v>
      </c>
      <c r="P176" s="124" t="n">
        <f aca="false">D176/P$3</f>
        <v>0</v>
      </c>
      <c r="Q176" s="124" t="n">
        <f aca="false">E176/P$3</f>
        <v>0</v>
      </c>
      <c r="R176" s="124" t="n">
        <f aca="false">F176/R$3</f>
        <v>0</v>
      </c>
      <c r="S176" s="126" t="n">
        <f aca="false">J176/$R$3</f>
        <v>0</v>
      </c>
      <c r="T176" s="126" t="n">
        <f aca="false">L176/$R$3</f>
        <v>0</v>
      </c>
      <c r="U176" s="126" t="n">
        <f aca="false">I176/$R$3</f>
        <v>0</v>
      </c>
      <c r="V176" s="126" t="n">
        <f aca="false">M176/$R$3</f>
        <v>0</v>
      </c>
      <c r="W176" s="126" t="n">
        <f aca="false">N176/$R$3</f>
        <v>0</v>
      </c>
    </row>
    <row r="177" customFormat="false" ht="12.75" hidden="true" customHeight="false" outlineLevel="0" collapsed="false">
      <c r="A177" s="120" t="n">
        <f aca="false">A176+1</f>
        <v>37063</v>
      </c>
      <c r="B177" s="131" t="str">
        <f aca="false">INDEX('Master Data'!$A$2:$B$8,MATCH(WEEKDAY('Plant Manager'!A177,3),'Master Data'!$A$2:$A$8,0),2)</f>
        <v>Th</v>
      </c>
      <c r="D177" s="124" t="n">
        <v>0</v>
      </c>
      <c r="E177" s="124" t="n">
        <v>0</v>
      </c>
      <c r="F177" s="124" t="n">
        <v>0</v>
      </c>
      <c r="G177" s="124" t="n">
        <v>0</v>
      </c>
      <c r="I177" s="124" t="n">
        <f aca="false">IF(MONTH($A177)=MONTH($A176),IF(G177=0,I176,G177),G177)</f>
        <v>0</v>
      </c>
      <c r="J177" s="124" t="n">
        <f aca="false">IF(MONTH($A177)=MONTH($A176),SUM(I177-I176),I177)</f>
        <v>0</v>
      </c>
      <c r="K177" s="124" t="n">
        <f aca="false">IF(WEEKDAY(A177,3)&gt;4,0,(IF(A177&lt;K$2,0,IF(A177&lt;=K$3,1,0))))</f>
        <v>0</v>
      </c>
      <c r="L177" s="124" t="n">
        <f aca="false">J177*K177</f>
        <v>0</v>
      </c>
      <c r="M177" s="124" t="n">
        <f aca="false">SUM(J$97:J177)</f>
        <v>0</v>
      </c>
      <c r="N177" s="124" t="n">
        <f aca="false">SUM(J$6:J177)</f>
        <v>0</v>
      </c>
      <c r="P177" s="124" t="n">
        <f aca="false">D177/P$3</f>
        <v>0</v>
      </c>
      <c r="Q177" s="124" t="n">
        <f aca="false">E177/P$3</f>
        <v>0</v>
      </c>
      <c r="R177" s="124" t="n">
        <f aca="false">F177/R$3</f>
        <v>0</v>
      </c>
      <c r="S177" s="126" t="n">
        <f aca="false">J177/$R$3</f>
        <v>0</v>
      </c>
      <c r="T177" s="126" t="n">
        <f aca="false">L177/$R$3</f>
        <v>0</v>
      </c>
      <c r="U177" s="126" t="n">
        <f aca="false">I177/$R$3</f>
        <v>0</v>
      </c>
      <c r="V177" s="126" t="n">
        <f aca="false">M177/$R$3</f>
        <v>0</v>
      </c>
      <c r="W177" s="126" t="n">
        <f aca="false">N177/$R$3</f>
        <v>0</v>
      </c>
    </row>
    <row r="178" customFormat="false" ht="12.75" hidden="true" customHeight="false" outlineLevel="0" collapsed="false">
      <c r="A178" s="120" t="n">
        <f aca="false">A177+1</f>
        <v>37064</v>
      </c>
      <c r="B178" s="131" t="str">
        <f aca="false">INDEX('Master Data'!$A$2:$B$8,MATCH(WEEKDAY('Plant Manager'!A178,3),'Master Data'!$A$2:$A$8,0),2)</f>
        <v>F</v>
      </c>
      <c r="D178" s="124" t="n">
        <v>0</v>
      </c>
      <c r="E178" s="124" t="n">
        <v>0</v>
      </c>
      <c r="F178" s="124" t="n">
        <v>0</v>
      </c>
      <c r="G178" s="124" t="n">
        <v>0</v>
      </c>
      <c r="I178" s="124" t="n">
        <f aca="false">IF(MONTH($A178)=MONTH($A177),IF(G178=0,I177,G178),G178)</f>
        <v>0</v>
      </c>
      <c r="J178" s="124" t="n">
        <f aca="false">IF(MONTH($A178)=MONTH($A177),SUM(I178-I177),I178)</f>
        <v>0</v>
      </c>
      <c r="K178" s="124" t="n">
        <f aca="false">IF(WEEKDAY(A178,3)&gt;4,0,(IF(A178&lt;K$2,0,IF(A178&lt;=K$3,1,0))))</f>
        <v>0</v>
      </c>
      <c r="L178" s="124" t="n">
        <f aca="false">J178*K178</f>
        <v>0</v>
      </c>
      <c r="M178" s="124" t="n">
        <f aca="false">SUM(J$97:J178)</f>
        <v>0</v>
      </c>
      <c r="N178" s="124" t="n">
        <f aca="false">SUM(J$6:J178)</f>
        <v>0</v>
      </c>
      <c r="P178" s="124" t="n">
        <f aca="false">D178/P$3</f>
        <v>0</v>
      </c>
      <c r="Q178" s="124" t="n">
        <f aca="false">E178/P$3</f>
        <v>0</v>
      </c>
      <c r="R178" s="124" t="n">
        <f aca="false">F178/R$3</f>
        <v>0</v>
      </c>
      <c r="S178" s="126" t="n">
        <f aca="false">J178/$R$3</f>
        <v>0</v>
      </c>
      <c r="T178" s="126" t="n">
        <f aca="false">L178/$R$3</f>
        <v>0</v>
      </c>
      <c r="U178" s="126" t="n">
        <f aca="false">I178/$R$3</f>
        <v>0</v>
      </c>
      <c r="V178" s="126" t="n">
        <f aca="false">M178/$R$3</f>
        <v>0</v>
      </c>
      <c r="W178" s="126" t="n">
        <f aca="false">N178/$R$3</f>
        <v>0</v>
      </c>
    </row>
    <row r="179" customFormat="false" ht="12.75" hidden="true" customHeight="false" outlineLevel="0" collapsed="false">
      <c r="A179" s="120" t="n">
        <f aca="false">A178+1</f>
        <v>37065</v>
      </c>
      <c r="B179" s="131" t="str">
        <f aca="false">INDEX('Master Data'!$A$2:$B$8,MATCH(WEEKDAY('Plant Manager'!A179,3),'Master Data'!$A$2:$A$8,0),2)</f>
        <v>Sa</v>
      </c>
      <c r="D179" s="124" t="n">
        <v>0</v>
      </c>
      <c r="E179" s="124" t="n">
        <v>0</v>
      </c>
      <c r="F179" s="124" t="n">
        <v>0</v>
      </c>
      <c r="G179" s="124" t="n">
        <v>0</v>
      </c>
      <c r="I179" s="124" t="n">
        <f aca="false">IF(MONTH($A179)=MONTH($A178),IF(G179=0,I178,G179),G179)</f>
        <v>0</v>
      </c>
      <c r="J179" s="124" t="n">
        <f aca="false">IF(MONTH($A179)=MONTH($A178),SUM(I179-I178),I179)</f>
        <v>0</v>
      </c>
      <c r="K179" s="124" t="n">
        <f aca="false">IF(WEEKDAY(A179,3)&gt;4,0,(IF(A179&lt;K$2,0,IF(A179&lt;=K$3,1,0))))</f>
        <v>0</v>
      </c>
      <c r="L179" s="124" t="n">
        <f aca="false">J179*K179</f>
        <v>0</v>
      </c>
      <c r="M179" s="124" t="n">
        <f aca="false">SUM(J$97:J179)</f>
        <v>0</v>
      </c>
      <c r="N179" s="124" t="n">
        <f aca="false">SUM(J$6:J179)</f>
        <v>0</v>
      </c>
      <c r="P179" s="124" t="n">
        <f aca="false">D179/P$3</f>
        <v>0</v>
      </c>
      <c r="Q179" s="124" t="n">
        <f aca="false">E179/P$3</f>
        <v>0</v>
      </c>
      <c r="R179" s="124" t="n">
        <f aca="false">F179/R$3</f>
        <v>0</v>
      </c>
      <c r="S179" s="126" t="n">
        <f aca="false">J179/$R$3</f>
        <v>0</v>
      </c>
      <c r="T179" s="126" t="n">
        <f aca="false">L179/$R$3</f>
        <v>0</v>
      </c>
      <c r="U179" s="126" t="n">
        <f aca="false">I179/$R$3</f>
        <v>0</v>
      </c>
      <c r="V179" s="126" t="n">
        <f aca="false">M179/$R$3</f>
        <v>0</v>
      </c>
      <c r="W179" s="126" t="n">
        <f aca="false">N179/$R$3</f>
        <v>0</v>
      </c>
    </row>
    <row r="180" customFormat="false" ht="12.75" hidden="true" customHeight="false" outlineLevel="0" collapsed="false">
      <c r="A180" s="120" t="n">
        <f aca="false">A179+1</f>
        <v>37066</v>
      </c>
      <c r="B180" s="131" t="str">
        <f aca="false">INDEX('Master Data'!$A$2:$B$8,MATCH(WEEKDAY('Plant Manager'!A180,3),'Master Data'!$A$2:$A$8,0),2)</f>
        <v>Su</v>
      </c>
      <c r="D180" s="124" t="n">
        <v>0</v>
      </c>
      <c r="E180" s="124" t="n">
        <v>0</v>
      </c>
      <c r="F180" s="124" t="n">
        <v>0</v>
      </c>
      <c r="G180" s="124" t="n">
        <v>0</v>
      </c>
      <c r="I180" s="124" t="n">
        <f aca="false">IF(MONTH($A180)=MONTH($A179),IF(G180=0,I179,G180),G180)</f>
        <v>0</v>
      </c>
      <c r="J180" s="124" t="n">
        <f aca="false">IF(MONTH($A180)=MONTH($A179),SUM(I180-I179),I180)</f>
        <v>0</v>
      </c>
      <c r="K180" s="124" t="n">
        <f aca="false">IF(WEEKDAY(A180,3)&gt;4,0,(IF(A180&lt;K$2,0,IF(A180&lt;=K$3,1,0))))</f>
        <v>0</v>
      </c>
      <c r="L180" s="124" t="n">
        <f aca="false">J180*K180</f>
        <v>0</v>
      </c>
      <c r="M180" s="124" t="n">
        <f aca="false">SUM(J$97:J180)</f>
        <v>0</v>
      </c>
      <c r="N180" s="124" t="n">
        <f aca="false">SUM(J$6:J180)</f>
        <v>0</v>
      </c>
      <c r="P180" s="124" t="n">
        <f aca="false">D180/P$3</f>
        <v>0</v>
      </c>
      <c r="Q180" s="124" t="n">
        <f aca="false">E180/P$3</f>
        <v>0</v>
      </c>
      <c r="R180" s="124" t="n">
        <f aca="false">F180/R$3</f>
        <v>0</v>
      </c>
      <c r="S180" s="126" t="n">
        <f aca="false">J180/$R$3</f>
        <v>0</v>
      </c>
      <c r="T180" s="126" t="n">
        <f aca="false">L180/$R$3</f>
        <v>0</v>
      </c>
      <c r="U180" s="126" t="n">
        <f aca="false">I180/$R$3</f>
        <v>0</v>
      </c>
      <c r="V180" s="126" t="n">
        <f aca="false">M180/$R$3</f>
        <v>0</v>
      </c>
      <c r="W180" s="126" t="n">
        <f aca="false">N180/$R$3</f>
        <v>0</v>
      </c>
    </row>
    <row r="181" customFormat="false" ht="12.75" hidden="true" customHeight="false" outlineLevel="0" collapsed="false">
      <c r="A181" s="120" t="n">
        <f aca="false">A180+1</f>
        <v>37067</v>
      </c>
      <c r="B181" s="131" t="str">
        <f aca="false">INDEX('Master Data'!$A$2:$B$8,MATCH(WEEKDAY('Plant Manager'!A181,3),'Master Data'!$A$2:$A$8,0),2)</f>
        <v>M</v>
      </c>
      <c r="D181" s="124" t="n">
        <v>0</v>
      </c>
      <c r="E181" s="124" t="n">
        <v>0</v>
      </c>
      <c r="F181" s="124" t="n">
        <v>0</v>
      </c>
      <c r="G181" s="124" t="n">
        <v>0</v>
      </c>
      <c r="I181" s="124" t="n">
        <f aca="false">IF(MONTH($A181)=MONTH($A180),IF(G181=0,I180,G181),G181)</f>
        <v>0</v>
      </c>
      <c r="J181" s="124" t="n">
        <f aca="false">IF(MONTH($A181)=MONTH($A180),SUM(I181-I180),I181)</f>
        <v>0</v>
      </c>
      <c r="K181" s="124" t="n">
        <f aca="false">IF(WEEKDAY(A181,3)&gt;4,0,(IF(A181&lt;K$2,0,IF(A181&lt;=K$3,1,0))))</f>
        <v>0</v>
      </c>
      <c r="L181" s="124" t="n">
        <f aca="false">J181*K181</f>
        <v>0</v>
      </c>
      <c r="M181" s="124" t="n">
        <f aca="false">SUM(J$97:J181)</f>
        <v>0</v>
      </c>
      <c r="N181" s="124" t="n">
        <f aca="false">SUM(J$6:J181)</f>
        <v>0</v>
      </c>
      <c r="P181" s="124" t="n">
        <f aca="false">D181/P$3</f>
        <v>0</v>
      </c>
      <c r="Q181" s="124" t="n">
        <f aca="false">E181/P$3</f>
        <v>0</v>
      </c>
      <c r="R181" s="124" t="n">
        <f aca="false">F181/R$3</f>
        <v>0</v>
      </c>
      <c r="S181" s="126" t="n">
        <f aca="false">J181/$R$3</f>
        <v>0</v>
      </c>
      <c r="T181" s="126" t="n">
        <f aca="false">L181/$R$3</f>
        <v>0</v>
      </c>
      <c r="U181" s="126" t="n">
        <f aca="false">I181/$R$3</f>
        <v>0</v>
      </c>
      <c r="V181" s="126" t="n">
        <f aca="false">M181/$R$3</f>
        <v>0</v>
      </c>
      <c r="W181" s="126" t="n">
        <f aca="false">N181/$R$3</f>
        <v>0</v>
      </c>
    </row>
    <row r="182" customFormat="false" ht="12.75" hidden="true" customHeight="false" outlineLevel="0" collapsed="false">
      <c r="A182" s="120" t="n">
        <f aca="false">A181+1</f>
        <v>37068</v>
      </c>
      <c r="B182" s="131" t="str">
        <f aca="false">INDEX('Master Data'!$A$2:$B$8,MATCH(WEEKDAY('Plant Manager'!A182,3),'Master Data'!$A$2:$A$8,0),2)</f>
        <v>T</v>
      </c>
      <c r="D182" s="124" t="n">
        <v>0</v>
      </c>
      <c r="E182" s="124" t="n">
        <v>0</v>
      </c>
      <c r="F182" s="124" t="n">
        <v>0</v>
      </c>
      <c r="G182" s="124" t="n">
        <v>0</v>
      </c>
      <c r="I182" s="124" t="n">
        <f aca="false">IF(MONTH($A182)=MONTH($A181),IF(G182=0,I181,G182),G182)</f>
        <v>0</v>
      </c>
      <c r="J182" s="124" t="n">
        <f aca="false">IF(MONTH($A182)=MONTH($A181),SUM(I182-I181),I182)</f>
        <v>0</v>
      </c>
      <c r="K182" s="124" t="n">
        <f aca="false">IF(WEEKDAY(A182,3)&gt;4,0,(IF(A182&lt;K$2,0,IF(A182&lt;=K$3,1,0))))</f>
        <v>0</v>
      </c>
      <c r="L182" s="124" t="n">
        <f aca="false">J182*K182</f>
        <v>0</v>
      </c>
      <c r="M182" s="124" t="n">
        <f aca="false">SUM(J$97:J182)</f>
        <v>0</v>
      </c>
      <c r="N182" s="124" t="n">
        <f aca="false">SUM(J$6:J182)</f>
        <v>0</v>
      </c>
      <c r="P182" s="124" t="n">
        <f aca="false">D182/P$3</f>
        <v>0</v>
      </c>
      <c r="Q182" s="124" t="n">
        <f aca="false">E182/P$3</f>
        <v>0</v>
      </c>
      <c r="R182" s="124" t="n">
        <f aca="false">F182/R$3</f>
        <v>0</v>
      </c>
      <c r="S182" s="126" t="n">
        <f aca="false">J182/$R$3</f>
        <v>0</v>
      </c>
      <c r="T182" s="126" t="n">
        <f aca="false">L182/$R$3</f>
        <v>0</v>
      </c>
      <c r="U182" s="126" t="n">
        <f aca="false">I182/$R$3</f>
        <v>0</v>
      </c>
      <c r="V182" s="126" t="n">
        <f aca="false">M182/$R$3</f>
        <v>0</v>
      </c>
      <c r="W182" s="126" t="n">
        <f aca="false">N182/$R$3</f>
        <v>0</v>
      </c>
    </row>
    <row r="183" customFormat="false" ht="12.75" hidden="true" customHeight="false" outlineLevel="0" collapsed="false">
      <c r="A183" s="120" t="n">
        <f aca="false">A182+1</f>
        <v>37069</v>
      </c>
      <c r="B183" s="131" t="str">
        <f aca="false">INDEX('Master Data'!$A$2:$B$8,MATCH(WEEKDAY('Plant Manager'!A183,3),'Master Data'!$A$2:$A$8,0),2)</f>
        <v>W</v>
      </c>
      <c r="D183" s="124" t="n">
        <v>0</v>
      </c>
      <c r="E183" s="124" t="n">
        <v>0</v>
      </c>
      <c r="F183" s="124" t="n">
        <v>0</v>
      </c>
      <c r="G183" s="124" t="n">
        <v>0</v>
      </c>
      <c r="I183" s="124" t="n">
        <f aca="false">IF(MONTH($A183)=MONTH($A182),IF(G183=0,I182,G183),G183)</f>
        <v>0</v>
      </c>
      <c r="J183" s="124" t="n">
        <f aca="false">IF(MONTH($A183)=MONTH($A182),SUM(I183-I182),I183)</f>
        <v>0</v>
      </c>
      <c r="K183" s="124" t="n">
        <f aca="false">IF(WEEKDAY(A183,3)&gt;4,0,(IF(A183&lt;K$2,0,IF(A183&lt;=K$3,1,0))))</f>
        <v>0</v>
      </c>
      <c r="L183" s="124" t="n">
        <f aca="false">J183*K183</f>
        <v>0</v>
      </c>
      <c r="M183" s="124" t="n">
        <f aca="false">SUM(J$97:J183)</f>
        <v>0</v>
      </c>
      <c r="N183" s="124" t="n">
        <f aca="false">SUM(J$6:J183)</f>
        <v>0</v>
      </c>
      <c r="P183" s="124" t="n">
        <f aca="false">D183/P$3</f>
        <v>0</v>
      </c>
      <c r="Q183" s="124" t="n">
        <f aca="false">E183/P$3</f>
        <v>0</v>
      </c>
      <c r="R183" s="124" t="n">
        <f aca="false">F183/R$3</f>
        <v>0</v>
      </c>
      <c r="S183" s="126" t="n">
        <f aca="false">J183/$R$3</f>
        <v>0</v>
      </c>
      <c r="T183" s="126" t="n">
        <f aca="false">L183/$R$3</f>
        <v>0</v>
      </c>
      <c r="U183" s="126" t="n">
        <f aca="false">I183/$R$3</f>
        <v>0</v>
      </c>
      <c r="V183" s="126" t="n">
        <f aca="false">M183/$R$3</f>
        <v>0</v>
      </c>
      <c r="W183" s="126" t="n">
        <f aca="false">N183/$R$3</f>
        <v>0</v>
      </c>
    </row>
    <row r="184" customFormat="false" ht="12.75" hidden="true" customHeight="false" outlineLevel="0" collapsed="false">
      <c r="A184" s="120" t="n">
        <f aca="false">A183+1</f>
        <v>37070</v>
      </c>
      <c r="B184" s="131" t="str">
        <f aca="false">INDEX('Master Data'!$A$2:$B$8,MATCH(WEEKDAY('Plant Manager'!A184,3),'Master Data'!$A$2:$A$8,0),2)</f>
        <v>Th</v>
      </c>
      <c r="D184" s="124" t="n">
        <v>0</v>
      </c>
      <c r="E184" s="124" t="n">
        <v>0</v>
      </c>
      <c r="F184" s="124" t="n">
        <v>0</v>
      </c>
      <c r="G184" s="124" t="n">
        <v>0</v>
      </c>
      <c r="I184" s="124" t="n">
        <f aca="false">IF(MONTH($A184)=MONTH($A183),IF(G184=0,I183,G184),G184)</f>
        <v>0</v>
      </c>
      <c r="J184" s="124" t="n">
        <f aca="false">IF(MONTH($A184)=MONTH($A183),SUM(I184-I183),I184)</f>
        <v>0</v>
      </c>
      <c r="K184" s="124" t="n">
        <f aca="false">IF(WEEKDAY(A184,3)&gt;4,0,(IF(A184&lt;K$2,0,IF(A184&lt;=K$3,1,0))))</f>
        <v>0</v>
      </c>
      <c r="L184" s="124" t="n">
        <f aca="false">J184*K184</f>
        <v>0</v>
      </c>
      <c r="M184" s="124" t="n">
        <f aca="false">SUM(J$97:J184)</f>
        <v>0</v>
      </c>
      <c r="N184" s="124" t="n">
        <f aca="false">SUM(J$6:J184)</f>
        <v>0</v>
      </c>
      <c r="P184" s="124" t="n">
        <f aca="false">D184/P$3</f>
        <v>0</v>
      </c>
      <c r="Q184" s="124" t="n">
        <f aca="false">E184/P$3</f>
        <v>0</v>
      </c>
      <c r="R184" s="124" t="n">
        <f aca="false">F184/R$3</f>
        <v>0</v>
      </c>
      <c r="S184" s="126" t="n">
        <f aca="false">J184/$R$3</f>
        <v>0</v>
      </c>
      <c r="T184" s="126" t="n">
        <f aca="false">L184/$R$3</f>
        <v>0</v>
      </c>
      <c r="U184" s="126" t="n">
        <f aca="false">I184/$R$3</f>
        <v>0</v>
      </c>
      <c r="V184" s="126" t="n">
        <f aca="false">M184/$R$3</f>
        <v>0</v>
      </c>
      <c r="W184" s="126" t="n">
        <f aca="false">N184/$R$3</f>
        <v>0</v>
      </c>
    </row>
    <row r="185" customFormat="false" ht="12.75" hidden="true" customHeight="false" outlineLevel="0" collapsed="false">
      <c r="A185" s="120" t="n">
        <f aca="false">A184+1</f>
        <v>37071</v>
      </c>
      <c r="B185" s="131" t="str">
        <f aca="false">INDEX('Master Data'!$A$2:$B$8,MATCH(WEEKDAY('Plant Manager'!A185,3),'Master Data'!$A$2:$A$8,0),2)</f>
        <v>F</v>
      </c>
      <c r="D185" s="124" t="n">
        <v>0</v>
      </c>
      <c r="E185" s="124" t="n">
        <v>0</v>
      </c>
      <c r="F185" s="124" t="n">
        <v>0</v>
      </c>
      <c r="G185" s="124" t="n">
        <v>0</v>
      </c>
      <c r="I185" s="124" t="n">
        <f aca="false">IF(MONTH($A185)=MONTH($A184),IF(G185=0,I184,G185),G185)</f>
        <v>0</v>
      </c>
      <c r="J185" s="124" t="n">
        <f aca="false">IF(MONTH($A185)=MONTH($A184),SUM(I185-I184),I185)</f>
        <v>0</v>
      </c>
      <c r="K185" s="124" t="n">
        <f aca="false">IF(WEEKDAY(A185,3)&gt;4,0,(IF(A185&lt;K$2,0,IF(A185&lt;=K$3,1,0))))</f>
        <v>0</v>
      </c>
      <c r="L185" s="124" t="n">
        <f aca="false">J185*K185</f>
        <v>0</v>
      </c>
      <c r="M185" s="124" t="n">
        <f aca="false">SUM(J$97:J185)</f>
        <v>0</v>
      </c>
      <c r="N185" s="124" t="n">
        <f aca="false">SUM(J$6:J185)</f>
        <v>0</v>
      </c>
      <c r="P185" s="124" t="n">
        <f aca="false">D185/P$3</f>
        <v>0</v>
      </c>
      <c r="Q185" s="124" t="n">
        <f aca="false">E185/P$3</f>
        <v>0</v>
      </c>
      <c r="R185" s="124" t="n">
        <f aca="false">F185/R$3</f>
        <v>0</v>
      </c>
      <c r="S185" s="126" t="n">
        <f aca="false">J185/$R$3</f>
        <v>0</v>
      </c>
      <c r="T185" s="126" t="n">
        <f aca="false">L185/$R$3</f>
        <v>0</v>
      </c>
      <c r="U185" s="126" t="n">
        <f aca="false">I185/$R$3</f>
        <v>0</v>
      </c>
      <c r="V185" s="126" t="n">
        <f aca="false">M185/$R$3</f>
        <v>0</v>
      </c>
      <c r="W185" s="126" t="n">
        <f aca="false">N185/$R$3</f>
        <v>0</v>
      </c>
    </row>
    <row r="186" customFormat="false" ht="12.75" hidden="false" customHeight="false" outlineLevel="0" collapsed="false">
      <c r="A186" s="120" t="n">
        <f aca="false">A185+1</f>
        <v>37072</v>
      </c>
      <c r="B186" s="131" t="str">
        <f aca="false">INDEX('Master Data'!$A$2:$B$8,MATCH(WEEKDAY('Plant Manager'!A186,3),'Master Data'!$A$2:$A$8,0),2)</f>
        <v>Sa</v>
      </c>
      <c r="D186" s="124" t="n">
        <v>0</v>
      </c>
      <c r="E186" s="124" t="n">
        <v>0</v>
      </c>
      <c r="F186" s="124" t="n">
        <v>0</v>
      </c>
      <c r="G186" s="124" t="n">
        <v>0</v>
      </c>
      <c r="I186" s="124" t="n">
        <f aca="false">IF(MONTH($A186)=MONTH($A185),IF(G186=0,I185,G186),G186)</f>
        <v>0</v>
      </c>
      <c r="J186" s="124" t="n">
        <f aca="false">IF(MONTH($A186)=MONTH($A185),SUM(I186-I185),I186)</f>
        <v>0</v>
      </c>
      <c r="K186" s="124" t="n">
        <f aca="false">IF(WEEKDAY(A186,3)&gt;4,0,(IF(A186&lt;K$2,0,IF(A186&lt;=K$3,1,0))))</f>
        <v>0</v>
      </c>
      <c r="L186" s="124" t="n">
        <f aca="false">J186*K186</f>
        <v>0</v>
      </c>
      <c r="M186" s="124" t="n">
        <f aca="false">SUM(J$97:J186)</f>
        <v>0</v>
      </c>
      <c r="N186" s="124" t="n">
        <f aca="false">SUM(J$6:J186)</f>
        <v>0</v>
      </c>
      <c r="P186" s="124" t="n">
        <f aca="false">D186/P$3</f>
        <v>0</v>
      </c>
      <c r="Q186" s="124" t="n">
        <f aca="false">E186/P$3</f>
        <v>0</v>
      </c>
      <c r="R186" s="124" t="n">
        <f aca="false">F186/R$3</f>
        <v>0</v>
      </c>
      <c r="S186" s="126" t="n">
        <f aca="false">J186/$R$3</f>
        <v>0</v>
      </c>
      <c r="T186" s="126" t="n">
        <f aca="false">L186/$R$3</f>
        <v>0</v>
      </c>
      <c r="U186" s="126" t="n">
        <f aca="false">I186/$R$3</f>
        <v>0</v>
      </c>
      <c r="V186" s="126" t="n">
        <f aca="false">M186/$R$3</f>
        <v>0</v>
      </c>
      <c r="W186" s="126" t="n">
        <f aca="false">N186/$R$3</f>
        <v>0</v>
      </c>
    </row>
    <row r="187" customFormat="false" ht="12.75" hidden="true" customHeight="false" outlineLevel="0" collapsed="false">
      <c r="A187" s="120" t="n">
        <f aca="false">A186+1</f>
        <v>37073</v>
      </c>
      <c r="B187" s="131" t="str">
        <f aca="false">INDEX('Master Data'!$A$2:$B$8,MATCH(WEEKDAY('Plant Manager'!A187,3),'Master Data'!$A$2:$A$8,0),2)</f>
        <v>Su</v>
      </c>
      <c r="D187" s="124" t="n">
        <v>0</v>
      </c>
      <c r="E187" s="124" t="n">
        <v>0</v>
      </c>
      <c r="F187" s="124" t="n">
        <v>0</v>
      </c>
      <c r="G187" s="124" t="n">
        <v>0</v>
      </c>
      <c r="I187" s="124" t="n">
        <f aca="false">IF(MONTH($A187)=MONTH($A186),IF(G187=0,I186,G187),G187)</f>
        <v>0</v>
      </c>
      <c r="J187" s="124" t="n">
        <f aca="false">IF(MONTH($A187)=MONTH($A186),SUM(I187-I186),I187)</f>
        <v>0</v>
      </c>
      <c r="K187" s="124" t="n">
        <f aca="false">IF(WEEKDAY(A187,3)&gt;4,0,(IF(A187&lt;K$2,0,IF(A187&lt;=K$3,1,0))))</f>
        <v>0</v>
      </c>
      <c r="L187" s="124" t="n">
        <f aca="false">J187*K187</f>
        <v>0</v>
      </c>
      <c r="M187" s="124" t="n">
        <f aca="false">SUM(J$97:J187)</f>
        <v>0</v>
      </c>
      <c r="N187" s="124" t="n">
        <f aca="false">SUM(J$6:J187)</f>
        <v>0</v>
      </c>
      <c r="P187" s="124" t="n">
        <f aca="false">D187/P$3</f>
        <v>0</v>
      </c>
      <c r="Q187" s="124" t="n">
        <f aca="false">E187/P$3</f>
        <v>0</v>
      </c>
      <c r="R187" s="124" t="n">
        <f aca="false">F187/R$3</f>
        <v>0</v>
      </c>
      <c r="S187" s="126" t="n">
        <f aca="false">J187/$R$3</f>
        <v>0</v>
      </c>
      <c r="T187" s="126" t="n">
        <f aca="false">L187/$R$3</f>
        <v>0</v>
      </c>
      <c r="U187" s="126" t="n">
        <f aca="false">I187/$R$3</f>
        <v>0</v>
      </c>
      <c r="V187" s="126" t="n">
        <f aca="false">M187/$R$3</f>
        <v>0</v>
      </c>
      <c r="W187" s="126" t="n">
        <f aca="false">N187/$R$3</f>
        <v>0</v>
      </c>
    </row>
    <row r="188" customFormat="false" ht="12.75" hidden="true" customHeight="false" outlineLevel="0" collapsed="false">
      <c r="A188" s="120" t="n">
        <f aca="false">A187+1</f>
        <v>37074</v>
      </c>
      <c r="B188" s="131" t="str">
        <f aca="false">INDEX('Master Data'!$A$2:$B$8,MATCH(WEEKDAY('Plant Manager'!A188,3),'Master Data'!$A$2:$A$8,0),2)</f>
        <v>M</v>
      </c>
      <c r="D188" s="124" t="n">
        <v>0</v>
      </c>
      <c r="E188" s="124" t="n">
        <v>0</v>
      </c>
      <c r="F188" s="124" t="n">
        <v>0</v>
      </c>
      <c r="G188" s="124" t="n">
        <v>0</v>
      </c>
      <c r="I188" s="124" t="n">
        <f aca="false">IF(MONTH($A188)=MONTH($A187),IF(G188=0,I187,G188),G188)</f>
        <v>0</v>
      </c>
      <c r="J188" s="124" t="n">
        <f aca="false">IF(MONTH($A188)=MONTH($A187),SUM(I188-I187),I188)</f>
        <v>0</v>
      </c>
      <c r="K188" s="124" t="n">
        <f aca="false">IF(WEEKDAY(A188,3)&gt;4,0,(IF(A188&lt;K$2,0,IF(A188&lt;=K$3,1,0))))</f>
        <v>0</v>
      </c>
      <c r="L188" s="124" t="n">
        <f aca="false">J188*K188</f>
        <v>0</v>
      </c>
      <c r="M188" s="124" t="n">
        <f aca="false">SUM(J$188:J188)</f>
        <v>0</v>
      </c>
      <c r="N188" s="124" t="n">
        <f aca="false">SUM(J$6:J188)</f>
        <v>0</v>
      </c>
      <c r="P188" s="124" t="n">
        <f aca="false">D188/P$3</f>
        <v>0</v>
      </c>
      <c r="Q188" s="124" t="n">
        <f aca="false">E188/P$3</f>
        <v>0</v>
      </c>
      <c r="R188" s="124" t="n">
        <f aca="false">F188/R$3</f>
        <v>0</v>
      </c>
      <c r="S188" s="126" t="n">
        <f aca="false">J188/$R$3</f>
        <v>0</v>
      </c>
      <c r="T188" s="126" t="n">
        <f aca="false">L188/$R$3</f>
        <v>0</v>
      </c>
      <c r="U188" s="126" t="n">
        <f aca="false">I188/$R$3</f>
        <v>0</v>
      </c>
      <c r="V188" s="126" t="n">
        <f aca="false">M188/$R$3</f>
        <v>0</v>
      </c>
      <c r="W188" s="126" t="n">
        <f aca="false">N188/$R$3</f>
        <v>0</v>
      </c>
    </row>
    <row r="189" customFormat="false" ht="12.75" hidden="true" customHeight="false" outlineLevel="0" collapsed="false">
      <c r="A189" s="120" t="n">
        <f aca="false">A188+1</f>
        <v>37075</v>
      </c>
      <c r="B189" s="131" t="str">
        <f aca="false">INDEX('Master Data'!$A$2:$B$8,MATCH(WEEKDAY('Plant Manager'!A189,3),'Master Data'!$A$2:$A$8,0),2)</f>
        <v>T</v>
      </c>
      <c r="D189" s="124" t="n">
        <v>0</v>
      </c>
      <c r="E189" s="124" t="n">
        <v>0</v>
      </c>
      <c r="F189" s="124" t="n">
        <v>0</v>
      </c>
      <c r="G189" s="124" t="n">
        <v>0</v>
      </c>
      <c r="I189" s="124" t="n">
        <f aca="false">IF(MONTH($A189)=MONTH($A188),IF(G189=0,I188,G189),G189)</f>
        <v>0</v>
      </c>
      <c r="J189" s="124" t="n">
        <f aca="false">IF(MONTH($A189)=MONTH($A188),SUM(I189-I188),I189)</f>
        <v>0</v>
      </c>
      <c r="K189" s="124" t="n">
        <f aca="false">IF(WEEKDAY(A189,3)&gt;4,0,(IF(A189&lt;K$2,0,IF(A189&lt;=K$3,1,0))))</f>
        <v>0</v>
      </c>
      <c r="L189" s="124" t="n">
        <f aca="false">J189*K189</f>
        <v>0</v>
      </c>
      <c r="M189" s="124" t="n">
        <f aca="false">SUM(J$188:J189)</f>
        <v>0</v>
      </c>
      <c r="N189" s="124" t="n">
        <f aca="false">SUM(J$6:J189)</f>
        <v>0</v>
      </c>
      <c r="P189" s="124" t="n">
        <f aca="false">D189/P$3</f>
        <v>0</v>
      </c>
      <c r="Q189" s="124" t="n">
        <f aca="false">E189/P$3</f>
        <v>0</v>
      </c>
      <c r="R189" s="124" t="n">
        <f aca="false">F189/R$3</f>
        <v>0</v>
      </c>
      <c r="S189" s="126" t="n">
        <f aca="false">J189/$R$3</f>
        <v>0</v>
      </c>
      <c r="T189" s="126" t="n">
        <f aca="false">L189/$R$3</f>
        <v>0</v>
      </c>
      <c r="U189" s="126" t="n">
        <f aca="false">I189/$R$3</f>
        <v>0</v>
      </c>
      <c r="V189" s="126" t="n">
        <f aca="false">M189/$R$3</f>
        <v>0</v>
      </c>
      <c r="W189" s="126" t="n">
        <f aca="false">N189/$R$3</f>
        <v>0</v>
      </c>
    </row>
    <row r="190" customFormat="false" ht="12.75" hidden="true" customHeight="false" outlineLevel="0" collapsed="false">
      <c r="A190" s="120" t="n">
        <f aca="false">A189+1</f>
        <v>37076</v>
      </c>
      <c r="B190" s="131" t="str">
        <f aca="false">INDEX('Master Data'!$A$2:$B$8,MATCH(WEEKDAY('Plant Manager'!A190,3),'Master Data'!$A$2:$A$8,0),2)</f>
        <v>W</v>
      </c>
      <c r="D190" s="124" t="n">
        <v>0</v>
      </c>
      <c r="E190" s="124" t="n">
        <v>0</v>
      </c>
      <c r="F190" s="124" t="n">
        <v>0</v>
      </c>
      <c r="G190" s="124" t="n">
        <v>0</v>
      </c>
      <c r="I190" s="124" t="n">
        <f aca="false">IF(MONTH($A190)=MONTH($A189),IF(G190=0,I189,G190),G190)</f>
        <v>0</v>
      </c>
      <c r="J190" s="124" t="n">
        <f aca="false">IF(MONTH($A190)=MONTH($A189),SUM(I190-I189),I190)</f>
        <v>0</v>
      </c>
      <c r="K190" s="124" t="n">
        <f aca="false">IF(WEEKDAY(A190,3)&gt;4,0,(IF(A190&lt;K$2,0,IF(A190&lt;=K$3,1,0))))</f>
        <v>0</v>
      </c>
      <c r="L190" s="124" t="n">
        <f aca="false">J190*K190</f>
        <v>0</v>
      </c>
      <c r="M190" s="124" t="n">
        <f aca="false">SUM(J$188:J190)</f>
        <v>0</v>
      </c>
      <c r="N190" s="124" t="n">
        <f aca="false">SUM(J$6:J190)</f>
        <v>0</v>
      </c>
      <c r="P190" s="124" t="n">
        <f aca="false">D190/P$3</f>
        <v>0</v>
      </c>
      <c r="Q190" s="124" t="n">
        <f aca="false">E190/P$3</f>
        <v>0</v>
      </c>
      <c r="R190" s="124" t="n">
        <f aca="false">F190/R$3</f>
        <v>0</v>
      </c>
      <c r="S190" s="126" t="n">
        <f aca="false">J190/$R$3</f>
        <v>0</v>
      </c>
      <c r="T190" s="126" t="n">
        <f aca="false">L190/$R$3</f>
        <v>0</v>
      </c>
      <c r="U190" s="126" t="n">
        <f aca="false">I190/$R$3</f>
        <v>0</v>
      </c>
      <c r="V190" s="126" t="n">
        <f aca="false">M190/$R$3</f>
        <v>0</v>
      </c>
      <c r="W190" s="126" t="n">
        <f aca="false">N190/$R$3</f>
        <v>0</v>
      </c>
    </row>
    <row r="191" customFormat="false" ht="12.75" hidden="true" customHeight="false" outlineLevel="0" collapsed="false">
      <c r="A191" s="120" t="n">
        <f aca="false">A190+1</f>
        <v>37077</v>
      </c>
      <c r="B191" s="131" t="str">
        <f aca="false">INDEX('Master Data'!$A$2:$B$8,MATCH(WEEKDAY('Plant Manager'!A191,3),'Master Data'!$A$2:$A$8,0),2)</f>
        <v>Th</v>
      </c>
      <c r="D191" s="124" t="n">
        <v>0</v>
      </c>
      <c r="E191" s="124" t="n">
        <v>0</v>
      </c>
      <c r="F191" s="124" t="n">
        <v>0</v>
      </c>
      <c r="G191" s="124" t="n">
        <v>0</v>
      </c>
      <c r="I191" s="124" t="n">
        <f aca="false">IF(MONTH($A191)=MONTH($A190),IF(G191=0,I190,G191),G191)</f>
        <v>0</v>
      </c>
      <c r="J191" s="124" t="n">
        <f aca="false">IF(MONTH($A191)=MONTH($A190),SUM(I191-I190),I191)</f>
        <v>0</v>
      </c>
      <c r="K191" s="124" t="n">
        <f aca="false">IF(WEEKDAY(A191,3)&gt;4,0,(IF(A191&lt;K$2,0,IF(A191&lt;=K$3,1,0))))</f>
        <v>0</v>
      </c>
      <c r="L191" s="124" t="n">
        <f aca="false">J191*K191</f>
        <v>0</v>
      </c>
      <c r="M191" s="124" t="n">
        <f aca="false">SUM(J$188:J191)</f>
        <v>0</v>
      </c>
      <c r="N191" s="124" t="n">
        <f aca="false">SUM(J$6:J191)</f>
        <v>0</v>
      </c>
      <c r="P191" s="124" t="n">
        <f aca="false">D191/P$3</f>
        <v>0</v>
      </c>
      <c r="Q191" s="124" t="n">
        <f aca="false">E191/P$3</f>
        <v>0</v>
      </c>
      <c r="R191" s="124" t="n">
        <f aca="false">F191/R$3</f>
        <v>0</v>
      </c>
      <c r="S191" s="126" t="n">
        <f aca="false">J191/$R$3</f>
        <v>0</v>
      </c>
      <c r="T191" s="126" t="n">
        <f aca="false">L191/$R$3</f>
        <v>0</v>
      </c>
      <c r="U191" s="126" t="n">
        <f aca="false">I191/$R$3</f>
        <v>0</v>
      </c>
      <c r="V191" s="126" t="n">
        <f aca="false">M191/$R$3</f>
        <v>0</v>
      </c>
      <c r="W191" s="126" t="n">
        <f aca="false">N191/$R$3</f>
        <v>0</v>
      </c>
    </row>
    <row r="192" customFormat="false" ht="12.75" hidden="true" customHeight="false" outlineLevel="0" collapsed="false">
      <c r="A192" s="120" t="n">
        <f aca="false">A191+1</f>
        <v>37078</v>
      </c>
      <c r="B192" s="131" t="str">
        <f aca="false">INDEX('Master Data'!$A$2:$B$8,MATCH(WEEKDAY('Plant Manager'!A192,3),'Master Data'!$A$2:$A$8,0),2)</f>
        <v>F</v>
      </c>
      <c r="D192" s="124" t="n">
        <v>0</v>
      </c>
      <c r="E192" s="124" t="n">
        <v>0</v>
      </c>
      <c r="F192" s="124" t="n">
        <v>0</v>
      </c>
      <c r="G192" s="124" t="n">
        <v>0</v>
      </c>
      <c r="I192" s="124" t="n">
        <f aca="false">IF(MONTH($A192)=MONTH($A191),IF(G192=0,I191,G192),G192)</f>
        <v>0</v>
      </c>
      <c r="J192" s="124" t="n">
        <f aca="false">IF(MONTH($A192)=MONTH($A191),SUM(I192-I191),I192)</f>
        <v>0</v>
      </c>
      <c r="K192" s="124" t="n">
        <f aca="false">IF(WEEKDAY(A192,3)&gt;4,0,(IF(A192&lt;K$2,0,IF(A192&lt;=K$3,1,0))))</f>
        <v>0</v>
      </c>
      <c r="L192" s="124" t="n">
        <f aca="false">J192*K192</f>
        <v>0</v>
      </c>
      <c r="M192" s="124" t="n">
        <f aca="false">SUM(J$188:J192)</f>
        <v>0</v>
      </c>
      <c r="N192" s="124" t="n">
        <f aca="false">SUM(J$6:J192)</f>
        <v>0</v>
      </c>
      <c r="P192" s="124" t="n">
        <f aca="false">D192/P$3</f>
        <v>0</v>
      </c>
      <c r="Q192" s="124" t="n">
        <f aca="false">E192/P$3</f>
        <v>0</v>
      </c>
      <c r="R192" s="124" t="n">
        <f aca="false">F192/R$3</f>
        <v>0</v>
      </c>
      <c r="S192" s="126" t="n">
        <f aca="false">J192/$R$3</f>
        <v>0</v>
      </c>
      <c r="T192" s="126" t="n">
        <f aca="false">L192/$R$3</f>
        <v>0</v>
      </c>
      <c r="U192" s="126" t="n">
        <f aca="false">I192/$R$3</f>
        <v>0</v>
      </c>
      <c r="V192" s="126" t="n">
        <f aca="false">M192/$R$3</f>
        <v>0</v>
      </c>
      <c r="W192" s="126" t="n">
        <f aca="false">N192/$R$3</f>
        <v>0</v>
      </c>
    </row>
    <row r="193" customFormat="false" ht="12.75" hidden="true" customHeight="false" outlineLevel="0" collapsed="false">
      <c r="A193" s="120" t="n">
        <f aca="false">A192+1</f>
        <v>37079</v>
      </c>
      <c r="B193" s="131" t="str">
        <f aca="false">INDEX('Master Data'!$A$2:$B$8,MATCH(WEEKDAY('Plant Manager'!A193,3),'Master Data'!$A$2:$A$8,0),2)</f>
        <v>Sa</v>
      </c>
      <c r="D193" s="124" t="n">
        <v>0</v>
      </c>
      <c r="E193" s="124" t="n">
        <v>0</v>
      </c>
      <c r="F193" s="124" t="n">
        <v>0</v>
      </c>
      <c r="G193" s="124" t="n">
        <v>0</v>
      </c>
      <c r="I193" s="124" t="n">
        <f aca="false">IF(MONTH($A193)=MONTH($A192),IF(G193=0,I192,G193),G193)</f>
        <v>0</v>
      </c>
      <c r="J193" s="124" t="n">
        <f aca="false">IF(MONTH($A193)=MONTH($A192),SUM(I193-I192),I193)</f>
        <v>0</v>
      </c>
      <c r="K193" s="124" t="n">
        <f aca="false">IF(WEEKDAY(A193,3)&gt;4,0,(IF(A193&lt;K$2,0,IF(A193&lt;=K$3,1,0))))</f>
        <v>0</v>
      </c>
      <c r="L193" s="124" t="n">
        <f aca="false">J193*K193</f>
        <v>0</v>
      </c>
      <c r="M193" s="124" t="n">
        <f aca="false">SUM(J$188:J193)</f>
        <v>0</v>
      </c>
      <c r="N193" s="124" t="n">
        <f aca="false">SUM(J$6:J193)</f>
        <v>0</v>
      </c>
      <c r="P193" s="124" t="n">
        <f aca="false">D193/P$3</f>
        <v>0</v>
      </c>
      <c r="Q193" s="124" t="n">
        <f aca="false">E193/P$3</f>
        <v>0</v>
      </c>
      <c r="R193" s="124" t="n">
        <f aca="false">F193/R$3</f>
        <v>0</v>
      </c>
      <c r="S193" s="126" t="n">
        <f aca="false">J193/$R$3</f>
        <v>0</v>
      </c>
      <c r="T193" s="126" t="n">
        <f aca="false">L193/$R$3</f>
        <v>0</v>
      </c>
      <c r="U193" s="126" t="n">
        <f aca="false">I193/$R$3</f>
        <v>0</v>
      </c>
      <c r="V193" s="126" t="n">
        <f aca="false">M193/$R$3</f>
        <v>0</v>
      </c>
      <c r="W193" s="126" t="n">
        <f aca="false">N193/$R$3</f>
        <v>0</v>
      </c>
    </row>
    <row r="194" customFormat="false" ht="12.75" hidden="true" customHeight="false" outlineLevel="0" collapsed="false">
      <c r="A194" s="120" t="n">
        <f aca="false">A193+1</f>
        <v>37080</v>
      </c>
      <c r="B194" s="131" t="str">
        <f aca="false">INDEX('Master Data'!$A$2:$B$8,MATCH(WEEKDAY('Plant Manager'!A194,3),'Master Data'!$A$2:$A$8,0),2)</f>
        <v>Su</v>
      </c>
      <c r="D194" s="124" t="n">
        <v>0</v>
      </c>
      <c r="E194" s="124" t="n">
        <v>0</v>
      </c>
      <c r="F194" s="124" t="n">
        <v>0</v>
      </c>
      <c r="G194" s="124" t="n">
        <v>0</v>
      </c>
      <c r="I194" s="124" t="n">
        <f aca="false">IF(MONTH($A194)=MONTH($A193),IF(G194=0,I193,G194),G194)</f>
        <v>0</v>
      </c>
      <c r="J194" s="124" t="n">
        <f aca="false">IF(MONTH($A194)=MONTH($A193),SUM(I194-I193),I194)</f>
        <v>0</v>
      </c>
      <c r="K194" s="124" t="n">
        <f aca="false">IF(WEEKDAY(A194,3)&gt;4,0,(IF(A194&lt;K$2,0,IF(A194&lt;=K$3,1,0))))</f>
        <v>0</v>
      </c>
      <c r="L194" s="124" t="n">
        <f aca="false">J194*K194</f>
        <v>0</v>
      </c>
      <c r="M194" s="124" t="n">
        <f aca="false">SUM(J$188:J194)</f>
        <v>0</v>
      </c>
      <c r="N194" s="124" t="n">
        <f aca="false">SUM(J$6:J194)</f>
        <v>0</v>
      </c>
      <c r="P194" s="124" t="n">
        <f aca="false">D194/P$3</f>
        <v>0</v>
      </c>
      <c r="Q194" s="124" t="n">
        <f aca="false">E194/P$3</f>
        <v>0</v>
      </c>
      <c r="R194" s="124" t="n">
        <f aca="false">F194/R$3</f>
        <v>0</v>
      </c>
      <c r="S194" s="126" t="n">
        <f aca="false">J194/$R$3</f>
        <v>0</v>
      </c>
      <c r="T194" s="126" t="n">
        <f aca="false">L194/$R$3</f>
        <v>0</v>
      </c>
      <c r="U194" s="126" t="n">
        <f aca="false">I194/$R$3</f>
        <v>0</v>
      </c>
      <c r="V194" s="126" t="n">
        <f aca="false">M194/$R$3</f>
        <v>0</v>
      </c>
      <c r="W194" s="126" t="n">
        <f aca="false">N194/$R$3</f>
        <v>0</v>
      </c>
    </row>
    <row r="195" customFormat="false" ht="12.75" hidden="true" customHeight="false" outlineLevel="0" collapsed="false">
      <c r="A195" s="120" t="n">
        <f aca="false">A194+1</f>
        <v>37081</v>
      </c>
      <c r="B195" s="131" t="str">
        <f aca="false">INDEX('Master Data'!$A$2:$B$8,MATCH(WEEKDAY('Plant Manager'!A195,3),'Master Data'!$A$2:$A$8,0),2)</f>
        <v>M</v>
      </c>
      <c r="D195" s="124" t="n">
        <v>0</v>
      </c>
      <c r="E195" s="124" t="n">
        <v>0</v>
      </c>
      <c r="F195" s="124" t="n">
        <v>0</v>
      </c>
      <c r="G195" s="124" t="n">
        <v>0</v>
      </c>
      <c r="I195" s="124" t="n">
        <f aca="false">IF(MONTH($A195)=MONTH($A194),IF(G195=0,I194,G195),G195)</f>
        <v>0</v>
      </c>
      <c r="J195" s="124" t="n">
        <f aca="false">IF(MONTH($A195)=MONTH($A194),SUM(I195-I194),I195)</f>
        <v>0</v>
      </c>
      <c r="K195" s="124" t="n">
        <f aca="false">IF(WEEKDAY(A195,3)&gt;4,0,(IF(A195&lt;K$2,0,IF(A195&lt;=K$3,1,0))))</f>
        <v>0</v>
      </c>
      <c r="L195" s="124" t="n">
        <f aca="false">J195*K195</f>
        <v>0</v>
      </c>
      <c r="M195" s="124" t="n">
        <f aca="false">SUM(J$188:J195)</f>
        <v>0</v>
      </c>
      <c r="N195" s="124" t="n">
        <f aca="false">SUM(J$6:J195)</f>
        <v>0</v>
      </c>
      <c r="P195" s="124" t="n">
        <f aca="false">D195/P$3</f>
        <v>0</v>
      </c>
      <c r="Q195" s="124" t="n">
        <f aca="false">E195/P$3</f>
        <v>0</v>
      </c>
      <c r="R195" s="124" t="n">
        <f aca="false">F195/R$3</f>
        <v>0</v>
      </c>
      <c r="S195" s="126" t="n">
        <f aca="false">J195/$R$3</f>
        <v>0</v>
      </c>
      <c r="T195" s="126" t="n">
        <f aca="false">L195/$R$3</f>
        <v>0</v>
      </c>
      <c r="U195" s="126" t="n">
        <f aca="false">I195/$R$3</f>
        <v>0</v>
      </c>
      <c r="V195" s="126" t="n">
        <f aca="false">M195/$R$3</f>
        <v>0</v>
      </c>
      <c r="W195" s="126" t="n">
        <f aca="false">N195/$R$3</f>
        <v>0</v>
      </c>
    </row>
    <row r="196" customFormat="false" ht="12.75" hidden="true" customHeight="false" outlineLevel="0" collapsed="false">
      <c r="A196" s="120" t="n">
        <f aca="false">A195+1</f>
        <v>37082</v>
      </c>
      <c r="B196" s="131" t="str">
        <f aca="false">INDEX('Master Data'!$A$2:$B$8,MATCH(WEEKDAY('Plant Manager'!A196,3),'Master Data'!$A$2:$A$8,0),2)</f>
        <v>T</v>
      </c>
      <c r="D196" s="124" t="n">
        <v>0</v>
      </c>
      <c r="E196" s="124" t="n">
        <v>0</v>
      </c>
      <c r="F196" s="124" t="n">
        <v>0</v>
      </c>
      <c r="G196" s="124" t="n">
        <v>0</v>
      </c>
      <c r="I196" s="124" t="n">
        <f aca="false">IF(MONTH($A196)=MONTH($A195),IF(G196=0,I195,G196),G196)</f>
        <v>0</v>
      </c>
      <c r="J196" s="124" t="n">
        <f aca="false">IF(MONTH($A196)=MONTH($A195),SUM(I196-I195),I196)</f>
        <v>0</v>
      </c>
      <c r="K196" s="124" t="n">
        <f aca="false">IF(WEEKDAY(A196,3)&gt;4,0,(IF(A196&lt;K$2,0,IF(A196&lt;=K$3,1,0))))</f>
        <v>0</v>
      </c>
      <c r="L196" s="124" t="n">
        <f aca="false">J196*K196</f>
        <v>0</v>
      </c>
      <c r="M196" s="124" t="n">
        <f aca="false">SUM(J$188:J196)</f>
        <v>0</v>
      </c>
      <c r="N196" s="124" t="n">
        <f aca="false">SUM(J$6:J196)</f>
        <v>0</v>
      </c>
      <c r="P196" s="124" t="n">
        <f aca="false">D196/P$3</f>
        <v>0</v>
      </c>
      <c r="Q196" s="124" t="n">
        <f aca="false">E196/P$3</f>
        <v>0</v>
      </c>
      <c r="R196" s="124" t="n">
        <f aca="false">F196/R$3</f>
        <v>0</v>
      </c>
      <c r="S196" s="126" t="n">
        <f aca="false">J196/$R$3</f>
        <v>0</v>
      </c>
      <c r="T196" s="126" t="n">
        <f aca="false">L196/$R$3</f>
        <v>0</v>
      </c>
      <c r="U196" s="126" t="n">
        <f aca="false">I196/$R$3</f>
        <v>0</v>
      </c>
      <c r="V196" s="126" t="n">
        <f aca="false">M196/$R$3</f>
        <v>0</v>
      </c>
      <c r="W196" s="126" t="n">
        <f aca="false">N196/$R$3</f>
        <v>0</v>
      </c>
    </row>
    <row r="197" customFormat="false" ht="12.75" hidden="true" customHeight="false" outlineLevel="0" collapsed="false">
      <c r="A197" s="120" t="n">
        <f aca="false">A196+1</f>
        <v>37083</v>
      </c>
      <c r="B197" s="131" t="str">
        <f aca="false">INDEX('Master Data'!$A$2:$B$8,MATCH(WEEKDAY('Plant Manager'!A197,3),'Master Data'!$A$2:$A$8,0),2)</f>
        <v>W</v>
      </c>
      <c r="D197" s="124" t="n">
        <v>0</v>
      </c>
      <c r="E197" s="124" t="n">
        <v>0</v>
      </c>
      <c r="F197" s="124" t="n">
        <v>0</v>
      </c>
      <c r="G197" s="124" t="n">
        <v>0</v>
      </c>
      <c r="I197" s="124" t="n">
        <f aca="false">IF(MONTH($A197)=MONTH($A196),IF(G197=0,I196,G197),G197)</f>
        <v>0</v>
      </c>
      <c r="J197" s="124" t="n">
        <f aca="false">IF(MONTH($A197)=MONTH($A196),SUM(I197-I196),I197)</f>
        <v>0</v>
      </c>
      <c r="K197" s="124" t="n">
        <f aca="false">IF(WEEKDAY(A197,3)&gt;4,0,(IF(A197&lt;K$2,0,IF(A197&lt;=K$3,1,0))))</f>
        <v>0</v>
      </c>
      <c r="L197" s="124" t="n">
        <f aca="false">J197*K197</f>
        <v>0</v>
      </c>
      <c r="M197" s="124" t="n">
        <f aca="false">SUM(J$188:J197)</f>
        <v>0</v>
      </c>
      <c r="N197" s="124" t="n">
        <f aca="false">SUM(J$6:J197)</f>
        <v>0</v>
      </c>
      <c r="P197" s="124" t="n">
        <f aca="false">D197/P$3</f>
        <v>0</v>
      </c>
      <c r="Q197" s="124" t="n">
        <f aca="false">E197/P$3</f>
        <v>0</v>
      </c>
      <c r="R197" s="124" t="n">
        <f aca="false">F197/R$3</f>
        <v>0</v>
      </c>
      <c r="S197" s="126" t="n">
        <f aca="false">J197/$R$3</f>
        <v>0</v>
      </c>
      <c r="T197" s="126" t="n">
        <f aca="false">L197/$R$3</f>
        <v>0</v>
      </c>
      <c r="U197" s="126" t="n">
        <f aca="false">I197/$R$3</f>
        <v>0</v>
      </c>
      <c r="V197" s="126" t="n">
        <f aca="false">M197/$R$3</f>
        <v>0</v>
      </c>
      <c r="W197" s="126" t="n">
        <f aca="false">N197/$R$3</f>
        <v>0</v>
      </c>
    </row>
    <row r="198" customFormat="false" ht="12.75" hidden="true" customHeight="false" outlineLevel="0" collapsed="false">
      <c r="A198" s="120" t="n">
        <f aca="false">A197+1</f>
        <v>37084</v>
      </c>
      <c r="B198" s="131" t="str">
        <f aca="false">INDEX('Master Data'!$A$2:$B$8,MATCH(WEEKDAY('Plant Manager'!A198,3),'Master Data'!$A$2:$A$8,0),2)</f>
        <v>Th</v>
      </c>
      <c r="D198" s="124" t="n">
        <v>0</v>
      </c>
      <c r="E198" s="124" t="n">
        <v>0</v>
      </c>
      <c r="F198" s="124" t="n">
        <v>0</v>
      </c>
      <c r="G198" s="124" t="n">
        <v>0</v>
      </c>
      <c r="I198" s="124" t="n">
        <f aca="false">IF(MONTH($A198)=MONTH($A197),IF(G198=0,I197,G198),G198)</f>
        <v>0</v>
      </c>
      <c r="J198" s="124" t="n">
        <f aca="false">IF(MONTH($A198)=MONTH($A197),SUM(I198-I197),I198)</f>
        <v>0</v>
      </c>
      <c r="K198" s="124" t="n">
        <f aca="false">IF(WEEKDAY(A198,3)&gt;4,0,(IF(A198&lt;K$2,0,IF(A198&lt;=K$3,1,0))))</f>
        <v>0</v>
      </c>
      <c r="L198" s="124" t="n">
        <f aca="false">J198*K198</f>
        <v>0</v>
      </c>
      <c r="M198" s="124" t="n">
        <f aca="false">SUM(J$188:J198)</f>
        <v>0</v>
      </c>
      <c r="N198" s="124" t="n">
        <f aca="false">SUM(J$6:J198)</f>
        <v>0</v>
      </c>
      <c r="P198" s="124" t="n">
        <f aca="false">D198/P$3</f>
        <v>0</v>
      </c>
      <c r="Q198" s="124" t="n">
        <f aca="false">E198/P$3</f>
        <v>0</v>
      </c>
      <c r="R198" s="124" t="n">
        <f aca="false">F198/R$3</f>
        <v>0</v>
      </c>
      <c r="S198" s="126" t="n">
        <f aca="false">J198/$R$3</f>
        <v>0</v>
      </c>
      <c r="T198" s="126" t="n">
        <f aca="false">L198/$R$3</f>
        <v>0</v>
      </c>
      <c r="U198" s="126" t="n">
        <f aca="false">I198/$R$3</f>
        <v>0</v>
      </c>
      <c r="V198" s="126" t="n">
        <f aca="false">M198/$R$3</f>
        <v>0</v>
      </c>
      <c r="W198" s="126" t="n">
        <f aca="false">N198/$R$3</f>
        <v>0</v>
      </c>
    </row>
    <row r="199" customFormat="false" ht="12.75" hidden="true" customHeight="false" outlineLevel="0" collapsed="false">
      <c r="A199" s="120" t="n">
        <f aca="false">A198+1</f>
        <v>37085</v>
      </c>
      <c r="B199" s="131" t="str">
        <f aca="false">INDEX('Master Data'!$A$2:$B$8,MATCH(WEEKDAY('Plant Manager'!A199,3),'Master Data'!$A$2:$A$8,0),2)</f>
        <v>F</v>
      </c>
      <c r="D199" s="124" t="n">
        <v>0</v>
      </c>
      <c r="E199" s="124" t="n">
        <v>0</v>
      </c>
      <c r="F199" s="124" t="n">
        <v>0</v>
      </c>
      <c r="G199" s="124" t="n">
        <v>0</v>
      </c>
      <c r="I199" s="124" t="n">
        <f aca="false">IF(MONTH($A199)=MONTH($A198),IF(G199=0,I198,G199),G199)</f>
        <v>0</v>
      </c>
      <c r="J199" s="124" t="n">
        <f aca="false">IF(MONTH($A199)=MONTH($A198),SUM(I199-I198),I199)</f>
        <v>0</v>
      </c>
      <c r="K199" s="124" t="n">
        <f aca="false">IF(WEEKDAY(A199,3)&gt;4,0,(IF(A199&lt;K$2,0,IF(A199&lt;=K$3,1,0))))</f>
        <v>0</v>
      </c>
      <c r="L199" s="124" t="n">
        <f aca="false">J199*K199</f>
        <v>0</v>
      </c>
      <c r="M199" s="124" t="n">
        <f aca="false">SUM(J$188:J199)</f>
        <v>0</v>
      </c>
      <c r="N199" s="124" t="n">
        <f aca="false">SUM(J$6:J199)</f>
        <v>0</v>
      </c>
      <c r="P199" s="124" t="n">
        <f aca="false">D199/P$3</f>
        <v>0</v>
      </c>
      <c r="Q199" s="124" t="n">
        <f aca="false">E199/P$3</f>
        <v>0</v>
      </c>
      <c r="R199" s="124" t="n">
        <f aca="false">F199/R$3</f>
        <v>0</v>
      </c>
      <c r="S199" s="126" t="n">
        <f aca="false">J199/$R$3</f>
        <v>0</v>
      </c>
      <c r="T199" s="126" t="n">
        <f aca="false">L199/$R$3</f>
        <v>0</v>
      </c>
      <c r="U199" s="126" t="n">
        <f aca="false">I199/$R$3</f>
        <v>0</v>
      </c>
      <c r="V199" s="126" t="n">
        <f aca="false">M199/$R$3</f>
        <v>0</v>
      </c>
      <c r="W199" s="126" t="n">
        <f aca="false">N199/$R$3</f>
        <v>0</v>
      </c>
    </row>
    <row r="200" customFormat="false" ht="12.75" hidden="true" customHeight="false" outlineLevel="0" collapsed="false">
      <c r="A200" s="120" t="n">
        <f aca="false">A199+1</f>
        <v>37086</v>
      </c>
      <c r="B200" s="131" t="str">
        <f aca="false">INDEX('Master Data'!$A$2:$B$8,MATCH(WEEKDAY('Plant Manager'!A200,3),'Master Data'!$A$2:$A$8,0),2)</f>
        <v>Sa</v>
      </c>
      <c r="D200" s="124" t="n">
        <v>0</v>
      </c>
      <c r="E200" s="124" t="n">
        <v>0</v>
      </c>
      <c r="F200" s="124" t="n">
        <v>0</v>
      </c>
      <c r="G200" s="124" t="n">
        <v>0</v>
      </c>
      <c r="I200" s="124" t="n">
        <f aca="false">IF(MONTH($A200)=MONTH($A199),IF(G200=0,I199,G200),G200)</f>
        <v>0</v>
      </c>
      <c r="J200" s="124" t="n">
        <f aca="false">IF(MONTH($A200)=MONTH($A199),SUM(I200-I199),I200)</f>
        <v>0</v>
      </c>
      <c r="K200" s="124" t="n">
        <f aca="false">IF(WEEKDAY(A200,3)&gt;4,0,(IF(A200&lt;K$2,0,IF(A200&lt;=K$3,1,0))))</f>
        <v>0</v>
      </c>
      <c r="L200" s="124" t="n">
        <f aca="false">J200*K200</f>
        <v>0</v>
      </c>
      <c r="M200" s="124" t="n">
        <f aca="false">SUM(J$188:J200)</f>
        <v>0</v>
      </c>
      <c r="N200" s="124" t="n">
        <f aca="false">SUM(J$6:J200)</f>
        <v>0</v>
      </c>
      <c r="P200" s="124" t="n">
        <f aca="false">D200/P$3</f>
        <v>0</v>
      </c>
      <c r="Q200" s="124" t="n">
        <f aca="false">E200/P$3</f>
        <v>0</v>
      </c>
      <c r="R200" s="124" t="n">
        <f aca="false">F200/R$3</f>
        <v>0</v>
      </c>
      <c r="S200" s="126" t="n">
        <f aca="false">J200/$R$3</f>
        <v>0</v>
      </c>
      <c r="T200" s="126" t="n">
        <f aca="false">L200/$R$3</f>
        <v>0</v>
      </c>
      <c r="U200" s="126" t="n">
        <f aca="false">I200/$R$3</f>
        <v>0</v>
      </c>
      <c r="V200" s="126" t="n">
        <f aca="false">M200/$R$3</f>
        <v>0</v>
      </c>
      <c r="W200" s="126" t="n">
        <f aca="false">N200/$R$3</f>
        <v>0</v>
      </c>
    </row>
    <row r="201" customFormat="false" ht="12.75" hidden="true" customHeight="false" outlineLevel="0" collapsed="false">
      <c r="A201" s="120" t="n">
        <f aca="false">A200+1</f>
        <v>37087</v>
      </c>
      <c r="B201" s="131" t="str">
        <f aca="false">INDEX('Master Data'!$A$2:$B$8,MATCH(WEEKDAY('Plant Manager'!A201,3),'Master Data'!$A$2:$A$8,0),2)</f>
        <v>Su</v>
      </c>
      <c r="D201" s="124" t="n">
        <v>0</v>
      </c>
      <c r="E201" s="124" t="n">
        <v>0</v>
      </c>
      <c r="F201" s="124" t="n">
        <v>0</v>
      </c>
      <c r="G201" s="124" t="n">
        <v>0</v>
      </c>
      <c r="I201" s="124" t="n">
        <f aca="false">IF(MONTH($A201)=MONTH($A200),IF(G201=0,I200,G201),G201)</f>
        <v>0</v>
      </c>
      <c r="J201" s="124" t="n">
        <f aca="false">IF(MONTH($A201)=MONTH($A200),SUM(I201-I200),I201)</f>
        <v>0</v>
      </c>
      <c r="K201" s="124" t="n">
        <f aca="false">IF(WEEKDAY(A201,3)&gt;4,0,(IF(A201&lt;K$2,0,IF(A201&lt;=K$3,1,0))))</f>
        <v>0</v>
      </c>
      <c r="L201" s="124" t="n">
        <f aca="false">J201*K201</f>
        <v>0</v>
      </c>
      <c r="M201" s="124" t="n">
        <f aca="false">SUM(J$188:J201)</f>
        <v>0</v>
      </c>
      <c r="N201" s="124" t="n">
        <f aca="false">SUM(J$6:J201)</f>
        <v>0</v>
      </c>
      <c r="P201" s="124" t="n">
        <f aca="false">D201/P$3</f>
        <v>0</v>
      </c>
      <c r="Q201" s="124" t="n">
        <f aca="false">E201/P$3</f>
        <v>0</v>
      </c>
      <c r="R201" s="124" t="n">
        <f aca="false">F201/R$3</f>
        <v>0</v>
      </c>
      <c r="S201" s="126" t="n">
        <f aca="false">J201/$R$3</f>
        <v>0</v>
      </c>
      <c r="T201" s="126" t="n">
        <f aca="false">L201/$R$3</f>
        <v>0</v>
      </c>
      <c r="U201" s="126" t="n">
        <f aca="false">I201/$R$3</f>
        <v>0</v>
      </c>
      <c r="V201" s="126" t="n">
        <f aca="false">M201/$R$3</f>
        <v>0</v>
      </c>
      <c r="W201" s="126" t="n">
        <f aca="false">N201/$R$3</f>
        <v>0</v>
      </c>
    </row>
    <row r="202" customFormat="false" ht="12.75" hidden="true" customHeight="false" outlineLevel="0" collapsed="false">
      <c r="A202" s="120" t="n">
        <f aca="false">A201+1</f>
        <v>37088</v>
      </c>
      <c r="B202" s="131" t="str">
        <f aca="false">INDEX('Master Data'!$A$2:$B$8,MATCH(WEEKDAY('Plant Manager'!A202,3),'Master Data'!$A$2:$A$8,0),2)</f>
        <v>M</v>
      </c>
      <c r="D202" s="124" t="n">
        <v>0</v>
      </c>
      <c r="E202" s="124" t="n">
        <v>0</v>
      </c>
      <c r="F202" s="124" t="n">
        <v>0</v>
      </c>
      <c r="G202" s="124" t="n">
        <v>0</v>
      </c>
      <c r="I202" s="124" t="n">
        <f aca="false">IF(MONTH($A202)=MONTH($A201),IF(G202=0,I201,G202),G202)</f>
        <v>0</v>
      </c>
      <c r="J202" s="124" t="n">
        <f aca="false">IF(MONTH($A202)=MONTH($A201),SUM(I202-I201),I202)</f>
        <v>0</v>
      </c>
      <c r="K202" s="124" t="n">
        <f aca="false">IF(WEEKDAY(A202,3)&gt;4,0,(IF(A202&lt;K$2,0,IF(A202&lt;=K$3,1,0))))</f>
        <v>0</v>
      </c>
      <c r="L202" s="124" t="n">
        <f aca="false">J202*K202</f>
        <v>0</v>
      </c>
      <c r="M202" s="124" t="n">
        <f aca="false">SUM(J$188:J202)</f>
        <v>0</v>
      </c>
      <c r="N202" s="124" t="n">
        <f aca="false">SUM(J$6:J202)</f>
        <v>0</v>
      </c>
      <c r="P202" s="124" t="n">
        <f aca="false">D202/P$3</f>
        <v>0</v>
      </c>
      <c r="Q202" s="124" t="n">
        <f aca="false">E202/P$3</f>
        <v>0</v>
      </c>
      <c r="R202" s="124" t="n">
        <f aca="false">F202/R$3</f>
        <v>0</v>
      </c>
      <c r="S202" s="126" t="n">
        <f aca="false">J202/$R$3</f>
        <v>0</v>
      </c>
      <c r="T202" s="126" t="n">
        <f aca="false">L202/$R$3</f>
        <v>0</v>
      </c>
      <c r="U202" s="126" t="n">
        <f aca="false">I202/$R$3</f>
        <v>0</v>
      </c>
      <c r="V202" s="126" t="n">
        <f aca="false">M202/$R$3</f>
        <v>0</v>
      </c>
      <c r="W202" s="126" t="n">
        <f aca="false">N202/$R$3</f>
        <v>0</v>
      </c>
    </row>
    <row r="203" customFormat="false" ht="12.75" hidden="true" customHeight="false" outlineLevel="0" collapsed="false">
      <c r="A203" s="120" t="n">
        <f aca="false">A202+1</f>
        <v>37089</v>
      </c>
      <c r="B203" s="131" t="str">
        <f aca="false">INDEX('Master Data'!$A$2:$B$8,MATCH(WEEKDAY('Plant Manager'!A203,3),'Master Data'!$A$2:$A$8,0),2)</f>
        <v>T</v>
      </c>
      <c r="D203" s="124" t="n">
        <v>0</v>
      </c>
      <c r="E203" s="124" t="n">
        <v>0</v>
      </c>
      <c r="F203" s="124" t="n">
        <v>0</v>
      </c>
      <c r="G203" s="124" t="n">
        <v>0</v>
      </c>
      <c r="I203" s="124" t="n">
        <f aca="false">IF(MONTH($A203)=MONTH($A202),IF(G203=0,I202,G203),G203)</f>
        <v>0</v>
      </c>
      <c r="J203" s="124" t="n">
        <f aca="false">IF(MONTH($A203)=MONTH($A202),SUM(I203-I202),I203)</f>
        <v>0</v>
      </c>
      <c r="K203" s="124" t="n">
        <f aca="false">IF(WEEKDAY(A203,3)&gt;4,0,(IF(A203&lt;K$2,0,IF(A203&lt;=K$3,1,0))))</f>
        <v>0</v>
      </c>
      <c r="L203" s="124" t="n">
        <f aca="false">J203*K203</f>
        <v>0</v>
      </c>
      <c r="M203" s="124" t="n">
        <f aca="false">SUM(J$188:J203)</f>
        <v>0</v>
      </c>
      <c r="N203" s="124" t="n">
        <f aca="false">SUM(J$6:J203)</f>
        <v>0</v>
      </c>
      <c r="P203" s="124" t="n">
        <f aca="false">D203/P$3</f>
        <v>0</v>
      </c>
      <c r="Q203" s="124" t="n">
        <f aca="false">E203/P$3</f>
        <v>0</v>
      </c>
      <c r="R203" s="124" t="n">
        <f aca="false">F203/R$3</f>
        <v>0</v>
      </c>
      <c r="S203" s="126" t="n">
        <f aca="false">J203/$R$3</f>
        <v>0</v>
      </c>
      <c r="T203" s="126" t="n">
        <f aca="false">L203/$R$3</f>
        <v>0</v>
      </c>
      <c r="U203" s="126" t="n">
        <f aca="false">I203/$R$3</f>
        <v>0</v>
      </c>
      <c r="V203" s="126" t="n">
        <f aca="false">M203/$R$3</f>
        <v>0</v>
      </c>
      <c r="W203" s="126" t="n">
        <f aca="false">N203/$R$3</f>
        <v>0</v>
      </c>
    </row>
    <row r="204" customFormat="false" ht="12.75" hidden="true" customHeight="false" outlineLevel="0" collapsed="false">
      <c r="A204" s="120" t="n">
        <f aca="false">A203+1</f>
        <v>37090</v>
      </c>
      <c r="B204" s="131" t="str">
        <f aca="false">INDEX('Master Data'!$A$2:$B$8,MATCH(WEEKDAY('Plant Manager'!A204,3),'Master Data'!$A$2:$A$8,0),2)</f>
        <v>W</v>
      </c>
      <c r="D204" s="124" t="n">
        <v>0</v>
      </c>
      <c r="E204" s="124" t="n">
        <v>0</v>
      </c>
      <c r="F204" s="124" t="n">
        <v>0</v>
      </c>
      <c r="G204" s="124" t="n">
        <v>0</v>
      </c>
      <c r="I204" s="124" t="n">
        <f aca="false">IF(MONTH($A204)=MONTH($A203),IF(G204=0,I203,G204),G204)</f>
        <v>0</v>
      </c>
      <c r="J204" s="124" t="n">
        <f aca="false">IF(MONTH($A204)=MONTH($A203),SUM(I204-I203),I204)</f>
        <v>0</v>
      </c>
      <c r="K204" s="124" t="n">
        <f aca="false">IF(WEEKDAY(A204,3)&gt;4,0,(IF(A204&lt;K$2,0,IF(A204&lt;=K$3,1,0))))</f>
        <v>0</v>
      </c>
      <c r="L204" s="124" t="n">
        <f aca="false">J204*K204</f>
        <v>0</v>
      </c>
      <c r="M204" s="124" t="n">
        <f aca="false">SUM(J$188:J204)</f>
        <v>0</v>
      </c>
      <c r="N204" s="124" t="n">
        <f aca="false">SUM(J$6:J204)</f>
        <v>0</v>
      </c>
      <c r="P204" s="124" t="n">
        <f aca="false">D204/P$3</f>
        <v>0</v>
      </c>
      <c r="Q204" s="124" t="n">
        <f aca="false">E204/P$3</f>
        <v>0</v>
      </c>
      <c r="R204" s="124" t="n">
        <f aca="false">F204/R$3</f>
        <v>0</v>
      </c>
      <c r="S204" s="126" t="n">
        <f aca="false">J204/$R$3</f>
        <v>0</v>
      </c>
      <c r="T204" s="126" t="n">
        <f aca="false">L204/$R$3</f>
        <v>0</v>
      </c>
      <c r="U204" s="126" t="n">
        <f aca="false">I204/$R$3</f>
        <v>0</v>
      </c>
      <c r="V204" s="126" t="n">
        <f aca="false">M204/$R$3</f>
        <v>0</v>
      </c>
      <c r="W204" s="126" t="n">
        <f aca="false">N204/$R$3</f>
        <v>0</v>
      </c>
    </row>
    <row r="205" customFormat="false" ht="12.75" hidden="true" customHeight="false" outlineLevel="0" collapsed="false">
      <c r="A205" s="120" t="n">
        <f aca="false">A204+1</f>
        <v>37091</v>
      </c>
      <c r="B205" s="131" t="str">
        <f aca="false">INDEX('Master Data'!$A$2:$B$8,MATCH(WEEKDAY('Plant Manager'!A205,3),'Master Data'!$A$2:$A$8,0),2)</f>
        <v>Th</v>
      </c>
      <c r="D205" s="124" t="n">
        <v>0</v>
      </c>
      <c r="E205" s="124" t="n">
        <v>0</v>
      </c>
      <c r="F205" s="124" t="n">
        <v>0</v>
      </c>
      <c r="G205" s="124" t="n">
        <v>0</v>
      </c>
      <c r="I205" s="124" t="n">
        <f aca="false">IF(MONTH($A205)=MONTH($A204),IF(G205=0,I204,G205),G205)</f>
        <v>0</v>
      </c>
      <c r="J205" s="124" t="n">
        <f aca="false">IF(MONTH($A205)=MONTH($A204),SUM(I205-I204),I205)</f>
        <v>0</v>
      </c>
      <c r="K205" s="124" t="n">
        <f aca="false">IF(WEEKDAY(A205,3)&gt;4,0,(IF(A205&lt;K$2,0,IF(A205&lt;=K$3,1,0))))</f>
        <v>0</v>
      </c>
      <c r="L205" s="124" t="n">
        <f aca="false">J205*K205</f>
        <v>0</v>
      </c>
      <c r="M205" s="124" t="n">
        <f aca="false">SUM(J$188:J205)</f>
        <v>0</v>
      </c>
      <c r="N205" s="124" t="n">
        <f aca="false">SUM(J$6:J205)</f>
        <v>0</v>
      </c>
      <c r="P205" s="124" t="n">
        <f aca="false">D205/P$3</f>
        <v>0</v>
      </c>
      <c r="Q205" s="124" t="n">
        <f aca="false">E205/P$3</f>
        <v>0</v>
      </c>
      <c r="R205" s="124" t="n">
        <f aca="false">F205/R$3</f>
        <v>0</v>
      </c>
      <c r="S205" s="126" t="n">
        <f aca="false">J205/$R$3</f>
        <v>0</v>
      </c>
      <c r="T205" s="126" t="n">
        <f aca="false">L205/$R$3</f>
        <v>0</v>
      </c>
      <c r="U205" s="126" t="n">
        <f aca="false">I205/$R$3</f>
        <v>0</v>
      </c>
      <c r="V205" s="126" t="n">
        <f aca="false">M205/$R$3</f>
        <v>0</v>
      </c>
      <c r="W205" s="126" t="n">
        <f aca="false">N205/$R$3</f>
        <v>0</v>
      </c>
    </row>
    <row r="206" customFormat="false" ht="12.75" hidden="true" customHeight="false" outlineLevel="0" collapsed="false">
      <c r="A206" s="120" t="n">
        <f aca="false">A205+1</f>
        <v>37092</v>
      </c>
      <c r="B206" s="131" t="str">
        <f aca="false">INDEX('Master Data'!$A$2:$B$8,MATCH(WEEKDAY('Plant Manager'!A206,3),'Master Data'!$A$2:$A$8,0),2)</f>
        <v>F</v>
      </c>
      <c r="D206" s="124" t="n">
        <v>0</v>
      </c>
      <c r="E206" s="124" t="n">
        <v>0</v>
      </c>
      <c r="F206" s="124" t="n">
        <v>0</v>
      </c>
      <c r="G206" s="124" t="n">
        <v>0</v>
      </c>
      <c r="I206" s="124" t="n">
        <f aca="false">IF(MONTH($A206)=MONTH($A205),IF(G206=0,I205,G206),G206)</f>
        <v>0</v>
      </c>
      <c r="J206" s="124" t="n">
        <f aca="false">IF(MONTH($A206)=MONTH($A205),SUM(I206-I205),I206)</f>
        <v>0</v>
      </c>
      <c r="K206" s="124" t="n">
        <f aca="false">IF(WEEKDAY(A206,3)&gt;4,0,(IF(A206&lt;K$2,0,IF(A206&lt;=K$3,1,0))))</f>
        <v>0</v>
      </c>
      <c r="L206" s="124" t="n">
        <f aca="false">J206*K206</f>
        <v>0</v>
      </c>
      <c r="M206" s="124" t="n">
        <f aca="false">SUM(J$188:J206)</f>
        <v>0</v>
      </c>
      <c r="N206" s="124" t="n">
        <f aca="false">SUM(J$6:J206)</f>
        <v>0</v>
      </c>
      <c r="P206" s="124" t="n">
        <f aca="false">D206/P$3</f>
        <v>0</v>
      </c>
      <c r="Q206" s="124" t="n">
        <f aca="false">E206/P$3</f>
        <v>0</v>
      </c>
      <c r="R206" s="124" t="n">
        <f aca="false">F206/R$3</f>
        <v>0</v>
      </c>
      <c r="S206" s="126" t="n">
        <f aca="false">J206/$R$3</f>
        <v>0</v>
      </c>
      <c r="T206" s="126" t="n">
        <f aca="false">L206/$R$3</f>
        <v>0</v>
      </c>
      <c r="U206" s="126" t="n">
        <f aca="false">I206/$R$3</f>
        <v>0</v>
      </c>
      <c r="V206" s="126" t="n">
        <f aca="false">M206/$R$3</f>
        <v>0</v>
      </c>
      <c r="W206" s="126" t="n">
        <f aca="false">N206/$R$3</f>
        <v>0</v>
      </c>
    </row>
    <row r="207" customFormat="false" ht="12.75" hidden="true" customHeight="false" outlineLevel="0" collapsed="false">
      <c r="A207" s="120" t="n">
        <f aca="false">A206+1</f>
        <v>37093</v>
      </c>
      <c r="B207" s="131" t="str">
        <f aca="false">INDEX('Master Data'!$A$2:$B$8,MATCH(WEEKDAY('Plant Manager'!A207,3),'Master Data'!$A$2:$A$8,0),2)</f>
        <v>Sa</v>
      </c>
      <c r="D207" s="124" t="n">
        <v>0</v>
      </c>
      <c r="E207" s="124" t="n">
        <v>0</v>
      </c>
      <c r="F207" s="124" t="n">
        <v>0</v>
      </c>
      <c r="G207" s="124" t="n">
        <v>0</v>
      </c>
      <c r="I207" s="124" t="n">
        <f aca="false">IF(MONTH($A207)=MONTH($A206),IF(G207=0,I206,G207),G207)</f>
        <v>0</v>
      </c>
      <c r="J207" s="124" t="n">
        <f aca="false">IF(MONTH($A207)=MONTH($A206),SUM(I207-I206),I207)</f>
        <v>0</v>
      </c>
      <c r="K207" s="124" t="n">
        <f aca="false">IF(WEEKDAY(A207,3)&gt;4,0,(IF(A207&lt;K$2,0,IF(A207&lt;=K$3,1,0))))</f>
        <v>0</v>
      </c>
      <c r="L207" s="124" t="n">
        <f aca="false">J207*K207</f>
        <v>0</v>
      </c>
      <c r="M207" s="124" t="n">
        <f aca="false">SUM(J$188:J207)</f>
        <v>0</v>
      </c>
      <c r="N207" s="124" t="n">
        <f aca="false">SUM(J$6:J207)</f>
        <v>0</v>
      </c>
      <c r="P207" s="124" t="n">
        <f aca="false">D207/P$3</f>
        <v>0</v>
      </c>
      <c r="Q207" s="124" t="n">
        <f aca="false">E207/P$3</f>
        <v>0</v>
      </c>
      <c r="R207" s="124" t="n">
        <f aca="false">F207/R$3</f>
        <v>0</v>
      </c>
      <c r="S207" s="126" t="n">
        <f aca="false">J207/$R$3</f>
        <v>0</v>
      </c>
      <c r="T207" s="126" t="n">
        <f aca="false">L207/$R$3</f>
        <v>0</v>
      </c>
      <c r="U207" s="126" t="n">
        <f aca="false">I207/$R$3</f>
        <v>0</v>
      </c>
      <c r="V207" s="126" t="n">
        <f aca="false">M207/$R$3</f>
        <v>0</v>
      </c>
      <c r="W207" s="126" t="n">
        <f aca="false">N207/$R$3</f>
        <v>0</v>
      </c>
    </row>
    <row r="208" customFormat="false" ht="12.75" hidden="true" customHeight="false" outlineLevel="0" collapsed="false">
      <c r="A208" s="120" t="n">
        <f aca="false">A207+1</f>
        <v>37094</v>
      </c>
      <c r="B208" s="131" t="str">
        <f aca="false">INDEX('Master Data'!$A$2:$B$8,MATCH(WEEKDAY('Plant Manager'!A208,3),'Master Data'!$A$2:$A$8,0),2)</f>
        <v>Su</v>
      </c>
      <c r="D208" s="124" t="n">
        <v>0</v>
      </c>
      <c r="E208" s="124" t="n">
        <v>0</v>
      </c>
      <c r="F208" s="124" t="n">
        <v>0</v>
      </c>
      <c r="G208" s="124" t="n">
        <v>0</v>
      </c>
      <c r="I208" s="124" t="n">
        <f aca="false">IF(MONTH($A208)=MONTH($A207),IF(G208=0,I207,G208),G208)</f>
        <v>0</v>
      </c>
      <c r="J208" s="124" t="n">
        <f aca="false">IF(MONTH($A208)=MONTH($A207),SUM(I208-I207),I208)</f>
        <v>0</v>
      </c>
      <c r="K208" s="124" t="n">
        <f aca="false">IF(WEEKDAY(A208,3)&gt;4,0,(IF(A208&lt;K$2,0,IF(A208&lt;=K$3,1,0))))</f>
        <v>0</v>
      </c>
      <c r="L208" s="124" t="n">
        <f aca="false">J208*K208</f>
        <v>0</v>
      </c>
      <c r="M208" s="124" t="n">
        <f aca="false">SUM(J$188:J208)</f>
        <v>0</v>
      </c>
      <c r="N208" s="124" t="n">
        <f aca="false">SUM(J$6:J208)</f>
        <v>0</v>
      </c>
      <c r="P208" s="124" t="n">
        <f aca="false">D208/P$3</f>
        <v>0</v>
      </c>
      <c r="Q208" s="124" t="n">
        <f aca="false">E208/P$3</f>
        <v>0</v>
      </c>
      <c r="R208" s="124" t="n">
        <f aca="false">F208/R$3</f>
        <v>0</v>
      </c>
      <c r="S208" s="126" t="n">
        <f aca="false">J208/$R$3</f>
        <v>0</v>
      </c>
      <c r="T208" s="126" t="n">
        <f aca="false">L208/$R$3</f>
        <v>0</v>
      </c>
      <c r="U208" s="126" t="n">
        <f aca="false">I208/$R$3</f>
        <v>0</v>
      </c>
      <c r="V208" s="126" t="n">
        <f aca="false">M208/$R$3</f>
        <v>0</v>
      </c>
      <c r="W208" s="126" t="n">
        <f aca="false">N208/$R$3</f>
        <v>0</v>
      </c>
    </row>
    <row r="209" customFormat="false" ht="12.75" hidden="true" customHeight="false" outlineLevel="0" collapsed="false">
      <c r="A209" s="120" t="n">
        <f aca="false">A208+1</f>
        <v>37095</v>
      </c>
      <c r="B209" s="131" t="str">
        <f aca="false">INDEX('Master Data'!$A$2:$B$8,MATCH(WEEKDAY('Plant Manager'!A209,3),'Master Data'!$A$2:$A$8,0),2)</f>
        <v>M</v>
      </c>
      <c r="D209" s="124" t="n">
        <v>0</v>
      </c>
      <c r="E209" s="124" t="n">
        <v>0</v>
      </c>
      <c r="F209" s="124" t="n">
        <v>0</v>
      </c>
      <c r="G209" s="124" t="n">
        <v>0</v>
      </c>
      <c r="I209" s="124" t="n">
        <f aca="false">IF(MONTH($A209)=MONTH($A208),IF(G209=0,I208,G209),G209)</f>
        <v>0</v>
      </c>
      <c r="J209" s="124" t="n">
        <f aca="false">IF(MONTH($A209)=MONTH($A208),SUM(I209-I208),I209)</f>
        <v>0</v>
      </c>
      <c r="K209" s="124" t="n">
        <f aca="false">IF(WEEKDAY(A209,3)&gt;4,0,(IF(A209&lt;K$2,0,IF(A209&lt;=K$3,1,0))))</f>
        <v>0</v>
      </c>
      <c r="L209" s="124" t="n">
        <f aca="false">J209*K209</f>
        <v>0</v>
      </c>
      <c r="M209" s="124" t="n">
        <f aca="false">SUM(J$188:J209)</f>
        <v>0</v>
      </c>
      <c r="N209" s="124" t="n">
        <f aca="false">SUM(J$6:J209)</f>
        <v>0</v>
      </c>
      <c r="P209" s="124" t="n">
        <f aca="false">D209/P$3</f>
        <v>0</v>
      </c>
      <c r="Q209" s="124" t="n">
        <f aca="false">E209/P$3</f>
        <v>0</v>
      </c>
      <c r="R209" s="124" t="n">
        <f aca="false">F209/R$3</f>
        <v>0</v>
      </c>
      <c r="S209" s="126" t="n">
        <f aca="false">J209/$R$3</f>
        <v>0</v>
      </c>
      <c r="T209" s="126" t="n">
        <f aca="false">L209/$R$3</f>
        <v>0</v>
      </c>
      <c r="U209" s="126" t="n">
        <f aca="false">I209/$R$3</f>
        <v>0</v>
      </c>
      <c r="V209" s="126" t="n">
        <f aca="false">M209/$R$3</f>
        <v>0</v>
      </c>
      <c r="W209" s="126" t="n">
        <f aca="false">N209/$R$3</f>
        <v>0</v>
      </c>
    </row>
    <row r="210" customFormat="false" ht="12.75" hidden="true" customHeight="false" outlineLevel="0" collapsed="false">
      <c r="A210" s="120" t="n">
        <f aca="false">A209+1</f>
        <v>37096</v>
      </c>
      <c r="B210" s="131" t="str">
        <f aca="false">INDEX('Master Data'!$A$2:$B$8,MATCH(WEEKDAY('Plant Manager'!A210,3),'Master Data'!$A$2:$A$8,0),2)</f>
        <v>T</v>
      </c>
      <c r="D210" s="124" t="n">
        <v>0</v>
      </c>
      <c r="E210" s="124" t="n">
        <v>0</v>
      </c>
      <c r="F210" s="124" t="n">
        <v>0</v>
      </c>
      <c r="G210" s="124" t="n">
        <v>0</v>
      </c>
      <c r="I210" s="124" t="n">
        <f aca="false">IF(MONTH($A210)=MONTH($A209),IF(G210=0,I209,G210),G210)</f>
        <v>0</v>
      </c>
      <c r="J210" s="124" t="n">
        <f aca="false">IF(MONTH($A210)=MONTH($A209),SUM(I210-I209),I210)</f>
        <v>0</v>
      </c>
      <c r="K210" s="124" t="n">
        <f aca="false">IF(WEEKDAY(A210,3)&gt;4,0,(IF(A210&lt;K$2,0,IF(A210&lt;=K$3,1,0))))</f>
        <v>0</v>
      </c>
      <c r="L210" s="124" t="n">
        <f aca="false">J210*K210</f>
        <v>0</v>
      </c>
      <c r="M210" s="124" t="n">
        <f aca="false">SUM(J$188:J210)</f>
        <v>0</v>
      </c>
      <c r="N210" s="124" t="n">
        <f aca="false">SUM(J$6:J210)</f>
        <v>0</v>
      </c>
      <c r="P210" s="124" t="n">
        <f aca="false">D210/P$3</f>
        <v>0</v>
      </c>
      <c r="Q210" s="124" t="n">
        <f aca="false">E210/P$3</f>
        <v>0</v>
      </c>
      <c r="R210" s="124" t="n">
        <f aca="false">F210/R$3</f>
        <v>0</v>
      </c>
      <c r="S210" s="126" t="n">
        <f aca="false">J210/$R$3</f>
        <v>0</v>
      </c>
      <c r="T210" s="126" t="n">
        <f aca="false">L210/$R$3</f>
        <v>0</v>
      </c>
      <c r="U210" s="126" t="n">
        <f aca="false">I210/$R$3</f>
        <v>0</v>
      </c>
      <c r="V210" s="126" t="n">
        <f aca="false">M210/$R$3</f>
        <v>0</v>
      </c>
      <c r="W210" s="126" t="n">
        <f aca="false">N210/$R$3</f>
        <v>0</v>
      </c>
    </row>
    <row r="211" customFormat="false" ht="12.75" hidden="true" customHeight="false" outlineLevel="0" collapsed="false">
      <c r="A211" s="120" t="n">
        <f aca="false">A210+1</f>
        <v>37097</v>
      </c>
      <c r="B211" s="131" t="str">
        <f aca="false">INDEX('Master Data'!$A$2:$B$8,MATCH(WEEKDAY('Plant Manager'!A211,3),'Master Data'!$A$2:$A$8,0),2)</f>
        <v>W</v>
      </c>
      <c r="D211" s="124" t="n">
        <v>0</v>
      </c>
      <c r="E211" s="124" t="n">
        <v>0</v>
      </c>
      <c r="F211" s="124" t="n">
        <v>0</v>
      </c>
      <c r="G211" s="124" t="n">
        <v>0</v>
      </c>
      <c r="I211" s="124" t="n">
        <f aca="false">IF(MONTH($A211)=MONTH($A210),IF(G211=0,I210,G211),G211)</f>
        <v>0</v>
      </c>
      <c r="J211" s="124" t="n">
        <f aca="false">IF(MONTH($A211)=MONTH($A210),SUM(I211-I210),I211)</f>
        <v>0</v>
      </c>
      <c r="K211" s="124" t="n">
        <f aca="false">IF(WEEKDAY(A211,3)&gt;4,0,(IF(A211&lt;K$2,0,IF(A211&lt;=K$3,1,0))))</f>
        <v>0</v>
      </c>
      <c r="L211" s="124" t="n">
        <f aca="false">J211*K211</f>
        <v>0</v>
      </c>
      <c r="M211" s="124" t="n">
        <f aca="false">SUM(J$188:J211)</f>
        <v>0</v>
      </c>
      <c r="N211" s="124" t="n">
        <f aca="false">SUM(J$6:J211)</f>
        <v>0</v>
      </c>
      <c r="P211" s="124" t="n">
        <f aca="false">D211/P$3</f>
        <v>0</v>
      </c>
      <c r="Q211" s="124" t="n">
        <f aca="false">E211/P$3</f>
        <v>0</v>
      </c>
      <c r="R211" s="124" t="n">
        <f aca="false">F211/R$3</f>
        <v>0</v>
      </c>
      <c r="S211" s="126" t="n">
        <f aca="false">J211/$R$3</f>
        <v>0</v>
      </c>
      <c r="T211" s="126" t="n">
        <f aca="false">L211/$R$3</f>
        <v>0</v>
      </c>
      <c r="U211" s="126" t="n">
        <f aca="false">I211/$R$3</f>
        <v>0</v>
      </c>
      <c r="V211" s="126" t="n">
        <f aca="false">M211/$R$3</f>
        <v>0</v>
      </c>
      <c r="W211" s="126" t="n">
        <f aca="false">N211/$R$3</f>
        <v>0</v>
      </c>
    </row>
    <row r="212" customFormat="false" ht="12.75" hidden="true" customHeight="false" outlineLevel="0" collapsed="false">
      <c r="A212" s="120" t="n">
        <f aca="false">A211+1</f>
        <v>37098</v>
      </c>
      <c r="B212" s="131" t="str">
        <f aca="false">INDEX('Master Data'!$A$2:$B$8,MATCH(WEEKDAY('Plant Manager'!A212,3),'Master Data'!$A$2:$A$8,0),2)</f>
        <v>Th</v>
      </c>
      <c r="D212" s="124" t="n">
        <v>0</v>
      </c>
      <c r="E212" s="124" t="n">
        <v>0</v>
      </c>
      <c r="F212" s="124" t="n">
        <v>0</v>
      </c>
      <c r="G212" s="124" t="n">
        <v>0</v>
      </c>
      <c r="I212" s="124" t="n">
        <f aca="false">IF(MONTH($A212)=MONTH($A211),IF(G212=0,I211,G212),G212)</f>
        <v>0</v>
      </c>
      <c r="J212" s="124" t="n">
        <f aca="false">IF(MONTH($A212)=MONTH($A211),SUM(I212-I211),I212)</f>
        <v>0</v>
      </c>
      <c r="K212" s="124" t="n">
        <f aca="false">IF(WEEKDAY(A212,3)&gt;4,0,(IF(A212&lt;K$2,0,IF(A212&lt;=K$3,1,0))))</f>
        <v>0</v>
      </c>
      <c r="L212" s="124" t="n">
        <f aca="false">J212*K212</f>
        <v>0</v>
      </c>
      <c r="M212" s="124" t="n">
        <f aca="false">SUM(J$188:J212)</f>
        <v>0</v>
      </c>
      <c r="N212" s="124" t="n">
        <f aca="false">SUM(J$6:J212)</f>
        <v>0</v>
      </c>
      <c r="P212" s="124" t="n">
        <f aca="false">D212/P$3</f>
        <v>0</v>
      </c>
      <c r="Q212" s="124" t="n">
        <f aca="false">E212/P$3</f>
        <v>0</v>
      </c>
      <c r="R212" s="124" t="n">
        <f aca="false">F212/R$3</f>
        <v>0</v>
      </c>
      <c r="S212" s="126" t="n">
        <f aca="false">J212/$R$3</f>
        <v>0</v>
      </c>
      <c r="T212" s="126" t="n">
        <f aca="false">L212/$R$3</f>
        <v>0</v>
      </c>
      <c r="U212" s="126" t="n">
        <f aca="false">I212/$R$3</f>
        <v>0</v>
      </c>
      <c r="V212" s="126" t="n">
        <f aca="false">M212/$R$3</f>
        <v>0</v>
      </c>
      <c r="W212" s="126" t="n">
        <f aca="false">N212/$R$3</f>
        <v>0</v>
      </c>
    </row>
    <row r="213" customFormat="false" ht="12.75" hidden="true" customHeight="false" outlineLevel="0" collapsed="false">
      <c r="A213" s="120" t="n">
        <f aca="false">A212+1</f>
        <v>37099</v>
      </c>
      <c r="B213" s="131" t="str">
        <f aca="false">INDEX('Master Data'!$A$2:$B$8,MATCH(WEEKDAY('Plant Manager'!A213,3),'Master Data'!$A$2:$A$8,0),2)</f>
        <v>F</v>
      </c>
      <c r="D213" s="124" t="n">
        <v>0</v>
      </c>
      <c r="E213" s="124" t="n">
        <v>0</v>
      </c>
      <c r="F213" s="124" t="n">
        <v>0</v>
      </c>
      <c r="G213" s="124" t="n">
        <v>0</v>
      </c>
      <c r="I213" s="124" t="n">
        <f aca="false">IF(MONTH($A213)=MONTH($A212),IF(G213=0,I212,G213),G213)</f>
        <v>0</v>
      </c>
      <c r="J213" s="124" t="n">
        <f aca="false">IF(MONTH($A213)=MONTH($A212),SUM(I213-I212),I213)</f>
        <v>0</v>
      </c>
      <c r="K213" s="124" t="n">
        <f aca="false">IF(WEEKDAY(A213,3)&gt;4,0,(IF(A213&lt;K$2,0,IF(A213&lt;=K$3,1,0))))</f>
        <v>0</v>
      </c>
      <c r="L213" s="124" t="n">
        <f aca="false">J213*K213</f>
        <v>0</v>
      </c>
      <c r="M213" s="124" t="n">
        <f aca="false">SUM(J$188:J213)</f>
        <v>0</v>
      </c>
      <c r="N213" s="124" t="n">
        <f aca="false">SUM(J$6:J213)</f>
        <v>0</v>
      </c>
      <c r="P213" s="124" t="n">
        <f aca="false">D213/P$3</f>
        <v>0</v>
      </c>
      <c r="Q213" s="124" t="n">
        <f aca="false">E213/P$3</f>
        <v>0</v>
      </c>
      <c r="R213" s="124" t="n">
        <f aca="false">F213/R$3</f>
        <v>0</v>
      </c>
      <c r="S213" s="126" t="n">
        <f aca="false">J213/$R$3</f>
        <v>0</v>
      </c>
      <c r="T213" s="126" t="n">
        <f aca="false">L213/$R$3</f>
        <v>0</v>
      </c>
      <c r="U213" s="126" t="n">
        <f aca="false">I213/$R$3</f>
        <v>0</v>
      </c>
      <c r="V213" s="126" t="n">
        <f aca="false">M213/$R$3</f>
        <v>0</v>
      </c>
      <c r="W213" s="126" t="n">
        <f aca="false">N213/$R$3</f>
        <v>0</v>
      </c>
    </row>
    <row r="214" customFormat="false" ht="12.75" hidden="true" customHeight="false" outlineLevel="0" collapsed="false">
      <c r="A214" s="120" t="n">
        <f aca="false">A213+1</f>
        <v>37100</v>
      </c>
      <c r="B214" s="131" t="str">
        <f aca="false">INDEX('Master Data'!$A$2:$B$8,MATCH(WEEKDAY('Plant Manager'!A214,3),'Master Data'!$A$2:$A$8,0),2)</f>
        <v>Sa</v>
      </c>
      <c r="D214" s="124" t="n">
        <v>0</v>
      </c>
      <c r="E214" s="124" t="n">
        <v>0</v>
      </c>
      <c r="F214" s="124" t="n">
        <v>0</v>
      </c>
      <c r="G214" s="124" t="n">
        <v>0</v>
      </c>
      <c r="I214" s="124" t="n">
        <f aca="false">IF(MONTH($A214)=MONTH($A213),IF(G214=0,I213,G214),G214)</f>
        <v>0</v>
      </c>
      <c r="J214" s="124" t="n">
        <f aca="false">IF(MONTH($A214)=MONTH($A213),SUM(I214-I213),I214)</f>
        <v>0</v>
      </c>
      <c r="K214" s="124" t="n">
        <f aca="false">IF(WEEKDAY(A214,3)&gt;4,0,(IF(A214&lt;K$2,0,IF(A214&lt;=K$3,1,0))))</f>
        <v>0</v>
      </c>
      <c r="L214" s="124" t="n">
        <f aca="false">J214*K214</f>
        <v>0</v>
      </c>
      <c r="M214" s="124" t="n">
        <f aca="false">SUM(J$188:J214)</f>
        <v>0</v>
      </c>
      <c r="N214" s="124" t="n">
        <f aca="false">SUM(J$6:J214)</f>
        <v>0</v>
      </c>
      <c r="P214" s="124" t="n">
        <f aca="false">D214/P$3</f>
        <v>0</v>
      </c>
      <c r="Q214" s="124" t="n">
        <f aca="false">E214/P$3</f>
        <v>0</v>
      </c>
      <c r="R214" s="124" t="n">
        <f aca="false">F214/R$3</f>
        <v>0</v>
      </c>
      <c r="S214" s="126" t="n">
        <f aca="false">J214/$R$3</f>
        <v>0</v>
      </c>
      <c r="T214" s="126" t="n">
        <f aca="false">L214/$R$3</f>
        <v>0</v>
      </c>
      <c r="U214" s="126" t="n">
        <f aca="false">I214/$R$3</f>
        <v>0</v>
      </c>
      <c r="V214" s="126" t="n">
        <f aca="false">M214/$R$3</f>
        <v>0</v>
      </c>
      <c r="W214" s="126" t="n">
        <f aca="false">N214/$R$3</f>
        <v>0</v>
      </c>
    </row>
    <row r="215" customFormat="false" ht="12.75" hidden="true" customHeight="false" outlineLevel="0" collapsed="false">
      <c r="A215" s="120" t="n">
        <f aca="false">A214+1</f>
        <v>37101</v>
      </c>
      <c r="B215" s="131" t="str">
        <f aca="false">INDEX('Master Data'!$A$2:$B$8,MATCH(WEEKDAY('Plant Manager'!A215,3),'Master Data'!$A$2:$A$8,0),2)</f>
        <v>Su</v>
      </c>
      <c r="D215" s="124" t="n">
        <v>0</v>
      </c>
      <c r="E215" s="124" t="n">
        <v>0</v>
      </c>
      <c r="F215" s="124" t="n">
        <v>0</v>
      </c>
      <c r="G215" s="124" t="n">
        <v>0</v>
      </c>
      <c r="I215" s="124" t="n">
        <f aca="false">IF(MONTH($A215)=MONTH($A214),IF(G215=0,I214,G215),G215)</f>
        <v>0</v>
      </c>
      <c r="J215" s="124" t="n">
        <f aca="false">IF(MONTH($A215)=MONTH($A214),SUM(I215-I214),I215)</f>
        <v>0</v>
      </c>
      <c r="K215" s="124" t="n">
        <f aca="false">IF(WEEKDAY(A215,3)&gt;4,0,(IF(A215&lt;K$2,0,IF(A215&lt;=K$3,1,0))))</f>
        <v>0</v>
      </c>
      <c r="L215" s="124" t="n">
        <f aca="false">J215*K215</f>
        <v>0</v>
      </c>
      <c r="M215" s="124" t="n">
        <f aca="false">SUM(J$188:J215)</f>
        <v>0</v>
      </c>
      <c r="N215" s="124" t="n">
        <f aca="false">SUM(J$6:J215)</f>
        <v>0</v>
      </c>
      <c r="P215" s="124" t="n">
        <f aca="false">D215/P$3</f>
        <v>0</v>
      </c>
      <c r="Q215" s="124" t="n">
        <f aca="false">E215/P$3</f>
        <v>0</v>
      </c>
      <c r="R215" s="124" t="n">
        <f aca="false">F215/R$3</f>
        <v>0</v>
      </c>
      <c r="S215" s="126" t="n">
        <f aca="false">J215/$R$3</f>
        <v>0</v>
      </c>
      <c r="T215" s="126" t="n">
        <f aca="false">L215/$R$3</f>
        <v>0</v>
      </c>
      <c r="U215" s="126" t="n">
        <f aca="false">I215/$R$3</f>
        <v>0</v>
      </c>
      <c r="V215" s="126" t="n">
        <f aca="false">M215/$R$3</f>
        <v>0</v>
      </c>
      <c r="W215" s="126" t="n">
        <f aca="false">N215/$R$3</f>
        <v>0</v>
      </c>
    </row>
    <row r="216" customFormat="false" ht="12.75" hidden="true" customHeight="false" outlineLevel="0" collapsed="false">
      <c r="A216" s="120" t="n">
        <f aca="false">A215+1</f>
        <v>37102</v>
      </c>
      <c r="B216" s="131" t="str">
        <f aca="false">INDEX('Master Data'!$A$2:$B$8,MATCH(WEEKDAY('Plant Manager'!A216,3),'Master Data'!$A$2:$A$8,0),2)</f>
        <v>M</v>
      </c>
      <c r="D216" s="124" t="n">
        <v>0</v>
      </c>
      <c r="E216" s="124" t="n">
        <v>0</v>
      </c>
      <c r="F216" s="124" t="n">
        <v>0</v>
      </c>
      <c r="G216" s="124" t="n">
        <v>0</v>
      </c>
      <c r="I216" s="124" t="n">
        <f aca="false">IF(MONTH($A216)=MONTH($A215),IF(G216=0,I215,G216),G216)</f>
        <v>0</v>
      </c>
      <c r="J216" s="124" t="n">
        <f aca="false">IF(MONTH($A216)=MONTH($A215),SUM(I216-I215),I216)</f>
        <v>0</v>
      </c>
      <c r="K216" s="124" t="n">
        <f aca="false">IF(WEEKDAY(A216,3)&gt;4,0,(IF(A216&lt;K$2,0,IF(A216&lt;=K$3,1,0))))</f>
        <v>0</v>
      </c>
      <c r="L216" s="124" t="n">
        <f aca="false">J216*K216</f>
        <v>0</v>
      </c>
      <c r="M216" s="124" t="n">
        <f aca="false">SUM(J$188:J216)</f>
        <v>0</v>
      </c>
      <c r="N216" s="124" t="n">
        <f aca="false">SUM(J$6:J216)</f>
        <v>0</v>
      </c>
      <c r="P216" s="124" t="n">
        <f aca="false">D216/P$3</f>
        <v>0</v>
      </c>
      <c r="Q216" s="124" t="n">
        <f aca="false">E216/P$3</f>
        <v>0</v>
      </c>
      <c r="R216" s="124" t="n">
        <f aca="false">F216/R$3</f>
        <v>0</v>
      </c>
      <c r="S216" s="126" t="n">
        <f aca="false">J216/$R$3</f>
        <v>0</v>
      </c>
      <c r="T216" s="126" t="n">
        <f aca="false">L216/$R$3</f>
        <v>0</v>
      </c>
      <c r="U216" s="126" t="n">
        <f aca="false">I216/$R$3</f>
        <v>0</v>
      </c>
      <c r="V216" s="126" t="n">
        <f aca="false">M216/$R$3</f>
        <v>0</v>
      </c>
      <c r="W216" s="126" t="n">
        <f aca="false">N216/$R$3</f>
        <v>0</v>
      </c>
    </row>
    <row r="217" customFormat="false" ht="12.75" hidden="false" customHeight="false" outlineLevel="0" collapsed="false">
      <c r="A217" s="120" t="n">
        <f aca="false">A216+1</f>
        <v>37103</v>
      </c>
      <c r="B217" s="131" t="str">
        <f aca="false">INDEX('Master Data'!$A$2:$B$8,MATCH(WEEKDAY('Plant Manager'!A217,3),'Master Data'!$A$2:$A$8,0),2)</f>
        <v>T</v>
      </c>
      <c r="D217" s="124" t="n">
        <v>0</v>
      </c>
      <c r="E217" s="124" t="n">
        <v>0</v>
      </c>
      <c r="F217" s="124" t="n">
        <v>0</v>
      </c>
      <c r="G217" s="124" t="n">
        <v>0</v>
      </c>
      <c r="I217" s="124" t="n">
        <f aca="false">IF(MONTH($A217)=MONTH($A216),IF(G217=0,I216,G217),G217)</f>
        <v>0</v>
      </c>
      <c r="J217" s="124" t="n">
        <f aca="false">IF(MONTH($A217)=MONTH($A216),SUM(I217-I216),I217)</f>
        <v>0</v>
      </c>
      <c r="K217" s="124" t="n">
        <f aca="false">IF(WEEKDAY(A217,3)&gt;4,0,(IF(A217&lt;K$2,0,IF(A217&lt;=K$3,1,0))))</f>
        <v>0</v>
      </c>
      <c r="L217" s="124" t="n">
        <f aca="false">J217*K217</f>
        <v>0</v>
      </c>
      <c r="M217" s="124" t="n">
        <f aca="false">SUM(J$188:J217)</f>
        <v>0</v>
      </c>
      <c r="N217" s="124" t="n">
        <f aca="false">SUM(J$6:J217)</f>
        <v>0</v>
      </c>
      <c r="P217" s="124" t="n">
        <f aca="false">D217/P$3</f>
        <v>0</v>
      </c>
      <c r="Q217" s="124" t="n">
        <f aca="false">E217/P$3</f>
        <v>0</v>
      </c>
      <c r="R217" s="124" t="n">
        <f aca="false">F217/R$3</f>
        <v>0</v>
      </c>
      <c r="S217" s="126" t="n">
        <f aca="false">J217/$R$3</f>
        <v>0</v>
      </c>
      <c r="T217" s="126" t="n">
        <f aca="false">L217/$R$3</f>
        <v>0</v>
      </c>
      <c r="U217" s="126" t="n">
        <f aca="false">I217/$R$3</f>
        <v>0</v>
      </c>
      <c r="V217" s="126" t="n">
        <f aca="false">M217/$R$3</f>
        <v>0</v>
      </c>
      <c r="W217" s="126" t="n">
        <f aca="false">N217/$R$3</f>
        <v>0</v>
      </c>
    </row>
    <row r="218" customFormat="false" ht="12.75" hidden="true" customHeight="false" outlineLevel="0" collapsed="false">
      <c r="A218" s="120" t="n">
        <f aca="false">A217+1</f>
        <v>37104</v>
      </c>
      <c r="B218" s="131" t="str">
        <f aca="false">INDEX('Master Data'!$A$2:$B$8,MATCH(WEEKDAY('Plant Manager'!A218,3),'Master Data'!$A$2:$A$8,0),2)</f>
        <v>W</v>
      </c>
      <c r="D218" s="124" t="n">
        <v>0</v>
      </c>
      <c r="E218" s="124" t="n">
        <v>0</v>
      </c>
      <c r="F218" s="124" t="n">
        <v>0</v>
      </c>
      <c r="G218" s="124" t="n">
        <v>0</v>
      </c>
      <c r="I218" s="124" t="n">
        <f aca="false">IF(MONTH($A218)=MONTH($A217),IF(G218=0,I217,G218),G218)</f>
        <v>0</v>
      </c>
      <c r="J218" s="124" t="n">
        <f aca="false">IF(MONTH($A218)=MONTH($A217),SUM(I218-I217),I218)</f>
        <v>0</v>
      </c>
      <c r="K218" s="124" t="n">
        <f aca="false">IF(WEEKDAY(A218,3)&gt;4,0,(IF(A218&lt;K$2,0,IF(A218&lt;=K$3,1,0))))</f>
        <v>0</v>
      </c>
      <c r="L218" s="124" t="n">
        <f aca="false">J218*K218</f>
        <v>0</v>
      </c>
      <c r="M218" s="124" t="n">
        <f aca="false">SUM(J$188:J218)</f>
        <v>0</v>
      </c>
      <c r="N218" s="124" t="n">
        <f aca="false">SUM(J$6:J218)</f>
        <v>0</v>
      </c>
      <c r="P218" s="124" t="n">
        <f aca="false">D218/P$3</f>
        <v>0</v>
      </c>
      <c r="Q218" s="124" t="n">
        <f aca="false">E218/P$3</f>
        <v>0</v>
      </c>
      <c r="R218" s="124" t="n">
        <f aca="false">F218/R$3</f>
        <v>0</v>
      </c>
      <c r="S218" s="126" t="n">
        <f aca="false">J218/$R$3</f>
        <v>0</v>
      </c>
      <c r="T218" s="126" t="n">
        <f aca="false">L218/$R$3</f>
        <v>0</v>
      </c>
      <c r="U218" s="126" t="n">
        <f aca="false">I218/$R$3</f>
        <v>0</v>
      </c>
      <c r="V218" s="126" t="n">
        <f aca="false">M218/$R$3</f>
        <v>0</v>
      </c>
      <c r="W218" s="126" t="n">
        <f aca="false">N218/$R$3</f>
        <v>0</v>
      </c>
    </row>
    <row r="219" customFormat="false" ht="12.75" hidden="true" customHeight="false" outlineLevel="0" collapsed="false">
      <c r="A219" s="120" t="n">
        <f aca="false">A218+1</f>
        <v>37105</v>
      </c>
      <c r="B219" s="131" t="str">
        <f aca="false">INDEX('Master Data'!$A$2:$B$8,MATCH(WEEKDAY('Plant Manager'!A219,3),'Master Data'!$A$2:$A$8,0),2)</f>
        <v>Th</v>
      </c>
      <c r="D219" s="124" t="n">
        <v>0</v>
      </c>
      <c r="E219" s="124" t="n">
        <v>0</v>
      </c>
      <c r="F219" s="124" t="n">
        <v>0</v>
      </c>
      <c r="G219" s="124" t="n">
        <v>0</v>
      </c>
      <c r="I219" s="124" t="n">
        <f aca="false">IF(MONTH($A219)=MONTH($A218),IF(G219=0,I218,G219),G219)</f>
        <v>0</v>
      </c>
      <c r="J219" s="124" t="n">
        <f aca="false">IF(MONTH($A219)=MONTH($A218),SUM(I219-I218),I219)</f>
        <v>0</v>
      </c>
      <c r="K219" s="124" t="n">
        <f aca="false">IF(WEEKDAY(A219,3)&gt;4,0,(IF(A219&lt;K$2,0,IF(A219&lt;=K$3,1,0))))</f>
        <v>0</v>
      </c>
      <c r="L219" s="124" t="n">
        <f aca="false">J219*K219</f>
        <v>0</v>
      </c>
      <c r="M219" s="124" t="n">
        <f aca="false">SUM(J$188:J219)</f>
        <v>0</v>
      </c>
      <c r="N219" s="124" t="n">
        <f aca="false">SUM(J$6:J219)</f>
        <v>0</v>
      </c>
      <c r="P219" s="124" t="n">
        <f aca="false">D219/P$3</f>
        <v>0</v>
      </c>
      <c r="Q219" s="124" t="n">
        <f aca="false">E219/P$3</f>
        <v>0</v>
      </c>
      <c r="R219" s="124" t="n">
        <f aca="false">F219/R$3</f>
        <v>0</v>
      </c>
      <c r="S219" s="126" t="n">
        <f aca="false">J219/$R$3</f>
        <v>0</v>
      </c>
      <c r="T219" s="126" t="n">
        <f aca="false">L219/$R$3</f>
        <v>0</v>
      </c>
      <c r="U219" s="126" t="n">
        <f aca="false">I219/$R$3</f>
        <v>0</v>
      </c>
      <c r="V219" s="126" t="n">
        <f aca="false">M219/$R$3</f>
        <v>0</v>
      </c>
      <c r="W219" s="126" t="n">
        <f aca="false">N219/$R$3</f>
        <v>0</v>
      </c>
    </row>
    <row r="220" customFormat="false" ht="12.75" hidden="true" customHeight="false" outlineLevel="0" collapsed="false">
      <c r="A220" s="120" t="n">
        <f aca="false">A219+1</f>
        <v>37106</v>
      </c>
      <c r="B220" s="131" t="str">
        <f aca="false">INDEX('Master Data'!$A$2:$B$8,MATCH(WEEKDAY('Plant Manager'!A220,3),'Master Data'!$A$2:$A$8,0),2)</f>
        <v>F</v>
      </c>
      <c r="D220" s="124" t="n">
        <v>0</v>
      </c>
      <c r="E220" s="124" t="n">
        <v>0</v>
      </c>
      <c r="F220" s="124" t="n">
        <v>0</v>
      </c>
      <c r="G220" s="124" t="n">
        <v>0</v>
      </c>
      <c r="I220" s="124" t="n">
        <f aca="false">IF(MONTH($A220)=MONTH($A219),IF(G220=0,I219,G220),G220)</f>
        <v>0</v>
      </c>
      <c r="J220" s="124" t="n">
        <f aca="false">IF(MONTH($A220)=MONTH($A219),SUM(I220-I219),I220)</f>
        <v>0</v>
      </c>
      <c r="K220" s="124" t="n">
        <f aca="false">IF(WEEKDAY(A220,3)&gt;4,0,(IF(A220&lt;K$2,0,IF(A220&lt;=K$3,1,0))))</f>
        <v>0</v>
      </c>
      <c r="L220" s="124" t="n">
        <f aca="false">J220*K220</f>
        <v>0</v>
      </c>
      <c r="M220" s="124" t="n">
        <f aca="false">SUM(J$188:J220)</f>
        <v>0</v>
      </c>
      <c r="N220" s="124" t="n">
        <f aca="false">SUM(J$6:J220)</f>
        <v>0</v>
      </c>
      <c r="P220" s="124" t="n">
        <f aca="false">D220/P$3</f>
        <v>0</v>
      </c>
      <c r="Q220" s="124" t="n">
        <f aca="false">E220/P$3</f>
        <v>0</v>
      </c>
      <c r="R220" s="124" t="n">
        <f aca="false">F220/R$3</f>
        <v>0</v>
      </c>
      <c r="S220" s="126" t="n">
        <f aca="false">J220/$R$3</f>
        <v>0</v>
      </c>
      <c r="T220" s="126" t="n">
        <f aca="false">L220/$R$3</f>
        <v>0</v>
      </c>
      <c r="U220" s="126" t="n">
        <f aca="false">I220/$R$3</f>
        <v>0</v>
      </c>
      <c r="V220" s="126" t="n">
        <f aca="false">M220/$R$3</f>
        <v>0</v>
      </c>
      <c r="W220" s="126" t="n">
        <f aca="false">N220/$R$3</f>
        <v>0</v>
      </c>
    </row>
    <row r="221" customFormat="false" ht="12.75" hidden="true" customHeight="false" outlineLevel="0" collapsed="false">
      <c r="A221" s="120" t="n">
        <f aca="false">A220+1</f>
        <v>37107</v>
      </c>
      <c r="B221" s="131" t="str">
        <f aca="false">INDEX('Master Data'!$A$2:$B$8,MATCH(WEEKDAY('Plant Manager'!A221,3),'Master Data'!$A$2:$A$8,0),2)</f>
        <v>Sa</v>
      </c>
      <c r="D221" s="124" t="n">
        <v>0</v>
      </c>
      <c r="E221" s="124" t="n">
        <v>0</v>
      </c>
      <c r="F221" s="124" t="n">
        <v>0</v>
      </c>
      <c r="G221" s="124" t="n">
        <v>0</v>
      </c>
      <c r="I221" s="124" t="n">
        <f aca="false">IF(MONTH($A221)=MONTH($A220),IF(G221=0,I220,G221),G221)</f>
        <v>0</v>
      </c>
      <c r="J221" s="124" t="n">
        <f aca="false">IF(MONTH($A221)=MONTH($A220),SUM(I221-I220),I221)</f>
        <v>0</v>
      </c>
      <c r="K221" s="124" t="n">
        <f aca="false">IF(WEEKDAY(A221,3)&gt;4,0,(IF(A221&lt;K$2,0,IF(A221&lt;=K$3,1,0))))</f>
        <v>0</v>
      </c>
      <c r="L221" s="124" t="n">
        <f aca="false">J221*K221</f>
        <v>0</v>
      </c>
      <c r="M221" s="124" t="n">
        <f aca="false">SUM(J$188:J221)</f>
        <v>0</v>
      </c>
      <c r="N221" s="124" t="n">
        <f aca="false">SUM(J$6:J221)</f>
        <v>0</v>
      </c>
      <c r="P221" s="124" t="n">
        <f aca="false">D221/P$3</f>
        <v>0</v>
      </c>
      <c r="Q221" s="124" t="n">
        <f aca="false">E221/P$3</f>
        <v>0</v>
      </c>
      <c r="R221" s="124" t="n">
        <f aca="false">F221/R$3</f>
        <v>0</v>
      </c>
      <c r="S221" s="126" t="n">
        <f aca="false">J221/$R$3</f>
        <v>0</v>
      </c>
      <c r="T221" s="126" t="n">
        <f aca="false">L221/$R$3</f>
        <v>0</v>
      </c>
      <c r="U221" s="126" t="n">
        <f aca="false">I221/$R$3</f>
        <v>0</v>
      </c>
      <c r="V221" s="126" t="n">
        <f aca="false">M221/$R$3</f>
        <v>0</v>
      </c>
      <c r="W221" s="126" t="n">
        <f aca="false">N221/$R$3</f>
        <v>0</v>
      </c>
    </row>
    <row r="222" customFormat="false" ht="12.75" hidden="true" customHeight="false" outlineLevel="0" collapsed="false">
      <c r="A222" s="120" t="n">
        <f aca="false">A221+1</f>
        <v>37108</v>
      </c>
      <c r="B222" s="131" t="str">
        <f aca="false">INDEX('Master Data'!$A$2:$B$8,MATCH(WEEKDAY('Plant Manager'!A222,3),'Master Data'!$A$2:$A$8,0),2)</f>
        <v>Su</v>
      </c>
      <c r="D222" s="124" t="n">
        <v>0</v>
      </c>
      <c r="E222" s="124" t="n">
        <v>0</v>
      </c>
      <c r="F222" s="124" t="n">
        <v>0</v>
      </c>
      <c r="G222" s="124" t="n">
        <v>0</v>
      </c>
      <c r="I222" s="124" t="n">
        <f aca="false">IF(MONTH($A222)=MONTH($A221),IF(G222=0,I221,G222),G222)</f>
        <v>0</v>
      </c>
      <c r="J222" s="124" t="n">
        <f aca="false">IF(MONTH($A222)=MONTH($A221),SUM(I222-I221),I222)</f>
        <v>0</v>
      </c>
      <c r="K222" s="124" t="n">
        <f aca="false">IF(WEEKDAY(A222,3)&gt;4,0,(IF(A222&lt;K$2,0,IF(A222&lt;=K$3,1,0))))</f>
        <v>0</v>
      </c>
      <c r="L222" s="124" t="n">
        <f aca="false">J222*K222</f>
        <v>0</v>
      </c>
      <c r="M222" s="124" t="n">
        <f aca="false">SUM(J$188:J222)</f>
        <v>0</v>
      </c>
      <c r="N222" s="124" t="n">
        <f aca="false">SUM(J$6:J222)</f>
        <v>0</v>
      </c>
      <c r="P222" s="124" t="n">
        <f aca="false">D222/P$3</f>
        <v>0</v>
      </c>
      <c r="Q222" s="124" t="n">
        <f aca="false">E222/P$3</f>
        <v>0</v>
      </c>
      <c r="R222" s="124" t="n">
        <f aca="false">F222/R$3</f>
        <v>0</v>
      </c>
      <c r="S222" s="126" t="n">
        <f aca="false">J222/$R$3</f>
        <v>0</v>
      </c>
      <c r="T222" s="126" t="n">
        <f aca="false">L222/$R$3</f>
        <v>0</v>
      </c>
      <c r="U222" s="126" t="n">
        <f aca="false">I222/$R$3</f>
        <v>0</v>
      </c>
      <c r="V222" s="126" t="n">
        <f aca="false">M222/$R$3</f>
        <v>0</v>
      </c>
      <c r="W222" s="126" t="n">
        <f aca="false">N222/$R$3</f>
        <v>0</v>
      </c>
    </row>
    <row r="223" customFormat="false" ht="12.75" hidden="true" customHeight="false" outlineLevel="0" collapsed="false">
      <c r="A223" s="120" t="n">
        <f aca="false">A222+1</f>
        <v>37109</v>
      </c>
      <c r="B223" s="131" t="str">
        <f aca="false">INDEX('Master Data'!$A$2:$B$8,MATCH(WEEKDAY('Plant Manager'!A223,3),'Master Data'!$A$2:$A$8,0),2)</f>
        <v>M</v>
      </c>
      <c r="D223" s="124" t="n">
        <v>0</v>
      </c>
      <c r="E223" s="124" t="n">
        <v>0</v>
      </c>
      <c r="F223" s="124" t="n">
        <v>0</v>
      </c>
      <c r="G223" s="124" t="n">
        <v>0</v>
      </c>
      <c r="I223" s="124" t="n">
        <f aca="false">IF(MONTH($A223)=MONTH($A222),IF(G223=0,I222,G223),G223)</f>
        <v>0</v>
      </c>
      <c r="J223" s="124" t="n">
        <f aca="false">IF(MONTH($A223)=MONTH($A222),SUM(I223-I222),I223)</f>
        <v>0</v>
      </c>
      <c r="K223" s="124" t="n">
        <f aca="false">IF(WEEKDAY(A223,3)&gt;4,0,(IF(A223&lt;K$2,0,IF(A223&lt;=K$3,1,0))))</f>
        <v>0</v>
      </c>
      <c r="L223" s="124" t="n">
        <f aca="false">J223*K223</f>
        <v>0</v>
      </c>
      <c r="M223" s="124" t="n">
        <f aca="false">SUM(J$188:J223)</f>
        <v>0</v>
      </c>
      <c r="N223" s="124" t="n">
        <f aca="false">SUM(J$6:J223)</f>
        <v>0</v>
      </c>
      <c r="P223" s="124" t="n">
        <f aca="false">D223/P$3</f>
        <v>0</v>
      </c>
      <c r="Q223" s="124" t="n">
        <f aca="false">E223/P$3</f>
        <v>0</v>
      </c>
      <c r="R223" s="124" t="n">
        <f aca="false">F223/R$3</f>
        <v>0</v>
      </c>
      <c r="S223" s="126" t="n">
        <f aca="false">J223/$R$3</f>
        <v>0</v>
      </c>
      <c r="T223" s="126" t="n">
        <f aca="false">L223/$R$3</f>
        <v>0</v>
      </c>
      <c r="U223" s="126" t="n">
        <f aca="false">I223/$R$3</f>
        <v>0</v>
      </c>
      <c r="V223" s="126" t="n">
        <f aca="false">M223/$R$3</f>
        <v>0</v>
      </c>
      <c r="W223" s="126" t="n">
        <f aca="false">N223/$R$3</f>
        <v>0</v>
      </c>
    </row>
    <row r="224" customFormat="false" ht="12.75" hidden="true" customHeight="false" outlineLevel="0" collapsed="false">
      <c r="A224" s="120" t="n">
        <f aca="false">A223+1</f>
        <v>37110</v>
      </c>
      <c r="B224" s="131" t="str">
        <f aca="false">INDEX('Master Data'!$A$2:$B$8,MATCH(WEEKDAY('Plant Manager'!A224,3),'Master Data'!$A$2:$A$8,0),2)</f>
        <v>T</v>
      </c>
      <c r="D224" s="124" t="n">
        <v>0</v>
      </c>
      <c r="E224" s="124" t="n">
        <v>0</v>
      </c>
      <c r="F224" s="124" t="n">
        <v>0</v>
      </c>
      <c r="G224" s="124" t="n">
        <v>0</v>
      </c>
      <c r="I224" s="124" t="n">
        <f aca="false">IF(MONTH($A224)=MONTH($A223),IF(G224=0,I223,G224),G224)</f>
        <v>0</v>
      </c>
      <c r="J224" s="124" t="n">
        <f aca="false">IF(MONTH($A224)=MONTH($A223),SUM(I224-I223),I224)</f>
        <v>0</v>
      </c>
      <c r="K224" s="124" t="n">
        <f aca="false">IF(WEEKDAY(A224,3)&gt;4,0,(IF(A224&lt;K$2,0,IF(A224&lt;=K$3,1,0))))</f>
        <v>0</v>
      </c>
      <c r="L224" s="124" t="n">
        <f aca="false">J224*K224</f>
        <v>0</v>
      </c>
      <c r="M224" s="124" t="n">
        <f aca="false">SUM(J$188:J224)</f>
        <v>0</v>
      </c>
      <c r="N224" s="124" t="n">
        <f aca="false">SUM(J$6:J224)</f>
        <v>0</v>
      </c>
      <c r="P224" s="124" t="n">
        <f aca="false">D224/P$3</f>
        <v>0</v>
      </c>
      <c r="Q224" s="124" t="n">
        <f aca="false">E224/P$3</f>
        <v>0</v>
      </c>
      <c r="R224" s="124" t="n">
        <f aca="false">F224/R$3</f>
        <v>0</v>
      </c>
      <c r="S224" s="126" t="n">
        <f aca="false">J224/$R$3</f>
        <v>0</v>
      </c>
      <c r="T224" s="126" t="n">
        <f aca="false">L224/$R$3</f>
        <v>0</v>
      </c>
      <c r="U224" s="126" t="n">
        <f aca="false">I224/$R$3</f>
        <v>0</v>
      </c>
      <c r="V224" s="126" t="n">
        <f aca="false">M224/$R$3</f>
        <v>0</v>
      </c>
      <c r="W224" s="126" t="n">
        <f aca="false">N224/$R$3</f>
        <v>0</v>
      </c>
    </row>
    <row r="225" customFormat="false" ht="12.75" hidden="true" customHeight="false" outlineLevel="0" collapsed="false">
      <c r="A225" s="120" t="n">
        <f aca="false">A224+1</f>
        <v>37111</v>
      </c>
      <c r="B225" s="131" t="str">
        <f aca="false">INDEX('Master Data'!$A$2:$B$8,MATCH(WEEKDAY('Plant Manager'!A225,3),'Master Data'!$A$2:$A$8,0),2)</f>
        <v>W</v>
      </c>
      <c r="D225" s="124" t="n">
        <v>0</v>
      </c>
      <c r="E225" s="124" t="n">
        <v>0</v>
      </c>
      <c r="F225" s="124" t="n">
        <v>0</v>
      </c>
      <c r="G225" s="124" t="n">
        <v>0</v>
      </c>
      <c r="I225" s="124" t="n">
        <f aca="false">IF(MONTH($A225)=MONTH($A224),IF(G225=0,I224,G225),G225)</f>
        <v>0</v>
      </c>
      <c r="J225" s="124" t="n">
        <f aca="false">IF(MONTH($A225)=MONTH($A224),SUM(I225-I224),I225)</f>
        <v>0</v>
      </c>
      <c r="K225" s="124" t="n">
        <f aca="false">IF(WEEKDAY(A225,3)&gt;4,0,(IF(A225&lt;K$2,0,IF(A225&lt;=K$3,1,0))))</f>
        <v>0</v>
      </c>
      <c r="L225" s="124" t="n">
        <f aca="false">J225*K225</f>
        <v>0</v>
      </c>
      <c r="M225" s="124" t="n">
        <f aca="false">SUM(J$188:J225)</f>
        <v>0</v>
      </c>
      <c r="N225" s="124" t="n">
        <f aca="false">SUM(J$6:J225)</f>
        <v>0</v>
      </c>
      <c r="P225" s="124" t="n">
        <f aca="false">D225/P$3</f>
        <v>0</v>
      </c>
      <c r="Q225" s="124" t="n">
        <f aca="false">E225/P$3</f>
        <v>0</v>
      </c>
      <c r="R225" s="124" t="n">
        <f aca="false">F225/R$3</f>
        <v>0</v>
      </c>
      <c r="S225" s="126" t="n">
        <f aca="false">J225/$R$3</f>
        <v>0</v>
      </c>
      <c r="T225" s="126" t="n">
        <f aca="false">L225/$R$3</f>
        <v>0</v>
      </c>
      <c r="U225" s="126" t="n">
        <f aca="false">I225/$R$3</f>
        <v>0</v>
      </c>
      <c r="V225" s="126" t="n">
        <f aca="false">M225/$R$3</f>
        <v>0</v>
      </c>
      <c r="W225" s="126" t="n">
        <f aca="false">N225/$R$3</f>
        <v>0</v>
      </c>
    </row>
    <row r="226" customFormat="false" ht="12.75" hidden="true" customHeight="false" outlineLevel="0" collapsed="false">
      <c r="A226" s="120" t="n">
        <f aca="false">A225+1</f>
        <v>37112</v>
      </c>
      <c r="B226" s="131" t="str">
        <f aca="false">INDEX('Master Data'!$A$2:$B$8,MATCH(WEEKDAY('Plant Manager'!A226,3),'Master Data'!$A$2:$A$8,0),2)</f>
        <v>Th</v>
      </c>
      <c r="D226" s="124" t="n">
        <v>0</v>
      </c>
      <c r="E226" s="124" t="n">
        <v>0</v>
      </c>
      <c r="F226" s="124" t="n">
        <v>0</v>
      </c>
      <c r="G226" s="124" t="n">
        <v>0</v>
      </c>
      <c r="I226" s="124" t="n">
        <f aca="false">IF(MONTH($A226)=MONTH($A225),IF(G226=0,I225,G226),G226)</f>
        <v>0</v>
      </c>
      <c r="J226" s="124" t="n">
        <f aca="false">IF(MONTH($A226)=MONTH($A225),SUM(I226-I225),I226)</f>
        <v>0</v>
      </c>
      <c r="K226" s="124" t="n">
        <f aca="false">IF(WEEKDAY(A226,3)&gt;4,0,(IF(A226&lt;K$2,0,IF(A226&lt;=K$3,1,0))))</f>
        <v>0</v>
      </c>
      <c r="L226" s="124" t="n">
        <f aca="false">J226*K226</f>
        <v>0</v>
      </c>
      <c r="M226" s="124" t="n">
        <f aca="false">SUM(J$188:J226)</f>
        <v>0</v>
      </c>
      <c r="N226" s="124" t="n">
        <f aca="false">SUM(J$6:J226)</f>
        <v>0</v>
      </c>
      <c r="P226" s="124" t="n">
        <f aca="false">D226/P$3</f>
        <v>0</v>
      </c>
      <c r="Q226" s="124" t="n">
        <f aca="false">E226/P$3</f>
        <v>0</v>
      </c>
      <c r="R226" s="124" t="n">
        <f aca="false">F226/R$3</f>
        <v>0</v>
      </c>
      <c r="S226" s="126" t="n">
        <f aca="false">J226/$R$3</f>
        <v>0</v>
      </c>
      <c r="T226" s="126" t="n">
        <f aca="false">L226/$R$3</f>
        <v>0</v>
      </c>
      <c r="U226" s="126" t="n">
        <f aca="false">I226/$R$3</f>
        <v>0</v>
      </c>
      <c r="V226" s="126" t="n">
        <f aca="false">M226/$R$3</f>
        <v>0</v>
      </c>
      <c r="W226" s="126" t="n">
        <f aca="false">N226/$R$3</f>
        <v>0</v>
      </c>
    </row>
    <row r="227" customFormat="false" ht="12.75" hidden="true" customHeight="false" outlineLevel="0" collapsed="false">
      <c r="A227" s="120" t="n">
        <f aca="false">A226+1</f>
        <v>37113</v>
      </c>
      <c r="B227" s="131" t="str">
        <f aca="false">INDEX('Master Data'!$A$2:$B$8,MATCH(WEEKDAY('Plant Manager'!A227,3),'Master Data'!$A$2:$A$8,0),2)</f>
        <v>F</v>
      </c>
      <c r="D227" s="124" t="n">
        <v>0</v>
      </c>
      <c r="E227" s="124" t="n">
        <v>0</v>
      </c>
      <c r="F227" s="124" t="n">
        <v>0</v>
      </c>
      <c r="G227" s="124" t="n">
        <v>0</v>
      </c>
      <c r="I227" s="124" t="n">
        <f aca="false">IF(MONTH($A227)=MONTH($A226),IF(G227=0,I226,G227),G227)</f>
        <v>0</v>
      </c>
      <c r="J227" s="124" t="n">
        <f aca="false">IF(MONTH($A227)=MONTH($A226),SUM(I227-I226),I227)</f>
        <v>0</v>
      </c>
      <c r="K227" s="124" t="n">
        <f aca="false">IF(WEEKDAY(A227,3)&gt;4,0,(IF(A227&lt;K$2,0,IF(A227&lt;=K$3,1,0))))</f>
        <v>0</v>
      </c>
      <c r="L227" s="124" t="n">
        <f aca="false">J227*K227</f>
        <v>0</v>
      </c>
      <c r="M227" s="124" t="n">
        <f aca="false">SUM(J$188:J227)</f>
        <v>0</v>
      </c>
      <c r="N227" s="124" t="n">
        <f aca="false">SUM(J$6:J227)</f>
        <v>0</v>
      </c>
      <c r="P227" s="124" t="n">
        <f aca="false">D227/P$3</f>
        <v>0</v>
      </c>
      <c r="Q227" s="124" t="n">
        <f aca="false">E227/P$3</f>
        <v>0</v>
      </c>
      <c r="R227" s="124" t="n">
        <f aca="false">F227/R$3</f>
        <v>0</v>
      </c>
      <c r="S227" s="126" t="n">
        <f aca="false">J227/$R$3</f>
        <v>0</v>
      </c>
      <c r="T227" s="126" t="n">
        <f aca="false">L227/$R$3</f>
        <v>0</v>
      </c>
      <c r="U227" s="126" t="n">
        <f aca="false">I227/$R$3</f>
        <v>0</v>
      </c>
      <c r="V227" s="126" t="n">
        <f aca="false">M227/$R$3</f>
        <v>0</v>
      </c>
      <c r="W227" s="126" t="n">
        <f aca="false">N227/$R$3</f>
        <v>0</v>
      </c>
    </row>
    <row r="228" customFormat="false" ht="12.75" hidden="true" customHeight="false" outlineLevel="0" collapsed="false">
      <c r="A228" s="120" t="n">
        <f aca="false">A227+1</f>
        <v>37114</v>
      </c>
      <c r="B228" s="131" t="str">
        <f aca="false">INDEX('Master Data'!$A$2:$B$8,MATCH(WEEKDAY('Plant Manager'!A228,3),'Master Data'!$A$2:$A$8,0),2)</f>
        <v>Sa</v>
      </c>
      <c r="D228" s="124" t="n">
        <v>0</v>
      </c>
      <c r="E228" s="124" t="n">
        <v>0</v>
      </c>
      <c r="F228" s="124" t="n">
        <v>0</v>
      </c>
      <c r="G228" s="124" t="n">
        <v>0</v>
      </c>
      <c r="I228" s="124" t="n">
        <f aca="false">IF(MONTH($A228)=MONTH($A227),IF(G228=0,I227,G228),G228)</f>
        <v>0</v>
      </c>
      <c r="J228" s="124" t="n">
        <f aca="false">IF(MONTH($A228)=MONTH($A227),SUM(I228-I227),I228)</f>
        <v>0</v>
      </c>
      <c r="K228" s="124" t="n">
        <f aca="false">IF(WEEKDAY(A228,3)&gt;4,0,(IF(A228&lt;K$2,0,IF(A228&lt;=K$3,1,0))))</f>
        <v>0</v>
      </c>
      <c r="L228" s="124" t="n">
        <f aca="false">J228*K228</f>
        <v>0</v>
      </c>
      <c r="M228" s="124" t="n">
        <f aca="false">SUM(J$188:J228)</f>
        <v>0</v>
      </c>
      <c r="N228" s="124" t="n">
        <f aca="false">SUM(J$6:J228)</f>
        <v>0</v>
      </c>
      <c r="P228" s="124" t="n">
        <f aca="false">D228/P$3</f>
        <v>0</v>
      </c>
      <c r="Q228" s="124" t="n">
        <f aca="false">E228/P$3</f>
        <v>0</v>
      </c>
      <c r="R228" s="124" t="n">
        <f aca="false">F228/R$3</f>
        <v>0</v>
      </c>
      <c r="S228" s="126" t="n">
        <f aca="false">J228/$R$3</f>
        <v>0</v>
      </c>
      <c r="T228" s="126" t="n">
        <f aca="false">L228/$R$3</f>
        <v>0</v>
      </c>
      <c r="U228" s="126" t="n">
        <f aca="false">I228/$R$3</f>
        <v>0</v>
      </c>
      <c r="V228" s="126" t="n">
        <f aca="false">M228/$R$3</f>
        <v>0</v>
      </c>
      <c r="W228" s="126" t="n">
        <f aca="false">N228/$R$3</f>
        <v>0</v>
      </c>
    </row>
    <row r="229" customFormat="false" ht="12.75" hidden="true" customHeight="false" outlineLevel="0" collapsed="false">
      <c r="A229" s="120" t="n">
        <f aca="false">A228+1</f>
        <v>37115</v>
      </c>
      <c r="B229" s="131" t="str">
        <f aca="false">INDEX('Master Data'!$A$2:$B$8,MATCH(WEEKDAY('Plant Manager'!A229,3),'Master Data'!$A$2:$A$8,0),2)</f>
        <v>Su</v>
      </c>
      <c r="D229" s="124" t="n">
        <v>0</v>
      </c>
      <c r="E229" s="124" t="n">
        <v>0</v>
      </c>
      <c r="F229" s="124" t="n">
        <v>0</v>
      </c>
      <c r="G229" s="124" t="n">
        <v>0</v>
      </c>
      <c r="I229" s="124" t="n">
        <f aca="false">IF(MONTH($A229)=MONTH($A228),IF(G229=0,I228,G229),G229)</f>
        <v>0</v>
      </c>
      <c r="J229" s="124" t="n">
        <f aca="false">IF(MONTH($A229)=MONTH($A228),SUM(I229-I228),I229)</f>
        <v>0</v>
      </c>
      <c r="K229" s="124" t="n">
        <f aca="false">IF(WEEKDAY(A229,3)&gt;4,0,(IF(A229&lt;K$2,0,IF(A229&lt;=K$3,1,0))))</f>
        <v>0</v>
      </c>
      <c r="L229" s="124" t="n">
        <f aca="false">J229*K229</f>
        <v>0</v>
      </c>
      <c r="M229" s="124" t="n">
        <f aca="false">SUM(J$188:J229)</f>
        <v>0</v>
      </c>
      <c r="N229" s="124" t="n">
        <f aca="false">SUM(J$6:J229)</f>
        <v>0</v>
      </c>
      <c r="P229" s="124" t="n">
        <f aca="false">D229/P$3</f>
        <v>0</v>
      </c>
      <c r="Q229" s="124" t="n">
        <f aca="false">E229/P$3</f>
        <v>0</v>
      </c>
      <c r="R229" s="124" t="n">
        <f aca="false">F229/R$3</f>
        <v>0</v>
      </c>
      <c r="S229" s="126" t="n">
        <f aca="false">J229/$R$3</f>
        <v>0</v>
      </c>
      <c r="T229" s="126" t="n">
        <f aca="false">L229/$R$3</f>
        <v>0</v>
      </c>
      <c r="U229" s="126" t="n">
        <f aca="false">I229/$R$3</f>
        <v>0</v>
      </c>
      <c r="V229" s="126" t="n">
        <f aca="false">M229/$R$3</f>
        <v>0</v>
      </c>
      <c r="W229" s="126" t="n">
        <f aca="false">N229/$R$3</f>
        <v>0</v>
      </c>
    </row>
    <row r="230" customFormat="false" ht="12.75" hidden="true" customHeight="false" outlineLevel="0" collapsed="false">
      <c r="A230" s="120" t="n">
        <f aca="false">A229+1</f>
        <v>37116</v>
      </c>
      <c r="B230" s="131" t="str">
        <f aca="false">INDEX('Master Data'!$A$2:$B$8,MATCH(WEEKDAY('Plant Manager'!A230,3),'Master Data'!$A$2:$A$8,0),2)</f>
        <v>M</v>
      </c>
      <c r="D230" s="124" t="n">
        <v>0</v>
      </c>
      <c r="E230" s="124" t="n">
        <v>0</v>
      </c>
      <c r="F230" s="124" t="n">
        <v>0</v>
      </c>
      <c r="G230" s="124" t="n">
        <v>0</v>
      </c>
      <c r="I230" s="124" t="n">
        <f aca="false">IF(MONTH($A230)=MONTH($A229),IF(G230=0,I229,G230),G230)</f>
        <v>0</v>
      </c>
      <c r="J230" s="124" t="n">
        <f aca="false">IF(MONTH($A230)=MONTH($A229),SUM(I230-I229),I230)</f>
        <v>0</v>
      </c>
      <c r="K230" s="124" t="n">
        <f aca="false">IF(WEEKDAY(A230,3)&gt;4,0,(IF(A230&lt;K$2,0,IF(A230&lt;=K$3,1,0))))</f>
        <v>0</v>
      </c>
      <c r="L230" s="124" t="n">
        <f aca="false">J230*K230</f>
        <v>0</v>
      </c>
      <c r="M230" s="124" t="n">
        <f aca="false">SUM(J$188:J230)</f>
        <v>0</v>
      </c>
      <c r="N230" s="124" t="n">
        <f aca="false">SUM(J$6:J230)</f>
        <v>0</v>
      </c>
      <c r="P230" s="124" t="n">
        <f aca="false">D230/P$3</f>
        <v>0</v>
      </c>
      <c r="Q230" s="124" t="n">
        <f aca="false">E230/P$3</f>
        <v>0</v>
      </c>
      <c r="R230" s="124" t="n">
        <f aca="false">F230/R$3</f>
        <v>0</v>
      </c>
      <c r="S230" s="126" t="n">
        <f aca="false">J230/$R$3</f>
        <v>0</v>
      </c>
      <c r="T230" s="126" t="n">
        <f aca="false">L230/$R$3</f>
        <v>0</v>
      </c>
      <c r="U230" s="126" t="n">
        <f aca="false">I230/$R$3</f>
        <v>0</v>
      </c>
      <c r="V230" s="126" t="n">
        <f aca="false">M230/$R$3</f>
        <v>0</v>
      </c>
      <c r="W230" s="126" t="n">
        <f aca="false">N230/$R$3</f>
        <v>0</v>
      </c>
    </row>
    <row r="231" customFormat="false" ht="12.75" hidden="true" customHeight="false" outlineLevel="0" collapsed="false">
      <c r="A231" s="120" t="n">
        <f aca="false">A230+1</f>
        <v>37117</v>
      </c>
      <c r="B231" s="131" t="str">
        <f aca="false">INDEX('Master Data'!$A$2:$B$8,MATCH(WEEKDAY('Plant Manager'!A231,3),'Master Data'!$A$2:$A$8,0),2)</f>
        <v>T</v>
      </c>
      <c r="D231" s="124" t="n">
        <v>0</v>
      </c>
      <c r="E231" s="124" t="n">
        <v>0</v>
      </c>
      <c r="F231" s="124" t="n">
        <v>0</v>
      </c>
      <c r="G231" s="124" t="n">
        <v>0</v>
      </c>
      <c r="I231" s="124" t="n">
        <f aca="false">IF(MONTH($A231)=MONTH($A230),IF(G231=0,I230,G231),G231)</f>
        <v>0</v>
      </c>
      <c r="J231" s="124" t="n">
        <f aca="false">IF(MONTH($A231)=MONTH($A230),SUM(I231-I230),I231)</f>
        <v>0</v>
      </c>
      <c r="K231" s="124" t="n">
        <f aca="false">IF(WEEKDAY(A231,3)&gt;4,0,(IF(A231&lt;K$2,0,IF(A231&lt;=K$3,1,0))))</f>
        <v>0</v>
      </c>
      <c r="L231" s="124" t="n">
        <f aca="false">J231*K231</f>
        <v>0</v>
      </c>
      <c r="M231" s="124" t="n">
        <f aca="false">SUM(J$188:J231)</f>
        <v>0</v>
      </c>
      <c r="N231" s="124" t="n">
        <f aca="false">SUM(J$6:J231)</f>
        <v>0</v>
      </c>
      <c r="P231" s="124" t="n">
        <f aca="false">D231/P$3</f>
        <v>0</v>
      </c>
      <c r="Q231" s="124" t="n">
        <f aca="false">E231/P$3</f>
        <v>0</v>
      </c>
      <c r="R231" s="124" t="n">
        <f aca="false">F231/R$3</f>
        <v>0</v>
      </c>
      <c r="S231" s="126" t="n">
        <f aca="false">J231/$R$3</f>
        <v>0</v>
      </c>
      <c r="T231" s="126" t="n">
        <f aca="false">L231/$R$3</f>
        <v>0</v>
      </c>
      <c r="U231" s="126" t="n">
        <f aca="false">I231/$R$3</f>
        <v>0</v>
      </c>
      <c r="V231" s="126" t="n">
        <f aca="false">M231/$R$3</f>
        <v>0</v>
      </c>
      <c r="W231" s="126" t="n">
        <f aca="false">N231/$R$3</f>
        <v>0</v>
      </c>
    </row>
    <row r="232" customFormat="false" ht="12.75" hidden="true" customHeight="false" outlineLevel="0" collapsed="false">
      <c r="A232" s="120" t="n">
        <f aca="false">A231+1</f>
        <v>37118</v>
      </c>
      <c r="B232" s="131" t="str">
        <f aca="false">INDEX('Master Data'!$A$2:$B$8,MATCH(WEEKDAY('Plant Manager'!A232,3),'Master Data'!$A$2:$A$8,0),2)</f>
        <v>W</v>
      </c>
      <c r="D232" s="124" t="n">
        <v>0</v>
      </c>
      <c r="E232" s="124" t="n">
        <v>0</v>
      </c>
      <c r="F232" s="124" t="n">
        <v>0</v>
      </c>
      <c r="G232" s="124" t="n">
        <v>0</v>
      </c>
      <c r="I232" s="124" t="n">
        <f aca="false">IF(MONTH($A232)=MONTH($A231),IF(G232=0,I231,G232),G232)</f>
        <v>0</v>
      </c>
      <c r="J232" s="124" t="n">
        <f aca="false">IF(MONTH($A232)=MONTH($A231),SUM(I232-I231),I232)</f>
        <v>0</v>
      </c>
      <c r="K232" s="124" t="n">
        <f aca="false">IF(WEEKDAY(A232,3)&gt;4,0,(IF(A232&lt;K$2,0,IF(A232&lt;=K$3,1,0))))</f>
        <v>0</v>
      </c>
      <c r="L232" s="124" t="n">
        <f aca="false">J232*K232</f>
        <v>0</v>
      </c>
      <c r="M232" s="124" t="n">
        <f aca="false">SUM(J$188:J232)</f>
        <v>0</v>
      </c>
      <c r="N232" s="124" t="n">
        <f aca="false">SUM(J$6:J232)</f>
        <v>0</v>
      </c>
      <c r="P232" s="124" t="n">
        <f aca="false">D232/P$3</f>
        <v>0</v>
      </c>
      <c r="Q232" s="124" t="n">
        <f aca="false">E232/P$3</f>
        <v>0</v>
      </c>
      <c r="R232" s="124" t="n">
        <f aca="false">F232/R$3</f>
        <v>0</v>
      </c>
      <c r="S232" s="126" t="n">
        <f aca="false">J232/$R$3</f>
        <v>0</v>
      </c>
      <c r="T232" s="126" t="n">
        <f aca="false">L232/$R$3</f>
        <v>0</v>
      </c>
      <c r="U232" s="126" t="n">
        <f aca="false">I232/$R$3</f>
        <v>0</v>
      </c>
      <c r="V232" s="126" t="n">
        <f aca="false">M232/$R$3</f>
        <v>0</v>
      </c>
      <c r="W232" s="126" t="n">
        <f aca="false">N232/$R$3</f>
        <v>0</v>
      </c>
    </row>
    <row r="233" customFormat="false" ht="12.75" hidden="true" customHeight="false" outlineLevel="0" collapsed="false">
      <c r="A233" s="120" t="n">
        <f aca="false">A232+1</f>
        <v>37119</v>
      </c>
      <c r="B233" s="131" t="str">
        <f aca="false">INDEX('Master Data'!$A$2:$B$8,MATCH(WEEKDAY('Plant Manager'!A233,3),'Master Data'!$A$2:$A$8,0),2)</f>
        <v>Th</v>
      </c>
      <c r="D233" s="124" t="n">
        <v>0</v>
      </c>
      <c r="E233" s="124" t="n">
        <v>0</v>
      </c>
      <c r="F233" s="124" t="n">
        <v>0</v>
      </c>
      <c r="G233" s="124" t="n">
        <v>0</v>
      </c>
      <c r="I233" s="124" t="n">
        <f aca="false">IF(MONTH($A233)=MONTH($A232),IF(G233=0,I232,G233),G233)</f>
        <v>0</v>
      </c>
      <c r="J233" s="124" t="n">
        <f aca="false">IF(MONTH($A233)=MONTH($A232),SUM(I233-I232),I233)</f>
        <v>0</v>
      </c>
      <c r="K233" s="124" t="n">
        <f aca="false">IF(WEEKDAY(A233,3)&gt;4,0,(IF(A233&lt;K$2,0,IF(A233&lt;=K$3,1,0))))</f>
        <v>0</v>
      </c>
      <c r="L233" s="124" t="n">
        <f aca="false">J233*K233</f>
        <v>0</v>
      </c>
      <c r="M233" s="124" t="n">
        <f aca="false">SUM(J$188:J233)</f>
        <v>0</v>
      </c>
      <c r="N233" s="124" t="n">
        <f aca="false">SUM(J$6:J233)</f>
        <v>0</v>
      </c>
      <c r="P233" s="124" t="n">
        <f aca="false">D233/P$3</f>
        <v>0</v>
      </c>
      <c r="Q233" s="124" t="n">
        <f aca="false">E233/P$3</f>
        <v>0</v>
      </c>
      <c r="R233" s="124" t="n">
        <f aca="false">F233/R$3</f>
        <v>0</v>
      </c>
      <c r="S233" s="126" t="n">
        <f aca="false">J233/$R$3</f>
        <v>0</v>
      </c>
      <c r="T233" s="126" t="n">
        <f aca="false">L233/$R$3</f>
        <v>0</v>
      </c>
      <c r="U233" s="126" t="n">
        <f aca="false">I233/$R$3</f>
        <v>0</v>
      </c>
      <c r="V233" s="126" t="n">
        <f aca="false">M233/$R$3</f>
        <v>0</v>
      </c>
      <c r="W233" s="126" t="n">
        <f aca="false">N233/$R$3</f>
        <v>0</v>
      </c>
    </row>
    <row r="234" customFormat="false" ht="12.75" hidden="true" customHeight="false" outlineLevel="0" collapsed="false">
      <c r="A234" s="120" t="n">
        <f aca="false">A233+1</f>
        <v>37120</v>
      </c>
      <c r="B234" s="131" t="str">
        <f aca="false">INDEX('Master Data'!$A$2:$B$8,MATCH(WEEKDAY('Plant Manager'!A234,3),'Master Data'!$A$2:$A$8,0),2)</f>
        <v>F</v>
      </c>
      <c r="D234" s="124" t="n">
        <v>0</v>
      </c>
      <c r="E234" s="124" t="n">
        <v>0</v>
      </c>
      <c r="F234" s="124" t="n">
        <v>0</v>
      </c>
      <c r="G234" s="124" t="n">
        <v>0</v>
      </c>
      <c r="I234" s="124" t="n">
        <f aca="false">IF(MONTH($A234)=MONTH($A233),IF(G234=0,I233,G234),G234)</f>
        <v>0</v>
      </c>
      <c r="J234" s="124" t="n">
        <f aca="false">IF(MONTH($A234)=MONTH($A233),SUM(I234-I233),I234)</f>
        <v>0</v>
      </c>
      <c r="K234" s="124" t="n">
        <f aca="false">IF(WEEKDAY(A234,3)&gt;4,0,(IF(A234&lt;K$2,0,IF(A234&lt;=K$3,1,0))))</f>
        <v>0</v>
      </c>
      <c r="L234" s="124" t="n">
        <f aca="false">J234*K234</f>
        <v>0</v>
      </c>
      <c r="M234" s="124" t="n">
        <f aca="false">SUM(J$188:J234)</f>
        <v>0</v>
      </c>
      <c r="N234" s="124" t="n">
        <f aca="false">SUM(J$6:J234)</f>
        <v>0</v>
      </c>
      <c r="P234" s="124" t="n">
        <f aca="false">D234/P$3</f>
        <v>0</v>
      </c>
      <c r="Q234" s="124" t="n">
        <f aca="false">E234/P$3</f>
        <v>0</v>
      </c>
      <c r="R234" s="124" t="n">
        <f aca="false">F234/R$3</f>
        <v>0</v>
      </c>
      <c r="S234" s="126" t="n">
        <f aca="false">J234/$R$3</f>
        <v>0</v>
      </c>
      <c r="T234" s="126" t="n">
        <f aca="false">L234/$R$3</f>
        <v>0</v>
      </c>
      <c r="U234" s="126" t="n">
        <f aca="false">I234/$R$3</f>
        <v>0</v>
      </c>
      <c r="V234" s="126" t="n">
        <f aca="false">M234/$R$3</f>
        <v>0</v>
      </c>
      <c r="W234" s="126" t="n">
        <f aca="false">N234/$R$3</f>
        <v>0</v>
      </c>
    </row>
    <row r="235" customFormat="false" ht="12.75" hidden="true" customHeight="false" outlineLevel="0" collapsed="false">
      <c r="A235" s="120" t="n">
        <f aca="false">A234+1</f>
        <v>37121</v>
      </c>
      <c r="B235" s="131" t="str">
        <f aca="false">INDEX('Master Data'!$A$2:$B$8,MATCH(WEEKDAY('Plant Manager'!A235,3),'Master Data'!$A$2:$A$8,0),2)</f>
        <v>Sa</v>
      </c>
      <c r="D235" s="124" t="n">
        <v>0</v>
      </c>
      <c r="E235" s="124" t="n">
        <v>0</v>
      </c>
      <c r="F235" s="124" t="n">
        <v>0</v>
      </c>
      <c r="G235" s="124" t="n">
        <v>0</v>
      </c>
      <c r="I235" s="124" t="n">
        <f aca="false">IF(MONTH($A235)=MONTH($A234),IF(G235=0,I234,G235),G235)</f>
        <v>0</v>
      </c>
      <c r="J235" s="124" t="n">
        <f aca="false">IF(MONTH($A235)=MONTH($A234),SUM(I235-I234),I235)</f>
        <v>0</v>
      </c>
      <c r="K235" s="124" t="n">
        <f aca="false">IF(WEEKDAY(A235,3)&gt;4,0,(IF(A235&lt;K$2,0,IF(A235&lt;=K$3,1,0))))</f>
        <v>0</v>
      </c>
      <c r="L235" s="124" t="n">
        <f aca="false">J235*K235</f>
        <v>0</v>
      </c>
      <c r="M235" s="124" t="n">
        <f aca="false">SUM(J$188:J235)</f>
        <v>0</v>
      </c>
      <c r="N235" s="124" t="n">
        <f aca="false">SUM(J$6:J235)</f>
        <v>0</v>
      </c>
      <c r="P235" s="124" t="n">
        <f aca="false">D235/P$3</f>
        <v>0</v>
      </c>
      <c r="Q235" s="124" t="n">
        <f aca="false">E235/P$3</f>
        <v>0</v>
      </c>
      <c r="R235" s="124" t="n">
        <f aca="false">F235/R$3</f>
        <v>0</v>
      </c>
      <c r="S235" s="126" t="n">
        <f aca="false">J235/$R$3</f>
        <v>0</v>
      </c>
      <c r="T235" s="126" t="n">
        <f aca="false">L235/$R$3</f>
        <v>0</v>
      </c>
      <c r="U235" s="126" t="n">
        <f aca="false">I235/$R$3</f>
        <v>0</v>
      </c>
      <c r="V235" s="126" t="n">
        <f aca="false">M235/$R$3</f>
        <v>0</v>
      </c>
      <c r="W235" s="126" t="n">
        <f aca="false">N235/$R$3</f>
        <v>0</v>
      </c>
    </row>
    <row r="236" customFormat="false" ht="12.75" hidden="true" customHeight="false" outlineLevel="0" collapsed="false">
      <c r="A236" s="120" t="n">
        <f aca="false">A235+1</f>
        <v>37122</v>
      </c>
      <c r="B236" s="131" t="str">
        <f aca="false">INDEX('Master Data'!$A$2:$B$8,MATCH(WEEKDAY('Plant Manager'!A236,3),'Master Data'!$A$2:$A$8,0),2)</f>
        <v>Su</v>
      </c>
      <c r="D236" s="124" t="n">
        <v>0</v>
      </c>
      <c r="E236" s="124" t="n">
        <v>0</v>
      </c>
      <c r="F236" s="124" t="n">
        <v>0</v>
      </c>
      <c r="G236" s="124" t="n">
        <v>0</v>
      </c>
      <c r="I236" s="124" t="n">
        <f aca="false">IF(MONTH($A236)=MONTH($A235),IF(G236=0,I235,G236),G236)</f>
        <v>0</v>
      </c>
      <c r="J236" s="124" t="n">
        <f aca="false">IF(MONTH($A236)=MONTH($A235),SUM(I236-I235),I236)</f>
        <v>0</v>
      </c>
      <c r="K236" s="124" t="n">
        <f aca="false">IF(WEEKDAY(A236,3)&gt;4,0,(IF(A236&lt;K$2,0,IF(A236&lt;=K$3,1,0))))</f>
        <v>0</v>
      </c>
      <c r="L236" s="124" t="n">
        <f aca="false">J236*K236</f>
        <v>0</v>
      </c>
      <c r="M236" s="124" t="n">
        <f aca="false">SUM(J$188:J236)</f>
        <v>0</v>
      </c>
      <c r="N236" s="124" t="n">
        <f aca="false">SUM(J$6:J236)</f>
        <v>0</v>
      </c>
      <c r="P236" s="124" t="n">
        <f aca="false">D236/P$3</f>
        <v>0</v>
      </c>
      <c r="Q236" s="124" t="n">
        <f aca="false">E236/P$3</f>
        <v>0</v>
      </c>
      <c r="R236" s="124" t="n">
        <f aca="false">F236/R$3</f>
        <v>0</v>
      </c>
      <c r="S236" s="126" t="n">
        <f aca="false">J236/$R$3</f>
        <v>0</v>
      </c>
      <c r="T236" s="126" t="n">
        <f aca="false">L236/$R$3</f>
        <v>0</v>
      </c>
      <c r="U236" s="126" t="n">
        <f aca="false">I236/$R$3</f>
        <v>0</v>
      </c>
      <c r="V236" s="126" t="n">
        <f aca="false">M236/$R$3</f>
        <v>0</v>
      </c>
      <c r="W236" s="126" t="n">
        <f aca="false">N236/$R$3</f>
        <v>0</v>
      </c>
    </row>
    <row r="237" customFormat="false" ht="12.75" hidden="true" customHeight="false" outlineLevel="0" collapsed="false">
      <c r="A237" s="120" t="n">
        <f aca="false">A236+1</f>
        <v>37123</v>
      </c>
      <c r="B237" s="131" t="str">
        <f aca="false">INDEX('Master Data'!$A$2:$B$8,MATCH(WEEKDAY('Plant Manager'!A237,3),'Master Data'!$A$2:$A$8,0),2)</f>
        <v>M</v>
      </c>
      <c r="D237" s="124" t="n">
        <v>0</v>
      </c>
      <c r="E237" s="124" t="n">
        <v>0</v>
      </c>
      <c r="F237" s="124" t="n">
        <v>0</v>
      </c>
      <c r="G237" s="124" t="n">
        <v>0</v>
      </c>
      <c r="I237" s="124" t="n">
        <f aca="false">IF(MONTH($A237)=MONTH($A236),IF(G237=0,I236,G237),G237)</f>
        <v>0</v>
      </c>
      <c r="J237" s="124" t="n">
        <f aca="false">IF(MONTH($A237)=MONTH($A236),SUM(I237-I236),I237)</f>
        <v>0</v>
      </c>
      <c r="K237" s="124" t="n">
        <f aca="false">IF(WEEKDAY(A237,3)&gt;4,0,(IF(A237&lt;K$2,0,IF(A237&lt;=K$3,1,0))))</f>
        <v>0</v>
      </c>
      <c r="L237" s="124" t="n">
        <f aca="false">J237*K237</f>
        <v>0</v>
      </c>
      <c r="M237" s="124" t="n">
        <f aca="false">SUM(J$188:J237)</f>
        <v>0</v>
      </c>
      <c r="N237" s="124" t="n">
        <f aca="false">SUM(J$6:J237)</f>
        <v>0</v>
      </c>
      <c r="P237" s="124" t="n">
        <f aca="false">D237/P$3</f>
        <v>0</v>
      </c>
      <c r="Q237" s="124" t="n">
        <f aca="false">E237/P$3</f>
        <v>0</v>
      </c>
      <c r="R237" s="124" t="n">
        <f aca="false">F237/R$3</f>
        <v>0</v>
      </c>
      <c r="S237" s="126" t="n">
        <f aca="false">J237/$R$3</f>
        <v>0</v>
      </c>
      <c r="T237" s="126" t="n">
        <f aca="false">L237/$R$3</f>
        <v>0</v>
      </c>
      <c r="U237" s="126" t="n">
        <f aca="false">I237/$R$3</f>
        <v>0</v>
      </c>
      <c r="V237" s="126" t="n">
        <f aca="false">M237/$R$3</f>
        <v>0</v>
      </c>
      <c r="W237" s="126" t="n">
        <f aca="false">N237/$R$3</f>
        <v>0</v>
      </c>
    </row>
    <row r="238" customFormat="false" ht="12.75" hidden="true" customHeight="false" outlineLevel="0" collapsed="false">
      <c r="A238" s="120" t="n">
        <f aca="false">A237+1</f>
        <v>37124</v>
      </c>
      <c r="B238" s="131" t="str">
        <f aca="false">INDEX('Master Data'!$A$2:$B$8,MATCH(WEEKDAY('Plant Manager'!A238,3),'Master Data'!$A$2:$A$8,0),2)</f>
        <v>T</v>
      </c>
      <c r="D238" s="124" t="n">
        <v>0</v>
      </c>
      <c r="E238" s="124" t="n">
        <v>0</v>
      </c>
      <c r="F238" s="124" t="n">
        <v>0</v>
      </c>
      <c r="G238" s="124" t="n">
        <v>0</v>
      </c>
      <c r="I238" s="124" t="n">
        <f aca="false">IF(MONTH($A238)=MONTH($A237),IF(G238=0,I237,G238),G238)</f>
        <v>0</v>
      </c>
      <c r="J238" s="124" t="n">
        <f aca="false">IF(MONTH($A238)=MONTH($A237),SUM(I238-I237),I238)</f>
        <v>0</v>
      </c>
      <c r="K238" s="124" t="n">
        <f aca="false">IF(WEEKDAY(A238,3)&gt;4,0,(IF(A238&lt;K$2,0,IF(A238&lt;=K$3,1,0))))</f>
        <v>0</v>
      </c>
      <c r="L238" s="124" t="n">
        <f aca="false">J238*K238</f>
        <v>0</v>
      </c>
      <c r="M238" s="124" t="n">
        <f aca="false">SUM(J$188:J238)</f>
        <v>0</v>
      </c>
      <c r="N238" s="124" t="n">
        <f aca="false">SUM(J$6:J238)</f>
        <v>0</v>
      </c>
      <c r="P238" s="124" t="n">
        <f aca="false">D238/P$3</f>
        <v>0</v>
      </c>
      <c r="Q238" s="124" t="n">
        <f aca="false">E238/P$3</f>
        <v>0</v>
      </c>
      <c r="R238" s="124" t="n">
        <f aca="false">F238/R$3</f>
        <v>0</v>
      </c>
      <c r="S238" s="126" t="n">
        <f aca="false">J238/$R$3</f>
        <v>0</v>
      </c>
      <c r="T238" s="126" t="n">
        <f aca="false">L238/$R$3</f>
        <v>0</v>
      </c>
      <c r="U238" s="126" t="n">
        <f aca="false">I238/$R$3</f>
        <v>0</v>
      </c>
      <c r="V238" s="126" t="n">
        <f aca="false">M238/$R$3</f>
        <v>0</v>
      </c>
      <c r="W238" s="126" t="n">
        <f aca="false">N238/$R$3</f>
        <v>0</v>
      </c>
    </row>
    <row r="239" customFormat="false" ht="12.75" hidden="true" customHeight="false" outlineLevel="0" collapsed="false">
      <c r="A239" s="120" t="n">
        <f aca="false">A238+1</f>
        <v>37125</v>
      </c>
      <c r="B239" s="131" t="str">
        <f aca="false">INDEX('Master Data'!$A$2:$B$8,MATCH(WEEKDAY('Plant Manager'!A239,3),'Master Data'!$A$2:$A$8,0),2)</f>
        <v>W</v>
      </c>
      <c r="D239" s="124" t="n">
        <v>0</v>
      </c>
      <c r="E239" s="124" t="n">
        <v>0</v>
      </c>
      <c r="F239" s="124" t="n">
        <v>0</v>
      </c>
      <c r="G239" s="124" t="n">
        <v>0</v>
      </c>
      <c r="I239" s="124" t="n">
        <f aca="false">IF(MONTH($A239)=MONTH($A238),IF(G239=0,I238,G239),G239)</f>
        <v>0</v>
      </c>
      <c r="J239" s="124" t="n">
        <f aca="false">IF(MONTH($A239)=MONTH($A238),SUM(I239-I238),I239)</f>
        <v>0</v>
      </c>
      <c r="K239" s="124" t="n">
        <f aca="false">IF(WEEKDAY(A239,3)&gt;4,0,(IF(A239&lt;K$2,0,IF(A239&lt;=K$3,1,0))))</f>
        <v>0</v>
      </c>
      <c r="L239" s="124" t="n">
        <f aca="false">J239*K239</f>
        <v>0</v>
      </c>
      <c r="M239" s="124" t="n">
        <f aca="false">SUM(J$188:J239)</f>
        <v>0</v>
      </c>
      <c r="N239" s="124" t="n">
        <f aca="false">SUM(J$6:J239)</f>
        <v>0</v>
      </c>
      <c r="P239" s="124" t="n">
        <f aca="false">D239/P$3</f>
        <v>0</v>
      </c>
      <c r="Q239" s="124" t="n">
        <f aca="false">E239/P$3</f>
        <v>0</v>
      </c>
      <c r="R239" s="124" t="n">
        <f aca="false">F239/R$3</f>
        <v>0</v>
      </c>
      <c r="S239" s="126" t="n">
        <f aca="false">J239/$R$3</f>
        <v>0</v>
      </c>
      <c r="T239" s="126" t="n">
        <f aca="false">L239/$R$3</f>
        <v>0</v>
      </c>
      <c r="U239" s="126" t="n">
        <f aca="false">I239/$R$3</f>
        <v>0</v>
      </c>
      <c r="V239" s="126" t="n">
        <f aca="false">M239/$R$3</f>
        <v>0</v>
      </c>
      <c r="W239" s="126" t="n">
        <f aca="false">N239/$R$3</f>
        <v>0</v>
      </c>
    </row>
    <row r="240" customFormat="false" ht="12.75" hidden="true" customHeight="false" outlineLevel="0" collapsed="false">
      <c r="A240" s="120" t="n">
        <f aca="false">A239+1</f>
        <v>37126</v>
      </c>
      <c r="B240" s="131" t="str">
        <f aca="false">INDEX('Master Data'!$A$2:$B$8,MATCH(WEEKDAY('Plant Manager'!A240,3),'Master Data'!$A$2:$A$8,0),2)</f>
        <v>Th</v>
      </c>
      <c r="D240" s="124" t="n">
        <v>0</v>
      </c>
      <c r="E240" s="124" t="n">
        <v>0</v>
      </c>
      <c r="F240" s="124" t="n">
        <v>0</v>
      </c>
      <c r="G240" s="124" t="n">
        <v>0</v>
      </c>
      <c r="I240" s="124" t="n">
        <f aca="false">IF(MONTH($A240)=MONTH($A239),IF(G240=0,I239,G240),G240)</f>
        <v>0</v>
      </c>
      <c r="J240" s="124" t="n">
        <f aca="false">IF(MONTH($A240)=MONTH($A239),SUM(I240-I239),I240)</f>
        <v>0</v>
      </c>
      <c r="K240" s="124" t="n">
        <f aca="false">IF(WEEKDAY(A240,3)&gt;4,0,(IF(A240&lt;K$2,0,IF(A240&lt;=K$3,1,0))))</f>
        <v>0</v>
      </c>
      <c r="L240" s="124" t="n">
        <f aca="false">J240*K240</f>
        <v>0</v>
      </c>
      <c r="M240" s="124" t="n">
        <f aca="false">SUM(J$188:J240)</f>
        <v>0</v>
      </c>
      <c r="N240" s="124" t="n">
        <f aca="false">SUM(J$6:J240)</f>
        <v>0</v>
      </c>
      <c r="P240" s="124" t="n">
        <f aca="false">D240/P$3</f>
        <v>0</v>
      </c>
      <c r="Q240" s="124" t="n">
        <f aca="false">E240/P$3</f>
        <v>0</v>
      </c>
      <c r="R240" s="124" t="n">
        <f aca="false">F240/R$3</f>
        <v>0</v>
      </c>
      <c r="S240" s="126" t="n">
        <f aca="false">J240/$R$3</f>
        <v>0</v>
      </c>
      <c r="T240" s="126" t="n">
        <f aca="false">L240/$R$3</f>
        <v>0</v>
      </c>
      <c r="U240" s="126" t="n">
        <f aca="false">I240/$R$3</f>
        <v>0</v>
      </c>
      <c r="V240" s="126" t="n">
        <f aca="false">M240/$R$3</f>
        <v>0</v>
      </c>
      <c r="W240" s="126" t="n">
        <f aca="false">N240/$R$3</f>
        <v>0</v>
      </c>
    </row>
    <row r="241" customFormat="false" ht="12.75" hidden="true" customHeight="false" outlineLevel="0" collapsed="false">
      <c r="A241" s="120" t="n">
        <f aca="false">A240+1</f>
        <v>37127</v>
      </c>
      <c r="B241" s="131" t="str">
        <f aca="false">INDEX('Master Data'!$A$2:$B$8,MATCH(WEEKDAY('Plant Manager'!A241,3),'Master Data'!$A$2:$A$8,0),2)</f>
        <v>F</v>
      </c>
      <c r="D241" s="124" t="n">
        <v>0</v>
      </c>
      <c r="E241" s="124" t="n">
        <v>0</v>
      </c>
      <c r="F241" s="124" t="n">
        <v>0</v>
      </c>
      <c r="G241" s="124" t="n">
        <v>0</v>
      </c>
      <c r="I241" s="124" t="n">
        <f aca="false">IF(MONTH($A241)=MONTH($A240),IF(G241=0,I240,G241),G241)</f>
        <v>0</v>
      </c>
      <c r="J241" s="124" t="n">
        <f aca="false">IF(MONTH($A241)=MONTH($A240),SUM(I241-I240),I241)</f>
        <v>0</v>
      </c>
      <c r="K241" s="124" t="n">
        <f aca="false">IF(WEEKDAY(A241,3)&gt;4,0,(IF(A241&lt;K$2,0,IF(A241&lt;=K$3,1,0))))</f>
        <v>0</v>
      </c>
      <c r="L241" s="124" t="n">
        <f aca="false">J241*K241</f>
        <v>0</v>
      </c>
      <c r="M241" s="124" t="n">
        <f aca="false">SUM(J$188:J241)</f>
        <v>0</v>
      </c>
      <c r="N241" s="124" t="n">
        <f aca="false">SUM(J$6:J241)</f>
        <v>0</v>
      </c>
      <c r="P241" s="124" t="n">
        <f aca="false">D241/P$3</f>
        <v>0</v>
      </c>
      <c r="Q241" s="124" t="n">
        <f aca="false">E241/P$3</f>
        <v>0</v>
      </c>
      <c r="R241" s="124" t="n">
        <f aca="false">F241/R$3</f>
        <v>0</v>
      </c>
      <c r="S241" s="126" t="n">
        <f aca="false">J241/$R$3</f>
        <v>0</v>
      </c>
      <c r="T241" s="126" t="n">
        <f aca="false">L241/$R$3</f>
        <v>0</v>
      </c>
      <c r="U241" s="126" t="n">
        <f aca="false">I241/$R$3</f>
        <v>0</v>
      </c>
      <c r="V241" s="126" t="n">
        <f aca="false">M241/$R$3</f>
        <v>0</v>
      </c>
      <c r="W241" s="126" t="n">
        <f aca="false">N241/$R$3</f>
        <v>0</v>
      </c>
    </row>
    <row r="242" customFormat="false" ht="12.75" hidden="true" customHeight="false" outlineLevel="0" collapsed="false">
      <c r="A242" s="120" t="n">
        <f aca="false">A241+1</f>
        <v>37128</v>
      </c>
      <c r="B242" s="131" t="str">
        <f aca="false">INDEX('Master Data'!$A$2:$B$8,MATCH(WEEKDAY('Plant Manager'!A242,3),'Master Data'!$A$2:$A$8,0),2)</f>
        <v>Sa</v>
      </c>
      <c r="D242" s="124" t="n">
        <v>0</v>
      </c>
      <c r="E242" s="124" t="n">
        <v>0</v>
      </c>
      <c r="F242" s="124" t="n">
        <v>0</v>
      </c>
      <c r="G242" s="124" t="n">
        <v>0</v>
      </c>
      <c r="I242" s="124" t="n">
        <f aca="false">IF(MONTH($A242)=MONTH($A241),IF(G242=0,I241,G242),G242)</f>
        <v>0</v>
      </c>
      <c r="J242" s="124" t="n">
        <f aca="false">IF(MONTH($A242)=MONTH($A241),SUM(I242-I241),I242)</f>
        <v>0</v>
      </c>
      <c r="K242" s="124" t="n">
        <f aca="false">IF(WEEKDAY(A242,3)&gt;4,0,(IF(A242&lt;K$2,0,IF(A242&lt;=K$3,1,0))))</f>
        <v>0</v>
      </c>
      <c r="L242" s="124" t="n">
        <f aca="false">J242*K242</f>
        <v>0</v>
      </c>
      <c r="M242" s="124" t="n">
        <f aca="false">SUM(J$188:J242)</f>
        <v>0</v>
      </c>
      <c r="N242" s="124" t="n">
        <f aca="false">SUM(J$6:J242)</f>
        <v>0</v>
      </c>
      <c r="P242" s="124" t="n">
        <f aca="false">D242/P$3</f>
        <v>0</v>
      </c>
      <c r="Q242" s="124" t="n">
        <f aca="false">E242/P$3</f>
        <v>0</v>
      </c>
      <c r="R242" s="124" t="n">
        <f aca="false">F242/R$3</f>
        <v>0</v>
      </c>
      <c r="S242" s="126" t="n">
        <f aca="false">J242/$R$3</f>
        <v>0</v>
      </c>
      <c r="T242" s="126" t="n">
        <f aca="false">L242/$R$3</f>
        <v>0</v>
      </c>
      <c r="U242" s="126" t="n">
        <f aca="false">I242/$R$3</f>
        <v>0</v>
      </c>
      <c r="V242" s="126" t="n">
        <f aca="false">M242/$R$3</f>
        <v>0</v>
      </c>
      <c r="W242" s="126" t="n">
        <f aca="false">N242/$R$3</f>
        <v>0</v>
      </c>
    </row>
    <row r="243" customFormat="false" ht="12.75" hidden="true" customHeight="false" outlineLevel="0" collapsed="false">
      <c r="A243" s="120" t="n">
        <f aca="false">A242+1</f>
        <v>37129</v>
      </c>
      <c r="B243" s="131" t="str">
        <f aca="false">INDEX('Master Data'!$A$2:$B$8,MATCH(WEEKDAY('Plant Manager'!A243,3),'Master Data'!$A$2:$A$8,0),2)</f>
        <v>Su</v>
      </c>
      <c r="D243" s="124" t="n">
        <v>0</v>
      </c>
      <c r="E243" s="124" t="n">
        <v>0</v>
      </c>
      <c r="F243" s="124" t="n">
        <v>0</v>
      </c>
      <c r="G243" s="124" t="n">
        <v>0</v>
      </c>
      <c r="I243" s="124" t="n">
        <f aca="false">IF(MONTH($A243)=MONTH($A242),IF(G243=0,I242,G243),G243)</f>
        <v>0</v>
      </c>
      <c r="J243" s="124" t="n">
        <f aca="false">IF(MONTH($A243)=MONTH($A242),SUM(I243-I242),I243)</f>
        <v>0</v>
      </c>
      <c r="K243" s="124" t="n">
        <f aca="false">IF(WEEKDAY(A243,3)&gt;4,0,(IF(A243&lt;K$2,0,IF(A243&lt;=K$3,1,0))))</f>
        <v>0</v>
      </c>
      <c r="L243" s="124" t="n">
        <f aca="false">J243*K243</f>
        <v>0</v>
      </c>
      <c r="M243" s="124" t="n">
        <f aca="false">SUM(J$188:J243)</f>
        <v>0</v>
      </c>
      <c r="N243" s="124" t="n">
        <f aca="false">SUM(J$6:J243)</f>
        <v>0</v>
      </c>
      <c r="P243" s="124" t="n">
        <f aca="false">D243/P$3</f>
        <v>0</v>
      </c>
      <c r="Q243" s="124" t="n">
        <f aca="false">E243/P$3</f>
        <v>0</v>
      </c>
      <c r="R243" s="124" t="n">
        <f aca="false">F243/R$3</f>
        <v>0</v>
      </c>
      <c r="S243" s="126" t="n">
        <f aca="false">J243/$R$3</f>
        <v>0</v>
      </c>
      <c r="T243" s="126" t="n">
        <f aca="false">L243/$R$3</f>
        <v>0</v>
      </c>
      <c r="U243" s="126" t="n">
        <f aca="false">I243/$R$3</f>
        <v>0</v>
      </c>
      <c r="V243" s="126" t="n">
        <f aca="false">M243/$R$3</f>
        <v>0</v>
      </c>
      <c r="W243" s="126" t="n">
        <f aca="false">N243/$R$3</f>
        <v>0</v>
      </c>
    </row>
    <row r="244" customFormat="false" ht="12.75" hidden="true" customHeight="false" outlineLevel="0" collapsed="false">
      <c r="A244" s="120" t="n">
        <f aca="false">A243+1</f>
        <v>37130</v>
      </c>
      <c r="B244" s="131" t="str">
        <f aca="false">INDEX('Master Data'!$A$2:$B$8,MATCH(WEEKDAY('Plant Manager'!A244,3),'Master Data'!$A$2:$A$8,0),2)</f>
        <v>M</v>
      </c>
      <c r="D244" s="124" t="n">
        <v>0</v>
      </c>
      <c r="E244" s="124" t="n">
        <v>0</v>
      </c>
      <c r="F244" s="124" t="n">
        <v>0</v>
      </c>
      <c r="G244" s="124" t="n">
        <v>0</v>
      </c>
      <c r="I244" s="124" t="n">
        <f aca="false">IF(MONTH($A244)=MONTH($A243),IF(G244=0,I243,G244),G244)</f>
        <v>0</v>
      </c>
      <c r="J244" s="124" t="n">
        <f aca="false">IF(MONTH($A244)=MONTH($A243),SUM(I244-I243),I244)</f>
        <v>0</v>
      </c>
      <c r="K244" s="124" t="n">
        <f aca="false">IF(WEEKDAY(A244,3)&gt;4,0,(IF(A244&lt;K$2,0,IF(A244&lt;=K$3,1,0))))</f>
        <v>0</v>
      </c>
      <c r="L244" s="124" t="n">
        <f aca="false">J244*K244</f>
        <v>0</v>
      </c>
      <c r="M244" s="124" t="n">
        <f aca="false">SUM(J$188:J244)</f>
        <v>0</v>
      </c>
      <c r="N244" s="124" t="n">
        <f aca="false">SUM(J$6:J244)</f>
        <v>0</v>
      </c>
      <c r="P244" s="124" t="n">
        <f aca="false">D244/P$3</f>
        <v>0</v>
      </c>
      <c r="Q244" s="124" t="n">
        <f aca="false">E244/P$3</f>
        <v>0</v>
      </c>
      <c r="R244" s="124" t="n">
        <f aca="false">F244/R$3</f>
        <v>0</v>
      </c>
      <c r="S244" s="126" t="n">
        <f aca="false">J244/$R$3</f>
        <v>0</v>
      </c>
      <c r="T244" s="126" t="n">
        <f aca="false">L244/$R$3</f>
        <v>0</v>
      </c>
      <c r="U244" s="126" t="n">
        <f aca="false">I244/$R$3</f>
        <v>0</v>
      </c>
      <c r="V244" s="126" t="n">
        <f aca="false">M244/$R$3</f>
        <v>0</v>
      </c>
      <c r="W244" s="126" t="n">
        <f aca="false">N244/$R$3</f>
        <v>0</v>
      </c>
    </row>
    <row r="245" customFormat="false" ht="12.75" hidden="true" customHeight="false" outlineLevel="0" collapsed="false">
      <c r="A245" s="120" t="n">
        <f aca="false">A244+1</f>
        <v>37131</v>
      </c>
      <c r="B245" s="131" t="str">
        <f aca="false">INDEX('Master Data'!$A$2:$B$8,MATCH(WEEKDAY('Plant Manager'!A245,3),'Master Data'!$A$2:$A$8,0),2)</f>
        <v>T</v>
      </c>
      <c r="D245" s="124" t="n">
        <v>0</v>
      </c>
      <c r="E245" s="124" t="n">
        <v>0</v>
      </c>
      <c r="F245" s="124" t="n">
        <v>0</v>
      </c>
      <c r="G245" s="124" t="n">
        <v>0</v>
      </c>
      <c r="I245" s="124" t="n">
        <f aca="false">IF(MONTH($A245)=MONTH($A244),IF(G245=0,I244,G245),G245)</f>
        <v>0</v>
      </c>
      <c r="J245" s="124" t="n">
        <f aca="false">IF(MONTH($A245)=MONTH($A244),SUM(I245-I244),I245)</f>
        <v>0</v>
      </c>
      <c r="K245" s="124" t="n">
        <f aca="false">IF(WEEKDAY(A245,3)&gt;4,0,(IF(A245&lt;K$2,0,IF(A245&lt;=K$3,1,0))))</f>
        <v>0</v>
      </c>
      <c r="L245" s="124" t="n">
        <f aca="false">J245*K245</f>
        <v>0</v>
      </c>
      <c r="M245" s="124" t="n">
        <f aca="false">SUM(J$188:J245)</f>
        <v>0</v>
      </c>
      <c r="N245" s="124" t="n">
        <f aca="false">SUM(J$6:J245)</f>
        <v>0</v>
      </c>
      <c r="P245" s="124" t="n">
        <f aca="false">D245/P$3</f>
        <v>0</v>
      </c>
      <c r="Q245" s="124" t="n">
        <f aca="false">E245/P$3</f>
        <v>0</v>
      </c>
      <c r="R245" s="124" t="n">
        <f aca="false">F245/R$3</f>
        <v>0</v>
      </c>
      <c r="S245" s="126" t="n">
        <f aca="false">J245/$R$3</f>
        <v>0</v>
      </c>
      <c r="T245" s="126" t="n">
        <f aca="false">L245/$R$3</f>
        <v>0</v>
      </c>
      <c r="U245" s="126" t="n">
        <f aca="false">I245/$R$3</f>
        <v>0</v>
      </c>
      <c r="V245" s="126" t="n">
        <f aca="false">M245/$R$3</f>
        <v>0</v>
      </c>
      <c r="W245" s="126" t="n">
        <f aca="false">N245/$R$3</f>
        <v>0</v>
      </c>
    </row>
    <row r="246" customFormat="false" ht="12.75" hidden="true" customHeight="false" outlineLevel="0" collapsed="false">
      <c r="A246" s="120" t="n">
        <f aca="false">A245+1</f>
        <v>37132</v>
      </c>
      <c r="B246" s="131" t="str">
        <f aca="false">INDEX('Master Data'!$A$2:$B$8,MATCH(WEEKDAY('Plant Manager'!A246,3),'Master Data'!$A$2:$A$8,0),2)</f>
        <v>W</v>
      </c>
      <c r="D246" s="124" t="n">
        <v>0</v>
      </c>
      <c r="E246" s="124" t="n">
        <v>0</v>
      </c>
      <c r="F246" s="124" t="n">
        <v>0</v>
      </c>
      <c r="G246" s="124" t="n">
        <v>0</v>
      </c>
      <c r="I246" s="124" t="n">
        <f aca="false">IF(MONTH($A246)=MONTH($A245),IF(G246=0,I245,G246),G246)</f>
        <v>0</v>
      </c>
      <c r="J246" s="124" t="n">
        <f aca="false">IF(MONTH($A246)=MONTH($A245),SUM(I246-I245),I246)</f>
        <v>0</v>
      </c>
      <c r="K246" s="124" t="n">
        <f aca="false">IF(WEEKDAY(A246,3)&gt;4,0,(IF(A246&lt;K$2,0,IF(A246&lt;=K$3,1,0))))</f>
        <v>0</v>
      </c>
      <c r="L246" s="124" t="n">
        <f aca="false">J246*K246</f>
        <v>0</v>
      </c>
      <c r="M246" s="124" t="n">
        <f aca="false">SUM(J$188:J246)</f>
        <v>0</v>
      </c>
      <c r="N246" s="124" t="n">
        <f aca="false">SUM(J$6:J246)</f>
        <v>0</v>
      </c>
      <c r="P246" s="124" t="n">
        <f aca="false">D246/P$3</f>
        <v>0</v>
      </c>
      <c r="Q246" s="124" t="n">
        <f aca="false">E246/P$3</f>
        <v>0</v>
      </c>
      <c r="R246" s="124" t="n">
        <f aca="false">F246/R$3</f>
        <v>0</v>
      </c>
      <c r="S246" s="126" t="n">
        <f aca="false">J246/$R$3</f>
        <v>0</v>
      </c>
      <c r="T246" s="126" t="n">
        <f aca="false">L246/$R$3</f>
        <v>0</v>
      </c>
      <c r="U246" s="126" t="n">
        <f aca="false">I246/$R$3</f>
        <v>0</v>
      </c>
      <c r="V246" s="126" t="n">
        <f aca="false">M246/$R$3</f>
        <v>0</v>
      </c>
      <c r="W246" s="126" t="n">
        <f aca="false">N246/$R$3</f>
        <v>0</v>
      </c>
    </row>
    <row r="247" customFormat="false" ht="12.75" hidden="true" customHeight="false" outlineLevel="0" collapsed="false">
      <c r="A247" s="120" t="n">
        <f aca="false">A246+1</f>
        <v>37133</v>
      </c>
      <c r="B247" s="131" t="str">
        <f aca="false">INDEX('Master Data'!$A$2:$B$8,MATCH(WEEKDAY('Plant Manager'!A247,3),'Master Data'!$A$2:$A$8,0),2)</f>
        <v>Th</v>
      </c>
      <c r="D247" s="124" t="n">
        <v>0</v>
      </c>
      <c r="E247" s="124" t="n">
        <v>0</v>
      </c>
      <c r="F247" s="124" t="n">
        <v>0</v>
      </c>
      <c r="G247" s="124" t="n">
        <v>0</v>
      </c>
      <c r="I247" s="124" t="n">
        <f aca="false">IF(MONTH($A247)=MONTH($A246),IF(G247=0,I246,G247),G247)</f>
        <v>0</v>
      </c>
      <c r="J247" s="124" t="n">
        <f aca="false">IF(MONTH($A247)=MONTH($A246),SUM(I247-I246),I247)</f>
        <v>0</v>
      </c>
      <c r="K247" s="124" t="n">
        <f aca="false">IF(WEEKDAY(A247,3)&gt;4,0,(IF(A247&lt;K$2,0,IF(A247&lt;=K$3,1,0))))</f>
        <v>0</v>
      </c>
      <c r="L247" s="124" t="n">
        <f aca="false">J247*K247</f>
        <v>0</v>
      </c>
      <c r="M247" s="124" t="n">
        <f aca="false">SUM(J$188:J247)</f>
        <v>0</v>
      </c>
      <c r="N247" s="124" t="n">
        <f aca="false">SUM(J$6:J247)</f>
        <v>0</v>
      </c>
      <c r="P247" s="124" t="n">
        <f aca="false">D247/P$3</f>
        <v>0</v>
      </c>
      <c r="Q247" s="124" t="n">
        <f aca="false">E247/P$3</f>
        <v>0</v>
      </c>
      <c r="R247" s="124" t="n">
        <f aca="false">F247/R$3</f>
        <v>0</v>
      </c>
      <c r="S247" s="126" t="n">
        <f aca="false">J247/$R$3</f>
        <v>0</v>
      </c>
      <c r="T247" s="126" t="n">
        <f aca="false">L247/$R$3</f>
        <v>0</v>
      </c>
      <c r="U247" s="126" t="n">
        <f aca="false">I247/$R$3</f>
        <v>0</v>
      </c>
      <c r="V247" s="126" t="n">
        <f aca="false">M247/$R$3</f>
        <v>0</v>
      </c>
      <c r="W247" s="126" t="n">
        <f aca="false">N247/$R$3</f>
        <v>0</v>
      </c>
    </row>
    <row r="248" customFormat="false" ht="12.75" hidden="false" customHeight="false" outlineLevel="0" collapsed="false">
      <c r="A248" s="120" t="n">
        <f aca="false">A247+1</f>
        <v>37134</v>
      </c>
      <c r="B248" s="131" t="str">
        <f aca="false">INDEX('Master Data'!$A$2:$B$8,MATCH(WEEKDAY('Plant Manager'!A248,3),'Master Data'!$A$2:$A$8,0),2)</f>
        <v>F</v>
      </c>
      <c r="D248" s="124" t="n">
        <v>0</v>
      </c>
      <c r="E248" s="124" t="n">
        <v>0</v>
      </c>
      <c r="F248" s="124" t="n">
        <v>0</v>
      </c>
      <c r="G248" s="124" t="n">
        <v>0</v>
      </c>
      <c r="I248" s="124" t="n">
        <f aca="false">IF(MONTH($A248)=MONTH($A247),IF(G248=0,I247,G248),G248)</f>
        <v>0</v>
      </c>
      <c r="J248" s="124" t="n">
        <f aca="false">IF(MONTH($A248)=MONTH($A247),SUM(I248-I247),I248)</f>
        <v>0</v>
      </c>
      <c r="K248" s="124" t="n">
        <f aca="false">IF(WEEKDAY(A248,3)&gt;4,0,(IF(A248&lt;K$2,0,IF(A248&lt;=K$3,1,0))))</f>
        <v>0</v>
      </c>
      <c r="L248" s="124" t="n">
        <f aca="false">J248*K248</f>
        <v>0</v>
      </c>
      <c r="M248" s="124" t="n">
        <f aca="false">SUM(J$188:J248)</f>
        <v>0</v>
      </c>
      <c r="N248" s="124" t="n">
        <f aca="false">SUM(J$6:J248)</f>
        <v>0</v>
      </c>
      <c r="P248" s="124" t="n">
        <f aca="false">D248/P$3</f>
        <v>0</v>
      </c>
      <c r="Q248" s="124" t="n">
        <f aca="false">E248/P$3</f>
        <v>0</v>
      </c>
      <c r="R248" s="124" t="n">
        <f aca="false">F248/R$3</f>
        <v>0</v>
      </c>
      <c r="S248" s="126" t="n">
        <f aca="false">J248/$R$3</f>
        <v>0</v>
      </c>
      <c r="T248" s="126" t="n">
        <f aca="false">L248/$R$3</f>
        <v>0</v>
      </c>
      <c r="U248" s="126" t="n">
        <f aca="false">I248/$R$3</f>
        <v>0</v>
      </c>
      <c r="V248" s="126" t="n">
        <f aca="false">M248/$R$3</f>
        <v>0</v>
      </c>
      <c r="W248" s="126" t="n">
        <f aca="false">N248/$R$3</f>
        <v>0</v>
      </c>
    </row>
    <row r="249" customFormat="false" ht="12.75" hidden="true" customHeight="false" outlineLevel="0" collapsed="false">
      <c r="A249" s="120" t="n">
        <f aca="false">A248+1</f>
        <v>37135</v>
      </c>
      <c r="B249" s="131" t="str">
        <f aca="false">INDEX('Master Data'!$A$2:$B$8,MATCH(WEEKDAY('Plant Manager'!A249,3),'Master Data'!$A$2:$A$8,0),2)</f>
        <v>Sa</v>
      </c>
      <c r="D249" s="124" t="n">
        <v>0</v>
      </c>
      <c r="E249" s="124" t="n">
        <v>0</v>
      </c>
      <c r="F249" s="124" t="n">
        <v>0</v>
      </c>
      <c r="G249" s="124" t="n">
        <v>0</v>
      </c>
      <c r="I249" s="124" t="n">
        <f aca="false">IF(MONTH($A249)=MONTH($A248),IF(G249=0,I248,G249),G249)</f>
        <v>0</v>
      </c>
      <c r="J249" s="124" t="n">
        <f aca="false">IF(MONTH($A249)=MONTH($A248),SUM(I249-I248),I249)</f>
        <v>0</v>
      </c>
      <c r="K249" s="124" t="n">
        <f aca="false">IF(WEEKDAY(A249,3)&gt;4,0,(IF(A249&lt;K$2,0,IF(A249&lt;=K$3,1,0))))</f>
        <v>0</v>
      </c>
      <c r="L249" s="124" t="n">
        <f aca="false">J249*K249</f>
        <v>0</v>
      </c>
      <c r="M249" s="124" t="n">
        <f aca="false">SUM(J$188:J249)</f>
        <v>0</v>
      </c>
      <c r="N249" s="124" t="n">
        <f aca="false">SUM(J$6:J249)</f>
        <v>0</v>
      </c>
      <c r="P249" s="124" t="n">
        <f aca="false">D249/P$3</f>
        <v>0</v>
      </c>
      <c r="Q249" s="124" t="n">
        <f aca="false">E249/P$3</f>
        <v>0</v>
      </c>
      <c r="R249" s="124" t="n">
        <f aca="false">F249/R$3</f>
        <v>0</v>
      </c>
      <c r="S249" s="126" t="n">
        <f aca="false">J249/$R$3</f>
        <v>0</v>
      </c>
      <c r="T249" s="126" t="n">
        <f aca="false">L249/$R$3</f>
        <v>0</v>
      </c>
      <c r="U249" s="126" t="n">
        <f aca="false">I249/$R$3</f>
        <v>0</v>
      </c>
      <c r="V249" s="126" t="n">
        <f aca="false">M249/$R$3</f>
        <v>0</v>
      </c>
      <c r="W249" s="126" t="n">
        <f aca="false">N249/$R$3</f>
        <v>0</v>
      </c>
    </row>
    <row r="250" customFormat="false" ht="12.75" hidden="true" customHeight="false" outlineLevel="0" collapsed="false">
      <c r="A250" s="120" t="n">
        <f aca="false">A249+1</f>
        <v>37136</v>
      </c>
      <c r="B250" s="131" t="str">
        <f aca="false">INDEX('Master Data'!$A$2:$B$8,MATCH(WEEKDAY('Plant Manager'!A250,3),'Master Data'!$A$2:$A$8,0),2)</f>
        <v>Su</v>
      </c>
      <c r="D250" s="124" t="n">
        <v>0</v>
      </c>
      <c r="E250" s="124" t="n">
        <v>0</v>
      </c>
      <c r="F250" s="124" t="n">
        <v>0</v>
      </c>
      <c r="G250" s="124" t="n">
        <v>0</v>
      </c>
      <c r="I250" s="124" t="n">
        <f aca="false">IF(MONTH($A250)=MONTH($A249),IF(G250=0,I249,G250),G250)</f>
        <v>0</v>
      </c>
      <c r="J250" s="124" t="n">
        <f aca="false">IF(MONTH($A250)=MONTH($A249),SUM(I250-I249),I250)</f>
        <v>0</v>
      </c>
      <c r="K250" s="124" t="n">
        <f aca="false">IF(WEEKDAY(A250,3)&gt;4,0,(IF(A250&lt;K$2,0,IF(A250&lt;=K$3,1,0))))</f>
        <v>0</v>
      </c>
      <c r="L250" s="124" t="n">
        <f aca="false">J250*K250</f>
        <v>0</v>
      </c>
      <c r="M250" s="124" t="n">
        <f aca="false">SUM(J$188:J250)</f>
        <v>0</v>
      </c>
      <c r="N250" s="124" t="n">
        <f aca="false">SUM(J$6:J250)</f>
        <v>0</v>
      </c>
      <c r="P250" s="124" t="n">
        <f aca="false">D250/P$3</f>
        <v>0</v>
      </c>
      <c r="Q250" s="124" t="n">
        <f aca="false">E250/P$3</f>
        <v>0</v>
      </c>
      <c r="R250" s="124" t="n">
        <f aca="false">F250/R$3</f>
        <v>0</v>
      </c>
      <c r="S250" s="126" t="n">
        <f aca="false">J250/$R$3</f>
        <v>0</v>
      </c>
      <c r="T250" s="126" t="n">
        <f aca="false">L250/$R$3</f>
        <v>0</v>
      </c>
      <c r="U250" s="126" t="n">
        <f aca="false">I250/$R$3</f>
        <v>0</v>
      </c>
      <c r="V250" s="126" t="n">
        <f aca="false">M250/$R$3</f>
        <v>0</v>
      </c>
      <c r="W250" s="126" t="n">
        <f aca="false">N250/$R$3</f>
        <v>0</v>
      </c>
    </row>
    <row r="251" customFormat="false" ht="12.75" hidden="true" customHeight="false" outlineLevel="0" collapsed="false">
      <c r="A251" s="120" t="n">
        <f aca="false">A250+1</f>
        <v>37137</v>
      </c>
      <c r="B251" s="131" t="str">
        <f aca="false">INDEX('Master Data'!$A$2:$B$8,MATCH(WEEKDAY('Plant Manager'!A251,3),'Master Data'!$A$2:$A$8,0),2)</f>
        <v>M</v>
      </c>
      <c r="D251" s="124" t="n">
        <v>0</v>
      </c>
      <c r="E251" s="124" t="n">
        <v>0</v>
      </c>
      <c r="F251" s="124" t="n">
        <v>0</v>
      </c>
      <c r="G251" s="124" t="n">
        <v>0</v>
      </c>
      <c r="I251" s="124" t="n">
        <f aca="false">IF(MONTH($A251)=MONTH($A250),IF(G251=0,I250,G251),G251)</f>
        <v>0</v>
      </c>
      <c r="J251" s="124" t="n">
        <f aca="false">IF(MONTH($A251)=MONTH($A250),SUM(I251-I250),I251)</f>
        <v>0</v>
      </c>
      <c r="K251" s="124" t="n">
        <f aca="false">IF(WEEKDAY(A251,3)&gt;4,0,(IF(A251&lt;K$2,0,IF(A251&lt;=K$3,1,0))))</f>
        <v>0</v>
      </c>
      <c r="L251" s="124" t="n">
        <f aca="false">J251*K251</f>
        <v>0</v>
      </c>
      <c r="M251" s="124" t="n">
        <f aca="false">SUM(J$188:J251)</f>
        <v>0</v>
      </c>
      <c r="N251" s="124" t="n">
        <f aca="false">SUM(J$6:J251)</f>
        <v>0</v>
      </c>
      <c r="P251" s="124" t="n">
        <f aca="false">D251/P$3</f>
        <v>0</v>
      </c>
      <c r="Q251" s="124" t="n">
        <f aca="false">E251/P$3</f>
        <v>0</v>
      </c>
      <c r="R251" s="124" t="n">
        <f aca="false">F251/R$3</f>
        <v>0</v>
      </c>
      <c r="S251" s="126" t="n">
        <f aca="false">J251/$R$3</f>
        <v>0</v>
      </c>
      <c r="T251" s="126" t="n">
        <f aca="false">L251/$R$3</f>
        <v>0</v>
      </c>
      <c r="U251" s="126" t="n">
        <f aca="false">I251/$R$3</f>
        <v>0</v>
      </c>
      <c r="V251" s="126" t="n">
        <f aca="false">M251/$R$3</f>
        <v>0</v>
      </c>
      <c r="W251" s="126" t="n">
        <f aca="false">N251/$R$3</f>
        <v>0</v>
      </c>
    </row>
    <row r="252" customFormat="false" ht="12.75" hidden="true" customHeight="false" outlineLevel="0" collapsed="false">
      <c r="A252" s="120" t="n">
        <f aca="false">A251+1</f>
        <v>37138</v>
      </c>
      <c r="B252" s="131" t="str">
        <f aca="false">INDEX('Master Data'!$A$2:$B$8,MATCH(WEEKDAY('Plant Manager'!A252,3),'Master Data'!$A$2:$A$8,0),2)</f>
        <v>T</v>
      </c>
      <c r="D252" s="124" t="n">
        <v>0</v>
      </c>
      <c r="E252" s="124" t="n">
        <v>0</v>
      </c>
      <c r="F252" s="124" t="n">
        <v>0</v>
      </c>
      <c r="G252" s="124" t="n">
        <v>0</v>
      </c>
      <c r="I252" s="124" t="n">
        <f aca="false">IF(MONTH($A252)=MONTH($A251),IF(G252=0,I251,G252),G252)</f>
        <v>0</v>
      </c>
      <c r="J252" s="124" t="n">
        <f aca="false">IF(MONTH($A252)=MONTH($A251),SUM(I252-I251),I252)</f>
        <v>0</v>
      </c>
      <c r="K252" s="124" t="n">
        <f aca="false">IF(WEEKDAY(A252,3)&gt;4,0,(IF(A252&lt;K$2,0,IF(A252&lt;=K$3,1,0))))</f>
        <v>0</v>
      </c>
      <c r="L252" s="124" t="n">
        <f aca="false">J252*K252</f>
        <v>0</v>
      </c>
      <c r="M252" s="124" t="n">
        <f aca="false">SUM(J$188:J252)</f>
        <v>0</v>
      </c>
      <c r="N252" s="124" t="n">
        <f aca="false">SUM(J$6:J252)</f>
        <v>0</v>
      </c>
      <c r="P252" s="124" t="n">
        <f aca="false">D252/P$3</f>
        <v>0</v>
      </c>
      <c r="Q252" s="124" t="n">
        <f aca="false">E252/P$3</f>
        <v>0</v>
      </c>
      <c r="R252" s="124" t="n">
        <f aca="false">F252/R$3</f>
        <v>0</v>
      </c>
      <c r="S252" s="126" t="n">
        <f aca="false">J252/$R$3</f>
        <v>0</v>
      </c>
      <c r="T252" s="126" t="n">
        <f aca="false">L252/$R$3</f>
        <v>0</v>
      </c>
      <c r="U252" s="126" t="n">
        <f aca="false">I252/$R$3</f>
        <v>0</v>
      </c>
      <c r="V252" s="126" t="n">
        <f aca="false">M252/$R$3</f>
        <v>0</v>
      </c>
      <c r="W252" s="126" t="n">
        <f aca="false">N252/$R$3</f>
        <v>0</v>
      </c>
    </row>
    <row r="253" customFormat="false" ht="12.75" hidden="true" customHeight="false" outlineLevel="0" collapsed="false">
      <c r="A253" s="120" t="n">
        <f aca="false">A252+1</f>
        <v>37139</v>
      </c>
      <c r="B253" s="131" t="str">
        <f aca="false">INDEX('Master Data'!$A$2:$B$8,MATCH(WEEKDAY('Plant Manager'!A253,3),'Master Data'!$A$2:$A$8,0),2)</f>
        <v>W</v>
      </c>
      <c r="D253" s="124" t="n">
        <v>0</v>
      </c>
      <c r="E253" s="124" t="n">
        <v>0</v>
      </c>
      <c r="F253" s="124" t="n">
        <v>0</v>
      </c>
      <c r="G253" s="124" t="n">
        <v>0</v>
      </c>
      <c r="I253" s="124" t="n">
        <f aca="false">IF(MONTH($A253)=MONTH($A252),IF(G253=0,I252,G253),G253)</f>
        <v>0</v>
      </c>
      <c r="J253" s="124" t="n">
        <f aca="false">IF(MONTH($A253)=MONTH($A252),SUM(I253-I252),I253)</f>
        <v>0</v>
      </c>
      <c r="K253" s="124" t="n">
        <f aca="false">IF(WEEKDAY(A253,3)&gt;4,0,(IF(A253&lt;K$2,0,IF(A253&lt;=K$3,1,0))))</f>
        <v>0</v>
      </c>
      <c r="L253" s="124" t="n">
        <f aca="false">J253*K253</f>
        <v>0</v>
      </c>
      <c r="M253" s="124" t="n">
        <f aca="false">SUM(J$188:J253)</f>
        <v>0</v>
      </c>
      <c r="N253" s="124" t="n">
        <f aca="false">SUM(J$6:J253)</f>
        <v>0</v>
      </c>
      <c r="P253" s="124" t="n">
        <f aca="false">D253/P$3</f>
        <v>0</v>
      </c>
      <c r="Q253" s="124" t="n">
        <f aca="false">E253/P$3</f>
        <v>0</v>
      </c>
      <c r="R253" s="124" t="n">
        <f aca="false">F253/R$3</f>
        <v>0</v>
      </c>
      <c r="S253" s="126" t="n">
        <f aca="false">J253/$R$3</f>
        <v>0</v>
      </c>
      <c r="T253" s="126" t="n">
        <f aca="false">L253/$R$3</f>
        <v>0</v>
      </c>
      <c r="U253" s="126" t="n">
        <f aca="false">I253/$R$3</f>
        <v>0</v>
      </c>
      <c r="V253" s="126" t="n">
        <f aca="false">M253/$R$3</f>
        <v>0</v>
      </c>
      <c r="W253" s="126" t="n">
        <f aca="false">N253/$R$3</f>
        <v>0</v>
      </c>
    </row>
    <row r="254" customFormat="false" ht="12.75" hidden="true" customHeight="false" outlineLevel="0" collapsed="false">
      <c r="A254" s="120" t="n">
        <f aca="false">A253+1</f>
        <v>37140</v>
      </c>
      <c r="B254" s="131" t="str">
        <f aca="false">INDEX('Master Data'!$A$2:$B$8,MATCH(WEEKDAY('Plant Manager'!A254,3),'Master Data'!$A$2:$A$8,0),2)</f>
        <v>Th</v>
      </c>
      <c r="D254" s="124" t="n">
        <v>0</v>
      </c>
      <c r="E254" s="124" t="n">
        <v>0</v>
      </c>
      <c r="F254" s="124" t="n">
        <v>0</v>
      </c>
      <c r="G254" s="124" t="n">
        <v>0</v>
      </c>
      <c r="I254" s="124" t="n">
        <f aca="false">IF(MONTH($A254)=MONTH($A253),IF(G254=0,I253,G254),G254)</f>
        <v>0</v>
      </c>
      <c r="J254" s="124" t="n">
        <f aca="false">IF(MONTH($A254)=MONTH($A253),SUM(I254-I253),I254)</f>
        <v>0</v>
      </c>
      <c r="K254" s="124" t="n">
        <f aca="false">IF(WEEKDAY(A254,3)&gt;4,0,(IF(A254&lt;K$2,0,IF(A254&lt;=K$3,1,0))))</f>
        <v>0</v>
      </c>
      <c r="L254" s="124" t="n">
        <f aca="false">J254*K254</f>
        <v>0</v>
      </c>
      <c r="M254" s="124" t="n">
        <f aca="false">SUM(J$188:J254)</f>
        <v>0</v>
      </c>
      <c r="N254" s="124" t="n">
        <f aca="false">SUM(J$6:J254)</f>
        <v>0</v>
      </c>
      <c r="P254" s="124" t="n">
        <f aca="false">D254/P$3</f>
        <v>0</v>
      </c>
      <c r="Q254" s="124" t="n">
        <f aca="false">E254/P$3</f>
        <v>0</v>
      </c>
      <c r="R254" s="124" t="n">
        <f aca="false">F254/R$3</f>
        <v>0</v>
      </c>
      <c r="S254" s="126" t="n">
        <f aca="false">J254/$R$3</f>
        <v>0</v>
      </c>
      <c r="T254" s="126" t="n">
        <f aca="false">L254/$R$3</f>
        <v>0</v>
      </c>
      <c r="U254" s="126" t="n">
        <f aca="false">I254/$R$3</f>
        <v>0</v>
      </c>
      <c r="V254" s="126" t="n">
        <f aca="false">M254/$R$3</f>
        <v>0</v>
      </c>
      <c r="W254" s="126" t="n">
        <f aca="false">N254/$R$3</f>
        <v>0</v>
      </c>
    </row>
    <row r="255" customFormat="false" ht="12.75" hidden="true" customHeight="false" outlineLevel="0" collapsed="false">
      <c r="A255" s="120" t="n">
        <f aca="false">A254+1</f>
        <v>37141</v>
      </c>
      <c r="B255" s="131" t="str">
        <f aca="false">INDEX('Master Data'!$A$2:$B$8,MATCH(WEEKDAY('Plant Manager'!A255,3),'Master Data'!$A$2:$A$8,0),2)</f>
        <v>F</v>
      </c>
      <c r="D255" s="124" t="n">
        <v>0</v>
      </c>
      <c r="E255" s="124" t="n">
        <v>0</v>
      </c>
      <c r="F255" s="124" t="n">
        <v>0</v>
      </c>
      <c r="G255" s="124" t="n">
        <v>0</v>
      </c>
      <c r="I255" s="124" t="n">
        <f aca="false">IF(MONTH($A255)=MONTH($A254),IF(G255=0,I254,G255),G255)</f>
        <v>0</v>
      </c>
      <c r="J255" s="124" t="n">
        <f aca="false">IF(MONTH($A255)=MONTH($A254),SUM(I255-I254),I255)</f>
        <v>0</v>
      </c>
      <c r="K255" s="124" t="n">
        <f aca="false">IF(WEEKDAY(A255,3)&gt;4,0,(IF(A255&lt;K$2,0,IF(A255&lt;=K$3,1,0))))</f>
        <v>0</v>
      </c>
      <c r="L255" s="124" t="n">
        <f aca="false">J255*K255</f>
        <v>0</v>
      </c>
      <c r="M255" s="124" t="n">
        <f aca="false">SUM(J$188:J255)</f>
        <v>0</v>
      </c>
      <c r="N255" s="124" t="n">
        <f aca="false">SUM(J$6:J255)</f>
        <v>0</v>
      </c>
      <c r="P255" s="124" t="n">
        <f aca="false">D255/P$3</f>
        <v>0</v>
      </c>
      <c r="Q255" s="124" t="n">
        <f aca="false">E255/P$3</f>
        <v>0</v>
      </c>
      <c r="R255" s="124" t="n">
        <f aca="false">F255/R$3</f>
        <v>0</v>
      </c>
      <c r="S255" s="126" t="n">
        <f aca="false">J255/$R$3</f>
        <v>0</v>
      </c>
      <c r="T255" s="126" t="n">
        <f aca="false">L255/$R$3</f>
        <v>0</v>
      </c>
      <c r="U255" s="126" t="n">
        <f aca="false">I255/$R$3</f>
        <v>0</v>
      </c>
      <c r="V255" s="126" t="n">
        <f aca="false">M255/$R$3</f>
        <v>0</v>
      </c>
      <c r="W255" s="126" t="n">
        <f aca="false">N255/$R$3</f>
        <v>0</v>
      </c>
    </row>
    <row r="256" customFormat="false" ht="12.75" hidden="true" customHeight="false" outlineLevel="0" collapsed="false">
      <c r="A256" s="120" t="n">
        <f aca="false">A255+1</f>
        <v>37142</v>
      </c>
      <c r="B256" s="131" t="str">
        <f aca="false">INDEX('Master Data'!$A$2:$B$8,MATCH(WEEKDAY('Plant Manager'!A256,3),'Master Data'!$A$2:$A$8,0),2)</f>
        <v>Sa</v>
      </c>
      <c r="D256" s="124" t="n">
        <v>0</v>
      </c>
      <c r="E256" s="124" t="n">
        <v>0</v>
      </c>
      <c r="F256" s="124" t="n">
        <v>0</v>
      </c>
      <c r="G256" s="124" t="n">
        <v>0</v>
      </c>
      <c r="I256" s="124" t="n">
        <f aca="false">IF(MONTH($A256)=MONTH($A255),IF(G256=0,I255,G256),G256)</f>
        <v>0</v>
      </c>
      <c r="J256" s="124" t="n">
        <f aca="false">IF(MONTH($A256)=MONTH($A255),SUM(I256-I255),I256)</f>
        <v>0</v>
      </c>
      <c r="K256" s="124" t="n">
        <f aca="false">IF(WEEKDAY(A256,3)&gt;4,0,(IF(A256&lt;K$2,0,IF(A256&lt;=K$3,1,0))))</f>
        <v>0</v>
      </c>
      <c r="L256" s="124" t="n">
        <f aca="false">J256*K256</f>
        <v>0</v>
      </c>
      <c r="M256" s="124" t="n">
        <f aca="false">SUM(J$188:J256)</f>
        <v>0</v>
      </c>
      <c r="N256" s="124" t="n">
        <f aca="false">SUM(J$6:J256)</f>
        <v>0</v>
      </c>
      <c r="P256" s="124" t="n">
        <f aca="false">D256/P$3</f>
        <v>0</v>
      </c>
      <c r="Q256" s="124" t="n">
        <f aca="false">E256/P$3</f>
        <v>0</v>
      </c>
      <c r="R256" s="124" t="n">
        <f aca="false">F256/R$3</f>
        <v>0</v>
      </c>
      <c r="S256" s="126" t="n">
        <f aca="false">J256/$R$3</f>
        <v>0</v>
      </c>
      <c r="T256" s="126" t="n">
        <f aca="false">L256/$R$3</f>
        <v>0</v>
      </c>
      <c r="U256" s="126" t="n">
        <f aca="false">I256/$R$3</f>
        <v>0</v>
      </c>
      <c r="V256" s="126" t="n">
        <f aca="false">M256/$R$3</f>
        <v>0</v>
      </c>
      <c r="W256" s="126" t="n">
        <f aca="false">N256/$R$3</f>
        <v>0</v>
      </c>
    </row>
    <row r="257" customFormat="false" ht="12.75" hidden="true" customHeight="false" outlineLevel="0" collapsed="false">
      <c r="A257" s="120" t="n">
        <f aca="false">A256+1</f>
        <v>37143</v>
      </c>
      <c r="B257" s="131" t="str">
        <f aca="false">INDEX('Master Data'!$A$2:$B$8,MATCH(WEEKDAY('Plant Manager'!A257,3),'Master Data'!$A$2:$A$8,0),2)</f>
        <v>Su</v>
      </c>
      <c r="D257" s="124" t="n">
        <v>0</v>
      </c>
      <c r="E257" s="124" t="n">
        <v>0</v>
      </c>
      <c r="F257" s="124" t="n">
        <v>0</v>
      </c>
      <c r="G257" s="124" t="n">
        <v>0</v>
      </c>
      <c r="I257" s="124" t="n">
        <f aca="false">IF(MONTH($A257)=MONTH($A256),IF(G257=0,I256,G257),G257)</f>
        <v>0</v>
      </c>
      <c r="J257" s="124" t="n">
        <f aca="false">IF(MONTH($A257)=MONTH($A256),SUM(I257-I256),I257)</f>
        <v>0</v>
      </c>
      <c r="K257" s="124" t="n">
        <f aca="false">IF(WEEKDAY(A257,3)&gt;4,0,(IF(A257&lt;K$2,0,IF(A257&lt;=K$3,1,0))))</f>
        <v>0</v>
      </c>
      <c r="L257" s="124" t="n">
        <f aca="false">J257*K257</f>
        <v>0</v>
      </c>
      <c r="M257" s="124" t="n">
        <f aca="false">SUM(J$188:J257)</f>
        <v>0</v>
      </c>
      <c r="N257" s="124" t="n">
        <f aca="false">SUM(J$6:J257)</f>
        <v>0</v>
      </c>
      <c r="P257" s="124" t="n">
        <f aca="false">D257/P$3</f>
        <v>0</v>
      </c>
      <c r="Q257" s="124" t="n">
        <f aca="false">E257/P$3</f>
        <v>0</v>
      </c>
      <c r="R257" s="124" t="n">
        <f aca="false">F257/R$3</f>
        <v>0</v>
      </c>
      <c r="S257" s="126" t="n">
        <f aca="false">J257/$R$3</f>
        <v>0</v>
      </c>
      <c r="T257" s="126" t="n">
        <f aca="false">L257/$R$3</f>
        <v>0</v>
      </c>
      <c r="U257" s="126" t="n">
        <f aca="false">I257/$R$3</f>
        <v>0</v>
      </c>
      <c r="V257" s="126" t="n">
        <f aca="false">M257/$R$3</f>
        <v>0</v>
      </c>
      <c r="W257" s="126" t="n">
        <f aca="false">N257/$R$3</f>
        <v>0</v>
      </c>
    </row>
    <row r="258" customFormat="false" ht="12.75" hidden="true" customHeight="false" outlineLevel="0" collapsed="false">
      <c r="A258" s="120" t="n">
        <f aca="false">A257+1</f>
        <v>37144</v>
      </c>
      <c r="B258" s="131" t="str">
        <f aca="false">INDEX('Master Data'!$A$2:$B$8,MATCH(WEEKDAY('Plant Manager'!A258,3),'Master Data'!$A$2:$A$8,0),2)</f>
        <v>M</v>
      </c>
      <c r="D258" s="124" t="n">
        <v>0</v>
      </c>
      <c r="E258" s="124" t="n">
        <v>0</v>
      </c>
      <c r="F258" s="124" t="n">
        <v>0</v>
      </c>
      <c r="G258" s="124" t="n">
        <v>0</v>
      </c>
      <c r="I258" s="124" t="n">
        <f aca="false">IF(MONTH($A258)=MONTH($A257),IF(G258=0,I257,G258),G258)</f>
        <v>0</v>
      </c>
      <c r="J258" s="124" t="n">
        <f aca="false">IF(MONTH($A258)=MONTH($A257),SUM(I258-I257),I258)</f>
        <v>0</v>
      </c>
      <c r="K258" s="124" t="n">
        <f aca="false">IF(WEEKDAY(A258,3)&gt;4,0,(IF(A258&lt;K$2,0,IF(A258&lt;=K$3,1,0))))</f>
        <v>0</v>
      </c>
      <c r="L258" s="124" t="n">
        <f aca="false">J258*K258</f>
        <v>0</v>
      </c>
      <c r="M258" s="124" t="n">
        <f aca="false">SUM(J$188:J258)</f>
        <v>0</v>
      </c>
      <c r="N258" s="124" t="n">
        <f aca="false">SUM(J$6:J258)</f>
        <v>0</v>
      </c>
      <c r="P258" s="124" t="n">
        <f aca="false">D258/P$3</f>
        <v>0</v>
      </c>
      <c r="Q258" s="124" t="n">
        <f aca="false">E258/P$3</f>
        <v>0</v>
      </c>
      <c r="R258" s="124" t="n">
        <f aca="false">F258/R$3</f>
        <v>0</v>
      </c>
      <c r="S258" s="126" t="n">
        <f aca="false">J258/$R$3</f>
        <v>0</v>
      </c>
      <c r="T258" s="126" t="n">
        <f aca="false">L258/$R$3</f>
        <v>0</v>
      </c>
      <c r="U258" s="126" t="n">
        <f aca="false">I258/$R$3</f>
        <v>0</v>
      </c>
      <c r="V258" s="126" t="n">
        <f aca="false">M258/$R$3</f>
        <v>0</v>
      </c>
      <c r="W258" s="126" t="n">
        <f aca="false">N258/$R$3</f>
        <v>0</v>
      </c>
    </row>
    <row r="259" customFormat="false" ht="12.75" hidden="true" customHeight="false" outlineLevel="0" collapsed="false">
      <c r="A259" s="120" t="n">
        <f aca="false">A258+1</f>
        <v>37145</v>
      </c>
      <c r="B259" s="131" t="str">
        <f aca="false">INDEX('Master Data'!$A$2:$B$8,MATCH(WEEKDAY('Plant Manager'!A259,3),'Master Data'!$A$2:$A$8,0),2)</f>
        <v>T</v>
      </c>
      <c r="D259" s="124" t="n">
        <v>0</v>
      </c>
      <c r="E259" s="124" t="n">
        <v>0</v>
      </c>
      <c r="F259" s="124" t="n">
        <v>0</v>
      </c>
      <c r="G259" s="124" t="n">
        <v>0</v>
      </c>
      <c r="I259" s="124" t="n">
        <f aca="false">IF(MONTH($A259)=MONTH($A258),IF(G259=0,I258,G259),G259)</f>
        <v>0</v>
      </c>
      <c r="J259" s="124" t="n">
        <f aca="false">IF(MONTH($A259)=MONTH($A258),SUM(I259-I258),I259)</f>
        <v>0</v>
      </c>
      <c r="K259" s="124" t="n">
        <f aca="false">IF(WEEKDAY(A259,3)&gt;4,0,(IF(A259&lt;K$2,0,IF(A259&lt;=K$3,1,0))))</f>
        <v>0</v>
      </c>
      <c r="L259" s="124" t="n">
        <f aca="false">J259*K259</f>
        <v>0</v>
      </c>
      <c r="M259" s="124" t="n">
        <f aca="false">SUM(J$188:J259)</f>
        <v>0</v>
      </c>
      <c r="N259" s="124" t="n">
        <f aca="false">SUM(J$6:J259)</f>
        <v>0</v>
      </c>
      <c r="P259" s="124" t="n">
        <f aca="false">D259/P$3</f>
        <v>0</v>
      </c>
      <c r="Q259" s="124" t="n">
        <f aca="false">E259/P$3</f>
        <v>0</v>
      </c>
      <c r="R259" s="124" t="n">
        <f aca="false">F259/R$3</f>
        <v>0</v>
      </c>
      <c r="S259" s="126" t="n">
        <f aca="false">J259/$R$3</f>
        <v>0</v>
      </c>
      <c r="T259" s="126" t="n">
        <f aca="false">L259/$R$3</f>
        <v>0</v>
      </c>
      <c r="U259" s="126" t="n">
        <f aca="false">I259/$R$3</f>
        <v>0</v>
      </c>
      <c r="V259" s="126" t="n">
        <f aca="false">M259/$R$3</f>
        <v>0</v>
      </c>
      <c r="W259" s="126" t="n">
        <f aca="false">N259/$R$3</f>
        <v>0</v>
      </c>
    </row>
    <row r="260" customFormat="false" ht="12.75" hidden="true" customHeight="false" outlineLevel="0" collapsed="false">
      <c r="A260" s="120" t="n">
        <f aca="false">A259+1</f>
        <v>37146</v>
      </c>
      <c r="B260" s="131" t="str">
        <f aca="false">INDEX('Master Data'!$A$2:$B$8,MATCH(WEEKDAY('Plant Manager'!A260,3),'Master Data'!$A$2:$A$8,0),2)</f>
        <v>W</v>
      </c>
      <c r="D260" s="124" t="n">
        <v>0</v>
      </c>
      <c r="E260" s="124" t="n">
        <v>0</v>
      </c>
      <c r="F260" s="124" t="n">
        <v>0</v>
      </c>
      <c r="G260" s="124" t="n">
        <v>0</v>
      </c>
      <c r="I260" s="124" t="n">
        <f aca="false">IF(MONTH($A260)=MONTH($A259),IF(G260=0,I259,G260),G260)</f>
        <v>0</v>
      </c>
      <c r="J260" s="124" t="n">
        <f aca="false">IF(MONTH($A260)=MONTH($A259),SUM(I260-I259),I260)</f>
        <v>0</v>
      </c>
      <c r="K260" s="124" t="n">
        <f aca="false">IF(WEEKDAY(A260,3)&gt;4,0,(IF(A260&lt;K$2,0,IF(A260&lt;=K$3,1,0))))</f>
        <v>0</v>
      </c>
      <c r="L260" s="124" t="n">
        <f aca="false">J260*K260</f>
        <v>0</v>
      </c>
      <c r="M260" s="124" t="n">
        <f aca="false">SUM(J$188:J260)</f>
        <v>0</v>
      </c>
      <c r="N260" s="124" t="n">
        <f aca="false">SUM(J$6:J260)</f>
        <v>0</v>
      </c>
      <c r="P260" s="124" t="n">
        <f aca="false">D260/P$3</f>
        <v>0</v>
      </c>
      <c r="Q260" s="124" t="n">
        <f aca="false">E260/P$3</f>
        <v>0</v>
      </c>
      <c r="R260" s="124" t="n">
        <f aca="false">F260/R$3</f>
        <v>0</v>
      </c>
      <c r="S260" s="126" t="n">
        <f aca="false">J260/$R$3</f>
        <v>0</v>
      </c>
      <c r="T260" s="126" t="n">
        <f aca="false">L260/$R$3</f>
        <v>0</v>
      </c>
      <c r="U260" s="126" t="n">
        <f aca="false">I260/$R$3</f>
        <v>0</v>
      </c>
      <c r="V260" s="126" t="n">
        <f aca="false">M260/$R$3</f>
        <v>0</v>
      </c>
      <c r="W260" s="126" t="n">
        <f aca="false">N260/$R$3</f>
        <v>0</v>
      </c>
    </row>
    <row r="261" customFormat="false" ht="12.75" hidden="true" customHeight="false" outlineLevel="0" collapsed="false">
      <c r="A261" s="120" t="n">
        <f aca="false">A260+1</f>
        <v>37147</v>
      </c>
      <c r="B261" s="131" t="str">
        <f aca="false">INDEX('Master Data'!$A$2:$B$8,MATCH(WEEKDAY('Plant Manager'!A261,3),'Master Data'!$A$2:$A$8,0),2)</f>
        <v>Th</v>
      </c>
      <c r="D261" s="124" t="n">
        <v>0</v>
      </c>
      <c r="E261" s="124" t="n">
        <v>0</v>
      </c>
      <c r="F261" s="124" t="n">
        <v>0</v>
      </c>
      <c r="G261" s="124" t="n">
        <v>0</v>
      </c>
      <c r="I261" s="124" t="n">
        <f aca="false">IF(MONTH($A261)=MONTH($A260),IF(G261=0,I260,G261),G261)</f>
        <v>0</v>
      </c>
      <c r="J261" s="124" t="n">
        <f aca="false">IF(MONTH($A261)=MONTH($A260),SUM(I261-I260),I261)</f>
        <v>0</v>
      </c>
      <c r="K261" s="124" t="n">
        <f aca="false">IF(WEEKDAY(A261,3)&gt;4,0,(IF(A261&lt;K$2,0,IF(A261&lt;=K$3,1,0))))</f>
        <v>0</v>
      </c>
      <c r="L261" s="124" t="n">
        <f aca="false">J261*K261</f>
        <v>0</v>
      </c>
      <c r="M261" s="124" t="n">
        <f aca="false">SUM(J$188:J261)</f>
        <v>0</v>
      </c>
      <c r="N261" s="124" t="n">
        <f aca="false">SUM(J$6:J261)</f>
        <v>0</v>
      </c>
      <c r="P261" s="124" t="n">
        <f aca="false">D261/P$3</f>
        <v>0</v>
      </c>
      <c r="Q261" s="124" t="n">
        <f aca="false">E261/P$3</f>
        <v>0</v>
      </c>
      <c r="R261" s="124" t="n">
        <f aca="false">F261/R$3</f>
        <v>0</v>
      </c>
      <c r="S261" s="126" t="n">
        <f aca="false">J261/$R$3</f>
        <v>0</v>
      </c>
      <c r="T261" s="126" t="n">
        <f aca="false">L261/$R$3</f>
        <v>0</v>
      </c>
      <c r="U261" s="126" t="n">
        <f aca="false">I261/$R$3</f>
        <v>0</v>
      </c>
      <c r="V261" s="126" t="n">
        <f aca="false">M261/$R$3</f>
        <v>0</v>
      </c>
      <c r="W261" s="126" t="n">
        <f aca="false">N261/$R$3</f>
        <v>0</v>
      </c>
    </row>
    <row r="262" customFormat="false" ht="12.75" hidden="true" customHeight="false" outlineLevel="0" collapsed="false">
      <c r="A262" s="120" t="n">
        <f aca="false">A261+1</f>
        <v>37148</v>
      </c>
      <c r="B262" s="131" t="str">
        <f aca="false">INDEX('Master Data'!$A$2:$B$8,MATCH(WEEKDAY('Plant Manager'!A262,3),'Master Data'!$A$2:$A$8,0),2)</f>
        <v>F</v>
      </c>
      <c r="D262" s="124" t="n">
        <v>0</v>
      </c>
      <c r="E262" s="124" t="n">
        <v>0</v>
      </c>
      <c r="F262" s="124" t="n">
        <v>0</v>
      </c>
      <c r="G262" s="124" t="n">
        <v>0</v>
      </c>
      <c r="I262" s="124" t="n">
        <f aca="false">IF(MONTH($A262)=MONTH($A261),IF(G262=0,I261,G262),G262)</f>
        <v>0</v>
      </c>
      <c r="J262" s="124" t="n">
        <f aca="false">IF(MONTH($A262)=MONTH($A261),SUM(I262-I261),I262)</f>
        <v>0</v>
      </c>
      <c r="K262" s="124" t="n">
        <f aca="false">IF(WEEKDAY(A262,3)&gt;4,0,(IF(A262&lt;K$2,0,IF(A262&lt;=K$3,1,0))))</f>
        <v>0</v>
      </c>
      <c r="L262" s="124" t="n">
        <f aca="false">J262*K262</f>
        <v>0</v>
      </c>
      <c r="M262" s="124" t="n">
        <f aca="false">SUM(J$188:J262)</f>
        <v>0</v>
      </c>
      <c r="N262" s="124" t="n">
        <f aca="false">SUM(J$6:J262)</f>
        <v>0</v>
      </c>
      <c r="P262" s="124" t="n">
        <f aca="false">D262/P$3</f>
        <v>0</v>
      </c>
      <c r="Q262" s="124" t="n">
        <f aca="false">E262/P$3</f>
        <v>0</v>
      </c>
      <c r="R262" s="124" t="n">
        <f aca="false">F262/R$3</f>
        <v>0</v>
      </c>
      <c r="S262" s="126" t="n">
        <f aca="false">J262/$R$3</f>
        <v>0</v>
      </c>
      <c r="T262" s="126" t="n">
        <f aca="false">L262/$R$3</f>
        <v>0</v>
      </c>
      <c r="U262" s="126" t="n">
        <f aca="false">I262/$R$3</f>
        <v>0</v>
      </c>
      <c r="V262" s="126" t="n">
        <f aca="false">M262/$R$3</f>
        <v>0</v>
      </c>
      <c r="W262" s="126" t="n">
        <f aca="false">N262/$R$3</f>
        <v>0</v>
      </c>
    </row>
    <row r="263" customFormat="false" ht="12.75" hidden="true" customHeight="false" outlineLevel="0" collapsed="false">
      <c r="A263" s="120" t="n">
        <f aca="false">A262+1</f>
        <v>37149</v>
      </c>
      <c r="B263" s="131" t="str">
        <f aca="false">INDEX('Master Data'!$A$2:$B$8,MATCH(WEEKDAY('Plant Manager'!A263,3),'Master Data'!$A$2:$A$8,0),2)</f>
        <v>Sa</v>
      </c>
      <c r="D263" s="124" t="n">
        <v>0</v>
      </c>
      <c r="E263" s="124" t="n">
        <v>0</v>
      </c>
      <c r="F263" s="124" t="n">
        <v>0</v>
      </c>
      <c r="G263" s="124" t="n">
        <v>0</v>
      </c>
      <c r="I263" s="124" t="n">
        <f aca="false">IF(MONTH($A263)=MONTH($A262),IF(G263=0,I262,G263),G263)</f>
        <v>0</v>
      </c>
      <c r="J263" s="124" t="n">
        <f aca="false">IF(MONTH($A263)=MONTH($A262),SUM(I263-I262),I263)</f>
        <v>0</v>
      </c>
      <c r="K263" s="124" t="n">
        <f aca="false">IF(WEEKDAY(A263,3)&gt;4,0,(IF(A263&lt;K$2,0,IF(A263&lt;=K$3,1,0))))</f>
        <v>0</v>
      </c>
      <c r="L263" s="124" t="n">
        <f aca="false">J263*K263</f>
        <v>0</v>
      </c>
      <c r="M263" s="124" t="n">
        <f aca="false">SUM(J$188:J263)</f>
        <v>0</v>
      </c>
      <c r="N263" s="124" t="n">
        <f aca="false">SUM(J$6:J263)</f>
        <v>0</v>
      </c>
      <c r="P263" s="124" t="n">
        <f aca="false">D263/P$3</f>
        <v>0</v>
      </c>
      <c r="Q263" s="124" t="n">
        <f aca="false">E263/P$3</f>
        <v>0</v>
      </c>
      <c r="R263" s="124" t="n">
        <f aca="false">F263/R$3</f>
        <v>0</v>
      </c>
      <c r="S263" s="126" t="n">
        <f aca="false">J263/$R$3</f>
        <v>0</v>
      </c>
      <c r="T263" s="126" t="n">
        <f aca="false">L263/$R$3</f>
        <v>0</v>
      </c>
      <c r="U263" s="126" t="n">
        <f aca="false">I263/$R$3</f>
        <v>0</v>
      </c>
      <c r="V263" s="126" t="n">
        <f aca="false">M263/$R$3</f>
        <v>0</v>
      </c>
      <c r="W263" s="126" t="n">
        <f aca="false">N263/$R$3</f>
        <v>0</v>
      </c>
    </row>
    <row r="264" customFormat="false" ht="12.75" hidden="true" customHeight="false" outlineLevel="0" collapsed="false">
      <c r="A264" s="120" t="n">
        <f aca="false">A263+1</f>
        <v>37150</v>
      </c>
      <c r="B264" s="131" t="str">
        <f aca="false">INDEX('Master Data'!$A$2:$B$8,MATCH(WEEKDAY('Plant Manager'!A264,3),'Master Data'!$A$2:$A$8,0),2)</f>
        <v>Su</v>
      </c>
      <c r="D264" s="124" t="n">
        <v>0</v>
      </c>
      <c r="E264" s="124" t="n">
        <v>0</v>
      </c>
      <c r="F264" s="124" t="n">
        <v>0</v>
      </c>
      <c r="G264" s="124" t="n">
        <v>0</v>
      </c>
      <c r="I264" s="124" t="n">
        <f aca="false">IF(MONTH($A264)=MONTH($A263),IF(G264=0,I263,G264),G264)</f>
        <v>0</v>
      </c>
      <c r="J264" s="124" t="n">
        <f aca="false">IF(MONTH($A264)=MONTH($A263),SUM(I264-I263),I264)</f>
        <v>0</v>
      </c>
      <c r="K264" s="124" t="n">
        <f aca="false">IF(WEEKDAY(A264,3)&gt;4,0,(IF(A264&lt;K$2,0,IF(A264&lt;=K$3,1,0))))</f>
        <v>0</v>
      </c>
      <c r="L264" s="124" t="n">
        <f aca="false">J264*K264</f>
        <v>0</v>
      </c>
      <c r="M264" s="124" t="n">
        <f aca="false">SUM(J$188:J264)</f>
        <v>0</v>
      </c>
      <c r="N264" s="124" t="n">
        <f aca="false">SUM(J$6:J264)</f>
        <v>0</v>
      </c>
      <c r="P264" s="124" t="n">
        <f aca="false">D264/P$3</f>
        <v>0</v>
      </c>
      <c r="Q264" s="124" t="n">
        <f aca="false">E264/P$3</f>
        <v>0</v>
      </c>
      <c r="R264" s="124" t="n">
        <f aca="false">F264/R$3</f>
        <v>0</v>
      </c>
      <c r="S264" s="126" t="n">
        <f aca="false">J264/$R$3</f>
        <v>0</v>
      </c>
      <c r="T264" s="126" t="n">
        <f aca="false">L264/$R$3</f>
        <v>0</v>
      </c>
      <c r="U264" s="126" t="n">
        <f aca="false">I264/$R$3</f>
        <v>0</v>
      </c>
      <c r="V264" s="126" t="n">
        <f aca="false">M264/$R$3</f>
        <v>0</v>
      </c>
      <c r="W264" s="126" t="n">
        <f aca="false">N264/$R$3</f>
        <v>0</v>
      </c>
    </row>
    <row r="265" customFormat="false" ht="12.75" hidden="true" customHeight="false" outlineLevel="0" collapsed="false">
      <c r="A265" s="120" t="n">
        <f aca="false">A264+1</f>
        <v>37151</v>
      </c>
      <c r="B265" s="131" t="str">
        <f aca="false">INDEX('Master Data'!$A$2:$B$8,MATCH(WEEKDAY('Plant Manager'!A265,3),'Master Data'!$A$2:$A$8,0),2)</f>
        <v>M</v>
      </c>
      <c r="D265" s="124" t="n">
        <v>0</v>
      </c>
      <c r="E265" s="124" t="n">
        <v>0</v>
      </c>
      <c r="F265" s="124" t="n">
        <v>0</v>
      </c>
      <c r="G265" s="124" t="n">
        <v>0</v>
      </c>
      <c r="I265" s="124" t="n">
        <f aca="false">IF(MONTH($A265)=MONTH($A264),IF(G265=0,I264,G265),G265)</f>
        <v>0</v>
      </c>
      <c r="J265" s="124" t="n">
        <f aca="false">IF(MONTH($A265)=MONTH($A264),SUM(I265-I264),I265)</f>
        <v>0</v>
      </c>
      <c r="K265" s="124" t="n">
        <f aca="false">IF(WEEKDAY(A265,3)&gt;4,0,(IF(A265&lt;K$2,0,IF(A265&lt;=K$3,1,0))))</f>
        <v>0</v>
      </c>
      <c r="L265" s="124" t="n">
        <f aca="false">J265*K265</f>
        <v>0</v>
      </c>
      <c r="M265" s="124" t="n">
        <f aca="false">SUM(J$188:J265)</f>
        <v>0</v>
      </c>
      <c r="N265" s="124" t="n">
        <f aca="false">SUM(J$6:J265)</f>
        <v>0</v>
      </c>
      <c r="P265" s="124" t="n">
        <f aca="false">D265/P$3</f>
        <v>0</v>
      </c>
      <c r="Q265" s="124" t="n">
        <f aca="false">E265/P$3</f>
        <v>0</v>
      </c>
      <c r="R265" s="124" t="n">
        <f aca="false">F265/R$3</f>
        <v>0</v>
      </c>
      <c r="S265" s="126" t="n">
        <f aca="false">J265/$R$3</f>
        <v>0</v>
      </c>
      <c r="T265" s="126" t="n">
        <f aca="false">L265/$R$3</f>
        <v>0</v>
      </c>
      <c r="U265" s="126" t="n">
        <f aca="false">I265/$R$3</f>
        <v>0</v>
      </c>
      <c r="V265" s="126" t="n">
        <f aca="false">M265/$R$3</f>
        <v>0</v>
      </c>
      <c r="W265" s="126" t="n">
        <f aca="false">N265/$R$3</f>
        <v>0</v>
      </c>
    </row>
    <row r="266" customFormat="false" ht="12.75" hidden="true" customHeight="false" outlineLevel="0" collapsed="false">
      <c r="A266" s="120" t="n">
        <f aca="false">A265+1</f>
        <v>37152</v>
      </c>
      <c r="B266" s="131" t="str">
        <f aca="false">INDEX('Master Data'!$A$2:$B$8,MATCH(WEEKDAY('Plant Manager'!A266,3),'Master Data'!$A$2:$A$8,0),2)</f>
        <v>T</v>
      </c>
      <c r="D266" s="124" t="n">
        <v>0</v>
      </c>
      <c r="E266" s="124" t="n">
        <v>0</v>
      </c>
      <c r="F266" s="124" t="n">
        <v>0</v>
      </c>
      <c r="G266" s="124" t="n">
        <v>0</v>
      </c>
      <c r="I266" s="124" t="n">
        <f aca="false">IF(MONTH($A266)=MONTH($A265),IF(G266=0,I265,G266),G266)</f>
        <v>0</v>
      </c>
      <c r="J266" s="124" t="n">
        <f aca="false">IF(MONTH($A266)=MONTH($A265),SUM(I266-I265),I266)</f>
        <v>0</v>
      </c>
      <c r="K266" s="124" t="n">
        <f aca="false">IF(WEEKDAY(A266,3)&gt;4,0,(IF(A266&lt;K$2,0,IF(A266&lt;=K$3,1,0))))</f>
        <v>0</v>
      </c>
      <c r="L266" s="124" t="n">
        <f aca="false">J266*K266</f>
        <v>0</v>
      </c>
      <c r="M266" s="124" t="n">
        <f aca="false">SUM(J$188:J266)</f>
        <v>0</v>
      </c>
      <c r="N266" s="124" t="n">
        <f aca="false">SUM(J$6:J266)</f>
        <v>0</v>
      </c>
      <c r="P266" s="124" t="n">
        <f aca="false">D266/P$3</f>
        <v>0</v>
      </c>
      <c r="Q266" s="124" t="n">
        <f aca="false">E266/P$3</f>
        <v>0</v>
      </c>
      <c r="R266" s="124" t="n">
        <f aca="false">F266/R$3</f>
        <v>0</v>
      </c>
      <c r="S266" s="126" t="n">
        <f aca="false">J266/$R$3</f>
        <v>0</v>
      </c>
      <c r="T266" s="126" t="n">
        <f aca="false">L266/$R$3</f>
        <v>0</v>
      </c>
      <c r="U266" s="126" t="n">
        <f aca="false">I266/$R$3</f>
        <v>0</v>
      </c>
      <c r="V266" s="126" t="n">
        <f aca="false">M266/$R$3</f>
        <v>0</v>
      </c>
      <c r="W266" s="126" t="n">
        <f aca="false">N266/$R$3</f>
        <v>0</v>
      </c>
    </row>
    <row r="267" customFormat="false" ht="12.75" hidden="true" customHeight="false" outlineLevel="0" collapsed="false">
      <c r="A267" s="120" t="n">
        <f aca="false">A266+1</f>
        <v>37153</v>
      </c>
      <c r="B267" s="131" t="str">
        <f aca="false">INDEX('Master Data'!$A$2:$B$8,MATCH(WEEKDAY('Plant Manager'!A267,3),'Master Data'!$A$2:$A$8,0),2)</f>
        <v>W</v>
      </c>
      <c r="D267" s="124" t="n">
        <v>0</v>
      </c>
      <c r="E267" s="124" t="n">
        <v>0</v>
      </c>
      <c r="F267" s="124" t="n">
        <v>0</v>
      </c>
      <c r="G267" s="124" t="n">
        <v>0</v>
      </c>
      <c r="I267" s="124" t="n">
        <f aca="false">IF(MONTH($A267)=MONTH($A266),IF(G267=0,I266,G267),G267)</f>
        <v>0</v>
      </c>
      <c r="J267" s="124" t="n">
        <f aca="false">IF(MONTH($A267)=MONTH($A266),SUM(I267-I266),I267)</f>
        <v>0</v>
      </c>
      <c r="K267" s="124" t="n">
        <f aca="false">IF(WEEKDAY(A267,3)&gt;4,0,(IF(A267&lt;K$2,0,IF(A267&lt;=K$3,1,0))))</f>
        <v>0</v>
      </c>
      <c r="L267" s="124" t="n">
        <f aca="false">J267*K267</f>
        <v>0</v>
      </c>
      <c r="M267" s="124" t="n">
        <f aca="false">SUM(J$188:J267)</f>
        <v>0</v>
      </c>
      <c r="N267" s="124" t="n">
        <f aca="false">SUM(J$6:J267)</f>
        <v>0</v>
      </c>
      <c r="P267" s="124" t="n">
        <f aca="false">D267/P$3</f>
        <v>0</v>
      </c>
      <c r="Q267" s="124" t="n">
        <f aca="false">E267/P$3</f>
        <v>0</v>
      </c>
      <c r="R267" s="124" t="n">
        <f aca="false">F267/R$3</f>
        <v>0</v>
      </c>
      <c r="S267" s="126" t="n">
        <f aca="false">J267/$R$3</f>
        <v>0</v>
      </c>
      <c r="T267" s="126" t="n">
        <f aca="false">L267/$R$3</f>
        <v>0</v>
      </c>
      <c r="U267" s="126" t="n">
        <f aca="false">I267/$R$3</f>
        <v>0</v>
      </c>
      <c r="V267" s="126" t="n">
        <f aca="false">M267/$R$3</f>
        <v>0</v>
      </c>
      <c r="W267" s="126" t="n">
        <f aca="false">N267/$R$3</f>
        <v>0</v>
      </c>
    </row>
    <row r="268" customFormat="false" ht="12.75" hidden="true" customHeight="false" outlineLevel="0" collapsed="false">
      <c r="A268" s="120" t="n">
        <f aca="false">A267+1</f>
        <v>37154</v>
      </c>
      <c r="B268" s="131" t="str">
        <f aca="false">INDEX('Master Data'!$A$2:$B$8,MATCH(WEEKDAY('Plant Manager'!A268,3),'Master Data'!$A$2:$A$8,0),2)</f>
        <v>Th</v>
      </c>
      <c r="D268" s="124" t="n">
        <v>0</v>
      </c>
      <c r="E268" s="124" t="n">
        <v>0</v>
      </c>
      <c r="F268" s="124" t="n">
        <v>0</v>
      </c>
      <c r="G268" s="124" t="n">
        <v>0</v>
      </c>
      <c r="I268" s="124" t="n">
        <f aca="false">IF(MONTH($A268)=MONTH($A267),IF(G268=0,I267,G268),G268)</f>
        <v>0</v>
      </c>
      <c r="J268" s="124" t="n">
        <f aca="false">IF(MONTH($A268)=MONTH($A267),SUM(I268-I267),I268)</f>
        <v>0</v>
      </c>
      <c r="K268" s="124" t="n">
        <f aca="false">IF(WEEKDAY(A268,3)&gt;4,0,(IF(A268&lt;K$2,0,IF(A268&lt;=K$3,1,0))))</f>
        <v>0</v>
      </c>
      <c r="L268" s="124" t="n">
        <f aca="false">J268*K268</f>
        <v>0</v>
      </c>
      <c r="M268" s="124" t="n">
        <f aca="false">SUM(J$188:J268)</f>
        <v>0</v>
      </c>
      <c r="N268" s="124" t="n">
        <f aca="false">SUM(J$6:J268)</f>
        <v>0</v>
      </c>
      <c r="P268" s="124" t="n">
        <f aca="false">D268/P$3</f>
        <v>0</v>
      </c>
      <c r="Q268" s="124" t="n">
        <f aca="false">E268/P$3</f>
        <v>0</v>
      </c>
      <c r="R268" s="124" t="n">
        <f aca="false">F268/R$3</f>
        <v>0</v>
      </c>
      <c r="S268" s="126" t="n">
        <f aca="false">J268/$R$3</f>
        <v>0</v>
      </c>
      <c r="T268" s="126" t="n">
        <f aca="false">L268/$R$3</f>
        <v>0</v>
      </c>
      <c r="U268" s="126" t="n">
        <f aca="false">I268/$R$3</f>
        <v>0</v>
      </c>
      <c r="V268" s="126" t="n">
        <f aca="false">M268/$R$3</f>
        <v>0</v>
      </c>
      <c r="W268" s="126" t="n">
        <f aca="false">N268/$R$3</f>
        <v>0</v>
      </c>
    </row>
    <row r="269" customFormat="false" ht="12.75" hidden="true" customHeight="false" outlineLevel="0" collapsed="false">
      <c r="A269" s="120" t="n">
        <f aca="false">A268+1</f>
        <v>37155</v>
      </c>
      <c r="B269" s="131" t="str">
        <f aca="false">INDEX('Master Data'!$A$2:$B$8,MATCH(WEEKDAY('Plant Manager'!A269,3),'Master Data'!$A$2:$A$8,0),2)</f>
        <v>F</v>
      </c>
      <c r="D269" s="124" t="n">
        <v>0</v>
      </c>
      <c r="E269" s="124" t="n">
        <v>0</v>
      </c>
      <c r="F269" s="124" t="n">
        <v>0</v>
      </c>
      <c r="G269" s="124" t="n">
        <v>0</v>
      </c>
      <c r="I269" s="124" t="n">
        <f aca="false">IF(MONTH($A269)=MONTH($A268),IF(G269=0,I268,G269),G269)</f>
        <v>0</v>
      </c>
      <c r="J269" s="124" t="n">
        <f aca="false">IF(MONTH($A269)=MONTH($A268),SUM(I269-I268),I269)</f>
        <v>0</v>
      </c>
      <c r="K269" s="124" t="n">
        <f aca="false">IF(WEEKDAY(A269,3)&gt;4,0,(IF(A269&lt;K$2,0,IF(A269&lt;=K$3,1,0))))</f>
        <v>0</v>
      </c>
      <c r="L269" s="124" t="n">
        <f aca="false">J269*K269</f>
        <v>0</v>
      </c>
      <c r="M269" s="124" t="n">
        <f aca="false">SUM(J$188:J269)</f>
        <v>0</v>
      </c>
      <c r="N269" s="124" t="n">
        <f aca="false">SUM(J$6:J269)</f>
        <v>0</v>
      </c>
      <c r="P269" s="124" t="n">
        <f aca="false">D269/P$3</f>
        <v>0</v>
      </c>
      <c r="Q269" s="124" t="n">
        <f aca="false">E269/P$3</f>
        <v>0</v>
      </c>
      <c r="R269" s="124" t="n">
        <f aca="false">F269/R$3</f>
        <v>0</v>
      </c>
      <c r="S269" s="126" t="n">
        <f aca="false">J269/$R$3</f>
        <v>0</v>
      </c>
      <c r="T269" s="126" t="n">
        <f aca="false">L269/$R$3</f>
        <v>0</v>
      </c>
      <c r="U269" s="126" t="n">
        <f aca="false">I269/$R$3</f>
        <v>0</v>
      </c>
      <c r="V269" s="126" t="n">
        <f aca="false">M269/$R$3</f>
        <v>0</v>
      </c>
      <c r="W269" s="126" t="n">
        <f aca="false">N269/$R$3</f>
        <v>0</v>
      </c>
    </row>
    <row r="270" customFormat="false" ht="12.75" hidden="true" customHeight="false" outlineLevel="0" collapsed="false">
      <c r="A270" s="120" t="n">
        <f aca="false">A269+1</f>
        <v>37156</v>
      </c>
      <c r="B270" s="131" t="str">
        <f aca="false">INDEX('Master Data'!$A$2:$B$8,MATCH(WEEKDAY('Plant Manager'!A270,3),'Master Data'!$A$2:$A$8,0),2)</f>
        <v>Sa</v>
      </c>
      <c r="D270" s="124" t="n">
        <v>0</v>
      </c>
      <c r="E270" s="124" t="n">
        <v>0</v>
      </c>
      <c r="F270" s="124" t="n">
        <v>0</v>
      </c>
      <c r="G270" s="124" t="n">
        <v>0</v>
      </c>
      <c r="I270" s="124" t="n">
        <f aca="false">IF(MONTH($A270)=MONTH($A269),IF(G270=0,I269,G270),G270)</f>
        <v>0</v>
      </c>
      <c r="J270" s="124" t="n">
        <f aca="false">IF(MONTH($A270)=MONTH($A269),SUM(I270-I269),I270)</f>
        <v>0</v>
      </c>
      <c r="K270" s="124" t="n">
        <f aca="false">IF(WEEKDAY(A270,3)&gt;4,0,(IF(A270&lt;K$2,0,IF(A270&lt;=K$3,1,0))))</f>
        <v>0</v>
      </c>
      <c r="L270" s="124" t="n">
        <f aca="false">J270*K270</f>
        <v>0</v>
      </c>
      <c r="M270" s="124" t="n">
        <f aca="false">SUM(J$188:J270)</f>
        <v>0</v>
      </c>
      <c r="N270" s="124" t="n">
        <f aca="false">SUM(J$6:J270)</f>
        <v>0</v>
      </c>
      <c r="P270" s="124" t="n">
        <f aca="false">D270/P$3</f>
        <v>0</v>
      </c>
      <c r="Q270" s="124" t="n">
        <f aca="false">E270/P$3</f>
        <v>0</v>
      </c>
      <c r="R270" s="124" t="n">
        <f aca="false">F270/R$3</f>
        <v>0</v>
      </c>
      <c r="S270" s="126" t="n">
        <f aca="false">J270/$R$3</f>
        <v>0</v>
      </c>
      <c r="T270" s="126" t="n">
        <f aca="false">L270/$R$3</f>
        <v>0</v>
      </c>
      <c r="U270" s="126" t="n">
        <f aca="false">I270/$R$3</f>
        <v>0</v>
      </c>
      <c r="V270" s="126" t="n">
        <f aca="false">M270/$R$3</f>
        <v>0</v>
      </c>
      <c r="W270" s="126" t="n">
        <f aca="false">N270/$R$3</f>
        <v>0</v>
      </c>
    </row>
    <row r="271" customFormat="false" ht="12.75" hidden="true" customHeight="false" outlineLevel="0" collapsed="false">
      <c r="A271" s="120" t="n">
        <f aca="false">A270+1</f>
        <v>37157</v>
      </c>
      <c r="B271" s="131" t="str">
        <f aca="false">INDEX('Master Data'!$A$2:$B$8,MATCH(WEEKDAY('Plant Manager'!A271,3),'Master Data'!$A$2:$A$8,0),2)</f>
        <v>Su</v>
      </c>
      <c r="D271" s="124" t="n">
        <v>0</v>
      </c>
      <c r="E271" s="124" t="n">
        <v>0</v>
      </c>
      <c r="F271" s="124" t="n">
        <v>0</v>
      </c>
      <c r="G271" s="124" t="n">
        <v>0</v>
      </c>
      <c r="I271" s="124" t="n">
        <f aca="false">IF(MONTH($A271)=MONTH($A270),IF(G271=0,I270,G271),G271)</f>
        <v>0</v>
      </c>
      <c r="J271" s="124" t="n">
        <f aca="false">IF(MONTH($A271)=MONTH($A270),SUM(I271-I270),I271)</f>
        <v>0</v>
      </c>
      <c r="K271" s="124" t="n">
        <f aca="false">IF(WEEKDAY(A271,3)&gt;4,0,(IF(A271&lt;K$2,0,IF(A271&lt;=K$3,1,0))))</f>
        <v>0</v>
      </c>
      <c r="L271" s="124" t="n">
        <f aca="false">J271*K271</f>
        <v>0</v>
      </c>
      <c r="M271" s="124" t="n">
        <f aca="false">SUM(J$188:J271)</f>
        <v>0</v>
      </c>
      <c r="N271" s="124" t="n">
        <f aca="false">SUM(J$6:J271)</f>
        <v>0</v>
      </c>
      <c r="P271" s="124" t="n">
        <f aca="false">D271/P$3</f>
        <v>0</v>
      </c>
      <c r="Q271" s="124" t="n">
        <f aca="false">E271/P$3</f>
        <v>0</v>
      </c>
      <c r="R271" s="124" t="n">
        <f aca="false">F271/R$3</f>
        <v>0</v>
      </c>
      <c r="S271" s="126" t="n">
        <f aca="false">J271/$R$3</f>
        <v>0</v>
      </c>
      <c r="T271" s="126" t="n">
        <f aca="false">L271/$R$3</f>
        <v>0</v>
      </c>
      <c r="U271" s="126" t="n">
        <f aca="false">I271/$R$3</f>
        <v>0</v>
      </c>
      <c r="V271" s="126" t="n">
        <f aca="false">M271/$R$3</f>
        <v>0</v>
      </c>
      <c r="W271" s="126" t="n">
        <f aca="false">N271/$R$3</f>
        <v>0</v>
      </c>
    </row>
    <row r="272" customFormat="false" ht="12.75" hidden="false" customHeight="false" outlineLevel="0" collapsed="false">
      <c r="A272" s="120" t="n">
        <f aca="false">A271+1</f>
        <v>37158</v>
      </c>
      <c r="B272" s="131" t="str">
        <f aca="false">INDEX('Master Data'!$A$2:$B$8,MATCH(WEEKDAY('Plant Manager'!A272,3),'Master Data'!$A$2:$A$8,0),2)</f>
        <v>M</v>
      </c>
      <c r="D272" s="124" t="n">
        <v>0</v>
      </c>
      <c r="E272" s="124" t="n">
        <v>0</v>
      </c>
      <c r="F272" s="124" t="n">
        <v>0</v>
      </c>
      <c r="G272" s="148" t="n">
        <v>-37226.65</v>
      </c>
      <c r="I272" s="124" t="n">
        <f aca="false">IF(MONTH($A272)=MONTH($A271),IF(G272=0,I271,G272),G272)</f>
        <v>-37226.65</v>
      </c>
      <c r="J272" s="124" t="n">
        <f aca="false">IF(MONTH($A272)=MONTH($A271),SUM(I272-I271),I272)</f>
        <v>-37226.65</v>
      </c>
      <c r="K272" s="124" t="n">
        <f aca="false">IF(WEEKDAY(A272,3)&gt;4,0,(IF(A272&lt;K$2,0,IF(A272&lt;=K$3,1,0))))</f>
        <v>0</v>
      </c>
      <c r="L272" s="124" t="n">
        <f aca="false">J272*K272</f>
        <v>-0</v>
      </c>
      <c r="M272" s="124" t="n">
        <f aca="false">SUM(J$188:J272)</f>
        <v>-37226.65</v>
      </c>
      <c r="N272" s="124" t="n">
        <f aca="false">SUM(J$6:J272)</f>
        <v>-37226.65</v>
      </c>
      <c r="P272" s="124" t="n">
        <f aca="false">D272/P$3</f>
        <v>0</v>
      </c>
      <c r="Q272" s="124" t="n">
        <f aca="false">E272/P$3</f>
        <v>0</v>
      </c>
      <c r="R272" s="124" t="n">
        <f aca="false">F272/R$3</f>
        <v>0</v>
      </c>
      <c r="S272" s="126" t="n">
        <f aca="false">J272/$R$3</f>
        <v>-37.22665</v>
      </c>
      <c r="T272" s="126" t="n">
        <f aca="false">L272/$R$3</f>
        <v>-0</v>
      </c>
      <c r="U272" s="126" t="n">
        <f aca="false">I272/$R$3</f>
        <v>-37.22665</v>
      </c>
      <c r="V272" s="126" t="n">
        <f aca="false">M272/$R$3</f>
        <v>-37.22665</v>
      </c>
      <c r="W272" s="126" t="n">
        <f aca="false">N272/$R$3</f>
        <v>-37.22665</v>
      </c>
    </row>
    <row r="273" customFormat="false" ht="12.75" hidden="false" customHeight="false" outlineLevel="0" collapsed="false">
      <c r="A273" s="120" t="n">
        <f aca="false">A272+1</f>
        <v>37159</v>
      </c>
      <c r="B273" s="131" t="str">
        <f aca="false">INDEX('Master Data'!$A$2:$B$8,MATCH(WEEKDAY('Plant Manager'!A273,3),'Master Data'!$A$2:$A$8,0),2)</f>
        <v>T</v>
      </c>
      <c r="D273" s="124" t="n">
        <v>0</v>
      </c>
      <c r="E273" s="124" t="n">
        <v>0</v>
      </c>
      <c r="F273" s="124" t="n">
        <v>0</v>
      </c>
      <c r="G273" s="124" t="n">
        <v>0</v>
      </c>
      <c r="I273" s="124" t="n">
        <f aca="false">IF(MONTH($A273)=MONTH($A272),IF(G273=0,I272,G273),G273)</f>
        <v>-37226.65</v>
      </c>
      <c r="J273" s="124" t="n">
        <f aca="false">IF(MONTH($A273)=MONTH($A272),SUM(I273-I272),I273)</f>
        <v>0</v>
      </c>
      <c r="K273" s="124" t="n">
        <f aca="false">IF(WEEKDAY(A273,3)&gt;4,0,(IF(A273&lt;K$2,0,IF(A273&lt;=K$3,1,0))))</f>
        <v>0</v>
      </c>
      <c r="L273" s="124" t="n">
        <f aca="false">J273*K273</f>
        <v>0</v>
      </c>
      <c r="M273" s="124" t="n">
        <f aca="false">SUM(J$188:J273)</f>
        <v>-37226.65</v>
      </c>
      <c r="N273" s="124" t="n">
        <f aca="false">SUM(J$6:J273)</f>
        <v>-37226.65</v>
      </c>
      <c r="P273" s="124" t="n">
        <f aca="false">D273/P$3</f>
        <v>0</v>
      </c>
      <c r="Q273" s="124" t="n">
        <f aca="false">E273/P$3</f>
        <v>0</v>
      </c>
      <c r="R273" s="124" t="n">
        <f aca="false">F273/R$3</f>
        <v>0</v>
      </c>
      <c r="S273" s="126" t="n">
        <f aca="false">J273/$R$3</f>
        <v>0</v>
      </c>
      <c r="T273" s="126" t="n">
        <f aca="false">L273/$R$3</f>
        <v>0</v>
      </c>
      <c r="U273" s="126" t="n">
        <f aca="false">I273/$R$3</f>
        <v>-37.22665</v>
      </c>
      <c r="V273" s="126" t="n">
        <f aca="false">M273/$R$3</f>
        <v>-37.22665</v>
      </c>
      <c r="W273" s="126" t="n">
        <f aca="false">N273/$R$3</f>
        <v>-37.22665</v>
      </c>
    </row>
    <row r="274" customFormat="false" ht="12.75" hidden="false" customHeight="false" outlineLevel="0" collapsed="false">
      <c r="A274" s="120" t="n">
        <f aca="false">A273+1</f>
        <v>37160</v>
      </c>
      <c r="B274" s="131" t="str">
        <f aca="false">INDEX('Master Data'!$A$2:$B$8,MATCH(WEEKDAY('Plant Manager'!A274,3),'Master Data'!$A$2:$A$8,0),2)</f>
        <v>W</v>
      </c>
      <c r="D274" s="124" t="n">
        <v>0</v>
      </c>
      <c r="E274" s="124" t="n">
        <v>0</v>
      </c>
      <c r="F274" s="124" t="n">
        <v>0</v>
      </c>
      <c r="G274" s="124" t="n">
        <v>0</v>
      </c>
      <c r="I274" s="124" t="n">
        <f aca="false">IF(MONTH($A274)=MONTH($A273),IF(G274=0,I273,G274),G274)</f>
        <v>-37226.65</v>
      </c>
      <c r="J274" s="124" t="n">
        <f aca="false">IF(MONTH($A274)=MONTH($A273),SUM(I274-I273),I274)</f>
        <v>0</v>
      </c>
      <c r="K274" s="124" t="n">
        <f aca="false">IF(WEEKDAY(A274,3)&gt;4,0,(IF(A274&lt;K$2,0,IF(A274&lt;=K$3,1,0))))</f>
        <v>0</v>
      </c>
      <c r="L274" s="124" t="n">
        <f aca="false">J274*K274</f>
        <v>0</v>
      </c>
      <c r="M274" s="124" t="n">
        <f aca="false">SUM(J$188:J274)</f>
        <v>-37226.65</v>
      </c>
      <c r="N274" s="124" t="n">
        <f aca="false">SUM(J$6:J274)</f>
        <v>-37226.65</v>
      </c>
      <c r="P274" s="124" t="n">
        <f aca="false">D274/P$3</f>
        <v>0</v>
      </c>
      <c r="Q274" s="124" t="n">
        <f aca="false">E274/P$3</f>
        <v>0</v>
      </c>
      <c r="R274" s="124" t="n">
        <f aca="false">F274/R$3</f>
        <v>0</v>
      </c>
      <c r="S274" s="126" t="n">
        <f aca="false">J274/$R$3</f>
        <v>0</v>
      </c>
      <c r="T274" s="126" t="n">
        <f aca="false">L274/$R$3</f>
        <v>0</v>
      </c>
      <c r="U274" s="126" t="n">
        <f aca="false">I274/$R$3</f>
        <v>-37.22665</v>
      </c>
      <c r="V274" s="126" t="n">
        <f aca="false">M274/$R$3</f>
        <v>-37.22665</v>
      </c>
      <c r="W274" s="126" t="n">
        <f aca="false">N274/$R$3</f>
        <v>-37.22665</v>
      </c>
    </row>
    <row r="275" customFormat="false" ht="12.75" hidden="false" customHeight="false" outlineLevel="0" collapsed="false">
      <c r="A275" s="120" t="n">
        <f aca="false">A274+1</f>
        <v>37161</v>
      </c>
      <c r="B275" s="131" t="str">
        <f aca="false">INDEX('Master Data'!$A$2:$B$8,MATCH(WEEKDAY('Plant Manager'!A275,3),'Master Data'!$A$2:$A$8,0),2)</f>
        <v>Th</v>
      </c>
      <c r="D275" s="124" t="n">
        <v>0</v>
      </c>
      <c r="E275" s="124" t="n">
        <v>0</v>
      </c>
      <c r="F275" s="124" t="n">
        <v>0</v>
      </c>
      <c r="G275" s="124" t="n">
        <v>0</v>
      </c>
      <c r="I275" s="124" t="n">
        <f aca="false">IF(MONTH($A275)=MONTH($A274),IF(G275=0,I274,G275),G275)</f>
        <v>-37226.65</v>
      </c>
      <c r="J275" s="124" t="n">
        <f aca="false">IF(MONTH($A275)=MONTH($A274),SUM(I275-I274),I275)</f>
        <v>0</v>
      </c>
      <c r="K275" s="124" t="n">
        <f aca="false">IF(WEEKDAY(A275,3)&gt;4,0,(IF(A275&lt;K$2,0,IF(A275&lt;=K$3,1,0))))</f>
        <v>0</v>
      </c>
      <c r="L275" s="124" t="n">
        <f aca="false">J275*K275</f>
        <v>0</v>
      </c>
      <c r="M275" s="124" t="n">
        <f aca="false">SUM(J$188:J275)</f>
        <v>-37226.65</v>
      </c>
      <c r="N275" s="124" t="n">
        <f aca="false">SUM(J$6:J275)</f>
        <v>-37226.65</v>
      </c>
      <c r="P275" s="124" t="n">
        <f aca="false">D275/P$3</f>
        <v>0</v>
      </c>
      <c r="Q275" s="124" t="n">
        <f aca="false">E275/P$3</f>
        <v>0</v>
      </c>
      <c r="R275" s="124" t="n">
        <f aca="false">F275/R$3</f>
        <v>0</v>
      </c>
      <c r="S275" s="126" t="n">
        <f aca="false">J275/$R$3</f>
        <v>0</v>
      </c>
      <c r="T275" s="126" t="n">
        <f aca="false">L275/$R$3</f>
        <v>0</v>
      </c>
      <c r="U275" s="126" t="n">
        <f aca="false">I275/$R$3</f>
        <v>-37.22665</v>
      </c>
      <c r="V275" s="126" t="n">
        <f aca="false">M275/$R$3</f>
        <v>-37.22665</v>
      </c>
      <c r="W275" s="126" t="n">
        <f aca="false">N275/$R$3</f>
        <v>-37.22665</v>
      </c>
    </row>
    <row r="276" customFormat="false" ht="12.75" hidden="false" customHeight="false" outlineLevel="0" collapsed="false">
      <c r="A276" s="120" t="n">
        <f aca="false">A275+1</f>
        <v>37162</v>
      </c>
      <c r="B276" s="131" t="str">
        <f aca="false">INDEX('Master Data'!$A$2:$B$8,MATCH(WEEKDAY('Plant Manager'!A276,3),'Master Data'!$A$2:$A$8,0),2)</f>
        <v>F</v>
      </c>
      <c r="D276" s="124" t="n">
        <v>0</v>
      </c>
      <c r="E276" s="124" t="n">
        <v>0</v>
      </c>
      <c r="F276" s="124" t="n">
        <v>0</v>
      </c>
      <c r="G276" s="124" t="n">
        <v>0</v>
      </c>
      <c r="I276" s="124" t="n">
        <f aca="false">IF(MONTH($A276)=MONTH($A275),IF(G276=0,I275,G276),G276)</f>
        <v>-37226.65</v>
      </c>
      <c r="J276" s="124" t="n">
        <f aca="false">IF(MONTH($A276)=MONTH($A275),SUM(I276-I275),I276)</f>
        <v>0</v>
      </c>
      <c r="K276" s="124" t="n">
        <f aca="false">IF(WEEKDAY(A276,3)&gt;4,0,(IF(A276&lt;K$2,0,IF(A276&lt;=K$3,1,0))))</f>
        <v>0</v>
      </c>
      <c r="L276" s="124" t="n">
        <f aca="false">J276*K276</f>
        <v>0</v>
      </c>
      <c r="M276" s="124" t="n">
        <f aca="false">SUM(J$188:J276)</f>
        <v>-37226.65</v>
      </c>
      <c r="N276" s="124" t="n">
        <f aca="false">SUM(J$6:J276)</f>
        <v>-37226.65</v>
      </c>
      <c r="P276" s="124" t="n">
        <f aca="false">D276/P$3</f>
        <v>0</v>
      </c>
      <c r="Q276" s="124" t="n">
        <f aca="false">E276/P$3</f>
        <v>0</v>
      </c>
      <c r="R276" s="124" t="n">
        <f aca="false">F276/R$3</f>
        <v>0</v>
      </c>
      <c r="S276" s="126" t="n">
        <f aca="false">J276/$R$3</f>
        <v>0</v>
      </c>
      <c r="T276" s="126" t="n">
        <f aca="false">L276/$R$3</f>
        <v>0</v>
      </c>
      <c r="U276" s="126" t="n">
        <f aca="false">I276/$R$3</f>
        <v>-37.22665</v>
      </c>
      <c r="V276" s="126" t="n">
        <f aca="false">M276/$R$3</f>
        <v>-37.22665</v>
      </c>
      <c r="W276" s="126" t="n">
        <f aca="false">N276/$R$3</f>
        <v>-37.22665</v>
      </c>
    </row>
    <row r="277" customFormat="false" ht="12.75" hidden="false" customHeight="false" outlineLevel="0" collapsed="false">
      <c r="A277" s="120" t="n">
        <f aca="false">A276+1</f>
        <v>37163</v>
      </c>
      <c r="B277" s="131" t="str">
        <f aca="false">INDEX('Master Data'!$A$2:$B$8,MATCH(WEEKDAY('Plant Manager'!A277,3),'Master Data'!$A$2:$A$8,0),2)</f>
        <v>Sa</v>
      </c>
      <c r="D277" s="124" t="n">
        <v>0</v>
      </c>
      <c r="E277" s="124" t="n">
        <v>0</v>
      </c>
      <c r="F277" s="124" t="n">
        <v>0</v>
      </c>
      <c r="G277" s="124" t="n">
        <v>0</v>
      </c>
      <c r="I277" s="124" t="n">
        <f aca="false">IF(MONTH($A277)=MONTH($A276),IF(G277=0,I276,G277),G277)</f>
        <v>-37226.65</v>
      </c>
      <c r="J277" s="124" t="n">
        <f aca="false">IF(MONTH($A277)=MONTH($A276),SUM(I277-I276),I277)</f>
        <v>0</v>
      </c>
      <c r="K277" s="124" t="n">
        <f aca="false">IF(WEEKDAY(A277,3)&gt;4,0,(IF(A277&lt;K$2,0,IF(A277&lt;=K$3,1,0))))</f>
        <v>0</v>
      </c>
      <c r="L277" s="124" t="n">
        <f aca="false">J277*K277</f>
        <v>0</v>
      </c>
      <c r="M277" s="124" t="n">
        <f aca="false">SUM(J$188:J277)</f>
        <v>-37226.65</v>
      </c>
      <c r="N277" s="124" t="n">
        <f aca="false">SUM(J$6:J277)</f>
        <v>-37226.65</v>
      </c>
      <c r="P277" s="124" t="n">
        <f aca="false">D277/P$3</f>
        <v>0</v>
      </c>
      <c r="Q277" s="124" t="n">
        <f aca="false">E277/P$3</f>
        <v>0</v>
      </c>
      <c r="R277" s="124" t="n">
        <f aca="false">F277/R$3</f>
        <v>0</v>
      </c>
      <c r="S277" s="126" t="n">
        <f aca="false">J277/$R$3</f>
        <v>0</v>
      </c>
      <c r="T277" s="126" t="n">
        <f aca="false">L277/$R$3</f>
        <v>0</v>
      </c>
      <c r="U277" s="126" t="n">
        <f aca="false">I277/$R$3</f>
        <v>-37.22665</v>
      </c>
      <c r="V277" s="126" t="n">
        <f aca="false">M277/$R$3</f>
        <v>-37.22665</v>
      </c>
      <c r="W277" s="126" t="n">
        <f aca="false">N277/$R$3</f>
        <v>-37.22665</v>
      </c>
    </row>
    <row r="278" customFormat="false" ht="12.75" hidden="false" customHeight="false" outlineLevel="0" collapsed="false">
      <c r="A278" s="120" t="n">
        <f aca="false">A277+1</f>
        <v>37164</v>
      </c>
      <c r="B278" s="131" t="str">
        <f aca="false">INDEX('Master Data'!$A$2:$B$8,MATCH(WEEKDAY('Plant Manager'!A278,3),'Master Data'!$A$2:$A$8,0),2)</f>
        <v>Su</v>
      </c>
      <c r="D278" s="124" t="n">
        <v>0</v>
      </c>
      <c r="E278" s="124" t="n">
        <v>0</v>
      </c>
      <c r="F278" s="124" t="n">
        <v>0</v>
      </c>
      <c r="G278" s="124" t="n">
        <v>0</v>
      </c>
      <c r="I278" s="124" t="n">
        <f aca="false">IF(MONTH($A278)=MONTH($A277),IF(G278=0,I277,G278),G278)</f>
        <v>-37226.65</v>
      </c>
      <c r="J278" s="124" t="n">
        <f aca="false">IF(MONTH($A278)=MONTH($A277),SUM(I278-I277),I278)</f>
        <v>0</v>
      </c>
      <c r="K278" s="124" t="n">
        <f aca="false">IF(WEEKDAY(A278,3)&gt;4,0,(IF(A278&lt;K$2,0,IF(A278&lt;=K$3,1,0))))</f>
        <v>0</v>
      </c>
      <c r="L278" s="124" t="n">
        <f aca="false">J278*K278</f>
        <v>0</v>
      </c>
      <c r="M278" s="124" t="n">
        <f aca="false">SUM(J$188:J278)</f>
        <v>-37226.65</v>
      </c>
      <c r="N278" s="124" t="n">
        <f aca="false">SUM(J$6:J278)</f>
        <v>-37226.65</v>
      </c>
      <c r="P278" s="124" t="n">
        <f aca="false">D278/P$3</f>
        <v>0</v>
      </c>
      <c r="Q278" s="124" t="n">
        <f aca="false">E278/P$3</f>
        <v>0</v>
      </c>
      <c r="R278" s="124" t="n">
        <f aca="false">F278/R$3</f>
        <v>0</v>
      </c>
      <c r="S278" s="126" t="n">
        <f aca="false">J278/$R$3</f>
        <v>0</v>
      </c>
      <c r="T278" s="126" t="n">
        <f aca="false">L278/$R$3</f>
        <v>0</v>
      </c>
      <c r="U278" s="126" t="n">
        <f aca="false">I278/$R$3</f>
        <v>-37.22665</v>
      </c>
      <c r="V278" s="126" t="n">
        <f aca="false">M278/$R$3</f>
        <v>-37.22665</v>
      </c>
      <c r="W278" s="126" t="n">
        <f aca="false">N278/$R$3</f>
        <v>-37.22665</v>
      </c>
    </row>
    <row r="279" customFormat="false" ht="12.75" hidden="false" customHeight="false" outlineLevel="0" collapsed="false">
      <c r="A279" s="120" t="n">
        <f aca="false">A278+1</f>
        <v>37165</v>
      </c>
      <c r="B279" s="131" t="str">
        <f aca="false">INDEX('Master Data'!$A$2:$B$8,MATCH(WEEKDAY('Plant Manager'!A279,3),'Master Data'!$A$2:$A$8,0),2)</f>
        <v>M</v>
      </c>
      <c r="D279" s="124" t="n">
        <v>0</v>
      </c>
      <c r="E279" s="124" t="n">
        <v>0</v>
      </c>
      <c r="F279" s="124" t="n">
        <v>0</v>
      </c>
      <c r="G279" s="124" t="n">
        <v>0</v>
      </c>
      <c r="I279" s="124" t="n">
        <f aca="false">IF(MONTH($A279)=MONTH($A278),IF(G279=0,I278,G279),G279)</f>
        <v>0</v>
      </c>
      <c r="J279" s="124" t="n">
        <f aca="false">IF(MONTH($A279)=MONTH($A278),SUM(I279-I278),I279)</f>
        <v>0</v>
      </c>
      <c r="K279" s="124" t="n">
        <f aca="false">IF(WEEKDAY(A279,3)&gt;4,0,(IF(A279&lt;K$2,0,IF(A279&lt;=K$3,1,0))))</f>
        <v>0</v>
      </c>
      <c r="L279" s="124" t="n">
        <f aca="false">J279*K279</f>
        <v>0</v>
      </c>
      <c r="M279" s="124" t="n">
        <f aca="false">SUM(J$188:J279)</f>
        <v>-37226.65</v>
      </c>
      <c r="N279" s="124" t="n">
        <f aca="false">SUM(J$6:J279)</f>
        <v>-37226.65</v>
      </c>
      <c r="P279" s="124" t="n">
        <f aca="false">D279/P$3</f>
        <v>0</v>
      </c>
      <c r="Q279" s="124" t="n">
        <f aca="false">E279/P$3</f>
        <v>0</v>
      </c>
      <c r="R279" s="124" t="n">
        <f aca="false">F279/R$3</f>
        <v>0</v>
      </c>
      <c r="S279" s="126" t="n">
        <f aca="false">J279/$R$3</f>
        <v>0</v>
      </c>
      <c r="T279" s="126" t="n">
        <f aca="false">L279/$R$3</f>
        <v>0</v>
      </c>
      <c r="U279" s="126" t="n">
        <f aca="false">I279/$R$3</f>
        <v>0</v>
      </c>
      <c r="V279" s="126" t="n">
        <f aca="false">M279/$R$3</f>
        <v>-37.22665</v>
      </c>
      <c r="W279" s="126" t="n">
        <f aca="false">N279/$R$3</f>
        <v>-37.22665</v>
      </c>
    </row>
    <row r="280" customFormat="false" ht="12.75" hidden="true" customHeight="false" outlineLevel="0" collapsed="false">
      <c r="A280" s="120" t="n">
        <f aca="false">A279+1</f>
        <v>37166</v>
      </c>
      <c r="B280" s="131" t="str">
        <f aca="false">INDEX('Master Data'!$A$2:$B$8,MATCH(WEEKDAY('Plant Manager'!A280,3),'Master Data'!$A$2:$A$8,0),2)</f>
        <v>T</v>
      </c>
      <c r="D280" s="124" t="n">
        <v>0</v>
      </c>
      <c r="E280" s="124" t="n">
        <v>0</v>
      </c>
      <c r="F280" s="124" t="n">
        <v>0</v>
      </c>
      <c r="G280" s="124" t="n">
        <v>0</v>
      </c>
      <c r="I280" s="124" t="n">
        <f aca="false">IF(MONTH($A280)=MONTH($A279),IF(G280=0,I279,G280),G280)</f>
        <v>0</v>
      </c>
      <c r="J280" s="124" t="n">
        <f aca="false">IF(MONTH($A280)=MONTH($A279),SUM(I280-I279),I280)</f>
        <v>0</v>
      </c>
      <c r="K280" s="124" t="n">
        <f aca="false">IF(WEEKDAY(A280,3)&gt;4,0,(IF(A280&lt;K$2,0,IF(A280&lt;=K$3,1,0))))</f>
        <v>0</v>
      </c>
      <c r="L280" s="124" t="n">
        <f aca="false">J280*K280</f>
        <v>0</v>
      </c>
      <c r="M280" s="124" t="n">
        <f aca="false">SUM(J$280:J280)</f>
        <v>0</v>
      </c>
      <c r="N280" s="124" t="n">
        <f aca="false">SUM(J$6:J280)</f>
        <v>-37226.65</v>
      </c>
      <c r="P280" s="124" t="n">
        <f aca="false">D280/P$3</f>
        <v>0</v>
      </c>
      <c r="Q280" s="124" t="n">
        <f aca="false">E280/P$3</f>
        <v>0</v>
      </c>
      <c r="R280" s="124" t="n">
        <f aca="false">F280/R$3</f>
        <v>0</v>
      </c>
      <c r="S280" s="126" t="n">
        <f aca="false">J280/$R$3</f>
        <v>0</v>
      </c>
      <c r="T280" s="126" t="n">
        <f aca="false">L280/$R$3</f>
        <v>0</v>
      </c>
      <c r="U280" s="126" t="n">
        <f aca="false">I280/$R$3</f>
        <v>0</v>
      </c>
      <c r="V280" s="126" t="n">
        <f aca="false">M280/$R$3</f>
        <v>0</v>
      </c>
      <c r="W280" s="126" t="n">
        <f aca="false">N280/$R$3</f>
        <v>-37.22665</v>
      </c>
    </row>
    <row r="281" customFormat="false" ht="12.75" hidden="true" customHeight="false" outlineLevel="0" collapsed="false">
      <c r="A281" s="120" t="n">
        <f aca="false">A280+1</f>
        <v>37167</v>
      </c>
      <c r="B281" s="131" t="str">
        <f aca="false">INDEX('Master Data'!$A$2:$B$8,MATCH(WEEKDAY('Plant Manager'!A281,3),'Master Data'!$A$2:$A$8,0),2)</f>
        <v>W</v>
      </c>
      <c r="D281" s="124" t="n">
        <v>0</v>
      </c>
      <c r="E281" s="124" t="n">
        <v>0</v>
      </c>
      <c r="F281" s="124" t="n">
        <v>0</v>
      </c>
      <c r="G281" s="124" t="n">
        <v>0</v>
      </c>
      <c r="I281" s="124" t="n">
        <f aca="false">IF(MONTH($A281)=MONTH($A280),IF(G281=0,I280,G281),G281)</f>
        <v>0</v>
      </c>
      <c r="J281" s="124" t="n">
        <f aca="false">IF(MONTH($A281)=MONTH($A280),SUM(I281-I280),I281)</f>
        <v>0</v>
      </c>
      <c r="K281" s="124" t="n">
        <f aca="false">IF(WEEKDAY(A281,3)&gt;4,0,(IF(A281&lt;K$2,0,IF(A281&lt;=K$3,1,0))))</f>
        <v>0</v>
      </c>
      <c r="L281" s="124" t="n">
        <f aca="false">J281*K281</f>
        <v>0</v>
      </c>
      <c r="M281" s="124" t="n">
        <f aca="false">SUM(J$280:J281)</f>
        <v>0</v>
      </c>
      <c r="N281" s="124" t="n">
        <f aca="false">SUM(J$6:J281)</f>
        <v>-37226.65</v>
      </c>
      <c r="P281" s="124" t="n">
        <f aca="false">D281/P$3</f>
        <v>0</v>
      </c>
      <c r="Q281" s="124" t="n">
        <f aca="false">E281/P$3</f>
        <v>0</v>
      </c>
      <c r="R281" s="124" t="n">
        <f aca="false">F281/R$3</f>
        <v>0</v>
      </c>
      <c r="S281" s="126" t="n">
        <f aca="false">J281/$R$3</f>
        <v>0</v>
      </c>
      <c r="T281" s="126" t="n">
        <f aca="false">L281/$R$3</f>
        <v>0</v>
      </c>
      <c r="U281" s="126" t="n">
        <f aca="false">I281/$R$3</f>
        <v>0</v>
      </c>
      <c r="V281" s="126" t="n">
        <f aca="false">M281/$R$3</f>
        <v>0</v>
      </c>
      <c r="W281" s="126" t="n">
        <f aca="false">N281/$R$3</f>
        <v>-37.22665</v>
      </c>
    </row>
    <row r="282" customFormat="false" ht="12.75" hidden="true" customHeight="false" outlineLevel="0" collapsed="false">
      <c r="A282" s="120" t="n">
        <f aca="false">A281+1</f>
        <v>37168</v>
      </c>
      <c r="B282" s="131" t="str">
        <f aca="false">INDEX('Master Data'!$A$2:$B$8,MATCH(WEEKDAY('Plant Manager'!A282,3),'Master Data'!$A$2:$A$8,0),2)</f>
        <v>Th</v>
      </c>
      <c r="D282" s="124" t="n">
        <v>0</v>
      </c>
      <c r="E282" s="124" t="n">
        <v>0</v>
      </c>
      <c r="F282" s="124" t="n">
        <v>0</v>
      </c>
      <c r="G282" s="124" t="n">
        <v>0</v>
      </c>
      <c r="I282" s="124" t="n">
        <f aca="false">IF(MONTH($A282)=MONTH($A281),IF(G282=0,I281,G282),G282)</f>
        <v>0</v>
      </c>
      <c r="J282" s="124" t="n">
        <f aca="false">IF(MONTH($A282)=MONTH($A281),SUM(I282-I281),I282)</f>
        <v>0</v>
      </c>
      <c r="K282" s="124" t="n">
        <f aca="false">IF(WEEKDAY(A282,3)&gt;4,0,(IF(A282&lt;K$2,0,IF(A282&lt;=K$3,1,0))))</f>
        <v>0</v>
      </c>
      <c r="L282" s="124" t="n">
        <f aca="false">J282*K282</f>
        <v>0</v>
      </c>
      <c r="M282" s="124" t="n">
        <f aca="false">SUM(J$280:J282)</f>
        <v>0</v>
      </c>
      <c r="N282" s="124" t="n">
        <f aca="false">SUM(J$6:J282)</f>
        <v>-37226.65</v>
      </c>
      <c r="P282" s="124" t="n">
        <f aca="false">D282/P$3</f>
        <v>0</v>
      </c>
      <c r="Q282" s="124" t="n">
        <f aca="false">E282/P$3</f>
        <v>0</v>
      </c>
      <c r="R282" s="124" t="n">
        <f aca="false">F282/R$3</f>
        <v>0</v>
      </c>
      <c r="S282" s="126" t="n">
        <f aca="false">J282/$R$3</f>
        <v>0</v>
      </c>
      <c r="T282" s="126" t="n">
        <f aca="false">L282/$R$3</f>
        <v>0</v>
      </c>
      <c r="U282" s="126" t="n">
        <f aca="false">I282/$R$3</f>
        <v>0</v>
      </c>
      <c r="V282" s="126" t="n">
        <f aca="false">M282/$R$3</f>
        <v>0</v>
      </c>
      <c r="W282" s="126" t="n">
        <f aca="false">N282/$R$3</f>
        <v>-37.22665</v>
      </c>
    </row>
    <row r="283" customFormat="false" ht="12.75" hidden="true" customHeight="false" outlineLevel="0" collapsed="false">
      <c r="A283" s="120" t="n">
        <f aca="false">A282+1</f>
        <v>37169</v>
      </c>
      <c r="B283" s="131" t="str">
        <f aca="false">INDEX('Master Data'!$A$2:$B$8,MATCH(WEEKDAY('Plant Manager'!A283,3),'Master Data'!$A$2:$A$8,0),2)</f>
        <v>F</v>
      </c>
      <c r="D283" s="124" t="n">
        <v>0</v>
      </c>
      <c r="E283" s="124" t="n">
        <v>0</v>
      </c>
      <c r="F283" s="124" t="n">
        <v>0</v>
      </c>
      <c r="G283" s="124" t="n">
        <v>0</v>
      </c>
      <c r="I283" s="124" t="n">
        <f aca="false">IF(MONTH($A283)=MONTH($A282),IF(G283=0,I282,G283),G283)</f>
        <v>0</v>
      </c>
      <c r="J283" s="124" t="n">
        <f aca="false">IF(MONTH($A283)=MONTH($A282),SUM(I283-I282),I283)</f>
        <v>0</v>
      </c>
      <c r="K283" s="124" t="n">
        <f aca="false">IF(WEEKDAY(A283,3)&gt;4,0,(IF(A283&lt;K$2,0,IF(A283&lt;=K$3,1,0))))</f>
        <v>0</v>
      </c>
      <c r="L283" s="124" t="n">
        <f aca="false">J283*K283</f>
        <v>0</v>
      </c>
      <c r="M283" s="124" t="n">
        <f aca="false">SUM(J$280:J283)</f>
        <v>0</v>
      </c>
      <c r="N283" s="124" t="n">
        <f aca="false">SUM(J$6:J283)</f>
        <v>-37226.65</v>
      </c>
      <c r="P283" s="124" t="n">
        <f aca="false">D283/P$3</f>
        <v>0</v>
      </c>
      <c r="Q283" s="124" t="n">
        <f aca="false">E283/P$3</f>
        <v>0</v>
      </c>
      <c r="R283" s="124" t="n">
        <f aca="false">F283/R$3</f>
        <v>0</v>
      </c>
      <c r="S283" s="126" t="n">
        <f aca="false">J283/$R$3</f>
        <v>0</v>
      </c>
      <c r="T283" s="126" t="n">
        <f aca="false">L283/$R$3</f>
        <v>0</v>
      </c>
      <c r="U283" s="126" t="n">
        <f aca="false">I283/$R$3</f>
        <v>0</v>
      </c>
      <c r="V283" s="126" t="n">
        <f aca="false">M283/$R$3</f>
        <v>0</v>
      </c>
      <c r="W283" s="126" t="n">
        <f aca="false">N283/$R$3</f>
        <v>-37.22665</v>
      </c>
    </row>
    <row r="284" customFormat="false" ht="12.75" hidden="true" customHeight="false" outlineLevel="0" collapsed="false">
      <c r="A284" s="120" t="n">
        <f aca="false">A283+1</f>
        <v>37170</v>
      </c>
      <c r="B284" s="131" t="str">
        <f aca="false">INDEX('Master Data'!$A$2:$B$8,MATCH(WEEKDAY('Plant Manager'!A284,3),'Master Data'!$A$2:$A$8,0),2)</f>
        <v>Sa</v>
      </c>
      <c r="D284" s="124" t="n">
        <v>0</v>
      </c>
      <c r="E284" s="124" t="n">
        <v>0</v>
      </c>
      <c r="F284" s="124" t="n">
        <v>0</v>
      </c>
      <c r="G284" s="124" t="n">
        <v>0</v>
      </c>
      <c r="I284" s="124" t="n">
        <f aca="false">IF(MONTH($A284)=MONTH($A283),IF(G284=0,I283,G284),G284)</f>
        <v>0</v>
      </c>
      <c r="J284" s="124" t="n">
        <f aca="false">IF(MONTH($A284)=MONTH($A283),SUM(I284-I283),I284)</f>
        <v>0</v>
      </c>
      <c r="K284" s="124" t="n">
        <f aca="false">IF(WEEKDAY(A284,3)&gt;4,0,(IF(A284&lt;K$2,0,IF(A284&lt;=K$3,1,0))))</f>
        <v>0</v>
      </c>
      <c r="L284" s="124" t="n">
        <f aca="false">J284*K284</f>
        <v>0</v>
      </c>
      <c r="M284" s="124" t="n">
        <f aca="false">SUM(J$280:J284)</f>
        <v>0</v>
      </c>
      <c r="N284" s="124" t="n">
        <f aca="false">SUM(J$6:J284)</f>
        <v>-37226.65</v>
      </c>
      <c r="P284" s="124" t="n">
        <f aca="false">D284/P$3</f>
        <v>0</v>
      </c>
      <c r="Q284" s="124" t="n">
        <f aca="false">E284/P$3</f>
        <v>0</v>
      </c>
      <c r="R284" s="124" t="n">
        <f aca="false">F284/R$3</f>
        <v>0</v>
      </c>
      <c r="S284" s="126" t="n">
        <f aca="false">J284/$R$3</f>
        <v>0</v>
      </c>
      <c r="T284" s="126" t="n">
        <f aca="false">L284/$R$3</f>
        <v>0</v>
      </c>
      <c r="U284" s="126" t="n">
        <f aca="false">I284/$R$3</f>
        <v>0</v>
      </c>
      <c r="V284" s="126" t="n">
        <f aca="false">M284/$R$3</f>
        <v>0</v>
      </c>
      <c r="W284" s="126" t="n">
        <f aca="false">N284/$R$3</f>
        <v>-37.22665</v>
      </c>
    </row>
    <row r="285" customFormat="false" ht="12.75" hidden="true" customHeight="false" outlineLevel="0" collapsed="false">
      <c r="A285" s="120" t="n">
        <f aca="false">A284+1</f>
        <v>37171</v>
      </c>
      <c r="B285" s="131" t="str">
        <f aca="false">INDEX('Master Data'!$A$2:$B$8,MATCH(WEEKDAY('Plant Manager'!A285,3),'Master Data'!$A$2:$A$8,0),2)</f>
        <v>Su</v>
      </c>
      <c r="D285" s="124" t="n">
        <v>0</v>
      </c>
      <c r="E285" s="124" t="n">
        <v>0</v>
      </c>
      <c r="F285" s="124" t="n">
        <v>0</v>
      </c>
      <c r="G285" s="124" t="n">
        <v>0</v>
      </c>
      <c r="I285" s="124" t="n">
        <f aca="false">IF(MONTH($A285)=MONTH($A284),IF(G285=0,I284,G285),G285)</f>
        <v>0</v>
      </c>
      <c r="J285" s="124" t="n">
        <f aca="false">IF(MONTH($A285)=MONTH($A284),SUM(I285-I284),I285)</f>
        <v>0</v>
      </c>
      <c r="K285" s="124" t="n">
        <f aca="false">IF(WEEKDAY(A285,3)&gt;4,0,(IF(A285&lt;K$2,0,IF(A285&lt;=K$3,1,0))))</f>
        <v>0</v>
      </c>
      <c r="L285" s="124" t="n">
        <f aca="false">J285*K285</f>
        <v>0</v>
      </c>
      <c r="M285" s="124" t="n">
        <f aca="false">SUM(J$280:J285)</f>
        <v>0</v>
      </c>
      <c r="N285" s="124" t="n">
        <f aca="false">SUM(J$6:J285)</f>
        <v>-37226.65</v>
      </c>
      <c r="P285" s="124" t="n">
        <f aca="false">D285/P$3</f>
        <v>0</v>
      </c>
      <c r="Q285" s="124" t="n">
        <f aca="false">E285/P$3</f>
        <v>0</v>
      </c>
      <c r="R285" s="124" t="n">
        <f aca="false">F285/R$3</f>
        <v>0</v>
      </c>
      <c r="S285" s="126" t="n">
        <f aca="false">J285/$R$3</f>
        <v>0</v>
      </c>
      <c r="T285" s="126" t="n">
        <f aca="false">L285/$R$3</f>
        <v>0</v>
      </c>
      <c r="U285" s="126" t="n">
        <f aca="false">I285/$R$3</f>
        <v>0</v>
      </c>
      <c r="V285" s="126" t="n">
        <f aca="false">M285/$R$3</f>
        <v>0</v>
      </c>
      <c r="W285" s="126" t="n">
        <f aca="false">N285/$R$3</f>
        <v>-37.22665</v>
      </c>
    </row>
    <row r="286" customFormat="false" ht="12.75" hidden="true" customHeight="false" outlineLevel="0" collapsed="false">
      <c r="A286" s="120" t="n">
        <f aca="false">A285+1</f>
        <v>37172</v>
      </c>
      <c r="B286" s="131" t="str">
        <f aca="false">INDEX('Master Data'!$A$2:$B$8,MATCH(WEEKDAY('Plant Manager'!A286,3),'Master Data'!$A$2:$A$8,0),2)</f>
        <v>M</v>
      </c>
      <c r="D286" s="124" t="n">
        <v>0</v>
      </c>
      <c r="E286" s="124" t="n">
        <v>0</v>
      </c>
      <c r="F286" s="124" t="n">
        <v>0</v>
      </c>
      <c r="G286" s="124" t="n">
        <v>0</v>
      </c>
      <c r="I286" s="124" t="n">
        <f aca="false">IF(MONTH($A286)=MONTH($A285),IF(G286=0,I285,G286),G286)</f>
        <v>0</v>
      </c>
      <c r="J286" s="124" t="n">
        <f aca="false">IF(MONTH($A286)=MONTH($A285),SUM(I286-I285),I286)</f>
        <v>0</v>
      </c>
      <c r="K286" s="124" t="n">
        <f aca="false">IF(WEEKDAY(A286,3)&gt;4,0,(IF(A286&lt;K$2,0,IF(A286&lt;=K$3,1,0))))</f>
        <v>0</v>
      </c>
      <c r="L286" s="124" t="n">
        <f aca="false">J286*K286</f>
        <v>0</v>
      </c>
      <c r="M286" s="124" t="n">
        <f aca="false">SUM(J$280:J286)</f>
        <v>0</v>
      </c>
      <c r="N286" s="124" t="n">
        <f aca="false">SUM(J$6:J286)</f>
        <v>-37226.65</v>
      </c>
      <c r="P286" s="124" t="n">
        <f aca="false">D286/P$3</f>
        <v>0</v>
      </c>
      <c r="Q286" s="124" t="n">
        <f aca="false">E286/P$3</f>
        <v>0</v>
      </c>
      <c r="R286" s="124" t="n">
        <f aca="false">F286/R$3</f>
        <v>0</v>
      </c>
      <c r="S286" s="126" t="n">
        <f aca="false">J286/$R$3</f>
        <v>0</v>
      </c>
      <c r="T286" s="126" t="n">
        <f aca="false">L286/$R$3</f>
        <v>0</v>
      </c>
      <c r="U286" s="126" t="n">
        <f aca="false">I286/$R$3</f>
        <v>0</v>
      </c>
      <c r="V286" s="126" t="n">
        <f aca="false">M286/$R$3</f>
        <v>0</v>
      </c>
      <c r="W286" s="126" t="n">
        <f aca="false">N286/$R$3</f>
        <v>-37.22665</v>
      </c>
    </row>
    <row r="287" customFormat="false" ht="12.75" hidden="true" customHeight="false" outlineLevel="0" collapsed="false">
      <c r="A287" s="120" t="n">
        <f aca="false">A286+1</f>
        <v>37173</v>
      </c>
      <c r="B287" s="131" t="str">
        <f aca="false">INDEX('Master Data'!$A$2:$B$8,MATCH(WEEKDAY('Plant Manager'!A287,3),'Master Data'!$A$2:$A$8,0),2)</f>
        <v>T</v>
      </c>
      <c r="D287" s="124" t="n">
        <v>0</v>
      </c>
      <c r="E287" s="124" t="n">
        <v>0</v>
      </c>
      <c r="F287" s="124" t="n">
        <v>0</v>
      </c>
      <c r="G287" s="124" t="n">
        <v>0</v>
      </c>
      <c r="I287" s="124" t="n">
        <f aca="false">IF(MONTH($A287)=MONTH($A286),IF(G287=0,I286,G287),G287)</f>
        <v>0</v>
      </c>
      <c r="J287" s="124" t="n">
        <f aca="false">IF(MONTH($A287)=MONTH($A286),SUM(I287-I286),I287)</f>
        <v>0</v>
      </c>
      <c r="K287" s="124" t="n">
        <f aca="false">IF(WEEKDAY(A287,3)&gt;4,0,(IF(A287&lt;K$2,0,IF(A287&lt;=K$3,1,0))))</f>
        <v>0</v>
      </c>
      <c r="L287" s="124" t="n">
        <f aca="false">J287*K287</f>
        <v>0</v>
      </c>
      <c r="M287" s="124" t="n">
        <f aca="false">SUM(J$280:J287)</f>
        <v>0</v>
      </c>
      <c r="N287" s="124" t="n">
        <f aca="false">SUM(J$6:J287)</f>
        <v>-37226.65</v>
      </c>
      <c r="P287" s="124" t="n">
        <f aca="false">D287/P$3</f>
        <v>0</v>
      </c>
      <c r="Q287" s="124" t="n">
        <f aca="false">E287/P$3</f>
        <v>0</v>
      </c>
      <c r="R287" s="124" t="n">
        <f aca="false">F287/R$3</f>
        <v>0</v>
      </c>
      <c r="S287" s="126" t="n">
        <f aca="false">J287/$R$3</f>
        <v>0</v>
      </c>
      <c r="T287" s="126" t="n">
        <f aca="false">L287/$R$3</f>
        <v>0</v>
      </c>
      <c r="U287" s="126" t="n">
        <f aca="false">I287/$R$3</f>
        <v>0</v>
      </c>
      <c r="V287" s="126" t="n">
        <f aca="false">M287/$R$3</f>
        <v>0</v>
      </c>
      <c r="W287" s="126" t="n">
        <f aca="false">N287/$R$3</f>
        <v>-37.22665</v>
      </c>
    </row>
    <row r="288" customFormat="false" ht="12.75" hidden="true" customHeight="false" outlineLevel="0" collapsed="false">
      <c r="A288" s="120" t="n">
        <f aca="false">A287+1</f>
        <v>37174</v>
      </c>
      <c r="B288" s="131" t="str">
        <f aca="false">INDEX('Master Data'!$A$2:$B$8,MATCH(WEEKDAY('Plant Manager'!A288,3),'Master Data'!$A$2:$A$8,0),2)</f>
        <v>W</v>
      </c>
      <c r="D288" s="124" t="n">
        <v>0</v>
      </c>
      <c r="E288" s="124" t="n">
        <v>0</v>
      </c>
      <c r="F288" s="124" t="n">
        <v>0</v>
      </c>
      <c r="G288" s="124" t="n">
        <v>0</v>
      </c>
      <c r="I288" s="124" t="n">
        <f aca="false">IF(MONTH($A288)=MONTH($A287),IF(G288=0,I287,G288),G288)</f>
        <v>0</v>
      </c>
      <c r="J288" s="124" t="n">
        <f aca="false">IF(MONTH($A288)=MONTH($A287),SUM(I288-I287),I288)</f>
        <v>0</v>
      </c>
      <c r="K288" s="124" t="n">
        <f aca="false">IF(WEEKDAY(A288,3)&gt;4,0,(IF(A288&lt;K$2,0,IF(A288&lt;=K$3,1,0))))</f>
        <v>0</v>
      </c>
      <c r="L288" s="124" t="n">
        <f aca="false">J288*K288</f>
        <v>0</v>
      </c>
      <c r="M288" s="124" t="n">
        <f aca="false">SUM(J$280:J288)</f>
        <v>0</v>
      </c>
      <c r="N288" s="124" t="n">
        <f aca="false">SUM(J$6:J288)</f>
        <v>-37226.65</v>
      </c>
      <c r="P288" s="124" t="n">
        <f aca="false">D288/P$3</f>
        <v>0</v>
      </c>
      <c r="Q288" s="124" t="n">
        <f aca="false">E288/P$3</f>
        <v>0</v>
      </c>
      <c r="R288" s="124" t="n">
        <f aca="false">F288/R$3</f>
        <v>0</v>
      </c>
      <c r="S288" s="126" t="n">
        <f aca="false">J288/$R$3</f>
        <v>0</v>
      </c>
      <c r="T288" s="126" t="n">
        <f aca="false">L288/$R$3</f>
        <v>0</v>
      </c>
      <c r="U288" s="126" t="n">
        <f aca="false">I288/$R$3</f>
        <v>0</v>
      </c>
      <c r="V288" s="126" t="n">
        <f aca="false">M288/$R$3</f>
        <v>0</v>
      </c>
      <c r="W288" s="126" t="n">
        <f aca="false">N288/$R$3</f>
        <v>-37.22665</v>
      </c>
    </row>
    <row r="289" customFormat="false" ht="12.75" hidden="true" customHeight="false" outlineLevel="0" collapsed="false">
      <c r="A289" s="120" t="n">
        <f aca="false">A288+1</f>
        <v>37175</v>
      </c>
      <c r="B289" s="131" t="str">
        <f aca="false">INDEX('Master Data'!$A$2:$B$8,MATCH(WEEKDAY('Plant Manager'!A289,3),'Master Data'!$A$2:$A$8,0),2)</f>
        <v>Th</v>
      </c>
      <c r="D289" s="124" t="n">
        <v>0</v>
      </c>
      <c r="E289" s="124" t="n">
        <v>0</v>
      </c>
      <c r="F289" s="124" t="n">
        <v>0</v>
      </c>
      <c r="G289" s="124" t="n">
        <v>0</v>
      </c>
      <c r="I289" s="124" t="n">
        <f aca="false">IF(MONTH($A289)=MONTH($A288),IF(G289=0,I288,G289),G289)</f>
        <v>0</v>
      </c>
      <c r="J289" s="124" t="n">
        <f aca="false">IF(MONTH($A289)=MONTH($A288),SUM(I289-I288),I289)</f>
        <v>0</v>
      </c>
      <c r="K289" s="124" t="n">
        <f aca="false">IF(WEEKDAY(A289,3)&gt;4,0,(IF(A289&lt;K$2,0,IF(A289&lt;=K$3,1,0))))</f>
        <v>0</v>
      </c>
      <c r="L289" s="124" t="n">
        <f aca="false">J289*K289</f>
        <v>0</v>
      </c>
      <c r="M289" s="124" t="n">
        <f aca="false">SUM(J$280:J289)</f>
        <v>0</v>
      </c>
      <c r="N289" s="124" t="n">
        <f aca="false">SUM(J$6:J289)</f>
        <v>-37226.65</v>
      </c>
      <c r="P289" s="124" t="n">
        <f aca="false">D289/P$3</f>
        <v>0</v>
      </c>
      <c r="Q289" s="124" t="n">
        <f aca="false">E289/P$3</f>
        <v>0</v>
      </c>
      <c r="R289" s="124" t="n">
        <f aca="false">F289/R$3</f>
        <v>0</v>
      </c>
      <c r="S289" s="126" t="n">
        <f aca="false">J289/$R$3</f>
        <v>0</v>
      </c>
      <c r="T289" s="126" t="n">
        <f aca="false">L289/$R$3</f>
        <v>0</v>
      </c>
      <c r="U289" s="126" t="n">
        <f aca="false">I289/$R$3</f>
        <v>0</v>
      </c>
      <c r="V289" s="126" t="n">
        <f aca="false">M289/$R$3</f>
        <v>0</v>
      </c>
      <c r="W289" s="126" t="n">
        <f aca="false">N289/$R$3</f>
        <v>-37.22665</v>
      </c>
    </row>
    <row r="290" customFormat="false" ht="12.75" hidden="true" customHeight="false" outlineLevel="0" collapsed="false">
      <c r="A290" s="120" t="n">
        <f aca="false">A289+1</f>
        <v>37176</v>
      </c>
      <c r="B290" s="131" t="str">
        <f aca="false">INDEX('Master Data'!$A$2:$B$8,MATCH(WEEKDAY('Plant Manager'!A290,3),'Master Data'!$A$2:$A$8,0),2)</f>
        <v>F</v>
      </c>
      <c r="D290" s="124" t="n">
        <v>0</v>
      </c>
      <c r="E290" s="124" t="n">
        <v>0</v>
      </c>
      <c r="F290" s="124" t="n">
        <v>0</v>
      </c>
      <c r="G290" s="124" t="n">
        <v>0</v>
      </c>
      <c r="I290" s="124" t="n">
        <f aca="false">IF(MONTH($A290)=MONTH($A289),IF(G290=0,I289,G290),G290)</f>
        <v>0</v>
      </c>
      <c r="J290" s="124" t="n">
        <f aca="false">IF(MONTH($A290)=MONTH($A289),SUM(I290-I289),I290)</f>
        <v>0</v>
      </c>
      <c r="K290" s="124" t="n">
        <f aca="false">IF(WEEKDAY(A290,3)&gt;4,0,(IF(A290&lt;K$2,0,IF(A290&lt;=K$3,1,0))))</f>
        <v>0</v>
      </c>
      <c r="L290" s="124" t="n">
        <f aca="false">J290*K290</f>
        <v>0</v>
      </c>
      <c r="M290" s="124" t="n">
        <f aca="false">SUM(J$280:J290)</f>
        <v>0</v>
      </c>
      <c r="N290" s="124" t="n">
        <f aca="false">SUM(J$6:J290)</f>
        <v>-37226.65</v>
      </c>
      <c r="P290" s="124" t="n">
        <f aca="false">D290/P$3</f>
        <v>0</v>
      </c>
      <c r="Q290" s="124" t="n">
        <f aca="false">E290/P$3</f>
        <v>0</v>
      </c>
      <c r="R290" s="124" t="n">
        <f aca="false">F290/R$3</f>
        <v>0</v>
      </c>
      <c r="S290" s="126" t="n">
        <f aca="false">J290/$R$3</f>
        <v>0</v>
      </c>
      <c r="T290" s="126" t="n">
        <f aca="false">L290/$R$3</f>
        <v>0</v>
      </c>
      <c r="U290" s="126" t="n">
        <f aca="false">I290/$R$3</f>
        <v>0</v>
      </c>
      <c r="V290" s="126" t="n">
        <f aca="false">M290/$R$3</f>
        <v>0</v>
      </c>
      <c r="W290" s="126" t="n">
        <f aca="false">N290/$R$3</f>
        <v>-37.22665</v>
      </c>
    </row>
    <row r="291" customFormat="false" ht="12.75" hidden="true" customHeight="false" outlineLevel="0" collapsed="false">
      <c r="A291" s="120" t="n">
        <f aca="false">A290+1</f>
        <v>37177</v>
      </c>
      <c r="B291" s="131" t="str">
        <f aca="false">INDEX('Master Data'!$A$2:$B$8,MATCH(WEEKDAY('Plant Manager'!A291,3),'Master Data'!$A$2:$A$8,0),2)</f>
        <v>Sa</v>
      </c>
      <c r="D291" s="124" t="n">
        <v>0</v>
      </c>
      <c r="E291" s="124" t="n">
        <v>0</v>
      </c>
      <c r="F291" s="124" t="n">
        <v>0</v>
      </c>
      <c r="G291" s="124" t="n">
        <v>0</v>
      </c>
      <c r="I291" s="124" t="n">
        <f aca="false">IF(MONTH($A291)=MONTH($A290),IF(G291=0,I290,G291),G291)</f>
        <v>0</v>
      </c>
      <c r="J291" s="124" t="n">
        <f aca="false">IF(MONTH($A291)=MONTH($A290),SUM(I291-I290),I291)</f>
        <v>0</v>
      </c>
      <c r="K291" s="124" t="n">
        <f aca="false">IF(WEEKDAY(A291,3)&gt;4,0,(IF(A291&lt;K$2,0,IF(A291&lt;=K$3,1,0))))</f>
        <v>0</v>
      </c>
      <c r="L291" s="124" t="n">
        <f aca="false">J291*K291</f>
        <v>0</v>
      </c>
      <c r="M291" s="124" t="n">
        <f aca="false">SUM(J$280:J291)</f>
        <v>0</v>
      </c>
      <c r="N291" s="124" t="n">
        <f aca="false">SUM(J$6:J291)</f>
        <v>-37226.65</v>
      </c>
      <c r="P291" s="124" t="n">
        <f aca="false">D291/P$3</f>
        <v>0</v>
      </c>
      <c r="Q291" s="124" t="n">
        <f aca="false">E291/P$3</f>
        <v>0</v>
      </c>
      <c r="R291" s="124" t="n">
        <f aca="false">F291/R$3</f>
        <v>0</v>
      </c>
      <c r="S291" s="126" t="n">
        <f aca="false">J291/$R$3</f>
        <v>0</v>
      </c>
      <c r="T291" s="126" t="n">
        <f aca="false">L291/$R$3</f>
        <v>0</v>
      </c>
      <c r="U291" s="126" t="n">
        <f aca="false">I291/$R$3</f>
        <v>0</v>
      </c>
      <c r="V291" s="126" t="n">
        <f aca="false">M291/$R$3</f>
        <v>0</v>
      </c>
      <c r="W291" s="126" t="n">
        <f aca="false">N291/$R$3</f>
        <v>-37.22665</v>
      </c>
    </row>
    <row r="292" customFormat="false" ht="12.75" hidden="true" customHeight="false" outlineLevel="0" collapsed="false">
      <c r="A292" s="120" t="n">
        <f aca="false">A291+1</f>
        <v>37178</v>
      </c>
      <c r="B292" s="131" t="str">
        <f aca="false">INDEX('Master Data'!$A$2:$B$8,MATCH(WEEKDAY('Plant Manager'!A292,3),'Master Data'!$A$2:$A$8,0),2)</f>
        <v>Su</v>
      </c>
      <c r="D292" s="124" t="n">
        <v>0</v>
      </c>
      <c r="E292" s="124" t="n">
        <v>0</v>
      </c>
      <c r="F292" s="124" t="n">
        <v>0</v>
      </c>
      <c r="G292" s="124" t="n">
        <v>0</v>
      </c>
      <c r="I292" s="124" t="n">
        <f aca="false">IF(MONTH($A292)=MONTH($A291),IF(G292=0,I291,G292),G292)</f>
        <v>0</v>
      </c>
      <c r="J292" s="124" t="n">
        <f aca="false">IF(MONTH($A292)=MONTH($A291),SUM(I292-I291),I292)</f>
        <v>0</v>
      </c>
      <c r="K292" s="124" t="n">
        <f aca="false">IF(WEEKDAY(A292,3)&gt;4,0,(IF(A292&lt;K$2,0,IF(A292&lt;=K$3,1,0))))</f>
        <v>0</v>
      </c>
      <c r="L292" s="124" t="n">
        <f aca="false">J292*K292</f>
        <v>0</v>
      </c>
      <c r="M292" s="124" t="n">
        <f aca="false">SUM(J$280:J292)</f>
        <v>0</v>
      </c>
      <c r="N292" s="124" t="n">
        <f aca="false">SUM(J$6:J292)</f>
        <v>-37226.65</v>
      </c>
      <c r="P292" s="124" t="n">
        <f aca="false">D292/P$3</f>
        <v>0</v>
      </c>
      <c r="Q292" s="124" t="n">
        <f aca="false">E292/P$3</f>
        <v>0</v>
      </c>
      <c r="R292" s="124" t="n">
        <f aca="false">F292/R$3</f>
        <v>0</v>
      </c>
      <c r="S292" s="126" t="n">
        <f aca="false">J292/$R$3</f>
        <v>0</v>
      </c>
      <c r="T292" s="126" t="n">
        <f aca="false">L292/$R$3</f>
        <v>0</v>
      </c>
      <c r="U292" s="126" t="n">
        <f aca="false">I292/$R$3</f>
        <v>0</v>
      </c>
      <c r="V292" s="126" t="n">
        <f aca="false">M292/$R$3</f>
        <v>0</v>
      </c>
      <c r="W292" s="126" t="n">
        <f aca="false">N292/$R$3</f>
        <v>-37.22665</v>
      </c>
    </row>
    <row r="293" customFormat="false" ht="12.75" hidden="true" customHeight="false" outlineLevel="0" collapsed="false">
      <c r="A293" s="120" t="n">
        <f aca="false">A292+1</f>
        <v>37179</v>
      </c>
      <c r="B293" s="131" t="str">
        <f aca="false">INDEX('Master Data'!$A$2:$B$8,MATCH(WEEKDAY('Plant Manager'!A293,3),'Master Data'!$A$2:$A$8,0),2)</f>
        <v>M</v>
      </c>
      <c r="D293" s="124" t="n">
        <v>0</v>
      </c>
      <c r="E293" s="124" t="n">
        <v>0</v>
      </c>
      <c r="F293" s="124" t="n">
        <v>0</v>
      </c>
      <c r="G293" s="124" t="n">
        <v>0</v>
      </c>
      <c r="I293" s="124" t="n">
        <f aca="false">IF(MONTH($A293)=MONTH($A292),IF(G293=0,I292,G293),G293)</f>
        <v>0</v>
      </c>
      <c r="J293" s="124" t="n">
        <f aca="false">IF(MONTH($A293)=MONTH($A292),SUM(I293-I292),I293)</f>
        <v>0</v>
      </c>
      <c r="K293" s="124" t="n">
        <f aca="false">IF(WEEKDAY(A293,3)&gt;4,0,(IF(A293&lt;K$2,0,IF(A293&lt;=K$3,1,0))))</f>
        <v>0</v>
      </c>
      <c r="L293" s="124" t="n">
        <f aca="false">J293*K293</f>
        <v>0</v>
      </c>
      <c r="M293" s="124" t="n">
        <f aca="false">SUM(J$280:J293)</f>
        <v>0</v>
      </c>
      <c r="N293" s="124" t="n">
        <f aca="false">SUM(J$6:J293)</f>
        <v>-37226.65</v>
      </c>
      <c r="P293" s="124" t="n">
        <f aca="false">D293/P$3</f>
        <v>0</v>
      </c>
      <c r="Q293" s="124" t="n">
        <f aca="false">E293/P$3</f>
        <v>0</v>
      </c>
      <c r="R293" s="124" t="n">
        <f aca="false">F293/R$3</f>
        <v>0</v>
      </c>
      <c r="S293" s="126" t="n">
        <f aca="false">J293/$R$3</f>
        <v>0</v>
      </c>
      <c r="T293" s="126" t="n">
        <f aca="false">L293/$R$3</f>
        <v>0</v>
      </c>
      <c r="U293" s="126" t="n">
        <f aca="false">I293/$R$3</f>
        <v>0</v>
      </c>
      <c r="V293" s="126" t="n">
        <f aca="false">M293/$R$3</f>
        <v>0</v>
      </c>
      <c r="W293" s="126" t="n">
        <f aca="false">N293/$R$3</f>
        <v>-37.22665</v>
      </c>
    </row>
    <row r="294" customFormat="false" ht="12.75" hidden="true" customHeight="false" outlineLevel="0" collapsed="false">
      <c r="A294" s="120" t="n">
        <f aca="false">A293+1</f>
        <v>37180</v>
      </c>
      <c r="B294" s="131" t="str">
        <f aca="false">INDEX('Master Data'!$A$2:$B$8,MATCH(WEEKDAY('Plant Manager'!A294,3),'Master Data'!$A$2:$A$8,0),2)</f>
        <v>T</v>
      </c>
      <c r="D294" s="124" t="n">
        <v>0</v>
      </c>
      <c r="E294" s="124" t="n">
        <v>0</v>
      </c>
      <c r="F294" s="124" t="n">
        <v>0</v>
      </c>
      <c r="G294" s="124" t="n">
        <v>0</v>
      </c>
      <c r="I294" s="124" t="n">
        <f aca="false">IF(MONTH($A294)=MONTH($A293),IF(G294=0,I293,G294),G294)</f>
        <v>0</v>
      </c>
      <c r="J294" s="124" t="n">
        <f aca="false">IF(MONTH($A294)=MONTH($A293),SUM(I294-I293),I294)</f>
        <v>0</v>
      </c>
      <c r="K294" s="124" t="n">
        <f aca="false">IF(WEEKDAY(A294,3)&gt;4,0,(IF(A294&lt;K$2,0,IF(A294&lt;=K$3,1,0))))</f>
        <v>0</v>
      </c>
      <c r="L294" s="124" t="n">
        <f aca="false">J294*K294</f>
        <v>0</v>
      </c>
      <c r="M294" s="124" t="n">
        <f aca="false">SUM(J$280:J294)</f>
        <v>0</v>
      </c>
      <c r="N294" s="124" t="n">
        <f aca="false">SUM(J$6:J294)</f>
        <v>-37226.65</v>
      </c>
      <c r="P294" s="124" t="n">
        <f aca="false">D294/P$3</f>
        <v>0</v>
      </c>
      <c r="Q294" s="124" t="n">
        <f aca="false">E294/P$3</f>
        <v>0</v>
      </c>
      <c r="R294" s="124" t="n">
        <f aca="false">F294/R$3</f>
        <v>0</v>
      </c>
      <c r="S294" s="126" t="n">
        <f aca="false">J294/$R$3</f>
        <v>0</v>
      </c>
      <c r="T294" s="126" t="n">
        <f aca="false">L294/$R$3</f>
        <v>0</v>
      </c>
      <c r="U294" s="126" t="n">
        <f aca="false">I294/$R$3</f>
        <v>0</v>
      </c>
      <c r="V294" s="126" t="n">
        <f aca="false">M294/$R$3</f>
        <v>0</v>
      </c>
      <c r="W294" s="126" t="n">
        <f aca="false">N294/$R$3</f>
        <v>-37.22665</v>
      </c>
    </row>
    <row r="295" customFormat="false" ht="12.75" hidden="true" customHeight="false" outlineLevel="0" collapsed="false">
      <c r="A295" s="120" t="n">
        <f aca="false">A294+1</f>
        <v>37181</v>
      </c>
      <c r="B295" s="131" t="str">
        <f aca="false">INDEX('Master Data'!$A$2:$B$8,MATCH(WEEKDAY('Plant Manager'!A295,3),'Master Data'!$A$2:$A$8,0),2)</f>
        <v>W</v>
      </c>
      <c r="D295" s="124" t="n">
        <v>0</v>
      </c>
      <c r="E295" s="124" t="n">
        <v>0</v>
      </c>
      <c r="F295" s="124" t="n">
        <v>0</v>
      </c>
      <c r="G295" s="124" t="n">
        <v>0</v>
      </c>
      <c r="I295" s="124" t="n">
        <f aca="false">IF(MONTH($A295)=MONTH($A294),IF(G295=0,I294,G295),G295)</f>
        <v>0</v>
      </c>
      <c r="J295" s="124" t="n">
        <f aca="false">IF(MONTH($A295)=MONTH($A294),SUM(I295-I294),I295)</f>
        <v>0</v>
      </c>
      <c r="K295" s="124" t="n">
        <f aca="false">IF(WEEKDAY(A295,3)&gt;4,0,(IF(A295&lt;K$2,0,IF(A295&lt;=K$3,1,0))))</f>
        <v>0</v>
      </c>
      <c r="L295" s="124" t="n">
        <f aca="false">J295*K295</f>
        <v>0</v>
      </c>
      <c r="M295" s="124" t="n">
        <f aca="false">SUM(J$280:J295)</f>
        <v>0</v>
      </c>
      <c r="N295" s="124" t="n">
        <f aca="false">SUM(J$6:J295)</f>
        <v>-37226.65</v>
      </c>
      <c r="P295" s="124" t="n">
        <f aca="false">D295/P$3</f>
        <v>0</v>
      </c>
      <c r="Q295" s="124" t="n">
        <f aca="false">E295/P$3</f>
        <v>0</v>
      </c>
      <c r="R295" s="124" t="n">
        <f aca="false">F295/R$3</f>
        <v>0</v>
      </c>
      <c r="S295" s="126" t="n">
        <f aca="false">J295/$R$3</f>
        <v>0</v>
      </c>
      <c r="T295" s="126" t="n">
        <f aca="false">L295/$R$3</f>
        <v>0</v>
      </c>
      <c r="U295" s="126" t="n">
        <f aca="false">I295/$R$3</f>
        <v>0</v>
      </c>
      <c r="V295" s="126" t="n">
        <f aca="false">M295/$R$3</f>
        <v>0</v>
      </c>
      <c r="W295" s="126" t="n">
        <f aca="false">N295/$R$3</f>
        <v>-37.22665</v>
      </c>
    </row>
    <row r="296" customFormat="false" ht="12.75" hidden="true" customHeight="false" outlineLevel="0" collapsed="false">
      <c r="A296" s="120" t="n">
        <f aca="false">A295+1</f>
        <v>37182</v>
      </c>
      <c r="B296" s="131" t="str">
        <f aca="false">INDEX('Master Data'!$A$2:$B$8,MATCH(WEEKDAY('Plant Manager'!A296,3),'Master Data'!$A$2:$A$8,0),2)</f>
        <v>Th</v>
      </c>
      <c r="D296" s="124" t="n">
        <v>0</v>
      </c>
      <c r="E296" s="124" t="n">
        <v>0</v>
      </c>
      <c r="F296" s="124" t="n">
        <v>0</v>
      </c>
      <c r="G296" s="124" t="n">
        <v>12852</v>
      </c>
      <c r="I296" s="124" t="n">
        <f aca="false">IF(MONTH($A296)=MONTH($A295),IF(G296=0,I295,G296),G296)</f>
        <v>12852</v>
      </c>
      <c r="J296" s="124" t="n">
        <f aca="false">IF(MONTH($A296)=MONTH($A295),SUM(I296-I295),I296)</f>
        <v>12852</v>
      </c>
      <c r="K296" s="124" t="n">
        <f aca="false">IF(WEEKDAY(A296,3)&gt;4,0,(IF(A296&lt;K$2,0,IF(A296&lt;=K$3,1,0))))</f>
        <v>0</v>
      </c>
      <c r="L296" s="124" t="n">
        <f aca="false">J296*K296</f>
        <v>0</v>
      </c>
      <c r="M296" s="124" t="n">
        <f aca="false">SUM(J$280:J296)</f>
        <v>12852</v>
      </c>
      <c r="N296" s="124" t="n">
        <f aca="false">SUM(J$6:J296)</f>
        <v>-24374.65</v>
      </c>
      <c r="P296" s="124" t="n">
        <f aca="false">D296/P$3</f>
        <v>0</v>
      </c>
      <c r="Q296" s="124" t="n">
        <f aca="false">E296/P$3</f>
        <v>0</v>
      </c>
      <c r="R296" s="124" t="n">
        <f aca="false">F296/R$3</f>
        <v>0</v>
      </c>
      <c r="S296" s="126" t="n">
        <f aca="false">J296/$R$3</f>
        <v>12.852</v>
      </c>
      <c r="T296" s="126" t="n">
        <f aca="false">L296/$R$3</f>
        <v>0</v>
      </c>
      <c r="U296" s="126" t="n">
        <f aca="false">I296/$R$3</f>
        <v>12.852</v>
      </c>
      <c r="V296" s="126" t="n">
        <f aca="false">M296/$R$3</f>
        <v>12.852</v>
      </c>
      <c r="W296" s="126" t="n">
        <f aca="false">N296/$R$3</f>
        <v>-24.37465</v>
      </c>
    </row>
    <row r="297" customFormat="false" ht="12.75" hidden="true" customHeight="false" outlineLevel="0" collapsed="false">
      <c r="A297" s="120" t="n">
        <f aca="false">A296+1</f>
        <v>37183</v>
      </c>
      <c r="B297" s="131" t="str">
        <f aca="false">INDEX('Master Data'!$A$2:$B$8,MATCH(WEEKDAY('Plant Manager'!A297,3),'Master Data'!$A$2:$A$8,0),2)</f>
        <v>F</v>
      </c>
      <c r="D297" s="124" t="n">
        <v>0</v>
      </c>
      <c r="E297" s="124" t="n">
        <v>0</v>
      </c>
      <c r="F297" s="124" t="n">
        <v>0</v>
      </c>
      <c r="G297" s="124" t="n">
        <v>12805</v>
      </c>
      <c r="I297" s="124" t="n">
        <f aca="false">IF(MONTH($A297)=MONTH($A296),IF(G297=0,I296,G297),G297)</f>
        <v>12805</v>
      </c>
      <c r="J297" s="124" t="n">
        <f aca="false">IF(MONTH($A297)=MONTH($A296),SUM(I297-I296),I297)</f>
        <v>-47</v>
      </c>
      <c r="K297" s="124" t="n">
        <f aca="false">IF(WEEKDAY(A297,3)&gt;4,0,(IF(A297&lt;K$2,0,IF(A297&lt;=K$3,1,0))))</f>
        <v>0</v>
      </c>
      <c r="L297" s="124" t="n">
        <f aca="false">J297*K297</f>
        <v>-0</v>
      </c>
      <c r="M297" s="124" t="n">
        <f aca="false">SUM(J$280:J297)</f>
        <v>12805</v>
      </c>
      <c r="N297" s="124" t="n">
        <f aca="false">SUM(J$6:J297)</f>
        <v>-24421.65</v>
      </c>
      <c r="P297" s="124" t="n">
        <f aca="false">D297/P$3</f>
        <v>0</v>
      </c>
      <c r="Q297" s="124" t="n">
        <f aca="false">E297/P$3</f>
        <v>0</v>
      </c>
      <c r="R297" s="124" t="n">
        <f aca="false">F297/R$3</f>
        <v>0</v>
      </c>
      <c r="S297" s="126" t="n">
        <f aca="false">J297/$R$3</f>
        <v>-0.047</v>
      </c>
      <c r="T297" s="126" t="n">
        <f aca="false">L297/$R$3</f>
        <v>-0</v>
      </c>
      <c r="U297" s="126" t="n">
        <f aca="false">I297/$R$3</f>
        <v>12.805</v>
      </c>
      <c r="V297" s="126" t="n">
        <f aca="false">M297/$R$3</f>
        <v>12.805</v>
      </c>
      <c r="W297" s="126" t="n">
        <f aca="false">N297/$R$3</f>
        <v>-24.42165</v>
      </c>
    </row>
    <row r="298" customFormat="false" ht="12.75" hidden="true" customHeight="false" outlineLevel="0" collapsed="false">
      <c r="A298" s="120" t="n">
        <f aca="false">A297+1</f>
        <v>37184</v>
      </c>
      <c r="B298" s="131" t="str">
        <f aca="false">INDEX('Master Data'!$A$2:$B$8,MATCH(WEEKDAY('Plant Manager'!A298,3),'Master Data'!$A$2:$A$8,0),2)</f>
        <v>Sa</v>
      </c>
      <c r="D298" s="124" t="n">
        <v>0</v>
      </c>
      <c r="E298" s="124" t="n">
        <v>0</v>
      </c>
      <c r="F298" s="124" t="n">
        <v>0</v>
      </c>
      <c r="G298" s="124" t="n">
        <v>0</v>
      </c>
      <c r="I298" s="124" t="n">
        <f aca="false">IF(MONTH($A298)=MONTH($A297),IF(G298=0,I297,G298),G298)</f>
        <v>12805</v>
      </c>
      <c r="J298" s="124" t="n">
        <f aca="false">IF(MONTH($A298)=MONTH($A297),SUM(I298-I297),I298)</f>
        <v>0</v>
      </c>
      <c r="K298" s="124" t="n">
        <f aca="false">IF(WEEKDAY(A298,3)&gt;4,0,(IF(A298&lt;K$2,0,IF(A298&lt;=K$3,1,0))))</f>
        <v>0</v>
      </c>
      <c r="L298" s="124" t="n">
        <f aca="false">J298*K298</f>
        <v>0</v>
      </c>
      <c r="M298" s="124" t="n">
        <f aca="false">SUM(J$280:J298)</f>
        <v>12805</v>
      </c>
      <c r="N298" s="124" t="n">
        <f aca="false">SUM(J$6:J298)</f>
        <v>-24421.65</v>
      </c>
      <c r="P298" s="124" t="n">
        <f aca="false">D298/P$3</f>
        <v>0</v>
      </c>
      <c r="Q298" s="124" t="n">
        <f aca="false">E298/P$3</f>
        <v>0</v>
      </c>
      <c r="R298" s="124" t="n">
        <f aca="false">F298/R$3</f>
        <v>0</v>
      </c>
      <c r="S298" s="126" t="n">
        <f aca="false">J298/$R$3</f>
        <v>0</v>
      </c>
      <c r="T298" s="126" t="n">
        <f aca="false">L298/$R$3</f>
        <v>0</v>
      </c>
      <c r="U298" s="126" t="n">
        <f aca="false">I298/$R$3</f>
        <v>12.805</v>
      </c>
      <c r="V298" s="126" t="n">
        <f aca="false">M298/$R$3</f>
        <v>12.805</v>
      </c>
      <c r="W298" s="126" t="n">
        <f aca="false">N298/$R$3</f>
        <v>-24.42165</v>
      </c>
    </row>
    <row r="299" customFormat="false" ht="12.75" hidden="true" customHeight="false" outlineLevel="0" collapsed="false">
      <c r="A299" s="120" t="n">
        <f aca="false">A298+1</f>
        <v>37185</v>
      </c>
      <c r="B299" s="131" t="str">
        <f aca="false">INDEX('Master Data'!$A$2:$B$8,MATCH(WEEKDAY('Plant Manager'!A299,3),'Master Data'!$A$2:$A$8,0),2)</f>
        <v>Su</v>
      </c>
      <c r="D299" s="124" t="n">
        <v>0</v>
      </c>
      <c r="E299" s="124" t="n">
        <v>0</v>
      </c>
      <c r="F299" s="124" t="n">
        <v>0</v>
      </c>
      <c r="G299" s="124" t="n">
        <v>0</v>
      </c>
      <c r="I299" s="124" t="n">
        <f aca="false">IF(MONTH($A299)=MONTH($A298),IF(G299=0,I298,G299),G299)</f>
        <v>12805</v>
      </c>
      <c r="J299" s="124" t="n">
        <f aca="false">IF(MONTH($A299)=MONTH($A298),SUM(I299-I298),I299)</f>
        <v>0</v>
      </c>
      <c r="K299" s="124" t="n">
        <f aca="false">IF(WEEKDAY(A299,3)&gt;4,0,(IF(A299&lt;K$2,0,IF(A299&lt;=K$3,1,0))))</f>
        <v>0</v>
      </c>
      <c r="L299" s="124" t="n">
        <f aca="false">J299*K299</f>
        <v>0</v>
      </c>
      <c r="M299" s="124" t="n">
        <f aca="false">SUM(J$280:J299)</f>
        <v>12805</v>
      </c>
      <c r="N299" s="124" t="n">
        <f aca="false">SUM(J$6:J299)</f>
        <v>-24421.65</v>
      </c>
      <c r="P299" s="124" t="n">
        <f aca="false">D299/P$3</f>
        <v>0</v>
      </c>
      <c r="Q299" s="124" t="n">
        <f aca="false">E299/P$3</f>
        <v>0</v>
      </c>
      <c r="R299" s="124" t="n">
        <f aca="false">F299/R$3</f>
        <v>0</v>
      </c>
      <c r="S299" s="126" t="n">
        <f aca="false">J299/$R$3</f>
        <v>0</v>
      </c>
      <c r="T299" s="126" t="n">
        <f aca="false">L299/$R$3</f>
        <v>0</v>
      </c>
      <c r="U299" s="126" t="n">
        <f aca="false">I299/$R$3</f>
        <v>12.805</v>
      </c>
      <c r="V299" s="126" t="n">
        <f aca="false">M299/$R$3</f>
        <v>12.805</v>
      </c>
      <c r="W299" s="126" t="n">
        <f aca="false">N299/$R$3</f>
        <v>-24.42165</v>
      </c>
    </row>
    <row r="300" customFormat="false" ht="12.75" hidden="true" customHeight="false" outlineLevel="0" collapsed="false">
      <c r="A300" s="120" t="n">
        <f aca="false">A299+1</f>
        <v>37186</v>
      </c>
      <c r="B300" s="131" t="str">
        <f aca="false">INDEX('Master Data'!$A$2:$B$8,MATCH(WEEKDAY('Plant Manager'!A300,3),'Master Data'!$A$2:$A$8,0),2)</f>
        <v>M</v>
      </c>
      <c r="D300" s="124" t="n">
        <v>0</v>
      </c>
      <c r="E300" s="124" t="n">
        <v>0</v>
      </c>
      <c r="F300" s="124" t="n">
        <v>0</v>
      </c>
      <c r="G300" s="124" t="n">
        <v>12805</v>
      </c>
      <c r="I300" s="124" t="n">
        <f aca="false">IF(MONTH($A300)=MONTH($A299),IF(G300=0,I299,G300),G300)</f>
        <v>12805</v>
      </c>
      <c r="J300" s="124" t="n">
        <f aca="false">IF(MONTH($A300)=MONTH($A299),SUM(I300-I299),I300)</f>
        <v>0</v>
      </c>
      <c r="K300" s="124" t="n">
        <f aca="false">IF(WEEKDAY(A300,3)&gt;4,0,(IF(A300&lt;K$2,0,IF(A300&lt;=K$3,1,0))))</f>
        <v>0</v>
      </c>
      <c r="L300" s="124" t="n">
        <f aca="false">J300*K300</f>
        <v>0</v>
      </c>
      <c r="M300" s="124" t="n">
        <f aca="false">SUM(J$280:J300)</f>
        <v>12805</v>
      </c>
      <c r="N300" s="124" t="n">
        <f aca="false">SUM(J$6:J300)</f>
        <v>-24421.65</v>
      </c>
      <c r="P300" s="124" t="n">
        <f aca="false">D300/P$3</f>
        <v>0</v>
      </c>
      <c r="Q300" s="124" t="n">
        <f aca="false">E300/P$3</f>
        <v>0</v>
      </c>
      <c r="R300" s="124" t="n">
        <f aca="false">F300/R$3</f>
        <v>0</v>
      </c>
      <c r="S300" s="126" t="n">
        <f aca="false">J300/$R$3</f>
        <v>0</v>
      </c>
      <c r="T300" s="126" t="n">
        <f aca="false">L300/$R$3</f>
        <v>0</v>
      </c>
      <c r="U300" s="126" t="n">
        <f aca="false">I300/$R$3</f>
        <v>12.805</v>
      </c>
      <c r="V300" s="126" t="n">
        <f aca="false">M300/$R$3</f>
        <v>12.805</v>
      </c>
      <c r="W300" s="126" t="n">
        <f aca="false">N300/$R$3</f>
        <v>-24.42165</v>
      </c>
    </row>
    <row r="301" customFormat="false" ht="12.75" hidden="true" customHeight="false" outlineLevel="0" collapsed="false">
      <c r="A301" s="120" t="n">
        <f aca="false">A300+1</f>
        <v>37187</v>
      </c>
      <c r="B301" s="131" t="str">
        <f aca="false">INDEX('Master Data'!$A$2:$B$8,MATCH(WEEKDAY('Plant Manager'!A301,3),'Master Data'!$A$2:$A$8,0),2)</f>
        <v>T</v>
      </c>
      <c r="D301" s="124" t="n">
        <v>0</v>
      </c>
      <c r="E301" s="124" t="n">
        <v>0</v>
      </c>
      <c r="F301" s="124" t="n">
        <v>0</v>
      </c>
      <c r="G301" s="124" t="n">
        <v>12805</v>
      </c>
      <c r="I301" s="124" t="n">
        <f aca="false">IF(MONTH($A301)=MONTH($A300),IF(G301=0,I300,G301),G301)</f>
        <v>12805</v>
      </c>
      <c r="J301" s="124" t="n">
        <f aca="false">IF(MONTH($A301)=MONTH($A300),SUM(I301-I300),I301)</f>
        <v>0</v>
      </c>
      <c r="K301" s="124" t="n">
        <f aca="false">IF(WEEKDAY(A301,3)&gt;4,0,(IF(A301&lt;K$2,0,IF(A301&lt;=K$3,1,0))))</f>
        <v>0</v>
      </c>
      <c r="L301" s="124" t="n">
        <f aca="false">J301*K301</f>
        <v>0</v>
      </c>
      <c r="M301" s="124" t="n">
        <f aca="false">SUM(J$280:J301)</f>
        <v>12805</v>
      </c>
      <c r="N301" s="124" t="n">
        <f aca="false">SUM(J$6:J301)</f>
        <v>-24421.65</v>
      </c>
      <c r="P301" s="124" t="n">
        <f aca="false">D301/P$3</f>
        <v>0</v>
      </c>
      <c r="Q301" s="124" t="n">
        <f aca="false">E301/P$3</f>
        <v>0</v>
      </c>
      <c r="R301" s="124" t="n">
        <f aca="false">F301/R$3</f>
        <v>0</v>
      </c>
      <c r="S301" s="126" t="n">
        <f aca="false">J301/$R$3</f>
        <v>0</v>
      </c>
      <c r="T301" s="126" t="n">
        <f aca="false">L301/$R$3</f>
        <v>0</v>
      </c>
      <c r="U301" s="126" t="n">
        <f aca="false">I301/$R$3</f>
        <v>12.805</v>
      </c>
      <c r="V301" s="126" t="n">
        <f aca="false">M301/$R$3</f>
        <v>12.805</v>
      </c>
      <c r="W301" s="126" t="n">
        <f aca="false">N301/$R$3</f>
        <v>-24.42165</v>
      </c>
    </row>
    <row r="302" customFormat="false" ht="12.75" hidden="true" customHeight="false" outlineLevel="0" collapsed="false">
      <c r="A302" s="120" t="n">
        <f aca="false">A301+1</f>
        <v>37188</v>
      </c>
      <c r="B302" s="131" t="str">
        <f aca="false">INDEX('Master Data'!$A$2:$B$8,MATCH(WEEKDAY('Plant Manager'!A302,3),'Master Data'!$A$2:$A$8,0),2)</f>
        <v>W</v>
      </c>
      <c r="D302" s="124" t="n">
        <v>0</v>
      </c>
      <c r="E302" s="124" t="n">
        <v>0</v>
      </c>
      <c r="F302" s="124" t="n">
        <v>0</v>
      </c>
      <c r="G302" s="124" t="n">
        <v>12805</v>
      </c>
      <c r="I302" s="124" t="n">
        <f aca="false">IF(MONTH($A302)=MONTH($A301),IF(G302=0,I301,G302),G302)</f>
        <v>12805</v>
      </c>
      <c r="J302" s="124" t="n">
        <f aca="false">IF(MONTH($A302)=MONTH($A301),SUM(I302-I301),I302)</f>
        <v>0</v>
      </c>
      <c r="K302" s="124" t="n">
        <f aca="false">IF(WEEKDAY(A302,3)&gt;4,0,(IF(A302&lt;K$2,0,IF(A302&lt;=K$3,1,0))))</f>
        <v>0</v>
      </c>
      <c r="L302" s="124" t="n">
        <f aca="false">J302*K302</f>
        <v>0</v>
      </c>
      <c r="M302" s="124" t="n">
        <f aca="false">SUM(J$280:J302)</f>
        <v>12805</v>
      </c>
      <c r="N302" s="124" t="n">
        <f aca="false">SUM(J$6:J302)</f>
        <v>-24421.65</v>
      </c>
      <c r="P302" s="124" t="n">
        <f aca="false">D302/P$3</f>
        <v>0</v>
      </c>
      <c r="Q302" s="124" t="n">
        <f aca="false">E302/P$3</f>
        <v>0</v>
      </c>
      <c r="R302" s="124" t="n">
        <f aca="false">F302/R$3</f>
        <v>0</v>
      </c>
      <c r="S302" s="126" t="n">
        <f aca="false">J302/$R$3</f>
        <v>0</v>
      </c>
      <c r="T302" s="126" t="n">
        <f aca="false">L302/$R$3</f>
        <v>0</v>
      </c>
      <c r="U302" s="126" t="n">
        <f aca="false">I302/$R$3</f>
        <v>12.805</v>
      </c>
      <c r="V302" s="126" t="n">
        <f aca="false">M302/$R$3</f>
        <v>12.805</v>
      </c>
      <c r="W302" s="126" t="n">
        <f aca="false">N302/$R$3</f>
        <v>-24.42165</v>
      </c>
    </row>
    <row r="303" customFormat="false" ht="12.75" hidden="true" customHeight="false" outlineLevel="0" collapsed="false">
      <c r="A303" s="120" t="n">
        <f aca="false">A302+1</f>
        <v>37189</v>
      </c>
      <c r="B303" s="131" t="str">
        <f aca="false">INDEX('Master Data'!$A$2:$B$8,MATCH(WEEKDAY('Plant Manager'!A303,3),'Master Data'!$A$2:$A$8,0),2)</f>
        <v>Th</v>
      </c>
      <c r="D303" s="124" t="n">
        <v>0</v>
      </c>
      <c r="E303" s="124" t="n">
        <v>0</v>
      </c>
      <c r="F303" s="124" t="n">
        <v>0</v>
      </c>
      <c r="G303" s="124" t="n">
        <f aca="false">-65672.63+12805</f>
        <v>-52867.63</v>
      </c>
      <c r="I303" s="124" t="n">
        <f aca="false">IF(MONTH($A303)=MONTH($A302),IF(G303=0,I302,G303),G303)</f>
        <v>-52867.63</v>
      </c>
      <c r="J303" s="124" t="n">
        <f aca="false">IF(MONTH($A303)=MONTH($A302),SUM(I303-I302),I303)</f>
        <v>-65672.63</v>
      </c>
      <c r="K303" s="124" t="n">
        <f aca="false">IF(WEEKDAY(A303,3)&gt;4,0,(IF(A303&lt;K$2,0,IF(A303&lt;=K$3,1,0))))</f>
        <v>0</v>
      </c>
      <c r="L303" s="124" t="n">
        <f aca="false">J303*K303</f>
        <v>-0</v>
      </c>
      <c r="M303" s="124" t="n">
        <f aca="false">SUM(J$280:J303)</f>
        <v>-52867.63</v>
      </c>
      <c r="N303" s="124" t="n">
        <f aca="false">SUM(J$6:J303)</f>
        <v>-90094.28</v>
      </c>
      <c r="P303" s="124" t="n">
        <f aca="false">D303/P$3</f>
        <v>0</v>
      </c>
      <c r="Q303" s="124" t="n">
        <f aca="false">E303/P$3</f>
        <v>0</v>
      </c>
      <c r="R303" s="124" t="n">
        <f aca="false">F303/R$3</f>
        <v>0</v>
      </c>
      <c r="S303" s="126" t="n">
        <f aca="false">J303/$R$3</f>
        <v>-65.67263</v>
      </c>
      <c r="T303" s="126" t="n">
        <f aca="false">L303/$R$3</f>
        <v>-0</v>
      </c>
      <c r="U303" s="126" t="n">
        <f aca="false">I303/$R$3</f>
        <v>-52.86763</v>
      </c>
      <c r="V303" s="126" t="n">
        <f aca="false">M303/$R$3</f>
        <v>-52.86763</v>
      </c>
      <c r="W303" s="126" t="n">
        <f aca="false">N303/$R$3</f>
        <v>-90.09428</v>
      </c>
    </row>
    <row r="304" customFormat="false" ht="12.75" hidden="false" customHeight="false" outlineLevel="0" collapsed="false">
      <c r="A304" s="120" t="n">
        <f aca="false">A303+1</f>
        <v>37190</v>
      </c>
      <c r="B304" s="131" t="str">
        <f aca="false">INDEX('Master Data'!$A$2:$B$8,MATCH(WEEKDAY('Plant Manager'!A304,3),'Master Data'!$A$2:$A$8,0),2)</f>
        <v>F</v>
      </c>
      <c r="D304" s="124" t="n">
        <v>0</v>
      </c>
      <c r="E304" s="124" t="n">
        <v>0</v>
      </c>
      <c r="F304" s="124" t="n">
        <v>0</v>
      </c>
      <c r="G304" s="124" t="n">
        <f aca="false">-65672.63+12805</f>
        <v>-52867.63</v>
      </c>
      <c r="I304" s="124" t="n">
        <f aca="false">IF(MONTH($A304)=MONTH($A303),IF(G304=0,I303,G304),G304)</f>
        <v>-52867.63</v>
      </c>
      <c r="J304" s="124" t="n">
        <f aca="false">IF(MONTH($A304)=MONTH($A303),SUM(I304-I303),I304)</f>
        <v>0</v>
      </c>
      <c r="K304" s="124" t="n">
        <f aca="false">IF(WEEKDAY(A304,3)&gt;4,0,(IF(A304&lt;K$2,0,IF(A304&lt;=K$3,1,0))))</f>
        <v>1</v>
      </c>
      <c r="L304" s="124" t="n">
        <f aca="false">J304*K304</f>
        <v>0</v>
      </c>
      <c r="M304" s="124" t="n">
        <f aca="false">SUM(J$280:J304)</f>
        <v>-52867.63</v>
      </c>
      <c r="N304" s="124" t="n">
        <f aca="false">SUM(J$6:J304)</f>
        <v>-90094.28</v>
      </c>
      <c r="P304" s="124" t="n">
        <f aca="false">D304/P$3</f>
        <v>0</v>
      </c>
      <c r="Q304" s="124" t="n">
        <f aca="false">E304/P$3</f>
        <v>0</v>
      </c>
      <c r="R304" s="124" t="n">
        <f aca="false">F304/R$3</f>
        <v>0</v>
      </c>
      <c r="S304" s="126" t="n">
        <f aca="false">J304/$R$3</f>
        <v>0</v>
      </c>
      <c r="T304" s="126" t="n">
        <f aca="false">L304/$R$3</f>
        <v>0</v>
      </c>
      <c r="U304" s="126" t="n">
        <f aca="false">I304/$R$3</f>
        <v>-52.86763</v>
      </c>
      <c r="V304" s="126" t="n">
        <f aca="false">M304/$R$3</f>
        <v>-52.86763</v>
      </c>
      <c r="W304" s="126" t="n">
        <f aca="false">N304/$R$3</f>
        <v>-90.09428</v>
      </c>
    </row>
    <row r="305" customFormat="false" ht="12.75" hidden="false" customHeight="false" outlineLevel="0" collapsed="false">
      <c r="A305" s="120" t="n">
        <f aca="false">A304+1</f>
        <v>37191</v>
      </c>
      <c r="B305" s="131" t="str">
        <f aca="false">INDEX('Master Data'!$A$2:$B$8,MATCH(WEEKDAY('Plant Manager'!A305,3),'Master Data'!$A$2:$A$8,0),2)</f>
        <v>Sa</v>
      </c>
      <c r="D305" s="124" t="n">
        <v>0</v>
      </c>
      <c r="E305" s="124" t="n">
        <v>0</v>
      </c>
      <c r="F305" s="124" t="n">
        <v>0</v>
      </c>
      <c r="G305" s="124" t="n">
        <v>0</v>
      </c>
      <c r="I305" s="124" t="n">
        <f aca="false">IF(MONTH($A305)=MONTH($A304),IF(G305=0,I304,G305),G305)</f>
        <v>-52867.63</v>
      </c>
      <c r="J305" s="124" t="n">
        <f aca="false">IF(MONTH($A305)=MONTH($A304),SUM(I305-I304),I305)</f>
        <v>0</v>
      </c>
      <c r="K305" s="124" t="n">
        <f aca="false">IF(WEEKDAY(A305,3)&gt;4,0,(IF(A305&lt;K$2,0,IF(A305&lt;=K$3,1,0))))</f>
        <v>0</v>
      </c>
      <c r="L305" s="124" t="n">
        <f aca="false">J305*K305</f>
        <v>0</v>
      </c>
      <c r="M305" s="124" t="n">
        <f aca="false">SUM(J$280:J305)</f>
        <v>-52867.63</v>
      </c>
      <c r="N305" s="124" t="n">
        <f aca="false">SUM(J$6:J305)</f>
        <v>-90094.28</v>
      </c>
      <c r="P305" s="124" t="n">
        <f aca="false">D305/P$3</f>
        <v>0</v>
      </c>
      <c r="Q305" s="124" t="n">
        <f aca="false">E305/P$3</f>
        <v>0</v>
      </c>
      <c r="R305" s="124" t="n">
        <f aca="false">F305/R$3</f>
        <v>0</v>
      </c>
      <c r="S305" s="126" t="n">
        <f aca="false">J305/$R$3</f>
        <v>0</v>
      </c>
      <c r="T305" s="126" t="n">
        <f aca="false">L305/$R$3</f>
        <v>0</v>
      </c>
      <c r="U305" s="126" t="n">
        <f aca="false">I305/$R$3</f>
        <v>-52.86763</v>
      </c>
      <c r="V305" s="126" t="n">
        <f aca="false">M305/$R$3</f>
        <v>-52.86763</v>
      </c>
      <c r="W305" s="126" t="n">
        <f aca="false">N305/$R$3</f>
        <v>-90.09428</v>
      </c>
    </row>
    <row r="306" customFormat="false" ht="12.75" hidden="false" customHeight="false" outlineLevel="0" collapsed="false">
      <c r="A306" s="120" t="n">
        <f aca="false">A305+1</f>
        <v>37192</v>
      </c>
      <c r="B306" s="131" t="str">
        <f aca="false">INDEX('Master Data'!$A$2:$B$8,MATCH(WEEKDAY('Plant Manager'!A306,3),'Master Data'!$A$2:$A$8,0),2)</f>
        <v>Su</v>
      </c>
      <c r="D306" s="124" t="n">
        <v>0</v>
      </c>
      <c r="E306" s="124" t="n">
        <v>0</v>
      </c>
      <c r="F306" s="124" t="n">
        <v>0</v>
      </c>
      <c r="G306" s="124" t="n">
        <v>0</v>
      </c>
      <c r="I306" s="124" t="n">
        <f aca="false">IF(MONTH($A306)=MONTH($A305),IF(G306=0,I305,G306),G306)</f>
        <v>-52867.63</v>
      </c>
      <c r="J306" s="124" t="n">
        <f aca="false">IF(MONTH($A306)=MONTH($A305),SUM(I306-I305),I306)</f>
        <v>0</v>
      </c>
      <c r="K306" s="124" t="n">
        <f aca="false">IF(WEEKDAY(A306,3)&gt;4,0,(IF(A306&lt;K$2,0,IF(A306&lt;=K$3,1,0))))</f>
        <v>0</v>
      </c>
      <c r="L306" s="124" t="n">
        <f aca="false">J306*K306</f>
        <v>0</v>
      </c>
      <c r="M306" s="124" t="n">
        <f aca="false">SUM(J$280:J306)</f>
        <v>-52867.63</v>
      </c>
      <c r="N306" s="124" t="n">
        <f aca="false">SUM(J$6:J306)</f>
        <v>-90094.28</v>
      </c>
      <c r="P306" s="124" t="n">
        <f aca="false">D306/P$3</f>
        <v>0</v>
      </c>
      <c r="Q306" s="124" t="n">
        <f aca="false">E306/P$3</f>
        <v>0</v>
      </c>
      <c r="R306" s="124" t="n">
        <f aca="false">F306/R$3</f>
        <v>0</v>
      </c>
      <c r="S306" s="126" t="n">
        <f aca="false">J306/$R$3</f>
        <v>0</v>
      </c>
      <c r="T306" s="126" t="n">
        <f aca="false">L306/$R$3</f>
        <v>0</v>
      </c>
      <c r="U306" s="126" t="n">
        <f aca="false">I306/$R$3</f>
        <v>-52.86763</v>
      </c>
      <c r="V306" s="126" t="n">
        <f aca="false">M306/$R$3</f>
        <v>-52.86763</v>
      </c>
      <c r="W306" s="126" t="n">
        <f aca="false">N306/$R$3</f>
        <v>-90.09428</v>
      </c>
    </row>
    <row r="307" customFormat="false" ht="12.75" hidden="false" customHeight="false" outlineLevel="0" collapsed="false">
      <c r="A307" s="120" t="n">
        <f aca="false">A306+1</f>
        <v>37193</v>
      </c>
      <c r="B307" s="131" t="str">
        <f aca="false">INDEX('Master Data'!$A$2:$B$8,MATCH(WEEKDAY('Plant Manager'!A307,3),'Master Data'!$A$2:$A$8,0),2)</f>
        <v>M</v>
      </c>
      <c r="D307" s="124" t="n">
        <v>0</v>
      </c>
      <c r="E307" s="124" t="n">
        <v>0</v>
      </c>
      <c r="F307" s="124" t="n">
        <v>0</v>
      </c>
      <c r="G307" s="124" t="n">
        <v>-52867.63</v>
      </c>
      <c r="I307" s="124" t="n">
        <f aca="false">IF(MONTH($A307)=MONTH($A306),IF(G307=0,I306,G307),G307)</f>
        <v>-52867.63</v>
      </c>
      <c r="J307" s="124" t="n">
        <f aca="false">IF(MONTH($A307)=MONTH($A306),SUM(I307-I306),I307)</f>
        <v>0</v>
      </c>
      <c r="K307" s="124" t="n">
        <f aca="false">IF(WEEKDAY(A307,3)&gt;4,0,(IF(A307&lt;K$2,0,IF(A307&lt;=K$3,1,0))))</f>
        <v>1</v>
      </c>
      <c r="L307" s="124" t="n">
        <f aca="false">J307*K307</f>
        <v>0</v>
      </c>
      <c r="M307" s="124" t="n">
        <f aca="false">SUM(J$280:J307)</f>
        <v>-52867.63</v>
      </c>
      <c r="N307" s="124" t="n">
        <f aca="false">SUM(J$6:J307)</f>
        <v>-90094.28</v>
      </c>
      <c r="P307" s="124" t="n">
        <f aca="false">D307/P$3</f>
        <v>0</v>
      </c>
      <c r="Q307" s="124" t="n">
        <f aca="false">E307/P$3</f>
        <v>0</v>
      </c>
      <c r="R307" s="124" t="n">
        <f aca="false">F307/R$3</f>
        <v>0</v>
      </c>
      <c r="S307" s="126" t="n">
        <f aca="false">J307/$R$3</f>
        <v>0</v>
      </c>
      <c r="T307" s="126" t="n">
        <f aca="false">L307/$R$3</f>
        <v>0</v>
      </c>
      <c r="U307" s="126" t="n">
        <f aca="false">I307/$R$3</f>
        <v>-52.86763</v>
      </c>
      <c r="V307" s="126" t="n">
        <f aca="false">M307/$R$3</f>
        <v>-52.86763</v>
      </c>
      <c r="W307" s="126" t="n">
        <f aca="false">N307/$R$3</f>
        <v>-90.09428</v>
      </c>
    </row>
    <row r="308" customFormat="false" ht="12.75" hidden="false" customHeight="false" outlineLevel="0" collapsed="false">
      <c r="A308" s="120" t="n">
        <f aca="false">A307+1</f>
        <v>37194</v>
      </c>
      <c r="B308" s="131" t="str">
        <f aca="false">INDEX('Master Data'!$A$2:$B$8,MATCH(WEEKDAY('Plant Manager'!A308,3),'Master Data'!$A$2:$A$8,0),2)</f>
        <v>T</v>
      </c>
      <c r="D308" s="124" t="n">
        <v>0</v>
      </c>
      <c r="E308" s="124" t="n">
        <v>0</v>
      </c>
      <c r="F308" s="124" t="n">
        <v>0</v>
      </c>
      <c r="G308" s="124" t="n">
        <v>-52867.63</v>
      </c>
      <c r="I308" s="124" t="n">
        <f aca="false">IF(MONTH($A308)=MONTH($A307),IF(G308=0,I307,G308),G308)</f>
        <v>-52867.63</v>
      </c>
      <c r="J308" s="124" t="n">
        <f aca="false">IF(MONTH($A308)=MONTH($A307),SUM(I308-I307),I308)</f>
        <v>0</v>
      </c>
      <c r="K308" s="124" t="n">
        <f aca="false">IF(WEEKDAY(A308,3)&gt;4,0,(IF(A308&lt;K$2,0,IF(A308&lt;=K$3,1,0))))</f>
        <v>1</v>
      </c>
      <c r="L308" s="124" t="n">
        <f aca="false">J308*K308</f>
        <v>0</v>
      </c>
      <c r="M308" s="124" t="n">
        <f aca="false">SUM(J$280:J308)</f>
        <v>-52867.63</v>
      </c>
      <c r="N308" s="124" t="n">
        <f aca="false">SUM(J$6:J308)</f>
        <v>-90094.28</v>
      </c>
      <c r="P308" s="124" t="n">
        <f aca="false">D308/P$3</f>
        <v>0</v>
      </c>
      <c r="Q308" s="124" t="n">
        <f aca="false">E308/P$3</f>
        <v>0</v>
      </c>
      <c r="R308" s="124" t="n">
        <f aca="false">F308/R$3</f>
        <v>0</v>
      </c>
      <c r="S308" s="126" t="n">
        <f aca="false">J308/$R$3</f>
        <v>0</v>
      </c>
      <c r="T308" s="126" t="n">
        <f aca="false">L308/$R$3</f>
        <v>0</v>
      </c>
      <c r="U308" s="126" t="n">
        <f aca="false">I308/$R$3</f>
        <v>-52.86763</v>
      </c>
      <c r="V308" s="126" t="n">
        <f aca="false">M308/$R$3</f>
        <v>-52.86763</v>
      </c>
      <c r="W308" s="126" t="n">
        <f aca="false">N308/$R$3</f>
        <v>-90.09428</v>
      </c>
    </row>
    <row r="309" customFormat="false" ht="12.75" hidden="false" customHeight="false" outlineLevel="0" collapsed="false">
      <c r="A309" s="120" t="n">
        <f aca="false">A308+1</f>
        <v>37195</v>
      </c>
      <c r="B309" s="131" t="str">
        <f aca="false">INDEX('Master Data'!$A$2:$B$8,MATCH(WEEKDAY('Plant Manager'!A309,3),'Master Data'!$A$2:$A$8,0),2)</f>
        <v>W</v>
      </c>
      <c r="D309" s="124" t="n">
        <v>0</v>
      </c>
      <c r="E309" s="124" t="n">
        <v>0</v>
      </c>
      <c r="F309" s="124" t="n">
        <v>0</v>
      </c>
      <c r="G309" s="124" t="n">
        <v>-52867.63</v>
      </c>
      <c r="I309" s="124" t="n">
        <f aca="false">IF(MONTH($A309)=MONTH($A308),IF(G309=0,I308,G309),G309)</f>
        <v>-52867.63</v>
      </c>
      <c r="J309" s="124" t="n">
        <f aca="false">IF(MONTH($A309)=MONTH($A308),SUM(I309-I308),I309)</f>
        <v>0</v>
      </c>
      <c r="K309" s="124" t="n">
        <f aca="false">IF(WEEKDAY(A309,3)&gt;4,0,(IF(A309&lt;K$2,0,IF(A309&lt;=K$3,1,0))))</f>
        <v>1</v>
      </c>
      <c r="L309" s="124" t="n">
        <f aca="false">J309*K309</f>
        <v>0</v>
      </c>
      <c r="M309" s="124" t="n">
        <f aca="false">SUM(J$280:J309)</f>
        <v>-52867.63</v>
      </c>
      <c r="N309" s="124" t="n">
        <f aca="false">SUM(J$6:J309)</f>
        <v>-90094.28</v>
      </c>
      <c r="P309" s="124" t="n">
        <f aca="false">D309/P$3</f>
        <v>0</v>
      </c>
      <c r="Q309" s="124" t="n">
        <f aca="false">E309/P$3</f>
        <v>0</v>
      </c>
      <c r="R309" s="124" t="n">
        <f aca="false">F309/R$3</f>
        <v>0</v>
      </c>
      <c r="S309" s="126" t="n">
        <f aca="false">J309/$R$3</f>
        <v>0</v>
      </c>
      <c r="T309" s="126" t="n">
        <f aca="false">L309/$R$3</f>
        <v>0</v>
      </c>
      <c r="U309" s="126" t="n">
        <f aca="false">I309/$R$3</f>
        <v>-52.86763</v>
      </c>
      <c r="V309" s="126" t="n">
        <f aca="false">M309/$R$3</f>
        <v>-52.86763</v>
      </c>
      <c r="W309" s="126" t="n">
        <f aca="false">N309/$R$3</f>
        <v>-90.09428</v>
      </c>
    </row>
    <row r="310" customFormat="false" ht="12.75" hidden="false" customHeight="false" outlineLevel="0" collapsed="false">
      <c r="A310" s="120" t="n">
        <f aca="false">A309+1</f>
        <v>37196</v>
      </c>
      <c r="B310" s="131" t="str">
        <f aca="false">INDEX('Master Data'!$A$2:$B$8,MATCH(WEEKDAY('Plant Manager'!A310,3),'Master Data'!$A$2:$A$8,0),2)</f>
        <v>Th</v>
      </c>
      <c r="D310" s="124" t="n">
        <v>0</v>
      </c>
      <c r="E310" s="124" t="n">
        <v>0</v>
      </c>
      <c r="F310" s="124" t="n">
        <v>0</v>
      </c>
      <c r="G310" s="124" t="n">
        <v>0</v>
      </c>
      <c r="I310" s="124" t="n">
        <f aca="false">IF(MONTH($A310)=MONTH($A309),IF(G310=0,I309,G310),G310)</f>
        <v>0</v>
      </c>
      <c r="J310" s="124" t="n">
        <f aca="false">IF(MONTH($A310)=MONTH($A309),SUM(I310-I309),I310)</f>
        <v>0</v>
      </c>
      <c r="K310" s="124" t="n">
        <f aca="false">IF(WEEKDAY(A310,3)&gt;4,0,(IF(A310&lt;K$2,0,IF(A310&lt;=K$3,1,0))))</f>
        <v>1</v>
      </c>
      <c r="L310" s="124" t="n">
        <f aca="false">J310*K310</f>
        <v>0</v>
      </c>
      <c r="M310" s="124" t="n">
        <f aca="false">SUM(J$280:J310)</f>
        <v>-52867.63</v>
      </c>
      <c r="N310" s="124" t="n">
        <f aca="false">SUM(J$6:J310)</f>
        <v>-90094.28</v>
      </c>
      <c r="P310" s="124" t="n">
        <f aca="false">D310/P$3</f>
        <v>0</v>
      </c>
      <c r="Q310" s="124" t="n">
        <f aca="false">E310/P$3</f>
        <v>0</v>
      </c>
      <c r="R310" s="124" t="n">
        <f aca="false">F310/R$3</f>
        <v>0</v>
      </c>
      <c r="S310" s="126" t="n">
        <f aca="false">J310/$R$3</f>
        <v>0</v>
      </c>
      <c r="T310" s="126" t="n">
        <f aca="false">L310/$R$3</f>
        <v>0</v>
      </c>
      <c r="U310" s="126" t="n">
        <f aca="false">I310/$R$3</f>
        <v>0</v>
      </c>
      <c r="V310" s="126" t="n">
        <f aca="false">M310/$R$3</f>
        <v>-52.86763</v>
      </c>
      <c r="W310" s="126" t="n">
        <f aca="false">N310/$R$3</f>
        <v>-90.09428</v>
      </c>
    </row>
    <row r="311" customFormat="false" ht="12.75" hidden="false" customHeight="false" outlineLevel="0" collapsed="false">
      <c r="A311" s="120" t="n">
        <f aca="false">A310+1</f>
        <v>37197</v>
      </c>
      <c r="B311" s="131" t="str">
        <f aca="false">INDEX('Master Data'!$A$2:$B$8,MATCH(WEEKDAY('Plant Manager'!A311,3),'Master Data'!$A$2:$A$8,0),2)</f>
        <v>F</v>
      </c>
      <c r="D311" s="124" t="n">
        <v>0</v>
      </c>
      <c r="E311" s="124" t="n">
        <v>0</v>
      </c>
      <c r="F311" s="124" t="n">
        <v>0</v>
      </c>
      <c r="G311" s="124" t="n">
        <v>0</v>
      </c>
      <c r="I311" s="124" t="n">
        <f aca="false">IF(MONTH($A311)=MONTH($A310),IF(G311=0,I310,G311),G311)</f>
        <v>0</v>
      </c>
      <c r="J311" s="124" t="n">
        <f aca="false">IF(MONTH($A311)=MONTH($A310),SUM(I311-I310),I311)</f>
        <v>0</v>
      </c>
      <c r="K311" s="124" t="n">
        <f aca="false">IF(WEEKDAY(A311,3)&gt;4,0,(IF(A311&lt;K$2,0,IF(A311&lt;=K$3,1,0))))</f>
        <v>0</v>
      </c>
      <c r="L311" s="124" t="n">
        <f aca="false">J311*K311</f>
        <v>0</v>
      </c>
      <c r="M311" s="124" t="n">
        <f aca="false">SUM(J$280:J311)</f>
        <v>-52867.63</v>
      </c>
      <c r="N311" s="124" t="n">
        <f aca="false">SUM(J$6:J311)</f>
        <v>-90094.28</v>
      </c>
      <c r="P311" s="124" t="n">
        <f aca="false">D311/P$3</f>
        <v>0</v>
      </c>
      <c r="Q311" s="124" t="n">
        <f aca="false">E311/P$3</f>
        <v>0</v>
      </c>
      <c r="R311" s="124" t="n">
        <f aca="false">F311/R$3</f>
        <v>0</v>
      </c>
      <c r="S311" s="126" t="n">
        <f aca="false">J311/$R$3</f>
        <v>0</v>
      </c>
      <c r="T311" s="126" t="n">
        <f aca="false">L311/$R$3</f>
        <v>0</v>
      </c>
      <c r="U311" s="126" t="n">
        <f aca="false">I311/$R$3</f>
        <v>0</v>
      </c>
      <c r="V311" s="126" t="n">
        <f aca="false">M311/$R$3</f>
        <v>-52.86763</v>
      </c>
      <c r="W311" s="126" t="n">
        <f aca="false">N311/$R$3</f>
        <v>-90.09428</v>
      </c>
    </row>
    <row r="312" customFormat="false" ht="12.75" hidden="false" customHeight="false" outlineLevel="0" collapsed="false">
      <c r="A312" s="120" t="n">
        <f aca="false">A311+1</f>
        <v>37198</v>
      </c>
      <c r="B312" s="131" t="str">
        <f aca="false">INDEX('Master Data'!$A$2:$B$8,MATCH(WEEKDAY('Plant Manager'!A312,3),'Master Data'!$A$2:$A$8,0),2)</f>
        <v>Sa</v>
      </c>
      <c r="D312" s="124" t="n">
        <v>0</v>
      </c>
      <c r="E312" s="124" t="n">
        <v>0</v>
      </c>
      <c r="F312" s="124" t="n">
        <v>0</v>
      </c>
      <c r="G312" s="124" t="n">
        <v>0</v>
      </c>
      <c r="I312" s="124" t="n">
        <f aca="false">IF(MONTH($A312)=MONTH($A311),IF(G312=0,I311,G312),G312)</f>
        <v>0</v>
      </c>
      <c r="J312" s="124" t="n">
        <f aca="false">IF(MONTH($A312)=MONTH($A311),SUM(I312-I311),I312)</f>
        <v>0</v>
      </c>
      <c r="K312" s="124" t="n">
        <f aca="false">IF(WEEKDAY(A312,3)&gt;4,0,(IF(A312&lt;K$2,0,IF(A312&lt;=K$3,1,0))))</f>
        <v>0</v>
      </c>
      <c r="L312" s="124" t="n">
        <f aca="false">J312*K312</f>
        <v>0</v>
      </c>
      <c r="M312" s="124" t="n">
        <f aca="false">SUM(J$280:J312)</f>
        <v>-52867.63</v>
      </c>
      <c r="N312" s="124" t="n">
        <f aca="false">SUM(J$6:J312)</f>
        <v>-90094.28</v>
      </c>
      <c r="P312" s="124" t="n">
        <f aca="false">D312/P$3</f>
        <v>0</v>
      </c>
      <c r="Q312" s="124" t="n">
        <f aca="false">E312/P$3</f>
        <v>0</v>
      </c>
      <c r="R312" s="124" t="n">
        <f aca="false">F312/R$3</f>
        <v>0</v>
      </c>
      <c r="S312" s="126" t="n">
        <f aca="false">J312/$R$3</f>
        <v>0</v>
      </c>
      <c r="T312" s="126" t="n">
        <f aca="false">L312/$R$3</f>
        <v>0</v>
      </c>
      <c r="U312" s="126" t="n">
        <f aca="false">I312/$R$3</f>
        <v>0</v>
      </c>
      <c r="V312" s="126" t="n">
        <f aca="false">M312/$R$3</f>
        <v>-52.86763</v>
      </c>
      <c r="W312" s="126" t="n">
        <f aca="false">N312/$R$3</f>
        <v>-90.09428</v>
      </c>
    </row>
    <row r="313" customFormat="false" ht="12.75" hidden="false" customHeight="false" outlineLevel="0" collapsed="false">
      <c r="A313" s="120" t="n">
        <f aca="false">A312+1</f>
        <v>37199</v>
      </c>
      <c r="B313" s="131" t="str">
        <f aca="false">INDEX('Master Data'!$A$2:$B$8,MATCH(WEEKDAY('Plant Manager'!A313,3),'Master Data'!$A$2:$A$8,0),2)</f>
        <v>Su</v>
      </c>
      <c r="D313" s="124" t="n">
        <v>0</v>
      </c>
      <c r="E313" s="124" t="n">
        <v>0</v>
      </c>
      <c r="F313" s="124" t="n">
        <v>0</v>
      </c>
      <c r="G313" s="124" t="n">
        <v>0</v>
      </c>
      <c r="I313" s="124" t="n">
        <f aca="false">IF(MONTH($A313)=MONTH($A312),IF(G313=0,I312,G313),G313)</f>
        <v>0</v>
      </c>
      <c r="J313" s="124" t="n">
        <f aca="false">IF(MONTH($A313)=MONTH($A312),SUM(I313-I312),I313)</f>
        <v>0</v>
      </c>
      <c r="K313" s="124" t="n">
        <f aca="false">IF(WEEKDAY(A313,3)&gt;4,0,(IF(A313&lt;K$2,0,IF(A313&lt;=K$3,1,0))))</f>
        <v>0</v>
      </c>
      <c r="L313" s="124" t="n">
        <f aca="false">J313*K313</f>
        <v>0</v>
      </c>
      <c r="M313" s="124" t="n">
        <f aca="false">SUM(J$280:J313)</f>
        <v>-52867.63</v>
      </c>
      <c r="N313" s="124" t="n">
        <f aca="false">SUM(J$6:J313)</f>
        <v>-90094.28</v>
      </c>
      <c r="P313" s="124" t="n">
        <f aca="false">D313/P$3</f>
        <v>0</v>
      </c>
      <c r="Q313" s="124" t="n">
        <f aca="false">E313/P$3</f>
        <v>0</v>
      </c>
      <c r="R313" s="124" t="n">
        <f aca="false">F313/R$3</f>
        <v>0</v>
      </c>
      <c r="S313" s="126" t="n">
        <f aca="false">J313/$R$3</f>
        <v>0</v>
      </c>
      <c r="T313" s="126" t="n">
        <f aca="false">L313/$R$3</f>
        <v>0</v>
      </c>
      <c r="U313" s="126" t="n">
        <f aca="false">I313/$R$3</f>
        <v>0</v>
      </c>
      <c r="V313" s="126" t="n">
        <f aca="false">M313/$R$3</f>
        <v>-52.86763</v>
      </c>
      <c r="W313" s="126" t="n">
        <f aca="false">N313/$R$3</f>
        <v>-90.09428</v>
      </c>
    </row>
    <row r="314" customFormat="false" ht="12.75" hidden="false" customHeight="false" outlineLevel="0" collapsed="false">
      <c r="A314" s="120" t="n">
        <f aca="false">A313+1</f>
        <v>37200</v>
      </c>
      <c r="B314" s="131" t="str">
        <f aca="false">INDEX('Master Data'!$A$2:$B$8,MATCH(WEEKDAY('Plant Manager'!A314,3),'Master Data'!$A$2:$A$8,0),2)</f>
        <v>M</v>
      </c>
      <c r="D314" s="124" t="n">
        <v>0</v>
      </c>
      <c r="E314" s="124" t="n">
        <v>0</v>
      </c>
      <c r="F314" s="124" t="n">
        <v>0</v>
      </c>
      <c r="G314" s="124" t="n">
        <v>0</v>
      </c>
      <c r="I314" s="124" t="n">
        <f aca="false">IF(MONTH($A314)=MONTH($A313),IF(G314=0,I313,G314),G314)</f>
        <v>0</v>
      </c>
      <c r="J314" s="124" t="n">
        <f aca="false">IF(MONTH($A314)=MONTH($A313),SUM(I314-I313),I314)</f>
        <v>0</v>
      </c>
      <c r="K314" s="124" t="n">
        <f aca="false">IF(WEEKDAY(A314,3)&gt;4,0,(IF(A314&lt;K$2,0,IF(A314&lt;=K$3,1,0))))</f>
        <v>0</v>
      </c>
      <c r="L314" s="124" t="n">
        <f aca="false">J314*K314</f>
        <v>0</v>
      </c>
      <c r="M314" s="124" t="n">
        <f aca="false">SUM(J$280:J314)</f>
        <v>-52867.63</v>
      </c>
      <c r="N314" s="124" t="n">
        <f aca="false">SUM(J$6:J314)</f>
        <v>-90094.28</v>
      </c>
      <c r="P314" s="124" t="n">
        <f aca="false">D314/P$3</f>
        <v>0</v>
      </c>
      <c r="Q314" s="124" t="n">
        <f aca="false">E314/P$3</f>
        <v>0</v>
      </c>
      <c r="R314" s="124" t="n">
        <f aca="false">F314/R$3</f>
        <v>0</v>
      </c>
      <c r="S314" s="126" t="n">
        <f aca="false">J314/$R$3</f>
        <v>0</v>
      </c>
      <c r="T314" s="126" t="n">
        <f aca="false">L314/$R$3</f>
        <v>0</v>
      </c>
      <c r="U314" s="126" t="n">
        <f aca="false">I314/$R$3</f>
        <v>0</v>
      </c>
      <c r="V314" s="126" t="n">
        <f aca="false">M314/$R$3</f>
        <v>-52.86763</v>
      </c>
      <c r="W314" s="126" t="n">
        <f aca="false">N314/$R$3</f>
        <v>-90.09428</v>
      </c>
    </row>
    <row r="315" customFormat="false" ht="12.75" hidden="false" customHeight="false" outlineLevel="0" collapsed="false">
      <c r="A315" s="120" t="n">
        <f aca="false">A314+1</f>
        <v>37201</v>
      </c>
      <c r="B315" s="131" t="str">
        <f aca="false">INDEX('Master Data'!$A$2:$B$8,MATCH(WEEKDAY('Plant Manager'!A315,3),'Master Data'!$A$2:$A$8,0),2)</f>
        <v>T</v>
      </c>
      <c r="D315" s="124" t="n">
        <v>0</v>
      </c>
      <c r="E315" s="124" t="n">
        <v>0</v>
      </c>
      <c r="F315" s="124" t="n">
        <v>0</v>
      </c>
      <c r="G315" s="124" t="n">
        <v>0</v>
      </c>
      <c r="I315" s="124" t="n">
        <f aca="false">IF(MONTH($A315)=MONTH($A314),IF(G315=0,I314,G315),G315)</f>
        <v>0</v>
      </c>
      <c r="J315" s="124" t="n">
        <f aca="false">IF(MONTH($A315)=MONTH($A314),SUM(I315-I314),I315)</f>
        <v>0</v>
      </c>
      <c r="K315" s="124" t="n">
        <f aca="false">IF(WEEKDAY(A315,3)&gt;4,0,(IF(A315&lt;K$2,0,IF(A315&lt;=K$3,1,0))))</f>
        <v>0</v>
      </c>
      <c r="L315" s="124" t="n">
        <f aca="false">J315*K315</f>
        <v>0</v>
      </c>
      <c r="M315" s="124" t="n">
        <f aca="false">SUM(J$280:J315)</f>
        <v>-52867.63</v>
      </c>
      <c r="N315" s="124" t="n">
        <f aca="false">SUM(J$6:J315)</f>
        <v>-90094.28</v>
      </c>
      <c r="P315" s="124" t="n">
        <f aca="false">D315/P$3</f>
        <v>0</v>
      </c>
      <c r="Q315" s="124" t="n">
        <f aca="false">E315/P$3</f>
        <v>0</v>
      </c>
      <c r="R315" s="124" t="n">
        <f aca="false">F315/R$3</f>
        <v>0</v>
      </c>
      <c r="S315" s="126" t="n">
        <f aca="false">J315/$R$3</f>
        <v>0</v>
      </c>
      <c r="T315" s="126" t="n">
        <f aca="false">L315/$R$3</f>
        <v>0</v>
      </c>
      <c r="U315" s="126" t="n">
        <f aca="false">I315/$R$3</f>
        <v>0</v>
      </c>
      <c r="V315" s="126" t="n">
        <f aca="false">M315/$R$3</f>
        <v>-52.86763</v>
      </c>
      <c r="W315" s="126" t="n">
        <f aca="false">N315/$R$3</f>
        <v>-90.09428</v>
      </c>
    </row>
    <row r="316" customFormat="false" ht="12.75" hidden="false" customHeight="false" outlineLevel="0" collapsed="false">
      <c r="A316" s="120" t="n">
        <f aca="false">A315+1</f>
        <v>37202</v>
      </c>
      <c r="B316" s="131" t="str">
        <f aca="false">INDEX('Master Data'!$A$2:$B$8,MATCH(WEEKDAY('Plant Manager'!A316,3),'Master Data'!$A$2:$A$8,0),2)</f>
        <v>W</v>
      </c>
      <c r="D316" s="124" t="n">
        <v>0</v>
      </c>
      <c r="E316" s="124" t="n">
        <v>0</v>
      </c>
      <c r="F316" s="124" t="n">
        <v>0</v>
      </c>
      <c r="G316" s="124" t="n">
        <v>0</v>
      </c>
      <c r="I316" s="124" t="n">
        <f aca="false">IF(MONTH($A316)=MONTH($A315),IF(G316=0,I315,G316),G316)</f>
        <v>0</v>
      </c>
      <c r="J316" s="124" t="n">
        <f aca="false">IF(MONTH($A316)=MONTH($A315),SUM(I316-I315),I316)</f>
        <v>0</v>
      </c>
      <c r="K316" s="124" t="n">
        <f aca="false">IF(WEEKDAY(A316,3)&gt;4,0,(IF(A316&lt;K$2,0,IF(A316&lt;=K$3,1,0))))</f>
        <v>0</v>
      </c>
      <c r="L316" s="124" t="n">
        <f aca="false">J316*K316</f>
        <v>0</v>
      </c>
      <c r="M316" s="124" t="n">
        <f aca="false">SUM(J$280:J316)</f>
        <v>-52867.63</v>
      </c>
      <c r="N316" s="124" t="n">
        <f aca="false">SUM(J$6:J316)</f>
        <v>-90094.28</v>
      </c>
      <c r="P316" s="124" t="n">
        <f aca="false">D316/P$3</f>
        <v>0</v>
      </c>
      <c r="Q316" s="124" t="n">
        <f aca="false">E316/P$3</f>
        <v>0</v>
      </c>
      <c r="R316" s="124" t="n">
        <f aca="false">F316/R$3</f>
        <v>0</v>
      </c>
      <c r="S316" s="126" t="n">
        <f aca="false">J316/$R$3</f>
        <v>0</v>
      </c>
      <c r="T316" s="126" t="n">
        <f aca="false">L316/$R$3</f>
        <v>0</v>
      </c>
      <c r="U316" s="126" t="n">
        <f aca="false">I316/$R$3</f>
        <v>0</v>
      </c>
      <c r="V316" s="126" t="n">
        <f aca="false">M316/$R$3</f>
        <v>-52.86763</v>
      </c>
      <c r="W316" s="126" t="n">
        <f aca="false">N316/$R$3</f>
        <v>-90.09428</v>
      </c>
    </row>
    <row r="317" customFormat="false" ht="12.75" hidden="false" customHeight="false" outlineLevel="0" collapsed="false">
      <c r="A317" s="120" t="n">
        <f aca="false">A316+1</f>
        <v>37203</v>
      </c>
      <c r="B317" s="131" t="str">
        <f aca="false">INDEX('Master Data'!$A$2:$B$8,MATCH(WEEKDAY('Plant Manager'!A317,3),'Master Data'!$A$2:$A$8,0),2)</f>
        <v>Th</v>
      </c>
      <c r="D317" s="124" t="n">
        <v>0</v>
      </c>
      <c r="E317" s="124" t="n">
        <v>0</v>
      </c>
      <c r="F317" s="124" t="n">
        <v>0</v>
      </c>
      <c r="G317" s="124" t="n">
        <v>0</v>
      </c>
      <c r="I317" s="124" t="n">
        <f aca="false">IF(MONTH($A317)=MONTH($A316),IF(G317=0,I316,G317),G317)</f>
        <v>0</v>
      </c>
      <c r="J317" s="124" t="n">
        <f aca="false">IF(MONTH($A317)=MONTH($A316),SUM(I317-I316),I317)</f>
        <v>0</v>
      </c>
      <c r="K317" s="124" t="n">
        <f aca="false">IF(WEEKDAY(A317,3)&gt;4,0,(IF(A317&lt;K$2,0,IF(A317&lt;=K$3,1,0))))</f>
        <v>0</v>
      </c>
      <c r="L317" s="124" t="n">
        <f aca="false">J317*K317</f>
        <v>0</v>
      </c>
      <c r="M317" s="124" t="n">
        <f aca="false">SUM(J$280:J317)</f>
        <v>-52867.63</v>
      </c>
      <c r="N317" s="124" t="n">
        <f aca="false">SUM(J$6:J317)</f>
        <v>-90094.28</v>
      </c>
      <c r="P317" s="124" t="n">
        <f aca="false">D317/P$3</f>
        <v>0</v>
      </c>
      <c r="Q317" s="124" t="n">
        <f aca="false">E317/P$3</f>
        <v>0</v>
      </c>
      <c r="R317" s="124" t="n">
        <f aca="false">F317/R$3</f>
        <v>0</v>
      </c>
      <c r="S317" s="126" t="n">
        <f aca="false">J317/$R$3</f>
        <v>0</v>
      </c>
      <c r="T317" s="126" t="n">
        <f aca="false">L317/$R$3</f>
        <v>0</v>
      </c>
      <c r="U317" s="126" t="n">
        <f aca="false">I317/$R$3</f>
        <v>0</v>
      </c>
      <c r="V317" s="126" t="n">
        <f aca="false">M317/$R$3</f>
        <v>-52.86763</v>
      </c>
      <c r="W317" s="126" t="n">
        <f aca="false">N317/$R$3</f>
        <v>-90.09428</v>
      </c>
    </row>
    <row r="318" customFormat="false" ht="12.75" hidden="false" customHeight="false" outlineLevel="0" collapsed="false">
      <c r="A318" s="120" t="n">
        <f aca="false">A317+1</f>
        <v>37204</v>
      </c>
      <c r="B318" s="131" t="str">
        <f aca="false">INDEX('Master Data'!$A$2:$B$8,MATCH(WEEKDAY('Plant Manager'!A318,3),'Master Data'!$A$2:$A$8,0),2)</f>
        <v>F</v>
      </c>
      <c r="D318" s="124" t="n">
        <v>0</v>
      </c>
      <c r="E318" s="124" t="n">
        <v>0</v>
      </c>
      <c r="F318" s="124" t="n">
        <v>0</v>
      </c>
      <c r="G318" s="124" t="n">
        <v>0</v>
      </c>
      <c r="I318" s="124" t="n">
        <f aca="false">IF(MONTH($A318)=MONTH($A317),IF(G318=0,I317,G318),G318)</f>
        <v>0</v>
      </c>
      <c r="J318" s="124" t="n">
        <f aca="false">IF(MONTH($A318)=MONTH($A317),SUM(I318-I317),I318)</f>
        <v>0</v>
      </c>
      <c r="K318" s="124" t="n">
        <f aca="false">IF(WEEKDAY(A318,3)&gt;4,0,(IF(A318&lt;K$2,0,IF(A318&lt;=K$3,1,0))))</f>
        <v>0</v>
      </c>
      <c r="L318" s="124" t="n">
        <f aca="false">J318*K318</f>
        <v>0</v>
      </c>
      <c r="M318" s="124" t="n">
        <f aca="false">SUM(J$280:J318)</f>
        <v>-52867.63</v>
      </c>
      <c r="N318" s="124" t="n">
        <f aca="false">SUM(J$6:J318)</f>
        <v>-90094.28</v>
      </c>
      <c r="P318" s="124" t="n">
        <f aca="false">D318/P$3</f>
        <v>0</v>
      </c>
      <c r="Q318" s="124" t="n">
        <f aca="false">E318/P$3</f>
        <v>0</v>
      </c>
      <c r="R318" s="124" t="n">
        <f aca="false">F318/R$3</f>
        <v>0</v>
      </c>
      <c r="S318" s="126" t="n">
        <f aca="false">J318/$R$3</f>
        <v>0</v>
      </c>
      <c r="T318" s="126" t="n">
        <f aca="false">L318/$R$3</f>
        <v>0</v>
      </c>
      <c r="U318" s="126" t="n">
        <f aca="false">I318/$R$3</f>
        <v>0</v>
      </c>
      <c r="V318" s="126" t="n">
        <f aca="false">M318/$R$3</f>
        <v>-52.86763</v>
      </c>
      <c r="W318" s="126" t="n">
        <f aca="false">N318/$R$3</f>
        <v>-90.09428</v>
      </c>
    </row>
    <row r="319" customFormat="false" ht="12.75" hidden="false" customHeight="false" outlineLevel="0" collapsed="false">
      <c r="A319" s="120" t="n">
        <f aca="false">A318+1</f>
        <v>37205</v>
      </c>
      <c r="B319" s="131" t="str">
        <f aca="false">INDEX('Master Data'!$A$2:$B$8,MATCH(WEEKDAY('Plant Manager'!A319,3),'Master Data'!$A$2:$A$8,0),2)</f>
        <v>Sa</v>
      </c>
      <c r="D319" s="124" t="n">
        <v>0</v>
      </c>
      <c r="E319" s="124" t="n">
        <v>0</v>
      </c>
      <c r="F319" s="124" t="n">
        <v>0</v>
      </c>
      <c r="G319" s="124" t="n">
        <v>0</v>
      </c>
      <c r="I319" s="124" t="n">
        <f aca="false">IF(MONTH($A319)=MONTH($A318),IF(G319=0,I318,G319),G319)</f>
        <v>0</v>
      </c>
      <c r="J319" s="124" t="n">
        <f aca="false">IF(MONTH($A319)=MONTH($A318),SUM(I319-I318),I319)</f>
        <v>0</v>
      </c>
      <c r="K319" s="124" t="n">
        <f aca="false">IF(WEEKDAY(A319,3)&gt;4,0,(IF(A319&lt;K$2,0,IF(A319&lt;=K$3,1,0))))</f>
        <v>0</v>
      </c>
      <c r="L319" s="124" t="n">
        <f aca="false">J319*K319</f>
        <v>0</v>
      </c>
      <c r="M319" s="124" t="n">
        <f aca="false">SUM(J$280:J319)</f>
        <v>-52867.63</v>
      </c>
      <c r="N319" s="124" t="n">
        <f aca="false">SUM(J$6:J319)</f>
        <v>-90094.28</v>
      </c>
      <c r="P319" s="124" t="n">
        <f aca="false">D319/P$3</f>
        <v>0</v>
      </c>
      <c r="Q319" s="124" t="n">
        <f aca="false">E319/P$3</f>
        <v>0</v>
      </c>
      <c r="R319" s="124" t="n">
        <f aca="false">F319/R$3</f>
        <v>0</v>
      </c>
      <c r="S319" s="126" t="n">
        <f aca="false">J319/$R$3</f>
        <v>0</v>
      </c>
      <c r="T319" s="126" t="n">
        <f aca="false">L319/$R$3</f>
        <v>0</v>
      </c>
      <c r="U319" s="126" t="n">
        <f aca="false">I319/$R$3</f>
        <v>0</v>
      </c>
      <c r="V319" s="126" t="n">
        <f aca="false">M319/$R$3</f>
        <v>-52.86763</v>
      </c>
      <c r="W319" s="126" t="n">
        <f aca="false">N319/$R$3</f>
        <v>-90.09428</v>
      </c>
    </row>
    <row r="320" customFormat="false" ht="12.75" hidden="false" customHeight="false" outlineLevel="0" collapsed="false">
      <c r="A320" s="120" t="n">
        <f aca="false">A319+1</f>
        <v>37206</v>
      </c>
      <c r="B320" s="131" t="str">
        <f aca="false">INDEX('Master Data'!$A$2:$B$8,MATCH(WEEKDAY('Plant Manager'!A320,3),'Master Data'!$A$2:$A$8,0),2)</f>
        <v>Su</v>
      </c>
      <c r="D320" s="124" t="n">
        <v>0</v>
      </c>
      <c r="E320" s="124" t="n">
        <v>0</v>
      </c>
      <c r="F320" s="124" t="n">
        <v>0</v>
      </c>
      <c r="G320" s="124" t="n">
        <v>0</v>
      </c>
      <c r="I320" s="124" t="n">
        <f aca="false">IF(MONTH($A320)=MONTH($A319),IF(G320=0,I319,G320),G320)</f>
        <v>0</v>
      </c>
      <c r="J320" s="124" t="n">
        <f aca="false">IF(MONTH($A320)=MONTH($A319),SUM(I320-I319),I320)</f>
        <v>0</v>
      </c>
      <c r="K320" s="124" t="n">
        <f aca="false">IF(WEEKDAY(A320,3)&gt;4,0,(IF(A320&lt;K$2,0,IF(A320&lt;=K$3,1,0))))</f>
        <v>0</v>
      </c>
      <c r="L320" s="124" t="n">
        <f aca="false">J320*K320</f>
        <v>0</v>
      </c>
      <c r="M320" s="124" t="n">
        <f aca="false">SUM(J$280:J320)</f>
        <v>-52867.63</v>
      </c>
      <c r="N320" s="124" t="n">
        <f aca="false">SUM(J$6:J320)</f>
        <v>-90094.28</v>
      </c>
      <c r="P320" s="124" t="n">
        <f aca="false">D320/P$3</f>
        <v>0</v>
      </c>
      <c r="Q320" s="124" t="n">
        <f aca="false">E320/P$3</f>
        <v>0</v>
      </c>
      <c r="R320" s="124" t="n">
        <f aca="false">F320/R$3</f>
        <v>0</v>
      </c>
      <c r="S320" s="126" t="n">
        <f aca="false">J320/$R$3</f>
        <v>0</v>
      </c>
      <c r="T320" s="126" t="n">
        <f aca="false">L320/$R$3</f>
        <v>0</v>
      </c>
      <c r="U320" s="126" t="n">
        <f aca="false">I320/$R$3</f>
        <v>0</v>
      </c>
      <c r="V320" s="126" t="n">
        <f aca="false">M320/$R$3</f>
        <v>-52.86763</v>
      </c>
      <c r="W320" s="126" t="n">
        <f aca="false">N320/$R$3</f>
        <v>-90.09428</v>
      </c>
    </row>
    <row r="321" customFormat="false" ht="12.75" hidden="false" customHeight="false" outlineLevel="0" collapsed="false">
      <c r="A321" s="120" t="n">
        <f aca="false">A320+1</f>
        <v>37207</v>
      </c>
      <c r="B321" s="131" t="str">
        <f aca="false">INDEX('Master Data'!$A$2:$B$8,MATCH(WEEKDAY('Plant Manager'!A321,3),'Master Data'!$A$2:$A$8,0),2)</f>
        <v>M</v>
      </c>
      <c r="D321" s="124" t="n">
        <v>0</v>
      </c>
      <c r="E321" s="124" t="n">
        <v>0</v>
      </c>
      <c r="F321" s="124" t="n">
        <v>0</v>
      </c>
      <c r="G321" s="124" t="n">
        <v>0</v>
      </c>
      <c r="I321" s="124" t="n">
        <f aca="false">IF(MONTH($A321)=MONTH($A320),IF(G321=0,I320,G321),G321)</f>
        <v>0</v>
      </c>
      <c r="J321" s="124" t="n">
        <f aca="false">IF(MONTH($A321)=MONTH($A320),SUM(I321-I320),I321)</f>
        <v>0</v>
      </c>
      <c r="K321" s="124" t="n">
        <f aca="false">IF(WEEKDAY(A321,3)&gt;4,0,(IF(A321&lt;K$2,0,IF(A321&lt;=K$3,1,0))))</f>
        <v>0</v>
      </c>
      <c r="L321" s="124" t="n">
        <f aca="false">J321*K321</f>
        <v>0</v>
      </c>
      <c r="M321" s="124" t="n">
        <f aca="false">SUM(J$280:J321)</f>
        <v>-52867.63</v>
      </c>
      <c r="N321" s="124" t="n">
        <f aca="false">SUM(J$6:J321)</f>
        <v>-90094.28</v>
      </c>
      <c r="P321" s="124" t="n">
        <f aca="false">D321/P$3</f>
        <v>0</v>
      </c>
      <c r="Q321" s="124" t="n">
        <f aca="false">E321/P$3</f>
        <v>0</v>
      </c>
      <c r="R321" s="124" t="n">
        <f aca="false">F321/R$3</f>
        <v>0</v>
      </c>
      <c r="S321" s="126" t="n">
        <f aca="false">J321/$R$3</f>
        <v>0</v>
      </c>
      <c r="T321" s="126" t="n">
        <f aca="false">L321/$R$3</f>
        <v>0</v>
      </c>
      <c r="U321" s="126" t="n">
        <f aca="false">I321/$R$3</f>
        <v>0</v>
      </c>
      <c r="V321" s="126" t="n">
        <f aca="false">M321/$R$3</f>
        <v>-52.86763</v>
      </c>
      <c r="W321" s="126" t="n">
        <f aca="false">N321/$R$3</f>
        <v>-90.09428</v>
      </c>
    </row>
    <row r="322" customFormat="false" ht="12.75" hidden="false" customHeight="false" outlineLevel="0" collapsed="false">
      <c r="A322" s="120" t="n">
        <f aca="false">A321+1</f>
        <v>37208</v>
      </c>
      <c r="B322" s="131" t="str">
        <f aca="false">INDEX('Master Data'!$A$2:$B$8,MATCH(WEEKDAY('Plant Manager'!A322,3),'Master Data'!$A$2:$A$8,0),2)</f>
        <v>T</v>
      </c>
      <c r="D322" s="124" t="n">
        <v>0</v>
      </c>
      <c r="E322" s="124" t="n">
        <v>0</v>
      </c>
      <c r="F322" s="124" t="n">
        <v>0</v>
      </c>
      <c r="G322" s="124" t="n">
        <v>0</v>
      </c>
      <c r="I322" s="124" t="n">
        <f aca="false">IF(MONTH($A322)=MONTH($A321),IF(G322=0,I321,G322),G322)</f>
        <v>0</v>
      </c>
      <c r="J322" s="124" t="n">
        <f aca="false">IF(MONTH($A322)=MONTH($A321),SUM(I322-I321),I322)</f>
        <v>0</v>
      </c>
      <c r="K322" s="124" t="n">
        <f aca="false">IF(WEEKDAY(A322,3)&gt;4,0,(IF(A322&lt;K$2,0,IF(A322&lt;=K$3,1,0))))</f>
        <v>0</v>
      </c>
      <c r="L322" s="124" t="n">
        <f aca="false">J322*K322</f>
        <v>0</v>
      </c>
      <c r="M322" s="124" t="n">
        <f aca="false">SUM(J$280:J322)</f>
        <v>-52867.63</v>
      </c>
      <c r="N322" s="124" t="n">
        <f aca="false">SUM(J$6:J322)</f>
        <v>-90094.28</v>
      </c>
      <c r="P322" s="124" t="n">
        <f aca="false">D322/P$3</f>
        <v>0</v>
      </c>
      <c r="Q322" s="124" t="n">
        <f aca="false">E322/P$3</f>
        <v>0</v>
      </c>
      <c r="R322" s="124" t="n">
        <f aca="false">F322/R$3</f>
        <v>0</v>
      </c>
      <c r="S322" s="126" t="n">
        <f aca="false">J322/$R$3</f>
        <v>0</v>
      </c>
      <c r="T322" s="126" t="n">
        <f aca="false">L322/$R$3</f>
        <v>0</v>
      </c>
      <c r="U322" s="126" t="n">
        <f aca="false">I322/$R$3</f>
        <v>0</v>
      </c>
      <c r="V322" s="126" t="n">
        <f aca="false">M322/$R$3</f>
        <v>-52.86763</v>
      </c>
      <c r="W322" s="126" t="n">
        <f aca="false">N322/$R$3</f>
        <v>-90.09428</v>
      </c>
    </row>
    <row r="323" customFormat="false" ht="12.75" hidden="false" customHeight="false" outlineLevel="0" collapsed="false">
      <c r="A323" s="120" t="n">
        <f aca="false">A322+1</f>
        <v>37209</v>
      </c>
      <c r="B323" s="131" t="str">
        <f aca="false">INDEX('Master Data'!$A$2:$B$8,MATCH(WEEKDAY('Plant Manager'!A323,3),'Master Data'!$A$2:$A$8,0),2)</f>
        <v>W</v>
      </c>
      <c r="D323" s="124" t="n">
        <v>0</v>
      </c>
      <c r="E323" s="124" t="n">
        <v>0</v>
      </c>
      <c r="F323" s="124" t="n">
        <v>0</v>
      </c>
      <c r="G323" s="124" t="n">
        <v>0</v>
      </c>
      <c r="I323" s="124" t="n">
        <f aca="false">IF(MONTH($A323)=MONTH($A322),IF(G323=0,I322,G323),G323)</f>
        <v>0</v>
      </c>
      <c r="J323" s="124" t="n">
        <f aca="false">IF(MONTH($A323)=MONTH($A322),SUM(I323-I322),I323)</f>
        <v>0</v>
      </c>
      <c r="K323" s="124" t="n">
        <f aca="false">IF(WEEKDAY(A323,3)&gt;4,0,(IF(A323&lt;K$2,0,IF(A323&lt;=K$3,1,0))))</f>
        <v>0</v>
      </c>
      <c r="L323" s="124" t="n">
        <f aca="false">J323*K323</f>
        <v>0</v>
      </c>
      <c r="M323" s="124" t="n">
        <f aca="false">SUM(J$280:J323)</f>
        <v>-52867.63</v>
      </c>
      <c r="N323" s="124" t="n">
        <f aca="false">SUM(J$6:J323)</f>
        <v>-90094.28</v>
      </c>
      <c r="P323" s="124" t="n">
        <f aca="false">D323/P$3</f>
        <v>0</v>
      </c>
      <c r="Q323" s="124" t="n">
        <f aca="false">E323/P$3</f>
        <v>0</v>
      </c>
      <c r="R323" s="124" t="n">
        <f aca="false">F323/R$3</f>
        <v>0</v>
      </c>
      <c r="S323" s="126" t="n">
        <f aca="false">J323/$R$3</f>
        <v>0</v>
      </c>
      <c r="T323" s="126" t="n">
        <f aca="false">L323/$R$3</f>
        <v>0</v>
      </c>
      <c r="U323" s="126" t="n">
        <f aca="false">I323/$R$3</f>
        <v>0</v>
      </c>
      <c r="V323" s="126" t="n">
        <f aca="false">M323/$R$3</f>
        <v>-52.86763</v>
      </c>
      <c r="W323" s="126" t="n">
        <f aca="false">N323/$R$3</f>
        <v>-90.09428</v>
      </c>
    </row>
    <row r="324" customFormat="false" ht="12.75" hidden="false" customHeight="false" outlineLevel="0" collapsed="false">
      <c r="A324" s="120" t="n">
        <f aca="false">A323+1</f>
        <v>37210</v>
      </c>
      <c r="B324" s="131" t="str">
        <f aca="false">INDEX('Master Data'!$A$2:$B$8,MATCH(WEEKDAY('Plant Manager'!A324,3),'Master Data'!$A$2:$A$8,0),2)</f>
        <v>Th</v>
      </c>
      <c r="D324" s="124" t="n">
        <v>0</v>
      </c>
      <c r="E324" s="124" t="n">
        <v>0</v>
      </c>
      <c r="F324" s="124" t="n">
        <v>0</v>
      </c>
      <c r="G324" s="124" t="n">
        <v>0</v>
      </c>
      <c r="I324" s="124" t="n">
        <f aca="false">IF(MONTH($A324)=MONTH($A323),IF(G324=0,I323,G324),G324)</f>
        <v>0</v>
      </c>
      <c r="J324" s="124" t="n">
        <f aca="false">IF(MONTH($A324)=MONTH($A323),SUM(I324-I323),I324)</f>
        <v>0</v>
      </c>
      <c r="K324" s="124" t="n">
        <f aca="false">IF(WEEKDAY(A324,3)&gt;4,0,(IF(A324&lt;K$2,0,IF(A324&lt;=K$3,1,0))))</f>
        <v>0</v>
      </c>
      <c r="L324" s="124" t="n">
        <f aca="false">J324*K324</f>
        <v>0</v>
      </c>
      <c r="M324" s="124" t="n">
        <f aca="false">SUM(J$280:J324)</f>
        <v>-52867.63</v>
      </c>
      <c r="N324" s="124" t="n">
        <f aca="false">SUM(J$6:J324)</f>
        <v>-90094.28</v>
      </c>
      <c r="P324" s="124" t="n">
        <f aca="false">D324/P$3</f>
        <v>0</v>
      </c>
      <c r="Q324" s="124" t="n">
        <f aca="false">E324/P$3</f>
        <v>0</v>
      </c>
      <c r="R324" s="124" t="n">
        <f aca="false">F324/R$3</f>
        <v>0</v>
      </c>
      <c r="S324" s="126" t="n">
        <f aca="false">J324/$R$3</f>
        <v>0</v>
      </c>
      <c r="T324" s="126" t="n">
        <f aca="false">L324/$R$3</f>
        <v>0</v>
      </c>
      <c r="U324" s="126" t="n">
        <f aca="false">I324/$R$3</f>
        <v>0</v>
      </c>
      <c r="V324" s="126" t="n">
        <f aca="false">M324/$R$3</f>
        <v>-52.86763</v>
      </c>
      <c r="W324" s="126" t="n">
        <f aca="false">N324/$R$3</f>
        <v>-90.09428</v>
      </c>
    </row>
    <row r="325" customFormat="false" ht="12.75" hidden="false" customHeight="false" outlineLevel="0" collapsed="false">
      <c r="A325" s="120" t="n">
        <f aca="false">A324+1</f>
        <v>37211</v>
      </c>
      <c r="B325" s="131" t="str">
        <f aca="false">INDEX('Master Data'!$A$2:$B$8,MATCH(WEEKDAY('Plant Manager'!A325,3),'Master Data'!$A$2:$A$8,0),2)</f>
        <v>F</v>
      </c>
      <c r="D325" s="124" t="n">
        <v>0</v>
      </c>
      <c r="E325" s="124" t="n">
        <v>0</v>
      </c>
      <c r="F325" s="124" t="n">
        <v>0</v>
      </c>
      <c r="G325" s="124" t="n">
        <v>0</v>
      </c>
      <c r="I325" s="124" t="n">
        <f aca="false">IF(MONTH($A325)=MONTH($A324),IF(G325=0,I324,G325),G325)</f>
        <v>0</v>
      </c>
      <c r="J325" s="124" t="n">
        <f aca="false">IF(MONTH($A325)=MONTH($A324),SUM(I325-I324),I325)</f>
        <v>0</v>
      </c>
      <c r="K325" s="124" t="n">
        <f aca="false">IF(WEEKDAY(A325,3)&gt;4,0,(IF(A325&lt;K$2,0,IF(A325&lt;=K$3,1,0))))</f>
        <v>0</v>
      </c>
      <c r="L325" s="124" t="n">
        <f aca="false">J325*K325</f>
        <v>0</v>
      </c>
      <c r="M325" s="124" t="n">
        <f aca="false">SUM(J$280:J325)</f>
        <v>-52867.63</v>
      </c>
      <c r="N325" s="124" t="n">
        <f aca="false">SUM(J$6:J325)</f>
        <v>-90094.28</v>
      </c>
      <c r="P325" s="124" t="n">
        <f aca="false">D325/P$3</f>
        <v>0</v>
      </c>
      <c r="Q325" s="124" t="n">
        <f aca="false">E325/P$3</f>
        <v>0</v>
      </c>
      <c r="R325" s="124" t="n">
        <f aca="false">F325/R$3</f>
        <v>0</v>
      </c>
      <c r="S325" s="126" t="n">
        <f aca="false">J325/$R$3</f>
        <v>0</v>
      </c>
      <c r="T325" s="126" t="n">
        <f aca="false">L325/$R$3</f>
        <v>0</v>
      </c>
      <c r="U325" s="126" t="n">
        <f aca="false">I325/$R$3</f>
        <v>0</v>
      </c>
      <c r="V325" s="126" t="n">
        <f aca="false">M325/$R$3</f>
        <v>-52.86763</v>
      </c>
      <c r="W325" s="126" t="n">
        <f aca="false">N325/$R$3</f>
        <v>-90.09428</v>
      </c>
    </row>
    <row r="326" customFormat="false" ht="12.75" hidden="false" customHeight="false" outlineLevel="0" collapsed="false">
      <c r="A326" s="120" t="n">
        <f aca="false">A325+1</f>
        <v>37212</v>
      </c>
      <c r="B326" s="131" t="str">
        <f aca="false">INDEX('Master Data'!$A$2:$B$8,MATCH(WEEKDAY('Plant Manager'!A326,3),'Master Data'!$A$2:$A$8,0),2)</f>
        <v>Sa</v>
      </c>
      <c r="D326" s="124" t="n">
        <v>0</v>
      </c>
      <c r="E326" s="124" t="n">
        <v>0</v>
      </c>
      <c r="F326" s="124" t="n">
        <v>0</v>
      </c>
      <c r="G326" s="124" t="n">
        <v>0</v>
      </c>
      <c r="I326" s="124" t="n">
        <f aca="false">IF(MONTH($A326)=MONTH($A325),IF(G326=0,I325,G326),G326)</f>
        <v>0</v>
      </c>
      <c r="J326" s="124" t="n">
        <f aca="false">IF(MONTH($A326)=MONTH($A325),SUM(I326-I325),I326)</f>
        <v>0</v>
      </c>
      <c r="K326" s="124" t="n">
        <f aca="false">IF(WEEKDAY(A326,3)&gt;4,0,(IF(A326&lt;K$2,0,IF(A326&lt;=K$3,1,0))))</f>
        <v>0</v>
      </c>
      <c r="L326" s="124" t="n">
        <f aca="false">J326*K326</f>
        <v>0</v>
      </c>
      <c r="M326" s="124" t="n">
        <f aca="false">SUM(J$280:J326)</f>
        <v>-52867.63</v>
      </c>
      <c r="N326" s="124" t="n">
        <f aca="false">SUM(J$6:J326)</f>
        <v>-90094.28</v>
      </c>
      <c r="P326" s="124" t="n">
        <f aca="false">D326/P$3</f>
        <v>0</v>
      </c>
      <c r="Q326" s="124" t="n">
        <f aca="false">E326/P$3</f>
        <v>0</v>
      </c>
      <c r="R326" s="124" t="n">
        <f aca="false">F326/R$3</f>
        <v>0</v>
      </c>
      <c r="S326" s="126" t="n">
        <f aca="false">J326/$R$3</f>
        <v>0</v>
      </c>
      <c r="T326" s="126" t="n">
        <f aca="false">L326/$R$3</f>
        <v>0</v>
      </c>
      <c r="U326" s="126" t="n">
        <f aca="false">I326/$R$3</f>
        <v>0</v>
      </c>
      <c r="V326" s="126" t="n">
        <f aca="false">M326/$R$3</f>
        <v>-52.86763</v>
      </c>
      <c r="W326" s="126" t="n">
        <f aca="false">N326/$R$3</f>
        <v>-90.09428</v>
      </c>
    </row>
    <row r="327" customFormat="false" ht="12.75" hidden="false" customHeight="false" outlineLevel="0" collapsed="false">
      <c r="A327" s="120" t="n">
        <f aca="false">A326+1</f>
        <v>37213</v>
      </c>
      <c r="B327" s="131" t="str">
        <f aca="false">INDEX('Master Data'!$A$2:$B$8,MATCH(WEEKDAY('Plant Manager'!A327,3),'Master Data'!$A$2:$A$8,0),2)</f>
        <v>Su</v>
      </c>
      <c r="D327" s="124" t="n">
        <v>0</v>
      </c>
      <c r="E327" s="124" t="n">
        <v>0</v>
      </c>
      <c r="F327" s="124" t="n">
        <v>0</v>
      </c>
      <c r="G327" s="124" t="n">
        <v>0</v>
      </c>
      <c r="I327" s="124" t="n">
        <f aca="false">IF(MONTH($A327)=MONTH($A326),IF(G327=0,I326,G327),G327)</f>
        <v>0</v>
      </c>
      <c r="J327" s="124" t="n">
        <f aca="false">IF(MONTH($A327)=MONTH($A326),SUM(I327-I326),I327)</f>
        <v>0</v>
      </c>
      <c r="K327" s="124" t="n">
        <f aca="false">IF(WEEKDAY(A327,3)&gt;4,0,(IF(A327&lt;K$2,0,IF(A327&lt;=K$3,1,0))))</f>
        <v>0</v>
      </c>
      <c r="L327" s="124" t="n">
        <f aca="false">J327*K327</f>
        <v>0</v>
      </c>
      <c r="M327" s="124" t="n">
        <f aca="false">SUM(J$280:J327)</f>
        <v>-52867.63</v>
      </c>
      <c r="N327" s="124" t="n">
        <f aca="false">SUM(J$6:J327)</f>
        <v>-90094.28</v>
      </c>
      <c r="P327" s="124" t="n">
        <f aca="false">D327/P$3</f>
        <v>0</v>
      </c>
      <c r="Q327" s="124" t="n">
        <f aca="false">E327/P$3</f>
        <v>0</v>
      </c>
      <c r="R327" s="124" t="n">
        <f aca="false">F327/R$3</f>
        <v>0</v>
      </c>
      <c r="S327" s="126" t="n">
        <f aca="false">J327/$R$3</f>
        <v>0</v>
      </c>
      <c r="T327" s="126" t="n">
        <f aca="false">L327/$R$3</f>
        <v>0</v>
      </c>
      <c r="U327" s="126" t="n">
        <f aca="false">I327/$R$3</f>
        <v>0</v>
      </c>
      <c r="V327" s="126" t="n">
        <f aca="false">M327/$R$3</f>
        <v>-52.86763</v>
      </c>
      <c r="W327" s="126" t="n">
        <f aca="false">N327/$R$3</f>
        <v>-90.09428</v>
      </c>
    </row>
    <row r="328" customFormat="false" ht="12.75" hidden="false" customHeight="false" outlineLevel="0" collapsed="false">
      <c r="A328" s="120" t="n">
        <f aca="false">A327+1</f>
        <v>37214</v>
      </c>
      <c r="B328" s="131" t="str">
        <f aca="false">INDEX('Master Data'!$A$2:$B$8,MATCH(WEEKDAY('Plant Manager'!A328,3),'Master Data'!$A$2:$A$8,0),2)</f>
        <v>M</v>
      </c>
      <c r="D328" s="124" t="n">
        <v>0</v>
      </c>
      <c r="E328" s="124" t="n">
        <v>0</v>
      </c>
      <c r="F328" s="124" t="n">
        <v>0</v>
      </c>
      <c r="G328" s="124" t="n">
        <v>0</v>
      </c>
      <c r="I328" s="124" t="n">
        <f aca="false">IF(MONTH($A328)=MONTH($A327),IF(G328=0,I327,G328),G328)</f>
        <v>0</v>
      </c>
      <c r="J328" s="124" t="n">
        <f aca="false">IF(MONTH($A328)=MONTH($A327),SUM(I328-I327),I328)</f>
        <v>0</v>
      </c>
      <c r="K328" s="124" t="n">
        <f aca="false">IF(WEEKDAY(A328,3)&gt;4,0,(IF(A328&lt;K$2,0,IF(A328&lt;=K$3,1,0))))</f>
        <v>0</v>
      </c>
      <c r="L328" s="124" t="n">
        <f aca="false">J328*K328</f>
        <v>0</v>
      </c>
      <c r="M328" s="124" t="n">
        <f aca="false">SUM(J$280:J328)</f>
        <v>-52867.63</v>
      </c>
      <c r="N328" s="124" t="n">
        <f aca="false">SUM(J$6:J328)</f>
        <v>-90094.28</v>
      </c>
      <c r="P328" s="124" t="n">
        <f aca="false">D328/P$3</f>
        <v>0</v>
      </c>
      <c r="Q328" s="124" t="n">
        <f aca="false">E328/P$3</f>
        <v>0</v>
      </c>
      <c r="R328" s="124" t="n">
        <f aca="false">F328/R$3</f>
        <v>0</v>
      </c>
      <c r="S328" s="126" t="n">
        <f aca="false">J328/$R$3</f>
        <v>0</v>
      </c>
      <c r="T328" s="126" t="n">
        <f aca="false">L328/$R$3</f>
        <v>0</v>
      </c>
      <c r="U328" s="126" t="n">
        <f aca="false">I328/$R$3</f>
        <v>0</v>
      </c>
      <c r="V328" s="126" t="n">
        <f aca="false">M328/$R$3</f>
        <v>-52.86763</v>
      </c>
      <c r="W328" s="126" t="n">
        <f aca="false">N328/$R$3</f>
        <v>-90.09428</v>
      </c>
    </row>
    <row r="329" customFormat="false" ht="12.75" hidden="false" customHeight="false" outlineLevel="0" collapsed="false">
      <c r="A329" s="120" t="n">
        <f aca="false">A328+1</f>
        <v>37215</v>
      </c>
      <c r="B329" s="131" t="str">
        <f aca="false">INDEX('Master Data'!$A$2:$B$8,MATCH(WEEKDAY('Plant Manager'!A329,3),'Master Data'!$A$2:$A$8,0),2)</f>
        <v>T</v>
      </c>
      <c r="D329" s="124" t="n">
        <v>0</v>
      </c>
      <c r="E329" s="124" t="n">
        <v>0</v>
      </c>
      <c r="F329" s="124" t="n">
        <v>0</v>
      </c>
      <c r="G329" s="124" t="n">
        <v>0</v>
      </c>
      <c r="I329" s="124" t="n">
        <f aca="false">IF(MONTH($A329)=MONTH($A328),IF(G329=0,I328,G329),G329)</f>
        <v>0</v>
      </c>
      <c r="J329" s="124" t="n">
        <f aca="false">IF(MONTH($A329)=MONTH($A328),SUM(I329-I328),I329)</f>
        <v>0</v>
      </c>
      <c r="K329" s="124" t="n">
        <f aca="false">IF(WEEKDAY(A329,3)&gt;4,0,(IF(A329&lt;K$2,0,IF(A329&lt;=K$3,1,0))))</f>
        <v>0</v>
      </c>
      <c r="L329" s="124" t="n">
        <f aca="false">J329*K329</f>
        <v>0</v>
      </c>
      <c r="M329" s="124" t="n">
        <f aca="false">SUM(J$280:J329)</f>
        <v>-52867.63</v>
      </c>
      <c r="N329" s="124" t="n">
        <f aca="false">SUM(J$6:J329)</f>
        <v>-90094.28</v>
      </c>
      <c r="P329" s="124" t="n">
        <f aca="false">D329/P$3</f>
        <v>0</v>
      </c>
      <c r="Q329" s="124" t="n">
        <f aca="false">E329/P$3</f>
        <v>0</v>
      </c>
      <c r="R329" s="124" t="n">
        <f aca="false">F329/R$3</f>
        <v>0</v>
      </c>
      <c r="S329" s="126" t="n">
        <f aca="false">J329/$R$3</f>
        <v>0</v>
      </c>
      <c r="T329" s="126" t="n">
        <f aca="false">L329/$R$3</f>
        <v>0</v>
      </c>
      <c r="U329" s="126" t="n">
        <f aca="false">I329/$R$3</f>
        <v>0</v>
      </c>
      <c r="V329" s="126" t="n">
        <f aca="false">M329/$R$3</f>
        <v>-52.86763</v>
      </c>
      <c r="W329" s="126" t="n">
        <f aca="false">N329/$R$3</f>
        <v>-90.09428</v>
      </c>
    </row>
    <row r="330" customFormat="false" ht="12.75" hidden="false" customHeight="false" outlineLevel="0" collapsed="false">
      <c r="A330" s="120" t="n">
        <f aca="false">A329+1</f>
        <v>37216</v>
      </c>
      <c r="B330" s="131" t="str">
        <f aca="false">INDEX('Master Data'!$A$2:$B$8,MATCH(WEEKDAY('Plant Manager'!A330,3),'Master Data'!$A$2:$A$8,0),2)</f>
        <v>W</v>
      </c>
      <c r="D330" s="124" t="n">
        <v>0</v>
      </c>
      <c r="E330" s="124" t="n">
        <v>0</v>
      </c>
      <c r="F330" s="124" t="n">
        <v>0</v>
      </c>
      <c r="G330" s="124" t="n">
        <v>0</v>
      </c>
      <c r="I330" s="124" t="n">
        <f aca="false">IF(MONTH($A330)=MONTH($A329),IF(G330=0,I329,G330),G330)</f>
        <v>0</v>
      </c>
      <c r="J330" s="124" t="n">
        <f aca="false">IF(MONTH($A330)=MONTH($A329),SUM(I330-I329),I330)</f>
        <v>0</v>
      </c>
      <c r="K330" s="124" t="n">
        <f aca="false">IF(WEEKDAY(A330,3)&gt;4,0,(IF(A330&lt;K$2,0,IF(A330&lt;=K$3,1,0))))</f>
        <v>0</v>
      </c>
      <c r="L330" s="124" t="n">
        <f aca="false">J330*K330</f>
        <v>0</v>
      </c>
      <c r="M330" s="124" t="n">
        <f aca="false">SUM(J$280:J330)</f>
        <v>-52867.63</v>
      </c>
      <c r="N330" s="124" t="n">
        <f aca="false">SUM(J$6:J330)</f>
        <v>-90094.28</v>
      </c>
      <c r="P330" s="124" t="n">
        <f aca="false">D330/P$3</f>
        <v>0</v>
      </c>
      <c r="Q330" s="124" t="n">
        <f aca="false">E330/P$3</f>
        <v>0</v>
      </c>
      <c r="R330" s="124" t="n">
        <f aca="false">F330/R$3</f>
        <v>0</v>
      </c>
      <c r="S330" s="126" t="n">
        <f aca="false">J330/$R$3</f>
        <v>0</v>
      </c>
      <c r="T330" s="126" t="n">
        <f aca="false">L330/$R$3</f>
        <v>0</v>
      </c>
      <c r="U330" s="126" t="n">
        <f aca="false">I330/$R$3</f>
        <v>0</v>
      </c>
      <c r="V330" s="126" t="n">
        <f aca="false">M330/$R$3</f>
        <v>-52.86763</v>
      </c>
      <c r="W330" s="126" t="n">
        <f aca="false">N330/$R$3</f>
        <v>-90.09428</v>
      </c>
    </row>
    <row r="331" customFormat="false" ht="12.75" hidden="false" customHeight="false" outlineLevel="0" collapsed="false">
      <c r="A331" s="120" t="n">
        <f aca="false">A330+1</f>
        <v>37217</v>
      </c>
      <c r="B331" s="131" t="str">
        <f aca="false">INDEX('Master Data'!$A$2:$B$8,MATCH(WEEKDAY('Plant Manager'!A331,3),'Master Data'!$A$2:$A$8,0),2)</f>
        <v>Th</v>
      </c>
      <c r="D331" s="124" t="n">
        <v>0</v>
      </c>
      <c r="E331" s="124" t="n">
        <v>0</v>
      </c>
      <c r="F331" s="124" t="n">
        <v>0</v>
      </c>
      <c r="G331" s="124" t="n">
        <v>0</v>
      </c>
      <c r="I331" s="124" t="n">
        <f aca="false">IF(MONTH($A331)=MONTH($A330),IF(G331=0,I330,G331),G331)</f>
        <v>0</v>
      </c>
      <c r="J331" s="124" t="n">
        <f aca="false">IF(MONTH($A331)=MONTH($A330),SUM(I331-I330),I331)</f>
        <v>0</v>
      </c>
      <c r="K331" s="124" t="n">
        <f aca="false">IF(WEEKDAY(A331,3)&gt;4,0,(IF(A331&lt;K$2,0,IF(A331&lt;=K$3,1,0))))</f>
        <v>0</v>
      </c>
      <c r="L331" s="124" t="n">
        <f aca="false">J331*K331</f>
        <v>0</v>
      </c>
      <c r="M331" s="124" t="n">
        <f aca="false">SUM(J$280:J331)</f>
        <v>-52867.63</v>
      </c>
      <c r="N331" s="124" t="n">
        <f aca="false">SUM(J$6:J331)</f>
        <v>-90094.28</v>
      </c>
      <c r="P331" s="124" t="n">
        <f aca="false">D331/P$3</f>
        <v>0</v>
      </c>
      <c r="Q331" s="124" t="n">
        <f aca="false">E331/P$3</f>
        <v>0</v>
      </c>
      <c r="R331" s="124" t="n">
        <f aca="false">F331/R$3</f>
        <v>0</v>
      </c>
      <c r="S331" s="126" t="n">
        <f aca="false">J331/$R$3</f>
        <v>0</v>
      </c>
      <c r="T331" s="126" t="n">
        <f aca="false">L331/$R$3</f>
        <v>0</v>
      </c>
      <c r="U331" s="126" t="n">
        <f aca="false">I331/$R$3</f>
        <v>0</v>
      </c>
      <c r="V331" s="126" t="n">
        <f aca="false">M331/$R$3</f>
        <v>-52.86763</v>
      </c>
      <c r="W331" s="126" t="n">
        <f aca="false">N331/$R$3</f>
        <v>-90.09428</v>
      </c>
    </row>
    <row r="332" customFormat="false" ht="12.75" hidden="false" customHeight="false" outlineLevel="0" collapsed="false">
      <c r="A332" s="120" t="n">
        <f aca="false">A331+1</f>
        <v>37218</v>
      </c>
      <c r="B332" s="131" t="str">
        <f aca="false">INDEX('Master Data'!$A$2:$B$8,MATCH(WEEKDAY('Plant Manager'!A332,3),'Master Data'!$A$2:$A$8,0),2)</f>
        <v>F</v>
      </c>
      <c r="D332" s="124" t="n">
        <v>0</v>
      </c>
      <c r="E332" s="124" t="n">
        <v>0</v>
      </c>
      <c r="F332" s="124" t="n">
        <v>0</v>
      </c>
      <c r="G332" s="124" t="n">
        <v>0</v>
      </c>
      <c r="I332" s="124" t="n">
        <f aca="false">IF(MONTH($A332)=MONTH($A331),IF(G332=0,I331,G332),G332)</f>
        <v>0</v>
      </c>
      <c r="J332" s="124" t="n">
        <f aca="false">IF(MONTH($A332)=MONTH($A331),SUM(I332-I331),I332)</f>
        <v>0</v>
      </c>
      <c r="K332" s="124" t="n">
        <f aca="false">IF(WEEKDAY(A332,3)&gt;4,0,(IF(A332&lt;K$2,0,IF(A332&lt;=K$3,1,0))))</f>
        <v>0</v>
      </c>
      <c r="L332" s="124" t="n">
        <f aca="false">J332*K332</f>
        <v>0</v>
      </c>
      <c r="M332" s="124" t="n">
        <f aca="false">SUM(J$280:J332)</f>
        <v>-52867.63</v>
      </c>
      <c r="N332" s="124" t="n">
        <f aca="false">SUM(J$6:J332)</f>
        <v>-90094.28</v>
      </c>
      <c r="P332" s="124" t="n">
        <f aca="false">D332/P$3</f>
        <v>0</v>
      </c>
      <c r="Q332" s="124" t="n">
        <f aca="false">E332/P$3</f>
        <v>0</v>
      </c>
      <c r="R332" s="124" t="n">
        <f aca="false">F332/R$3</f>
        <v>0</v>
      </c>
      <c r="S332" s="126" t="n">
        <f aca="false">J332/$R$3</f>
        <v>0</v>
      </c>
      <c r="T332" s="126" t="n">
        <f aca="false">L332/$R$3</f>
        <v>0</v>
      </c>
      <c r="U332" s="126" t="n">
        <f aca="false">I332/$R$3</f>
        <v>0</v>
      </c>
      <c r="V332" s="126" t="n">
        <f aca="false">M332/$R$3</f>
        <v>-52.86763</v>
      </c>
      <c r="W332" s="126" t="n">
        <f aca="false">N332/$R$3</f>
        <v>-90.09428</v>
      </c>
    </row>
    <row r="333" customFormat="false" ht="12.75" hidden="false" customHeight="false" outlineLevel="0" collapsed="false">
      <c r="A333" s="120" t="n">
        <f aca="false">A332+1</f>
        <v>37219</v>
      </c>
      <c r="B333" s="131" t="str">
        <f aca="false">INDEX('Master Data'!$A$2:$B$8,MATCH(WEEKDAY('Plant Manager'!A333,3),'Master Data'!$A$2:$A$8,0),2)</f>
        <v>Sa</v>
      </c>
      <c r="D333" s="124" t="n">
        <v>0</v>
      </c>
      <c r="E333" s="124" t="n">
        <v>0</v>
      </c>
      <c r="F333" s="124" t="n">
        <v>0</v>
      </c>
      <c r="G333" s="124" t="n">
        <v>0</v>
      </c>
      <c r="I333" s="124" t="n">
        <f aca="false">IF(MONTH($A333)=MONTH($A332),IF(G333=0,I332,G333),G333)</f>
        <v>0</v>
      </c>
      <c r="J333" s="124" t="n">
        <f aca="false">IF(MONTH($A333)=MONTH($A332),SUM(I333-I332),I333)</f>
        <v>0</v>
      </c>
      <c r="K333" s="124" t="n">
        <f aca="false">IF(WEEKDAY(A333,3)&gt;4,0,(IF(A333&lt;K$2,0,IF(A333&lt;=K$3,1,0))))</f>
        <v>0</v>
      </c>
      <c r="L333" s="124" t="n">
        <f aca="false">J333*K333</f>
        <v>0</v>
      </c>
      <c r="M333" s="124" t="n">
        <f aca="false">SUM(J$280:J333)</f>
        <v>-52867.63</v>
      </c>
      <c r="N333" s="124" t="n">
        <f aca="false">SUM(J$6:J333)</f>
        <v>-90094.28</v>
      </c>
      <c r="P333" s="124" t="n">
        <f aca="false">D333/P$3</f>
        <v>0</v>
      </c>
      <c r="Q333" s="124" t="n">
        <f aca="false">E333/P$3</f>
        <v>0</v>
      </c>
      <c r="R333" s="124" t="n">
        <f aca="false">F333/R$3</f>
        <v>0</v>
      </c>
      <c r="S333" s="126" t="n">
        <f aca="false">J333/$R$3</f>
        <v>0</v>
      </c>
      <c r="T333" s="126" t="n">
        <f aca="false">L333/$R$3</f>
        <v>0</v>
      </c>
      <c r="U333" s="126" t="n">
        <f aca="false">I333/$R$3</f>
        <v>0</v>
      </c>
      <c r="V333" s="126" t="n">
        <f aca="false">M333/$R$3</f>
        <v>-52.86763</v>
      </c>
      <c r="W333" s="126" t="n">
        <f aca="false">N333/$R$3</f>
        <v>-90.09428</v>
      </c>
    </row>
    <row r="334" customFormat="false" ht="12.75" hidden="false" customHeight="false" outlineLevel="0" collapsed="false">
      <c r="A334" s="120" t="n">
        <f aca="false">A333+1</f>
        <v>37220</v>
      </c>
      <c r="B334" s="131" t="str">
        <f aca="false">INDEX('Master Data'!$A$2:$B$8,MATCH(WEEKDAY('Plant Manager'!A334,3),'Master Data'!$A$2:$A$8,0),2)</f>
        <v>Su</v>
      </c>
      <c r="D334" s="124" t="n">
        <v>0</v>
      </c>
      <c r="E334" s="124" t="n">
        <v>0</v>
      </c>
      <c r="F334" s="124" t="n">
        <v>0</v>
      </c>
      <c r="G334" s="124" t="n">
        <v>0</v>
      </c>
      <c r="I334" s="124" t="n">
        <f aca="false">IF(MONTH($A334)=MONTH($A333),IF(G334=0,I333,G334),G334)</f>
        <v>0</v>
      </c>
      <c r="J334" s="124" t="n">
        <f aca="false">IF(MONTH($A334)=MONTH($A333),SUM(I334-I333),I334)</f>
        <v>0</v>
      </c>
      <c r="K334" s="124" t="n">
        <f aca="false">IF(WEEKDAY(A334,3)&gt;4,0,(IF(A334&lt;K$2,0,IF(A334&lt;=K$3,1,0))))</f>
        <v>0</v>
      </c>
      <c r="L334" s="124" t="n">
        <f aca="false">J334*K334</f>
        <v>0</v>
      </c>
      <c r="M334" s="124" t="n">
        <f aca="false">SUM(J$280:J334)</f>
        <v>-52867.63</v>
      </c>
      <c r="N334" s="124" t="n">
        <f aca="false">SUM(J$6:J334)</f>
        <v>-90094.28</v>
      </c>
      <c r="P334" s="124" t="n">
        <f aca="false">D334/P$3</f>
        <v>0</v>
      </c>
      <c r="Q334" s="124" t="n">
        <f aca="false">E334/P$3</f>
        <v>0</v>
      </c>
      <c r="R334" s="124" t="n">
        <f aca="false">F334/R$3</f>
        <v>0</v>
      </c>
      <c r="S334" s="126" t="n">
        <f aca="false">J334/$R$3</f>
        <v>0</v>
      </c>
      <c r="T334" s="126" t="n">
        <f aca="false">L334/$R$3</f>
        <v>0</v>
      </c>
      <c r="U334" s="126" t="n">
        <f aca="false">I334/$R$3</f>
        <v>0</v>
      </c>
      <c r="V334" s="126" t="n">
        <f aca="false">M334/$R$3</f>
        <v>-52.86763</v>
      </c>
      <c r="W334" s="126" t="n">
        <f aca="false">N334/$R$3</f>
        <v>-90.09428</v>
      </c>
    </row>
    <row r="335" customFormat="false" ht="12.75" hidden="false" customHeight="false" outlineLevel="0" collapsed="false">
      <c r="A335" s="120" t="n">
        <f aca="false">A334+1</f>
        <v>37221</v>
      </c>
      <c r="B335" s="131" t="str">
        <f aca="false">INDEX('Master Data'!$A$2:$B$8,MATCH(WEEKDAY('Plant Manager'!A335,3),'Master Data'!$A$2:$A$8,0),2)</f>
        <v>M</v>
      </c>
      <c r="D335" s="124" t="n">
        <v>0</v>
      </c>
      <c r="E335" s="124" t="n">
        <v>0</v>
      </c>
      <c r="F335" s="124" t="n">
        <v>0</v>
      </c>
      <c r="G335" s="124" t="n">
        <v>0</v>
      </c>
      <c r="I335" s="124" t="n">
        <f aca="false">IF(MONTH($A335)=MONTH($A334),IF(G335=0,I334,G335),G335)</f>
        <v>0</v>
      </c>
      <c r="J335" s="124" t="n">
        <f aca="false">IF(MONTH($A335)=MONTH($A334),SUM(I335-I334),I335)</f>
        <v>0</v>
      </c>
      <c r="K335" s="124" t="n">
        <f aca="false">IF(WEEKDAY(A335,3)&gt;4,0,(IF(A335&lt;K$2,0,IF(A335&lt;=K$3,1,0))))</f>
        <v>0</v>
      </c>
      <c r="L335" s="124" t="n">
        <f aca="false">J335*K335</f>
        <v>0</v>
      </c>
      <c r="M335" s="124" t="n">
        <f aca="false">SUM(J$280:J335)</f>
        <v>-52867.63</v>
      </c>
      <c r="N335" s="124" t="n">
        <f aca="false">SUM(J$6:J335)</f>
        <v>-90094.28</v>
      </c>
      <c r="P335" s="124" t="n">
        <f aca="false">D335/P$3</f>
        <v>0</v>
      </c>
      <c r="Q335" s="124" t="n">
        <f aca="false">E335/P$3</f>
        <v>0</v>
      </c>
      <c r="R335" s="124" t="n">
        <f aca="false">F335/R$3</f>
        <v>0</v>
      </c>
      <c r="S335" s="126" t="n">
        <f aca="false">J335/$R$3</f>
        <v>0</v>
      </c>
      <c r="T335" s="126" t="n">
        <f aca="false">L335/$R$3</f>
        <v>0</v>
      </c>
      <c r="U335" s="126" t="n">
        <f aca="false">I335/$R$3</f>
        <v>0</v>
      </c>
      <c r="V335" s="126" t="n">
        <f aca="false">M335/$R$3</f>
        <v>-52.86763</v>
      </c>
      <c r="W335" s="126" t="n">
        <f aca="false">N335/$R$3</f>
        <v>-90.09428</v>
      </c>
    </row>
    <row r="336" customFormat="false" ht="12.75" hidden="false" customHeight="false" outlineLevel="0" collapsed="false">
      <c r="A336" s="120" t="n">
        <f aca="false">A335+1</f>
        <v>37222</v>
      </c>
      <c r="B336" s="131" t="str">
        <f aca="false">INDEX('Master Data'!$A$2:$B$8,MATCH(WEEKDAY('Plant Manager'!A336,3),'Master Data'!$A$2:$A$8,0),2)</f>
        <v>T</v>
      </c>
      <c r="D336" s="124" t="n">
        <v>0</v>
      </c>
      <c r="E336" s="124" t="n">
        <v>0</v>
      </c>
      <c r="F336" s="124" t="n">
        <v>0</v>
      </c>
      <c r="G336" s="124" t="n">
        <v>0</v>
      </c>
      <c r="I336" s="124" t="n">
        <f aca="false">IF(MONTH($A336)=MONTH($A335),IF(G336=0,I335,G336),G336)</f>
        <v>0</v>
      </c>
      <c r="J336" s="124" t="n">
        <f aca="false">IF(MONTH($A336)=MONTH($A335),SUM(I336-I335),I336)</f>
        <v>0</v>
      </c>
      <c r="K336" s="124" t="n">
        <f aca="false">IF(WEEKDAY(A336,3)&gt;4,0,(IF(A336&lt;K$2,0,IF(A336&lt;=K$3,1,0))))</f>
        <v>0</v>
      </c>
      <c r="L336" s="124" t="n">
        <f aca="false">J336*K336</f>
        <v>0</v>
      </c>
      <c r="M336" s="124" t="n">
        <f aca="false">SUM(J$280:J336)</f>
        <v>-52867.63</v>
      </c>
      <c r="N336" s="124" t="n">
        <f aca="false">SUM(J$6:J336)</f>
        <v>-90094.28</v>
      </c>
      <c r="P336" s="124" t="n">
        <f aca="false">D336/P$3</f>
        <v>0</v>
      </c>
      <c r="Q336" s="124" t="n">
        <f aca="false">E336/P$3</f>
        <v>0</v>
      </c>
      <c r="R336" s="124" t="n">
        <f aca="false">F336/R$3</f>
        <v>0</v>
      </c>
      <c r="S336" s="126" t="n">
        <f aca="false">J336/$R$3</f>
        <v>0</v>
      </c>
      <c r="T336" s="126" t="n">
        <f aca="false">L336/$R$3</f>
        <v>0</v>
      </c>
      <c r="U336" s="126" t="n">
        <f aca="false">I336/$R$3</f>
        <v>0</v>
      </c>
      <c r="V336" s="126" t="n">
        <f aca="false">M336/$R$3</f>
        <v>-52.86763</v>
      </c>
      <c r="W336" s="126" t="n">
        <f aca="false">N336/$R$3</f>
        <v>-90.09428</v>
      </c>
    </row>
    <row r="337" customFormat="false" ht="12.75" hidden="false" customHeight="false" outlineLevel="0" collapsed="false">
      <c r="A337" s="120" t="n">
        <f aca="false">A336+1</f>
        <v>37223</v>
      </c>
      <c r="B337" s="131" t="str">
        <f aca="false">INDEX('Master Data'!$A$2:$B$8,MATCH(WEEKDAY('Plant Manager'!A337,3),'Master Data'!$A$2:$A$8,0),2)</f>
        <v>W</v>
      </c>
      <c r="D337" s="124" t="n">
        <v>0</v>
      </c>
      <c r="E337" s="124" t="n">
        <v>0</v>
      </c>
      <c r="F337" s="124" t="n">
        <v>0</v>
      </c>
      <c r="G337" s="124" t="n">
        <v>0</v>
      </c>
      <c r="I337" s="124" t="n">
        <f aca="false">IF(MONTH($A337)=MONTH($A336),IF(G337=0,I336,G337),G337)</f>
        <v>0</v>
      </c>
      <c r="J337" s="124" t="n">
        <f aca="false">IF(MONTH($A337)=MONTH($A336),SUM(I337-I336),I337)</f>
        <v>0</v>
      </c>
      <c r="K337" s="124" t="n">
        <f aca="false">IF(WEEKDAY(A337,3)&gt;4,0,(IF(A337&lt;K$2,0,IF(A337&lt;=K$3,1,0))))</f>
        <v>0</v>
      </c>
      <c r="L337" s="124" t="n">
        <f aca="false">J337*K337</f>
        <v>0</v>
      </c>
      <c r="M337" s="124" t="n">
        <f aca="false">SUM(J$280:J337)</f>
        <v>-52867.63</v>
      </c>
      <c r="N337" s="124" t="n">
        <f aca="false">SUM(J$6:J337)</f>
        <v>-90094.28</v>
      </c>
      <c r="P337" s="124" t="n">
        <f aca="false">D337/P$3</f>
        <v>0</v>
      </c>
      <c r="Q337" s="124" t="n">
        <f aca="false">E337/P$3</f>
        <v>0</v>
      </c>
      <c r="R337" s="124" t="n">
        <f aca="false">F337/R$3</f>
        <v>0</v>
      </c>
      <c r="S337" s="126" t="n">
        <f aca="false">J337/$R$3</f>
        <v>0</v>
      </c>
      <c r="T337" s="126" t="n">
        <f aca="false">L337/$R$3</f>
        <v>0</v>
      </c>
      <c r="U337" s="126" t="n">
        <f aca="false">I337/$R$3</f>
        <v>0</v>
      </c>
      <c r="V337" s="126" t="n">
        <f aca="false">M337/$R$3</f>
        <v>-52.86763</v>
      </c>
      <c r="W337" s="126" t="n">
        <f aca="false">N337/$R$3</f>
        <v>-90.09428</v>
      </c>
    </row>
    <row r="338" customFormat="false" ht="12.75" hidden="false" customHeight="false" outlineLevel="0" collapsed="false">
      <c r="A338" s="120" t="n">
        <f aca="false">A337+1</f>
        <v>37224</v>
      </c>
      <c r="B338" s="131" t="str">
        <f aca="false">INDEX('Master Data'!$A$2:$B$8,MATCH(WEEKDAY('Plant Manager'!A338,3),'Master Data'!$A$2:$A$8,0),2)</f>
        <v>Th</v>
      </c>
      <c r="D338" s="124" t="n">
        <v>0</v>
      </c>
      <c r="E338" s="124" t="n">
        <v>0</v>
      </c>
      <c r="F338" s="124" t="n">
        <v>0</v>
      </c>
      <c r="G338" s="124" t="n">
        <v>0</v>
      </c>
      <c r="I338" s="124" t="n">
        <f aca="false">IF(MONTH($A338)=MONTH($A337),IF(G338=0,I337,G338),G338)</f>
        <v>0</v>
      </c>
      <c r="J338" s="124" t="n">
        <f aca="false">IF(MONTH($A338)=MONTH($A337),SUM(I338-I337),I338)</f>
        <v>0</v>
      </c>
      <c r="K338" s="124" t="n">
        <f aca="false">IF(WEEKDAY(A338,3)&gt;4,0,(IF(A338&lt;K$2,0,IF(A338&lt;=K$3,1,0))))</f>
        <v>0</v>
      </c>
      <c r="L338" s="124" t="n">
        <f aca="false">J338*K338</f>
        <v>0</v>
      </c>
      <c r="M338" s="124" t="n">
        <f aca="false">SUM(J$280:J338)</f>
        <v>-52867.63</v>
      </c>
      <c r="N338" s="124" t="n">
        <f aca="false">SUM(J$6:J338)</f>
        <v>-90094.28</v>
      </c>
      <c r="P338" s="124" t="n">
        <f aca="false">D338/P$3</f>
        <v>0</v>
      </c>
      <c r="Q338" s="124" t="n">
        <f aca="false">E338/P$3</f>
        <v>0</v>
      </c>
      <c r="R338" s="124" t="n">
        <f aca="false">F338/R$3</f>
        <v>0</v>
      </c>
      <c r="S338" s="126" t="n">
        <f aca="false">J338/$R$3</f>
        <v>0</v>
      </c>
      <c r="T338" s="126" t="n">
        <f aca="false">L338/$R$3</f>
        <v>0</v>
      </c>
      <c r="U338" s="126" t="n">
        <f aca="false">I338/$R$3</f>
        <v>0</v>
      </c>
      <c r="V338" s="126" t="n">
        <f aca="false">M338/$R$3</f>
        <v>-52.86763</v>
      </c>
      <c r="W338" s="126" t="n">
        <f aca="false">N338/$R$3</f>
        <v>-90.09428</v>
      </c>
    </row>
    <row r="339" customFormat="false" ht="12.75" hidden="false" customHeight="false" outlineLevel="0" collapsed="false">
      <c r="A339" s="120" t="n">
        <f aca="false">A338+1</f>
        <v>37225</v>
      </c>
      <c r="B339" s="131" t="str">
        <f aca="false">INDEX('Master Data'!$A$2:$B$8,MATCH(WEEKDAY('Plant Manager'!A339,3),'Master Data'!$A$2:$A$8,0),2)</f>
        <v>F</v>
      </c>
      <c r="D339" s="124" t="n">
        <v>0</v>
      </c>
      <c r="E339" s="124" t="n">
        <v>0</v>
      </c>
      <c r="F339" s="124" t="n">
        <v>0</v>
      </c>
      <c r="G339" s="124" t="n">
        <v>0</v>
      </c>
      <c r="I339" s="124" t="n">
        <f aca="false">IF(MONTH($A339)=MONTH($A338),IF(G339=0,I338,G339),G339)</f>
        <v>0</v>
      </c>
      <c r="J339" s="124" t="n">
        <f aca="false">IF(MONTH($A339)=MONTH($A338),SUM(I339-I338),I339)</f>
        <v>0</v>
      </c>
      <c r="K339" s="124" t="n">
        <f aca="false">IF(WEEKDAY(A339,3)&gt;4,0,(IF(A339&lt;K$2,0,IF(A339&lt;=K$3,1,0))))</f>
        <v>0</v>
      </c>
      <c r="L339" s="124" t="n">
        <f aca="false">J339*K339</f>
        <v>0</v>
      </c>
      <c r="M339" s="124" t="n">
        <f aca="false">SUM(J$280:J339)</f>
        <v>-52867.63</v>
      </c>
      <c r="N339" s="124" t="n">
        <f aca="false">SUM(J$6:J339)</f>
        <v>-90094.28</v>
      </c>
      <c r="P339" s="124" t="n">
        <f aca="false">D339/P$3</f>
        <v>0</v>
      </c>
      <c r="Q339" s="124" t="n">
        <f aca="false">E339/P$3</f>
        <v>0</v>
      </c>
      <c r="R339" s="124" t="n">
        <f aca="false">F339/R$3</f>
        <v>0</v>
      </c>
      <c r="S339" s="126" t="n">
        <f aca="false">J339/$R$3</f>
        <v>0</v>
      </c>
      <c r="T339" s="126" t="n">
        <f aca="false">L339/$R$3</f>
        <v>0</v>
      </c>
      <c r="U339" s="126" t="n">
        <f aca="false">I339/$R$3</f>
        <v>0</v>
      </c>
      <c r="V339" s="126" t="n">
        <f aca="false">M339/$R$3</f>
        <v>-52.86763</v>
      </c>
      <c r="W339" s="126" t="n">
        <f aca="false">N339/$R$3</f>
        <v>-90.09428</v>
      </c>
    </row>
    <row r="340" customFormat="false" ht="12.75" hidden="false" customHeight="false" outlineLevel="0" collapsed="false">
      <c r="A340" s="120" t="n">
        <f aca="false">A339+1</f>
        <v>37226</v>
      </c>
      <c r="B340" s="131" t="str">
        <f aca="false">INDEX('Master Data'!$A$2:$B$8,MATCH(WEEKDAY('Plant Manager'!A340,3),'Master Data'!$A$2:$A$8,0),2)</f>
        <v>Sa</v>
      </c>
      <c r="D340" s="124" t="n">
        <v>0</v>
      </c>
      <c r="E340" s="124" t="n">
        <v>0</v>
      </c>
      <c r="F340" s="124" t="n">
        <v>0</v>
      </c>
      <c r="G340" s="124" t="n">
        <v>0</v>
      </c>
      <c r="I340" s="124" t="n">
        <f aca="false">IF(MONTH($A340)=MONTH($A339),IF(G340=0,I339,G340),G340)</f>
        <v>0</v>
      </c>
      <c r="J340" s="124" t="n">
        <f aca="false">IF(MONTH($A340)=MONTH($A339),SUM(I340-I339),I340)</f>
        <v>0</v>
      </c>
      <c r="K340" s="124" t="n">
        <f aca="false">IF(WEEKDAY(A340,3)&gt;4,0,(IF(A340&lt;K$2,0,IF(A340&lt;=K$3,1,0))))</f>
        <v>0</v>
      </c>
      <c r="L340" s="124" t="n">
        <f aca="false">J340*K340</f>
        <v>0</v>
      </c>
      <c r="M340" s="124" t="n">
        <f aca="false">SUM(J$280:J340)</f>
        <v>-52867.63</v>
      </c>
      <c r="N340" s="124" t="n">
        <f aca="false">SUM(J$6:J340)</f>
        <v>-90094.28</v>
      </c>
      <c r="P340" s="124" t="n">
        <f aca="false">D340/P$3</f>
        <v>0</v>
      </c>
      <c r="Q340" s="124" t="n">
        <f aca="false">E340/P$3</f>
        <v>0</v>
      </c>
      <c r="R340" s="124" t="n">
        <f aca="false">F340/R$3</f>
        <v>0</v>
      </c>
      <c r="S340" s="126" t="n">
        <f aca="false">J340/$R$3</f>
        <v>0</v>
      </c>
      <c r="T340" s="126" t="n">
        <f aca="false">L340/$R$3</f>
        <v>0</v>
      </c>
      <c r="U340" s="126" t="n">
        <f aca="false">I340/$R$3</f>
        <v>0</v>
      </c>
      <c r="V340" s="126" t="n">
        <f aca="false">M340/$R$3</f>
        <v>-52.86763</v>
      </c>
      <c r="W340" s="126" t="n">
        <f aca="false">N340/$R$3</f>
        <v>-90.09428</v>
      </c>
    </row>
    <row r="341" customFormat="false" ht="12.75" hidden="false" customHeight="false" outlineLevel="0" collapsed="false">
      <c r="A341" s="120" t="n">
        <f aca="false">A340+1</f>
        <v>37227</v>
      </c>
      <c r="B341" s="131" t="str">
        <f aca="false">INDEX('Master Data'!$A$2:$B$8,MATCH(WEEKDAY('Plant Manager'!A341,3),'Master Data'!$A$2:$A$8,0),2)</f>
        <v>Su</v>
      </c>
      <c r="D341" s="124" t="n">
        <v>0</v>
      </c>
      <c r="E341" s="124" t="n">
        <v>0</v>
      </c>
      <c r="F341" s="124" t="n">
        <v>0</v>
      </c>
      <c r="G341" s="124" t="n">
        <v>0</v>
      </c>
      <c r="I341" s="124" t="n">
        <f aca="false">IF(MONTH($A341)=MONTH($A340),IF(G341=0,I340,G341),G341)</f>
        <v>0</v>
      </c>
      <c r="J341" s="124" t="n">
        <f aca="false">IF(MONTH($A341)=MONTH($A340),SUM(I341-I340),I341)</f>
        <v>0</v>
      </c>
      <c r="K341" s="124" t="n">
        <f aca="false">IF(WEEKDAY(A341,3)&gt;4,0,(IF(A341&lt;K$2,0,IF(A341&lt;=K$3,1,0))))</f>
        <v>0</v>
      </c>
      <c r="L341" s="124" t="n">
        <f aca="false">J341*K341</f>
        <v>0</v>
      </c>
      <c r="M341" s="124" t="n">
        <f aca="false">SUM(J$280:J341)</f>
        <v>-52867.63</v>
      </c>
      <c r="N341" s="124" t="n">
        <f aca="false">SUM(J$6:J341)</f>
        <v>-90094.28</v>
      </c>
      <c r="P341" s="124" t="n">
        <f aca="false">D341/P$3</f>
        <v>0</v>
      </c>
      <c r="Q341" s="124" t="n">
        <f aca="false">E341/P$3</f>
        <v>0</v>
      </c>
      <c r="R341" s="124" t="n">
        <f aca="false">F341/R$3</f>
        <v>0</v>
      </c>
      <c r="S341" s="126" t="n">
        <f aca="false">J341/$R$3</f>
        <v>0</v>
      </c>
      <c r="T341" s="126" t="n">
        <f aca="false">L341/$R$3</f>
        <v>0</v>
      </c>
      <c r="U341" s="126" t="n">
        <f aca="false">I341/$R$3</f>
        <v>0</v>
      </c>
      <c r="V341" s="126" t="n">
        <f aca="false">M341/$R$3</f>
        <v>-52.86763</v>
      </c>
      <c r="W341" s="126" t="n">
        <f aca="false">N341/$R$3</f>
        <v>-90.09428</v>
      </c>
    </row>
    <row r="342" customFormat="false" ht="12.75" hidden="false" customHeight="false" outlineLevel="0" collapsed="false">
      <c r="A342" s="120" t="n">
        <f aca="false">A341+1</f>
        <v>37228</v>
      </c>
      <c r="B342" s="131" t="str">
        <f aca="false">INDEX('Master Data'!$A$2:$B$8,MATCH(WEEKDAY('Plant Manager'!A342,3),'Master Data'!$A$2:$A$8,0),2)</f>
        <v>M</v>
      </c>
      <c r="D342" s="124" t="n">
        <v>0</v>
      </c>
      <c r="E342" s="124" t="n">
        <v>0</v>
      </c>
      <c r="F342" s="124" t="n">
        <v>0</v>
      </c>
      <c r="G342" s="124" t="n">
        <v>0</v>
      </c>
      <c r="I342" s="124" t="n">
        <f aca="false">IF(MONTH($A342)=MONTH($A341),IF(G342=0,I341,G342),G342)</f>
        <v>0</v>
      </c>
      <c r="J342" s="124" t="n">
        <f aca="false">IF(MONTH($A342)=MONTH($A341),SUM(I342-I341),I342)</f>
        <v>0</v>
      </c>
      <c r="K342" s="124" t="n">
        <f aca="false">IF(WEEKDAY(A342,3)&gt;4,0,(IF(A342&lt;K$2,0,IF(A342&lt;=K$3,1,0))))</f>
        <v>0</v>
      </c>
      <c r="L342" s="124" t="n">
        <f aca="false">J342*K342</f>
        <v>0</v>
      </c>
      <c r="M342" s="124" t="n">
        <f aca="false">SUM(J$280:J342)</f>
        <v>-52867.63</v>
      </c>
      <c r="N342" s="124" t="n">
        <f aca="false">SUM(J$6:J342)</f>
        <v>-90094.28</v>
      </c>
      <c r="P342" s="124" t="n">
        <f aca="false">D342/P$3</f>
        <v>0</v>
      </c>
      <c r="Q342" s="124" t="n">
        <f aca="false">E342/P$3</f>
        <v>0</v>
      </c>
      <c r="R342" s="124" t="n">
        <f aca="false">F342/R$3</f>
        <v>0</v>
      </c>
      <c r="S342" s="126" t="n">
        <f aca="false">J342/$R$3</f>
        <v>0</v>
      </c>
      <c r="T342" s="126" t="n">
        <f aca="false">L342/$R$3</f>
        <v>0</v>
      </c>
      <c r="U342" s="126" t="n">
        <f aca="false">I342/$R$3</f>
        <v>0</v>
      </c>
      <c r="V342" s="126" t="n">
        <f aca="false">M342/$R$3</f>
        <v>-52.86763</v>
      </c>
      <c r="W342" s="126" t="n">
        <f aca="false">N342/$R$3</f>
        <v>-90.09428</v>
      </c>
    </row>
    <row r="343" customFormat="false" ht="12.75" hidden="false" customHeight="false" outlineLevel="0" collapsed="false">
      <c r="A343" s="120" t="n">
        <f aca="false">A342+1</f>
        <v>37229</v>
      </c>
      <c r="B343" s="131" t="str">
        <f aca="false">INDEX('Master Data'!$A$2:$B$8,MATCH(WEEKDAY('Plant Manager'!A343,3),'Master Data'!$A$2:$A$8,0),2)</f>
        <v>T</v>
      </c>
      <c r="D343" s="124" t="n">
        <v>0</v>
      </c>
      <c r="E343" s="124" t="n">
        <v>0</v>
      </c>
      <c r="F343" s="124" t="n">
        <v>0</v>
      </c>
      <c r="G343" s="124" t="n">
        <v>0</v>
      </c>
      <c r="I343" s="124" t="n">
        <f aca="false">IF(MONTH($A343)=MONTH($A342),IF(G343=0,I342,G343),G343)</f>
        <v>0</v>
      </c>
      <c r="J343" s="124" t="n">
        <f aca="false">IF(MONTH($A343)=MONTH($A342),SUM(I343-I342),I343)</f>
        <v>0</v>
      </c>
      <c r="K343" s="124" t="n">
        <f aca="false">IF(WEEKDAY(A343,3)&gt;4,0,(IF(A343&lt;K$2,0,IF(A343&lt;=K$3,1,0))))</f>
        <v>0</v>
      </c>
      <c r="L343" s="124" t="n">
        <f aca="false">J343*K343</f>
        <v>0</v>
      </c>
      <c r="M343" s="124" t="n">
        <f aca="false">SUM(J$280:J343)</f>
        <v>-52867.63</v>
      </c>
      <c r="N343" s="124" t="n">
        <f aca="false">SUM(J$6:J343)</f>
        <v>-90094.28</v>
      </c>
      <c r="P343" s="124" t="n">
        <f aca="false">D343/P$3</f>
        <v>0</v>
      </c>
      <c r="Q343" s="124" t="n">
        <f aca="false">E343/P$3</f>
        <v>0</v>
      </c>
      <c r="R343" s="124" t="n">
        <f aca="false">F343/R$3</f>
        <v>0</v>
      </c>
      <c r="S343" s="126" t="n">
        <f aca="false">J343/$R$3</f>
        <v>0</v>
      </c>
      <c r="T343" s="126" t="n">
        <f aca="false">L343/$R$3</f>
        <v>0</v>
      </c>
      <c r="U343" s="126" t="n">
        <f aca="false">I343/$R$3</f>
        <v>0</v>
      </c>
      <c r="V343" s="126" t="n">
        <f aca="false">M343/$R$3</f>
        <v>-52.86763</v>
      </c>
      <c r="W343" s="126" t="n">
        <f aca="false">N343/$R$3</f>
        <v>-90.09428</v>
      </c>
    </row>
    <row r="344" customFormat="false" ht="12.75" hidden="false" customHeight="false" outlineLevel="0" collapsed="false">
      <c r="A344" s="120" t="n">
        <f aca="false">A343+1</f>
        <v>37230</v>
      </c>
      <c r="B344" s="131" t="str">
        <f aca="false">INDEX('Master Data'!$A$2:$B$8,MATCH(WEEKDAY('Plant Manager'!A344,3),'Master Data'!$A$2:$A$8,0),2)</f>
        <v>W</v>
      </c>
      <c r="D344" s="124" t="n">
        <v>0</v>
      </c>
      <c r="E344" s="124" t="n">
        <v>0</v>
      </c>
      <c r="F344" s="124" t="n">
        <v>0</v>
      </c>
      <c r="G344" s="124" t="n">
        <v>0</v>
      </c>
      <c r="I344" s="124" t="n">
        <f aca="false">IF(MONTH($A344)=MONTH($A343),IF(G344=0,I343,G344),G344)</f>
        <v>0</v>
      </c>
      <c r="J344" s="124" t="n">
        <f aca="false">IF(MONTH($A344)=MONTH($A343),SUM(I344-I343),I344)</f>
        <v>0</v>
      </c>
      <c r="K344" s="124" t="n">
        <f aca="false">IF(WEEKDAY(A344,3)&gt;4,0,(IF(A344&lt;K$2,0,IF(A344&lt;=K$3,1,0))))</f>
        <v>0</v>
      </c>
      <c r="L344" s="124" t="n">
        <f aca="false">J344*K344</f>
        <v>0</v>
      </c>
      <c r="M344" s="124" t="n">
        <f aca="false">SUM(J$280:J344)</f>
        <v>-52867.63</v>
      </c>
      <c r="N344" s="124" t="n">
        <f aca="false">SUM(J$6:J344)</f>
        <v>-90094.28</v>
      </c>
      <c r="P344" s="124" t="n">
        <f aca="false">D344/P$3</f>
        <v>0</v>
      </c>
      <c r="Q344" s="124" t="n">
        <f aca="false">E344/P$3</f>
        <v>0</v>
      </c>
      <c r="R344" s="124" t="n">
        <f aca="false">F344/R$3</f>
        <v>0</v>
      </c>
      <c r="S344" s="126" t="n">
        <f aca="false">J344/$R$3</f>
        <v>0</v>
      </c>
      <c r="T344" s="126" t="n">
        <f aca="false">L344/$R$3</f>
        <v>0</v>
      </c>
      <c r="U344" s="126" t="n">
        <f aca="false">I344/$R$3</f>
        <v>0</v>
      </c>
      <c r="V344" s="126" t="n">
        <f aca="false">M344/$R$3</f>
        <v>-52.86763</v>
      </c>
      <c r="W344" s="126" t="n">
        <f aca="false">N344/$R$3</f>
        <v>-90.09428</v>
      </c>
    </row>
    <row r="345" customFormat="false" ht="12.75" hidden="false" customHeight="false" outlineLevel="0" collapsed="false">
      <c r="A345" s="120" t="n">
        <f aca="false">A344+1</f>
        <v>37231</v>
      </c>
      <c r="B345" s="131" t="str">
        <f aca="false">INDEX('Master Data'!$A$2:$B$8,MATCH(WEEKDAY('Plant Manager'!A345,3),'Master Data'!$A$2:$A$8,0),2)</f>
        <v>Th</v>
      </c>
      <c r="D345" s="124" t="n">
        <v>0</v>
      </c>
      <c r="E345" s="124" t="n">
        <v>0</v>
      </c>
      <c r="F345" s="124" t="n">
        <v>0</v>
      </c>
      <c r="G345" s="124" t="n">
        <v>0</v>
      </c>
      <c r="I345" s="124" t="n">
        <f aca="false">IF(MONTH($A345)=MONTH($A344),IF(G345=0,I344,G345),G345)</f>
        <v>0</v>
      </c>
      <c r="J345" s="124" t="n">
        <f aca="false">IF(MONTH($A345)=MONTH($A344),SUM(I345-I344),I345)</f>
        <v>0</v>
      </c>
      <c r="K345" s="124" t="n">
        <f aca="false">IF(WEEKDAY(A345,3)&gt;4,0,(IF(A345&lt;K$2,0,IF(A345&lt;=K$3,1,0))))</f>
        <v>0</v>
      </c>
      <c r="L345" s="124" t="n">
        <f aca="false">J345*K345</f>
        <v>0</v>
      </c>
      <c r="M345" s="124" t="n">
        <f aca="false">SUM(J$280:J345)</f>
        <v>-52867.63</v>
      </c>
      <c r="N345" s="124" t="n">
        <f aca="false">SUM(J$6:J345)</f>
        <v>-90094.28</v>
      </c>
      <c r="P345" s="124" t="n">
        <f aca="false">D345/P$3</f>
        <v>0</v>
      </c>
      <c r="Q345" s="124" t="n">
        <f aca="false">E345/P$3</f>
        <v>0</v>
      </c>
      <c r="R345" s="124" t="n">
        <f aca="false">F345/R$3</f>
        <v>0</v>
      </c>
      <c r="S345" s="126" t="n">
        <f aca="false">J345/$R$3</f>
        <v>0</v>
      </c>
      <c r="T345" s="126" t="n">
        <f aca="false">L345/$R$3</f>
        <v>0</v>
      </c>
      <c r="U345" s="126" t="n">
        <f aca="false">I345/$R$3</f>
        <v>0</v>
      </c>
      <c r="V345" s="126" t="n">
        <f aca="false">M345/$R$3</f>
        <v>-52.86763</v>
      </c>
      <c r="W345" s="126" t="n">
        <f aca="false">N345/$R$3</f>
        <v>-90.09428</v>
      </c>
    </row>
    <row r="346" customFormat="false" ht="12.75" hidden="false" customHeight="false" outlineLevel="0" collapsed="false">
      <c r="A346" s="120" t="n">
        <f aca="false">A345+1</f>
        <v>37232</v>
      </c>
      <c r="B346" s="131" t="str">
        <f aca="false">INDEX('Master Data'!$A$2:$B$8,MATCH(WEEKDAY('Plant Manager'!A346,3),'Master Data'!$A$2:$A$8,0),2)</f>
        <v>F</v>
      </c>
      <c r="D346" s="124" t="n">
        <v>0</v>
      </c>
      <c r="E346" s="124" t="n">
        <v>0</v>
      </c>
      <c r="F346" s="124" t="n">
        <v>0</v>
      </c>
      <c r="G346" s="124" t="n">
        <v>0</v>
      </c>
      <c r="I346" s="124" t="n">
        <f aca="false">IF(MONTH($A346)=MONTH($A345),IF(G346=0,I345,G346),G346)</f>
        <v>0</v>
      </c>
      <c r="J346" s="124" t="n">
        <f aca="false">IF(MONTH($A346)=MONTH($A345),SUM(I346-I345),I346)</f>
        <v>0</v>
      </c>
      <c r="K346" s="124" t="n">
        <f aca="false">IF(WEEKDAY(A346,3)&gt;4,0,(IF(A346&lt;K$2,0,IF(A346&lt;=K$3,1,0))))</f>
        <v>0</v>
      </c>
      <c r="L346" s="124" t="n">
        <f aca="false">J346*K346</f>
        <v>0</v>
      </c>
      <c r="M346" s="124" t="n">
        <f aca="false">SUM(J$280:J346)</f>
        <v>-52867.63</v>
      </c>
      <c r="N346" s="124" t="n">
        <f aca="false">SUM(J$6:J346)</f>
        <v>-90094.28</v>
      </c>
      <c r="P346" s="124" t="n">
        <f aca="false">D346/P$3</f>
        <v>0</v>
      </c>
      <c r="Q346" s="124" t="n">
        <f aca="false">E346/P$3</f>
        <v>0</v>
      </c>
      <c r="R346" s="124" t="n">
        <f aca="false">F346/R$3</f>
        <v>0</v>
      </c>
      <c r="S346" s="126" t="n">
        <f aca="false">J346/$R$3</f>
        <v>0</v>
      </c>
      <c r="T346" s="126" t="n">
        <f aca="false">L346/$R$3</f>
        <v>0</v>
      </c>
      <c r="U346" s="126" t="n">
        <f aca="false">I346/$R$3</f>
        <v>0</v>
      </c>
      <c r="V346" s="126" t="n">
        <f aca="false">M346/$R$3</f>
        <v>-52.86763</v>
      </c>
      <c r="W346" s="126" t="n">
        <f aca="false">N346/$R$3</f>
        <v>-90.09428</v>
      </c>
    </row>
    <row r="347" customFormat="false" ht="12.75" hidden="false" customHeight="false" outlineLevel="0" collapsed="false">
      <c r="A347" s="120" t="n">
        <f aca="false">A346+1</f>
        <v>37233</v>
      </c>
      <c r="B347" s="131" t="str">
        <f aca="false">INDEX('Master Data'!$A$2:$B$8,MATCH(WEEKDAY('Plant Manager'!A347,3),'Master Data'!$A$2:$A$8,0),2)</f>
        <v>Sa</v>
      </c>
      <c r="D347" s="124" t="n">
        <v>0</v>
      </c>
      <c r="E347" s="124" t="n">
        <v>0</v>
      </c>
      <c r="F347" s="124" t="n">
        <v>0</v>
      </c>
      <c r="G347" s="124" t="n">
        <v>0</v>
      </c>
      <c r="I347" s="124" t="n">
        <f aca="false">IF(MONTH($A347)=MONTH($A346),IF(G347=0,I346,G347),G347)</f>
        <v>0</v>
      </c>
      <c r="J347" s="124" t="n">
        <f aca="false">IF(MONTH($A347)=MONTH($A346),SUM(I347-I346),I347)</f>
        <v>0</v>
      </c>
      <c r="K347" s="124" t="n">
        <f aca="false">IF(WEEKDAY(A347,3)&gt;4,0,(IF(A347&lt;K$2,0,IF(A347&lt;=K$3,1,0))))</f>
        <v>0</v>
      </c>
      <c r="L347" s="124" t="n">
        <f aca="false">J347*K347</f>
        <v>0</v>
      </c>
      <c r="M347" s="124" t="n">
        <f aca="false">SUM(J$280:J347)</f>
        <v>-52867.63</v>
      </c>
      <c r="N347" s="124" t="n">
        <f aca="false">SUM(J$6:J347)</f>
        <v>-90094.28</v>
      </c>
      <c r="P347" s="124" t="n">
        <f aca="false">D347/P$3</f>
        <v>0</v>
      </c>
      <c r="Q347" s="124" t="n">
        <f aca="false">E347/P$3</f>
        <v>0</v>
      </c>
      <c r="R347" s="124" t="n">
        <f aca="false">F347/R$3</f>
        <v>0</v>
      </c>
      <c r="S347" s="126" t="n">
        <f aca="false">J347/$R$3</f>
        <v>0</v>
      </c>
      <c r="T347" s="126" t="n">
        <f aca="false">L347/$R$3</f>
        <v>0</v>
      </c>
      <c r="U347" s="126" t="n">
        <f aca="false">I347/$R$3</f>
        <v>0</v>
      </c>
      <c r="V347" s="126" t="n">
        <f aca="false">M347/$R$3</f>
        <v>-52.86763</v>
      </c>
      <c r="W347" s="126" t="n">
        <f aca="false">N347/$R$3</f>
        <v>-90.09428</v>
      </c>
    </row>
    <row r="348" customFormat="false" ht="12.75" hidden="false" customHeight="false" outlineLevel="0" collapsed="false">
      <c r="A348" s="120" t="n">
        <f aca="false">A347+1</f>
        <v>37234</v>
      </c>
      <c r="B348" s="131" t="str">
        <f aca="false">INDEX('Master Data'!$A$2:$B$8,MATCH(WEEKDAY('Plant Manager'!A348,3),'Master Data'!$A$2:$A$8,0),2)</f>
        <v>Su</v>
      </c>
      <c r="D348" s="124" t="n">
        <v>0</v>
      </c>
      <c r="E348" s="124" t="n">
        <v>0</v>
      </c>
      <c r="F348" s="124" t="n">
        <v>0</v>
      </c>
      <c r="G348" s="124" t="n">
        <v>0</v>
      </c>
      <c r="I348" s="124" t="n">
        <f aca="false">IF(MONTH($A348)=MONTH($A347),IF(G348=0,I347,G348),G348)</f>
        <v>0</v>
      </c>
      <c r="J348" s="124" t="n">
        <f aca="false">IF(MONTH($A348)=MONTH($A347),SUM(I348-I347),I348)</f>
        <v>0</v>
      </c>
      <c r="K348" s="124" t="n">
        <f aca="false">IF(WEEKDAY(A348,3)&gt;4,0,(IF(A348&lt;K$2,0,IF(A348&lt;=K$3,1,0))))</f>
        <v>0</v>
      </c>
      <c r="L348" s="124" t="n">
        <f aca="false">J348*K348</f>
        <v>0</v>
      </c>
      <c r="M348" s="124" t="n">
        <f aca="false">SUM(J$280:J348)</f>
        <v>-52867.63</v>
      </c>
      <c r="N348" s="124" t="n">
        <f aca="false">SUM(J$6:J348)</f>
        <v>-90094.28</v>
      </c>
      <c r="P348" s="124" t="n">
        <f aca="false">D348/P$3</f>
        <v>0</v>
      </c>
      <c r="Q348" s="124" t="n">
        <f aca="false">E348/P$3</f>
        <v>0</v>
      </c>
      <c r="R348" s="124" t="n">
        <f aca="false">F348/R$3</f>
        <v>0</v>
      </c>
      <c r="S348" s="126" t="n">
        <f aca="false">J348/$R$3</f>
        <v>0</v>
      </c>
      <c r="T348" s="126" t="n">
        <f aca="false">L348/$R$3</f>
        <v>0</v>
      </c>
      <c r="U348" s="126" t="n">
        <f aca="false">I348/$R$3</f>
        <v>0</v>
      </c>
      <c r="V348" s="126" t="n">
        <f aca="false">M348/$R$3</f>
        <v>-52.86763</v>
      </c>
      <c r="W348" s="126" t="n">
        <f aca="false">N348/$R$3</f>
        <v>-90.09428</v>
      </c>
    </row>
    <row r="349" customFormat="false" ht="12.75" hidden="false" customHeight="false" outlineLevel="0" collapsed="false">
      <c r="A349" s="120" t="n">
        <f aca="false">A348+1</f>
        <v>37235</v>
      </c>
      <c r="B349" s="131" t="str">
        <f aca="false">INDEX('Master Data'!$A$2:$B$8,MATCH(WEEKDAY('Plant Manager'!A349,3),'Master Data'!$A$2:$A$8,0),2)</f>
        <v>M</v>
      </c>
      <c r="D349" s="124" t="n">
        <v>0</v>
      </c>
      <c r="E349" s="124" t="n">
        <v>0</v>
      </c>
      <c r="F349" s="124" t="n">
        <v>0</v>
      </c>
      <c r="G349" s="124" t="n">
        <v>0</v>
      </c>
      <c r="I349" s="124" t="n">
        <f aca="false">IF(MONTH($A349)=MONTH($A348),IF(G349=0,I348,G349),G349)</f>
        <v>0</v>
      </c>
      <c r="J349" s="124" t="n">
        <f aca="false">IF(MONTH($A349)=MONTH($A348),SUM(I349-I348),I349)</f>
        <v>0</v>
      </c>
      <c r="K349" s="124" t="n">
        <f aca="false">IF(WEEKDAY(A349,3)&gt;4,0,(IF(A349&lt;K$2,0,IF(A349&lt;=K$3,1,0))))</f>
        <v>0</v>
      </c>
      <c r="L349" s="124" t="n">
        <f aca="false">J349*K349</f>
        <v>0</v>
      </c>
      <c r="M349" s="124" t="n">
        <f aca="false">SUM(J$280:J349)</f>
        <v>-52867.63</v>
      </c>
      <c r="N349" s="124" t="n">
        <f aca="false">SUM(J$6:J349)</f>
        <v>-90094.28</v>
      </c>
      <c r="P349" s="124" t="n">
        <f aca="false">D349/P$3</f>
        <v>0</v>
      </c>
      <c r="Q349" s="124" t="n">
        <f aca="false">E349/P$3</f>
        <v>0</v>
      </c>
      <c r="R349" s="124" t="n">
        <f aca="false">F349/R$3</f>
        <v>0</v>
      </c>
      <c r="S349" s="126" t="n">
        <f aca="false">J349/$R$3</f>
        <v>0</v>
      </c>
      <c r="T349" s="126" t="n">
        <f aca="false">L349/$R$3</f>
        <v>0</v>
      </c>
      <c r="U349" s="126" t="n">
        <f aca="false">I349/$R$3</f>
        <v>0</v>
      </c>
      <c r="V349" s="126" t="n">
        <f aca="false">M349/$R$3</f>
        <v>-52.86763</v>
      </c>
      <c r="W349" s="126" t="n">
        <f aca="false">N349/$R$3</f>
        <v>-90.09428</v>
      </c>
    </row>
    <row r="350" customFormat="false" ht="12.75" hidden="false" customHeight="false" outlineLevel="0" collapsed="false">
      <c r="A350" s="120" t="n">
        <f aca="false">A349+1</f>
        <v>37236</v>
      </c>
      <c r="B350" s="131" t="str">
        <f aca="false">INDEX('Master Data'!$A$2:$B$8,MATCH(WEEKDAY('Plant Manager'!A350,3),'Master Data'!$A$2:$A$8,0),2)</f>
        <v>T</v>
      </c>
      <c r="D350" s="124" t="n">
        <v>0</v>
      </c>
      <c r="E350" s="124" t="n">
        <v>0</v>
      </c>
      <c r="F350" s="124" t="n">
        <v>0</v>
      </c>
      <c r="G350" s="124" t="n">
        <v>0</v>
      </c>
      <c r="I350" s="124" t="n">
        <f aca="false">IF(MONTH($A350)=MONTH($A349),IF(G350=0,I349,G350),G350)</f>
        <v>0</v>
      </c>
      <c r="J350" s="124" t="n">
        <f aca="false">IF(MONTH($A350)=MONTH($A349),SUM(I350-I349),I350)</f>
        <v>0</v>
      </c>
      <c r="K350" s="124" t="n">
        <f aca="false">IF(WEEKDAY(A350,3)&gt;4,0,(IF(A350&lt;K$2,0,IF(A350&lt;=K$3,1,0))))</f>
        <v>0</v>
      </c>
      <c r="L350" s="124" t="n">
        <f aca="false">J350*K350</f>
        <v>0</v>
      </c>
      <c r="M350" s="124" t="n">
        <f aca="false">SUM(J$280:J350)</f>
        <v>-52867.63</v>
      </c>
      <c r="N350" s="124" t="n">
        <f aca="false">SUM(J$6:J350)</f>
        <v>-90094.28</v>
      </c>
      <c r="P350" s="124" t="n">
        <f aca="false">D350/P$3</f>
        <v>0</v>
      </c>
      <c r="Q350" s="124" t="n">
        <f aca="false">E350/P$3</f>
        <v>0</v>
      </c>
      <c r="R350" s="124" t="n">
        <f aca="false">F350/R$3</f>
        <v>0</v>
      </c>
      <c r="S350" s="126" t="n">
        <f aca="false">J350/$R$3</f>
        <v>0</v>
      </c>
      <c r="T350" s="126" t="n">
        <f aca="false">L350/$R$3</f>
        <v>0</v>
      </c>
      <c r="U350" s="126" t="n">
        <f aca="false">I350/$R$3</f>
        <v>0</v>
      </c>
      <c r="V350" s="126" t="n">
        <f aca="false">M350/$R$3</f>
        <v>-52.86763</v>
      </c>
      <c r="W350" s="126" t="n">
        <f aca="false">N350/$R$3</f>
        <v>-90.09428</v>
      </c>
    </row>
    <row r="351" customFormat="false" ht="12.75" hidden="false" customHeight="false" outlineLevel="0" collapsed="false">
      <c r="A351" s="120" t="n">
        <f aca="false">A350+1</f>
        <v>37237</v>
      </c>
      <c r="B351" s="131" t="str">
        <f aca="false">INDEX('Master Data'!$A$2:$B$8,MATCH(WEEKDAY('Plant Manager'!A351,3),'Master Data'!$A$2:$A$8,0),2)</f>
        <v>W</v>
      </c>
      <c r="D351" s="124" t="n">
        <v>0</v>
      </c>
      <c r="E351" s="124" t="n">
        <v>0</v>
      </c>
      <c r="F351" s="124" t="n">
        <v>0</v>
      </c>
      <c r="G351" s="124" t="n">
        <v>0</v>
      </c>
      <c r="I351" s="124" t="n">
        <f aca="false">IF(MONTH($A351)=MONTH($A350),IF(G351=0,I350,G351),G351)</f>
        <v>0</v>
      </c>
      <c r="J351" s="124" t="n">
        <f aca="false">IF(MONTH($A351)=MONTH($A350),SUM(I351-I350),I351)</f>
        <v>0</v>
      </c>
      <c r="K351" s="124" t="n">
        <f aca="false">IF(WEEKDAY(A351,3)&gt;4,0,(IF(A351&lt;K$2,0,IF(A351&lt;=K$3,1,0))))</f>
        <v>0</v>
      </c>
      <c r="L351" s="124" t="n">
        <f aca="false">J351*K351</f>
        <v>0</v>
      </c>
      <c r="M351" s="124" t="n">
        <f aca="false">SUM(J$280:J351)</f>
        <v>-52867.63</v>
      </c>
      <c r="N351" s="124" t="n">
        <f aca="false">SUM(J$6:J351)</f>
        <v>-90094.28</v>
      </c>
      <c r="P351" s="124" t="n">
        <f aca="false">D351/P$3</f>
        <v>0</v>
      </c>
      <c r="Q351" s="124" t="n">
        <f aca="false">E351/P$3</f>
        <v>0</v>
      </c>
      <c r="R351" s="124" t="n">
        <f aca="false">F351/R$3</f>
        <v>0</v>
      </c>
      <c r="S351" s="126" t="n">
        <f aca="false">J351/$R$3</f>
        <v>0</v>
      </c>
      <c r="T351" s="126" t="n">
        <f aca="false">L351/$R$3</f>
        <v>0</v>
      </c>
      <c r="U351" s="126" t="n">
        <f aca="false">I351/$R$3</f>
        <v>0</v>
      </c>
      <c r="V351" s="126" t="n">
        <f aca="false">M351/$R$3</f>
        <v>-52.86763</v>
      </c>
      <c r="W351" s="126" t="n">
        <f aca="false">N351/$R$3</f>
        <v>-90.09428</v>
      </c>
    </row>
    <row r="352" customFormat="false" ht="12.75" hidden="false" customHeight="false" outlineLevel="0" collapsed="false">
      <c r="A352" s="120" t="n">
        <f aca="false">A351+1</f>
        <v>37238</v>
      </c>
      <c r="B352" s="131" t="str">
        <f aca="false">INDEX('Master Data'!$A$2:$B$8,MATCH(WEEKDAY('Plant Manager'!A352,3),'Master Data'!$A$2:$A$8,0),2)</f>
        <v>Th</v>
      </c>
      <c r="D352" s="124" t="n">
        <v>0</v>
      </c>
      <c r="E352" s="124" t="n">
        <v>0</v>
      </c>
      <c r="F352" s="124" t="n">
        <v>0</v>
      </c>
      <c r="G352" s="124" t="n">
        <v>0</v>
      </c>
      <c r="I352" s="124" t="n">
        <f aca="false">IF(MONTH($A352)=MONTH($A351),IF(G352=0,I351,G352),G352)</f>
        <v>0</v>
      </c>
      <c r="J352" s="124" t="n">
        <f aca="false">IF(MONTH($A352)=MONTH($A351),SUM(I352-I351),I352)</f>
        <v>0</v>
      </c>
      <c r="K352" s="124" t="n">
        <f aca="false">IF(WEEKDAY(A352,3)&gt;4,0,(IF(A352&lt;K$2,0,IF(A352&lt;=K$3,1,0))))</f>
        <v>0</v>
      </c>
      <c r="L352" s="124" t="n">
        <f aca="false">J352*K352</f>
        <v>0</v>
      </c>
      <c r="M352" s="124" t="n">
        <f aca="false">SUM(J$280:J352)</f>
        <v>-52867.63</v>
      </c>
      <c r="N352" s="124" t="n">
        <f aca="false">SUM(J$6:J352)</f>
        <v>-90094.28</v>
      </c>
      <c r="P352" s="124" t="n">
        <f aca="false">D352/P$3</f>
        <v>0</v>
      </c>
      <c r="Q352" s="124" t="n">
        <f aca="false">E352/P$3</f>
        <v>0</v>
      </c>
      <c r="R352" s="124" t="n">
        <f aca="false">F352/R$3</f>
        <v>0</v>
      </c>
      <c r="S352" s="126" t="n">
        <f aca="false">J352/$R$3</f>
        <v>0</v>
      </c>
      <c r="T352" s="126" t="n">
        <f aca="false">L352/$R$3</f>
        <v>0</v>
      </c>
      <c r="U352" s="126" t="n">
        <f aca="false">I352/$R$3</f>
        <v>0</v>
      </c>
      <c r="V352" s="126" t="n">
        <f aca="false">M352/$R$3</f>
        <v>-52.86763</v>
      </c>
      <c r="W352" s="126" t="n">
        <f aca="false">N352/$R$3</f>
        <v>-90.09428</v>
      </c>
    </row>
    <row r="353" customFormat="false" ht="12.75" hidden="false" customHeight="false" outlineLevel="0" collapsed="false">
      <c r="A353" s="120" t="n">
        <f aca="false">A352+1</f>
        <v>37239</v>
      </c>
      <c r="B353" s="131" t="str">
        <f aca="false">INDEX('Master Data'!$A$2:$B$8,MATCH(WEEKDAY('Plant Manager'!A353,3),'Master Data'!$A$2:$A$8,0),2)</f>
        <v>F</v>
      </c>
      <c r="D353" s="124" t="n">
        <v>0</v>
      </c>
      <c r="E353" s="124" t="n">
        <v>0</v>
      </c>
      <c r="F353" s="124" t="n">
        <v>0</v>
      </c>
      <c r="G353" s="124" t="n">
        <v>0</v>
      </c>
      <c r="I353" s="124" t="n">
        <f aca="false">IF(MONTH($A353)=MONTH($A352),IF(G353=0,I352,G353),G353)</f>
        <v>0</v>
      </c>
      <c r="J353" s="124" t="n">
        <f aca="false">IF(MONTH($A353)=MONTH($A352),SUM(I353-I352),I353)</f>
        <v>0</v>
      </c>
      <c r="K353" s="124" t="n">
        <f aca="false">IF(WEEKDAY(A353,3)&gt;4,0,(IF(A353&lt;K$2,0,IF(A353&lt;=K$3,1,0))))</f>
        <v>0</v>
      </c>
      <c r="L353" s="124" t="n">
        <f aca="false">J353*K353</f>
        <v>0</v>
      </c>
      <c r="M353" s="124" t="n">
        <f aca="false">SUM(J$280:J353)</f>
        <v>-52867.63</v>
      </c>
      <c r="N353" s="124" t="n">
        <f aca="false">SUM(J$6:J353)</f>
        <v>-90094.28</v>
      </c>
      <c r="P353" s="124" t="n">
        <f aca="false">D353/P$3</f>
        <v>0</v>
      </c>
      <c r="Q353" s="124" t="n">
        <f aca="false">E353/P$3</f>
        <v>0</v>
      </c>
      <c r="R353" s="124" t="n">
        <f aca="false">F353/R$3</f>
        <v>0</v>
      </c>
      <c r="S353" s="126" t="n">
        <f aca="false">J353/$R$3</f>
        <v>0</v>
      </c>
      <c r="T353" s="126" t="n">
        <f aca="false">L353/$R$3</f>
        <v>0</v>
      </c>
      <c r="U353" s="126" t="n">
        <f aca="false">I353/$R$3</f>
        <v>0</v>
      </c>
      <c r="V353" s="126" t="n">
        <f aca="false">M353/$R$3</f>
        <v>-52.86763</v>
      </c>
      <c r="W353" s="126" t="n">
        <f aca="false">N353/$R$3</f>
        <v>-90.09428</v>
      </c>
    </row>
    <row r="354" customFormat="false" ht="12.75" hidden="false" customHeight="false" outlineLevel="0" collapsed="false">
      <c r="A354" s="120" t="n">
        <f aca="false">A353+1</f>
        <v>37240</v>
      </c>
      <c r="B354" s="131" t="str">
        <f aca="false">INDEX('Master Data'!$A$2:$B$8,MATCH(WEEKDAY('Plant Manager'!A354,3),'Master Data'!$A$2:$A$8,0),2)</f>
        <v>Sa</v>
      </c>
      <c r="D354" s="124" t="n">
        <v>0</v>
      </c>
      <c r="E354" s="124" t="n">
        <v>0</v>
      </c>
      <c r="F354" s="124" t="n">
        <v>0</v>
      </c>
      <c r="G354" s="124" t="n">
        <v>0</v>
      </c>
      <c r="I354" s="124" t="n">
        <f aca="false">IF(MONTH($A354)=MONTH($A353),IF(G354=0,I353,G354),G354)</f>
        <v>0</v>
      </c>
      <c r="J354" s="124" t="n">
        <f aca="false">IF(MONTH($A354)=MONTH($A353),SUM(I354-I353),I354)</f>
        <v>0</v>
      </c>
      <c r="K354" s="124" t="n">
        <f aca="false">IF(WEEKDAY(A354,3)&gt;4,0,(IF(A354&lt;K$2,0,IF(A354&lt;=K$3,1,0))))</f>
        <v>0</v>
      </c>
      <c r="L354" s="124" t="n">
        <f aca="false">J354*K354</f>
        <v>0</v>
      </c>
      <c r="M354" s="124" t="n">
        <f aca="false">SUM(J$280:J354)</f>
        <v>-52867.63</v>
      </c>
      <c r="N354" s="124" t="n">
        <f aca="false">SUM(J$6:J354)</f>
        <v>-90094.28</v>
      </c>
      <c r="P354" s="124" t="n">
        <f aca="false">D354/P$3</f>
        <v>0</v>
      </c>
      <c r="Q354" s="124" t="n">
        <f aca="false">E354/P$3</f>
        <v>0</v>
      </c>
      <c r="R354" s="124" t="n">
        <f aca="false">F354/R$3</f>
        <v>0</v>
      </c>
      <c r="S354" s="126" t="n">
        <f aca="false">J354/$R$3</f>
        <v>0</v>
      </c>
      <c r="T354" s="126" t="n">
        <f aca="false">L354/$R$3</f>
        <v>0</v>
      </c>
      <c r="U354" s="126" t="n">
        <f aca="false">I354/$R$3</f>
        <v>0</v>
      </c>
      <c r="V354" s="126" t="n">
        <f aca="false">M354/$R$3</f>
        <v>-52.86763</v>
      </c>
      <c r="W354" s="126" t="n">
        <f aca="false">N354/$R$3</f>
        <v>-90.09428</v>
      </c>
    </row>
    <row r="355" customFormat="false" ht="12.75" hidden="false" customHeight="false" outlineLevel="0" collapsed="false">
      <c r="A355" s="120" t="n">
        <f aca="false">A354+1</f>
        <v>37241</v>
      </c>
      <c r="B355" s="131" t="str">
        <f aca="false">INDEX('Master Data'!$A$2:$B$8,MATCH(WEEKDAY('Plant Manager'!A355,3),'Master Data'!$A$2:$A$8,0),2)</f>
        <v>Su</v>
      </c>
      <c r="D355" s="124" t="n">
        <v>0</v>
      </c>
      <c r="E355" s="124" t="n">
        <v>0</v>
      </c>
      <c r="F355" s="124" t="n">
        <v>0</v>
      </c>
      <c r="G355" s="124" t="n">
        <v>0</v>
      </c>
      <c r="I355" s="124" t="n">
        <f aca="false">IF(MONTH($A355)=MONTH($A354),IF(G355=0,I354,G355),G355)</f>
        <v>0</v>
      </c>
      <c r="J355" s="124" t="n">
        <f aca="false">IF(MONTH($A355)=MONTH($A354),SUM(I355-I354),I355)</f>
        <v>0</v>
      </c>
      <c r="K355" s="124" t="n">
        <f aca="false">IF(WEEKDAY(A355,3)&gt;4,0,(IF(A355&lt;K$2,0,IF(A355&lt;=K$3,1,0))))</f>
        <v>0</v>
      </c>
      <c r="L355" s="124" t="n">
        <f aca="false">J355*K355</f>
        <v>0</v>
      </c>
      <c r="M355" s="124" t="n">
        <f aca="false">SUM(J$280:J355)</f>
        <v>-52867.63</v>
      </c>
      <c r="N355" s="124" t="n">
        <f aca="false">SUM(J$6:J355)</f>
        <v>-90094.28</v>
      </c>
      <c r="P355" s="124" t="n">
        <f aca="false">D355/P$3</f>
        <v>0</v>
      </c>
      <c r="Q355" s="124" t="n">
        <f aca="false">E355/P$3</f>
        <v>0</v>
      </c>
      <c r="R355" s="124" t="n">
        <f aca="false">F355/R$3</f>
        <v>0</v>
      </c>
      <c r="S355" s="126" t="n">
        <f aca="false">J355/$R$3</f>
        <v>0</v>
      </c>
      <c r="T355" s="126" t="n">
        <f aca="false">L355/$R$3</f>
        <v>0</v>
      </c>
      <c r="U355" s="126" t="n">
        <f aca="false">I355/$R$3</f>
        <v>0</v>
      </c>
      <c r="V355" s="126" t="n">
        <f aca="false">M355/$R$3</f>
        <v>-52.86763</v>
      </c>
      <c r="W355" s="126" t="n">
        <f aca="false">N355/$R$3</f>
        <v>-90.09428</v>
      </c>
    </row>
    <row r="356" customFormat="false" ht="12.75" hidden="false" customHeight="false" outlineLevel="0" collapsed="false">
      <c r="A356" s="120" t="n">
        <f aca="false">A355+1</f>
        <v>37242</v>
      </c>
      <c r="B356" s="131" t="str">
        <f aca="false">INDEX('Master Data'!$A$2:$B$8,MATCH(WEEKDAY('Plant Manager'!A356,3),'Master Data'!$A$2:$A$8,0),2)</f>
        <v>M</v>
      </c>
      <c r="D356" s="124" t="n">
        <v>0</v>
      </c>
      <c r="E356" s="124" t="n">
        <v>0</v>
      </c>
      <c r="F356" s="124" t="n">
        <v>0</v>
      </c>
      <c r="G356" s="124" t="n">
        <v>0</v>
      </c>
      <c r="I356" s="124" t="n">
        <f aca="false">IF(MONTH($A356)=MONTH($A355),IF(G356=0,I355,G356),G356)</f>
        <v>0</v>
      </c>
      <c r="J356" s="124" t="n">
        <f aca="false">IF(MONTH($A356)=MONTH($A355),SUM(I356-I355),I356)</f>
        <v>0</v>
      </c>
      <c r="K356" s="124" t="n">
        <f aca="false">IF(WEEKDAY(A356,3)&gt;4,0,(IF(A356&lt;K$2,0,IF(A356&lt;=K$3,1,0))))</f>
        <v>0</v>
      </c>
      <c r="L356" s="124" t="n">
        <f aca="false">J356*K356</f>
        <v>0</v>
      </c>
      <c r="M356" s="124" t="n">
        <f aca="false">SUM(J$280:J356)</f>
        <v>-52867.63</v>
      </c>
      <c r="N356" s="124" t="n">
        <f aca="false">SUM(J$6:J356)</f>
        <v>-90094.28</v>
      </c>
      <c r="P356" s="124" t="n">
        <f aca="false">D356/P$3</f>
        <v>0</v>
      </c>
      <c r="Q356" s="124" t="n">
        <f aca="false">E356/P$3</f>
        <v>0</v>
      </c>
      <c r="R356" s="124" t="n">
        <f aca="false">F356/R$3</f>
        <v>0</v>
      </c>
      <c r="S356" s="126" t="n">
        <f aca="false">J356/$R$3</f>
        <v>0</v>
      </c>
      <c r="T356" s="126" t="n">
        <f aca="false">L356/$R$3</f>
        <v>0</v>
      </c>
      <c r="U356" s="126" t="n">
        <f aca="false">I356/$R$3</f>
        <v>0</v>
      </c>
      <c r="V356" s="126" t="n">
        <f aca="false">M356/$R$3</f>
        <v>-52.86763</v>
      </c>
      <c r="W356" s="126" t="n">
        <f aca="false">N356/$R$3</f>
        <v>-90.09428</v>
      </c>
    </row>
    <row r="357" customFormat="false" ht="12.75" hidden="false" customHeight="false" outlineLevel="0" collapsed="false">
      <c r="A357" s="120" t="n">
        <f aca="false">A356+1</f>
        <v>37243</v>
      </c>
      <c r="B357" s="131" t="str">
        <f aca="false">INDEX('Master Data'!$A$2:$B$8,MATCH(WEEKDAY('Plant Manager'!A357,3),'Master Data'!$A$2:$A$8,0),2)</f>
        <v>T</v>
      </c>
      <c r="D357" s="124" t="n">
        <v>0</v>
      </c>
      <c r="E357" s="124" t="n">
        <v>0</v>
      </c>
      <c r="F357" s="124" t="n">
        <v>0</v>
      </c>
      <c r="G357" s="124" t="n">
        <v>0</v>
      </c>
      <c r="I357" s="124" t="n">
        <f aca="false">IF(MONTH($A357)=MONTH($A356),IF(G357=0,I356,G357),G357)</f>
        <v>0</v>
      </c>
      <c r="J357" s="124" t="n">
        <f aca="false">IF(MONTH($A357)=MONTH($A356),SUM(I357-I356),I357)</f>
        <v>0</v>
      </c>
      <c r="K357" s="124" t="n">
        <f aca="false">IF(WEEKDAY(A357,3)&gt;4,0,(IF(A357&lt;K$2,0,IF(A357&lt;=K$3,1,0))))</f>
        <v>0</v>
      </c>
      <c r="L357" s="124" t="n">
        <f aca="false">J357*K357</f>
        <v>0</v>
      </c>
      <c r="M357" s="124" t="n">
        <f aca="false">SUM(J$280:J357)</f>
        <v>-52867.63</v>
      </c>
      <c r="N357" s="124" t="n">
        <f aca="false">SUM(J$6:J357)</f>
        <v>-90094.28</v>
      </c>
      <c r="P357" s="124" t="n">
        <f aca="false">D357/P$3</f>
        <v>0</v>
      </c>
      <c r="Q357" s="124" t="n">
        <f aca="false">E357/P$3</f>
        <v>0</v>
      </c>
      <c r="R357" s="124" t="n">
        <f aca="false">F357/R$3</f>
        <v>0</v>
      </c>
      <c r="S357" s="126" t="n">
        <f aca="false">J357/$R$3</f>
        <v>0</v>
      </c>
      <c r="T357" s="126" t="n">
        <f aca="false">L357/$R$3</f>
        <v>0</v>
      </c>
      <c r="U357" s="126" t="n">
        <f aca="false">I357/$R$3</f>
        <v>0</v>
      </c>
      <c r="V357" s="126" t="n">
        <f aca="false">M357/$R$3</f>
        <v>-52.86763</v>
      </c>
      <c r="W357" s="126" t="n">
        <f aca="false">N357/$R$3</f>
        <v>-90.09428</v>
      </c>
    </row>
    <row r="358" customFormat="false" ht="12.75" hidden="false" customHeight="false" outlineLevel="0" collapsed="false">
      <c r="A358" s="120" t="n">
        <f aca="false">A357+1</f>
        <v>37244</v>
      </c>
      <c r="B358" s="131" t="str">
        <f aca="false">INDEX('Master Data'!$A$2:$B$8,MATCH(WEEKDAY('Plant Manager'!A358,3),'Master Data'!$A$2:$A$8,0),2)</f>
        <v>W</v>
      </c>
      <c r="D358" s="124" t="n">
        <v>0</v>
      </c>
      <c r="E358" s="124" t="n">
        <v>0</v>
      </c>
      <c r="F358" s="124" t="n">
        <v>0</v>
      </c>
      <c r="G358" s="124" t="n">
        <v>0</v>
      </c>
      <c r="I358" s="124" t="n">
        <f aca="false">IF(MONTH($A358)=MONTH($A357),IF(G358=0,I357,G358),G358)</f>
        <v>0</v>
      </c>
      <c r="J358" s="124" t="n">
        <f aca="false">IF(MONTH($A358)=MONTH($A357),SUM(I358-I357),I358)</f>
        <v>0</v>
      </c>
      <c r="K358" s="124" t="n">
        <f aca="false">IF(WEEKDAY(A358,3)&gt;4,0,(IF(A358&lt;K$2,0,IF(A358&lt;=K$3,1,0))))</f>
        <v>0</v>
      </c>
      <c r="L358" s="124" t="n">
        <f aca="false">J358*K358</f>
        <v>0</v>
      </c>
      <c r="M358" s="124" t="n">
        <f aca="false">SUM(J$280:J358)</f>
        <v>-52867.63</v>
      </c>
      <c r="N358" s="124" t="n">
        <f aca="false">SUM(J$6:J358)</f>
        <v>-90094.28</v>
      </c>
      <c r="P358" s="124" t="n">
        <f aca="false">D358/P$3</f>
        <v>0</v>
      </c>
      <c r="Q358" s="124" t="n">
        <f aca="false">E358/P$3</f>
        <v>0</v>
      </c>
      <c r="R358" s="124" t="n">
        <f aca="false">F358/R$3</f>
        <v>0</v>
      </c>
      <c r="S358" s="126" t="n">
        <f aca="false">J358/$R$3</f>
        <v>0</v>
      </c>
      <c r="T358" s="126" t="n">
        <f aca="false">L358/$R$3</f>
        <v>0</v>
      </c>
      <c r="U358" s="126" t="n">
        <f aca="false">I358/$R$3</f>
        <v>0</v>
      </c>
      <c r="V358" s="126" t="n">
        <f aca="false">M358/$R$3</f>
        <v>-52.86763</v>
      </c>
      <c r="W358" s="126" t="n">
        <f aca="false">N358/$R$3</f>
        <v>-90.09428</v>
      </c>
    </row>
    <row r="359" customFormat="false" ht="12.75" hidden="false" customHeight="false" outlineLevel="0" collapsed="false">
      <c r="A359" s="120" t="n">
        <f aca="false">A358+1</f>
        <v>37245</v>
      </c>
      <c r="B359" s="131" t="str">
        <f aca="false">INDEX('Master Data'!$A$2:$B$8,MATCH(WEEKDAY('Plant Manager'!A359,3),'Master Data'!$A$2:$A$8,0),2)</f>
        <v>Th</v>
      </c>
      <c r="D359" s="124" t="n">
        <v>0</v>
      </c>
      <c r="E359" s="124" t="n">
        <v>0</v>
      </c>
      <c r="F359" s="124" t="n">
        <v>0</v>
      </c>
      <c r="G359" s="124" t="n">
        <v>0</v>
      </c>
      <c r="I359" s="124" t="n">
        <f aca="false">IF(MONTH($A359)=MONTH($A358),IF(G359=0,I358,G359),G359)</f>
        <v>0</v>
      </c>
      <c r="J359" s="124" t="n">
        <f aca="false">IF(MONTH($A359)=MONTH($A358),SUM(I359-I358),I359)</f>
        <v>0</v>
      </c>
      <c r="K359" s="124" t="n">
        <f aca="false">IF(WEEKDAY(A359,3)&gt;4,0,(IF(A359&lt;K$2,0,IF(A359&lt;=K$3,1,0))))</f>
        <v>0</v>
      </c>
      <c r="L359" s="124" t="n">
        <f aca="false">J359*K359</f>
        <v>0</v>
      </c>
      <c r="M359" s="124" t="n">
        <f aca="false">SUM(J$280:J359)</f>
        <v>-52867.63</v>
      </c>
      <c r="N359" s="124" t="n">
        <f aca="false">SUM(J$6:J359)</f>
        <v>-90094.28</v>
      </c>
      <c r="P359" s="124" t="n">
        <f aca="false">D359/P$3</f>
        <v>0</v>
      </c>
      <c r="Q359" s="124" t="n">
        <f aca="false">E359/P$3</f>
        <v>0</v>
      </c>
      <c r="R359" s="124" t="n">
        <f aca="false">F359/R$3</f>
        <v>0</v>
      </c>
      <c r="S359" s="126" t="n">
        <f aca="false">J359/$R$3</f>
        <v>0</v>
      </c>
      <c r="T359" s="126" t="n">
        <f aca="false">L359/$R$3</f>
        <v>0</v>
      </c>
      <c r="U359" s="126" t="n">
        <f aca="false">I359/$R$3</f>
        <v>0</v>
      </c>
      <c r="V359" s="126" t="n">
        <f aca="false">M359/$R$3</f>
        <v>-52.86763</v>
      </c>
      <c r="W359" s="126" t="n">
        <f aca="false">N359/$R$3</f>
        <v>-90.09428</v>
      </c>
    </row>
    <row r="360" customFormat="false" ht="12.75" hidden="false" customHeight="false" outlineLevel="0" collapsed="false">
      <c r="A360" s="120" t="n">
        <f aca="false">A359+1</f>
        <v>37246</v>
      </c>
      <c r="B360" s="131" t="str">
        <f aca="false">INDEX('Master Data'!$A$2:$B$8,MATCH(WEEKDAY('Plant Manager'!A360,3),'Master Data'!$A$2:$A$8,0),2)</f>
        <v>F</v>
      </c>
      <c r="D360" s="124" t="n">
        <v>0</v>
      </c>
      <c r="E360" s="124" t="n">
        <v>0</v>
      </c>
      <c r="F360" s="124" t="n">
        <v>0</v>
      </c>
      <c r="G360" s="124" t="n">
        <v>0</v>
      </c>
      <c r="I360" s="124" t="n">
        <f aca="false">IF(MONTH($A360)=MONTH($A359),IF(G360=0,I359,G360),G360)</f>
        <v>0</v>
      </c>
      <c r="J360" s="124" t="n">
        <f aca="false">IF(MONTH($A360)=MONTH($A359),SUM(I360-I359),I360)</f>
        <v>0</v>
      </c>
      <c r="K360" s="124" t="n">
        <f aca="false">IF(WEEKDAY(A360,3)&gt;4,0,(IF(A360&lt;K$2,0,IF(A360&lt;=K$3,1,0))))</f>
        <v>0</v>
      </c>
      <c r="L360" s="124" t="n">
        <f aca="false">J360*K360</f>
        <v>0</v>
      </c>
      <c r="M360" s="124" t="n">
        <f aca="false">SUM(J$280:J360)</f>
        <v>-52867.63</v>
      </c>
      <c r="N360" s="124" t="n">
        <f aca="false">SUM(J$6:J360)</f>
        <v>-90094.28</v>
      </c>
      <c r="P360" s="124" t="n">
        <f aca="false">D360/P$3</f>
        <v>0</v>
      </c>
      <c r="Q360" s="124" t="n">
        <f aca="false">E360/P$3</f>
        <v>0</v>
      </c>
      <c r="R360" s="124" t="n">
        <f aca="false">F360/R$3</f>
        <v>0</v>
      </c>
      <c r="S360" s="126" t="n">
        <f aca="false">J360/$R$3</f>
        <v>0</v>
      </c>
      <c r="T360" s="126" t="n">
        <f aca="false">L360/$R$3</f>
        <v>0</v>
      </c>
      <c r="U360" s="126" t="n">
        <f aca="false">I360/$R$3</f>
        <v>0</v>
      </c>
      <c r="V360" s="126" t="n">
        <f aca="false">M360/$R$3</f>
        <v>-52.86763</v>
      </c>
      <c r="W360" s="126" t="n">
        <f aca="false">N360/$R$3</f>
        <v>-90.09428</v>
      </c>
    </row>
    <row r="361" customFormat="false" ht="12.75" hidden="false" customHeight="false" outlineLevel="0" collapsed="false">
      <c r="A361" s="120" t="n">
        <f aca="false">A360+1</f>
        <v>37247</v>
      </c>
      <c r="B361" s="131" t="str">
        <f aca="false">INDEX('Master Data'!$A$2:$B$8,MATCH(WEEKDAY('Plant Manager'!A361,3),'Master Data'!$A$2:$A$8,0),2)</f>
        <v>Sa</v>
      </c>
      <c r="D361" s="124" t="n">
        <v>0</v>
      </c>
      <c r="E361" s="124" t="n">
        <v>0</v>
      </c>
      <c r="F361" s="124" t="n">
        <v>0</v>
      </c>
      <c r="G361" s="124" t="n">
        <v>0</v>
      </c>
      <c r="I361" s="124" t="n">
        <f aca="false">IF(MONTH($A361)=MONTH($A360),IF(G361=0,I360,G361),G361)</f>
        <v>0</v>
      </c>
      <c r="J361" s="124" t="n">
        <f aca="false">IF(MONTH($A361)=MONTH($A360),SUM(I361-I360),I361)</f>
        <v>0</v>
      </c>
      <c r="K361" s="124" t="n">
        <f aca="false">IF(WEEKDAY(A361,3)&gt;4,0,(IF(A361&lt;K$2,0,IF(A361&lt;=K$3,1,0))))</f>
        <v>0</v>
      </c>
      <c r="L361" s="124" t="n">
        <f aca="false">J361*K361</f>
        <v>0</v>
      </c>
      <c r="M361" s="124" t="n">
        <f aca="false">SUM(J$280:J361)</f>
        <v>-52867.63</v>
      </c>
      <c r="N361" s="124" t="n">
        <f aca="false">SUM(J$6:J361)</f>
        <v>-90094.28</v>
      </c>
      <c r="P361" s="124" t="n">
        <f aca="false">D361/P$3</f>
        <v>0</v>
      </c>
      <c r="Q361" s="124" t="n">
        <f aca="false">E361/P$3</f>
        <v>0</v>
      </c>
      <c r="R361" s="124" t="n">
        <f aca="false">F361/R$3</f>
        <v>0</v>
      </c>
      <c r="S361" s="126" t="n">
        <f aca="false">J361/$R$3</f>
        <v>0</v>
      </c>
      <c r="T361" s="126" t="n">
        <f aca="false">L361/$R$3</f>
        <v>0</v>
      </c>
      <c r="U361" s="126" t="n">
        <f aca="false">I361/$R$3</f>
        <v>0</v>
      </c>
      <c r="V361" s="126" t="n">
        <f aca="false">M361/$R$3</f>
        <v>-52.86763</v>
      </c>
      <c r="W361" s="126" t="n">
        <f aca="false">N361/$R$3</f>
        <v>-90.09428</v>
      </c>
    </row>
    <row r="362" customFormat="false" ht="12.75" hidden="false" customHeight="false" outlineLevel="0" collapsed="false">
      <c r="A362" s="120" t="n">
        <f aca="false">A361+1</f>
        <v>37248</v>
      </c>
      <c r="B362" s="131" t="str">
        <f aca="false">INDEX('Master Data'!$A$2:$B$8,MATCH(WEEKDAY('Plant Manager'!A362,3),'Master Data'!$A$2:$A$8,0),2)</f>
        <v>Su</v>
      </c>
      <c r="D362" s="124" t="n">
        <v>0</v>
      </c>
      <c r="E362" s="124" t="n">
        <v>0</v>
      </c>
      <c r="F362" s="124" t="n">
        <v>0</v>
      </c>
      <c r="G362" s="124" t="n">
        <v>0</v>
      </c>
      <c r="I362" s="124" t="n">
        <f aca="false">IF(MONTH($A362)=MONTH($A361),IF(G362=0,I361,G362),G362)</f>
        <v>0</v>
      </c>
      <c r="J362" s="124" t="n">
        <f aca="false">IF(MONTH($A362)=MONTH($A361),SUM(I362-I361),I362)</f>
        <v>0</v>
      </c>
      <c r="K362" s="124" t="n">
        <f aca="false">IF(WEEKDAY(A362,3)&gt;4,0,(IF(A362&lt;K$2,0,IF(A362&lt;=K$3,1,0))))</f>
        <v>0</v>
      </c>
      <c r="L362" s="124" t="n">
        <f aca="false">J362*K362</f>
        <v>0</v>
      </c>
      <c r="M362" s="124" t="n">
        <f aca="false">SUM(J$280:J362)</f>
        <v>-52867.63</v>
      </c>
      <c r="N362" s="124" t="n">
        <f aca="false">SUM(J$6:J362)</f>
        <v>-90094.28</v>
      </c>
      <c r="P362" s="124" t="n">
        <f aca="false">D362/P$3</f>
        <v>0</v>
      </c>
      <c r="Q362" s="124" t="n">
        <f aca="false">E362/P$3</f>
        <v>0</v>
      </c>
      <c r="R362" s="124" t="n">
        <f aca="false">F362/R$3</f>
        <v>0</v>
      </c>
      <c r="S362" s="126" t="n">
        <f aca="false">J362/$R$3</f>
        <v>0</v>
      </c>
      <c r="T362" s="126" t="n">
        <f aca="false">L362/$R$3</f>
        <v>0</v>
      </c>
      <c r="U362" s="126" t="n">
        <f aca="false">I362/$R$3</f>
        <v>0</v>
      </c>
      <c r="V362" s="126" t="n">
        <f aca="false">M362/$R$3</f>
        <v>-52.86763</v>
      </c>
      <c r="W362" s="126" t="n">
        <f aca="false">N362/$R$3</f>
        <v>-90.09428</v>
      </c>
    </row>
    <row r="363" customFormat="false" ht="12.75" hidden="false" customHeight="false" outlineLevel="0" collapsed="false">
      <c r="A363" s="120" t="n">
        <f aca="false">A362+1</f>
        <v>37249</v>
      </c>
      <c r="B363" s="131" t="str">
        <f aca="false">INDEX('Master Data'!$A$2:$B$8,MATCH(WEEKDAY('Plant Manager'!A363,3),'Master Data'!$A$2:$A$8,0),2)</f>
        <v>M</v>
      </c>
      <c r="D363" s="124" t="n">
        <v>0</v>
      </c>
      <c r="E363" s="124" t="n">
        <v>0</v>
      </c>
      <c r="F363" s="124" t="n">
        <v>0</v>
      </c>
      <c r="G363" s="124" t="n">
        <v>0</v>
      </c>
      <c r="I363" s="124" t="n">
        <f aca="false">IF(MONTH($A363)=MONTH($A362),IF(G363=0,I362,G363),G363)</f>
        <v>0</v>
      </c>
      <c r="J363" s="124" t="n">
        <f aca="false">IF(MONTH($A363)=MONTH($A362),SUM(I363-I362),I363)</f>
        <v>0</v>
      </c>
      <c r="K363" s="124" t="n">
        <f aca="false">IF(WEEKDAY(A363,3)&gt;4,0,(IF(A363&lt;K$2,0,IF(A363&lt;=K$3,1,0))))</f>
        <v>0</v>
      </c>
      <c r="L363" s="124" t="n">
        <f aca="false">J363*K363</f>
        <v>0</v>
      </c>
      <c r="M363" s="124" t="n">
        <f aca="false">SUM(J$280:J363)</f>
        <v>-52867.63</v>
      </c>
      <c r="N363" s="124" t="n">
        <f aca="false">SUM(J$6:J363)</f>
        <v>-90094.28</v>
      </c>
      <c r="P363" s="124" t="n">
        <f aca="false">D363/P$3</f>
        <v>0</v>
      </c>
      <c r="Q363" s="124" t="n">
        <f aca="false">E363/P$3</f>
        <v>0</v>
      </c>
      <c r="R363" s="124" t="n">
        <f aca="false">F363/R$3</f>
        <v>0</v>
      </c>
      <c r="S363" s="126" t="n">
        <f aca="false">J363/$R$3</f>
        <v>0</v>
      </c>
      <c r="T363" s="126" t="n">
        <f aca="false">L363/$R$3</f>
        <v>0</v>
      </c>
      <c r="U363" s="126" t="n">
        <f aca="false">I363/$R$3</f>
        <v>0</v>
      </c>
      <c r="V363" s="126" t="n">
        <f aca="false">M363/$R$3</f>
        <v>-52.86763</v>
      </c>
      <c r="W363" s="126" t="n">
        <f aca="false">N363/$R$3</f>
        <v>-90.09428</v>
      </c>
    </row>
    <row r="364" customFormat="false" ht="12.75" hidden="false" customHeight="false" outlineLevel="0" collapsed="false">
      <c r="A364" s="120" t="n">
        <f aca="false">A363+1</f>
        <v>37250</v>
      </c>
      <c r="B364" s="131" t="str">
        <f aca="false">INDEX('Master Data'!$A$2:$B$8,MATCH(WEEKDAY('Plant Manager'!A364,3),'Master Data'!$A$2:$A$8,0),2)</f>
        <v>T</v>
      </c>
      <c r="D364" s="124" t="n">
        <v>0</v>
      </c>
      <c r="E364" s="124" t="n">
        <v>0</v>
      </c>
      <c r="F364" s="124" t="n">
        <v>0</v>
      </c>
      <c r="G364" s="124" t="n">
        <v>0</v>
      </c>
      <c r="I364" s="124" t="n">
        <f aca="false">IF(MONTH($A364)=MONTH($A363),IF(G364=0,I363,G364),G364)</f>
        <v>0</v>
      </c>
      <c r="J364" s="124" t="n">
        <f aca="false">IF(MONTH($A364)=MONTH($A363),SUM(I364-I363),I364)</f>
        <v>0</v>
      </c>
      <c r="K364" s="124" t="n">
        <f aca="false">IF(WEEKDAY(A364,3)&gt;4,0,(IF(A364&lt;K$2,0,IF(A364&lt;=K$3,1,0))))</f>
        <v>0</v>
      </c>
      <c r="L364" s="124" t="n">
        <f aca="false">J364*K364</f>
        <v>0</v>
      </c>
      <c r="M364" s="124" t="n">
        <f aca="false">SUM(J$280:J364)</f>
        <v>-52867.63</v>
      </c>
      <c r="N364" s="124" t="n">
        <f aca="false">SUM(J$6:J364)</f>
        <v>-90094.28</v>
      </c>
      <c r="P364" s="124" t="n">
        <f aca="false">D364/P$3</f>
        <v>0</v>
      </c>
      <c r="Q364" s="124" t="n">
        <f aca="false">E364/P$3</f>
        <v>0</v>
      </c>
      <c r="R364" s="124" t="n">
        <f aca="false">F364/R$3</f>
        <v>0</v>
      </c>
      <c r="S364" s="126" t="n">
        <f aca="false">J364/$R$3</f>
        <v>0</v>
      </c>
      <c r="T364" s="126" t="n">
        <f aca="false">L364/$R$3</f>
        <v>0</v>
      </c>
      <c r="U364" s="126" t="n">
        <f aca="false">I364/$R$3</f>
        <v>0</v>
      </c>
      <c r="V364" s="126" t="n">
        <f aca="false">M364/$R$3</f>
        <v>-52.86763</v>
      </c>
      <c r="W364" s="126" t="n">
        <f aca="false">N364/$R$3</f>
        <v>-90.09428</v>
      </c>
    </row>
    <row r="365" customFormat="false" ht="12.75" hidden="false" customHeight="false" outlineLevel="0" collapsed="false">
      <c r="A365" s="120" t="n">
        <f aca="false">A364+1</f>
        <v>37251</v>
      </c>
      <c r="B365" s="131" t="str">
        <f aca="false">INDEX('Master Data'!$A$2:$B$8,MATCH(WEEKDAY('Plant Manager'!A365,3),'Master Data'!$A$2:$A$8,0),2)</f>
        <v>W</v>
      </c>
      <c r="D365" s="124" t="n">
        <v>0</v>
      </c>
      <c r="E365" s="124" t="n">
        <v>0</v>
      </c>
      <c r="F365" s="124" t="n">
        <v>0</v>
      </c>
      <c r="G365" s="124" t="n">
        <v>0</v>
      </c>
      <c r="I365" s="124" t="n">
        <f aca="false">IF(MONTH($A365)=MONTH($A364),IF(G365=0,I364,G365),G365)</f>
        <v>0</v>
      </c>
      <c r="J365" s="124" t="n">
        <f aca="false">IF(MONTH($A365)=MONTH($A364),SUM(I365-I364),I365)</f>
        <v>0</v>
      </c>
      <c r="K365" s="124" t="n">
        <f aca="false">IF(WEEKDAY(A365,3)&gt;4,0,(IF(A365&lt;K$2,0,IF(A365&lt;=K$3,1,0))))</f>
        <v>0</v>
      </c>
      <c r="L365" s="124" t="n">
        <f aca="false">J365*K365</f>
        <v>0</v>
      </c>
      <c r="M365" s="124" t="n">
        <f aca="false">SUM(J$280:J365)</f>
        <v>-52867.63</v>
      </c>
      <c r="N365" s="124" t="n">
        <f aca="false">SUM(J$6:J365)</f>
        <v>-90094.28</v>
      </c>
      <c r="P365" s="124" t="n">
        <f aca="false">D365/P$3</f>
        <v>0</v>
      </c>
      <c r="Q365" s="124" t="n">
        <f aca="false">E365/P$3</f>
        <v>0</v>
      </c>
      <c r="R365" s="124" t="n">
        <f aca="false">F365/R$3</f>
        <v>0</v>
      </c>
      <c r="S365" s="126" t="n">
        <f aca="false">J365/$R$3</f>
        <v>0</v>
      </c>
      <c r="T365" s="126" t="n">
        <f aca="false">L365/$R$3</f>
        <v>0</v>
      </c>
      <c r="U365" s="126" t="n">
        <f aca="false">I365/$R$3</f>
        <v>0</v>
      </c>
      <c r="V365" s="126" t="n">
        <f aca="false">M365/$R$3</f>
        <v>-52.86763</v>
      </c>
      <c r="W365" s="126" t="n">
        <f aca="false">N365/$R$3</f>
        <v>-90.09428</v>
      </c>
    </row>
    <row r="366" customFormat="false" ht="12.75" hidden="false" customHeight="false" outlineLevel="0" collapsed="false">
      <c r="A366" s="120" t="n">
        <f aca="false">A365+1</f>
        <v>37252</v>
      </c>
      <c r="B366" s="131" t="str">
        <f aca="false">INDEX('Master Data'!$A$2:$B$8,MATCH(WEEKDAY('Plant Manager'!A366,3),'Master Data'!$A$2:$A$8,0),2)</f>
        <v>Th</v>
      </c>
      <c r="D366" s="124" t="n">
        <v>0</v>
      </c>
      <c r="E366" s="124" t="n">
        <v>0</v>
      </c>
      <c r="F366" s="124" t="n">
        <v>0</v>
      </c>
      <c r="G366" s="124" t="n">
        <v>0</v>
      </c>
      <c r="I366" s="124" t="n">
        <f aca="false">IF(MONTH($A366)=MONTH($A365),IF(G366=0,I365,G366),G366)</f>
        <v>0</v>
      </c>
      <c r="J366" s="124" t="n">
        <f aca="false">IF(MONTH($A366)=MONTH($A365),SUM(I366-I365),I366)</f>
        <v>0</v>
      </c>
      <c r="K366" s="124" t="n">
        <f aca="false">IF(WEEKDAY(A366,3)&gt;4,0,(IF(A366&lt;K$2,0,IF(A366&lt;=K$3,1,0))))</f>
        <v>0</v>
      </c>
      <c r="L366" s="124" t="n">
        <f aca="false">J366*K366</f>
        <v>0</v>
      </c>
      <c r="M366" s="124" t="n">
        <f aca="false">SUM(J$280:J366)</f>
        <v>-52867.63</v>
      </c>
      <c r="N366" s="124" t="n">
        <f aca="false">SUM(J$6:J366)</f>
        <v>-90094.28</v>
      </c>
      <c r="P366" s="124" t="n">
        <f aca="false">D366/P$3</f>
        <v>0</v>
      </c>
      <c r="Q366" s="124" t="n">
        <f aca="false">E366/P$3</f>
        <v>0</v>
      </c>
      <c r="R366" s="124" t="n">
        <f aca="false">F366/R$3</f>
        <v>0</v>
      </c>
      <c r="S366" s="126" t="n">
        <f aca="false">J366/$R$3</f>
        <v>0</v>
      </c>
      <c r="T366" s="126" t="n">
        <f aca="false">L366/$R$3</f>
        <v>0</v>
      </c>
      <c r="U366" s="126" t="n">
        <f aca="false">I366/$R$3</f>
        <v>0</v>
      </c>
      <c r="V366" s="126" t="n">
        <f aca="false">M366/$R$3</f>
        <v>-52.86763</v>
      </c>
      <c r="W366" s="126" t="n">
        <f aca="false">N366/$R$3</f>
        <v>-90.09428</v>
      </c>
    </row>
    <row r="367" customFormat="false" ht="12.75" hidden="false" customHeight="false" outlineLevel="0" collapsed="false">
      <c r="A367" s="120" t="n">
        <f aca="false">A366+1</f>
        <v>37253</v>
      </c>
      <c r="B367" s="131" t="str">
        <f aca="false">INDEX('Master Data'!$A$2:$B$8,MATCH(WEEKDAY('Plant Manager'!A367,3),'Master Data'!$A$2:$A$8,0),2)</f>
        <v>F</v>
      </c>
      <c r="D367" s="124" t="n">
        <v>0</v>
      </c>
      <c r="E367" s="124" t="n">
        <v>0</v>
      </c>
      <c r="F367" s="124" t="n">
        <v>0</v>
      </c>
      <c r="G367" s="124" t="n">
        <v>0</v>
      </c>
      <c r="I367" s="124" t="n">
        <f aca="false">IF(MONTH($A367)=MONTH($A366),IF(G367=0,I366,G367),G367)</f>
        <v>0</v>
      </c>
      <c r="J367" s="124" t="n">
        <f aca="false">IF(MONTH($A367)=MONTH($A366),SUM(I367-I366),I367)</f>
        <v>0</v>
      </c>
      <c r="K367" s="124" t="n">
        <f aca="false">IF(WEEKDAY(A367,3)&gt;4,0,(IF(A367&lt;K$2,0,IF(A367&lt;=K$3,1,0))))</f>
        <v>0</v>
      </c>
      <c r="L367" s="124" t="n">
        <f aca="false">J367*K367</f>
        <v>0</v>
      </c>
      <c r="M367" s="124" t="n">
        <f aca="false">SUM(J$280:J367)</f>
        <v>-52867.63</v>
      </c>
      <c r="N367" s="124" t="n">
        <f aca="false">SUM(J$6:J367)</f>
        <v>-90094.28</v>
      </c>
      <c r="P367" s="124" t="n">
        <f aca="false">D367/P$3</f>
        <v>0</v>
      </c>
      <c r="Q367" s="124" t="n">
        <f aca="false">E367/P$3</f>
        <v>0</v>
      </c>
      <c r="R367" s="124" t="n">
        <f aca="false">F367/R$3</f>
        <v>0</v>
      </c>
      <c r="S367" s="126" t="n">
        <f aca="false">J367/$R$3</f>
        <v>0</v>
      </c>
      <c r="T367" s="126" t="n">
        <f aca="false">L367/$R$3</f>
        <v>0</v>
      </c>
      <c r="U367" s="126" t="n">
        <f aca="false">I367/$R$3</f>
        <v>0</v>
      </c>
      <c r="V367" s="126" t="n">
        <f aca="false">M367/$R$3</f>
        <v>-52.86763</v>
      </c>
      <c r="W367" s="126" t="n">
        <f aca="false">N367/$R$3</f>
        <v>-90.09428</v>
      </c>
    </row>
    <row r="368" customFormat="false" ht="12.75" hidden="false" customHeight="false" outlineLevel="0" collapsed="false">
      <c r="A368" s="120" t="n">
        <f aca="false">A367+1</f>
        <v>37254</v>
      </c>
      <c r="B368" s="131" t="str">
        <f aca="false">INDEX('Master Data'!$A$2:$B$8,MATCH(WEEKDAY('Plant Manager'!A368,3),'Master Data'!$A$2:$A$8,0),2)</f>
        <v>Sa</v>
      </c>
      <c r="D368" s="124" t="n">
        <v>0</v>
      </c>
      <c r="E368" s="124" t="n">
        <v>0</v>
      </c>
      <c r="F368" s="124" t="n">
        <v>0</v>
      </c>
      <c r="G368" s="124" t="n">
        <v>0</v>
      </c>
      <c r="I368" s="124" t="n">
        <f aca="false">IF(MONTH($A368)=MONTH($A367),IF(G368=0,I367,G368),G368)</f>
        <v>0</v>
      </c>
      <c r="J368" s="124" t="n">
        <f aca="false">IF(MONTH($A368)=MONTH($A367),SUM(I368-I367),I368)</f>
        <v>0</v>
      </c>
      <c r="K368" s="124" t="n">
        <f aca="false">IF(WEEKDAY(A368,3)&gt;4,0,(IF(A368&lt;K$2,0,IF(A368&lt;=K$3,1,0))))</f>
        <v>0</v>
      </c>
      <c r="L368" s="124" t="n">
        <f aca="false">J368*K368</f>
        <v>0</v>
      </c>
      <c r="M368" s="124" t="n">
        <f aca="false">SUM(J$280:J368)</f>
        <v>-52867.63</v>
      </c>
      <c r="N368" s="124" t="n">
        <f aca="false">SUM(J$6:J368)</f>
        <v>-90094.28</v>
      </c>
      <c r="P368" s="124" t="n">
        <f aca="false">D368/P$3</f>
        <v>0</v>
      </c>
      <c r="Q368" s="124" t="n">
        <f aca="false">E368/P$3</f>
        <v>0</v>
      </c>
      <c r="R368" s="124" t="n">
        <f aca="false">F368/R$3</f>
        <v>0</v>
      </c>
      <c r="S368" s="126" t="n">
        <f aca="false">J368/$R$3</f>
        <v>0</v>
      </c>
      <c r="T368" s="126" t="n">
        <f aca="false">L368/$R$3</f>
        <v>0</v>
      </c>
      <c r="U368" s="126" t="n">
        <f aca="false">I368/$R$3</f>
        <v>0</v>
      </c>
      <c r="V368" s="126" t="n">
        <f aca="false">M368/$R$3</f>
        <v>-52.86763</v>
      </c>
      <c r="W368" s="126" t="n">
        <f aca="false">N368/$R$3</f>
        <v>-90.09428</v>
      </c>
    </row>
    <row r="369" customFormat="false" ht="12.75" hidden="false" customHeight="false" outlineLevel="0" collapsed="false">
      <c r="A369" s="120" t="n">
        <f aca="false">A368+1</f>
        <v>37255</v>
      </c>
      <c r="B369" s="131" t="str">
        <f aca="false">INDEX('Master Data'!$A$2:$B$8,MATCH(WEEKDAY('Plant Manager'!A369,3),'Master Data'!$A$2:$A$8,0),2)</f>
        <v>Su</v>
      </c>
      <c r="D369" s="124" t="n">
        <v>0</v>
      </c>
      <c r="E369" s="124" t="n">
        <v>0</v>
      </c>
      <c r="F369" s="124" t="n">
        <v>0</v>
      </c>
      <c r="G369" s="124" t="n">
        <v>0</v>
      </c>
      <c r="I369" s="124" t="n">
        <f aca="false">IF(MONTH($A369)=MONTH($A368),IF(G369=0,I368,G369),G369)</f>
        <v>0</v>
      </c>
      <c r="J369" s="124" t="n">
        <f aca="false">IF(MONTH($A369)=MONTH($A368),SUM(I369-I368),I369)</f>
        <v>0</v>
      </c>
      <c r="K369" s="124" t="n">
        <f aca="false">IF(WEEKDAY(A369,3)&gt;4,0,(IF(A369&lt;K$2,0,IF(A369&lt;=K$3,1,0))))</f>
        <v>0</v>
      </c>
      <c r="L369" s="124" t="n">
        <f aca="false">J369*K369</f>
        <v>0</v>
      </c>
      <c r="M369" s="124" t="n">
        <f aca="false">SUM(J$280:J369)</f>
        <v>-52867.63</v>
      </c>
      <c r="N369" s="124" t="n">
        <f aca="false">SUM(J$6:J369)</f>
        <v>-90094.28</v>
      </c>
      <c r="P369" s="124" t="n">
        <f aca="false">D369/P$3</f>
        <v>0</v>
      </c>
      <c r="Q369" s="124" t="n">
        <f aca="false">E369/P$3</f>
        <v>0</v>
      </c>
      <c r="R369" s="124" t="n">
        <f aca="false">F369/R$3</f>
        <v>0</v>
      </c>
      <c r="S369" s="126" t="n">
        <f aca="false">J369/$R$3</f>
        <v>0</v>
      </c>
      <c r="T369" s="126" t="n">
        <f aca="false">L369/$R$3</f>
        <v>0</v>
      </c>
      <c r="U369" s="126" t="n">
        <f aca="false">I369/$R$3</f>
        <v>0</v>
      </c>
      <c r="V369" s="126" t="n">
        <f aca="false">M369/$R$3</f>
        <v>-52.86763</v>
      </c>
      <c r="W369" s="126" t="n">
        <f aca="false">N369/$R$3</f>
        <v>-90.09428</v>
      </c>
    </row>
    <row r="370" customFormat="false" ht="12.75" hidden="false" customHeight="false" outlineLevel="0" collapsed="false">
      <c r="A370" s="120" t="n">
        <f aca="false">A369+1</f>
        <v>37256</v>
      </c>
      <c r="B370" s="131" t="str">
        <f aca="false">INDEX('Master Data'!$A$2:$B$8,MATCH(WEEKDAY('Plant Manager'!A370,3),'Master Data'!$A$2:$A$8,0),2)</f>
        <v>M</v>
      </c>
      <c r="D370" s="124" t="n">
        <v>0</v>
      </c>
      <c r="E370" s="124" t="n">
        <v>0</v>
      </c>
      <c r="F370" s="124" t="n">
        <v>0</v>
      </c>
      <c r="G370" s="124" t="n">
        <v>0</v>
      </c>
      <c r="I370" s="124" t="n">
        <f aca="false">IF(MONTH($A370)=MONTH($A369),IF(G370=0,I369,G370),G370)</f>
        <v>0</v>
      </c>
      <c r="J370" s="124" t="n">
        <f aca="false">IF(MONTH($A370)=MONTH($A369),SUM(I370-I369),I370)</f>
        <v>0</v>
      </c>
      <c r="K370" s="124" t="n">
        <f aca="false">IF(WEEKDAY(A370,3)&gt;4,0,(IF(A370&lt;K$2,0,IF(A370&lt;=K$3,1,0))))</f>
        <v>0</v>
      </c>
      <c r="L370" s="124" t="n">
        <f aca="false">J370*K370</f>
        <v>0</v>
      </c>
      <c r="M370" s="124" t="n">
        <f aca="false">SUM(J$280:J370)</f>
        <v>-52867.63</v>
      </c>
      <c r="N370" s="124" t="n">
        <f aca="false">SUM(J$6:J370)</f>
        <v>-90094.28</v>
      </c>
      <c r="P370" s="124" t="n">
        <f aca="false">D370/P$3</f>
        <v>0</v>
      </c>
      <c r="Q370" s="124" t="n">
        <f aca="false">E370/P$3</f>
        <v>0</v>
      </c>
      <c r="R370" s="124" t="n">
        <f aca="false">F370/R$3</f>
        <v>0</v>
      </c>
      <c r="S370" s="126" t="n">
        <f aca="false">J370/$R$3</f>
        <v>0</v>
      </c>
      <c r="T370" s="126" t="n">
        <f aca="false">L370/$R$3</f>
        <v>0</v>
      </c>
      <c r="U370" s="126" t="n">
        <f aca="false">I370/$R$3</f>
        <v>0</v>
      </c>
      <c r="V370" s="126" t="n">
        <f aca="false">M370/$R$3</f>
        <v>-52.86763</v>
      </c>
      <c r="W370" s="126" t="n">
        <f aca="false">N370/$R$3</f>
        <v>-90.09428</v>
      </c>
    </row>
    <row r="371" customFormat="false" ht="12.75" hidden="false" customHeight="false" outlineLevel="0" collapsed="false">
      <c r="A371" s="120" t="n">
        <f aca="false">A370+1</f>
        <v>37257</v>
      </c>
      <c r="B371" s="131" t="str">
        <f aca="false">INDEX('Master Data'!$A$2:$B$8,MATCH(WEEKDAY('Plant Manager'!A371,3),'Master Data'!$A$2:$A$8,0),2)</f>
        <v>T</v>
      </c>
      <c r="D371" s="124" t="n">
        <v>0</v>
      </c>
      <c r="E371" s="124" t="n">
        <v>0</v>
      </c>
      <c r="F371" s="124" t="n">
        <v>0</v>
      </c>
      <c r="G371" s="124" t="n">
        <v>0</v>
      </c>
      <c r="I371" s="124" t="n">
        <f aca="false">IF(MONTH($A371)=MONTH($A370),IF(G371=0,I370,G371),G371)</f>
        <v>0</v>
      </c>
      <c r="J371" s="124" t="n">
        <f aca="false">IF(MONTH($A371)=MONTH($A370),SUM(I371-I370),I371)</f>
        <v>0</v>
      </c>
      <c r="K371" s="124" t="n">
        <f aca="false">IF(WEEKDAY(A371,3)&gt;4,0,(IF(A371&lt;K$2,0,IF(A371&lt;=K$3,1,0))))</f>
        <v>0</v>
      </c>
      <c r="L371" s="124" t="n">
        <f aca="false">J371*K371</f>
        <v>0</v>
      </c>
      <c r="M371" s="124" t="n">
        <f aca="false">SUM(J$280:J371)</f>
        <v>-52867.63</v>
      </c>
      <c r="N371" s="124" t="n">
        <f aca="false">SUM(J$6:J371)</f>
        <v>-90094.28</v>
      </c>
      <c r="P371" s="124" t="n">
        <f aca="false">D371/P$3</f>
        <v>0</v>
      </c>
      <c r="Q371" s="124" t="n">
        <f aca="false">E371/P$3</f>
        <v>0</v>
      </c>
      <c r="R371" s="124" t="n">
        <f aca="false">F371/R$3</f>
        <v>0</v>
      </c>
      <c r="S371" s="126" t="n">
        <f aca="false">J371/$R$3</f>
        <v>0</v>
      </c>
      <c r="T371" s="126" t="n">
        <f aca="false">L371/$R$3</f>
        <v>0</v>
      </c>
      <c r="U371" s="126" t="n">
        <f aca="false">I371/$R$3</f>
        <v>0</v>
      </c>
      <c r="V371" s="126" t="n">
        <f aca="false">M371/$R$3</f>
        <v>-52.86763</v>
      </c>
      <c r="W371" s="126" t="n">
        <f aca="false">N371/$R$3</f>
        <v>-90.09428</v>
      </c>
    </row>
    <row r="372" customFormat="false" ht="12.75" hidden="false" customHeight="false" outlineLevel="0" collapsed="false">
      <c r="D372" s="124"/>
      <c r="E372" s="124"/>
      <c r="F372" s="124"/>
      <c r="G372" s="124"/>
    </row>
    <row r="373" customFormat="false" ht="12.75" hidden="false" customHeight="false" outlineLevel="0" collapsed="false">
      <c r="D373" s="124"/>
      <c r="E373" s="124"/>
      <c r="F373" s="124"/>
      <c r="G373" s="124"/>
    </row>
    <row r="374" customFormat="false" ht="12.75" hidden="false" customHeight="false" outlineLevel="0" collapsed="false">
      <c r="D374" s="124"/>
      <c r="E374" s="124"/>
      <c r="F374" s="124"/>
      <c r="G374" s="124"/>
    </row>
    <row r="375" customFormat="false" ht="12.75" hidden="false" customHeight="false" outlineLevel="0" collapsed="false">
      <c r="D375" s="124"/>
      <c r="E375" s="124"/>
      <c r="F375" s="124"/>
      <c r="G375" s="124"/>
    </row>
    <row r="376" customFormat="false" ht="12.75" hidden="false" customHeight="false" outlineLevel="0" collapsed="false">
      <c r="D376" s="124"/>
      <c r="E376" s="124"/>
      <c r="F376" s="124"/>
      <c r="G376" s="124"/>
    </row>
    <row r="377" customFormat="false" ht="12.75" hidden="false" customHeight="false" outlineLevel="0" collapsed="false">
      <c r="D377" s="124"/>
      <c r="E377" s="124"/>
      <c r="F377" s="124"/>
      <c r="G377" s="124"/>
    </row>
    <row r="378" customFormat="false" ht="12.75" hidden="false" customHeight="false" outlineLevel="0" collapsed="false">
      <c r="D378" s="124"/>
      <c r="E378" s="124"/>
      <c r="F378" s="124"/>
      <c r="G378" s="124"/>
    </row>
    <row r="379" customFormat="false" ht="12.75" hidden="false" customHeight="false" outlineLevel="0" collapsed="false">
      <c r="D379" s="124"/>
      <c r="E379" s="124"/>
      <c r="F379" s="124"/>
      <c r="G379" s="124"/>
    </row>
    <row r="380" customFormat="false" ht="12.75" hidden="false" customHeight="false" outlineLevel="0" collapsed="false">
      <c r="D380" s="124"/>
      <c r="E380" s="124"/>
      <c r="F380" s="124"/>
      <c r="G380" s="124"/>
    </row>
    <row r="381" customFormat="false" ht="12.75" hidden="false" customHeight="false" outlineLevel="0" collapsed="false">
      <c r="D381" s="124"/>
      <c r="E381" s="124"/>
      <c r="F381" s="124"/>
      <c r="G381" s="124"/>
    </row>
    <row r="382" customFormat="false" ht="12.75" hidden="false" customHeight="false" outlineLevel="0" collapsed="false">
      <c r="D382" s="124"/>
      <c r="E382" s="124"/>
      <c r="F382" s="124"/>
      <c r="G382" s="124"/>
    </row>
    <row r="383" customFormat="false" ht="12.75" hidden="false" customHeight="false" outlineLevel="0" collapsed="false">
      <c r="D383" s="124"/>
      <c r="E383" s="124"/>
      <c r="F383" s="124"/>
      <c r="G383" s="124"/>
    </row>
    <row r="384" customFormat="false" ht="12.75" hidden="false" customHeight="false" outlineLevel="0" collapsed="false">
      <c r="D384" s="124"/>
      <c r="E384" s="124"/>
      <c r="F384" s="124"/>
      <c r="G384" s="124"/>
    </row>
    <row r="385" customFormat="false" ht="12.75" hidden="false" customHeight="false" outlineLevel="0" collapsed="false">
      <c r="D385" s="124"/>
      <c r="E385" s="124"/>
      <c r="F385" s="124"/>
      <c r="G385" s="124"/>
    </row>
    <row r="386" customFormat="false" ht="12.75" hidden="false" customHeight="false" outlineLevel="0" collapsed="false">
      <c r="D386" s="124"/>
      <c r="E386" s="124"/>
      <c r="F386" s="124"/>
      <c r="G386" s="124"/>
    </row>
    <row r="387" customFormat="false" ht="12.75" hidden="false" customHeight="false" outlineLevel="0" collapsed="false">
      <c r="D387" s="124"/>
      <c r="E387" s="124"/>
      <c r="F387" s="124"/>
      <c r="G387" s="124"/>
    </row>
    <row r="388" customFormat="false" ht="12.75" hidden="false" customHeight="false" outlineLevel="0" collapsed="false">
      <c r="D388" s="124"/>
      <c r="E388" s="124"/>
      <c r="F388" s="124"/>
      <c r="G388" s="124"/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4" colorId="64" zoomScale="100" zoomScaleNormal="100" zoomScalePageLayoutView="100" workbookViewId="0">
      <selection pane="topLeft" activeCell="D310" activeCellId="0" sqref="D310:E310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20" width="7.28"/>
    <col collapsed="false" customWidth="true" hidden="false" outlineLevel="0" max="2" min="2" style="121" width="4.14"/>
    <col collapsed="false" customWidth="true" hidden="false" outlineLevel="0" max="3" min="3" style="122" width="2.7"/>
    <col collapsed="false" customWidth="true" hidden="false" outlineLevel="0" max="7" min="4" style="121" width="14.99"/>
    <col collapsed="false" customWidth="true" hidden="false" outlineLevel="0" max="8" min="8" style="122" width="2.7"/>
    <col collapsed="false" customWidth="true" hidden="false" outlineLevel="0" max="9" min="9" style="123" width="13.14"/>
    <col collapsed="false" customWidth="true" hidden="false" outlineLevel="0" max="10" min="10" style="124" width="13.14"/>
    <col collapsed="false" customWidth="true" hidden="false" outlineLevel="0" max="11" min="11" style="124" width="10.99"/>
    <col collapsed="false" customWidth="true" hidden="false" outlineLevel="0" max="14" min="12" style="124" width="13.14"/>
    <col collapsed="false" customWidth="true" hidden="false" outlineLevel="0" max="15" min="15" style="125" width="2.7"/>
    <col collapsed="false" customWidth="true" hidden="false" outlineLevel="0" max="18" min="16" style="121" width="16.13"/>
    <col collapsed="false" customWidth="true" hidden="false" outlineLevel="0" max="23" min="19" style="126" width="12.7"/>
    <col collapsed="false" customWidth="false" hidden="false" outlineLevel="0" max="257" min="24" style="121" width="9.14"/>
  </cols>
  <sheetData>
    <row r="1" customFormat="false" ht="12.75" hidden="false" customHeight="false" outlineLevel="0" collapsed="false">
      <c r="A1" s="127" t="n">
        <v>1</v>
      </c>
      <c r="B1" s="121" t="n">
        <f aca="false">+A1+1</f>
        <v>2</v>
      </c>
      <c r="C1" s="122" t="n">
        <f aca="false">+B1+1</f>
        <v>3</v>
      </c>
      <c r="D1" s="121" t="n">
        <f aca="false">+C1+1</f>
        <v>4</v>
      </c>
      <c r="E1" s="121" t="n">
        <f aca="false">+D1+1</f>
        <v>5</v>
      </c>
      <c r="F1" s="121" t="n">
        <f aca="false">+E1+1</f>
        <v>6</v>
      </c>
      <c r="G1" s="121" t="n">
        <f aca="false">+F1+1</f>
        <v>7</v>
      </c>
      <c r="H1" s="122" t="n">
        <f aca="false">+G1+1</f>
        <v>8</v>
      </c>
      <c r="I1" s="123" t="n">
        <f aca="false">+H1+1</f>
        <v>9</v>
      </c>
      <c r="J1" s="124" t="n">
        <f aca="false">+I1+1</f>
        <v>10</v>
      </c>
      <c r="K1" s="124" t="n">
        <f aca="false">+J1+1</f>
        <v>11</v>
      </c>
      <c r="L1" s="124" t="n">
        <f aca="false">+K1+1</f>
        <v>12</v>
      </c>
      <c r="M1" s="124" t="n">
        <f aca="false">+L1+1</f>
        <v>13</v>
      </c>
      <c r="N1" s="124" t="n">
        <f aca="false">+M1+1</f>
        <v>14</v>
      </c>
      <c r="O1" s="125" t="n">
        <f aca="false">+N1+1</f>
        <v>15</v>
      </c>
      <c r="P1" s="121" t="n">
        <f aca="false">+O1+1</f>
        <v>16</v>
      </c>
      <c r="Q1" s="121" t="n">
        <f aca="false">+P1+1</f>
        <v>17</v>
      </c>
      <c r="R1" s="121" t="n">
        <f aca="false">+Q1+1</f>
        <v>18</v>
      </c>
      <c r="S1" s="121" t="n">
        <f aca="false">+R1+1</f>
        <v>19</v>
      </c>
      <c r="T1" s="121" t="n">
        <f aca="false">+S1+1</f>
        <v>20</v>
      </c>
      <c r="U1" s="121" t="n">
        <f aca="false">+T1+1</f>
        <v>21</v>
      </c>
      <c r="V1" s="121" t="n">
        <f aca="false">+U1+1</f>
        <v>22</v>
      </c>
      <c r="W1" s="121" t="n">
        <f aca="false">+V1+1</f>
        <v>23</v>
      </c>
    </row>
    <row r="2" customFormat="false" ht="12.75" hidden="false" customHeight="false" outlineLevel="0" collapsed="false">
      <c r="F2" s="121" t="n">
        <f aca="false">57045+143272</f>
        <v>200317</v>
      </c>
      <c r="G2" s="151"/>
      <c r="K2" s="128" t="n">
        <f aca="false">WORKDAY(K3,-4)</f>
        <v>37190</v>
      </c>
    </row>
    <row r="3" customFormat="false" ht="12.75" hidden="false" customHeight="false" outlineLevel="0" collapsed="false">
      <c r="G3" s="152"/>
      <c r="K3" s="128" t="n">
        <f aca="false">Summary!B8</f>
        <v>37196</v>
      </c>
      <c r="L3" s="129" t="n">
        <f aca="false">SUM(L6:L371)</f>
        <v>4561743.86152938</v>
      </c>
      <c r="P3" s="124" t="n">
        <v>1000000</v>
      </c>
      <c r="Q3" s="124"/>
      <c r="R3" s="124" t="n">
        <v>1000</v>
      </c>
      <c r="S3" s="121"/>
      <c r="T3" s="130" t="n">
        <f aca="false">SUM(T6:T371)</f>
        <v>4561.74386152938</v>
      </c>
    </row>
    <row r="4" customFormat="false" ht="12.75" hidden="false" customHeight="false" outlineLevel="0" collapsed="false">
      <c r="D4" s="131" t="s">
        <v>57</v>
      </c>
      <c r="E4" s="131" t="s">
        <v>57</v>
      </c>
      <c r="F4" s="131" t="s">
        <v>58</v>
      </c>
      <c r="G4" s="131" t="s">
        <v>58</v>
      </c>
      <c r="I4" s="132" t="s">
        <v>58</v>
      </c>
      <c r="J4" s="132"/>
      <c r="K4" s="132"/>
      <c r="L4" s="132"/>
      <c r="M4" s="132"/>
      <c r="N4" s="132"/>
      <c r="O4" s="133"/>
      <c r="P4" s="134" t="s">
        <v>59</v>
      </c>
      <c r="Q4" s="134"/>
      <c r="R4" s="135" t="s">
        <v>60</v>
      </c>
      <c r="S4" s="135"/>
      <c r="T4" s="135"/>
      <c r="U4" s="135"/>
      <c r="V4" s="135"/>
      <c r="W4" s="135"/>
    </row>
    <row r="5" customFormat="false" ht="12.75" hidden="false" customHeight="false" outlineLevel="0" collapsed="false">
      <c r="A5" s="136" t="s">
        <v>61</v>
      </c>
      <c r="B5" s="131" t="s">
        <v>62</v>
      </c>
      <c r="C5" s="137"/>
      <c r="D5" s="138" t="s">
        <v>63</v>
      </c>
      <c r="E5" s="138" t="s">
        <v>64</v>
      </c>
      <c r="F5" s="138" t="s">
        <v>65</v>
      </c>
      <c r="G5" s="138" t="s">
        <v>66</v>
      </c>
      <c r="H5" s="139"/>
      <c r="I5" s="138" t="s">
        <v>67</v>
      </c>
      <c r="J5" s="140" t="s">
        <v>68</v>
      </c>
      <c r="K5" s="140" t="s">
        <v>69</v>
      </c>
      <c r="L5" s="140" t="s">
        <v>70</v>
      </c>
      <c r="M5" s="140" t="s">
        <v>71</v>
      </c>
      <c r="N5" s="140" t="s">
        <v>72</v>
      </c>
      <c r="O5" s="141"/>
      <c r="P5" s="138" t="s">
        <v>63</v>
      </c>
      <c r="Q5" s="138" t="s">
        <v>64</v>
      </c>
      <c r="R5" s="138" t="s">
        <v>65</v>
      </c>
      <c r="S5" s="142" t="s">
        <v>68</v>
      </c>
      <c r="T5" s="140" t="s">
        <v>70</v>
      </c>
      <c r="U5" s="142" t="s">
        <v>66</v>
      </c>
      <c r="V5" s="142" t="s">
        <v>71</v>
      </c>
      <c r="W5" s="142" t="s">
        <v>72</v>
      </c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1"/>
      <c r="AW5" s="131"/>
      <c r="AX5" s="131"/>
      <c r="AY5" s="131"/>
      <c r="AZ5" s="131"/>
      <c r="BA5" s="131"/>
      <c r="BB5" s="131"/>
      <c r="BC5" s="131"/>
      <c r="BD5" s="131"/>
      <c r="BE5" s="131"/>
      <c r="BF5" s="131"/>
      <c r="BG5" s="131"/>
      <c r="BH5" s="131"/>
      <c r="BI5" s="131"/>
      <c r="BJ5" s="131"/>
      <c r="BK5" s="131"/>
      <c r="BL5" s="131"/>
      <c r="BM5" s="131"/>
      <c r="BN5" s="131"/>
      <c r="BO5" s="131"/>
      <c r="BP5" s="131"/>
      <c r="BQ5" s="131"/>
      <c r="BR5" s="131"/>
      <c r="BS5" s="131"/>
      <c r="BT5" s="131"/>
      <c r="BU5" s="131"/>
      <c r="BV5" s="131"/>
      <c r="BW5" s="131"/>
      <c r="BX5" s="131"/>
      <c r="BY5" s="131"/>
      <c r="BZ5" s="131"/>
      <c r="CA5" s="131"/>
      <c r="CB5" s="131"/>
      <c r="CC5" s="131"/>
      <c r="CD5" s="131"/>
      <c r="CE5" s="131"/>
      <c r="CF5" s="131"/>
      <c r="CG5" s="131"/>
      <c r="CH5" s="131"/>
      <c r="CI5" s="131"/>
      <c r="CJ5" s="131"/>
      <c r="CK5" s="131"/>
      <c r="CL5" s="131"/>
      <c r="CM5" s="131"/>
      <c r="CN5" s="131"/>
      <c r="CO5" s="131"/>
      <c r="CP5" s="131"/>
      <c r="CQ5" s="131"/>
      <c r="CR5" s="131"/>
      <c r="CS5" s="131"/>
      <c r="CT5" s="131"/>
      <c r="CU5" s="131"/>
      <c r="CV5" s="131"/>
      <c r="CW5" s="131"/>
      <c r="CX5" s="131"/>
      <c r="CY5" s="131"/>
      <c r="CZ5" s="131"/>
      <c r="DA5" s="131"/>
      <c r="DB5" s="131"/>
      <c r="DC5" s="131"/>
      <c r="DD5" s="131"/>
      <c r="DE5" s="131"/>
      <c r="DF5" s="131"/>
      <c r="DG5" s="131"/>
      <c r="DH5" s="131"/>
      <c r="DI5" s="131"/>
      <c r="DJ5" s="131"/>
      <c r="DK5" s="131"/>
      <c r="DL5" s="131"/>
      <c r="DM5" s="131"/>
      <c r="DN5" s="131"/>
      <c r="DO5" s="131"/>
      <c r="DP5" s="131"/>
      <c r="DQ5" s="131"/>
      <c r="DR5" s="131"/>
      <c r="DS5" s="131"/>
      <c r="DT5" s="131"/>
      <c r="DU5" s="131"/>
      <c r="DV5" s="131"/>
      <c r="DW5" s="131"/>
      <c r="DX5" s="131"/>
      <c r="DY5" s="131"/>
      <c r="DZ5" s="131"/>
      <c r="EA5" s="131"/>
      <c r="EB5" s="131"/>
      <c r="EC5" s="131"/>
      <c r="ED5" s="131"/>
      <c r="EE5" s="131"/>
      <c r="EF5" s="131"/>
      <c r="EG5" s="131"/>
      <c r="EH5" s="131"/>
      <c r="EI5" s="131"/>
      <c r="EJ5" s="131"/>
      <c r="EK5" s="131"/>
      <c r="EL5" s="131"/>
      <c r="EM5" s="131"/>
      <c r="EN5" s="131"/>
      <c r="EO5" s="131"/>
      <c r="EP5" s="131"/>
      <c r="EQ5" s="131"/>
      <c r="ER5" s="131"/>
      <c r="ES5" s="131"/>
      <c r="ET5" s="131"/>
      <c r="EU5" s="131"/>
      <c r="EV5" s="131"/>
      <c r="EW5" s="131"/>
      <c r="EX5" s="131"/>
      <c r="EY5" s="131"/>
      <c r="EZ5" s="131"/>
      <c r="FA5" s="131"/>
      <c r="FB5" s="131"/>
      <c r="FC5" s="131"/>
      <c r="FD5" s="131"/>
      <c r="FE5" s="131"/>
      <c r="FF5" s="131"/>
      <c r="FG5" s="131"/>
      <c r="FH5" s="131"/>
      <c r="FI5" s="131"/>
      <c r="FJ5" s="131"/>
      <c r="FK5" s="131"/>
      <c r="FL5" s="131"/>
      <c r="FM5" s="131"/>
      <c r="FN5" s="131"/>
      <c r="FO5" s="131"/>
      <c r="FP5" s="131"/>
      <c r="FQ5" s="131"/>
      <c r="FR5" s="131"/>
      <c r="FS5" s="131"/>
      <c r="FT5" s="131"/>
      <c r="FU5" s="131"/>
      <c r="FV5" s="131"/>
      <c r="FW5" s="131"/>
      <c r="FX5" s="131"/>
      <c r="FY5" s="131"/>
      <c r="FZ5" s="131"/>
      <c r="GA5" s="131"/>
      <c r="GB5" s="131"/>
      <c r="GC5" s="131"/>
      <c r="GD5" s="131"/>
      <c r="GE5" s="131"/>
      <c r="GF5" s="131"/>
      <c r="GG5" s="131"/>
      <c r="GH5" s="131"/>
      <c r="GI5" s="131"/>
      <c r="GJ5" s="131"/>
      <c r="GK5" s="131"/>
      <c r="GL5" s="131"/>
      <c r="GM5" s="131"/>
      <c r="GN5" s="131"/>
      <c r="GO5" s="131"/>
      <c r="GP5" s="131"/>
      <c r="GQ5" s="131"/>
      <c r="GR5" s="131"/>
      <c r="GS5" s="131"/>
      <c r="GT5" s="131"/>
      <c r="GU5" s="131"/>
      <c r="GV5" s="131"/>
      <c r="GW5" s="131"/>
      <c r="GX5" s="131"/>
      <c r="GY5" s="131"/>
      <c r="GZ5" s="131"/>
      <c r="HA5" s="131"/>
      <c r="HB5" s="131"/>
      <c r="HC5" s="131"/>
      <c r="HD5" s="131"/>
      <c r="HE5" s="131"/>
      <c r="HF5" s="131"/>
      <c r="HG5" s="131"/>
      <c r="HH5" s="131"/>
      <c r="HI5" s="131"/>
      <c r="HJ5" s="131"/>
      <c r="HK5" s="131"/>
      <c r="HL5" s="131"/>
      <c r="HM5" s="131"/>
      <c r="HN5" s="131"/>
      <c r="HO5" s="131"/>
      <c r="HP5" s="131"/>
      <c r="HQ5" s="131"/>
      <c r="HR5" s="131"/>
      <c r="HS5" s="131"/>
      <c r="HT5" s="131"/>
      <c r="HU5" s="131"/>
      <c r="HV5" s="131"/>
      <c r="HW5" s="131"/>
      <c r="HX5" s="131"/>
      <c r="HY5" s="131"/>
      <c r="HZ5" s="131"/>
      <c r="IA5" s="131"/>
      <c r="IB5" s="131"/>
      <c r="IC5" s="131"/>
      <c r="ID5" s="131"/>
      <c r="IE5" s="131"/>
      <c r="IF5" s="131"/>
      <c r="IG5" s="131"/>
      <c r="IH5" s="131"/>
      <c r="II5" s="131"/>
      <c r="IJ5" s="131"/>
      <c r="IK5" s="131"/>
      <c r="IL5" s="131"/>
      <c r="IM5" s="131"/>
      <c r="IN5" s="131"/>
      <c r="IO5" s="131"/>
      <c r="IP5" s="131"/>
      <c r="IQ5" s="131"/>
      <c r="IR5" s="131"/>
      <c r="IS5" s="131"/>
      <c r="IT5" s="131"/>
      <c r="IU5" s="131"/>
      <c r="IV5" s="131"/>
      <c r="IW5" s="131"/>
    </row>
    <row r="6" customFormat="false" ht="12.75" hidden="true" customHeight="false" outlineLevel="0" collapsed="false">
      <c r="A6" s="120" t="n">
        <v>36892</v>
      </c>
      <c r="B6" s="131" t="str">
        <f aca="false">INDEX('Master Data'!$A$2:$B$8,MATCH(WEEKDAY('BRA Power'!A6,3),'Master Data'!$A$2:$A$8,0),2)</f>
        <v>M</v>
      </c>
      <c r="D6" s="124" t="n">
        <v>0</v>
      </c>
      <c r="E6" s="124" t="n">
        <v>0</v>
      </c>
      <c r="F6" s="124" t="n">
        <v>0</v>
      </c>
      <c r="G6" s="124" t="n">
        <v>0</v>
      </c>
      <c r="I6" s="124" t="n">
        <f aca="false">G6</f>
        <v>0</v>
      </c>
      <c r="J6" s="124" t="n">
        <f aca="false">I6</f>
        <v>0</v>
      </c>
      <c r="K6" s="124" t="n">
        <f aca="false">IF(WEEKDAY(A6,3)&gt;4,0,(IF(A6&lt;K$2,0,IF(A6&lt;=K$3,1,0))))</f>
        <v>0</v>
      </c>
      <c r="L6" s="124" t="n">
        <f aca="false">J6*K6</f>
        <v>0</v>
      </c>
      <c r="M6" s="124" t="n">
        <f aca="false">SUM(J$6:J6)</f>
        <v>0</v>
      </c>
      <c r="N6" s="124" t="n">
        <f aca="false">SUM(J$6:J6)</f>
        <v>0</v>
      </c>
      <c r="P6" s="124" t="n">
        <f aca="false">D6/P$3</f>
        <v>0</v>
      </c>
      <c r="Q6" s="124" t="n">
        <f aca="false">E6/P$3</f>
        <v>0</v>
      </c>
      <c r="R6" s="124" t="n">
        <f aca="false">F6/R$3</f>
        <v>0</v>
      </c>
      <c r="S6" s="126" t="n">
        <f aca="false">J6/$R$3</f>
        <v>0</v>
      </c>
      <c r="T6" s="126" t="n">
        <f aca="false">L6/$R$3</f>
        <v>0</v>
      </c>
      <c r="U6" s="126" t="n">
        <f aca="false">I6/$R$3</f>
        <v>0</v>
      </c>
      <c r="V6" s="126" t="n">
        <f aca="false">M6/$R$3</f>
        <v>0</v>
      </c>
      <c r="W6" s="126" t="n">
        <f aca="false">N6/$R$3</f>
        <v>0</v>
      </c>
    </row>
    <row r="7" customFormat="false" ht="12.75" hidden="true" customHeight="false" outlineLevel="0" collapsed="false">
      <c r="A7" s="120" t="n">
        <f aca="false">A6+1</f>
        <v>36893</v>
      </c>
      <c r="B7" s="131" t="str">
        <f aca="false">INDEX('Master Data'!$A$2:$B$8,MATCH(WEEKDAY('BRA Power'!A7,3),'Master Data'!$A$2:$A$8,0),2)</f>
        <v>T</v>
      </c>
      <c r="D7" s="124" t="n">
        <v>127256</v>
      </c>
      <c r="E7" s="124" t="n">
        <v>0</v>
      </c>
      <c r="F7" s="124" t="n">
        <v>0</v>
      </c>
      <c r="G7" s="124" t="n">
        <v>2827</v>
      </c>
      <c r="I7" s="124" t="n">
        <f aca="false">IF(MONTH($A7)=MONTH($A6),IF(G7=0,I6,G7),0)</f>
        <v>2827</v>
      </c>
      <c r="J7" s="124" t="n">
        <f aca="false">IF(MONTH($A7)=MONTH($A6),SUM(I7-I6),I7)</f>
        <v>2827</v>
      </c>
      <c r="K7" s="124" t="n">
        <f aca="false">IF(WEEKDAY(A7,3)&gt;4,0,(IF(A7&lt;K$2,0,IF(A7&lt;=K$3,1,0))))</f>
        <v>0</v>
      </c>
      <c r="L7" s="124" t="n">
        <f aca="false">J7*K7</f>
        <v>0</v>
      </c>
      <c r="M7" s="124" t="n">
        <f aca="false">SUM(J$6:J7)</f>
        <v>2827</v>
      </c>
      <c r="N7" s="124" t="n">
        <f aca="false">SUM(J$6:J7)</f>
        <v>2827</v>
      </c>
      <c r="P7" s="124" t="n">
        <f aca="false">D7/P$3</f>
        <v>0.127256</v>
      </c>
      <c r="Q7" s="124" t="n">
        <f aca="false">E7/P$3</f>
        <v>0</v>
      </c>
      <c r="R7" s="124" t="n">
        <f aca="false">F7/R$3</f>
        <v>0</v>
      </c>
      <c r="S7" s="126" t="n">
        <f aca="false">J7/$R$3</f>
        <v>2.827</v>
      </c>
      <c r="T7" s="126" t="n">
        <f aca="false">L7/$R$3</f>
        <v>0</v>
      </c>
      <c r="U7" s="126" t="n">
        <f aca="false">I7/$R$3</f>
        <v>2.827</v>
      </c>
      <c r="V7" s="126" t="n">
        <f aca="false">M7/$R$3</f>
        <v>2.827</v>
      </c>
      <c r="W7" s="126" t="n">
        <f aca="false">N7/$R$3</f>
        <v>2.827</v>
      </c>
    </row>
    <row r="8" customFormat="false" ht="12.75" hidden="true" customHeight="false" outlineLevel="0" collapsed="false">
      <c r="A8" s="120" t="n">
        <f aca="false">A7+1</f>
        <v>36894</v>
      </c>
      <c r="B8" s="131" t="str">
        <f aca="false">INDEX('Master Data'!$A$2:$B$8,MATCH(WEEKDAY('BRA Power'!A8,3),'Master Data'!$A$2:$A$8,0),2)</f>
        <v>W</v>
      </c>
      <c r="D8" s="124" t="n">
        <v>127318</v>
      </c>
      <c r="E8" s="124" t="n">
        <v>0</v>
      </c>
      <c r="F8" s="124" t="n">
        <v>0</v>
      </c>
      <c r="G8" s="124" t="n">
        <v>4374</v>
      </c>
      <c r="I8" s="124" t="n">
        <f aca="false">IF(MONTH($A8)=MONTH($A7),IF(G8=0,I7,G8),0)</f>
        <v>4374</v>
      </c>
      <c r="J8" s="124" t="n">
        <f aca="false">IF(MONTH($A8)=MONTH($A7),SUM(I8-I7),I8)</f>
        <v>1547</v>
      </c>
      <c r="K8" s="124" t="n">
        <f aca="false">IF(WEEKDAY(A8,3)&gt;4,0,(IF(A8&lt;K$2,0,IF(A8&lt;=K$3,1,0))))</f>
        <v>0</v>
      </c>
      <c r="L8" s="124" t="n">
        <f aca="false">J8*K8</f>
        <v>0</v>
      </c>
      <c r="M8" s="124" t="n">
        <f aca="false">SUM(J$6:J8)</f>
        <v>4374</v>
      </c>
      <c r="N8" s="124" t="n">
        <f aca="false">SUM(J$6:J8)</f>
        <v>4374</v>
      </c>
      <c r="P8" s="124" t="n">
        <f aca="false">D8/P$3</f>
        <v>0.127318</v>
      </c>
      <c r="Q8" s="124" t="n">
        <f aca="false">E8/P$3</f>
        <v>0</v>
      </c>
      <c r="R8" s="124" t="n">
        <f aca="false">F8/R$3</f>
        <v>0</v>
      </c>
      <c r="S8" s="126" t="n">
        <f aca="false">J8/$R$3</f>
        <v>1.547</v>
      </c>
      <c r="T8" s="126" t="n">
        <f aca="false">L8/$R$3</f>
        <v>0</v>
      </c>
      <c r="U8" s="126" t="n">
        <f aca="false">I8/$R$3</f>
        <v>4.374</v>
      </c>
      <c r="V8" s="126" t="n">
        <f aca="false">M8/$R$3</f>
        <v>4.374</v>
      </c>
      <c r="W8" s="126" t="n">
        <f aca="false">N8/$R$3</f>
        <v>4.374</v>
      </c>
    </row>
    <row r="9" customFormat="false" ht="12.75" hidden="true" customHeight="false" outlineLevel="0" collapsed="false">
      <c r="A9" s="120" t="n">
        <f aca="false">A8+1</f>
        <v>36895</v>
      </c>
      <c r="B9" s="131" t="str">
        <f aca="false">INDEX('Master Data'!$A$2:$B$8,MATCH(WEEKDAY('BRA Power'!A9,3),'Master Data'!$A$2:$A$8,0),2)</f>
        <v>Th</v>
      </c>
      <c r="D9" s="124" t="n">
        <v>135012</v>
      </c>
      <c r="E9" s="124" t="n">
        <v>0</v>
      </c>
      <c r="F9" s="124" t="n">
        <v>0</v>
      </c>
      <c r="G9" s="124" t="n">
        <v>3325</v>
      </c>
      <c r="I9" s="124" t="n">
        <f aca="false">IF(MONTH($A9)=MONTH($A8),IF(G9=0,I8,G9),0)</f>
        <v>3325</v>
      </c>
      <c r="J9" s="124" t="n">
        <f aca="false">IF(MONTH($A9)=MONTH($A8),SUM(I9-I8),I9)</f>
        <v>-1049</v>
      </c>
      <c r="K9" s="124" t="n">
        <f aca="false">IF(WEEKDAY(A9,3)&gt;4,0,(IF(A9&lt;K$2,0,IF(A9&lt;=K$3,1,0))))</f>
        <v>0</v>
      </c>
      <c r="L9" s="124" t="n">
        <f aca="false">J9*K9</f>
        <v>-0</v>
      </c>
      <c r="M9" s="124" t="n">
        <f aca="false">SUM(J$6:J9)</f>
        <v>3325</v>
      </c>
      <c r="N9" s="124" t="n">
        <f aca="false">SUM(J$6:J9)</f>
        <v>3325</v>
      </c>
      <c r="P9" s="124" t="n">
        <f aca="false">D9/P$3</f>
        <v>0.135012</v>
      </c>
      <c r="Q9" s="124" t="n">
        <f aca="false">E9/P$3</f>
        <v>0</v>
      </c>
      <c r="R9" s="124" t="n">
        <f aca="false">F9/R$3</f>
        <v>0</v>
      </c>
      <c r="S9" s="126" t="n">
        <f aca="false">J9/$R$3</f>
        <v>-1.049</v>
      </c>
      <c r="T9" s="126" t="n">
        <f aca="false">L9/$R$3</f>
        <v>-0</v>
      </c>
      <c r="U9" s="126" t="n">
        <f aca="false">I9/$R$3</f>
        <v>3.325</v>
      </c>
      <c r="V9" s="126" t="n">
        <f aca="false">M9/$R$3</f>
        <v>3.325</v>
      </c>
      <c r="W9" s="126" t="n">
        <f aca="false">N9/$R$3</f>
        <v>3.325</v>
      </c>
    </row>
    <row r="10" customFormat="false" ht="12.75" hidden="true" customHeight="false" outlineLevel="0" collapsed="false">
      <c r="A10" s="120" t="n">
        <f aca="false">A9+1</f>
        <v>36896</v>
      </c>
      <c r="B10" s="131" t="str">
        <f aca="false">INDEX('Master Data'!$A$2:$B$8,MATCH(WEEKDAY('BRA Power'!A10,3),'Master Data'!$A$2:$A$8,0),2)</f>
        <v>F</v>
      </c>
      <c r="D10" s="124" t="n">
        <v>135073</v>
      </c>
      <c r="E10" s="124" t="n">
        <v>0</v>
      </c>
      <c r="F10" s="124" t="n">
        <v>0</v>
      </c>
      <c r="G10" s="124" t="n">
        <v>3807</v>
      </c>
      <c r="I10" s="124" t="n">
        <f aca="false">IF(MONTH($A10)=MONTH($A9),IF(G10=0,I9,G10),0)</f>
        <v>3807</v>
      </c>
      <c r="J10" s="124" t="n">
        <f aca="false">IF(MONTH($A10)=MONTH($A9),SUM(I10-I9),I10)</f>
        <v>482</v>
      </c>
      <c r="K10" s="124" t="n">
        <f aca="false">IF(WEEKDAY(A10,3)&gt;4,0,(IF(A10&lt;K$2,0,IF(A10&lt;=K$3,1,0))))</f>
        <v>0</v>
      </c>
      <c r="L10" s="124" t="n">
        <f aca="false">J10*K10</f>
        <v>0</v>
      </c>
      <c r="M10" s="124" t="n">
        <f aca="false">SUM(J$6:J10)</f>
        <v>3807</v>
      </c>
      <c r="N10" s="124" t="n">
        <f aca="false">SUM(J$6:J10)</f>
        <v>3807</v>
      </c>
      <c r="P10" s="124" t="n">
        <f aca="false">D10/P$3</f>
        <v>0.135073</v>
      </c>
      <c r="Q10" s="124" t="n">
        <f aca="false">E10/P$3</f>
        <v>0</v>
      </c>
      <c r="R10" s="124" t="n">
        <f aca="false">F10/R$3</f>
        <v>0</v>
      </c>
      <c r="S10" s="126" t="n">
        <f aca="false">J10/$R$3</f>
        <v>0.482</v>
      </c>
      <c r="T10" s="126" t="n">
        <f aca="false">L10/$R$3</f>
        <v>0</v>
      </c>
      <c r="U10" s="126" t="n">
        <f aca="false">I10/$R$3</f>
        <v>3.807</v>
      </c>
      <c r="V10" s="126" t="n">
        <f aca="false">M10/$R$3</f>
        <v>3.807</v>
      </c>
      <c r="W10" s="126" t="n">
        <f aca="false">N10/$R$3</f>
        <v>3.807</v>
      </c>
    </row>
    <row r="11" customFormat="false" ht="12.75" hidden="true" customHeight="false" outlineLevel="0" collapsed="false">
      <c r="A11" s="120" t="n">
        <f aca="false">A10+1</f>
        <v>36897</v>
      </c>
      <c r="B11" s="131" t="str">
        <f aca="false">INDEX('Master Data'!$A$2:$B$8,MATCH(WEEKDAY('BRA Power'!A11,3),'Master Data'!$A$2:$A$8,0),2)</f>
        <v>Sa</v>
      </c>
      <c r="D11" s="124" t="n">
        <v>0</v>
      </c>
      <c r="E11" s="124" t="n">
        <v>0</v>
      </c>
      <c r="F11" s="124" t="n">
        <v>0</v>
      </c>
      <c r="G11" s="124" t="n">
        <v>0</v>
      </c>
      <c r="I11" s="124" t="n">
        <f aca="false">IF(MONTH($A11)=MONTH($A10),IF(G11=0,I10,G11),0)</f>
        <v>3807</v>
      </c>
      <c r="J11" s="124" t="n">
        <f aca="false">IF(MONTH($A11)=MONTH($A10),SUM(I11-I10),I11)</f>
        <v>0</v>
      </c>
      <c r="K11" s="124" t="n">
        <f aca="false">IF(WEEKDAY(A11,3)&gt;4,0,(IF(A11&lt;K$2,0,IF(A11&lt;=K$3,1,0))))</f>
        <v>0</v>
      </c>
      <c r="L11" s="124" t="n">
        <f aca="false">J11*K11</f>
        <v>0</v>
      </c>
      <c r="M11" s="124" t="n">
        <f aca="false">SUM(J$6:J11)</f>
        <v>3807</v>
      </c>
      <c r="N11" s="124" t="n">
        <f aca="false">SUM(J$6:J11)</f>
        <v>3807</v>
      </c>
      <c r="P11" s="124" t="n">
        <f aca="false">D11/P$3</f>
        <v>0</v>
      </c>
      <c r="Q11" s="124" t="n">
        <f aca="false">E11/P$3</f>
        <v>0</v>
      </c>
      <c r="R11" s="124" t="n">
        <f aca="false">F11/R$3</f>
        <v>0</v>
      </c>
      <c r="S11" s="126" t="n">
        <f aca="false">J11/$R$3</f>
        <v>0</v>
      </c>
      <c r="T11" s="126" t="n">
        <f aca="false">L11/$R$3</f>
        <v>0</v>
      </c>
      <c r="U11" s="126" t="n">
        <f aca="false">I11/$R$3</f>
        <v>3.807</v>
      </c>
      <c r="V11" s="126" t="n">
        <f aca="false">M11/$R$3</f>
        <v>3.807</v>
      </c>
      <c r="W11" s="126" t="n">
        <f aca="false">N11/$R$3</f>
        <v>3.807</v>
      </c>
    </row>
    <row r="12" customFormat="false" ht="12.75" hidden="true" customHeight="false" outlineLevel="0" collapsed="false">
      <c r="A12" s="120" t="n">
        <f aca="false">A11+1</f>
        <v>36898</v>
      </c>
      <c r="B12" s="131" t="str">
        <f aca="false">INDEX('Master Data'!$A$2:$B$8,MATCH(WEEKDAY('BRA Power'!A12,3),'Master Data'!$A$2:$A$8,0),2)</f>
        <v>Su</v>
      </c>
      <c r="D12" s="124" t="n">
        <v>0</v>
      </c>
      <c r="E12" s="124" t="n">
        <v>0</v>
      </c>
      <c r="F12" s="124" t="n">
        <v>0</v>
      </c>
      <c r="G12" s="124" t="n">
        <v>0</v>
      </c>
      <c r="I12" s="124" t="n">
        <f aca="false">IF(MONTH($A12)=MONTH($A11),IF(G12=0,I11,G12),0)</f>
        <v>3807</v>
      </c>
      <c r="J12" s="124" t="n">
        <f aca="false">IF(MONTH($A12)=MONTH($A11),SUM(I12-I11),I12)</f>
        <v>0</v>
      </c>
      <c r="K12" s="124" t="n">
        <f aca="false">IF(WEEKDAY(A12,3)&gt;4,0,(IF(A12&lt;K$2,0,IF(A12&lt;=K$3,1,0))))</f>
        <v>0</v>
      </c>
      <c r="L12" s="124" t="n">
        <f aca="false">J12*K12</f>
        <v>0</v>
      </c>
      <c r="M12" s="124" t="n">
        <f aca="false">SUM(J$6:J12)</f>
        <v>3807</v>
      </c>
      <c r="N12" s="124" t="n">
        <f aca="false">SUM(J$6:J12)</f>
        <v>3807</v>
      </c>
      <c r="P12" s="124" t="n">
        <f aca="false">D12/P$3</f>
        <v>0</v>
      </c>
      <c r="Q12" s="124" t="n">
        <f aca="false">E12/P$3</f>
        <v>0</v>
      </c>
      <c r="R12" s="124" t="n">
        <f aca="false">F12/R$3</f>
        <v>0</v>
      </c>
      <c r="S12" s="126" t="n">
        <f aca="false">J12/$R$3</f>
        <v>0</v>
      </c>
      <c r="T12" s="126" t="n">
        <f aca="false">L12/$R$3</f>
        <v>0</v>
      </c>
      <c r="U12" s="126" t="n">
        <f aca="false">I12/$R$3</f>
        <v>3.807</v>
      </c>
      <c r="V12" s="126" t="n">
        <f aca="false">M12/$R$3</f>
        <v>3.807</v>
      </c>
      <c r="W12" s="126" t="n">
        <f aca="false">N12/$R$3</f>
        <v>3.807</v>
      </c>
    </row>
    <row r="13" customFormat="false" ht="12.75" hidden="true" customHeight="false" outlineLevel="0" collapsed="false">
      <c r="A13" s="120" t="n">
        <f aca="false">A12+1</f>
        <v>36899</v>
      </c>
      <c r="B13" s="131" t="str">
        <f aca="false">INDEX('Master Data'!$A$2:$B$8,MATCH(WEEKDAY('BRA Power'!A13,3),'Master Data'!$A$2:$A$8,0),2)</f>
        <v>M</v>
      </c>
      <c r="D13" s="124" t="n">
        <v>135258</v>
      </c>
      <c r="E13" s="124" t="n">
        <v>0</v>
      </c>
      <c r="F13" s="124" t="n">
        <v>0</v>
      </c>
      <c r="G13" s="124" t="n">
        <v>5254</v>
      </c>
      <c r="I13" s="124" t="n">
        <f aca="false">IF(MONTH($A13)=MONTH($A12),IF(G13=0,I12,G13),0)</f>
        <v>5254</v>
      </c>
      <c r="J13" s="124" t="n">
        <f aca="false">IF(MONTH($A13)=MONTH($A12),SUM(I13-I12),I13)</f>
        <v>1447</v>
      </c>
      <c r="K13" s="124" t="n">
        <f aca="false">IF(WEEKDAY(A13,3)&gt;4,0,(IF(A13&lt;K$2,0,IF(A13&lt;=K$3,1,0))))</f>
        <v>0</v>
      </c>
      <c r="L13" s="124" t="n">
        <f aca="false">J13*K13</f>
        <v>0</v>
      </c>
      <c r="M13" s="124" t="n">
        <f aca="false">SUM(J$6:J13)</f>
        <v>5254</v>
      </c>
      <c r="N13" s="124" t="n">
        <f aca="false">SUM(J$6:J13)</f>
        <v>5254</v>
      </c>
      <c r="P13" s="124" t="n">
        <f aca="false">D13/P$3</f>
        <v>0.135258</v>
      </c>
      <c r="Q13" s="124" t="n">
        <f aca="false">E13/P$3</f>
        <v>0</v>
      </c>
      <c r="R13" s="124" t="n">
        <f aca="false">F13/R$3</f>
        <v>0</v>
      </c>
      <c r="S13" s="126" t="n">
        <f aca="false">J13/$R$3</f>
        <v>1.447</v>
      </c>
      <c r="T13" s="126" t="n">
        <f aca="false">L13/$R$3</f>
        <v>0</v>
      </c>
      <c r="U13" s="126" t="n">
        <f aca="false">I13/$R$3</f>
        <v>5.254</v>
      </c>
      <c r="V13" s="126" t="n">
        <f aca="false">M13/$R$3</f>
        <v>5.254</v>
      </c>
      <c r="W13" s="126" t="n">
        <f aca="false">N13/$R$3</f>
        <v>5.254</v>
      </c>
    </row>
    <row r="14" customFormat="false" ht="12.75" hidden="true" customHeight="false" outlineLevel="0" collapsed="false">
      <c r="A14" s="120" t="n">
        <f aca="false">A13+1</f>
        <v>36900</v>
      </c>
      <c r="B14" s="131" t="str">
        <f aca="false">INDEX('Master Data'!$A$2:$B$8,MATCH(WEEKDAY('BRA Power'!A14,3),'Master Data'!$A$2:$A$8,0),2)</f>
        <v>T</v>
      </c>
      <c r="D14" s="124" t="n">
        <v>135319</v>
      </c>
      <c r="E14" s="124" t="n">
        <v>0</v>
      </c>
      <c r="F14" s="124" t="n">
        <v>0</v>
      </c>
      <c r="G14" s="124" t="n">
        <v>5736</v>
      </c>
      <c r="I14" s="124" t="n">
        <f aca="false">IF(MONTH($A14)=MONTH($A13),IF(G14=0,I13,G14),0)</f>
        <v>5736</v>
      </c>
      <c r="J14" s="124" t="n">
        <f aca="false">IF(MONTH($A14)=MONTH($A13),SUM(I14-I13),I14)</f>
        <v>482</v>
      </c>
      <c r="K14" s="124" t="n">
        <f aca="false">IF(WEEKDAY(A14,3)&gt;4,0,(IF(A14&lt;K$2,0,IF(A14&lt;=K$3,1,0))))</f>
        <v>0</v>
      </c>
      <c r="L14" s="124" t="n">
        <f aca="false">J14*K14</f>
        <v>0</v>
      </c>
      <c r="M14" s="124" t="n">
        <f aca="false">SUM(J$6:J14)</f>
        <v>5736</v>
      </c>
      <c r="N14" s="124" t="n">
        <f aca="false">SUM(J$6:J14)</f>
        <v>5736</v>
      </c>
      <c r="P14" s="124" t="n">
        <f aca="false">D14/P$3</f>
        <v>0.135319</v>
      </c>
      <c r="Q14" s="124" t="n">
        <f aca="false">E14/P$3</f>
        <v>0</v>
      </c>
      <c r="R14" s="124" t="n">
        <f aca="false">F14/R$3</f>
        <v>0</v>
      </c>
      <c r="S14" s="126" t="n">
        <f aca="false">J14/$R$3</f>
        <v>0.482</v>
      </c>
      <c r="T14" s="126" t="n">
        <f aca="false">L14/$R$3</f>
        <v>0</v>
      </c>
      <c r="U14" s="126" t="n">
        <f aca="false">I14/$R$3</f>
        <v>5.736</v>
      </c>
      <c r="V14" s="126" t="n">
        <f aca="false">M14/$R$3</f>
        <v>5.736</v>
      </c>
      <c r="W14" s="126" t="n">
        <f aca="false">N14/$R$3</f>
        <v>5.736</v>
      </c>
    </row>
    <row r="15" customFormat="false" ht="12.75" hidden="true" customHeight="false" outlineLevel="0" collapsed="false">
      <c r="A15" s="120" t="n">
        <f aca="false">A14+1</f>
        <v>36901</v>
      </c>
      <c r="B15" s="131" t="str">
        <f aca="false">INDEX('Master Data'!$A$2:$B$8,MATCH(WEEKDAY('BRA Power'!A15,3),'Master Data'!$A$2:$A$8,0),2)</f>
        <v>W</v>
      </c>
      <c r="D15" s="124" t="n">
        <v>135381</v>
      </c>
      <c r="E15" s="124" t="n">
        <v>0</v>
      </c>
      <c r="F15" s="124" t="n">
        <v>0</v>
      </c>
      <c r="G15" s="124" t="n">
        <v>6219</v>
      </c>
      <c r="I15" s="124" t="n">
        <f aca="false">IF(MONTH($A15)=MONTH($A14),IF(G15=0,I14,G15),0)</f>
        <v>6219</v>
      </c>
      <c r="J15" s="124" t="n">
        <f aca="false">IF(MONTH($A15)=MONTH($A14),SUM(I15-I14),I15)</f>
        <v>483</v>
      </c>
      <c r="K15" s="124" t="n">
        <f aca="false">IF(WEEKDAY(A15,3)&gt;4,0,(IF(A15&lt;K$2,0,IF(A15&lt;=K$3,1,0))))</f>
        <v>0</v>
      </c>
      <c r="L15" s="124" t="n">
        <f aca="false">J15*K15</f>
        <v>0</v>
      </c>
      <c r="M15" s="124" t="n">
        <f aca="false">SUM(J$6:J15)</f>
        <v>6219</v>
      </c>
      <c r="N15" s="124" t="n">
        <f aca="false">SUM(J$6:J15)</f>
        <v>6219</v>
      </c>
      <c r="P15" s="124" t="n">
        <f aca="false">D15/P$3</f>
        <v>0.135381</v>
      </c>
      <c r="Q15" s="124" t="n">
        <f aca="false">E15/P$3</f>
        <v>0</v>
      </c>
      <c r="R15" s="124" t="n">
        <f aca="false">F15/R$3</f>
        <v>0</v>
      </c>
      <c r="S15" s="126" t="n">
        <f aca="false">J15/$R$3</f>
        <v>0.483</v>
      </c>
      <c r="T15" s="126" t="n">
        <f aca="false">L15/$R$3</f>
        <v>0</v>
      </c>
      <c r="U15" s="126" t="n">
        <f aca="false">I15/$R$3</f>
        <v>6.219</v>
      </c>
      <c r="V15" s="126" t="n">
        <f aca="false">M15/$R$3</f>
        <v>6.219</v>
      </c>
      <c r="W15" s="126" t="n">
        <f aca="false">N15/$R$3</f>
        <v>6.219</v>
      </c>
    </row>
    <row r="16" customFormat="false" ht="12.75" hidden="true" customHeight="false" outlineLevel="0" collapsed="false">
      <c r="A16" s="120" t="n">
        <f aca="false">A15+1</f>
        <v>36902</v>
      </c>
      <c r="B16" s="131" t="str">
        <f aca="false">INDEX('Master Data'!$A$2:$B$8,MATCH(WEEKDAY('BRA Power'!A16,3),'Master Data'!$A$2:$A$8,0),2)</f>
        <v>Th</v>
      </c>
      <c r="D16" s="124" t="n">
        <v>135443</v>
      </c>
      <c r="E16" s="124" t="n">
        <v>0</v>
      </c>
      <c r="F16" s="124" t="n">
        <v>0</v>
      </c>
      <c r="G16" s="124" t="n">
        <v>6702</v>
      </c>
      <c r="I16" s="124" t="n">
        <f aca="false">IF(MONTH($A16)=MONTH($A15),IF(G16=0,I15,G16),0)</f>
        <v>6702</v>
      </c>
      <c r="J16" s="124" t="n">
        <f aca="false">IF(MONTH($A16)=MONTH($A15),SUM(I16-I15),I16)</f>
        <v>483</v>
      </c>
      <c r="K16" s="124" t="n">
        <f aca="false">IF(WEEKDAY(A16,3)&gt;4,0,(IF(A16&lt;K$2,0,IF(A16&lt;=K$3,1,0))))</f>
        <v>0</v>
      </c>
      <c r="L16" s="124" t="n">
        <f aca="false">J16*K16</f>
        <v>0</v>
      </c>
      <c r="M16" s="124" t="n">
        <f aca="false">SUM(J$6:J16)</f>
        <v>6702</v>
      </c>
      <c r="N16" s="124" t="n">
        <f aca="false">SUM(J$6:J16)</f>
        <v>6702</v>
      </c>
      <c r="P16" s="124" t="n">
        <f aca="false">D16/P$3</f>
        <v>0.135443</v>
      </c>
      <c r="Q16" s="124" t="n">
        <f aca="false">E16/P$3</f>
        <v>0</v>
      </c>
      <c r="R16" s="124" t="n">
        <f aca="false">F16/R$3</f>
        <v>0</v>
      </c>
      <c r="S16" s="126" t="n">
        <f aca="false">J16/$R$3</f>
        <v>0.483</v>
      </c>
      <c r="T16" s="126" t="n">
        <f aca="false">L16/$R$3</f>
        <v>0</v>
      </c>
      <c r="U16" s="126" t="n">
        <f aca="false">I16/$R$3</f>
        <v>6.702</v>
      </c>
      <c r="V16" s="126" t="n">
        <f aca="false">M16/$R$3</f>
        <v>6.702</v>
      </c>
      <c r="W16" s="126" t="n">
        <f aca="false">N16/$R$3</f>
        <v>6.702</v>
      </c>
    </row>
    <row r="17" customFormat="false" ht="12.75" hidden="true" customHeight="false" outlineLevel="0" collapsed="false">
      <c r="A17" s="120" t="n">
        <f aca="false">A16+1</f>
        <v>36903</v>
      </c>
      <c r="B17" s="131" t="str">
        <f aca="false">INDEX('Master Data'!$A$2:$B$8,MATCH(WEEKDAY('BRA Power'!A17,3),'Master Data'!$A$2:$A$8,0),2)</f>
        <v>F</v>
      </c>
      <c r="D17" s="124" t="n">
        <v>135504</v>
      </c>
      <c r="E17" s="124" t="n">
        <v>0</v>
      </c>
      <c r="F17" s="124" t="n">
        <v>0</v>
      </c>
      <c r="G17" s="124" t="n">
        <v>-32164</v>
      </c>
      <c r="I17" s="124" t="n">
        <f aca="false">IF(MONTH($A17)=MONTH($A16),IF(G17=0,I16,G17),0)</f>
        <v>-32164</v>
      </c>
      <c r="J17" s="124" t="n">
        <f aca="false">IF(MONTH($A17)=MONTH($A16),SUM(I17-I16),I17)</f>
        <v>-38866</v>
      </c>
      <c r="K17" s="124" t="n">
        <f aca="false">IF(WEEKDAY(A17,3)&gt;4,0,(IF(A17&lt;K$2,0,IF(A17&lt;=K$3,1,0))))</f>
        <v>0</v>
      </c>
      <c r="L17" s="124" t="n">
        <f aca="false">J17*K17</f>
        <v>-0</v>
      </c>
      <c r="M17" s="124" t="n">
        <f aca="false">SUM(J$6:J17)</f>
        <v>-32164</v>
      </c>
      <c r="N17" s="124" t="n">
        <f aca="false">SUM(J$6:J17)</f>
        <v>-32164</v>
      </c>
      <c r="P17" s="124" t="n">
        <f aca="false">D17/P$3</f>
        <v>0.135504</v>
      </c>
      <c r="Q17" s="124" t="n">
        <f aca="false">E17/P$3</f>
        <v>0</v>
      </c>
      <c r="R17" s="124" t="n">
        <f aca="false">F17/R$3</f>
        <v>0</v>
      </c>
      <c r="S17" s="126" t="n">
        <f aca="false">J17/$R$3</f>
        <v>-38.866</v>
      </c>
      <c r="T17" s="126" t="n">
        <f aca="false">L17/$R$3</f>
        <v>-0</v>
      </c>
      <c r="U17" s="126" t="n">
        <f aca="false">I17/$R$3</f>
        <v>-32.164</v>
      </c>
      <c r="V17" s="126" t="n">
        <f aca="false">M17/$R$3</f>
        <v>-32.164</v>
      </c>
      <c r="W17" s="126" t="n">
        <f aca="false">N17/$R$3</f>
        <v>-32.164</v>
      </c>
    </row>
    <row r="18" customFormat="false" ht="12.75" hidden="true" customHeight="false" outlineLevel="0" collapsed="false">
      <c r="A18" s="120" t="n">
        <f aca="false">A17+1</f>
        <v>36904</v>
      </c>
      <c r="B18" s="131" t="str">
        <f aca="false">INDEX('Master Data'!$A$2:$B$8,MATCH(WEEKDAY('BRA Power'!A18,3),'Master Data'!$A$2:$A$8,0),2)</f>
        <v>Sa</v>
      </c>
      <c r="D18" s="124" t="n">
        <v>0</v>
      </c>
      <c r="E18" s="124" t="n">
        <v>0</v>
      </c>
      <c r="F18" s="124" t="n">
        <v>0</v>
      </c>
      <c r="G18" s="124" t="n">
        <v>0</v>
      </c>
      <c r="I18" s="124" t="n">
        <f aca="false">IF(MONTH($A18)=MONTH($A17),IF(G18=0,I17,G18),0)</f>
        <v>-32164</v>
      </c>
      <c r="J18" s="124" t="n">
        <f aca="false">IF(MONTH($A18)=MONTH($A17),SUM(I18-I17),I18)</f>
        <v>0</v>
      </c>
      <c r="K18" s="124" t="n">
        <f aca="false">IF(WEEKDAY(A18,3)&gt;4,0,(IF(A18&lt;K$2,0,IF(A18&lt;=K$3,1,0))))</f>
        <v>0</v>
      </c>
      <c r="L18" s="124" t="n">
        <f aca="false">J18*K18</f>
        <v>0</v>
      </c>
      <c r="M18" s="124" t="n">
        <f aca="false">SUM(J$6:J18)</f>
        <v>-32164</v>
      </c>
      <c r="N18" s="124" t="n">
        <f aca="false">SUM(J$6:J18)</f>
        <v>-32164</v>
      </c>
      <c r="P18" s="124" t="n">
        <f aca="false">D18/P$3</f>
        <v>0</v>
      </c>
      <c r="Q18" s="124" t="n">
        <f aca="false">E18/P$3</f>
        <v>0</v>
      </c>
      <c r="R18" s="124" t="n">
        <f aca="false">F18/R$3</f>
        <v>0</v>
      </c>
      <c r="S18" s="126" t="n">
        <f aca="false">J18/$R$3</f>
        <v>0</v>
      </c>
      <c r="T18" s="126" t="n">
        <f aca="false">L18/$R$3</f>
        <v>0</v>
      </c>
      <c r="U18" s="126" t="n">
        <f aca="false">I18/$R$3</f>
        <v>-32.164</v>
      </c>
      <c r="V18" s="126" t="n">
        <f aca="false">M18/$R$3</f>
        <v>-32.164</v>
      </c>
      <c r="W18" s="126" t="n">
        <f aca="false">N18/$R$3</f>
        <v>-32.164</v>
      </c>
    </row>
    <row r="19" customFormat="false" ht="12.75" hidden="true" customHeight="false" outlineLevel="0" collapsed="false">
      <c r="A19" s="120" t="n">
        <f aca="false">A18+1</f>
        <v>36905</v>
      </c>
      <c r="B19" s="131" t="str">
        <f aca="false">INDEX('Master Data'!$A$2:$B$8,MATCH(WEEKDAY('BRA Power'!A19,3),'Master Data'!$A$2:$A$8,0),2)</f>
        <v>Su</v>
      </c>
      <c r="D19" s="124" t="n">
        <v>0</v>
      </c>
      <c r="E19" s="124" t="n">
        <v>0</v>
      </c>
      <c r="F19" s="124" t="n">
        <v>0</v>
      </c>
      <c r="G19" s="124" t="n">
        <v>0</v>
      </c>
      <c r="I19" s="124" t="n">
        <f aca="false">IF(MONTH($A19)=MONTH($A18),IF(G19=0,I18,G19),0)</f>
        <v>-32164</v>
      </c>
      <c r="J19" s="124" t="n">
        <f aca="false">IF(MONTH($A19)=MONTH($A18),SUM(I19-I18),I19)</f>
        <v>0</v>
      </c>
      <c r="K19" s="124" t="n">
        <f aca="false">IF(WEEKDAY(A19,3)&gt;4,0,(IF(A19&lt;K$2,0,IF(A19&lt;=K$3,1,0))))</f>
        <v>0</v>
      </c>
      <c r="L19" s="124" t="n">
        <f aca="false">J19*K19</f>
        <v>0</v>
      </c>
      <c r="M19" s="124" t="n">
        <f aca="false">SUM(J$6:J19)</f>
        <v>-32164</v>
      </c>
      <c r="N19" s="124" t="n">
        <f aca="false">SUM(J$6:J19)</f>
        <v>-32164</v>
      </c>
      <c r="P19" s="124" t="n">
        <f aca="false">D19/P$3</f>
        <v>0</v>
      </c>
      <c r="Q19" s="124" t="n">
        <f aca="false">E19/P$3</f>
        <v>0</v>
      </c>
      <c r="R19" s="124" t="n">
        <f aca="false">F19/R$3</f>
        <v>0</v>
      </c>
      <c r="S19" s="126" t="n">
        <f aca="false">J19/$R$3</f>
        <v>0</v>
      </c>
      <c r="T19" s="126" t="n">
        <f aca="false">L19/$R$3</f>
        <v>0</v>
      </c>
      <c r="U19" s="126" t="n">
        <f aca="false">I19/$R$3</f>
        <v>-32.164</v>
      </c>
      <c r="V19" s="126" t="n">
        <f aca="false">M19/$R$3</f>
        <v>-32.164</v>
      </c>
      <c r="W19" s="126" t="n">
        <f aca="false">N19/$R$3</f>
        <v>-32.164</v>
      </c>
    </row>
    <row r="20" customFormat="false" ht="12.75" hidden="true" customHeight="false" outlineLevel="0" collapsed="false">
      <c r="A20" s="120" t="n">
        <f aca="false">A19+1</f>
        <v>36906</v>
      </c>
      <c r="B20" s="131" t="str">
        <f aca="false">INDEX('Master Data'!$A$2:$B$8,MATCH(WEEKDAY('BRA Power'!A20,3),'Master Data'!$A$2:$A$8,0),2)</f>
        <v>M</v>
      </c>
      <c r="D20" s="124" t="n">
        <v>0</v>
      </c>
      <c r="E20" s="124" t="n">
        <v>0</v>
      </c>
      <c r="F20" s="124" t="n">
        <v>0</v>
      </c>
      <c r="G20" s="124" t="n">
        <v>0</v>
      </c>
      <c r="I20" s="124" t="n">
        <f aca="false">IF(MONTH($A20)=MONTH($A19),IF(G20=0,I19,G20),0)</f>
        <v>-32164</v>
      </c>
      <c r="J20" s="124" t="n">
        <f aca="false">IF(MONTH($A20)=MONTH($A19),SUM(I20-I19),I20)</f>
        <v>0</v>
      </c>
      <c r="K20" s="124" t="n">
        <f aca="false">IF(WEEKDAY(A20,3)&gt;4,0,(IF(A20&lt;K$2,0,IF(A20&lt;=K$3,1,0))))</f>
        <v>0</v>
      </c>
      <c r="L20" s="124" t="n">
        <f aca="false">J20*K20</f>
        <v>0</v>
      </c>
      <c r="M20" s="124" t="n">
        <f aca="false">SUM(J$6:J20)</f>
        <v>-32164</v>
      </c>
      <c r="N20" s="124" t="n">
        <f aca="false">SUM(J$6:J20)</f>
        <v>-32164</v>
      </c>
      <c r="P20" s="124" t="n">
        <f aca="false">D20/P$3</f>
        <v>0</v>
      </c>
      <c r="Q20" s="124" t="n">
        <f aca="false">E20/P$3</f>
        <v>0</v>
      </c>
      <c r="R20" s="124" t="n">
        <f aca="false">F20/R$3</f>
        <v>0</v>
      </c>
      <c r="S20" s="126" t="n">
        <f aca="false">J20/$R$3</f>
        <v>0</v>
      </c>
      <c r="T20" s="126" t="n">
        <f aca="false">L20/$R$3</f>
        <v>0</v>
      </c>
      <c r="U20" s="126" t="n">
        <f aca="false">I20/$R$3</f>
        <v>-32.164</v>
      </c>
      <c r="V20" s="126" t="n">
        <f aca="false">M20/$R$3</f>
        <v>-32.164</v>
      </c>
      <c r="W20" s="126" t="n">
        <f aca="false">N20/$R$3</f>
        <v>-32.164</v>
      </c>
    </row>
    <row r="21" customFormat="false" ht="12.75" hidden="true" customHeight="false" outlineLevel="0" collapsed="false">
      <c r="A21" s="120" t="n">
        <f aca="false">A20+1</f>
        <v>36907</v>
      </c>
      <c r="B21" s="131" t="str">
        <f aca="false">INDEX('Master Data'!$A$2:$B$8,MATCH(WEEKDAY('BRA Power'!A21,3),'Master Data'!$A$2:$A$8,0),2)</f>
        <v>T</v>
      </c>
      <c r="D21" s="124" t="n">
        <v>135682</v>
      </c>
      <c r="E21" s="124" t="n">
        <v>0</v>
      </c>
      <c r="F21" s="124" t="n">
        <v>0</v>
      </c>
      <c r="G21" s="124" t="n">
        <v>-152538</v>
      </c>
      <c r="I21" s="124" t="n">
        <f aca="false">IF(MONTH($A21)=MONTH($A20),IF(G21=0,I20,G21),0)</f>
        <v>-152538</v>
      </c>
      <c r="J21" s="124" t="n">
        <f aca="false">IF(MONTH($A21)=MONTH($A20),SUM(I21-I20),I21)</f>
        <v>-120374</v>
      </c>
      <c r="K21" s="124" t="n">
        <f aca="false">IF(WEEKDAY(A21,3)&gt;4,0,(IF(A21&lt;K$2,0,IF(A21&lt;=K$3,1,0))))</f>
        <v>0</v>
      </c>
      <c r="L21" s="124" t="n">
        <f aca="false">J21*K21</f>
        <v>-0</v>
      </c>
      <c r="M21" s="124" t="n">
        <f aca="false">SUM(J$6:J21)</f>
        <v>-152538</v>
      </c>
      <c r="N21" s="124" t="n">
        <f aca="false">SUM(J$6:J21)</f>
        <v>-152538</v>
      </c>
      <c r="P21" s="124" t="n">
        <f aca="false">D21/P$3</f>
        <v>0.135682</v>
      </c>
      <c r="Q21" s="124" t="n">
        <f aca="false">E21/P$3</f>
        <v>0</v>
      </c>
      <c r="R21" s="124" t="n">
        <f aca="false">F21/R$3</f>
        <v>0</v>
      </c>
      <c r="S21" s="126" t="n">
        <f aca="false">J21/$R$3</f>
        <v>-120.374</v>
      </c>
      <c r="T21" s="126" t="n">
        <f aca="false">L21/$R$3</f>
        <v>-0</v>
      </c>
      <c r="U21" s="126" t="n">
        <f aca="false">I21/$R$3</f>
        <v>-152.538</v>
      </c>
      <c r="V21" s="126" t="n">
        <f aca="false">M21/$R$3</f>
        <v>-152.538</v>
      </c>
      <c r="W21" s="126" t="n">
        <f aca="false">N21/$R$3</f>
        <v>-152.538</v>
      </c>
    </row>
    <row r="22" customFormat="false" ht="12.75" hidden="true" customHeight="false" outlineLevel="0" collapsed="false">
      <c r="A22" s="120" t="n">
        <f aca="false">A21+1</f>
        <v>36908</v>
      </c>
      <c r="B22" s="131" t="str">
        <f aca="false">INDEX('Master Data'!$A$2:$B$8,MATCH(WEEKDAY('BRA Power'!A22,3),'Master Data'!$A$2:$A$8,0),2)</f>
        <v>W</v>
      </c>
      <c r="D22" s="124" t="n">
        <v>135813</v>
      </c>
      <c r="E22" s="124" t="n">
        <v>0</v>
      </c>
      <c r="F22" s="124" t="n">
        <v>0</v>
      </c>
      <c r="G22" s="124" t="n">
        <v>-152126</v>
      </c>
      <c r="I22" s="124" t="n">
        <f aca="false">IF(MONTH($A22)=MONTH($A21),IF(G22=0,I21,G22),0)</f>
        <v>-152126</v>
      </c>
      <c r="J22" s="124" t="n">
        <f aca="false">IF(MONTH($A22)=MONTH($A21),SUM(I22-I21),I22)</f>
        <v>412</v>
      </c>
      <c r="K22" s="124" t="n">
        <f aca="false">IF(WEEKDAY(A22,3)&gt;4,0,(IF(A22&lt;K$2,0,IF(A22&lt;=K$3,1,0))))</f>
        <v>0</v>
      </c>
      <c r="L22" s="124" t="n">
        <f aca="false">J22*K22</f>
        <v>0</v>
      </c>
      <c r="M22" s="124" t="n">
        <f aca="false">SUM(J$6:J22)</f>
        <v>-152126</v>
      </c>
      <c r="N22" s="124" t="n">
        <f aca="false">SUM(J$6:J22)</f>
        <v>-152126</v>
      </c>
      <c r="P22" s="124" t="n">
        <f aca="false">D22/P$3</f>
        <v>0.135813</v>
      </c>
      <c r="Q22" s="124" t="n">
        <f aca="false">E22/P$3</f>
        <v>0</v>
      </c>
      <c r="R22" s="124" t="n">
        <f aca="false">F22/R$3</f>
        <v>0</v>
      </c>
      <c r="S22" s="126" t="n">
        <f aca="false">J22/$R$3</f>
        <v>0.412</v>
      </c>
      <c r="T22" s="126" t="n">
        <f aca="false">L22/$R$3</f>
        <v>0</v>
      </c>
      <c r="U22" s="126" t="n">
        <f aca="false">I22/$R$3</f>
        <v>-152.126</v>
      </c>
      <c r="V22" s="126" t="n">
        <f aca="false">M22/$R$3</f>
        <v>-152.126</v>
      </c>
      <c r="W22" s="126" t="n">
        <f aca="false">N22/$R$3</f>
        <v>-152.126</v>
      </c>
    </row>
    <row r="23" customFormat="false" ht="12.75" hidden="true" customHeight="false" outlineLevel="0" collapsed="false">
      <c r="A23" s="120" t="n">
        <f aca="false">A22+1</f>
        <v>36909</v>
      </c>
      <c r="B23" s="131" t="str">
        <f aca="false">INDEX('Master Data'!$A$2:$B$8,MATCH(WEEKDAY('BRA Power'!A23,3),'Master Data'!$A$2:$A$8,0),2)</f>
        <v>Th</v>
      </c>
      <c r="D23" s="124" t="n">
        <v>135875</v>
      </c>
      <c r="E23" s="124" t="n">
        <v>0</v>
      </c>
      <c r="F23" s="124" t="n">
        <v>0</v>
      </c>
      <c r="G23" s="124" t="n">
        <v>-151712</v>
      </c>
      <c r="I23" s="124" t="n">
        <f aca="false">IF(MONTH($A23)=MONTH($A22),IF(G23=0,I22,G23),0)</f>
        <v>-151712</v>
      </c>
      <c r="J23" s="124" t="n">
        <f aca="false">IF(MONTH($A23)=MONTH($A22),SUM(I23-I22),I23)</f>
        <v>414</v>
      </c>
      <c r="K23" s="124" t="n">
        <f aca="false">IF(WEEKDAY(A23,3)&gt;4,0,(IF(A23&lt;K$2,0,IF(A23&lt;=K$3,1,0))))</f>
        <v>0</v>
      </c>
      <c r="L23" s="124" t="n">
        <f aca="false">J23*K23</f>
        <v>0</v>
      </c>
      <c r="M23" s="124" t="n">
        <f aca="false">SUM(J$6:J23)</f>
        <v>-151712</v>
      </c>
      <c r="N23" s="124" t="n">
        <f aca="false">SUM(J$6:J23)</f>
        <v>-151712</v>
      </c>
      <c r="P23" s="124" t="n">
        <f aca="false">D23/P$3</f>
        <v>0.135875</v>
      </c>
      <c r="Q23" s="124" t="n">
        <f aca="false">E23/P$3</f>
        <v>0</v>
      </c>
      <c r="R23" s="124" t="n">
        <f aca="false">F23/R$3</f>
        <v>0</v>
      </c>
      <c r="S23" s="126" t="n">
        <f aca="false">J23/$R$3</f>
        <v>0.414</v>
      </c>
      <c r="T23" s="126" t="n">
        <f aca="false">L23/$R$3</f>
        <v>0</v>
      </c>
      <c r="U23" s="126" t="n">
        <f aca="false">I23/$R$3</f>
        <v>-151.712</v>
      </c>
      <c r="V23" s="126" t="n">
        <f aca="false">M23/$R$3</f>
        <v>-151.712</v>
      </c>
      <c r="W23" s="126" t="n">
        <f aca="false">N23/$R$3</f>
        <v>-151.712</v>
      </c>
    </row>
    <row r="24" customFormat="false" ht="12.75" hidden="true" customHeight="false" outlineLevel="0" collapsed="false">
      <c r="A24" s="120" t="n">
        <f aca="false">A23+1</f>
        <v>36910</v>
      </c>
      <c r="B24" s="131" t="str">
        <f aca="false">INDEX('Master Data'!$A$2:$B$8,MATCH(WEEKDAY('BRA Power'!A24,3),'Master Data'!$A$2:$A$8,0),2)</f>
        <v>F</v>
      </c>
      <c r="D24" s="124" t="n">
        <v>135937</v>
      </c>
      <c r="E24" s="124" t="n">
        <v>0</v>
      </c>
      <c r="F24" s="124" t="n">
        <v>0</v>
      </c>
      <c r="G24" s="124" t="n">
        <v>-151299</v>
      </c>
      <c r="I24" s="124" t="n">
        <f aca="false">IF(MONTH($A24)=MONTH($A23),IF(G24=0,I23,G24),0)</f>
        <v>-151299</v>
      </c>
      <c r="J24" s="124" t="n">
        <f aca="false">IF(MONTH($A24)=MONTH($A23),SUM(I24-I23),I24)</f>
        <v>413</v>
      </c>
      <c r="K24" s="124" t="n">
        <f aca="false">IF(WEEKDAY(A24,3)&gt;4,0,(IF(A24&lt;K$2,0,IF(A24&lt;=K$3,1,0))))</f>
        <v>0</v>
      </c>
      <c r="L24" s="124" t="n">
        <f aca="false">J24*K24</f>
        <v>0</v>
      </c>
      <c r="M24" s="124" t="n">
        <f aca="false">SUM(J$6:J24)</f>
        <v>-151299</v>
      </c>
      <c r="N24" s="124" t="n">
        <f aca="false">SUM(J$6:J24)</f>
        <v>-151299</v>
      </c>
      <c r="P24" s="124" t="n">
        <f aca="false">D24/P$3</f>
        <v>0.135937</v>
      </c>
      <c r="Q24" s="124" t="n">
        <f aca="false">E24/P$3</f>
        <v>0</v>
      </c>
      <c r="R24" s="124" t="n">
        <f aca="false">F24/R$3</f>
        <v>0</v>
      </c>
      <c r="S24" s="126" t="n">
        <f aca="false">J24/$R$3</f>
        <v>0.413</v>
      </c>
      <c r="T24" s="126" t="n">
        <f aca="false">L24/$R$3</f>
        <v>0</v>
      </c>
      <c r="U24" s="126" t="n">
        <f aca="false">I24/$R$3</f>
        <v>-151.299</v>
      </c>
      <c r="V24" s="126" t="n">
        <f aca="false">M24/$R$3</f>
        <v>-151.299</v>
      </c>
      <c r="W24" s="126" t="n">
        <f aca="false">N24/$R$3</f>
        <v>-151.299</v>
      </c>
    </row>
    <row r="25" customFormat="false" ht="12.75" hidden="true" customHeight="false" outlineLevel="0" collapsed="false">
      <c r="A25" s="120" t="n">
        <f aca="false">A24+1</f>
        <v>36911</v>
      </c>
      <c r="B25" s="131" t="str">
        <f aca="false">INDEX('Master Data'!$A$2:$B$8,MATCH(WEEKDAY('BRA Power'!A25,3),'Master Data'!$A$2:$A$8,0),2)</f>
        <v>Sa</v>
      </c>
      <c r="D25" s="124" t="n">
        <v>0</v>
      </c>
      <c r="E25" s="124" t="n">
        <v>0</v>
      </c>
      <c r="F25" s="124" t="n">
        <v>0</v>
      </c>
      <c r="G25" s="124" t="n">
        <v>0</v>
      </c>
      <c r="I25" s="124" t="n">
        <f aca="false">IF(MONTH($A25)=MONTH($A24),IF(G25=0,I24,G25),0)</f>
        <v>-151299</v>
      </c>
      <c r="J25" s="124" t="n">
        <f aca="false">IF(MONTH($A25)=MONTH($A24),SUM(I25-I24),I25)</f>
        <v>0</v>
      </c>
      <c r="K25" s="124" t="n">
        <f aca="false">IF(WEEKDAY(A25,3)&gt;4,0,(IF(A25&lt;K$2,0,IF(A25&lt;=K$3,1,0))))</f>
        <v>0</v>
      </c>
      <c r="L25" s="124" t="n">
        <f aca="false">J25*K25</f>
        <v>0</v>
      </c>
      <c r="M25" s="124" t="n">
        <f aca="false">SUM(J$6:J25)</f>
        <v>-151299</v>
      </c>
      <c r="N25" s="124" t="n">
        <f aca="false">SUM(J$6:J25)</f>
        <v>-151299</v>
      </c>
      <c r="P25" s="124" t="n">
        <f aca="false">D25/P$3</f>
        <v>0</v>
      </c>
      <c r="Q25" s="124" t="n">
        <f aca="false">E25/P$3</f>
        <v>0</v>
      </c>
      <c r="R25" s="124" t="n">
        <f aca="false">F25/R$3</f>
        <v>0</v>
      </c>
      <c r="S25" s="126" t="n">
        <f aca="false">J25/$R$3</f>
        <v>0</v>
      </c>
      <c r="T25" s="126" t="n">
        <f aca="false">L25/$R$3</f>
        <v>0</v>
      </c>
      <c r="U25" s="126" t="n">
        <f aca="false">I25/$R$3</f>
        <v>-151.299</v>
      </c>
      <c r="V25" s="126" t="n">
        <f aca="false">M25/$R$3</f>
        <v>-151.299</v>
      </c>
      <c r="W25" s="126" t="n">
        <f aca="false">N25/$R$3</f>
        <v>-151.299</v>
      </c>
    </row>
    <row r="26" customFormat="false" ht="12.75" hidden="true" customHeight="false" outlineLevel="0" collapsed="false">
      <c r="A26" s="120" t="n">
        <f aca="false">A25+1</f>
        <v>36912</v>
      </c>
      <c r="B26" s="131" t="str">
        <f aca="false">INDEX('Master Data'!$A$2:$B$8,MATCH(WEEKDAY('BRA Power'!A26,3),'Master Data'!$A$2:$A$8,0),2)</f>
        <v>Su</v>
      </c>
      <c r="D26" s="124" t="n">
        <v>0</v>
      </c>
      <c r="E26" s="124" t="n">
        <v>0</v>
      </c>
      <c r="F26" s="124" t="n">
        <v>0</v>
      </c>
      <c r="G26" s="124" t="n">
        <v>0</v>
      </c>
      <c r="I26" s="124" t="n">
        <f aca="false">IF(MONTH($A26)=MONTH($A25),IF(G26=0,I25,G26),0)</f>
        <v>-151299</v>
      </c>
      <c r="J26" s="124" t="n">
        <f aca="false">IF(MONTH($A26)=MONTH($A25),SUM(I26-I25),I26)</f>
        <v>0</v>
      </c>
      <c r="K26" s="124" t="n">
        <f aca="false">IF(WEEKDAY(A26,3)&gt;4,0,(IF(A26&lt;K$2,0,IF(A26&lt;=K$3,1,0))))</f>
        <v>0</v>
      </c>
      <c r="L26" s="124" t="n">
        <f aca="false">J26*K26</f>
        <v>0</v>
      </c>
      <c r="M26" s="124" t="n">
        <f aca="false">SUM(J$6:J26)</f>
        <v>-151299</v>
      </c>
      <c r="N26" s="124" t="n">
        <f aca="false">SUM(J$6:J26)</f>
        <v>-151299</v>
      </c>
      <c r="P26" s="124" t="n">
        <f aca="false">D26/P$3</f>
        <v>0</v>
      </c>
      <c r="Q26" s="124" t="n">
        <f aca="false">E26/P$3</f>
        <v>0</v>
      </c>
      <c r="R26" s="124" t="n">
        <f aca="false">F26/R$3</f>
        <v>0</v>
      </c>
      <c r="S26" s="126" t="n">
        <f aca="false">J26/$R$3</f>
        <v>0</v>
      </c>
      <c r="T26" s="126" t="n">
        <f aca="false">L26/$R$3</f>
        <v>0</v>
      </c>
      <c r="U26" s="126" t="n">
        <f aca="false">I26/$R$3</f>
        <v>-151.299</v>
      </c>
      <c r="V26" s="126" t="n">
        <f aca="false">M26/$R$3</f>
        <v>-151.299</v>
      </c>
      <c r="W26" s="126" t="n">
        <f aca="false">N26/$R$3</f>
        <v>-151.299</v>
      </c>
    </row>
    <row r="27" customFormat="false" ht="12.75" hidden="true" customHeight="false" outlineLevel="0" collapsed="false">
      <c r="A27" s="120" t="n">
        <f aca="false">A26+1</f>
        <v>36913</v>
      </c>
      <c r="B27" s="131" t="str">
        <f aca="false">INDEX('Master Data'!$A$2:$B$8,MATCH(WEEKDAY('BRA Power'!A27,3),'Master Data'!$A$2:$A$8,0),2)</f>
        <v>M</v>
      </c>
      <c r="D27" s="124" t="n">
        <v>136123</v>
      </c>
      <c r="E27" s="124" t="n">
        <v>0</v>
      </c>
      <c r="F27" s="124" t="n">
        <v>0</v>
      </c>
      <c r="G27" s="124" t="n">
        <v>-150058</v>
      </c>
      <c r="I27" s="124" t="n">
        <f aca="false">IF(MONTH($A27)=MONTH($A26),IF(G27=0,I26,G27),0)</f>
        <v>-150058</v>
      </c>
      <c r="J27" s="124" t="n">
        <f aca="false">IF(MONTH($A27)=MONTH($A26),SUM(I27-I26),I27)</f>
        <v>1241</v>
      </c>
      <c r="K27" s="124" t="n">
        <f aca="false">IF(WEEKDAY(A27,3)&gt;4,0,(IF(A27&lt;K$2,0,IF(A27&lt;=K$3,1,0))))</f>
        <v>0</v>
      </c>
      <c r="L27" s="124" t="n">
        <f aca="false">J27*K27</f>
        <v>0</v>
      </c>
      <c r="M27" s="124" t="n">
        <f aca="false">SUM(J$6:J27)</f>
        <v>-150058</v>
      </c>
      <c r="N27" s="124" t="n">
        <f aca="false">SUM(J$6:J27)</f>
        <v>-150058</v>
      </c>
      <c r="P27" s="124" t="n">
        <f aca="false">D27/P$3</f>
        <v>0.136123</v>
      </c>
      <c r="Q27" s="124" t="n">
        <f aca="false">E27/P$3</f>
        <v>0</v>
      </c>
      <c r="R27" s="124" t="n">
        <f aca="false">F27/R$3</f>
        <v>0</v>
      </c>
      <c r="S27" s="126" t="n">
        <f aca="false">J27/$R$3</f>
        <v>1.241</v>
      </c>
      <c r="T27" s="126" t="n">
        <f aca="false">L27/$R$3</f>
        <v>0</v>
      </c>
      <c r="U27" s="126" t="n">
        <f aca="false">I27/$R$3</f>
        <v>-150.058</v>
      </c>
      <c r="V27" s="126" t="n">
        <f aca="false">M27/$R$3</f>
        <v>-150.058</v>
      </c>
      <c r="W27" s="126" t="n">
        <f aca="false">N27/$R$3</f>
        <v>-150.058</v>
      </c>
    </row>
    <row r="28" customFormat="false" ht="12.75" hidden="true" customHeight="false" outlineLevel="0" collapsed="false">
      <c r="A28" s="120" t="n">
        <f aca="false">A27+1</f>
        <v>36914</v>
      </c>
      <c r="B28" s="131" t="str">
        <f aca="false">INDEX('Master Data'!$A$2:$B$8,MATCH(WEEKDAY('BRA Power'!A28,3),'Master Data'!$A$2:$A$8,0),2)</f>
        <v>T</v>
      </c>
      <c r="D28" s="124" t="n">
        <v>136185</v>
      </c>
      <c r="E28" s="124" t="n">
        <v>0</v>
      </c>
      <c r="F28" s="124" t="n">
        <v>0</v>
      </c>
      <c r="G28" s="124" t="n">
        <v>-149644</v>
      </c>
      <c r="I28" s="124" t="n">
        <f aca="false">IF(MONTH($A28)=MONTH($A27),IF(G28=0,I27,G28),0)</f>
        <v>-149644</v>
      </c>
      <c r="J28" s="124" t="n">
        <f aca="false">IF(MONTH($A28)=MONTH($A27),SUM(I28-I27),I28)</f>
        <v>414</v>
      </c>
      <c r="K28" s="124" t="n">
        <f aca="false">IF(WEEKDAY(A28,3)&gt;4,0,(IF(A28&lt;K$2,0,IF(A28&lt;=K$3,1,0))))</f>
        <v>0</v>
      </c>
      <c r="L28" s="124" t="n">
        <f aca="false">J28*K28</f>
        <v>0</v>
      </c>
      <c r="M28" s="124" t="n">
        <f aca="false">SUM(J$6:J28)</f>
        <v>-149644</v>
      </c>
      <c r="N28" s="124" t="n">
        <f aca="false">SUM(J$6:J28)</f>
        <v>-149644</v>
      </c>
      <c r="P28" s="124" t="n">
        <f aca="false">D28/P$3</f>
        <v>0.136185</v>
      </c>
      <c r="Q28" s="124" t="n">
        <f aca="false">E28/P$3</f>
        <v>0</v>
      </c>
      <c r="R28" s="124" t="n">
        <f aca="false">F28/R$3</f>
        <v>0</v>
      </c>
      <c r="S28" s="126" t="n">
        <f aca="false">J28/$R$3</f>
        <v>0.414</v>
      </c>
      <c r="T28" s="126" t="n">
        <f aca="false">L28/$R$3</f>
        <v>0</v>
      </c>
      <c r="U28" s="126" t="n">
        <f aca="false">I28/$R$3</f>
        <v>-149.644</v>
      </c>
      <c r="V28" s="126" t="n">
        <f aca="false">M28/$R$3</f>
        <v>-149.644</v>
      </c>
      <c r="W28" s="126" t="n">
        <f aca="false">N28/$R$3</f>
        <v>-149.644</v>
      </c>
    </row>
    <row r="29" customFormat="false" ht="12.75" hidden="true" customHeight="false" outlineLevel="0" collapsed="false">
      <c r="A29" s="120" t="n">
        <f aca="false">A28+1</f>
        <v>36915</v>
      </c>
      <c r="B29" s="131" t="str">
        <f aca="false">INDEX('Master Data'!$A$2:$B$8,MATCH(WEEKDAY('BRA Power'!A29,3),'Master Data'!$A$2:$A$8,0),2)</f>
        <v>W</v>
      </c>
      <c r="D29" s="124" t="n">
        <v>136247</v>
      </c>
      <c r="E29" s="124" t="n">
        <v>0</v>
      </c>
      <c r="F29" s="124" t="n">
        <v>0</v>
      </c>
      <c r="G29" s="124" t="n">
        <v>-149230</v>
      </c>
      <c r="I29" s="124" t="n">
        <f aca="false">IF(MONTH($A29)=MONTH($A28),IF(G29=0,I28,G29),0)</f>
        <v>-149230</v>
      </c>
      <c r="J29" s="124" t="n">
        <f aca="false">IF(MONTH($A29)=MONTH($A28),SUM(I29-I28),I29)</f>
        <v>414</v>
      </c>
      <c r="K29" s="124" t="n">
        <f aca="false">IF(WEEKDAY(A29,3)&gt;4,0,(IF(A29&lt;K$2,0,IF(A29&lt;=K$3,1,0))))</f>
        <v>0</v>
      </c>
      <c r="L29" s="124" t="n">
        <f aca="false">J29*K29</f>
        <v>0</v>
      </c>
      <c r="M29" s="124" t="n">
        <f aca="false">SUM(J$6:J29)</f>
        <v>-149230</v>
      </c>
      <c r="N29" s="124" t="n">
        <f aca="false">SUM(J$6:J29)</f>
        <v>-149230</v>
      </c>
      <c r="P29" s="124" t="n">
        <f aca="false">D29/P$3</f>
        <v>0.136247</v>
      </c>
      <c r="Q29" s="124" t="n">
        <f aca="false">E29/P$3</f>
        <v>0</v>
      </c>
      <c r="R29" s="124" t="n">
        <f aca="false">F29/R$3</f>
        <v>0</v>
      </c>
      <c r="S29" s="126" t="n">
        <f aca="false">J29/$R$3</f>
        <v>0.414</v>
      </c>
      <c r="T29" s="126" t="n">
        <f aca="false">L29/$R$3</f>
        <v>0</v>
      </c>
      <c r="U29" s="126" t="n">
        <f aca="false">I29/$R$3</f>
        <v>-149.23</v>
      </c>
      <c r="V29" s="126" t="n">
        <f aca="false">M29/$R$3</f>
        <v>-149.23</v>
      </c>
      <c r="W29" s="126" t="n">
        <f aca="false">N29/$R$3</f>
        <v>-149.23</v>
      </c>
    </row>
    <row r="30" customFormat="false" ht="12.75" hidden="true" customHeight="false" outlineLevel="0" collapsed="false">
      <c r="A30" s="120" t="n">
        <f aca="false">A29+1</f>
        <v>36916</v>
      </c>
      <c r="B30" s="131" t="str">
        <f aca="false">INDEX('Master Data'!$A$2:$B$8,MATCH(WEEKDAY('BRA Power'!A30,3),'Master Data'!$A$2:$A$8,0),2)</f>
        <v>Th</v>
      </c>
      <c r="D30" s="124" t="n">
        <v>136309</v>
      </c>
      <c r="E30" s="124" t="n">
        <v>0</v>
      </c>
      <c r="F30" s="124" t="n">
        <v>0</v>
      </c>
      <c r="G30" s="124" t="n">
        <v>-148816</v>
      </c>
      <c r="I30" s="124" t="n">
        <f aca="false">IF(MONTH($A30)=MONTH($A29),IF(G30=0,I29,G30),0)</f>
        <v>-148816</v>
      </c>
      <c r="J30" s="124" t="n">
        <f aca="false">IF(MONTH($A30)=MONTH($A29),SUM(I30-I29),I30)</f>
        <v>414</v>
      </c>
      <c r="K30" s="124" t="n">
        <f aca="false">IF(WEEKDAY(A30,3)&gt;4,0,(IF(A30&lt;K$2,0,IF(A30&lt;=K$3,1,0))))</f>
        <v>0</v>
      </c>
      <c r="L30" s="124" t="n">
        <f aca="false">J30*K30</f>
        <v>0</v>
      </c>
      <c r="M30" s="124" t="n">
        <f aca="false">SUM(J$6:J30)</f>
        <v>-148816</v>
      </c>
      <c r="N30" s="124" t="n">
        <f aca="false">SUM(J$6:J30)</f>
        <v>-148816</v>
      </c>
      <c r="P30" s="124" t="n">
        <f aca="false">D30/P$3</f>
        <v>0.136309</v>
      </c>
      <c r="Q30" s="124" t="n">
        <f aca="false">E30/P$3</f>
        <v>0</v>
      </c>
      <c r="R30" s="124" t="n">
        <f aca="false">F30/R$3</f>
        <v>0</v>
      </c>
      <c r="S30" s="126" t="n">
        <f aca="false">J30/$R$3</f>
        <v>0.414</v>
      </c>
      <c r="T30" s="126" t="n">
        <f aca="false">L30/$R$3</f>
        <v>0</v>
      </c>
      <c r="U30" s="126" t="n">
        <f aca="false">I30/$R$3</f>
        <v>-148.816</v>
      </c>
      <c r="V30" s="126" t="n">
        <f aca="false">M30/$R$3</f>
        <v>-148.816</v>
      </c>
      <c r="W30" s="126" t="n">
        <f aca="false">N30/$R$3</f>
        <v>-148.816</v>
      </c>
    </row>
    <row r="31" customFormat="false" ht="12.75" hidden="true" customHeight="false" outlineLevel="0" collapsed="false">
      <c r="A31" s="120" t="n">
        <f aca="false">A30+1</f>
        <v>36917</v>
      </c>
      <c r="B31" s="131" t="str">
        <f aca="false">INDEX('Master Data'!$A$2:$B$8,MATCH(WEEKDAY('BRA Power'!A31,3),'Master Data'!$A$2:$A$8,0),2)</f>
        <v>F</v>
      </c>
      <c r="D31" s="124" t="n">
        <v>136371</v>
      </c>
      <c r="E31" s="124" t="n">
        <v>0</v>
      </c>
      <c r="F31" s="124" t="n">
        <v>0</v>
      </c>
      <c r="G31" s="124" t="n">
        <v>-148402</v>
      </c>
      <c r="I31" s="124" t="n">
        <f aca="false">IF(MONTH($A31)=MONTH($A30),IF(G31=0,I30,G31),0)</f>
        <v>-148402</v>
      </c>
      <c r="J31" s="124" t="n">
        <f aca="false">IF(MONTH($A31)=MONTH($A30),SUM(I31-I30),I31)</f>
        <v>414</v>
      </c>
      <c r="K31" s="124" t="n">
        <f aca="false">IF(WEEKDAY(A31,3)&gt;4,0,(IF(A31&lt;K$2,0,IF(A31&lt;=K$3,1,0))))</f>
        <v>0</v>
      </c>
      <c r="L31" s="124" t="n">
        <f aca="false">J31*K31</f>
        <v>0</v>
      </c>
      <c r="M31" s="124" t="n">
        <f aca="false">SUM(J$6:J31)</f>
        <v>-148402</v>
      </c>
      <c r="N31" s="124" t="n">
        <f aca="false">SUM(J$6:J31)</f>
        <v>-148402</v>
      </c>
      <c r="P31" s="124" t="n">
        <f aca="false">D31/P$3</f>
        <v>0.136371</v>
      </c>
      <c r="Q31" s="124" t="n">
        <f aca="false">E31/P$3</f>
        <v>0</v>
      </c>
      <c r="R31" s="124" t="n">
        <f aca="false">F31/R$3</f>
        <v>0</v>
      </c>
      <c r="S31" s="126" t="n">
        <f aca="false">J31/$R$3</f>
        <v>0.414</v>
      </c>
      <c r="T31" s="126" t="n">
        <f aca="false">L31/$R$3</f>
        <v>0</v>
      </c>
      <c r="U31" s="126" t="n">
        <f aca="false">I31/$R$3</f>
        <v>-148.402</v>
      </c>
      <c r="V31" s="126" t="n">
        <f aca="false">M31/$R$3</f>
        <v>-148.402</v>
      </c>
      <c r="W31" s="126" t="n">
        <f aca="false">N31/$R$3</f>
        <v>-148.402</v>
      </c>
    </row>
    <row r="32" customFormat="false" ht="12.75" hidden="true" customHeight="false" outlineLevel="0" collapsed="false">
      <c r="A32" s="120" t="n">
        <f aca="false">A31+1</f>
        <v>36918</v>
      </c>
      <c r="B32" s="131" t="str">
        <f aca="false">INDEX('Master Data'!$A$2:$B$8,MATCH(WEEKDAY('BRA Power'!A32,3),'Master Data'!$A$2:$A$8,0),2)</f>
        <v>Sa</v>
      </c>
      <c r="D32" s="124" t="n">
        <v>0</v>
      </c>
      <c r="E32" s="124" t="n">
        <v>0</v>
      </c>
      <c r="F32" s="124" t="n">
        <v>0</v>
      </c>
      <c r="G32" s="124" t="n">
        <v>0</v>
      </c>
      <c r="I32" s="124" t="n">
        <f aca="false">IF(MONTH($A32)=MONTH($A31),IF(G32=0,I31,G32),0)</f>
        <v>-148402</v>
      </c>
      <c r="J32" s="124" t="n">
        <f aca="false">IF(MONTH($A32)=MONTH($A31),SUM(I32-I31),I32)</f>
        <v>0</v>
      </c>
      <c r="K32" s="124" t="n">
        <f aca="false">IF(WEEKDAY(A32,3)&gt;4,0,(IF(A32&lt;K$2,0,IF(A32&lt;=K$3,1,0))))</f>
        <v>0</v>
      </c>
      <c r="L32" s="124" t="n">
        <f aca="false">J32*K32</f>
        <v>0</v>
      </c>
      <c r="M32" s="124" t="n">
        <f aca="false">SUM(J$6:J32)</f>
        <v>-148402</v>
      </c>
      <c r="N32" s="124" t="n">
        <f aca="false">SUM(J$6:J32)</f>
        <v>-148402</v>
      </c>
      <c r="P32" s="124" t="n">
        <f aca="false">D32/P$3</f>
        <v>0</v>
      </c>
      <c r="Q32" s="124" t="n">
        <f aca="false">E32/P$3</f>
        <v>0</v>
      </c>
      <c r="R32" s="124" t="n">
        <f aca="false">F32/R$3</f>
        <v>0</v>
      </c>
      <c r="S32" s="126" t="n">
        <f aca="false">J32/$R$3</f>
        <v>0</v>
      </c>
      <c r="T32" s="126" t="n">
        <f aca="false">L32/$R$3</f>
        <v>0</v>
      </c>
      <c r="U32" s="126" t="n">
        <f aca="false">I32/$R$3</f>
        <v>-148.402</v>
      </c>
      <c r="V32" s="126" t="n">
        <f aca="false">M32/$R$3</f>
        <v>-148.402</v>
      </c>
      <c r="W32" s="126" t="n">
        <f aca="false">N32/$R$3</f>
        <v>-148.402</v>
      </c>
    </row>
    <row r="33" customFormat="false" ht="12.75" hidden="true" customHeight="false" outlineLevel="0" collapsed="false">
      <c r="A33" s="120" t="n">
        <f aca="false">A32+1</f>
        <v>36919</v>
      </c>
      <c r="B33" s="131" t="str">
        <f aca="false">INDEX('Master Data'!$A$2:$B$8,MATCH(WEEKDAY('BRA Power'!A33,3),'Master Data'!$A$2:$A$8,0),2)</f>
        <v>Su</v>
      </c>
      <c r="D33" s="124" t="n">
        <v>0</v>
      </c>
      <c r="E33" s="124" t="n">
        <v>0</v>
      </c>
      <c r="F33" s="124" t="n">
        <v>0</v>
      </c>
      <c r="G33" s="124" t="n">
        <v>0</v>
      </c>
      <c r="I33" s="124" t="n">
        <f aca="false">IF(MONTH($A33)=MONTH($A32),IF(G33=0,I32,G33),0)</f>
        <v>-148402</v>
      </c>
      <c r="J33" s="124" t="n">
        <f aca="false">IF(MONTH($A33)=MONTH($A32),SUM(I33-I32),I33)</f>
        <v>0</v>
      </c>
      <c r="K33" s="124" t="n">
        <f aca="false">IF(WEEKDAY(A33,3)&gt;4,0,(IF(A33&lt;K$2,0,IF(A33&lt;=K$3,1,0))))</f>
        <v>0</v>
      </c>
      <c r="L33" s="124" t="n">
        <f aca="false">J33*K33</f>
        <v>0</v>
      </c>
      <c r="M33" s="124" t="n">
        <f aca="false">SUM(J$6:J33)</f>
        <v>-148402</v>
      </c>
      <c r="N33" s="124" t="n">
        <f aca="false">SUM(J$6:J33)</f>
        <v>-148402</v>
      </c>
      <c r="P33" s="124" t="n">
        <f aca="false">D33/P$3</f>
        <v>0</v>
      </c>
      <c r="Q33" s="124" t="n">
        <f aca="false">E33/P$3</f>
        <v>0</v>
      </c>
      <c r="R33" s="124" t="n">
        <f aca="false">F33/R$3</f>
        <v>0</v>
      </c>
      <c r="S33" s="126" t="n">
        <f aca="false">J33/$R$3</f>
        <v>0</v>
      </c>
      <c r="T33" s="126" t="n">
        <f aca="false">L33/$R$3</f>
        <v>0</v>
      </c>
      <c r="U33" s="126" t="n">
        <f aca="false">I33/$R$3</f>
        <v>-148.402</v>
      </c>
      <c r="V33" s="126" t="n">
        <f aca="false">M33/$R$3</f>
        <v>-148.402</v>
      </c>
      <c r="W33" s="126" t="n">
        <f aca="false">N33/$R$3</f>
        <v>-148.402</v>
      </c>
    </row>
    <row r="34" customFormat="false" ht="12.75" hidden="true" customHeight="false" outlineLevel="0" collapsed="false">
      <c r="A34" s="120" t="n">
        <f aca="false">A33+1</f>
        <v>36920</v>
      </c>
      <c r="B34" s="131" t="str">
        <f aca="false">INDEX('Master Data'!$A$2:$B$8,MATCH(WEEKDAY('BRA Power'!A34,3),'Master Data'!$A$2:$A$8,0),2)</f>
        <v>M</v>
      </c>
      <c r="D34" s="124" t="n">
        <v>136557</v>
      </c>
      <c r="E34" s="124" t="n">
        <v>0</v>
      </c>
      <c r="F34" s="124" t="n">
        <v>0</v>
      </c>
      <c r="G34" s="124" t="n">
        <v>-147158</v>
      </c>
      <c r="I34" s="124" t="n">
        <f aca="false">IF(MONTH($A34)=MONTH($A33),IF(G34=0,I33,G34),0)</f>
        <v>-147158</v>
      </c>
      <c r="J34" s="124" t="n">
        <f aca="false">IF(MONTH($A34)=MONTH($A33),SUM(I34-I33),I34)</f>
        <v>1244</v>
      </c>
      <c r="K34" s="124" t="n">
        <f aca="false">IF(WEEKDAY(A34,3)&gt;4,0,(IF(A34&lt;K$2,0,IF(A34&lt;=K$3,1,0))))</f>
        <v>0</v>
      </c>
      <c r="L34" s="124" t="n">
        <f aca="false">J34*K34</f>
        <v>0</v>
      </c>
      <c r="M34" s="124" t="n">
        <f aca="false">SUM(J$6:J34)</f>
        <v>-147158</v>
      </c>
      <c r="N34" s="124" t="n">
        <f aca="false">SUM(J$6:J34)</f>
        <v>-147158</v>
      </c>
      <c r="P34" s="124" t="n">
        <f aca="false">D34/P$3</f>
        <v>0.136557</v>
      </c>
      <c r="Q34" s="124" t="n">
        <f aca="false">E34/P$3</f>
        <v>0</v>
      </c>
      <c r="R34" s="124" t="n">
        <f aca="false">F34/R$3</f>
        <v>0</v>
      </c>
      <c r="S34" s="126" t="n">
        <f aca="false">J34/$R$3</f>
        <v>1.244</v>
      </c>
      <c r="T34" s="126" t="n">
        <f aca="false">L34/$R$3</f>
        <v>0</v>
      </c>
      <c r="U34" s="126" t="n">
        <f aca="false">I34/$R$3</f>
        <v>-147.158</v>
      </c>
      <c r="V34" s="126" t="n">
        <f aca="false">M34/$R$3</f>
        <v>-147.158</v>
      </c>
      <c r="W34" s="126" t="n">
        <f aca="false">N34/$R$3</f>
        <v>-147.158</v>
      </c>
    </row>
    <row r="35" customFormat="false" ht="12.75" hidden="true" customHeight="false" outlineLevel="0" collapsed="false">
      <c r="A35" s="120" t="n">
        <f aca="false">A34+1</f>
        <v>36921</v>
      </c>
      <c r="B35" s="131" t="str">
        <f aca="false">INDEX('Master Data'!$A$2:$B$8,MATCH(WEEKDAY('BRA Power'!A35,3),'Master Data'!$A$2:$A$8,0),2)</f>
        <v>T</v>
      </c>
      <c r="D35" s="124" t="n">
        <v>136619</v>
      </c>
      <c r="E35" s="124" t="n">
        <v>0</v>
      </c>
      <c r="F35" s="124" t="n">
        <v>0</v>
      </c>
      <c r="G35" s="124" t="n">
        <v>-146742</v>
      </c>
      <c r="I35" s="124" t="n">
        <f aca="false">IF(MONTH($A35)=MONTH($A34),IF(G35=0,I34,G35),0)</f>
        <v>-146742</v>
      </c>
      <c r="J35" s="124" t="n">
        <f aca="false">IF(MONTH($A35)=MONTH($A34),SUM(I35-I34),I35)</f>
        <v>416</v>
      </c>
      <c r="K35" s="124" t="n">
        <f aca="false">IF(WEEKDAY(A35,3)&gt;4,0,(IF(A35&lt;K$2,0,IF(A35&lt;=K$3,1,0))))</f>
        <v>0</v>
      </c>
      <c r="L35" s="124" t="n">
        <f aca="false">J35*K35</f>
        <v>0</v>
      </c>
      <c r="M35" s="124" t="n">
        <f aca="false">SUM(J$6:J35)</f>
        <v>-146742</v>
      </c>
      <c r="N35" s="124" t="n">
        <f aca="false">SUM(J$6:J35)</f>
        <v>-146742</v>
      </c>
      <c r="P35" s="124" t="n">
        <f aca="false">D35/P$3</f>
        <v>0.136619</v>
      </c>
      <c r="Q35" s="124" t="n">
        <f aca="false">E35/P$3</f>
        <v>0</v>
      </c>
      <c r="R35" s="124" t="n">
        <f aca="false">F35/R$3</f>
        <v>0</v>
      </c>
      <c r="S35" s="126" t="n">
        <f aca="false">J35/$R$3</f>
        <v>0.416</v>
      </c>
      <c r="T35" s="126" t="n">
        <f aca="false">L35/$R$3</f>
        <v>0</v>
      </c>
      <c r="U35" s="126" t="n">
        <f aca="false">I35/$R$3</f>
        <v>-146.742</v>
      </c>
      <c r="V35" s="126" t="n">
        <f aca="false">M35/$R$3</f>
        <v>-146.742</v>
      </c>
      <c r="W35" s="126" t="n">
        <f aca="false">N35/$R$3</f>
        <v>-146.742</v>
      </c>
    </row>
    <row r="36" customFormat="false" ht="12.75" hidden="false" customHeight="false" outlineLevel="0" collapsed="false">
      <c r="A36" s="120" t="n">
        <f aca="false">A35+1</f>
        <v>36922</v>
      </c>
      <c r="B36" s="131" t="str">
        <f aca="false">INDEX('Master Data'!$A$2:$B$8,MATCH(WEEKDAY('BRA Power'!A36,3),'Master Data'!$A$2:$A$8,0),2)</f>
        <v>W</v>
      </c>
      <c r="D36" s="124" t="n">
        <v>136682</v>
      </c>
      <c r="E36" s="124" t="n">
        <v>0</v>
      </c>
      <c r="F36" s="124" t="n">
        <v>0</v>
      </c>
      <c r="G36" s="124" t="n">
        <v>-146327</v>
      </c>
      <c r="I36" s="124" t="n">
        <f aca="false">IF(MONTH($A36)=MONTH($A35),IF(G36=0,I35,G36),0)</f>
        <v>-146327</v>
      </c>
      <c r="J36" s="124" t="n">
        <f aca="false">IF(MONTH($A36)=MONTH($A35),SUM(I36-I35),I36)</f>
        <v>415</v>
      </c>
      <c r="K36" s="124" t="n">
        <f aca="false">IF(WEEKDAY(A36,3)&gt;4,0,(IF(A36&lt;K$2,0,IF(A36&lt;=K$3,1,0))))</f>
        <v>0</v>
      </c>
      <c r="L36" s="124" t="n">
        <f aca="false">J36*K36</f>
        <v>0</v>
      </c>
      <c r="M36" s="124" t="n">
        <f aca="false">SUM(J$6:J36)</f>
        <v>-146327</v>
      </c>
      <c r="N36" s="124" t="n">
        <f aca="false">SUM(J$6:J36)</f>
        <v>-146327</v>
      </c>
      <c r="P36" s="124" t="n">
        <f aca="false">D36/P$3</f>
        <v>0.136682</v>
      </c>
      <c r="Q36" s="124" t="n">
        <f aca="false">E36/P$3</f>
        <v>0</v>
      </c>
      <c r="R36" s="124" t="n">
        <f aca="false">F36/R$3</f>
        <v>0</v>
      </c>
      <c r="S36" s="126" t="n">
        <f aca="false">J36/$R$3</f>
        <v>0.415</v>
      </c>
      <c r="T36" s="126" t="n">
        <f aca="false">L36/$R$3</f>
        <v>0</v>
      </c>
      <c r="U36" s="126" t="n">
        <f aca="false">I36/$R$3</f>
        <v>-146.327</v>
      </c>
      <c r="V36" s="126" t="n">
        <f aca="false">M36/$R$3</f>
        <v>-146.327</v>
      </c>
      <c r="W36" s="126" t="n">
        <f aca="false">N36/$R$3</f>
        <v>-146.327</v>
      </c>
    </row>
    <row r="37" customFormat="false" ht="12.75" hidden="true" customHeight="false" outlineLevel="0" collapsed="false">
      <c r="A37" s="120" t="n">
        <f aca="false">A36+1</f>
        <v>36923</v>
      </c>
      <c r="B37" s="131" t="str">
        <f aca="false">INDEX('Master Data'!$A$2:$B$8,MATCH(WEEKDAY('BRA Power'!A37,3),'Master Data'!$A$2:$A$8,0),2)</f>
        <v>Th</v>
      </c>
      <c r="D37" s="124" t="n">
        <v>147864</v>
      </c>
      <c r="E37" s="124" t="n">
        <v>0</v>
      </c>
      <c r="F37" s="124" t="n">
        <v>0</v>
      </c>
      <c r="G37" s="124" t="n">
        <v>-53037</v>
      </c>
      <c r="I37" s="124" t="n">
        <f aca="false">IF(MONTH($A37)=MONTH($A36),IF(G37=0,I36,G37),G37)</f>
        <v>-53037</v>
      </c>
      <c r="J37" s="124" t="n">
        <f aca="false">IF(MONTH($A37)=MONTH($A36),SUM(I37-I36),I37)</f>
        <v>-53037</v>
      </c>
      <c r="K37" s="124" t="n">
        <f aca="false">IF(WEEKDAY(A37,3)&gt;4,0,(IF(A37&lt;K$2,0,IF(A37&lt;=K$3,1,0))))</f>
        <v>0</v>
      </c>
      <c r="L37" s="124" t="n">
        <f aca="false">J37*K37</f>
        <v>-0</v>
      </c>
      <c r="M37" s="124" t="n">
        <f aca="false">SUM(J$6:J37)</f>
        <v>-199364</v>
      </c>
      <c r="N37" s="124" t="n">
        <f aca="false">SUM(J$6:J37)</f>
        <v>-199364</v>
      </c>
      <c r="P37" s="124" t="n">
        <f aca="false">D37/P$3</f>
        <v>0.147864</v>
      </c>
      <c r="Q37" s="124" t="n">
        <f aca="false">E37/P$3</f>
        <v>0</v>
      </c>
      <c r="R37" s="124" t="n">
        <f aca="false">F37/R$3</f>
        <v>0</v>
      </c>
      <c r="S37" s="126" t="n">
        <f aca="false">J37/$R$3</f>
        <v>-53.037</v>
      </c>
      <c r="T37" s="126" t="n">
        <f aca="false">L37/$R$3</f>
        <v>-0</v>
      </c>
      <c r="U37" s="126" t="n">
        <f aca="false">I37/$R$3</f>
        <v>-53.037</v>
      </c>
      <c r="V37" s="126" t="n">
        <f aca="false">M37/$R$3</f>
        <v>-199.364</v>
      </c>
      <c r="W37" s="126" t="n">
        <f aca="false">N37/$R$3</f>
        <v>-199.364</v>
      </c>
    </row>
    <row r="38" customFormat="false" ht="12.75" hidden="true" customHeight="false" outlineLevel="0" collapsed="false">
      <c r="A38" s="120" t="n">
        <f aca="false">A37+1</f>
        <v>36924</v>
      </c>
      <c r="B38" s="131" t="str">
        <f aca="false">INDEX('Master Data'!$A$2:$B$8,MATCH(WEEKDAY('BRA Power'!A38,3),'Master Data'!$A$2:$A$8,0),2)</f>
        <v>F</v>
      </c>
      <c r="D38" s="124" t="n">
        <v>147925</v>
      </c>
      <c r="E38" s="124" t="n">
        <v>0</v>
      </c>
      <c r="F38" s="124" t="n">
        <v>0</v>
      </c>
      <c r="G38" s="124" t="n">
        <v>-53037</v>
      </c>
      <c r="I38" s="124" t="n">
        <f aca="false">IF(MONTH($A38)=MONTH($A37),IF(G38=0,I37,G38),G38)</f>
        <v>-53037</v>
      </c>
      <c r="J38" s="124" t="n">
        <f aca="false">IF(MONTH($A38)=MONTH($A37),SUM(I38-I37),I38)</f>
        <v>0</v>
      </c>
      <c r="K38" s="124" t="n">
        <f aca="false">IF(WEEKDAY(A38,3)&gt;4,0,(IF(A38&lt;K$2,0,IF(A38&lt;=K$3,1,0))))</f>
        <v>0</v>
      </c>
      <c r="L38" s="124" t="n">
        <f aca="false">J38*K38</f>
        <v>0</v>
      </c>
      <c r="M38" s="124" t="n">
        <f aca="false">SUM(J$6:J38)</f>
        <v>-199364</v>
      </c>
      <c r="N38" s="124" t="n">
        <f aca="false">SUM(J$6:J38)</f>
        <v>-199364</v>
      </c>
      <c r="P38" s="124" t="n">
        <f aca="false">D38/P$3</f>
        <v>0.147925</v>
      </c>
      <c r="Q38" s="124" t="n">
        <f aca="false">E38/P$3</f>
        <v>0</v>
      </c>
      <c r="R38" s="124" t="n">
        <f aca="false">F38/R$3</f>
        <v>0</v>
      </c>
      <c r="S38" s="126" t="n">
        <f aca="false">J38/$R$3</f>
        <v>0</v>
      </c>
      <c r="T38" s="126" t="n">
        <f aca="false">L38/$R$3</f>
        <v>0</v>
      </c>
      <c r="U38" s="126" t="n">
        <f aca="false">I38/$R$3</f>
        <v>-53.037</v>
      </c>
      <c r="V38" s="126" t="n">
        <f aca="false">M38/$R$3</f>
        <v>-199.364</v>
      </c>
      <c r="W38" s="126" t="n">
        <f aca="false">N38/$R$3</f>
        <v>-199.364</v>
      </c>
    </row>
    <row r="39" customFormat="false" ht="12.75" hidden="true" customHeight="false" outlineLevel="0" collapsed="false">
      <c r="A39" s="120" t="n">
        <f aca="false">A38+1</f>
        <v>36925</v>
      </c>
      <c r="B39" s="131" t="str">
        <f aca="false">INDEX('Master Data'!$A$2:$B$8,MATCH(WEEKDAY('BRA Power'!A39,3),'Master Data'!$A$2:$A$8,0),2)</f>
        <v>Sa</v>
      </c>
      <c r="D39" s="124" t="n">
        <v>0</v>
      </c>
      <c r="E39" s="124" t="n">
        <v>0</v>
      </c>
      <c r="F39" s="124" t="n">
        <v>0</v>
      </c>
      <c r="G39" s="124" t="n">
        <v>0</v>
      </c>
      <c r="I39" s="124" t="n">
        <f aca="false">IF(MONTH($A39)=MONTH($A38),IF(G39=0,I38,G39),G39)</f>
        <v>-53037</v>
      </c>
      <c r="J39" s="124" t="n">
        <f aca="false">IF(MONTH($A39)=MONTH($A38),SUM(I39-I38),I39)</f>
        <v>0</v>
      </c>
      <c r="K39" s="124" t="n">
        <f aca="false">IF(WEEKDAY(A39,3)&gt;4,0,(IF(A39&lt;K$2,0,IF(A39&lt;=K$3,1,0))))</f>
        <v>0</v>
      </c>
      <c r="L39" s="124" t="n">
        <f aca="false">J39*K39</f>
        <v>0</v>
      </c>
      <c r="M39" s="124" t="n">
        <f aca="false">SUM(J$6:J39)</f>
        <v>-199364</v>
      </c>
      <c r="N39" s="124" t="n">
        <f aca="false">SUM(J$6:J39)</f>
        <v>-199364</v>
      </c>
      <c r="P39" s="124" t="n">
        <f aca="false">D39/P$3</f>
        <v>0</v>
      </c>
      <c r="Q39" s="124" t="n">
        <f aca="false">E39/P$3</f>
        <v>0</v>
      </c>
      <c r="R39" s="124" t="n">
        <f aca="false">F39/R$3</f>
        <v>0</v>
      </c>
      <c r="S39" s="126" t="n">
        <f aca="false">J39/$R$3</f>
        <v>0</v>
      </c>
      <c r="T39" s="126" t="n">
        <f aca="false">L39/$R$3</f>
        <v>0</v>
      </c>
      <c r="U39" s="126" t="n">
        <f aca="false">I39/$R$3</f>
        <v>-53.037</v>
      </c>
      <c r="V39" s="126" t="n">
        <f aca="false">M39/$R$3</f>
        <v>-199.364</v>
      </c>
      <c r="W39" s="126" t="n">
        <f aca="false">N39/$R$3</f>
        <v>-199.364</v>
      </c>
    </row>
    <row r="40" customFormat="false" ht="12.75" hidden="true" customHeight="false" outlineLevel="0" collapsed="false">
      <c r="A40" s="120" t="n">
        <f aca="false">A39+1</f>
        <v>36926</v>
      </c>
      <c r="B40" s="131" t="str">
        <f aca="false">INDEX('Master Data'!$A$2:$B$8,MATCH(WEEKDAY('BRA Power'!A40,3),'Master Data'!$A$2:$A$8,0),2)</f>
        <v>Su</v>
      </c>
      <c r="D40" s="124" t="n">
        <v>0</v>
      </c>
      <c r="E40" s="124" t="n">
        <v>0</v>
      </c>
      <c r="F40" s="124" t="n">
        <v>0</v>
      </c>
      <c r="G40" s="124" t="n">
        <v>0</v>
      </c>
      <c r="I40" s="124" t="n">
        <f aca="false">IF(MONTH($A40)=MONTH($A39),IF(G40=0,I39,G40),G40)</f>
        <v>-53037</v>
      </c>
      <c r="J40" s="124" t="n">
        <f aca="false">IF(MONTH($A40)=MONTH($A39),SUM(I40-I39),I40)</f>
        <v>0</v>
      </c>
      <c r="K40" s="124" t="n">
        <f aca="false">IF(WEEKDAY(A40,3)&gt;4,0,(IF(A40&lt;K$2,0,IF(A40&lt;=K$3,1,0))))</f>
        <v>0</v>
      </c>
      <c r="L40" s="124" t="n">
        <f aca="false">J40*K40</f>
        <v>0</v>
      </c>
      <c r="M40" s="124" t="n">
        <f aca="false">SUM(J$6:J40)</f>
        <v>-199364</v>
      </c>
      <c r="N40" s="124" t="n">
        <f aca="false">SUM(J$6:J40)</f>
        <v>-199364</v>
      </c>
      <c r="P40" s="124" t="n">
        <f aca="false">D40/P$3</f>
        <v>0</v>
      </c>
      <c r="Q40" s="124" t="n">
        <f aca="false">E40/P$3</f>
        <v>0</v>
      </c>
      <c r="R40" s="124" t="n">
        <f aca="false">F40/R$3</f>
        <v>0</v>
      </c>
      <c r="S40" s="126" t="n">
        <f aca="false">J40/$R$3</f>
        <v>0</v>
      </c>
      <c r="T40" s="126" t="n">
        <f aca="false">L40/$R$3</f>
        <v>0</v>
      </c>
      <c r="U40" s="126" t="n">
        <f aca="false">I40/$R$3</f>
        <v>-53.037</v>
      </c>
      <c r="V40" s="126" t="n">
        <f aca="false">M40/$R$3</f>
        <v>-199.364</v>
      </c>
      <c r="W40" s="126" t="n">
        <f aca="false">N40/$R$3</f>
        <v>-199.364</v>
      </c>
    </row>
    <row r="41" customFormat="false" ht="12.75" hidden="true" customHeight="false" outlineLevel="0" collapsed="false">
      <c r="A41" s="120" t="n">
        <f aca="false">A40+1</f>
        <v>36927</v>
      </c>
      <c r="B41" s="131" t="str">
        <f aca="false">INDEX('Master Data'!$A$2:$B$8,MATCH(WEEKDAY('BRA Power'!A41,3),'Master Data'!$A$2:$A$8,0),2)</f>
        <v>M</v>
      </c>
      <c r="D41" s="124" t="n">
        <v>148107</v>
      </c>
      <c r="E41" s="124" t="n">
        <v>0</v>
      </c>
      <c r="F41" s="124" t="n">
        <v>0</v>
      </c>
      <c r="G41" s="124" t="n">
        <v>-53037</v>
      </c>
      <c r="I41" s="124" t="n">
        <f aca="false">IF(MONTH($A41)=MONTH($A40),IF(G41=0,I40,G41),G41)</f>
        <v>-53037</v>
      </c>
      <c r="J41" s="124" t="n">
        <f aca="false">IF(MONTH($A41)=MONTH($A40),SUM(I41-I40),I41)</f>
        <v>0</v>
      </c>
      <c r="K41" s="124" t="n">
        <f aca="false">IF(WEEKDAY(A41,3)&gt;4,0,(IF(A41&lt;K$2,0,IF(A41&lt;=K$3,1,0))))</f>
        <v>0</v>
      </c>
      <c r="L41" s="124" t="n">
        <f aca="false">J41*K41</f>
        <v>0</v>
      </c>
      <c r="M41" s="124" t="n">
        <f aca="false">SUM(J$6:J41)</f>
        <v>-199364</v>
      </c>
      <c r="N41" s="124" t="n">
        <f aca="false">SUM(J$6:J41)</f>
        <v>-199364</v>
      </c>
      <c r="P41" s="124" t="n">
        <f aca="false">D41/P$3</f>
        <v>0.148107</v>
      </c>
      <c r="Q41" s="124" t="n">
        <f aca="false">E41/P$3</f>
        <v>0</v>
      </c>
      <c r="R41" s="124" t="n">
        <f aca="false">F41/R$3</f>
        <v>0</v>
      </c>
      <c r="S41" s="126" t="n">
        <f aca="false">J41/$R$3</f>
        <v>0</v>
      </c>
      <c r="T41" s="126" t="n">
        <f aca="false">L41/$R$3</f>
        <v>0</v>
      </c>
      <c r="U41" s="126" t="n">
        <f aca="false">I41/$R$3</f>
        <v>-53.037</v>
      </c>
      <c r="V41" s="126" t="n">
        <f aca="false">M41/$R$3</f>
        <v>-199.364</v>
      </c>
      <c r="W41" s="126" t="n">
        <f aca="false">N41/$R$3</f>
        <v>-199.364</v>
      </c>
    </row>
    <row r="42" customFormat="false" ht="12.75" hidden="true" customHeight="false" outlineLevel="0" collapsed="false">
      <c r="A42" s="120" t="n">
        <f aca="false">A41+1</f>
        <v>36928</v>
      </c>
      <c r="B42" s="131" t="str">
        <f aca="false">INDEX('Master Data'!$A$2:$B$8,MATCH(WEEKDAY('BRA Power'!A42,3),'Master Data'!$A$2:$A$8,0),2)</f>
        <v>T</v>
      </c>
      <c r="D42" s="124" t="n">
        <v>148168</v>
      </c>
      <c r="E42" s="124" t="n">
        <v>0</v>
      </c>
      <c r="F42" s="124" t="n">
        <v>0</v>
      </c>
      <c r="G42" s="124" t="n">
        <v>-53037</v>
      </c>
      <c r="I42" s="124" t="n">
        <f aca="false">IF(MONTH($A42)=MONTH($A41),IF(G42=0,I41,G42),G42)</f>
        <v>-53037</v>
      </c>
      <c r="J42" s="124" t="n">
        <f aca="false">IF(MONTH($A42)=MONTH($A41),SUM(I42-I41),I42)</f>
        <v>0</v>
      </c>
      <c r="K42" s="124" t="n">
        <f aca="false">IF(WEEKDAY(A42,3)&gt;4,0,(IF(A42&lt;K$2,0,IF(A42&lt;=K$3,1,0))))</f>
        <v>0</v>
      </c>
      <c r="L42" s="124" t="n">
        <f aca="false">J42*K42</f>
        <v>0</v>
      </c>
      <c r="M42" s="124" t="n">
        <f aca="false">SUM(J$6:J42)</f>
        <v>-199364</v>
      </c>
      <c r="N42" s="124" t="n">
        <f aca="false">SUM(J$6:J42)</f>
        <v>-199364</v>
      </c>
      <c r="P42" s="124" t="n">
        <f aca="false">D42/P$3</f>
        <v>0.148168</v>
      </c>
      <c r="Q42" s="124" t="n">
        <f aca="false">E42/P$3</f>
        <v>0</v>
      </c>
      <c r="R42" s="124" t="n">
        <f aca="false">F42/R$3</f>
        <v>0</v>
      </c>
      <c r="S42" s="126" t="n">
        <f aca="false">J42/$R$3</f>
        <v>0</v>
      </c>
      <c r="T42" s="126" t="n">
        <f aca="false">L42/$R$3</f>
        <v>0</v>
      </c>
      <c r="U42" s="126" t="n">
        <f aca="false">I42/$R$3</f>
        <v>-53.037</v>
      </c>
      <c r="V42" s="126" t="n">
        <f aca="false">M42/$R$3</f>
        <v>-199.364</v>
      </c>
      <c r="W42" s="126" t="n">
        <f aca="false">N42/$R$3</f>
        <v>-199.364</v>
      </c>
    </row>
    <row r="43" customFormat="false" ht="12.75" hidden="true" customHeight="false" outlineLevel="0" collapsed="false">
      <c r="A43" s="120" t="n">
        <f aca="false">A42+1</f>
        <v>36929</v>
      </c>
      <c r="B43" s="131" t="str">
        <f aca="false">INDEX('Master Data'!$A$2:$B$8,MATCH(WEEKDAY('BRA Power'!A43,3),'Master Data'!$A$2:$A$8,0),2)</f>
        <v>W</v>
      </c>
      <c r="D43" s="124" t="n">
        <v>148229</v>
      </c>
      <c r="E43" s="124" t="n">
        <v>0</v>
      </c>
      <c r="F43" s="124" t="n">
        <v>0</v>
      </c>
      <c r="G43" s="124" t="n">
        <v>-53037</v>
      </c>
      <c r="I43" s="124" t="n">
        <f aca="false">IF(MONTH($A43)=MONTH($A42),IF(G43=0,I42,G43),G43)</f>
        <v>-53037</v>
      </c>
      <c r="J43" s="124" t="n">
        <f aca="false">IF(MONTH($A43)=MONTH($A42),SUM(I43-I42),I43)</f>
        <v>0</v>
      </c>
      <c r="K43" s="124" t="n">
        <f aca="false">IF(WEEKDAY(A43,3)&gt;4,0,(IF(A43&lt;K$2,0,IF(A43&lt;=K$3,1,0))))</f>
        <v>0</v>
      </c>
      <c r="L43" s="124" t="n">
        <f aca="false">J43*K43</f>
        <v>0</v>
      </c>
      <c r="M43" s="124" t="n">
        <f aca="false">SUM(J$6:J43)</f>
        <v>-199364</v>
      </c>
      <c r="N43" s="124" t="n">
        <f aca="false">SUM(J$6:J43)</f>
        <v>-199364</v>
      </c>
      <c r="P43" s="124" t="n">
        <f aca="false">D43/P$3</f>
        <v>0.148229</v>
      </c>
      <c r="Q43" s="124" t="n">
        <f aca="false">E43/P$3</f>
        <v>0</v>
      </c>
      <c r="R43" s="124" t="n">
        <f aca="false">F43/R$3</f>
        <v>0</v>
      </c>
      <c r="S43" s="126" t="n">
        <f aca="false">J43/$R$3</f>
        <v>0</v>
      </c>
      <c r="T43" s="126" t="n">
        <f aca="false">L43/$R$3</f>
        <v>0</v>
      </c>
      <c r="U43" s="126" t="n">
        <f aca="false">I43/$R$3</f>
        <v>-53.037</v>
      </c>
      <c r="V43" s="126" t="n">
        <f aca="false">M43/$R$3</f>
        <v>-199.364</v>
      </c>
      <c r="W43" s="126" t="n">
        <f aca="false">N43/$R$3</f>
        <v>-199.364</v>
      </c>
    </row>
    <row r="44" customFormat="false" ht="12.75" hidden="true" customHeight="false" outlineLevel="0" collapsed="false">
      <c r="A44" s="120" t="n">
        <f aca="false">A43+1</f>
        <v>36930</v>
      </c>
      <c r="B44" s="131" t="str">
        <f aca="false">INDEX('Master Data'!$A$2:$B$8,MATCH(WEEKDAY('BRA Power'!A44,3),'Master Data'!$A$2:$A$8,0),2)</f>
        <v>Th</v>
      </c>
      <c r="D44" s="124" t="n">
        <v>148290</v>
      </c>
      <c r="E44" s="124" t="n">
        <v>0</v>
      </c>
      <c r="F44" s="124" t="n">
        <v>0</v>
      </c>
      <c r="G44" s="124" t="n">
        <v>-53037</v>
      </c>
      <c r="I44" s="124" t="n">
        <f aca="false">IF(MONTH($A44)=MONTH($A43),IF(G44=0,I43,G44),G44)</f>
        <v>-53037</v>
      </c>
      <c r="J44" s="124" t="n">
        <f aca="false">IF(MONTH($A44)=MONTH($A43),SUM(I44-I43),I44)</f>
        <v>0</v>
      </c>
      <c r="K44" s="124" t="n">
        <f aca="false">IF(WEEKDAY(A44,3)&gt;4,0,(IF(A44&lt;K$2,0,IF(A44&lt;=K$3,1,0))))</f>
        <v>0</v>
      </c>
      <c r="L44" s="124" t="n">
        <f aca="false">J44*K44</f>
        <v>0</v>
      </c>
      <c r="M44" s="124" t="n">
        <f aca="false">SUM(J$6:J44)</f>
        <v>-199364</v>
      </c>
      <c r="N44" s="124" t="n">
        <f aca="false">SUM(J$6:J44)</f>
        <v>-199364</v>
      </c>
      <c r="P44" s="124" t="n">
        <f aca="false">D44/P$3</f>
        <v>0.14829</v>
      </c>
      <c r="Q44" s="124" t="n">
        <f aca="false">E44/P$3</f>
        <v>0</v>
      </c>
      <c r="R44" s="124" t="n">
        <f aca="false">F44/R$3</f>
        <v>0</v>
      </c>
      <c r="S44" s="126" t="n">
        <f aca="false">J44/$R$3</f>
        <v>0</v>
      </c>
      <c r="T44" s="126" t="n">
        <f aca="false">L44/$R$3</f>
        <v>0</v>
      </c>
      <c r="U44" s="126" t="n">
        <f aca="false">I44/$R$3</f>
        <v>-53.037</v>
      </c>
      <c r="V44" s="126" t="n">
        <f aca="false">M44/$R$3</f>
        <v>-199.364</v>
      </c>
      <c r="W44" s="126" t="n">
        <f aca="false">N44/$R$3</f>
        <v>-199.364</v>
      </c>
    </row>
    <row r="45" customFormat="false" ht="12.75" hidden="true" customHeight="false" outlineLevel="0" collapsed="false">
      <c r="A45" s="120" t="n">
        <f aca="false">A44+1</f>
        <v>36931</v>
      </c>
      <c r="B45" s="131" t="str">
        <f aca="false">INDEX('Master Data'!$A$2:$B$8,MATCH(WEEKDAY('BRA Power'!A45,3),'Master Data'!$A$2:$A$8,0),2)</f>
        <v>F</v>
      </c>
      <c r="D45" s="124" t="n">
        <v>714292</v>
      </c>
      <c r="E45" s="124" t="n">
        <v>0</v>
      </c>
      <c r="F45" s="124" t="n">
        <v>0</v>
      </c>
      <c r="G45" s="124" t="n">
        <v>-53037</v>
      </c>
      <c r="I45" s="124" t="n">
        <f aca="false">IF(MONTH($A45)=MONTH($A44),IF(G45=0,I44,G45),G45)</f>
        <v>-53037</v>
      </c>
      <c r="J45" s="124" t="n">
        <f aca="false">IF(MONTH($A45)=MONTH($A44),SUM(I45-I44),I45)</f>
        <v>0</v>
      </c>
      <c r="K45" s="124" t="n">
        <f aca="false">IF(WEEKDAY(A45,3)&gt;4,0,(IF(A45&lt;K$2,0,IF(A45&lt;=K$3,1,0))))</f>
        <v>0</v>
      </c>
      <c r="L45" s="124" t="n">
        <f aca="false">J45*K45</f>
        <v>0</v>
      </c>
      <c r="M45" s="124" t="n">
        <f aca="false">SUM(J$6:J45)</f>
        <v>-199364</v>
      </c>
      <c r="N45" s="124" t="n">
        <f aca="false">SUM(J$6:J45)</f>
        <v>-199364</v>
      </c>
      <c r="P45" s="124" t="n">
        <f aca="false">D45/P$3</f>
        <v>0.714292</v>
      </c>
      <c r="Q45" s="124" t="n">
        <f aca="false">E45/P$3</f>
        <v>0</v>
      </c>
      <c r="R45" s="124" t="n">
        <f aca="false">F45/R$3</f>
        <v>0</v>
      </c>
      <c r="S45" s="126" t="n">
        <f aca="false">J45/$R$3</f>
        <v>0</v>
      </c>
      <c r="T45" s="126" t="n">
        <f aca="false">L45/$R$3</f>
        <v>0</v>
      </c>
      <c r="U45" s="126" t="n">
        <f aca="false">I45/$R$3</f>
        <v>-53.037</v>
      </c>
      <c r="V45" s="126" t="n">
        <f aca="false">M45/$R$3</f>
        <v>-199.364</v>
      </c>
      <c r="W45" s="126" t="n">
        <f aca="false">N45/$R$3</f>
        <v>-199.364</v>
      </c>
    </row>
    <row r="46" customFormat="false" ht="12.75" hidden="true" customHeight="false" outlineLevel="0" collapsed="false">
      <c r="A46" s="120" t="n">
        <f aca="false">A45+1</f>
        <v>36932</v>
      </c>
      <c r="B46" s="131" t="str">
        <f aca="false">INDEX('Master Data'!$A$2:$B$8,MATCH(WEEKDAY('BRA Power'!A46,3),'Master Data'!$A$2:$A$8,0),2)</f>
        <v>Sa</v>
      </c>
      <c r="D46" s="124" t="n">
        <v>0</v>
      </c>
      <c r="E46" s="124" t="n">
        <v>0</v>
      </c>
      <c r="F46" s="124" t="n">
        <v>0</v>
      </c>
      <c r="G46" s="124" t="n">
        <v>0</v>
      </c>
      <c r="I46" s="124" t="n">
        <f aca="false">IF(MONTH($A46)=MONTH($A45),IF(G46=0,I45,G46),G46)</f>
        <v>-53037</v>
      </c>
      <c r="J46" s="124" t="n">
        <f aca="false">IF(MONTH($A46)=MONTH($A45),SUM(I46-I45),I46)</f>
        <v>0</v>
      </c>
      <c r="K46" s="124" t="n">
        <f aca="false">IF(WEEKDAY(A46,3)&gt;4,0,(IF(A46&lt;K$2,0,IF(A46&lt;=K$3,1,0))))</f>
        <v>0</v>
      </c>
      <c r="L46" s="124" t="n">
        <f aca="false">J46*K46</f>
        <v>0</v>
      </c>
      <c r="M46" s="124" t="n">
        <f aca="false">SUM(J$6:J46)</f>
        <v>-199364</v>
      </c>
      <c r="N46" s="124" t="n">
        <f aca="false">SUM(J$6:J46)</f>
        <v>-199364</v>
      </c>
      <c r="P46" s="124" t="n">
        <f aca="false">D46/P$3</f>
        <v>0</v>
      </c>
      <c r="Q46" s="124" t="n">
        <f aca="false">E46/P$3</f>
        <v>0</v>
      </c>
      <c r="R46" s="124" t="n">
        <f aca="false">F46/R$3</f>
        <v>0</v>
      </c>
      <c r="S46" s="126" t="n">
        <f aca="false">J46/$R$3</f>
        <v>0</v>
      </c>
      <c r="T46" s="126" t="n">
        <f aca="false">L46/$R$3</f>
        <v>0</v>
      </c>
      <c r="U46" s="126" t="n">
        <f aca="false">I46/$R$3</f>
        <v>-53.037</v>
      </c>
      <c r="V46" s="126" t="n">
        <f aca="false">M46/$R$3</f>
        <v>-199.364</v>
      </c>
      <c r="W46" s="126" t="n">
        <f aca="false">N46/$R$3</f>
        <v>-199.364</v>
      </c>
    </row>
    <row r="47" customFormat="false" ht="12.75" hidden="true" customHeight="false" outlineLevel="0" collapsed="false">
      <c r="A47" s="120" t="n">
        <f aca="false">A46+1</f>
        <v>36933</v>
      </c>
      <c r="B47" s="131" t="str">
        <f aca="false">INDEX('Master Data'!$A$2:$B$8,MATCH(WEEKDAY('BRA Power'!A47,3),'Master Data'!$A$2:$A$8,0),2)</f>
        <v>Su</v>
      </c>
      <c r="D47" s="124" t="n">
        <v>0</v>
      </c>
      <c r="E47" s="124" t="n">
        <v>0</v>
      </c>
      <c r="F47" s="124" t="n">
        <v>0</v>
      </c>
      <c r="G47" s="124" t="n">
        <v>0</v>
      </c>
      <c r="I47" s="124" t="n">
        <f aca="false">IF(MONTH($A47)=MONTH($A46),IF(G47=0,I46,G47),G47)</f>
        <v>-53037</v>
      </c>
      <c r="J47" s="124" t="n">
        <f aca="false">IF(MONTH($A47)=MONTH($A46),SUM(I47-I46),I47)</f>
        <v>0</v>
      </c>
      <c r="K47" s="124" t="n">
        <f aca="false">IF(WEEKDAY(A47,3)&gt;4,0,(IF(A47&lt;K$2,0,IF(A47&lt;=K$3,1,0))))</f>
        <v>0</v>
      </c>
      <c r="L47" s="124" t="n">
        <f aca="false">J47*K47</f>
        <v>0</v>
      </c>
      <c r="M47" s="124" t="n">
        <f aca="false">SUM(J$6:J47)</f>
        <v>-199364</v>
      </c>
      <c r="N47" s="124" t="n">
        <f aca="false">SUM(J$6:J47)</f>
        <v>-199364</v>
      </c>
      <c r="P47" s="124" t="n">
        <f aca="false">D47/P$3</f>
        <v>0</v>
      </c>
      <c r="Q47" s="124" t="n">
        <f aca="false">E47/P$3</f>
        <v>0</v>
      </c>
      <c r="R47" s="124" t="n">
        <f aca="false">F47/R$3</f>
        <v>0</v>
      </c>
      <c r="S47" s="126" t="n">
        <f aca="false">J47/$R$3</f>
        <v>0</v>
      </c>
      <c r="T47" s="126" t="n">
        <f aca="false">L47/$R$3</f>
        <v>0</v>
      </c>
      <c r="U47" s="126" t="n">
        <f aca="false">I47/$R$3</f>
        <v>-53.037</v>
      </c>
      <c r="V47" s="126" t="n">
        <f aca="false">M47/$R$3</f>
        <v>-199.364</v>
      </c>
      <c r="W47" s="126" t="n">
        <f aca="false">N47/$R$3</f>
        <v>-199.364</v>
      </c>
    </row>
    <row r="48" customFormat="false" ht="12.75" hidden="true" customHeight="false" outlineLevel="0" collapsed="false">
      <c r="A48" s="120" t="n">
        <f aca="false">A47+1</f>
        <v>36934</v>
      </c>
      <c r="B48" s="131" t="str">
        <f aca="false">INDEX('Master Data'!$A$2:$B$8,MATCH(WEEKDAY('BRA Power'!A48,3),'Master Data'!$A$2:$A$8,0),2)</f>
        <v>M</v>
      </c>
      <c r="D48" s="124" t="n">
        <v>715193</v>
      </c>
      <c r="E48" s="124" t="n">
        <v>0</v>
      </c>
      <c r="F48" s="124" t="n">
        <v>0</v>
      </c>
      <c r="G48" s="124" t="n">
        <v>-53037</v>
      </c>
      <c r="I48" s="124" t="n">
        <f aca="false">IF(MONTH($A48)=MONTH($A47),IF(G48=0,I47,G48),G48)</f>
        <v>-53037</v>
      </c>
      <c r="J48" s="124" t="n">
        <f aca="false">IF(MONTH($A48)=MONTH($A47),SUM(I48-I47),I48)</f>
        <v>0</v>
      </c>
      <c r="K48" s="124" t="n">
        <f aca="false">IF(WEEKDAY(A48,3)&gt;4,0,(IF(A48&lt;K$2,0,IF(A48&lt;=K$3,1,0))))</f>
        <v>0</v>
      </c>
      <c r="L48" s="124" t="n">
        <f aca="false">J48*K48</f>
        <v>0</v>
      </c>
      <c r="M48" s="124" t="n">
        <f aca="false">SUM(J$6:J48)</f>
        <v>-199364</v>
      </c>
      <c r="N48" s="124" t="n">
        <f aca="false">SUM(J$6:J48)</f>
        <v>-199364</v>
      </c>
      <c r="P48" s="124" t="n">
        <f aca="false">D48/P$3</f>
        <v>0.715193</v>
      </c>
      <c r="Q48" s="124" t="n">
        <f aca="false">E48/P$3</f>
        <v>0</v>
      </c>
      <c r="R48" s="124" t="n">
        <f aca="false">F48/R$3</f>
        <v>0</v>
      </c>
      <c r="S48" s="126" t="n">
        <f aca="false">J48/$R$3</f>
        <v>0</v>
      </c>
      <c r="T48" s="126" t="n">
        <f aca="false">L48/$R$3</f>
        <v>0</v>
      </c>
      <c r="U48" s="126" t="n">
        <f aca="false">I48/$R$3</f>
        <v>-53.037</v>
      </c>
      <c r="V48" s="126" t="n">
        <f aca="false">M48/$R$3</f>
        <v>-199.364</v>
      </c>
      <c r="W48" s="126" t="n">
        <f aca="false">N48/$R$3</f>
        <v>-199.364</v>
      </c>
    </row>
    <row r="49" customFormat="false" ht="12.75" hidden="true" customHeight="false" outlineLevel="0" collapsed="false">
      <c r="A49" s="120" t="n">
        <f aca="false">A48+1</f>
        <v>36935</v>
      </c>
      <c r="B49" s="131" t="str">
        <f aca="false">INDEX('Master Data'!$A$2:$B$8,MATCH(WEEKDAY('BRA Power'!A49,3),'Master Data'!$A$2:$A$8,0),2)</f>
        <v>T</v>
      </c>
      <c r="D49" s="124" t="n">
        <v>715478</v>
      </c>
      <c r="E49" s="124" t="n">
        <v>0</v>
      </c>
      <c r="F49" s="124" t="n">
        <v>0</v>
      </c>
      <c r="G49" s="124" t="n">
        <v>-53037</v>
      </c>
      <c r="I49" s="124" t="n">
        <f aca="false">IF(MONTH($A49)=MONTH($A48),IF(G49=0,I48,G49),G49)</f>
        <v>-53037</v>
      </c>
      <c r="J49" s="124" t="n">
        <f aca="false">IF(MONTH($A49)=MONTH($A48),SUM(I49-I48),I49)</f>
        <v>0</v>
      </c>
      <c r="K49" s="124" t="n">
        <f aca="false">IF(WEEKDAY(A49,3)&gt;4,0,(IF(A49&lt;K$2,0,IF(A49&lt;=K$3,1,0))))</f>
        <v>0</v>
      </c>
      <c r="L49" s="124" t="n">
        <f aca="false">J49*K49</f>
        <v>0</v>
      </c>
      <c r="M49" s="124" t="n">
        <f aca="false">SUM(J$6:J49)</f>
        <v>-199364</v>
      </c>
      <c r="N49" s="124" t="n">
        <f aca="false">SUM(J$6:J49)</f>
        <v>-199364</v>
      </c>
      <c r="P49" s="124" t="n">
        <f aca="false">D49/P$3</f>
        <v>0.715478</v>
      </c>
      <c r="Q49" s="124" t="n">
        <f aca="false">E49/P$3</f>
        <v>0</v>
      </c>
      <c r="R49" s="124" t="n">
        <f aca="false">F49/R$3</f>
        <v>0</v>
      </c>
      <c r="S49" s="126" t="n">
        <f aca="false">J49/$R$3</f>
        <v>0</v>
      </c>
      <c r="T49" s="126" t="n">
        <f aca="false">L49/$R$3</f>
        <v>0</v>
      </c>
      <c r="U49" s="126" t="n">
        <f aca="false">I49/$R$3</f>
        <v>-53.037</v>
      </c>
      <c r="V49" s="126" t="n">
        <f aca="false">M49/$R$3</f>
        <v>-199.364</v>
      </c>
      <c r="W49" s="126" t="n">
        <f aca="false">N49/$R$3</f>
        <v>-199.364</v>
      </c>
    </row>
    <row r="50" customFormat="false" ht="12.75" hidden="true" customHeight="false" outlineLevel="0" collapsed="false">
      <c r="A50" s="120" t="n">
        <f aca="false">A49+1</f>
        <v>36936</v>
      </c>
      <c r="B50" s="131" t="str">
        <f aca="false">INDEX('Master Data'!$A$2:$B$8,MATCH(WEEKDAY('BRA Power'!A50,3),'Master Data'!$A$2:$A$8,0),2)</f>
        <v>W</v>
      </c>
      <c r="D50" s="124" t="n">
        <v>920632</v>
      </c>
      <c r="E50" s="124" t="n">
        <v>0</v>
      </c>
      <c r="F50" s="124" t="n">
        <v>0</v>
      </c>
      <c r="G50" s="124" t="n">
        <v>1282175</v>
      </c>
      <c r="I50" s="124" t="n">
        <f aca="false">IF(MONTH($A50)=MONTH($A49),IF(G50=0,I49,G50),G50)</f>
        <v>1282175</v>
      </c>
      <c r="J50" s="124" t="n">
        <f aca="false">IF(MONTH($A50)=MONTH($A49),SUM(I50-I49),I50)</f>
        <v>1335212</v>
      </c>
      <c r="K50" s="124" t="n">
        <f aca="false">IF(WEEKDAY(A50,3)&gt;4,0,(IF(A50&lt;K$2,0,IF(A50&lt;=K$3,1,0))))</f>
        <v>0</v>
      </c>
      <c r="L50" s="124" t="n">
        <f aca="false">J50*K50</f>
        <v>0</v>
      </c>
      <c r="M50" s="124" t="n">
        <f aca="false">SUM(J$6:J50)</f>
        <v>1135848</v>
      </c>
      <c r="N50" s="124" t="n">
        <f aca="false">SUM(J$6:J50)</f>
        <v>1135848</v>
      </c>
      <c r="P50" s="124" t="n">
        <f aca="false">D50/P$3</f>
        <v>0.920632</v>
      </c>
      <c r="Q50" s="124" t="n">
        <f aca="false">E50/P$3</f>
        <v>0</v>
      </c>
      <c r="R50" s="124" t="n">
        <f aca="false">F50/R$3</f>
        <v>0</v>
      </c>
      <c r="S50" s="126" t="n">
        <f aca="false">J50/$R$3</f>
        <v>1335.212</v>
      </c>
      <c r="T50" s="126" t="n">
        <f aca="false">L50/$R$3</f>
        <v>0</v>
      </c>
      <c r="U50" s="126" t="n">
        <f aca="false">I50/$R$3</f>
        <v>1282.175</v>
      </c>
      <c r="V50" s="126" t="n">
        <f aca="false">M50/$R$3</f>
        <v>1135.848</v>
      </c>
      <c r="W50" s="126" t="n">
        <f aca="false">N50/$R$3</f>
        <v>1135.848</v>
      </c>
    </row>
    <row r="51" customFormat="false" ht="12.75" hidden="true" customHeight="false" outlineLevel="0" collapsed="false">
      <c r="A51" s="120" t="n">
        <f aca="false">A50+1</f>
        <v>36937</v>
      </c>
      <c r="B51" s="131" t="str">
        <f aca="false">INDEX('Master Data'!$A$2:$B$8,MATCH(WEEKDAY('BRA Power'!A51,3),'Master Data'!$A$2:$A$8,0),2)</f>
        <v>Th</v>
      </c>
      <c r="D51" s="124" t="n">
        <v>921055</v>
      </c>
      <c r="E51" s="124" t="n">
        <v>0</v>
      </c>
      <c r="F51" s="124" t="n">
        <v>0</v>
      </c>
      <c r="G51" s="124" t="n">
        <v>1282175</v>
      </c>
      <c r="I51" s="124" t="n">
        <f aca="false">IF(MONTH($A51)=MONTH($A50),IF(G51=0,I50,G51),G51)</f>
        <v>1282175</v>
      </c>
      <c r="J51" s="124" t="n">
        <f aca="false">IF(MONTH($A51)=MONTH($A50),SUM(I51-I50),I51)</f>
        <v>0</v>
      </c>
      <c r="K51" s="124" t="n">
        <f aca="false">IF(WEEKDAY(A51,3)&gt;4,0,(IF(A51&lt;K$2,0,IF(A51&lt;=K$3,1,0))))</f>
        <v>0</v>
      </c>
      <c r="L51" s="124" t="n">
        <f aca="false">J51*K51</f>
        <v>0</v>
      </c>
      <c r="M51" s="124" t="n">
        <f aca="false">SUM(J$6:J51)</f>
        <v>1135848</v>
      </c>
      <c r="N51" s="124" t="n">
        <f aca="false">SUM(J$6:J51)</f>
        <v>1135848</v>
      </c>
      <c r="P51" s="124" t="n">
        <f aca="false">D51/P$3</f>
        <v>0.921055</v>
      </c>
      <c r="Q51" s="124" t="n">
        <f aca="false">E51/P$3</f>
        <v>0</v>
      </c>
      <c r="R51" s="124" t="n">
        <f aca="false">F51/R$3</f>
        <v>0</v>
      </c>
      <c r="S51" s="126" t="n">
        <f aca="false">J51/$R$3</f>
        <v>0</v>
      </c>
      <c r="T51" s="126" t="n">
        <f aca="false">L51/$R$3</f>
        <v>0</v>
      </c>
      <c r="U51" s="126" t="n">
        <f aca="false">I51/$R$3</f>
        <v>1282.175</v>
      </c>
      <c r="V51" s="126" t="n">
        <f aca="false">M51/$R$3</f>
        <v>1135.848</v>
      </c>
      <c r="W51" s="126" t="n">
        <f aca="false">N51/$R$3</f>
        <v>1135.848</v>
      </c>
    </row>
    <row r="52" customFormat="false" ht="12.75" hidden="true" customHeight="false" outlineLevel="0" collapsed="false">
      <c r="A52" s="120" t="n">
        <f aca="false">A51+1</f>
        <v>36938</v>
      </c>
      <c r="B52" s="131" t="str">
        <f aca="false">INDEX('Master Data'!$A$2:$B$8,MATCH(WEEKDAY('BRA Power'!A52,3),'Master Data'!$A$2:$A$8,0),2)</f>
        <v>F</v>
      </c>
      <c r="D52" s="124" t="n">
        <v>921430</v>
      </c>
      <c r="E52" s="124" t="n">
        <v>0</v>
      </c>
      <c r="F52" s="124" t="n">
        <v>0</v>
      </c>
      <c r="G52" s="124" t="n">
        <v>1282175</v>
      </c>
      <c r="I52" s="124" t="n">
        <f aca="false">IF(MONTH($A52)=MONTH($A51),IF(G52=0,I51,G52),G52)</f>
        <v>1282175</v>
      </c>
      <c r="J52" s="124" t="n">
        <f aca="false">IF(MONTH($A52)=MONTH($A51),SUM(I52-I51),I52)</f>
        <v>0</v>
      </c>
      <c r="K52" s="124" t="n">
        <f aca="false">IF(WEEKDAY(A52,3)&gt;4,0,(IF(A52&lt;K$2,0,IF(A52&lt;=K$3,1,0))))</f>
        <v>0</v>
      </c>
      <c r="L52" s="124" t="n">
        <f aca="false">J52*K52</f>
        <v>0</v>
      </c>
      <c r="M52" s="124" t="n">
        <f aca="false">SUM(J$6:J52)</f>
        <v>1135848</v>
      </c>
      <c r="N52" s="124" t="n">
        <f aca="false">SUM(J$6:J52)</f>
        <v>1135848</v>
      </c>
      <c r="P52" s="124" t="n">
        <f aca="false">D52/P$3</f>
        <v>0.92143</v>
      </c>
      <c r="Q52" s="124" t="n">
        <f aca="false">E52/P$3</f>
        <v>0</v>
      </c>
      <c r="R52" s="124" t="n">
        <f aca="false">F52/R$3</f>
        <v>0</v>
      </c>
      <c r="S52" s="126" t="n">
        <f aca="false">J52/$R$3</f>
        <v>0</v>
      </c>
      <c r="T52" s="126" t="n">
        <f aca="false">L52/$R$3</f>
        <v>0</v>
      </c>
      <c r="U52" s="126" t="n">
        <f aca="false">I52/$R$3</f>
        <v>1282.175</v>
      </c>
      <c r="V52" s="126" t="n">
        <f aca="false">M52/$R$3</f>
        <v>1135.848</v>
      </c>
      <c r="W52" s="126" t="n">
        <f aca="false">N52/$R$3</f>
        <v>1135.848</v>
      </c>
    </row>
    <row r="53" customFormat="false" ht="12.75" hidden="true" customHeight="false" outlineLevel="0" collapsed="false">
      <c r="A53" s="120" t="n">
        <f aca="false">A52+1</f>
        <v>36939</v>
      </c>
      <c r="B53" s="131" t="str">
        <f aca="false">INDEX('Master Data'!$A$2:$B$8,MATCH(WEEKDAY('BRA Power'!A53,3),'Master Data'!$A$2:$A$8,0),2)</f>
        <v>Sa</v>
      </c>
      <c r="D53" s="124" t="n">
        <v>0</v>
      </c>
      <c r="E53" s="124" t="n">
        <v>0</v>
      </c>
      <c r="F53" s="124" t="n">
        <v>0</v>
      </c>
      <c r="G53" s="124" t="n">
        <v>0</v>
      </c>
      <c r="I53" s="124" t="n">
        <f aca="false">IF(MONTH($A53)=MONTH($A52),IF(G53=0,I52,G53),G53)</f>
        <v>1282175</v>
      </c>
      <c r="J53" s="124" t="n">
        <f aca="false">IF(MONTH($A53)=MONTH($A52),SUM(I53-I52),I53)</f>
        <v>0</v>
      </c>
      <c r="K53" s="124" t="n">
        <f aca="false">IF(WEEKDAY(A53,3)&gt;4,0,(IF(A53&lt;K$2,0,IF(A53&lt;=K$3,1,0))))</f>
        <v>0</v>
      </c>
      <c r="L53" s="124" t="n">
        <f aca="false">J53*K53</f>
        <v>0</v>
      </c>
      <c r="M53" s="124" t="n">
        <f aca="false">SUM(J$6:J53)</f>
        <v>1135848</v>
      </c>
      <c r="N53" s="124" t="n">
        <f aca="false">SUM(J$6:J53)</f>
        <v>1135848</v>
      </c>
      <c r="P53" s="124" t="n">
        <f aca="false">D53/P$3</f>
        <v>0</v>
      </c>
      <c r="Q53" s="124" t="n">
        <f aca="false">E53/P$3</f>
        <v>0</v>
      </c>
      <c r="R53" s="124" t="n">
        <f aca="false">F53/R$3</f>
        <v>0</v>
      </c>
      <c r="S53" s="126" t="n">
        <f aca="false">J53/$R$3</f>
        <v>0</v>
      </c>
      <c r="T53" s="126" t="n">
        <f aca="false">L53/$R$3</f>
        <v>0</v>
      </c>
      <c r="U53" s="126" t="n">
        <f aca="false">I53/$R$3</f>
        <v>1282.175</v>
      </c>
      <c r="V53" s="126" t="n">
        <f aca="false">M53/$R$3</f>
        <v>1135.848</v>
      </c>
      <c r="W53" s="126" t="n">
        <f aca="false">N53/$R$3</f>
        <v>1135.848</v>
      </c>
    </row>
    <row r="54" customFormat="false" ht="12.75" hidden="true" customHeight="false" outlineLevel="0" collapsed="false">
      <c r="A54" s="120" t="n">
        <f aca="false">A53+1</f>
        <v>36940</v>
      </c>
      <c r="B54" s="131" t="str">
        <f aca="false">INDEX('Master Data'!$A$2:$B$8,MATCH(WEEKDAY('BRA Power'!A54,3),'Master Data'!$A$2:$A$8,0),2)</f>
        <v>Su</v>
      </c>
      <c r="D54" s="124" t="n">
        <v>0</v>
      </c>
      <c r="E54" s="124" t="n">
        <v>0</v>
      </c>
      <c r="F54" s="124" t="n">
        <v>0</v>
      </c>
      <c r="G54" s="124" t="n">
        <v>0</v>
      </c>
      <c r="I54" s="124" t="n">
        <f aca="false">IF(MONTH($A54)=MONTH($A53),IF(G54=0,I53,G54),G54)</f>
        <v>1282175</v>
      </c>
      <c r="J54" s="124" t="n">
        <f aca="false">IF(MONTH($A54)=MONTH($A53),SUM(I54-I53),I54)</f>
        <v>0</v>
      </c>
      <c r="K54" s="124" t="n">
        <f aca="false">IF(WEEKDAY(A54,3)&gt;4,0,(IF(A54&lt;K$2,0,IF(A54&lt;=K$3,1,0))))</f>
        <v>0</v>
      </c>
      <c r="L54" s="124" t="n">
        <f aca="false">J54*K54</f>
        <v>0</v>
      </c>
      <c r="M54" s="124" t="n">
        <f aca="false">SUM(J$6:J54)</f>
        <v>1135848</v>
      </c>
      <c r="N54" s="124" t="n">
        <f aca="false">SUM(J$6:J54)</f>
        <v>1135848</v>
      </c>
      <c r="P54" s="124" t="n">
        <f aca="false">D54/P$3</f>
        <v>0</v>
      </c>
      <c r="Q54" s="124" t="n">
        <f aca="false">E54/P$3</f>
        <v>0</v>
      </c>
      <c r="R54" s="124" t="n">
        <f aca="false">F54/R$3</f>
        <v>0</v>
      </c>
      <c r="S54" s="126" t="n">
        <f aca="false">J54/$R$3</f>
        <v>0</v>
      </c>
      <c r="T54" s="126" t="n">
        <f aca="false">L54/$R$3</f>
        <v>0</v>
      </c>
      <c r="U54" s="126" t="n">
        <f aca="false">I54/$R$3</f>
        <v>1282.175</v>
      </c>
      <c r="V54" s="126" t="n">
        <f aca="false">M54/$R$3</f>
        <v>1135.848</v>
      </c>
      <c r="W54" s="126" t="n">
        <f aca="false">N54/$R$3</f>
        <v>1135.848</v>
      </c>
    </row>
    <row r="55" customFormat="false" ht="12.75" hidden="true" customHeight="false" outlineLevel="0" collapsed="false">
      <c r="A55" s="120" t="n">
        <f aca="false">A54+1</f>
        <v>36941</v>
      </c>
      <c r="B55" s="131" t="str">
        <f aca="false">INDEX('Master Data'!$A$2:$B$8,MATCH(WEEKDAY('BRA Power'!A55,3),'Master Data'!$A$2:$A$8,0),2)</f>
        <v>M</v>
      </c>
      <c r="D55" s="124" t="n">
        <v>0</v>
      </c>
      <c r="E55" s="124" t="n">
        <v>0</v>
      </c>
      <c r="F55" s="124" t="n">
        <v>0</v>
      </c>
      <c r="G55" s="124" t="n">
        <v>0</v>
      </c>
      <c r="I55" s="124" t="n">
        <f aca="false">IF(MONTH($A55)=MONTH($A54),IF(G55=0,I54,G55),G55)</f>
        <v>1282175</v>
      </c>
      <c r="J55" s="124" t="n">
        <f aca="false">IF(MONTH($A55)=MONTH($A54),SUM(I55-I54),I55)</f>
        <v>0</v>
      </c>
      <c r="K55" s="124" t="n">
        <f aca="false">IF(WEEKDAY(A55,3)&gt;4,0,(IF(A55&lt;K$2,0,IF(A55&lt;=K$3,1,0))))</f>
        <v>0</v>
      </c>
      <c r="L55" s="124" t="n">
        <f aca="false">J55*K55</f>
        <v>0</v>
      </c>
      <c r="M55" s="124" t="n">
        <f aca="false">SUM(J$6:J55)</f>
        <v>1135848</v>
      </c>
      <c r="N55" s="124" t="n">
        <f aca="false">SUM(J$6:J55)</f>
        <v>1135848</v>
      </c>
      <c r="P55" s="124" t="n">
        <f aca="false">D55/P$3</f>
        <v>0</v>
      </c>
      <c r="Q55" s="124" t="n">
        <f aca="false">E55/P$3</f>
        <v>0</v>
      </c>
      <c r="R55" s="124" t="n">
        <f aca="false">F55/R$3</f>
        <v>0</v>
      </c>
      <c r="S55" s="126" t="n">
        <f aca="false">J55/$R$3</f>
        <v>0</v>
      </c>
      <c r="T55" s="126" t="n">
        <f aca="false">L55/$R$3</f>
        <v>0</v>
      </c>
      <c r="U55" s="126" t="n">
        <f aca="false">I55/$R$3</f>
        <v>1282.175</v>
      </c>
      <c r="V55" s="126" t="n">
        <f aca="false">M55/$R$3</f>
        <v>1135.848</v>
      </c>
      <c r="W55" s="126" t="n">
        <f aca="false">N55/$R$3</f>
        <v>1135.848</v>
      </c>
    </row>
    <row r="56" customFormat="false" ht="12.75" hidden="true" customHeight="false" outlineLevel="0" collapsed="false">
      <c r="A56" s="120" t="n">
        <f aca="false">A55+1</f>
        <v>36942</v>
      </c>
      <c r="B56" s="131" t="str">
        <f aca="false">INDEX('Master Data'!$A$2:$B$8,MATCH(WEEKDAY('BRA Power'!A56,3),'Master Data'!$A$2:$A$8,0),2)</f>
        <v>T</v>
      </c>
      <c r="D56" s="124" t="n">
        <v>922932</v>
      </c>
      <c r="E56" s="124" t="n">
        <v>0</v>
      </c>
      <c r="F56" s="124" t="n">
        <v>0</v>
      </c>
      <c r="G56" s="124" t="n">
        <v>1282175</v>
      </c>
      <c r="I56" s="124" t="n">
        <f aca="false">IF(MONTH($A56)=MONTH($A55),IF(G56=0,I55,G56),G56)</f>
        <v>1282175</v>
      </c>
      <c r="J56" s="124" t="n">
        <f aca="false">IF(MONTH($A56)=MONTH($A55),SUM(I56-I55),I56)</f>
        <v>0</v>
      </c>
      <c r="K56" s="124" t="n">
        <f aca="false">IF(WEEKDAY(A56,3)&gt;4,0,(IF(A56&lt;K$2,0,IF(A56&lt;=K$3,1,0))))</f>
        <v>0</v>
      </c>
      <c r="L56" s="124" t="n">
        <f aca="false">J56*K56</f>
        <v>0</v>
      </c>
      <c r="M56" s="124" t="n">
        <f aca="false">SUM(J$6:J56)</f>
        <v>1135848</v>
      </c>
      <c r="N56" s="124" t="n">
        <f aca="false">SUM(J$6:J56)</f>
        <v>1135848</v>
      </c>
      <c r="P56" s="124" t="n">
        <f aca="false">D56/P$3</f>
        <v>0.922932</v>
      </c>
      <c r="Q56" s="124" t="n">
        <f aca="false">E56/P$3</f>
        <v>0</v>
      </c>
      <c r="R56" s="124" t="n">
        <f aca="false">F56/R$3</f>
        <v>0</v>
      </c>
      <c r="S56" s="126" t="n">
        <f aca="false">J56/$R$3</f>
        <v>0</v>
      </c>
      <c r="T56" s="126" t="n">
        <f aca="false">L56/$R$3</f>
        <v>0</v>
      </c>
      <c r="U56" s="126" t="n">
        <f aca="false">I56/$R$3</f>
        <v>1282.175</v>
      </c>
      <c r="V56" s="126" t="n">
        <f aca="false">M56/$R$3</f>
        <v>1135.848</v>
      </c>
      <c r="W56" s="126" t="n">
        <f aca="false">N56/$R$3</f>
        <v>1135.848</v>
      </c>
    </row>
    <row r="57" customFormat="false" ht="12.75" hidden="true" customHeight="false" outlineLevel="0" collapsed="false">
      <c r="A57" s="120" t="n">
        <f aca="false">A56+1</f>
        <v>36943</v>
      </c>
      <c r="B57" s="131" t="str">
        <f aca="false">INDEX('Master Data'!$A$2:$B$8,MATCH(WEEKDAY('BRA Power'!A57,3),'Master Data'!$A$2:$A$8,0),2)</f>
        <v>W</v>
      </c>
      <c r="D57" s="124" t="n">
        <v>923308</v>
      </c>
      <c r="E57" s="124" t="n">
        <v>0</v>
      </c>
      <c r="F57" s="124" t="n">
        <v>0</v>
      </c>
      <c r="G57" s="124" t="n">
        <v>1295529</v>
      </c>
      <c r="I57" s="124" t="n">
        <f aca="false">IF(MONTH($A57)=MONTH($A56),IF(G57=0,I56,G57),G57)</f>
        <v>1295529</v>
      </c>
      <c r="J57" s="124" t="n">
        <f aca="false">IF(MONTH($A57)=MONTH($A56),SUM(I57-I56),I57)</f>
        <v>13354</v>
      </c>
      <c r="K57" s="124" t="n">
        <f aca="false">IF(WEEKDAY(A57,3)&gt;4,0,(IF(A57&lt;K$2,0,IF(A57&lt;=K$3,1,0))))</f>
        <v>0</v>
      </c>
      <c r="L57" s="124" t="n">
        <f aca="false">J57*K57</f>
        <v>0</v>
      </c>
      <c r="M57" s="124" t="n">
        <f aca="false">SUM(J$6:J57)</f>
        <v>1149202</v>
      </c>
      <c r="N57" s="124" t="n">
        <f aca="false">SUM(J$6:J57)</f>
        <v>1149202</v>
      </c>
      <c r="P57" s="124" t="n">
        <f aca="false">D57/P$3</f>
        <v>0.923308</v>
      </c>
      <c r="Q57" s="124" t="n">
        <f aca="false">E57/P$3</f>
        <v>0</v>
      </c>
      <c r="R57" s="124" t="n">
        <f aca="false">F57/R$3</f>
        <v>0</v>
      </c>
      <c r="S57" s="126" t="n">
        <f aca="false">J57/$R$3</f>
        <v>13.354</v>
      </c>
      <c r="T57" s="126" t="n">
        <f aca="false">L57/$R$3</f>
        <v>0</v>
      </c>
      <c r="U57" s="126" t="n">
        <f aca="false">I57/$R$3</f>
        <v>1295.529</v>
      </c>
      <c r="V57" s="126" t="n">
        <f aca="false">M57/$R$3</f>
        <v>1149.202</v>
      </c>
      <c r="W57" s="126" t="n">
        <f aca="false">N57/$R$3</f>
        <v>1149.202</v>
      </c>
    </row>
    <row r="58" customFormat="false" ht="12.75" hidden="true" customHeight="false" outlineLevel="0" collapsed="false">
      <c r="A58" s="120" t="n">
        <f aca="false">A57+1</f>
        <v>36944</v>
      </c>
      <c r="B58" s="131" t="str">
        <f aca="false">INDEX('Master Data'!$A$2:$B$8,MATCH(WEEKDAY('BRA Power'!A58,3),'Master Data'!$A$2:$A$8,0),2)</f>
        <v>Th</v>
      </c>
      <c r="D58" s="124" t="n">
        <v>923684</v>
      </c>
      <c r="E58" s="124" t="n">
        <v>0</v>
      </c>
      <c r="F58" s="124" t="n">
        <v>0</v>
      </c>
      <c r="G58" s="124" t="n">
        <v>1296501</v>
      </c>
      <c r="I58" s="124" t="n">
        <f aca="false">IF(MONTH($A58)=MONTH($A57),IF(G58=0,I57,G58),G58)</f>
        <v>1296501</v>
      </c>
      <c r="J58" s="124" t="n">
        <f aca="false">IF(MONTH($A58)=MONTH($A57),SUM(I58-I57),I58)</f>
        <v>972</v>
      </c>
      <c r="K58" s="124" t="n">
        <f aca="false">IF(WEEKDAY(A58,3)&gt;4,0,(IF(A58&lt;K$2,0,IF(A58&lt;=K$3,1,0))))</f>
        <v>0</v>
      </c>
      <c r="L58" s="124" t="n">
        <f aca="false">J58*K58</f>
        <v>0</v>
      </c>
      <c r="M58" s="124" t="n">
        <f aca="false">SUM(J$6:J58)</f>
        <v>1150174</v>
      </c>
      <c r="N58" s="124" t="n">
        <f aca="false">SUM(J$6:J58)</f>
        <v>1150174</v>
      </c>
      <c r="P58" s="124" t="n">
        <f aca="false">D58/P$3</f>
        <v>0.923684</v>
      </c>
      <c r="Q58" s="124" t="n">
        <f aca="false">E58/P$3</f>
        <v>0</v>
      </c>
      <c r="R58" s="124" t="n">
        <f aca="false">F58/R$3</f>
        <v>0</v>
      </c>
      <c r="S58" s="126" t="n">
        <f aca="false">J58/$R$3</f>
        <v>0.972</v>
      </c>
      <c r="T58" s="126" t="n">
        <f aca="false">L58/$R$3</f>
        <v>0</v>
      </c>
      <c r="U58" s="126" t="n">
        <f aca="false">I58/$R$3</f>
        <v>1296.501</v>
      </c>
      <c r="V58" s="126" t="n">
        <f aca="false">M58/$R$3</f>
        <v>1150.174</v>
      </c>
      <c r="W58" s="126" t="n">
        <f aca="false">N58/$R$3</f>
        <v>1150.174</v>
      </c>
    </row>
    <row r="59" customFormat="false" ht="12.75" hidden="true" customHeight="false" outlineLevel="0" collapsed="false">
      <c r="A59" s="120" t="n">
        <f aca="false">A58+1</f>
        <v>36945</v>
      </c>
      <c r="B59" s="131" t="str">
        <f aca="false">INDEX('Master Data'!$A$2:$B$8,MATCH(WEEKDAY('BRA Power'!A59,3),'Master Data'!$A$2:$A$8,0),2)</f>
        <v>F</v>
      </c>
      <c r="D59" s="124" t="n">
        <v>924061</v>
      </c>
      <c r="E59" s="124" t="n">
        <v>0</v>
      </c>
      <c r="F59" s="124" t="n">
        <v>0</v>
      </c>
      <c r="G59" s="124" t="n">
        <v>1297473</v>
      </c>
      <c r="I59" s="124" t="n">
        <f aca="false">IF(MONTH($A59)=MONTH($A58),IF(G59=0,I58,G59),G59)</f>
        <v>1297473</v>
      </c>
      <c r="J59" s="124" t="n">
        <f aca="false">IF(MONTH($A59)=MONTH($A58),SUM(I59-I58),I59)</f>
        <v>972</v>
      </c>
      <c r="K59" s="124" t="n">
        <f aca="false">IF(WEEKDAY(A59,3)&gt;4,0,(IF(A59&lt;K$2,0,IF(A59&lt;=K$3,1,0))))</f>
        <v>0</v>
      </c>
      <c r="L59" s="124" t="n">
        <f aca="false">J59*K59</f>
        <v>0</v>
      </c>
      <c r="M59" s="124" t="n">
        <f aca="false">SUM(J$6:J59)</f>
        <v>1151146</v>
      </c>
      <c r="N59" s="124" t="n">
        <f aca="false">SUM(J$6:J59)</f>
        <v>1151146</v>
      </c>
      <c r="P59" s="124" t="n">
        <f aca="false">D59/P$3</f>
        <v>0.924061</v>
      </c>
      <c r="Q59" s="124" t="n">
        <f aca="false">E59/P$3</f>
        <v>0</v>
      </c>
      <c r="R59" s="124" t="n">
        <f aca="false">F59/R$3</f>
        <v>0</v>
      </c>
      <c r="S59" s="126" t="n">
        <f aca="false">J59/$R$3</f>
        <v>0.972</v>
      </c>
      <c r="T59" s="126" t="n">
        <f aca="false">L59/$R$3</f>
        <v>0</v>
      </c>
      <c r="U59" s="126" t="n">
        <f aca="false">I59/$R$3</f>
        <v>1297.473</v>
      </c>
      <c r="V59" s="126" t="n">
        <f aca="false">M59/$R$3</f>
        <v>1151.146</v>
      </c>
      <c r="W59" s="126" t="n">
        <f aca="false">N59/$R$3</f>
        <v>1151.146</v>
      </c>
    </row>
    <row r="60" customFormat="false" ht="12.75" hidden="true" customHeight="false" outlineLevel="0" collapsed="false">
      <c r="A60" s="120" t="n">
        <f aca="false">A59+1</f>
        <v>36946</v>
      </c>
      <c r="B60" s="131" t="str">
        <f aca="false">INDEX('Master Data'!$A$2:$B$8,MATCH(WEEKDAY('BRA Power'!A60,3),'Master Data'!$A$2:$A$8,0),2)</f>
        <v>Sa</v>
      </c>
      <c r="D60" s="124" t="n">
        <v>0</v>
      </c>
      <c r="E60" s="124" t="n">
        <v>0</v>
      </c>
      <c r="F60" s="124" t="n">
        <v>0</v>
      </c>
      <c r="G60" s="124" t="n">
        <v>0</v>
      </c>
      <c r="I60" s="124" t="n">
        <f aca="false">IF(MONTH($A60)=MONTH($A59),IF(G60=0,I59,G60),G60)</f>
        <v>1297473</v>
      </c>
      <c r="J60" s="124" t="n">
        <f aca="false">IF(MONTH($A60)=MONTH($A59),SUM(I60-I59),I60)</f>
        <v>0</v>
      </c>
      <c r="K60" s="124" t="n">
        <f aca="false">IF(WEEKDAY(A60,3)&gt;4,0,(IF(A60&lt;K$2,0,IF(A60&lt;=K$3,1,0))))</f>
        <v>0</v>
      </c>
      <c r="L60" s="124" t="n">
        <f aca="false">J60*K60</f>
        <v>0</v>
      </c>
      <c r="M60" s="124" t="n">
        <f aca="false">SUM(J$6:J60)</f>
        <v>1151146</v>
      </c>
      <c r="N60" s="124" t="n">
        <f aca="false">SUM(J$6:J60)</f>
        <v>1151146</v>
      </c>
      <c r="P60" s="124" t="n">
        <f aca="false">D60/P$3</f>
        <v>0</v>
      </c>
      <c r="Q60" s="124" t="n">
        <f aca="false">E60/P$3</f>
        <v>0</v>
      </c>
      <c r="R60" s="124" t="n">
        <f aca="false">F60/R$3</f>
        <v>0</v>
      </c>
      <c r="S60" s="126" t="n">
        <f aca="false">J60/$R$3</f>
        <v>0</v>
      </c>
      <c r="T60" s="126" t="n">
        <f aca="false">L60/$R$3</f>
        <v>0</v>
      </c>
      <c r="U60" s="126" t="n">
        <f aca="false">I60/$R$3</f>
        <v>1297.473</v>
      </c>
      <c r="V60" s="126" t="n">
        <f aca="false">M60/$R$3</f>
        <v>1151.146</v>
      </c>
      <c r="W60" s="126" t="n">
        <f aca="false">N60/$R$3</f>
        <v>1151.146</v>
      </c>
    </row>
    <row r="61" customFormat="false" ht="12.75" hidden="true" customHeight="false" outlineLevel="0" collapsed="false">
      <c r="A61" s="120" t="n">
        <f aca="false">A60+1</f>
        <v>36947</v>
      </c>
      <c r="B61" s="131" t="str">
        <f aca="false">INDEX('Master Data'!$A$2:$B$8,MATCH(WEEKDAY('BRA Power'!A61,3),'Master Data'!$A$2:$A$8,0),2)</f>
        <v>Su</v>
      </c>
      <c r="D61" s="124" t="n">
        <v>0</v>
      </c>
      <c r="E61" s="124" t="n">
        <v>0</v>
      </c>
      <c r="F61" s="124" t="n">
        <v>0</v>
      </c>
      <c r="G61" s="124" t="n">
        <v>0</v>
      </c>
      <c r="I61" s="124" t="n">
        <f aca="false">IF(MONTH($A61)=MONTH($A60),IF(G61=0,I60,G61),G61)</f>
        <v>1297473</v>
      </c>
      <c r="J61" s="124" t="n">
        <f aca="false">IF(MONTH($A61)=MONTH($A60),SUM(I61-I60),I61)</f>
        <v>0</v>
      </c>
      <c r="K61" s="124" t="n">
        <f aca="false">IF(WEEKDAY(A61,3)&gt;4,0,(IF(A61&lt;K$2,0,IF(A61&lt;=K$3,1,0))))</f>
        <v>0</v>
      </c>
      <c r="L61" s="124" t="n">
        <f aca="false">J61*K61</f>
        <v>0</v>
      </c>
      <c r="M61" s="124" t="n">
        <f aca="false">SUM(J$6:J61)</f>
        <v>1151146</v>
      </c>
      <c r="N61" s="124" t="n">
        <f aca="false">SUM(J$6:J61)</f>
        <v>1151146</v>
      </c>
      <c r="P61" s="124" t="n">
        <f aca="false">D61/P$3</f>
        <v>0</v>
      </c>
      <c r="Q61" s="124" t="n">
        <f aca="false">E61/P$3</f>
        <v>0</v>
      </c>
      <c r="R61" s="124" t="n">
        <f aca="false">F61/R$3</f>
        <v>0</v>
      </c>
      <c r="S61" s="126" t="n">
        <f aca="false">J61/$R$3</f>
        <v>0</v>
      </c>
      <c r="T61" s="126" t="n">
        <f aca="false">L61/$R$3</f>
        <v>0</v>
      </c>
      <c r="U61" s="126" t="n">
        <f aca="false">I61/$R$3</f>
        <v>1297.473</v>
      </c>
      <c r="V61" s="126" t="n">
        <f aca="false">M61/$R$3</f>
        <v>1151.146</v>
      </c>
      <c r="W61" s="126" t="n">
        <f aca="false">N61/$R$3</f>
        <v>1151.146</v>
      </c>
    </row>
    <row r="62" customFormat="false" ht="12.75" hidden="true" customHeight="false" outlineLevel="0" collapsed="false">
      <c r="A62" s="120" t="n">
        <f aca="false">A61+1</f>
        <v>36948</v>
      </c>
      <c r="B62" s="131" t="str">
        <f aca="false">INDEX('Master Data'!$A$2:$B$8,MATCH(WEEKDAY('BRA Power'!A62,3),'Master Data'!$A$2:$A$8,0),2)</f>
        <v>M</v>
      </c>
      <c r="D62" s="124" t="n">
        <v>925190</v>
      </c>
      <c r="E62" s="124" t="n">
        <v>0</v>
      </c>
      <c r="F62" s="124" t="n">
        <v>0</v>
      </c>
      <c r="G62" s="124" t="n">
        <v>1300393</v>
      </c>
      <c r="I62" s="124" t="n">
        <f aca="false">IF(MONTH($A62)=MONTH($A61),IF(G62=0,I61,G62),G62)</f>
        <v>1300393</v>
      </c>
      <c r="J62" s="124" t="n">
        <f aca="false">IF(MONTH($A62)=MONTH($A61),SUM(I62-I61),I62)</f>
        <v>2920</v>
      </c>
      <c r="K62" s="124" t="n">
        <f aca="false">IF(WEEKDAY(A62,3)&gt;4,0,(IF(A62&lt;K$2,0,IF(A62&lt;=K$3,1,0))))</f>
        <v>0</v>
      </c>
      <c r="L62" s="124" t="n">
        <f aca="false">J62*K62</f>
        <v>0</v>
      </c>
      <c r="M62" s="124" t="n">
        <f aca="false">SUM(J$6:J62)</f>
        <v>1154066</v>
      </c>
      <c r="N62" s="124" t="n">
        <f aca="false">SUM(J$6:J62)</f>
        <v>1154066</v>
      </c>
      <c r="P62" s="124" t="n">
        <f aca="false">D62/P$3</f>
        <v>0.92519</v>
      </c>
      <c r="Q62" s="124" t="n">
        <f aca="false">E62/P$3</f>
        <v>0</v>
      </c>
      <c r="R62" s="124" t="n">
        <f aca="false">F62/R$3</f>
        <v>0</v>
      </c>
      <c r="S62" s="126" t="n">
        <f aca="false">J62/$R$3</f>
        <v>2.92</v>
      </c>
      <c r="T62" s="126" t="n">
        <f aca="false">L62/$R$3</f>
        <v>0</v>
      </c>
      <c r="U62" s="126" t="n">
        <f aca="false">I62/$R$3</f>
        <v>1300.393</v>
      </c>
      <c r="V62" s="126" t="n">
        <f aca="false">M62/$R$3</f>
        <v>1154.066</v>
      </c>
      <c r="W62" s="126" t="n">
        <f aca="false">N62/$R$3</f>
        <v>1154.066</v>
      </c>
    </row>
    <row r="63" customFormat="false" ht="12.75" hidden="true" customHeight="false" outlineLevel="0" collapsed="false">
      <c r="A63" s="120" t="n">
        <f aca="false">A62+1</f>
        <v>36949</v>
      </c>
      <c r="B63" s="131" t="str">
        <f aca="false">INDEX('Master Data'!$A$2:$B$8,MATCH(WEEKDAY('BRA Power'!A63,3),'Master Data'!$A$2:$A$8,0),2)</f>
        <v>T</v>
      </c>
      <c r="D63" s="124" t="n">
        <v>925567</v>
      </c>
      <c r="E63" s="124" t="n">
        <v>0</v>
      </c>
      <c r="F63" s="124" t="n">
        <v>0</v>
      </c>
      <c r="G63" s="124" t="n">
        <v>1301367</v>
      </c>
      <c r="I63" s="124" t="n">
        <f aca="false">IF(MONTH($A63)=MONTH($A62),IF(G63=0,I62,G63),G63)</f>
        <v>1301367</v>
      </c>
      <c r="J63" s="124" t="n">
        <f aca="false">IF(MONTH($A63)=MONTH($A62),SUM(I63-I62),I63)</f>
        <v>974</v>
      </c>
      <c r="K63" s="124" t="n">
        <f aca="false">IF(WEEKDAY(A63,3)&gt;4,0,(IF(A63&lt;K$2,0,IF(A63&lt;=K$3,1,0))))</f>
        <v>0</v>
      </c>
      <c r="L63" s="124" t="n">
        <f aca="false">J63*K63</f>
        <v>0</v>
      </c>
      <c r="M63" s="124" t="n">
        <f aca="false">SUM(J$6:J63)</f>
        <v>1155040</v>
      </c>
      <c r="N63" s="124" t="n">
        <f aca="false">SUM(J$6:J63)</f>
        <v>1155040</v>
      </c>
      <c r="P63" s="124" t="n">
        <f aca="false">D63/P$3</f>
        <v>0.925567</v>
      </c>
      <c r="Q63" s="124" t="n">
        <f aca="false">E63/P$3</f>
        <v>0</v>
      </c>
      <c r="R63" s="124" t="n">
        <f aca="false">F63/R$3</f>
        <v>0</v>
      </c>
      <c r="S63" s="126" t="n">
        <f aca="false">J63/$R$3</f>
        <v>0.974</v>
      </c>
      <c r="T63" s="126" t="n">
        <f aca="false">L63/$R$3</f>
        <v>0</v>
      </c>
      <c r="U63" s="126" t="n">
        <f aca="false">I63/$R$3</f>
        <v>1301.367</v>
      </c>
      <c r="V63" s="126" t="n">
        <f aca="false">M63/$R$3</f>
        <v>1155.04</v>
      </c>
      <c r="W63" s="126" t="n">
        <f aca="false">N63/$R$3</f>
        <v>1155.04</v>
      </c>
    </row>
    <row r="64" customFormat="false" ht="12.75" hidden="false" customHeight="false" outlineLevel="0" collapsed="false">
      <c r="A64" s="120" t="n">
        <f aca="false">A63+1</f>
        <v>36950</v>
      </c>
      <c r="B64" s="131" t="str">
        <f aca="false">INDEX('Master Data'!$A$2:$B$8,MATCH(WEEKDAY('BRA Power'!A64,3),'Master Data'!$A$2:$A$8,0),2)</f>
        <v>W</v>
      </c>
      <c r="D64" s="124" t="n">
        <v>925944</v>
      </c>
      <c r="E64" s="124" t="n">
        <v>0</v>
      </c>
      <c r="F64" s="124" t="n">
        <v>0</v>
      </c>
      <c r="G64" s="124" t="n">
        <v>1302342</v>
      </c>
      <c r="I64" s="124" t="n">
        <f aca="false">IF(MONTH($A64)=MONTH($A63),IF(G64=0,I63,G64),G64)</f>
        <v>1302342</v>
      </c>
      <c r="J64" s="124" t="n">
        <f aca="false">IF(MONTH($A64)=MONTH($A63),SUM(I64-I63),I64)</f>
        <v>975</v>
      </c>
      <c r="K64" s="124" t="n">
        <f aca="false">IF(WEEKDAY(A64,3)&gt;4,0,(IF(A64&lt;K$2,0,IF(A64&lt;=K$3,1,0))))</f>
        <v>0</v>
      </c>
      <c r="L64" s="124" t="n">
        <f aca="false">J64*K64</f>
        <v>0</v>
      </c>
      <c r="M64" s="124" t="n">
        <f aca="false">SUM(J$6:J64)</f>
        <v>1156015</v>
      </c>
      <c r="N64" s="124" t="n">
        <f aca="false">SUM(J$6:J64)</f>
        <v>1156015</v>
      </c>
      <c r="P64" s="124" t="n">
        <f aca="false">D64/P$3</f>
        <v>0.925944</v>
      </c>
      <c r="Q64" s="124" t="n">
        <f aca="false">E64/P$3</f>
        <v>0</v>
      </c>
      <c r="R64" s="124" t="n">
        <f aca="false">F64/R$3</f>
        <v>0</v>
      </c>
      <c r="S64" s="126" t="n">
        <f aca="false">J64/$R$3</f>
        <v>0.975</v>
      </c>
      <c r="T64" s="126" t="n">
        <f aca="false">L64/$R$3</f>
        <v>0</v>
      </c>
      <c r="U64" s="126" t="n">
        <f aca="false">I64/$R$3</f>
        <v>1302.342</v>
      </c>
      <c r="V64" s="126" t="n">
        <f aca="false">M64/$R$3</f>
        <v>1156.015</v>
      </c>
      <c r="W64" s="126" t="n">
        <f aca="false">N64/$R$3</f>
        <v>1156.015</v>
      </c>
    </row>
    <row r="65" customFormat="false" ht="12.75" hidden="true" customHeight="false" outlineLevel="0" collapsed="false">
      <c r="A65" s="120" t="n">
        <f aca="false">A64+1</f>
        <v>36951</v>
      </c>
      <c r="B65" s="131" t="str">
        <f aca="false">INDEX('Master Data'!$A$2:$B$8,MATCH(WEEKDAY('BRA Power'!A65,3),'Master Data'!$A$2:$A$8,0),2)</f>
        <v>Th</v>
      </c>
      <c r="D65" s="124" t="n">
        <v>870868</v>
      </c>
      <c r="E65" s="124" t="n">
        <v>0</v>
      </c>
      <c r="F65" s="124" t="n">
        <v>0</v>
      </c>
      <c r="G65" s="124" t="n">
        <v>-50851</v>
      </c>
      <c r="I65" s="124" t="n">
        <f aca="false">IF(MONTH($A65)=MONTH($A64),IF(G65=0,I64,G65),G65)</f>
        <v>-50851</v>
      </c>
      <c r="J65" s="124" t="n">
        <f aca="false">IF(MONTH($A65)=MONTH($A64),SUM(I65-I64),I65)</f>
        <v>-50851</v>
      </c>
      <c r="K65" s="124" t="n">
        <f aca="false">IF(WEEKDAY(A65,3)&gt;4,0,(IF(A65&lt;K$2,0,IF(A65&lt;=K$3,1,0))))</f>
        <v>0</v>
      </c>
      <c r="L65" s="124" t="n">
        <f aca="false">J65*K65</f>
        <v>-0</v>
      </c>
      <c r="M65" s="124" t="n">
        <f aca="false">SUM(J$6:J65)</f>
        <v>1105164</v>
      </c>
      <c r="N65" s="124" t="n">
        <f aca="false">SUM(J$6:J65)</f>
        <v>1105164</v>
      </c>
      <c r="P65" s="124" t="n">
        <f aca="false">D65/P$3</f>
        <v>0.870868</v>
      </c>
      <c r="Q65" s="124" t="n">
        <f aca="false">E65/P$3</f>
        <v>0</v>
      </c>
      <c r="R65" s="124" t="n">
        <f aca="false">F65/R$3</f>
        <v>0</v>
      </c>
      <c r="S65" s="126" t="n">
        <f aca="false">J65/$R$3</f>
        <v>-50.851</v>
      </c>
      <c r="T65" s="126" t="n">
        <f aca="false">L65/$R$3</f>
        <v>-0</v>
      </c>
      <c r="U65" s="126" t="n">
        <f aca="false">I65/$R$3</f>
        <v>-50.851</v>
      </c>
      <c r="V65" s="126" t="n">
        <f aca="false">M65/$R$3</f>
        <v>1105.164</v>
      </c>
      <c r="W65" s="126" t="n">
        <f aca="false">N65/$R$3</f>
        <v>1105.164</v>
      </c>
    </row>
    <row r="66" customFormat="false" ht="12.75" hidden="true" customHeight="false" outlineLevel="0" collapsed="false">
      <c r="A66" s="120" t="n">
        <f aca="false">A65+1</f>
        <v>36952</v>
      </c>
      <c r="B66" s="131" t="str">
        <f aca="false">INDEX('Master Data'!$A$2:$B$8,MATCH(WEEKDAY('BRA Power'!A66,3),'Master Data'!$A$2:$A$8,0),2)</f>
        <v>F</v>
      </c>
      <c r="D66" s="124" t="n">
        <v>871219</v>
      </c>
      <c r="E66" s="124" t="n">
        <v>0</v>
      </c>
      <c r="F66" s="124" t="n">
        <v>0</v>
      </c>
      <c r="G66" s="124" t="n">
        <v>-49896</v>
      </c>
      <c r="I66" s="124" t="n">
        <f aca="false">IF(MONTH($A66)=MONTH($A65),IF(G66=0,I65,G66),G66)</f>
        <v>-49896</v>
      </c>
      <c r="J66" s="124" t="n">
        <f aca="false">IF(MONTH($A66)=MONTH($A65),SUM(I66-I65),I66)</f>
        <v>955</v>
      </c>
      <c r="K66" s="124" t="n">
        <f aca="false">IF(WEEKDAY(A66,3)&gt;4,0,(IF(A66&lt;K$2,0,IF(A66&lt;=K$3,1,0))))</f>
        <v>0</v>
      </c>
      <c r="L66" s="124" t="n">
        <f aca="false">J66*K66</f>
        <v>0</v>
      </c>
      <c r="M66" s="124" t="n">
        <f aca="false">SUM(J$6:J66)</f>
        <v>1106119</v>
      </c>
      <c r="N66" s="124" t="n">
        <f aca="false">SUM(J$6:J66)</f>
        <v>1106119</v>
      </c>
      <c r="P66" s="124" t="n">
        <f aca="false">D66/P$3</f>
        <v>0.871219</v>
      </c>
      <c r="Q66" s="124" t="n">
        <f aca="false">E66/P$3</f>
        <v>0</v>
      </c>
      <c r="R66" s="124" t="n">
        <f aca="false">F66/R$3</f>
        <v>0</v>
      </c>
      <c r="S66" s="126" t="n">
        <f aca="false">J66/$R$3</f>
        <v>0.955</v>
      </c>
      <c r="T66" s="126" t="n">
        <f aca="false">L66/$R$3</f>
        <v>0</v>
      </c>
      <c r="U66" s="126" t="n">
        <f aca="false">I66/$R$3</f>
        <v>-49.896</v>
      </c>
      <c r="V66" s="126" t="n">
        <f aca="false">M66/$R$3</f>
        <v>1106.119</v>
      </c>
      <c r="W66" s="126" t="n">
        <f aca="false">N66/$R$3</f>
        <v>1106.119</v>
      </c>
    </row>
    <row r="67" customFormat="false" ht="12.75" hidden="true" customHeight="false" outlineLevel="0" collapsed="false">
      <c r="A67" s="120" t="n">
        <f aca="false">A66+1</f>
        <v>36953</v>
      </c>
      <c r="B67" s="131" t="str">
        <f aca="false">INDEX('Master Data'!$A$2:$B$8,MATCH(WEEKDAY('BRA Power'!A67,3),'Master Data'!$A$2:$A$8,0),2)</f>
        <v>Sa</v>
      </c>
      <c r="D67" s="124" t="n">
        <v>0</v>
      </c>
      <c r="E67" s="124" t="n">
        <v>0</v>
      </c>
      <c r="F67" s="124" t="n">
        <v>0</v>
      </c>
      <c r="G67" s="124" t="n">
        <v>0</v>
      </c>
      <c r="I67" s="124" t="n">
        <f aca="false">IF(MONTH($A67)=MONTH($A66),IF(G67=0,I66,G67),G67)</f>
        <v>-49896</v>
      </c>
      <c r="J67" s="124" t="n">
        <f aca="false">IF(MONTH($A67)=MONTH($A66),SUM(I67-I66),I67)</f>
        <v>0</v>
      </c>
      <c r="K67" s="124" t="n">
        <f aca="false">IF(WEEKDAY(A67,3)&gt;4,0,(IF(A67&lt;K$2,0,IF(A67&lt;=K$3,1,0))))</f>
        <v>0</v>
      </c>
      <c r="L67" s="124" t="n">
        <f aca="false">J67*K67</f>
        <v>0</v>
      </c>
      <c r="M67" s="124" t="n">
        <f aca="false">SUM(J$6:J67)</f>
        <v>1106119</v>
      </c>
      <c r="N67" s="124" t="n">
        <f aca="false">SUM(J$6:J67)</f>
        <v>1106119</v>
      </c>
      <c r="P67" s="124" t="n">
        <f aca="false">D67/P$3</f>
        <v>0</v>
      </c>
      <c r="Q67" s="124" t="n">
        <f aca="false">E67/P$3</f>
        <v>0</v>
      </c>
      <c r="R67" s="124" t="n">
        <f aca="false">F67/R$3</f>
        <v>0</v>
      </c>
      <c r="S67" s="126" t="n">
        <f aca="false">J67/$R$3</f>
        <v>0</v>
      </c>
      <c r="T67" s="126" t="n">
        <f aca="false">L67/$R$3</f>
        <v>0</v>
      </c>
      <c r="U67" s="126" t="n">
        <f aca="false">I67/$R$3</f>
        <v>-49.896</v>
      </c>
      <c r="V67" s="126" t="n">
        <f aca="false">M67/$R$3</f>
        <v>1106.119</v>
      </c>
      <c r="W67" s="126" t="n">
        <f aca="false">N67/$R$3</f>
        <v>1106.119</v>
      </c>
    </row>
    <row r="68" customFormat="false" ht="12.75" hidden="true" customHeight="false" outlineLevel="0" collapsed="false">
      <c r="A68" s="120" t="n">
        <f aca="false">A67+1</f>
        <v>36954</v>
      </c>
      <c r="B68" s="131" t="str">
        <f aca="false">INDEX('Master Data'!$A$2:$B$8,MATCH(WEEKDAY('BRA Power'!A68,3),'Master Data'!$A$2:$A$8,0),2)</f>
        <v>Su</v>
      </c>
      <c r="D68" s="124" t="n">
        <v>0</v>
      </c>
      <c r="E68" s="124" t="n">
        <v>0</v>
      </c>
      <c r="F68" s="124" t="n">
        <v>0</v>
      </c>
      <c r="G68" s="124" t="n">
        <v>0</v>
      </c>
      <c r="I68" s="124" t="n">
        <f aca="false">IF(MONTH($A68)=MONTH($A67),IF(G68=0,I67,G68),G68)</f>
        <v>-49896</v>
      </c>
      <c r="J68" s="124" t="n">
        <f aca="false">IF(MONTH($A68)=MONTH($A67),SUM(I68-I67),I68)</f>
        <v>0</v>
      </c>
      <c r="K68" s="124" t="n">
        <f aca="false">IF(WEEKDAY(A68,3)&gt;4,0,(IF(A68&lt;K$2,0,IF(A68&lt;=K$3,1,0))))</f>
        <v>0</v>
      </c>
      <c r="L68" s="124" t="n">
        <f aca="false">J68*K68</f>
        <v>0</v>
      </c>
      <c r="M68" s="124" t="n">
        <f aca="false">SUM(J$6:J68)</f>
        <v>1106119</v>
      </c>
      <c r="N68" s="124" t="n">
        <f aca="false">SUM(J$6:J68)</f>
        <v>1106119</v>
      </c>
      <c r="P68" s="124" t="n">
        <f aca="false">D68/P$3</f>
        <v>0</v>
      </c>
      <c r="Q68" s="124" t="n">
        <f aca="false">E68/P$3</f>
        <v>0</v>
      </c>
      <c r="R68" s="124" t="n">
        <f aca="false">F68/R$3</f>
        <v>0</v>
      </c>
      <c r="S68" s="126" t="n">
        <f aca="false">J68/$R$3</f>
        <v>0</v>
      </c>
      <c r="T68" s="126" t="n">
        <f aca="false">L68/$R$3</f>
        <v>0</v>
      </c>
      <c r="U68" s="126" t="n">
        <f aca="false">I68/$R$3</f>
        <v>-49.896</v>
      </c>
      <c r="V68" s="126" t="n">
        <f aca="false">M68/$R$3</f>
        <v>1106.119</v>
      </c>
      <c r="W68" s="126" t="n">
        <f aca="false">N68/$R$3</f>
        <v>1106.119</v>
      </c>
    </row>
    <row r="69" customFormat="false" ht="12.75" hidden="true" customHeight="false" outlineLevel="0" collapsed="false">
      <c r="A69" s="120" t="n">
        <f aca="false">A68+1</f>
        <v>36955</v>
      </c>
      <c r="B69" s="131" t="str">
        <f aca="false">INDEX('Master Data'!$A$2:$B$8,MATCH(WEEKDAY('BRA Power'!A69,3),'Master Data'!$A$2:$A$8,0),2)</f>
        <v>M</v>
      </c>
      <c r="D69" s="124" t="n">
        <v>872272</v>
      </c>
      <c r="E69" s="124" t="n">
        <v>0</v>
      </c>
      <c r="F69" s="124" t="n">
        <v>0</v>
      </c>
      <c r="G69" s="124" t="n">
        <v>-47029</v>
      </c>
      <c r="I69" s="124" t="n">
        <f aca="false">IF(MONTH($A69)=MONTH($A68),IF(G69=0,I68,G69),G69)</f>
        <v>-47029</v>
      </c>
      <c r="J69" s="124" t="n">
        <f aca="false">IF(MONTH($A69)=MONTH($A68),SUM(I69-I68),I69)</f>
        <v>2867</v>
      </c>
      <c r="K69" s="124" t="n">
        <f aca="false">IF(WEEKDAY(A69,3)&gt;4,0,(IF(A69&lt;K$2,0,IF(A69&lt;=K$3,1,0))))</f>
        <v>0</v>
      </c>
      <c r="L69" s="124" t="n">
        <f aca="false">J69*K69</f>
        <v>0</v>
      </c>
      <c r="M69" s="124" t="n">
        <f aca="false">SUM(J$6:J69)</f>
        <v>1108986</v>
      </c>
      <c r="N69" s="124" t="n">
        <f aca="false">SUM(J$6:J69)</f>
        <v>1108986</v>
      </c>
      <c r="P69" s="124" t="n">
        <f aca="false">D69/P$3</f>
        <v>0.872272</v>
      </c>
      <c r="Q69" s="124" t="n">
        <f aca="false">E69/P$3</f>
        <v>0</v>
      </c>
      <c r="R69" s="124" t="n">
        <f aca="false">F69/R$3</f>
        <v>0</v>
      </c>
      <c r="S69" s="126" t="n">
        <f aca="false">J69/$R$3</f>
        <v>2.867</v>
      </c>
      <c r="T69" s="126" t="n">
        <f aca="false">L69/$R$3</f>
        <v>0</v>
      </c>
      <c r="U69" s="126" t="n">
        <f aca="false">I69/$R$3</f>
        <v>-47.029</v>
      </c>
      <c r="V69" s="126" t="n">
        <f aca="false">M69/$R$3</f>
        <v>1108.986</v>
      </c>
      <c r="W69" s="126" t="n">
        <f aca="false">N69/$R$3</f>
        <v>1108.986</v>
      </c>
    </row>
    <row r="70" customFormat="false" ht="12.75" hidden="true" customHeight="false" outlineLevel="0" collapsed="false">
      <c r="A70" s="120" t="n">
        <f aca="false">A69+1</f>
        <v>36956</v>
      </c>
      <c r="B70" s="131" t="str">
        <f aca="false">INDEX('Master Data'!$A$2:$B$8,MATCH(WEEKDAY('BRA Power'!A70,3),'Master Data'!$A$2:$A$8,0),2)</f>
        <v>T</v>
      </c>
      <c r="D70" s="124" t="n">
        <v>872623</v>
      </c>
      <c r="E70" s="124" t="n">
        <v>0</v>
      </c>
      <c r="F70" s="124" t="n">
        <v>0</v>
      </c>
      <c r="G70" s="124" t="n">
        <v>-46073</v>
      </c>
      <c r="I70" s="124" t="n">
        <f aca="false">IF(MONTH($A70)=MONTH($A69),IF(G70=0,I69,G70),G70)</f>
        <v>-46073</v>
      </c>
      <c r="J70" s="124" t="n">
        <f aca="false">IF(MONTH($A70)=MONTH($A69),SUM(I70-I69),I70)</f>
        <v>956</v>
      </c>
      <c r="K70" s="124" t="n">
        <f aca="false">IF(WEEKDAY(A70,3)&gt;4,0,(IF(A70&lt;K$2,0,IF(A70&lt;=K$3,1,0))))</f>
        <v>0</v>
      </c>
      <c r="L70" s="124" t="n">
        <f aca="false">J70*K70</f>
        <v>0</v>
      </c>
      <c r="M70" s="124" t="n">
        <f aca="false">SUM(J$6:J70)</f>
        <v>1109942</v>
      </c>
      <c r="N70" s="124" t="n">
        <f aca="false">SUM(J$6:J70)</f>
        <v>1109942</v>
      </c>
      <c r="P70" s="124" t="n">
        <f aca="false">D70/P$3</f>
        <v>0.872623</v>
      </c>
      <c r="Q70" s="124" t="n">
        <f aca="false">E70/P$3</f>
        <v>0</v>
      </c>
      <c r="R70" s="124" t="n">
        <f aca="false">F70/R$3</f>
        <v>0</v>
      </c>
      <c r="S70" s="126" t="n">
        <f aca="false">J70/$R$3</f>
        <v>0.956</v>
      </c>
      <c r="T70" s="126" t="n">
        <f aca="false">L70/$R$3</f>
        <v>0</v>
      </c>
      <c r="U70" s="126" t="n">
        <f aca="false">I70/$R$3</f>
        <v>-46.073</v>
      </c>
      <c r="V70" s="126" t="n">
        <f aca="false">M70/$R$3</f>
        <v>1109.942</v>
      </c>
      <c r="W70" s="126" t="n">
        <f aca="false">N70/$R$3</f>
        <v>1109.942</v>
      </c>
    </row>
    <row r="71" customFormat="false" ht="12.75" hidden="true" customHeight="false" outlineLevel="0" collapsed="false">
      <c r="A71" s="120" t="n">
        <f aca="false">A70+1</f>
        <v>36957</v>
      </c>
      <c r="B71" s="131" t="str">
        <f aca="false">INDEX('Master Data'!$A$2:$B$8,MATCH(WEEKDAY('BRA Power'!A71,3),'Master Data'!$A$2:$A$8,0),2)</f>
        <v>W</v>
      </c>
      <c r="D71" s="124" t="n">
        <v>872974</v>
      </c>
      <c r="E71" s="124" t="n">
        <v>0</v>
      </c>
      <c r="F71" s="124" t="n">
        <v>0</v>
      </c>
      <c r="G71" s="124" t="n">
        <v>-45116</v>
      </c>
      <c r="I71" s="124" t="n">
        <f aca="false">IF(MONTH($A71)=MONTH($A70),IF(G71=0,I70,G71),G71)</f>
        <v>-45116</v>
      </c>
      <c r="J71" s="124" t="n">
        <f aca="false">IF(MONTH($A71)=MONTH($A70),SUM(I71-I70),I71)</f>
        <v>957</v>
      </c>
      <c r="K71" s="124" t="n">
        <f aca="false">IF(WEEKDAY(A71,3)&gt;4,0,(IF(A71&lt;K$2,0,IF(A71&lt;=K$3,1,0))))</f>
        <v>0</v>
      </c>
      <c r="L71" s="124" t="n">
        <f aca="false">J71*K71</f>
        <v>0</v>
      </c>
      <c r="M71" s="124" t="n">
        <f aca="false">SUM(J$6:J71)</f>
        <v>1110899</v>
      </c>
      <c r="N71" s="124" t="n">
        <f aca="false">SUM(J$6:J71)</f>
        <v>1110899</v>
      </c>
      <c r="P71" s="124" t="n">
        <f aca="false">D71/P$3</f>
        <v>0.872974</v>
      </c>
      <c r="Q71" s="124" t="n">
        <f aca="false">E71/P$3</f>
        <v>0</v>
      </c>
      <c r="R71" s="124" t="n">
        <f aca="false">F71/R$3</f>
        <v>0</v>
      </c>
      <c r="S71" s="126" t="n">
        <f aca="false">J71/$R$3</f>
        <v>0.957</v>
      </c>
      <c r="T71" s="126" t="n">
        <f aca="false">L71/$R$3</f>
        <v>0</v>
      </c>
      <c r="U71" s="126" t="n">
        <f aca="false">I71/$R$3</f>
        <v>-45.116</v>
      </c>
      <c r="V71" s="126" t="n">
        <f aca="false">M71/$R$3</f>
        <v>1110.899</v>
      </c>
      <c r="W71" s="126" t="n">
        <f aca="false">N71/$R$3</f>
        <v>1110.899</v>
      </c>
    </row>
    <row r="72" customFormat="false" ht="12.75" hidden="true" customHeight="false" outlineLevel="0" collapsed="false">
      <c r="A72" s="120" t="n">
        <f aca="false">A71+1</f>
        <v>36958</v>
      </c>
      <c r="B72" s="131" t="str">
        <f aca="false">INDEX('Master Data'!$A$2:$B$8,MATCH(WEEKDAY('BRA Power'!A72,3),'Master Data'!$A$2:$A$8,0),2)</f>
        <v>Th</v>
      </c>
      <c r="D72" s="124" t="n">
        <v>873326</v>
      </c>
      <c r="E72" s="124" t="n">
        <v>0</v>
      </c>
      <c r="F72" s="124" t="n">
        <v>0</v>
      </c>
      <c r="G72" s="124" t="n">
        <v>-44158</v>
      </c>
      <c r="I72" s="124" t="n">
        <f aca="false">IF(MONTH($A72)=MONTH($A71),IF(G72=0,I71,G72),G72)</f>
        <v>-44158</v>
      </c>
      <c r="J72" s="124" t="n">
        <f aca="false">IF(MONTH($A72)=MONTH($A71),SUM(I72-I71),I72)</f>
        <v>958</v>
      </c>
      <c r="K72" s="124" t="n">
        <f aca="false">IF(WEEKDAY(A72,3)&gt;4,0,(IF(A72&lt;K$2,0,IF(A72&lt;=K$3,1,0))))</f>
        <v>0</v>
      </c>
      <c r="L72" s="124" t="n">
        <f aca="false">J72*K72</f>
        <v>0</v>
      </c>
      <c r="M72" s="124" t="n">
        <f aca="false">SUM(J$6:J72)</f>
        <v>1111857</v>
      </c>
      <c r="N72" s="124" t="n">
        <f aca="false">SUM(J$6:J72)</f>
        <v>1111857</v>
      </c>
      <c r="P72" s="124" t="n">
        <f aca="false">D72/P$3</f>
        <v>0.873326</v>
      </c>
      <c r="Q72" s="124" t="n">
        <f aca="false">E72/P$3</f>
        <v>0</v>
      </c>
      <c r="R72" s="124" t="n">
        <f aca="false">F72/R$3</f>
        <v>0</v>
      </c>
      <c r="S72" s="126" t="n">
        <f aca="false">J72/$R$3</f>
        <v>0.958</v>
      </c>
      <c r="T72" s="126" t="n">
        <f aca="false">L72/$R$3</f>
        <v>0</v>
      </c>
      <c r="U72" s="126" t="n">
        <f aca="false">I72/$R$3</f>
        <v>-44.158</v>
      </c>
      <c r="V72" s="126" t="n">
        <f aca="false">M72/$R$3</f>
        <v>1111.857</v>
      </c>
      <c r="W72" s="126" t="n">
        <f aca="false">N72/$R$3</f>
        <v>1111.857</v>
      </c>
    </row>
    <row r="73" customFormat="false" ht="12.75" hidden="true" customHeight="false" outlineLevel="0" collapsed="false">
      <c r="A73" s="120" t="n">
        <f aca="false">A72+1</f>
        <v>36959</v>
      </c>
      <c r="B73" s="131" t="str">
        <f aca="false">INDEX('Master Data'!$A$2:$B$8,MATCH(WEEKDAY('BRA Power'!A73,3),'Master Data'!$A$2:$A$8,0),2)</f>
        <v>F</v>
      </c>
      <c r="D73" s="124" t="n">
        <v>873678</v>
      </c>
      <c r="E73" s="124" t="n">
        <v>0</v>
      </c>
      <c r="F73" s="124" t="n">
        <v>0</v>
      </c>
      <c r="G73" s="124" t="n">
        <v>6658551</v>
      </c>
      <c r="I73" s="124" t="n">
        <f aca="false">IF(MONTH($A73)=MONTH($A72),IF(G73=0,I72,G73),G73)</f>
        <v>6658551</v>
      </c>
      <c r="J73" s="124" t="n">
        <f aca="false">IF(MONTH($A73)=MONTH($A72),SUM(I73-I72),I73)</f>
        <v>6702709</v>
      </c>
      <c r="K73" s="124" t="n">
        <f aca="false">IF(WEEKDAY(A73,3)&gt;4,0,(IF(A73&lt;K$2,0,IF(A73&lt;=K$3,1,0))))</f>
        <v>0</v>
      </c>
      <c r="L73" s="124" t="n">
        <f aca="false">J73*K73</f>
        <v>0</v>
      </c>
      <c r="M73" s="124" t="n">
        <f aca="false">SUM(J$6:J73)</f>
        <v>7814566</v>
      </c>
      <c r="N73" s="124" t="n">
        <f aca="false">SUM(J$6:J73)</f>
        <v>7814566</v>
      </c>
      <c r="P73" s="124" t="n">
        <f aca="false">D73/P$3</f>
        <v>0.873678</v>
      </c>
      <c r="Q73" s="124" t="n">
        <f aca="false">E73/P$3</f>
        <v>0</v>
      </c>
      <c r="R73" s="124" t="n">
        <f aca="false">F73/R$3</f>
        <v>0</v>
      </c>
      <c r="S73" s="126" t="n">
        <f aca="false">J73/$R$3</f>
        <v>6702.709</v>
      </c>
      <c r="T73" s="126" t="n">
        <f aca="false">L73/$R$3</f>
        <v>0</v>
      </c>
      <c r="U73" s="126" t="n">
        <f aca="false">I73/$R$3</f>
        <v>6658.551</v>
      </c>
      <c r="V73" s="126" t="n">
        <f aca="false">M73/$R$3</f>
        <v>7814.566</v>
      </c>
      <c r="W73" s="126" t="n">
        <f aca="false">N73/$R$3</f>
        <v>7814.566</v>
      </c>
    </row>
    <row r="74" customFormat="false" ht="12.75" hidden="true" customHeight="false" outlineLevel="0" collapsed="false">
      <c r="A74" s="120" t="n">
        <f aca="false">A73+1</f>
        <v>36960</v>
      </c>
      <c r="B74" s="131" t="str">
        <f aca="false">INDEX('Master Data'!$A$2:$B$8,MATCH(WEEKDAY('BRA Power'!A74,3),'Master Data'!$A$2:$A$8,0),2)</f>
        <v>Sa</v>
      </c>
      <c r="D74" s="124" t="n">
        <v>0</v>
      </c>
      <c r="E74" s="124" t="n">
        <v>0</v>
      </c>
      <c r="F74" s="124" t="n">
        <v>0</v>
      </c>
      <c r="G74" s="124" t="n">
        <v>0</v>
      </c>
      <c r="I74" s="124" t="n">
        <f aca="false">IF(MONTH($A74)=MONTH($A73),IF(G74=0,I73,G74),G74)</f>
        <v>6658551</v>
      </c>
      <c r="J74" s="124" t="n">
        <f aca="false">IF(MONTH($A74)=MONTH($A73),SUM(I74-I73),I74)</f>
        <v>0</v>
      </c>
      <c r="K74" s="124" t="n">
        <f aca="false">IF(WEEKDAY(A74,3)&gt;4,0,(IF(A74&lt;K$2,0,IF(A74&lt;=K$3,1,0))))</f>
        <v>0</v>
      </c>
      <c r="L74" s="124" t="n">
        <f aca="false">J74*K74</f>
        <v>0</v>
      </c>
      <c r="M74" s="124" t="n">
        <f aca="false">SUM(J$6:J74)</f>
        <v>7814566</v>
      </c>
      <c r="N74" s="124" t="n">
        <f aca="false">SUM(J$6:J74)</f>
        <v>7814566</v>
      </c>
      <c r="P74" s="124" t="n">
        <f aca="false">D74/P$3</f>
        <v>0</v>
      </c>
      <c r="Q74" s="124" t="n">
        <f aca="false">E74/P$3</f>
        <v>0</v>
      </c>
      <c r="R74" s="124" t="n">
        <f aca="false">F74/R$3</f>
        <v>0</v>
      </c>
      <c r="S74" s="126" t="n">
        <f aca="false">J74/$R$3</f>
        <v>0</v>
      </c>
      <c r="T74" s="126" t="n">
        <f aca="false">L74/$R$3</f>
        <v>0</v>
      </c>
      <c r="U74" s="126" t="n">
        <f aca="false">I74/$R$3</f>
        <v>6658.551</v>
      </c>
      <c r="V74" s="126" t="n">
        <f aca="false">M74/$R$3</f>
        <v>7814.566</v>
      </c>
      <c r="W74" s="126" t="n">
        <f aca="false">N74/$R$3</f>
        <v>7814.566</v>
      </c>
    </row>
    <row r="75" customFormat="false" ht="12.75" hidden="true" customHeight="false" outlineLevel="0" collapsed="false">
      <c r="A75" s="120" t="n">
        <f aca="false">A74+1</f>
        <v>36961</v>
      </c>
      <c r="B75" s="131" t="str">
        <f aca="false">INDEX('Master Data'!$A$2:$B$8,MATCH(WEEKDAY('BRA Power'!A75,3),'Master Data'!$A$2:$A$8,0),2)</f>
        <v>Su</v>
      </c>
      <c r="D75" s="124" t="n">
        <v>0</v>
      </c>
      <c r="E75" s="124" t="n">
        <v>0</v>
      </c>
      <c r="F75" s="124" t="n">
        <v>0</v>
      </c>
      <c r="G75" s="124" t="n">
        <v>0</v>
      </c>
      <c r="I75" s="124" t="n">
        <f aca="false">IF(MONTH($A75)=MONTH($A74),IF(G75=0,I74,G75),G75)</f>
        <v>6658551</v>
      </c>
      <c r="J75" s="124" t="n">
        <f aca="false">IF(MONTH($A75)=MONTH($A74),SUM(I75-I74),I75)</f>
        <v>0</v>
      </c>
      <c r="K75" s="124" t="n">
        <f aca="false">IF(WEEKDAY(A75,3)&gt;4,0,(IF(A75&lt;K$2,0,IF(A75&lt;=K$3,1,0))))</f>
        <v>0</v>
      </c>
      <c r="L75" s="124" t="n">
        <f aca="false">J75*K75</f>
        <v>0</v>
      </c>
      <c r="M75" s="124" t="n">
        <f aca="false">SUM(J$6:J75)</f>
        <v>7814566</v>
      </c>
      <c r="N75" s="124" t="n">
        <f aca="false">SUM(J$6:J75)</f>
        <v>7814566</v>
      </c>
      <c r="P75" s="124" t="n">
        <f aca="false">D75/P$3</f>
        <v>0</v>
      </c>
      <c r="Q75" s="124" t="n">
        <f aca="false">E75/P$3</f>
        <v>0</v>
      </c>
      <c r="R75" s="124" t="n">
        <f aca="false">F75/R$3</f>
        <v>0</v>
      </c>
      <c r="S75" s="126" t="n">
        <f aca="false">J75/$R$3</f>
        <v>0</v>
      </c>
      <c r="T75" s="126" t="n">
        <f aca="false">L75/$R$3</f>
        <v>0</v>
      </c>
      <c r="U75" s="126" t="n">
        <f aca="false">I75/$R$3</f>
        <v>6658.551</v>
      </c>
      <c r="V75" s="126" t="n">
        <f aca="false">M75/$R$3</f>
        <v>7814.566</v>
      </c>
      <c r="W75" s="126" t="n">
        <f aca="false">N75/$R$3</f>
        <v>7814.566</v>
      </c>
    </row>
    <row r="76" customFormat="false" ht="12.75" hidden="true" customHeight="false" outlineLevel="0" collapsed="false">
      <c r="A76" s="120" t="n">
        <f aca="false">A75+1</f>
        <v>36962</v>
      </c>
      <c r="B76" s="131" t="str">
        <f aca="false">INDEX('Master Data'!$A$2:$B$8,MATCH(WEEKDAY('BRA Power'!A76,3),'Master Data'!$A$2:$A$8,0),2)</f>
        <v>M</v>
      </c>
      <c r="D76" s="124" t="n">
        <v>874734</v>
      </c>
      <c r="E76" s="124" t="n">
        <v>0</v>
      </c>
      <c r="F76" s="124" t="n">
        <v>0</v>
      </c>
      <c r="G76" s="124" t="n">
        <v>7107344</v>
      </c>
      <c r="I76" s="124" t="n">
        <f aca="false">IF(MONTH($A76)=MONTH($A75),IF(G76=0,I75,G76),G76)</f>
        <v>7107344</v>
      </c>
      <c r="J76" s="124" t="n">
        <f aca="false">IF(MONTH($A76)=MONTH($A75),SUM(I76-I75),I76)</f>
        <v>448793</v>
      </c>
      <c r="K76" s="124" t="n">
        <f aca="false">IF(WEEKDAY(A76,3)&gt;4,0,(IF(A76&lt;K$2,0,IF(A76&lt;=K$3,1,0))))</f>
        <v>0</v>
      </c>
      <c r="L76" s="124" t="n">
        <f aca="false">J76*K76</f>
        <v>0</v>
      </c>
      <c r="M76" s="124" t="n">
        <f aca="false">SUM(J$6:J76)</f>
        <v>8263359</v>
      </c>
      <c r="N76" s="124" t="n">
        <f aca="false">SUM(J$6:J76)</f>
        <v>8263359</v>
      </c>
      <c r="P76" s="124" t="n">
        <f aca="false">D76/P$3</f>
        <v>0.874734</v>
      </c>
      <c r="Q76" s="124" t="n">
        <f aca="false">E76/P$3</f>
        <v>0</v>
      </c>
      <c r="R76" s="124" t="n">
        <f aca="false">F76/R$3</f>
        <v>0</v>
      </c>
      <c r="S76" s="126" t="n">
        <f aca="false">J76/$R$3</f>
        <v>448.793</v>
      </c>
      <c r="T76" s="126" t="n">
        <f aca="false">L76/$R$3</f>
        <v>0</v>
      </c>
      <c r="U76" s="126" t="n">
        <f aca="false">I76/$R$3</f>
        <v>7107.344</v>
      </c>
      <c r="V76" s="126" t="n">
        <f aca="false">M76/$R$3</f>
        <v>8263.359</v>
      </c>
      <c r="W76" s="126" t="n">
        <f aca="false">N76/$R$3</f>
        <v>8263.359</v>
      </c>
    </row>
    <row r="77" customFormat="false" ht="12.75" hidden="true" customHeight="false" outlineLevel="0" collapsed="false">
      <c r="A77" s="120" t="n">
        <f aca="false">A76+1</f>
        <v>36963</v>
      </c>
      <c r="B77" s="131" t="str">
        <f aca="false">INDEX('Master Data'!$A$2:$B$8,MATCH(WEEKDAY('BRA Power'!A77,3),'Master Data'!$A$2:$A$8,0),2)</f>
        <v>T</v>
      </c>
      <c r="D77" s="124" t="n">
        <v>875086</v>
      </c>
      <c r="E77" s="124" t="n">
        <v>0</v>
      </c>
      <c r="F77" s="124" t="n">
        <v>0</v>
      </c>
      <c r="G77" s="124" t="n">
        <v>7111129</v>
      </c>
      <c r="I77" s="124" t="n">
        <f aca="false">IF(MONTH($A77)=MONTH($A76),IF(G77=0,I76,G77),G77)</f>
        <v>7111129</v>
      </c>
      <c r="J77" s="124" t="n">
        <f aca="false">IF(MONTH($A77)=MONTH($A76),SUM(I77-I76),I77)</f>
        <v>3785</v>
      </c>
      <c r="K77" s="124" t="n">
        <f aca="false">IF(WEEKDAY(A77,3)&gt;4,0,(IF(A77&lt;K$2,0,IF(A77&lt;=K$3,1,0))))</f>
        <v>0</v>
      </c>
      <c r="L77" s="124" t="n">
        <f aca="false">J77*K77</f>
        <v>0</v>
      </c>
      <c r="M77" s="124" t="n">
        <f aca="false">SUM(J$6:J77)</f>
        <v>8267144</v>
      </c>
      <c r="N77" s="124" t="n">
        <f aca="false">SUM(J$6:J77)</f>
        <v>8267144</v>
      </c>
      <c r="P77" s="124" t="n">
        <f aca="false">D77/P$3</f>
        <v>0.875086</v>
      </c>
      <c r="Q77" s="124" t="n">
        <f aca="false">E77/P$3</f>
        <v>0</v>
      </c>
      <c r="R77" s="124" t="n">
        <f aca="false">F77/R$3</f>
        <v>0</v>
      </c>
      <c r="S77" s="126" t="n">
        <f aca="false">J77/$R$3</f>
        <v>3.785</v>
      </c>
      <c r="T77" s="126" t="n">
        <f aca="false">L77/$R$3</f>
        <v>0</v>
      </c>
      <c r="U77" s="126" t="n">
        <f aca="false">I77/$R$3</f>
        <v>7111.129</v>
      </c>
      <c r="V77" s="126" t="n">
        <f aca="false">M77/$R$3</f>
        <v>8267.144</v>
      </c>
      <c r="W77" s="126" t="n">
        <f aca="false">N77/$R$3</f>
        <v>8267.144</v>
      </c>
    </row>
    <row r="78" customFormat="false" ht="12.75" hidden="true" customHeight="false" outlineLevel="0" collapsed="false">
      <c r="A78" s="120" t="n">
        <f aca="false">A77+1</f>
        <v>36964</v>
      </c>
      <c r="B78" s="131" t="str">
        <f aca="false">INDEX('Master Data'!$A$2:$B$8,MATCH(WEEKDAY('BRA Power'!A78,3),'Master Data'!$A$2:$A$8,0),2)</f>
        <v>W</v>
      </c>
      <c r="D78" s="124" t="n">
        <v>875438</v>
      </c>
      <c r="E78" s="124" t="n">
        <v>0</v>
      </c>
      <c r="F78" s="124" t="n">
        <v>0</v>
      </c>
      <c r="G78" s="124" t="n">
        <v>7114915</v>
      </c>
      <c r="I78" s="124" t="n">
        <f aca="false">IF(MONTH($A78)=MONTH($A77),IF(G78=0,I77,G78),G78)</f>
        <v>7114915</v>
      </c>
      <c r="J78" s="124" t="n">
        <f aca="false">IF(MONTH($A78)=MONTH($A77),SUM(I78-I77),I78)</f>
        <v>3786</v>
      </c>
      <c r="K78" s="124" t="n">
        <f aca="false">IF(WEEKDAY(A78,3)&gt;4,0,(IF(A78&lt;K$2,0,IF(A78&lt;=K$3,1,0))))</f>
        <v>0</v>
      </c>
      <c r="L78" s="124" t="n">
        <f aca="false">J78*K78</f>
        <v>0</v>
      </c>
      <c r="M78" s="124" t="n">
        <f aca="false">SUM(J$6:J78)</f>
        <v>8270930</v>
      </c>
      <c r="N78" s="124" t="n">
        <f aca="false">SUM(J$6:J78)</f>
        <v>8270930</v>
      </c>
      <c r="P78" s="124" t="n">
        <f aca="false">D78/P$3</f>
        <v>0.875438</v>
      </c>
      <c r="Q78" s="124" t="n">
        <f aca="false">E78/P$3</f>
        <v>0</v>
      </c>
      <c r="R78" s="124" t="n">
        <f aca="false">F78/R$3</f>
        <v>0</v>
      </c>
      <c r="S78" s="126" t="n">
        <f aca="false">J78/$R$3</f>
        <v>3.786</v>
      </c>
      <c r="T78" s="126" t="n">
        <f aca="false">L78/$R$3</f>
        <v>0</v>
      </c>
      <c r="U78" s="126" t="n">
        <f aca="false">I78/$R$3</f>
        <v>7114.915</v>
      </c>
      <c r="V78" s="126" t="n">
        <f aca="false">M78/$R$3</f>
        <v>8270.93</v>
      </c>
      <c r="W78" s="126" t="n">
        <f aca="false">N78/$R$3</f>
        <v>8270.93</v>
      </c>
    </row>
    <row r="79" customFormat="false" ht="12.75" hidden="true" customHeight="false" outlineLevel="0" collapsed="false">
      <c r="A79" s="120" t="n">
        <f aca="false">A78+1</f>
        <v>36965</v>
      </c>
      <c r="B79" s="131" t="str">
        <f aca="false">INDEX('Master Data'!$A$2:$B$8,MATCH(WEEKDAY('BRA Power'!A79,3),'Master Data'!$A$2:$A$8,0),2)</f>
        <v>Th</v>
      </c>
      <c r="D79" s="124" t="n">
        <v>875791</v>
      </c>
      <c r="E79" s="124" t="n">
        <v>0</v>
      </c>
      <c r="F79" s="124" t="n">
        <v>0</v>
      </c>
      <c r="G79" s="124" t="n">
        <v>7118704</v>
      </c>
      <c r="I79" s="124" t="n">
        <f aca="false">IF(MONTH($A79)=MONTH($A78),IF(G79=0,I78,G79),G79)</f>
        <v>7118704</v>
      </c>
      <c r="J79" s="124" t="n">
        <f aca="false">IF(MONTH($A79)=MONTH($A78),SUM(I79-I78),I79)</f>
        <v>3789</v>
      </c>
      <c r="K79" s="124" t="n">
        <f aca="false">IF(WEEKDAY(A79,3)&gt;4,0,(IF(A79&lt;K$2,0,IF(A79&lt;=K$3,1,0))))</f>
        <v>0</v>
      </c>
      <c r="L79" s="124" t="n">
        <f aca="false">J79*K79</f>
        <v>0</v>
      </c>
      <c r="M79" s="124" t="n">
        <f aca="false">SUM(J$6:J79)</f>
        <v>8274719</v>
      </c>
      <c r="N79" s="124" t="n">
        <f aca="false">SUM(J$6:J79)</f>
        <v>8274719</v>
      </c>
      <c r="P79" s="124" t="n">
        <f aca="false">D79/P$3</f>
        <v>0.875791</v>
      </c>
      <c r="Q79" s="124" t="n">
        <f aca="false">E79/P$3</f>
        <v>0</v>
      </c>
      <c r="R79" s="124" t="n">
        <f aca="false">F79/R$3</f>
        <v>0</v>
      </c>
      <c r="S79" s="126" t="n">
        <f aca="false">J79/$R$3</f>
        <v>3.789</v>
      </c>
      <c r="T79" s="126" t="n">
        <f aca="false">L79/$R$3</f>
        <v>0</v>
      </c>
      <c r="U79" s="126" t="n">
        <f aca="false">I79/$R$3</f>
        <v>7118.704</v>
      </c>
      <c r="V79" s="126" t="n">
        <f aca="false">M79/$R$3</f>
        <v>8274.719</v>
      </c>
      <c r="W79" s="126" t="n">
        <f aca="false">N79/$R$3</f>
        <v>8274.719</v>
      </c>
    </row>
    <row r="80" customFormat="false" ht="12.75" hidden="true" customHeight="false" outlineLevel="0" collapsed="false">
      <c r="A80" s="120" t="n">
        <f aca="false">A79+1</f>
        <v>36966</v>
      </c>
      <c r="B80" s="131" t="str">
        <f aca="false">INDEX('Master Data'!$A$2:$B$8,MATCH(WEEKDAY('BRA Power'!A80,3),'Master Data'!$A$2:$A$8,0),2)</f>
        <v>F</v>
      </c>
      <c r="D80" s="124" t="n">
        <v>876144</v>
      </c>
      <c r="E80" s="124" t="n">
        <v>0</v>
      </c>
      <c r="F80" s="124" t="n">
        <v>0</v>
      </c>
      <c r="G80" s="124" t="n">
        <v>7122495</v>
      </c>
      <c r="I80" s="124" t="n">
        <f aca="false">IF(MONTH($A80)=MONTH($A79),IF(G80=0,I79,G80),G80)</f>
        <v>7122495</v>
      </c>
      <c r="J80" s="124" t="n">
        <f aca="false">IF(MONTH($A80)=MONTH($A79),SUM(I80-I79),I80)</f>
        <v>3791</v>
      </c>
      <c r="K80" s="124" t="n">
        <f aca="false">IF(WEEKDAY(A80,3)&gt;4,0,(IF(A80&lt;K$2,0,IF(A80&lt;=K$3,1,0))))</f>
        <v>0</v>
      </c>
      <c r="L80" s="124" t="n">
        <f aca="false">J80*K80</f>
        <v>0</v>
      </c>
      <c r="M80" s="124" t="n">
        <f aca="false">SUM(J$6:J80)</f>
        <v>8278510</v>
      </c>
      <c r="N80" s="124" t="n">
        <f aca="false">SUM(J$6:J80)</f>
        <v>8278510</v>
      </c>
      <c r="P80" s="124" t="n">
        <f aca="false">D80/P$3</f>
        <v>0.876144</v>
      </c>
      <c r="Q80" s="124" t="n">
        <f aca="false">E80/P$3</f>
        <v>0</v>
      </c>
      <c r="R80" s="124" t="n">
        <f aca="false">F80/R$3</f>
        <v>0</v>
      </c>
      <c r="S80" s="126" t="n">
        <f aca="false">J80/$R$3</f>
        <v>3.791</v>
      </c>
      <c r="T80" s="126" t="n">
        <f aca="false">L80/$R$3</f>
        <v>0</v>
      </c>
      <c r="U80" s="126" t="n">
        <f aca="false">I80/$R$3</f>
        <v>7122.495</v>
      </c>
      <c r="V80" s="126" t="n">
        <f aca="false">M80/$R$3</f>
        <v>8278.51</v>
      </c>
      <c r="W80" s="126" t="n">
        <f aca="false">N80/$R$3</f>
        <v>8278.51</v>
      </c>
    </row>
    <row r="81" customFormat="false" ht="12.75" hidden="true" customHeight="false" outlineLevel="0" collapsed="false">
      <c r="A81" s="120" t="n">
        <f aca="false">A80+1</f>
        <v>36967</v>
      </c>
      <c r="B81" s="131" t="str">
        <f aca="false">INDEX('Master Data'!$A$2:$B$8,MATCH(WEEKDAY('BRA Power'!A81,3),'Master Data'!$A$2:$A$8,0),2)</f>
        <v>Sa</v>
      </c>
      <c r="D81" s="124" t="n">
        <v>0</v>
      </c>
      <c r="E81" s="124" t="n">
        <v>0</v>
      </c>
      <c r="F81" s="124" t="n">
        <v>0</v>
      </c>
      <c r="G81" s="124" t="n">
        <v>0</v>
      </c>
      <c r="I81" s="124" t="n">
        <f aca="false">IF(MONTH($A81)=MONTH($A80),IF(G81=0,I80,G81),G81)</f>
        <v>7122495</v>
      </c>
      <c r="J81" s="124" t="n">
        <f aca="false">IF(MONTH($A81)=MONTH($A80),SUM(I81-I80),I81)</f>
        <v>0</v>
      </c>
      <c r="K81" s="124" t="n">
        <f aca="false">IF(WEEKDAY(A81,3)&gt;4,0,(IF(A81&lt;K$2,0,IF(A81&lt;=K$3,1,0))))</f>
        <v>0</v>
      </c>
      <c r="L81" s="124" t="n">
        <f aca="false">J81*K81</f>
        <v>0</v>
      </c>
      <c r="M81" s="124" t="n">
        <f aca="false">SUM(J$6:J81)</f>
        <v>8278510</v>
      </c>
      <c r="N81" s="124" t="n">
        <f aca="false">SUM(J$6:J81)</f>
        <v>8278510</v>
      </c>
      <c r="P81" s="124" t="n">
        <f aca="false">D81/P$3</f>
        <v>0</v>
      </c>
      <c r="Q81" s="124" t="n">
        <f aca="false">E81/P$3</f>
        <v>0</v>
      </c>
      <c r="R81" s="124" t="n">
        <f aca="false">F81/R$3</f>
        <v>0</v>
      </c>
      <c r="S81" s="126" t="n">
        <f aca="false">J81/$R$3</f>
        <v>0</v>
      </c>
      <c r="T81" s="126" t="n">
        <f aca="false">L81/$R$3</f>
        <v>0</v>
      </c>
      <c r="U81" s="126" t="n">
        <f aca="false">I81/$R$3</f>
        <v>7122.495</v>
      </c>
      <c r="V81" s="126" t="n">
        <f aca="false">M81/$R$3</f>
        <v>8278.51</v>
      </c>
      <c r="W81" s="126" t="n">
        <f aca="false">N81/$R$3</f>
        <v>8278.51</v>
      </c>
    </row>
    <row r="82" customFormat="false" ht="12.75" hidden="true" customHeight="false" outlineLevel="0" collapsed="false">
      <c r="A82" s="120" t="n">
        <f aca="false">A81+1</f>
        <v>36968</v>
      </c>
      <c r="B82" s="131" t="str">
        <f aca="false">INDEX('Master Data'!$A$2:$B$8,MATCH(WEEKDAY('BRA Power'!A82,3),'Master Data'!$A$2:$A$8,0),2)</f>
        <v>Su</v>
      </c>
      <c r="D82" s="124" t="n">
        <v>0</v>
      </c>
      <c r="E82" s="124" t="n">
        <v>0</v>
      </c>
      <c r="F82" s="124" t="n">
        <v>0</v>
      </c>
      <c r="G82" s="124" t="n">
        <v>0</v>
      </c>
      <c r="I82" s="124" t="n">
        <f aca="false">IF(MONTH($A82)=MONTH($A81),IF(G82=0,I81,G82),G82)</f>
        <v>7122495</v>
      </c>
      <c r="J82" s="124" t="n">
        <f aca="false">IF(MONTH($A82)=MONTH($A81),SUM(I82-I81),I82)</f>
        <v>0</v>
      </c>
      <c r="K82" s="124" t="n">
        <f aca="false">IF(WEEKDAY(A82,3)&gt;4,0,(IF(A82&lt;K$2,0,IF(A82&lt;=K$3,1,0))))</f>
        <v>0</v>
      </c>
      <c r="L82" s="124" t="n">
        <f aca="false">J82*K82</f>
        <v>0</v>
      </c>
      <c r="M82" s="124" t="n">
        <f aca="false">SUM(J$6:J82)</f>
        <v>8278510</v>
      </c>
      <c r="N82" s="124" t="n">
        <f aca="false">SUM(J$6:J82)</f>
        <v>8278510</v>
      </c>
      <c r="P82" s="124" t="n">
        <f aca="false">D82/P$3</f>
        <v>0</v>
      </c>
      <c r="Q82" s="124" t="n">
        <f aca="false">E82/P$3</f>
        <v>0</v>
      </c>
      <c r="R82" s="124" t="n">
        <f aca="false">F82/R$3</f>
        <v>0</v>
      </c>
      <c r="S82" s="126" t="n">
        <f aca="false">J82/$R$3</f>
        <v>0</v>
      </c>
      <c r="T82" s="126" t="n">
        <f aca="false">L82/$R$3</f>
        <v>0</v>
      </c>
      <c r="U82" s="126" t="n">
        <f aca="false">I82/$R$3</f>
        <v>7122.495</v>
      </c>
      <c r="V82" s="126" t="n">
        <f aca="false">M82/$R$3</f>
        <v>8278.51</v>
      </c>
      <c r="W82" s="126" t="n">
        <f aca="false">N82/$R$3</f>
        <v>8278.51</v>
      </c>
    </row>
    <row r="83" customFormat="false" ht="12.75" hidden="true" customHeight="false" outlineLevel="0" collapsed="false">
      <c r="A83" s="120" t="n">
        <f aca="false">A82+1</f>
        <v>36969</v>
      </c>
      <c r="B83" s="131" t="str">
        <f aca="false">INDEX('Master Data'!$A$2:$B$8,MATCH(WEEKDAY('BRA Power'!A83,3),'Master Data'!$A$2:$A$8,0),2)</f>
        <v>M</v>
      </c>
      <c r="D83" s="124" t="n">
        <v>877203</v>
      </c>
      <c r="E83" s="124" t="n">
        <v>0</v>
      </c>
      <c r="F83" s="124" t="n">
        <v>0</v>
      </c>
      <c r="G83" s="124" t="n">
        <v>7133874</v>
      </c>
      <c r="I83" s="124" t="n">
        <f aca="false">IF(MONTH($A83)=MONTH($A82),IF(G83=0,I82,G83),G83)</f>
        <v>7133874</v>
      </c>
      <c r="J83" s="124" t="n">
        <f aca="false">IF(MONTH($A83)=MONTH($A82),SUM(I83-I82),I83)</f>
        <v>11379</v>
      </c>
      <c r="K83" s="124" t="n">
        <f aca="false">IF(WEEKDAY(A83,3)&gt;4,0,(IF(A83&lt;K$2,0,IF(A83&lt;=K$3,1,0))))</f>
        <v>0</v>
      </c>
      <c r="L83" s="124" t="n">
        <f aca="false">J83*K83</f>
        <v>0</v>
      </c>
      <c r="M83" s="124" t="n">
        <f aca="false">SUM(J$6:J83)</f>
        <v>8289889</v>
      </c>
      <c r="N83" s="124" t="n">
        <f aca="false">SUM(J$6:J83)</f>
        <v>8289889</v>
      </c>
      <c r="P83" s="124" t="n">
        <f aca="false">D83/P$3</f>
        <v>0.877203</v>
      </c>
      <c r="Q83" s="124" t="n">
        <f aca="false">E83/P$3</f>
        <v>0</v>
      </c>
      <c r="R83" s="124" t="n">
        <f aca="false">F83/R$3</f>
        <v>0</v>
      </c>
      <c r="S83" s="126" t="n">
        <f aca="false">J83/$R$3</f>
        <v>11.379</v>
      </c>
      <c r="T83" s="126" t="n">
        <f aca="false">L83/$R$3</f>
        <v>0</v>
      </c>
      <c r="U83" s="126" t="n">
        <f aca="false">I83/$R$3</f>
        <v>7133.874</v>
      </c>
      <c r="V83" s="126" t="n">
        <f aca="false">M83/$R$3</f>
        <v>8289.889</v>
      </c>
      <c r="W83" s="126" t="n">
        <f aca="false">N83/$R$3</f>
        <v>8289.889</v>
      </c>
    </row>
    <row r="84" customFormat="false" ht="12.75" hidden="true" customHeight="false" outlineLevel="0" collapsed="false">
      <c r="A84" s="120" t="n">
        <f aca="false">A83+1</f>
        <v>36970</v>
      </c>
      <c r="B84" s="131" t="str">
        <f aca="false">INDEX('Master Data'!$A$2:$B$8,MATCH(WEEKDAY('BRA Power'!A84,3),'Master Data'!$A$2:$A$8,0),2)</f>
        <v>T</v>
      </c>
      <c r="D84" s="124" t="n">
        <v>877556</v>
      </c>
      <c r="E84" s="124" t="n">
        <v>0</v>
      </c>
      <c r="F84" s="124" t="n">
        <v>0</v>
      </c>
      <c r="G84" s="124" t="n">
        <v>7137671</v>
      </c>
      <c r="I84" s="124" t="n">
        <f aca="false">IF(MONTH($A84)=MONTH($A83),IF(G84=0,I83,G84),G84)</f>
        <v>7137671</v>
      </c>
      <c r="J84" s="124" t="n">
        <f aca="false">IF(MONTH($A84)=MONTH($A83),SUM(I84-I83),I84)</f>
        <v>3797</v>
      </c>
      <c r="K84" s="124" t="n">
        <f aca="false">IF(WEEKDAY(A84,3)&gt;4,0,(IF(A84&lt;K$2,0,IF(A84&lt;=K$3,1,0))))</f>
        <v>0</v>
      </c>
      <c r="L84" s="124" t="n">
        <f aca="false">J84*K84</f>
        <v>0</v>
      </c>
      <c r="M84" s="124" t="n">
        <f aca="false">SUM(J$6:J84)</f>
        <v>8293686</v>
      </c>
      <c r="N84" s="124" t="n">
        <f aca="false">SUM(J$6:J84)</f>
        <v>8293686</v>
      </c>
      <c r="P84" s="124" t="n">
        <f aca="false">D84/P$3</f>
        <v>0.877556</v>
      </c>
      <c r="Q84" s="124" t="n">
        <f aca="false">E84/P$3</f>
        <v>0</v>
      </c>
      <c r="R84" s="124" t="n">
        <f aca="false">F84/R$3</f>
        <v>0</v>
      </c>
      <c r="S84" s="126" t="n">
        <f aca="false">J84/$R$3</f>
        <v>3.797</v>
      </c>
      <c r="T84" s="126" t="n">
        <f aca="false">L84/$R$3</f>
        <v>0</v>
      </c>
      <c r="U84" s="126" t="n">
        <f aca="false">I84/$R$3</f>
        <v>7137.671</v>
      </c>
      <c r="V84" s="126" t="n">
        <f aca="false">M84/$R$3</f>
        <v>8293.686</v>
      </c>
      <c r="W84" s="126" t="n">
        <f aca="false">N84/$R$3</f>
        <v>8293.686</v>
      </c>
    </row>
    <row r="85" customFormat="false" ht="12.75" hidden="true" customHeight="false" outlineLevel="0" collapsed="false">
      <c r="A85" s="120" t="n">
        <f aca="false">A84+1</f>
        <v>36971</v>
      </c>
      <c r="B85" s="131" t="str">
        <f aca="false">INDEX('Master Data'!$A$2:$B$8,MATCH(WEEKDAY('BRA Power'!A85,3),'Master Data'!$A$2:$A$8,0),2)</f>
        <v>W</v>
      </c>
      <c r="D85" s="124" t="n">
        <v>877910</v>
      </c>
      <c r="E85" s="124" t="n">
        <v>0</v>
      </c>
      <c r="F85" s="124" t="n">
        <v>0</v>
      </c>
      <c r="G85" s="124" t="n">
        <v>7141470</v>
      </c>
      <c r="I85" s="124" t="n">
        <f aca="false">IF(MONTH($A85)=MONTH($A84),IF(G85=0,I84,G85),G85)</f>
        <v>7141470</v>
      </c>
      <c r="J85" s="124" t="n">
        <f aca="false">IF(MONTH($A85)=MONTH($A84),SUM(I85-I84),I85)</f>
        <v>3799</v>
      </c>
      <c r="K85" s="124" t="n">
        <f aca="false">IF(WEEKDAY(A85,3)&gt;4,0,(IF(A85&lt;K$2,0,IF(A85&lt;=K$3,1,0))))</f>
        <v>0</v>
      </c>
      <c r="L85" s="124" t="n">
        <f aca="false">J85*K85</f>
        <v>0</v>
      </c>
      <c r="M85" s="124" t="n">
        <f aca="false">SUM(J$6:J85)</f>
        <v>8297485</v>
      </c>
      <c r="N85" s="124" t="n">
        <f aca="false">SUM(J$6:J85)</f>
        <v>8297485</v>
      </c>
      <c r="P85" s="124" t="n">
        <f aca="false">D85/P$3</f>
        <v>0.87791</v>
      </c>
      <c r="Q85" s="124" t="n">
        <f aca="false">E85/P$3</f>
        <v>0</v>
      </c>
      <c r="R85" s="124" t="n">
        <f aca="false">F85/R$3</f>
        <v>0</v>
      </c>
      <c r="S85" s="126" t="n">
        <f aca="false">J85/$R$3</f>
        <v>3.799</v>
      </c>
      <c r="T85" s="126" t="n">
        <f aca="false">L85/$R$3</f>
        <v>0</v>
      </c>
      <c r="U85" s="126" t="n">
        <f aca="false">I85/$R$3</f>
        <v>7141.47</v>
      </c>
      <c r="V85" s="126" t="n">
        <f aca="false">M85/$R$3</f>
        <v>8297.485</v>
      </c>
      <c r="W85" s="126" t="n">
        <f aca="false">N85/$R$3</f>
        <v>8297.485</v>
      </c>
    </row>
    <row r="86" customFormat="false" ht="12.75" hidden="true" customHeight="false" outlineLevel="0" collapsed="false">
      <c r="A86" s="120" t="n">
        <f aca="false">A85+1</f>
        <v>36972</v>
      </c>
      <c r="B86" s="131" t="str">
        <f aca="false">INDEX('Master Data'!$A$2:$B$8,MATCH(WEEKDAY('BRA Power'!A86,3),'Master Data'!$A$2:$A$8,0),2)</f>
        <v>Th</v>
      </c>
      <c r="D86" s="124" t="n">
        <v>336834</v>
      </c>
      <c r="E86" s="124" t="n">
        <v>0</v>
      </c>
      <c r="F86" s="124" t="n">
        <v>0</v>
      </c>
      <c r="G86" s="124" t="n">
        <v>7145271</v>
      </c>
      <c r="I86" s="124" t="n">
        <f aca="false">IF(MONTH($A86)=MONTH($A85),IF(G86=0,I85,G86),G86)</f>
        <v>7145271</v>
      </c>
      <c r="J86" s="124" t="n">
        <f aca="false">IF(MONTH($A86)=MONTH($A85),SUM(I86-I85),I86)</f>
        <v>3801</v>
      </c>
      <c r="K86" s="124" t="n">
        <f aca="false">IF(WEEKDAY(A86,3)&gt;4,0,(IF(A86&lt;K$2,0,IF(A86&lt;=K$3,1,0))))</f>
        <v>0</v>
      </c>
      <c r="L86" s="124" t="n">
        <f aca="false">J86*K86</f>
        <v>0</v>
      </c>
      <c r="M86" s="124" t="n">
        <f aca="false">SUM(J$6:J86)</f>
        <v>8301286</v>
      </c>
      <c r="N86" s="124" t="n">
        <f aca="false">SUM(J$6:J86)</f>
        <v>8301286</v>
      </c>
      <c r="P86" s="124" t="n">
        <f aca="false">D86/P$3</f>
        <v>0.336834</v>
      </c>
      <c r="Q86" s="124" t="n">
        <f aca="false">E86/P$3</f>
        <v>0</v>
      </c>
      <c r="R86" s="124" t="n">
        <f aca="false">F86/R$3</f>
        <v>0</v>
      </c>
      <c r="S86" s="126" t="n">
        <f aca="false">J86/$R$3</f>
        <v>3.801</v>
      </c>
      <c r="T86" s="126" t="n">
        <f aca="false">L86/$R$3</f>
        <v>0</v>
      </c>
      <c r="U86" s="126" t="n">
        <f aca="false">I86/$R$3</f>
        <v>7145.271</v>
      </c>
      <c r="V86" s="126" t="n">
        <f aca="false">M86/$R$3</f>
        <v>8301.286</v>
      </c>
      <c r="W86" s="126" t="n">
        <f aca="false">N86/$R$3</f>
        <v>8301.286</v>
      </c>
    </row>
    <row r="87" customFormat="false" ht="12.75" hidden="true" customHeight="false" outlineLevel="0" collapsed="false">
      <c r="A87" s="120" t="n">
        <f aca="false">A86+1</f>
        <v>36973</v>
      </c>
      <c r="B87" s="131" t="str">
        <f aca="false">INDEX('Master Data'!$A$2:$B$8,MATCH(WEEKDAY('BRA Power'!A87,3),'Master Data'!$A$2:$A$8,0),2)</f>
        <v>F</v>
      </c>
      <c r="D87" s="124" t="n">
        <v>336971</v>
      </c>
      <c r="E87" s="124" t="n">
        <v>0</v>
      </c>
      <c r="F87" s="124" t="n">
        <v>0</v>
      </c>
      <c r="G87" s="124" t="n">
        <v>7149072</v>
      </c>
      <c r="I87" s="124" t="n">
        <f aca="false">IF(MONTH($A87)=MONTH($A86),IF(G87=0,I86,G87),G87)</f>
        <v>7149072</v>
      </c>
      <c r="J87" s="124" t="n">
        <f aca="false">IF(MONTH($A87)=MONTH($A86),SUM(I87-I86),I87)</f>
        <v>3801</v>
      </c>
      <c r="K87" s="124" t="n">
        <f aca="false">IF(WEEKDAY(A87,3)&gt;4,0,(IF(A87&lt;K$2,0,IF(A87&lt;=K$3,1,0))))</f>
        <v>0</v>
      </c>
      <c r="L87" s="124" t="n">
        <f aca="false">J87*K87</f>
        <v>0</v>
      </c>
      <c r="M87" s="124" t="n">
        <f aca="false">SUM(J$6:J87)</f>
        <v>8305087</v>
      </c>
      <c r="N87" s="124" t="n">
        <f aca="false">SUM(J$6:J87)</f>
        <v>8305087</v>
      </c>
      <c r="P87" s="124" t="n">
        <f aca="false">D87/P$3</f>
        <v>0.336971</v>
      </c>
      <c r="Q87" s="124" t="n">
        <f aca="false">E87/P$3</f>
        <v>0</v>
      </c>
      <c r="R87" s="124" t="n">
        <f aca="false">F87/R$3</f>
        <v>0</v>
      </c>
      <c r="S87" s="126" t="n">
        <f aca="false">J87/$R$3</f>
        <v>3.801</v>
      </c>
      <c r="T87" s="126" t="n">
        <f aca="false">L87/$R$3</f>
        <v>0</v>
      </c>
      <c r="U87" s="126" t="n">
        <f aca="false">I87/$R$3</f>
        <v>7149.072</v>
      </c>
      <c r="V87" s="126" t="n">
        <f aca="false">M87/$R$3</f>
        <v>8305.087</v>
      </c>
      <c r="W87" s="126" t="n">
        <f aca="false">N87/$R$3</f>
        <v>8305.087</v>
      </c>
    </row>
    <row r="88" customFormat="false" ht="12.75" hidden="true" customHeight="false" outlineLevel="0" collapsed="false">
      <c r="A88" s="120" t="n">
        <f aca="false">A87+1</f>
        <v>36974</v>
      </c>
      <c r="B88" s="131" t="str">
        <f aca="false">INDEX('Master Data'!$A$2:$B$8,MATCH(WEEKDAY('BRA Power'!A88,3),'Master Data'!$A$2:$A$8,0),2)</f>
        <v>Sa</v>
      </c>
      <c r="D88" s="124" t="n">
        <v>0</v>
      </c>
      <c r="E88" s="124" t="n">
        <v>0</v>
      </c>
      <c r="F88" s="124" t="n">
        <v>0</v>
      </c>
      <c r="G88" s="124" t="n">
        <v>0</v>
      </c>
      <c r="I88" s="124" t="n">
        <f aca="false">IF(MONTH($A88)=MONTH($A87),IF(G88=0,I87,G88),G88)</f>
        <v>7149072</v>
      </c>
      <c r="J88" s="124" t="n">
        <f aca="false">IF(MONTH($A88)=MONTH($A87),SUM(I88-I87),I88)</f>
        <v>0</v>
      </c>
      <c r="K88" s="124" t="n">
        <f aca="false">IF(WEEKDAY(A88,3)&gt;4,0,(IF(A88&lt;K$2,0,IF(A88&lt;=K$3,1,0))))</f>
        <v>0</v>
      </c>
      <c r="L88" s="124" t="n">
        <f aca="false">J88*K88</f>
        <v>0</v>
      </c>
      <c r="M88" s="124" t="n">
        <f aca="false">SUM(J$6:J88)</f>
        <v>8305087</v>
      </c>
      <c r="N88" s="124" t="n">
        <f aca="false">SUM(J$6:J88)</f>
        <v>8305087</v>
      </c>
      <c r="P88" s="124" t="n">
        <f aca="false">D88/P$3</f>
        <v>0</v>
      </c>
      <c r="Q88" s="124" t="n">
        <f aca="false">E88/P$3</f>
        <v>0</v>
      </c>
      <c r="R88" s="124" t="n">
        <f aca="false">F88/R$3</f>
        <v>0</v>
      </c>
      <c r="S88" s="126" t="n">
        <f aca="false">J88/$R$3</f>
        <v>0</v>
      </c>
      <c r="T88" s="126" t="n">
        <f aca="false">L88/$R$3</f>
        <v>0</v>
      </c>
      <c r="U88" s="126" t="n">
        <f aca="false">I88/$R$3</f>
        <v>7149.072</v>
      </c>
      <c r="V88" s="126" t="n">
        <f aca="false">M88/$R$3</f>
        <v>8305.087</v>
      </c>
      <c r="W88" s="126" t="n">
        <f aca="false">N88/$R$3</f>
        <v>8305.087</v>
      </c>
    </row>
    <row r="89" customFormat="false" ht="12.75" hidden="true" customHeight="false" outlineLevel="0" collapsed="false">
      <c r="A89" s="120" t="n">
        <f aca="false">A88+1</f>
        <v>36975</v>
      </c>
      <c r="B89" s="131" t="str">
        <f aca="false">INDEX('Master Data'!$A$2:$B$8,MATCH(WEEKDAY('BRA Power'!A89,3),'Master Data'!$A$2:$A$8,0),2)</f>
        <v>Su</v>
      </c>
      <c r="D89" s="124" t="n">
        <v>0</v>
      </c>
      <c r="E89" s="124" t="n">
        <v>0</v>
      </c>
      <c r="F89" s="124" t="n">
        <v>0</v>
      </c>
      <c r="G89" s="124" t="n">
        <v>0</v>
      </c>
      <c r="I89" s="124" t="n">
        <f aca="false">IF(MONTH($A89)=MONTH($A88),IF(G89=0,I88,G89),G89)</f>
        <v>7149072</v>
      </c>
      <c r="J89" s="124" t="n">
        <f aca="false">IF(MONTH($A89)=MONTH($A88),SUM(I89-I88),I89)</f>
        <v>0</v>
      </c>
      <c r="K89" s="124" t="n">
        <f aca="false">IF(WEEKDAY(A89,3)&gt;4,0,(IF(A89&lt;K$2,0,IF(A89&lt;=K$3,1,0))))</f>
        <v>0</v>
      </c>
      <c r="L89" s="124" t="n">
        <f aca="false">J89*K89</f>
        <v>0</v>
      </c>
      <c r="M89" s="124" t="n">
        <f aca="false">SUM(J$6:J89)</f>
        <v>8305087</v>
      </c>
      <c r="N89" s="124" t="n">
        <f aca="false">SUM(J$6:J89)</f>
        <v>8305087</v>
      </c>
      <c r="P89" s="124" t="n">
        <f aca="false">D89/P$3</f>
        <v>0</v>
      </c>
      <c r="Q89" s="124" t="n">
        <f aca="false">E89/P$3</f>
        <v>0</v>
      </c>
      <c r="R89" s="124" t="n">
        <f aca="false">F89/R$3</f>
        <v>0</v>
      </c>
      <c r="S89" s="126" t="n">
        <f aca="false">J89/$R$3</f>
        <v>0</v>
      </c>
      <c r="T89" s="126" t="n">
        <f aca="false">L89/$R$3</f>
        <v>0</v>
      </c>
      <c r="U89" s="126" t="n">
        <f aca="false">I89/$R$3</f>
        <v>7149.072</v>
      </c>
      <c r="V89" s="126" t="n">
        <f aca="false">M89/$R$3</f>
        <v>8305.087</v>
      </c>
      <c r="W89" s="126" t="n">
        <f aca="false">N89/$R$3</f>
        <v>8305.087</v>
      </c>
    </row>
    <row r="90" customFormat="false" ht="12.75" hidden="true" customHeight="false" outlineLevel="0" collapsed="false">
      <c r="A90" s="120" t="n">
        <f aca="false">A89+1</f>
        <v>36976</v>
      </c>
      <c r="B90" s="131" t="str">
        <f aca="false">INDEX('Master Data'!$A$2:$B$8,MATCH(WEEKDAY('BRA Power'!A90,3),'Master Data'!$A$2:$A$8,0),2)</f>
        <v>M</v>
      </c>
      <c r="D90" s="124" t="n">
        <v>337385</v>
      </c>
      <c r="E90" s="124" t="n">
        <v>0</v>
      </c>
      <c r="F90" s="124" t="n">
        <v>0</v>
      </c>
      <c r="G90" s="124" t="n">
        <v>7160487</v>
      </c>
      <c r="I90" s="124" t="n">
        <f aca="false">IF(MONTH($A90)=MONTH($A89),IF(G90=0,I89,G90),G90)</f>
        <v>7160487</v>
      </c>
      <c r="J90" s="124" t="n">
        <f aca="false">IF(MONTH($A90)=MONTH($A89),SUM(I90-I89),I90)</f>
        <v>11415</v>
      </c>
      <c r="K90" s="124" t="n">
        <f aca="false">IF(WEEKDAY(A90,3)&gt;4,0,(IF(A90&lt;K$2,0,IF(A90&lt;=K$3,1,0))))</f>
        <v>0</v>
      </c>
      <c r="L90" s="124" t="n">
        <f aca="false">J90*K90</f>
        <v>0</v>
      </c>
      <c r="M90" s="124" t="n">
        <f aca="false">SUM(J$6:J90)</f>
        <v>8316502</v>
      </c>
      <c r="N90" s="124" t="n">
        <f aca="false">SUM(J$6:J90)</f>
        <v>8316502</v>
      </c>
      <c r="P90" s="124" t="n">
        <f aca="false">D90/P$3</f>
        <v>0.337385</v>
      </c>
      <c r="Q90" s="124" t="n">
        <f aca="false">E90/P$3</f>
        <v>0</v>
      </c>
      <c r="R90" s="124" t="n">
        <f aca="false">F90/R$3</f>
        <v>0</v>
      </c>
      <c r="S90" s="126" t="n">
        <f aca="false">J90/$R$3</f>
        <v>11.415</v>
      </c>
      <c r="T90" s="126" t="n">
        <f aca="false">L90/$R$3</f>
        <v>0</v>
      </c>
      <c r="U90" s="126" t="n">
        <f aca="false">I90/$R$3</f>
        <v>7160.487</v>
      </c>
      <c r="V90" s="126" t="n">
        <f aca="false">M90/$R$3</f>
        <v>8316.502</v>
      </c>
      <c r="W90" s="126" t="n">
        <f aca="false">N90/$R$3</f>
        <v>8316.502</v>
      </c>
    </row>
    <row r="91" customFormat="false" ht="12.75" hidden="true" customHeight="false" outlineLevel="0" collapsed="false">
      <c r="A91" s="120" t="n">
        <f aca="false">A90+1</f>
        <v>36977</v>
      </c>
      <c r="B91" s="131" t="str">
        <f aca="false">INDEX('Master Data'!$A$2:$B$8,MATCH(WEEKDAY('BRA Power'!A91,3),'Master Data'!$A$2:$A$8,0),2)</f>
        <v>T</v>
      </c>
      <c r="D91" s="124" t="n">
        <v>337523</v>
      </c>
      <c r="E91" s="124" t="n">
        <v>0</v>
      </c>
      <c r="F91" s="124" t="n">
        <v>0</v>
      </c>
      <c r="G91" s="124" t="n">
        <v>7164295</v>
      </c>
      <c r="I91" s="124" t="n">
        <f aca="false">IF(MONTH($A91)=MONTH($A90),IF(G91=0,I90,G91),G91)</f>
        <v>7164295</v>
      </c>
      <c r="J91" s="124" t="n">
        <f aca="false">IF(MONTH($A91)=MONTH($A90),SUM(I91-I90),I91)</f>
        <v>3808</v>
      </c>
      <c r="K91" s="124" t="n">
        <f aca="false">IF(WEEKDAY(A91,3)&gt;4,0,(IF(A91&lt;K$2,0,IF(A91&lt;=K$3,1,0))))</f>
        <v>0</v>
      </c>
      <c r="L91" s="124" t="n">
        <f aca="false">J91*K91</f>
        <v>0</v>
      </c>
      <c r="M91" s="124" t="n">
        <f aca="false">SUM(J$6:J91)</f>
        <v>8320310</v>
      </c>
      <c r="N91" s="124" t="n">
        <f aca="false">SUM(J$6:J91)</f>
        <v>8320310</v>
      </c>
      <c r="P91" s="124" t="n">
        <f aca="false">D91/P$3</f>
        <v>0.337523</v>
      </c>
      <c r="Q91" s="124" t="n">
        <f aca="false">E91/P$3</f>
        <v>0</v>
      </c>
      <c r="R91" s="124" t="n">
        <f aca="false">F91/R$3</f>
        <v>0</v>
      </c>
      <c r="S91" s="126" t="n">
        <f aca="false">J91/$R$3</f>
        <v>3.808</v>
      </c>
      <c r="T91" s="126" t="n">
        <f aca="false">L91/$R$3</f>
        <v>0</v>
      </c>
      <c r="U91" s="126" t="n">
        <f aca="false">I91/$R$3</f>
        <v>7164.295</v>
      </c>
      <c r="V91" s="126" t="n">
        <f aca="false">M91/$R$3</f>
        <v>8320.31</v>
      </c>
      <c r="W91" s="126" t="n">
        <f aca="false">N91/$R$3</f>
        <v>8320.31</v>
      </c>
    </row>
    <row r="92" customFormat="false" ht="12.75" hidden="true" customHeight="false" outlineLevel="0" collapsed="false">
      <c r="A92" s="120" t="n">
        <f aca="false">A91+1</f>
        <v>36978</v>
      </c>
      <c r="B92" s="131" t="str">
        <f aca="false">INDEX('Master Data'!$A$2:$B$8,MATCH(WEEKDAY('BRA Power'!A92,3),'Master Data'!$A$2:$A$8,0),2)</f>
        <v>W</v>
      </c>
      <c r="D92" s="124" t="n">
        <v>337661</v>
      </c>
      <c r="E92" s="124" t="n">
        <v>0</v>
      </c>
      <c r="F92" s="124" t="n">
        <v>0</v>
      </c>
      <c r="G92" s="124" t="n">
        <v>7168105</v>
      </c>
      <c r="I92" s="124" t="n">
        <f aca="false">IF(MONTH($A92)=MONTH($A91),IF(G92=0,I91,G92),G92)</f>
        <v>7168105</v>
      </c>
      <c r="J92" s="124" t="n">
        <f aca="false">IF(MONTH($A92)=MONTH($A91),SUM(I92-I91),I92)</f>
        <v>3810</v>
      </c>
      <c r="K92" s="124" t="n">
        <f aca="false">IF(WEEKDAY(A92,3)&gt;4,0,(IF(A92&lt;K$2,0,IF(A92&lt;=K$3,1,0))))</f>
        <v>0</v>
      </c>
      <c r="L92" s="124" t="n">
        <f aca="false">J92*K92</f>
        <v>0</v>
      </c>
      <c r="M92" s="124" t="n">
        <f aca="false">SUM(J$6:J92)</f>
        <v>8324120</v>
      </c>
      <c r="N92" s="124" t="n">
        <f aca="false">SUM(J$6:J92)</f>
        <v>8324120</v>
      </c>
      <c r="P92" s="124" t="n">
        <f aca="false">D92/P$3</f>
        <v>0.337661</v>
      </c>
      <c r="Q92" s="124" t="n">
        <f aca="false">E92/P$3</f>
        <v>0</v>
      </c>
      <c r="R92" s="124" t="n">
        <f aca="false">F92/R$3</f>
        <v>0</v>
      </c>
      <c r="S92" s="126" t="n">
        <f aca="false">J92/$R$3</f>
        <v>3.81</v>
      </c>
      <c r="T92" s="126" t="n">
        <f aca="false">L92/$R$3</f>
        <v>0</v>
      </c>
      <c r="U92" s="126" t="n">
        <f aca="false">I92/$R$3</f>
        <v>7168.105</v>
      </c>
      <c r="V92" s="126" t="n">
        <f aca="false">M92/$R$3</f>
        <v>8324.12</v>
      </c>
      <c r="W92" s="126" t="n">
        <f aca="false">N92/$R$3</f>
        <v>8324.12</v>
      </c>
    </row>
    <row r="93" customFormat="false" ht="12.75" hidden="true" customHeight="false" outlineLevel="0" collapsed="false">
      <c r="A93" s="120" t="n">
        <f aca="false">A92+1</f>
        <v>36979</v>
      </c>
      <c r="B93" s="131" t="str">
        <f aca="false">INDEX('Master Data'!$A$2:$B$8,MATCH(WEEKDAY('BRA Power'!A93,3),'Master Data'!$A$2:$A$8,0),2)</f>
        <v>Th</v>
      </c>
      <c r="D93" s="124" t="n">
        <v>337799</v>
      </c>
      <c r="E93" s="124" t="n">
        <v>0</v>
      </c>
      <c r="F93" s="124" t="n">
        <v>0</v>
      </c>
      <c r="G93" s="124" t="n">
        <v>7171917</v>
      </c>
      <c r="I93" s="124" t="n">
        <f aca="false">IF(MONTH($A93)=MONTH($A92),IF(G93=0,I92,G93),G93)</f>
        <v>7171917</v>
      </c>
      <c r="J93" s="124" t="n">
        <f aca="false">IF(MONTH($A93)=MONTH($A92),SUM(I93-I92),I93)</f>
        <v>3812</v>
      </c>
      <c r="K93" s="124" t="n">
        <f aca="false">IF(WEEKDAY(A93,3)&gt;4,0,(IF(A93&lt;K$2,0,IF(A93&lt;=K$3,1,0))))</f>
        <v>0</v>
      </c>
      <c r="L93" s="124" t="n">
        <f aca="false">J93*K93</f>
        <v>0</v>
      </c>
      <c r="M93" s="124" t="n">
        <f aca="false">SUM(J$6:J93)</f>
        <v>8327932</v>
      </c>
      <c r="N93" s="124" t="n">
        <f aca="false">SUM(J$6:J93)</f>
        <v>8327932</v>
      </c>
      <c r="P93" s="124" t="n">
        <f aca="false">D93/P$3</f>
        <v>0.337799</v>
      </c>
      <c r="Q93" s="124" t="n">
        <f aca="false">E93/P$3</f>
        <v>0</v>
      </c>
      <c r="R93" s="124" t="n">
        <f aca="false">F93/R$3</f>
        <v>0</v>
      </c>
      <c r="S93" s="126" t="n">
        <f aca="false">J93/$R$3</f>
        <v>3.812</v>
      </c>
      <c r="T93" s="126" t="n">
        <f aca="false">L93/$R$3</f>
        <v>0</v>
      </c>
      <c r="U93" s="126" t="n">
        <f aca="false">I93/$R$3</f>
        <v>7171.917</v>
      </c>
      <c r="V93" s="126" t="n">
        <f aca="false">M93/$R$3</f>
        <v>8327.932</v>
      </c>
      <c r="W93" s="126" t="n">
        <f aca="false">N93/$R$3</f>
        <v>8327.932</v>
      </c>
    </row>
    <row r="94" customFormat="false" ht="12.75" hidden="false" customHeight="false" outlineLevel="0" collapsed="false">
      <c r="A94" s="120" t="n">
        <f aca="false">A93+1</f>
        <v>36980</v>
      </c>
      <c r="B94" s="131" t="str">
        <f aca="false">INDEX('Master Data'!$A$2:$B$8,MATCH(WEEKDAY('BRA Power'!A94,3),'Master Data'!$A$2:$A$8,0),2)</f>
        <v>F</v>
      </c>
      <c r="D94" s="124" t="n">
        <v>326280</v>
      </c>
      <c r="E94" s="124" t="n">
        <v>0</v>
      </c>
      <c r="F94" s="124" t="n">
        <v>0</v>
      </c>
      <c r="G94" s="124" t="n">
        <v>7455269</v>
      </c>
      <c r="I94" s="124" t="n">
        <f aca="false">IF(MONTH($A94)=MONTH($A93),IF(G94=0,I93,G94),G94)</f>
        <v>7455269</v>
      </c>
      <c r="J94" s="124" t="n">
        <f aca="false">IF(MONTH($A94)=MONTH($A93),SUM(I94-I93),I94)</f>
        <v>283352</v>
      </c>
      <c r="K94" s="124" t="n">
        <f aca="false">IF(WEEKDAY(A94,3)&gt;4,0,(IF(A94&lt;K$2,0,IF(A94&lt;=K$3,1,0))))</f>
        <v>0</v>
      </c>
      <c r="L94" s="124" t="n">
        <f aca="false">J94*K94</f>
        <v>0</v>
      </c>
      <c r="M94" s="124" t="n">
        <f aca="false">SUM(J$6:J94)</f>
        <v>8611284</v>
      </c>
      <c r="N94" s="124" t="n">
        <f aca="false">SUM(J$6:J94)</f>
        <v>8611284</v>
      </c>
      <c r="P94" s="124" t="n">
        <f aca="false">D94/P$3</f>
        <v>0.32628</v>
      </c>
      <c r="Q94" s="124" t="n">
        <f aca="false">E94/P$3</f>
        <v>0</v>
      </c>
      <c r="R94" s="124" t="n">
        <f aca="false">F94/R$3</f>
        <v>0</v>
      </c>
      <c r="S94" s="126" t="n">
        <f aca="false">J94/$R$3</f>
        <v>283.352</v>
      </c>
      <c r="T94" s="126" t="n">
        <f aca="false">L94/$R$3</f>
        <v>0</v>
      </c>
      <c r="U94" s="126" t="n">
        <f aca="false">I94/$R$3</f>
        <v>7455.269</v>
      </c>
      <c r="V94" s="126" t="n">
        <f aca="false">M94/$R$3</f>
        <v>8611.284</v>
      </c>
      <c r="W94" s="126" t="n">
        <f aca="false">N94/$R$3</f>
        <v>8611.284</v>
      </c>
    </row>
    <row r="95" customFormat="false" ht="12.75" hidden="true" customHeight="false" outlineLevel="0" collapsed="false">
      <c r="A95" s="120" t="n">
        <f aca="false">A94+1</f>
        <v>36981</v>
      </c>
      <c r="B95" s="131" t="str">
        <f aca="false">INDEX('Master Data'!$A$2:$B$8,MATCH(WEEKDAY('BRA Power'!A95,3),'Master Data'!$A$2:$A$8,0),2)</f>
        <v>Sa</v>
      </c>
      <c r="D95" s="124" t="n">
        <v>0</v>
      </c>
      <c r="E95" s="124" t="n">
        <v>0</v>
      </c>
      <c r="F95" s="124" t="n">
        <v>0</v>
      </c>
      <c r="G95" s="124" t="n">
        <v>0</v>
      </c>
      <c r="I95" s="124" t="n">
        <f aca="false">IF(MONTH($A95)=MONTH($A94),IF(G95=0,I94,G95),G95)</f>
        <v>7455269</v>
      </c>
      <c r="J95" s="124" t="n">
        <f aca="false">IF(MONTH($A95)=MONTH($A94),SUM(I95-I94),I95)</f>
        <v>0</v>
      </c>
      <c r="K95" s="124" t="n">
        <f aca="false">IF(WEEKDAY(A95,3)&gt;4,0,(IF(A95&lt;K$2,0,IF(A95&lt;=K$3,1,0))))</f>
        <v>0</v>
      </c>
      <c r="L95" s="124" t="n">
        <f aca="false">J95*K95</f>
        <v>0</v>
      </c>
      <c r="M95" s="124" t="n">
        <f aca="false">SUM(J$6:J95)</f>
        <v>8611284</v>
      </c>
      <c r="N95" s="124" t="n">
        <f aca="false">SUM(J$6:J95)</f>
        <v>8611284</v>
      </c>
      <c r="P95" s="124" t="n">
        <f aca="false">D95/P$3</f>
        <v>0</v>
      </c>
      <c r="Q95" s="124" t="n">
        <f aca="false">E95/P$3</f>
        <v>0</v>
      </c>
      <c r="R95" s="124" t="n">
        <f aca="false">F95/R$3</f>
        <v>0</v>
      </c>
      <c r="S95" s="126" t="n">
        <f aca="false">J95/$R$3</f>
        <v>0</v>
      </c>
      <c r="T95" s="126" t="n">
        <f aca="false">L95/$R$3</f>
        <v>0</v>
      </c>
      <c r="U95" s="126" t="n">
        <f aca="false">I95/$R$3</f>
        <v>7455.269</v>
      </c>
      <c r="V95" s="126" t="n">
        <f aca="false">M95/$R$3</f>
        <v>8611.284</v>
      </c>
      <c r="W95" s="126" t="n">
        <f aca="false">N95/$R$3</f>
        <v>8611.284</v>
      </c>
    </row>
    <row r="96" customFormat="false" ht="12.75" hidden="true" customHeight="false" outlineLevel="0" collapsed="false">
      <c r="A96" s="120" t="n">
        <f aca="false">A95+1</f>
        <v>36982</v>
      </c>
      <c r="B96" s="131" t="str">
        <f aca="false">INDEX('Master Data'!$A$2:$B$8,MATCH(WEEKDAY('BRA Power'!A96,3),'Master Data'!$A$2:$A$8,0),2)</f>
        <v>Su</v>
      </c>
      <c r="D96" s="124" t="n">
        <v>0</v>
      </c>
      <c r="E96" s="124" t="n">
        <v>0</v>
      </c>
      <c r="F96" s="124" t="n">
        <v>0</v>
      </c>
      <c r="G96" s="124" t="n">
        <v>0</v>
      </c>
      <c r="I96" s="124" t="n">
        <f aca="false">IF(MONTH($A96)=MONTH($A95),IF(G96=0,I95,G96),G96)</f>
        <v>0</v>
      </c>
      <c r="J96" s="124" t="n">
        <f aca="false">IF(MONTH($A96)=MONTH($A95),SUM(I96-I95),I96)</f>
        <v>0</v>
      </c>
      <c r="K96" s="124" t="n">
        <f aca="false">IF(WEEKDAY(A96,3)&gt;4,0,(IF(A96&lt;K$2,0,IF(A96&lt;=K$3,1,0))))</f>
        <v>0</v>
      </c>
      <c r="L96" s="124" t="n">
        <f aca="false">J96*K96</f>
        <v>0</v>
      </c>
      <c r="M96" s="124" t="n">
        <f aca="false">SUM(J$6:J96)</f>
        <v>8611284</v>
      </c>
      <c r="N96" s="124" t="n">
        <f aca="false">SUM(J$6:J96)</f>
        <v>8611284</v>
      </c>
      <c r="P96" s="124" t="n">
        <f aca="false">D96/P$3</f>
        <v>0</v>
      </c>
      <c r="Q96" s="124" t="n">
        <f aca="false">E96/P$3</f>
        <v>0</v>
      </c>
      <c r="R96" s="124" t="n">
        <f aca="false">F96/R$3</f>
        <v>0</v>
      </c>
      <c r="S96" s="126" t="n">
        <f aca="false">J96/$R$3</f>
        <v>0</v>
      </c>
      <c r="T96" s="126" t="n">
        <f aca="false">L96/$R$3</f>
        <v>0</v>
      </c>
      <c r="U96" s="126" t="n">
        <f aca="false">I96/$R$3</f>
        <v>0</v>
      </c>
      <c r="V96" s="126" t="n">
        <f aca="false">M96/$R$3</f>
        <v>8611.284</v>
      </c>
      <c r="W96" s="126" t="n">
        <f aca="false">N96/$R$3</f>
        <v>8611.284</v>
      </c>
    </row>
    <row r="97" customFormat="false" ht="12.75" hidden="true" customHeight="false" outlineLevel="0" collapsed="false">
      <c r="A97" s="120" t="n">
        <f aca="false">A96+1</f>
        <v>36983</v>
      </c>
      <c r="B97" s="131" t="str">
        <f aca="false">INDEX('Master Data'!$A$2:$B$8,MATCH(WEEKDAY('BRA Power'!A97,3),'Master Data'!$A$2:$A$8,0),2)</f>
        <v>M</v>
      </c>
      <c r="D97" s="124" t="n">
        <v>308104</v>
      </c>
      <c r="E97" s="124" t="n">
        <v>0</v>
      </c>
      <c r="F97" s="124" t="n">
        <v>0</v>
      </c>
      <c r="G97" s="124" t="n">
        <v>11177</v>
      </c>
      <c r="I97" s="124" t="n">
        <f aca="false">IF(MONTH($A97)=MONTH($A96),IF(G97=0,I96,G97),G97)</f>
        <v>11177</v>
      </c>
      <c r="J97" s="124" t="n">
        <f aca="false">IF(MONTH($A97)=MONTH($A96),SUM(I97-I96),I97)</f>
        <v>11177</v>
      </c>
      <c r="K97" s="124" t="n">
        <f aca="false">IF(WEEKDAY(A97,3)&gt;4,0,(IF(A97&lt;K$2,0,IF(A97&lt;=K$3,1,0))))</f>
        <v>0</v>
      </c>
      <c r="L97" s="124" t="n">
        <f aca="false">J97*K97</f>
        <v>0</v>
      </c>
      <c r="M97" s="124" t="n">
        <f aca="false">SUM(J$97:J97)</f>
        <v>11177</v>
      </c>
      <c r="N97" s="124" t="n">
        <f aca="false">SUM(J$6:J97)</f>
        <v>8622461</v>
      </c>
      <c r="P97" s="124" t="n">
        <f aca="false">D97/P$3</f>
        <v>0.308104</v>
      </c>
      <c r="Q97" s="124" t="n">
        <f aca="false">E97/P$3</f>
        <v>0</v>
      </c>
      <c r="R97" s="124" t="n">
        <f aca="false">F97/R$3</f>
        <v>0</v>
      </c>
      <c r="S97" s="126" t="n">
        <f aca="false">J97/$R$3</f>
        <v>11.177</v>
      </c>
      <c r="T97" s="126" t="n">
        <f aca="false">L97/$R$3</f>
        <v>0</v>
      </c>
      <c r="U97" s="126" t="n">
        <f aca="false">I97/$R$3</f>
        <v>11.177</v>
      </c>
      <c r="V97" s="126" t="n">
        <f aca="false">M97/$R$3</f>
        <v>11.177</v>
      </c>
      <c r="W97" s="126" t="n">
        <f aca="false">N97/$R$3</f>
        <v>8622.461</v>
      </c>
    </row>
    <row r="98" customFormat="false" ht="12.75" hidden="true" customHeight="false" outlineLevel="0" collapsed="false">
      <c r="A98" s="120" t="n">
        <f aca="false">A97+1</f>
        <v>36984</v>
      </c>
      <c r="B98" s="131" t="str">
        <f aca="false">INDEX('Master Data'!$A$2:$B$8,MATCH(WEEKDAY('BRA Power'!A98,3),'Master Data'!$A$2:$A$8,0),2)</f>
        <v>T</v>
      </c>
      <c r="D98" s="124" t="n">
        <v>308241</v>
      </c>
      <c r="E98" s="124" t="n">
        <v>0</v>
      </c>
      <c r="F98" s="124" t="n">
        <v>0</v>
      </c>
      <c r="G98" s="124" t="n">
        <v>14710</v>
      </c>
      <c r="I98" s="124" t="n">
        <f aca="false">IF(MONTH($A98)=MONTH($A97),IF(G98=0,I97,G98),G98)</f>
        <v>14710</v>
      </c>
      <c r="J98" s="124" t="n">
        <f aca="false">IF(MONTH($A98)=MONTH($A97),SUM(I98-I97),I98)</f>
        <v>3533</v>
      </c>
      <c r="K98" s="124" t="n">
        <f aca="false">IF(WEEKDAY(A98,3)&gt;4,0,(IF(A98&lt;K$2,0,IF(A98&lt;=K$3,1,0))))</f>
        <v>0</v>
      </c>
      <c r="L98" s="124" t="n">
        <f aca="false">J98*K98</f>
        <v>0</v>
      </c>
      <c r="M98" s="124" t="n">
        <f aca="false">SUM(J$97:J98)</f>
        <v>14710</v>
      </c>
      <c r="N98" s="124" t="n">
        <f aca="false">SUM(J$6:J98)</f>
        <v>8625994</v>
      </c>
      <c r="P98" s="124" t="n">
        <f aca="false">D98/P$3</f>
        <v>0.308241</v>
      </c>
      <c r="Q98" s="124" t="n">
        <f aca="false">E98/P$3</f>
        <v>0</v>
      </c>
      <c r="R98" s="124" t="n">
        <f aca="false">F98/R$3</f>
        <v>0</v>
      </c>
      <c r="S98" s="126" t="n">
        <f aca="false">J98/$R$3</f>
        <v>3.533</v>
      </c>
      <c r="T98" s="126" t="n">
        <f aca="false">L98/$R$3</f>
        <v>0</v>
      </c>
      <c r="U98" s="126" t="n">
        <f aca="false">I98/$R$3</f>
        <v>14.71</v>
      </c>
      <c r="V98" s="126" t="n">
        <f aca="false">M98/$R$3</f>
        <v>14.71</v>
      </c>
      <c r="W98" s="126" t="n">
        <f aca="false">N98/$R$3</f>
        <v>8625.994</v>
      </c>
    </row>
    <row r="99" customFormat="false" ht="12.75" hidden="true" customHeight="false" outlineLevel="0" collapsed="false">
      <c r="A99" s="120" t="n">
        <f aca="false">A98+1</f>
        <v>36985</v>
      </c>
      <c r="B99" s="131" t="str">
        <f aca="false">INDEX('Master Data'!$A$2:$B$8,MATCH(WEEKDAY('BRA Power'!A99,3),'Master Data'!$A$2:$A$8,0),2)</f>
        <v>W</v>
      </c>
      <c r="D99" s="124" t="n">
        <v>308378</v>
      </c>
      <c r="E99" s="124" t="n">
        <v>0</v>
      </c>
      <c r="F99" s="124" t="n">
        <v>0</v>
      </c>
      <c r="G99" s="124" t="n">
        <v>18245</v>
      </c>
      <c r="I99" s="124" t="n">
        <f aca="false">IF(MONTH($A99)=MONTH($A98),IF(G99=0,I98,G99),G99)</f>
        <v>18245</v>
      </c>
      <c r="J99" s="124" t="n">
        <f aca="false">IF(MONTH($A99)=MONTH($A98),SUM(I99-I98),I99)</f>
        <v>3535</v>
      </c>
      <c r="K99" s="124" t="n">
        <f aca="false">IF(WEEKDAY(A99,3)&gt;4,0,(IF(A99&lt;K$2,0,IF(A99&lt;=K$3,1,0))))</f>
        <v>0</v>
      </c>
      <c r="L99" s="124" t="n">
        <f aca="false">J99*K99</f>
        <v>0</v>
      </c>
      <c r="M99" s="124" t="n">
        <f aca="false">SUM(J$97:J99)</f>
        <v>18245</v>
      </c>
      <c r="N99" s="124" t="n">
        <f aca="false">SUM(J$6:J99)</f>
        <v>8629529</v>
      </c>
      <c r="P99" s="124" t="n">
        <f aca="false">D99/P$3</f>
        <v>0.308378</v>
      </c>
      <c r="Q99" s="124" t="n">
        <f aca="false">E99/P$3</f>
        <v>0</v>
      </c>
      <c r="R99" s="124" t="n">
        <f aca="false">F99/R$3</f>
        <v>0</v>
      </c>
      <c r="S99" s="126" t="n">
        <f aca="false">J99/$R$3</f>
        <v>3.535</v>
      </c>
      <c r="T99" s="126" t="n">
        <f aca="false">L99/$R$3</f>
        <v>0</v>
      </c>
      <c r="U99" s="126" t="n">
        <f aca="false">I99/$R$3</f>
        <v>18.245</v>
      </c>
      <c r="V99" s="126" t="n">
        <f aca="false">M99/$R$3</f>
        <v>18.245</v>
      </c>
      <c r="W99" s="126" t="n">
        <f aca="false">N99/$R$3</f>
        <v>8629.529</v>
      </c>
    </row>
    <row r="100" customFormat="false" ht="12.75" hidden="true" customHeight="false" outlineLevel="0" collapsed="false">
      <c r="A100" s="120" t="n">
        <f aca="false">A99+1</f>
        <v>36986</v>
      </c>
      <c r="B100" s="131" t="str">
        <f aca="false">INDEX('Master Data'!$A$2:$B$8,MATCH(WEEKDAY('BRA Power'!A100,3),'Master Data'!$A$2:$A$8,0),2)</f>
        <v>Th</v>
      </c>
      <c r="D100" s="124" t="n">
        <v>308515</v>
      </c>
      <c r="E100" s="124" t="n">
        <v>0</v>
      </c>
      <c r="F100" s="124" t="n">
        <v>0</v>
      </c>
      <c r="G100" s="124" t="n">
        <v>21783</v>
      </c>
      <c r="I100" s="124" t="n">
        <f aca="false">IF(MONTH($A100)=MONTH($A99),IF(G100=0,I99,G100),G100)</f>
        <v>21783</v>
      </c>
      <c r="J100" s="124" t="n">
        <f aca="false">IF(MONTH($A100)=MONTH($A99),SUM(I100-I99),I100)</f>
        <v>3538</v>
      </c>
      <c r="K100" s="124" t="n">
        <f aca="false">IF(WEEKDAY(A100,3)&gt;4,0,(IF(A100&lt;K$2,0,IF(A100&lt;=K$3,1,0))))</f>
        <v>0</v>
      </c>
      <c r="L100" s="124" t="n">
        <f aca="false">J100*K100</f>
        <v>0</v>
      </c>
      <c r="M100" s="124" t="n">
        <f aca="false">SUM(J$97:J100)</f>
        <v>21783</v>
      </c>
      <c r="N100" s="124" t="n">
        <f aca="false">SUM(J$6:J100)</f>
        <v>8633067</v>
      </c>
      <c r="P100" s="124" t="n">
        <f aca="false">D100/P$3</f>
        <v>0.308515</v>
      </c>
      <c r="Q100" s="124" t="n">
        <f aca="false">E100/P$3</f>
        <v>0</v>
      </c>
      <c r="R100" s="124" t="n">
        <f aca="false">F100/R$3</f>
        <v>0</v>
      </c>
      <c r="S100" s="126" t="n">
        <f aca="false">J100/$R$3</f>
        <v>3.538</v>
      </c>
      <c r="T100" s="126" t="n">
        <f aca="false">L100/$R$3</f>
        <v>0</v>
      </c>
      <c r="U100" s="126" t="n">
        <f aca="false">I100/$R$3</f>
        <v>21.783</v>
      </c>
      <c r="V100" s="126" t="n">
        <f aca="false">M100/$R$3</f>
        <v>21.783</v>
      </c>
      <c r="W100" s="126" t="n">
        <f aca="false">N100/$R$3</f>
        <v>8633.067</v>
      </c>
    </row>
    <row r="101" customFormat="false" ht="12.75" hidden="true" customHeight="false" outlineLevel="0" collapsed="false">
      <c r="A101" s="120" t="n">
        <f aca="false">A100+1</f>
        <v>36987</v>
      </c>
      <c r="B101" s="131" t="str">
        <f aca="false">INDEX('Master Data'!$A$2:$B$8,MATCH(WEEKDAY('BRA Power'!A101,3),'Master Data'!$A$2:$A$8,0),2)</f>
        <v>F</v>
      </c>
      <c r="D101" s="124" t="n">
        <v>308652</v>
      </c>
      <c r="E101" s="124" t="n">
        <v>0</v>
      </c>
      <c r="F101" s="124" t="n">
        <v>0</v>
      </c>
      <c r="G101" s="124" t="n">
        <v>25321</v>
      </c>
      <c r="I101" s="124" t="n">
        <f aca="false">IF(MONTH($A101)=MONTH($A100),IF(G101=0,I100,G101),G101)</f>
        <v>25321</v>
      </c>
      <c r="J101" s="124" t="n">
        <f aca="false">IF(MONTH($A101)=MONTH($A100),SUM(I101-I100),I101)</f>
        <v>3538</v>
      </c>
      <c r="K101" s="124" t="n">
        <f aca="false">IF(WEEKDAY(A101,3)&gt;4,0,(IF(A101&lt;K$2,0,IF(A101&lt;=K$3,1,0))))</f>
        <v>0</v>
      </c>
      <c r="L101" s="124" t="n">
        <f aca="false">J101*K101</f>
        <v>0</v>
      </c>
      <c r="M101" s="124" t="n">
        <f aca="false">SUM(J$97:J101)</f>
        <v>25321</v>
      </c>
      <c r="N101" s="124" t="n">
        <f aca="false">SUM(J$6:J101)</f>
        <v>8636605</v>
      </c>
      <c r="P101" s="124" t="n">
        <f aca="false">D101/P$3</f>
        <v>0.308652</v>
      </c>
      <c r="Q101" s="124" t="n">
        <f aca="false">E101/P$3</f>
        <v>0</v>
      </c>
      <c r="R101" s="124" t="n">
        <f aca="false">F101/R$3</f>
        <v>0</v>
      </c>
      <c r="S101" s="126" t="n">
        <f aca="false">J101/$R$3</f>
        <v>3.538</v>
      </c>
      <c r="T101" s="126" t="n">
        <f aca="false">L101/$R$3</f>
        <v>0</v>
      </c>
      <c r="U101" s="126" t="n">
        <f aca="false">I101/$R$3</f>
        <v>25.321</v>
      </c>
      <c r="V101" s="126" t="n">
        <f aca="false">M101/$R$3</f>
        <v>25.321</v>
      </c>
      <c r="W101" s="126" t="n">
        <f aca="false">N101/$R$3</f>
        <v>8636.605</v>
      </c>
    </row>
    <row r="102" customFormat="false" ht="12.75" hidden="true" customHeight="false" outlineLevel="0" collapsed="false">
      <c r="A102" s="120" t="n">
        <f aca="false">A101+1</f>
        <v>36988</v>
      </c>
      <c r="B102" s="131" t="str">
        <f aca="false">INDEX('Master Data'!$A$2:$B$8,MATCH(WEEKDAY('BRA Power'!A102,3),'Master Data'!$A$2:$A$8,0),2)</f>
        <v>Sa</v>
      </c>
      <c r="D102" s="124" t="n">
        <v>0</v>
      </c>
      <c r="E102" s="124" t="n">
        <v>0</v>
      </c>
      <c r="F102" s="124" t="n">
        <v>0</v>
      </c>
      <c r="G102" s="124" t="n">
        <v>0</v>
      </c>
      <c r="I102" s="124" t="n">
        <f aca="false">IF(MONTH($A102)=MONTH($A101),IF(G102=0,I101,G102),G102)</f>
        <v>25321</v>
      </c>
      <c r="J102" s="124" t="n">
        <f aca="false">IF(MONTH($A102)=MONTH($A101),SUM(I102-I101),I102)</f>
        <v>0</v>
      </c>
      <c r="K102" s="124" t="n">
        <f aca="false">IF(WEEKDAY(A102,3)&gt;4,0,(IF(A102&lt;K$2,0,IF(A102&lt;=K$3,1,0))))</f>
        <v>0</v>
      </c>
      <c r="L102" s="124" t="n">
        <f aca="false">J102*K102</f>
        <v>0</v>
      </c>
      <c r="M102" s="124" t="n">
        <f aca="false">SUM(J$97:J102)</f>
        <v>25321</v>
      </c>
      <c r="N102" s="124" t="n">
        <f aca="false">SUM(J$6:J102)</f>
        <v>8636605</v>
      </c>
      <c r="P102" s="124" t="n">
        <f aca="false">D102/P$3</f>
        <v>0</v>
      </c>
      <c r="Q102" s="124" t="n">
        <f aca="false">E102/P$3</f>
        <v>0</v>
      </c>
      <c r="R102" s="124" t="n">
        <f aca="false">F102/R$3</f>
        <v>0</v>
      </c>
      <c r="S102" s="126" t="n">
        <f aca="false">J102/$R$3</f>
        <v>0</v>
      </c>
      <c r="T102" s="126" t="n">
        <f aca="false">L102/$R$3</f>
        <v>0</v>
      </c>
      <c r="U102" s="126" t="n">
        <f aca="false">I102/$R$3</f>
        <v>25.321</v>
      </c>
      <c r="V102" s="126" t="n">
        <f aca="false">M102/$R$3</f>
        <v>25.321</v>
      </c>
      <c r="W102" s="126" t="n">
        <f aca="false">N102/$R$3</f>
        <v>8636.605</v>
      </c>
    </row>
    <row r="103" customFormat="false" ht="12.75" hidden="true" customHeight="false" outlineLevel="0" collapsed="false">
      <c r="A103" s="120" t="n">
        <f aca="false">A102+1</f>
        <v>36989</v>
      </c>
      <c r="B103" s="131" t="str">
        <f aca="false">INDEX('Master Data'!$A$2:$B$8,MATCH(WEEKDAY('BRA Power'!A103,3),'Master Data'!$A$2:$A$8,0),2)</f>
        <v>Su</v>
      </c>
      <c r="D103" s="124" t="n">
        <v>0</v>
      </c>
      <c r="E103" s="124" t="n">
        <v>0</v>
      </c>
      <c r="F103" s="124" t="n">
        <v>0</v>
      </c>
      <c r="G103" s="124" t="n">
        <v>0</v>
      </c>
      <c r="I103" s="124" t="n">
        <f aca="false">IF(MONTH($A103)=MONTH($A102),IF(G103=0,I102,G103),G103)</f>
        <v>25321</v>
      </c>
      <c r="J103" s="124" t="n">
        <f aca="false">IF(MONTH($A103)=MONTH($A102),SUM(I103-I102),I103)</f>
        <v>0</v>
      </c>
      <c r="K103" s="124" t="n">
        <f aca="false">IF(WEEKDAY(A103,3)&gt;4,0,(IF(A103&lt;K$2,0,IF(A103&lt;=K$3,1,0))))</f>
        <v>0</v>
      </c>
      <c r="L103" s="124" t="n">
        <f aca="false">J103*K103</f>
        <v>0</v>
      </c>
      <c r="M103" s="124" t="n">
        <f aca="false">SUM(J$97:J103)</f>
        <v>25321</v>
      </c>
      <c r="N103" s="124" t="n">
        <f aca="false">SUM(J$6:J103)</f>
        <v>8636605</v>
      </c>
      <c r="P103" s="124" t="n">
        <f aca="false">D103/P$3</f>
        <v>0</v>
      </c>
      <c r="Q103" s="124" t="n">
        <f aca="false">E103/P$3</f>
        <v>0</v>
      </c>
      <c r="R103" s="124" t="n">
        <f aca="false">F103/R$3</f>
        <v>0</v>
      </c>
      <c r="S103" s="126" t="n">
        <f aca="false">J103/$R$3</f>
        <v>0</v>
      </c>
      <c r="T103" s="126" t="n">
        <f aca="false">L103/$R$3</f>
        <v>0</v>
      </c>
      <c r="U103" s="126" t="n">
        <f aca="false">I103/$R$3</f>
        <v>25.321</v>
      </c>
      <c r="V103" s="126" t="n">
        <f aca="false">M103/$R$3</f>
        <v>25.321</v>
      </c>
      <c r="W103" s="126" t="n">
        <f aca="false">N103/$R$3</f>
        <v>8636.605</v>
      </c>
    </row>
    <row r="104" customFormat="false" ht="12.75" hidden="true" customHeight="false" outlineLevel="0" collapsed="false">
      <c r="A104" s="120" t="n">
        <f aca="false">A103+1</f>
        <v>36990</v>
      </c>
      <c r="B104" s="131" t="str">
        <f aca="false">INDEX('Master Data'!$A$2:$B$8,MATCH(WEEKDAY('BRA Power'!A104,3),'Master Data'!$A$2:$A$8,0),2)</f>
        <v>M</v>
      </c>
      <c r="D104" s="124" t="n">
        <v>309062</v>
      </c>
      <c r="E104" s="124" t="n">
        <v>0</v>
      </c>
      <c r="F104" s="124" t="n">
        <v>0</v>
      </c>
      <c r="G104" s="124" t="n">
        <v>35948</v>
      </c>
      <c r="I104" s="124" t="n">
        <f aca="false">IF(MONTH($A104)=MONTH($A103),IF(G104=0,I103,G104),G104)</f>
        <v>35948</v>
      </c>
      <c r="J104" s="124" t="n">
        <f aca="false">IF(MONTH($A104)=MONTH($A103),SUM(I104-I103),I104)</f>
        <v>10627</v>
      </c>
      <c r="K104" s="124" t="n">
        <f aca="false">IF(WEEKDAY(A104,3)&gt;4,0,(IF(A104&lt;K$2,0,IF(A104&lt;=K$3,1,0))))</f>
        <v>0</v>
      </c>
      <c r="L104" s="124" t="n">
        <f aca="false">J104*K104</f>
        <v>0</v>
      </c>
      <c r="M104" s="124" t="n">
        <f aca="false">SUM(J$97:J104)</f>
        <v>35948</v>
      </c>
      <c r="N104" s="124" t="n">
        <f aca="false">SUM(J$6:J104)</f>
        <v>8647232</v>
      </c>
      <c r="P104" s="124" t="n">
        <f aca="false">D104/P$3</f>
        <v>0.309062</v>
      </c>
      <c r="Q104" s="124" t="n">
        <f aca="false">E104/P$3</f>
        <v>0</v>
      </c>
      <c r="R104" s="124" t="n">
        <f aca="false">F104/R$3</f>
        <v>0</v>
      </c>
      <c r="S104" s="126" t="n">
        <f aca="false">J104/$R$3</f>
        <v>10.627</v>
      </c>
      <c r="T104" s="126" t="n">
        <f aca="false">L104/$R$3</f>
        <v>0</v>
      </c>
      <c r="U104" s="126" t="n">
        <f aca="false">I104/$R$3</f>
        <v>35.948</v>
      </c>
      <c r="V104" s="126" t="n">
        <f aca="false">M104/$R$3</f>
        <v>35.948</v>
      </c>
      <c r="W104" s="126" t="n">
        <f aca="false">N104/$R$3</f>
        <v>8647.232</v>
      </c>
    </row>
    <row r="105" customFormat="false" ht="12.75" hidden="true" customHeight="false" outlineLevel="0" collapsed="false">
      <c r="A105" s="120" t="n">
        <f aca="false">A104+1</f>
        <v>36991</v>
      </c>
      <c r="B105" s="131" t="str">
        <f aca="false">INDEX('Master Data'!$A$2:$B$8,MATCH(WEEKDAY('BRA Power'!A105,3),'Master Data'!$A$2:$A$8,0),2)</f>
        <v>T</v>
      </c>
      <c r="D105" s="124" t="n">
        <v>309200</v>
      </c>
      <c r="E105" s="124" t="n">
        <v>0</v>
      </c>
      <c r="F105" s="124" t="n">
        <v>0</v>
      </c>
      <c r="G105" s="124" t="n">
        <v>2037350</v>
      </c>
      <c r="I105" s="124" t="n">
        <f aca="false">IF(MONTH($A105)=MONTH($A104),IF(G105=0,I104,G105),G105)</f>
        <v>2037350</v>
      </c>
      <c r="J105" s="124" t="n">
        <f aca="false">IF(MONTH($A105)=MONTH($A104),SUM(I105-I104),I105)</f>
        <v>2001402</v>
      </c>
      <c r="K105" s="124" t="n">
        <f aca="false">IF(WEEKDAY(A105,3)&gt;4,0,(IF(A105&lt;K$2,0,IF(A105&lt;=K$3,1,0))))</f>
        <v>0</v>
      </c>
      <c r="L105" s="124" t="n">
        <f aca="false">J105*K105</f>
        <v>0</v>
      </c>
      <c r="M105" s="124" t="n">
        <f aca="false">SUM(J$97:J105)</f>
        <v>2037350</v>
      </c>
      <c r="N105" s="124" t="n">
        <f aca="false">SUM(J$6:J105)</f>
        <v>10648634</v>
      </c>
      <c r="P105" s="124" t="n">
        <f aca="false">D105/P$3</f>
        <v>0.3092</v>
      </c>
      <c r="Q105" s="124" t="n">
        <f aca="false">E105/P$3</f>
        <v>0</v>
      </c>
      <c r="R105" s="124" t="n">
        <f aca="false">F105/R$3</f>
        <v>0</v>
      </c>
      <c r="S105" s="126" t="n">
        <f aca="false">J105/$R$3</f>
        <v>2001.402</v>
      </c>
      <c r="T105" s="126" t="n">
        <f aca="false">L105/$R$3</f>
        <v>0</v>
      </c>
      <c r="U105" s="126" t="n">
        <f aca="false">I105/$R$3</f>
        <v>2037.35</v>
      </c>
      <c r="V105" s="126" t="n">
        <f aca="false">M105/$R$3</f>
        <v>2037.35</v>
      </c>
      <c r="W105" s="126" t="n">
        <f aca="false">N105/$R$3</f>
        <v>10648.634</v>
      </c>
    </row>
    <row r="106" customFormat="false" ht="12.75" hidden="true" customHeight="false" outlineLevel="0" collapsed="false">
      <c r="A106" s="120" t="n">
        <f aca="false">A105+1</f>
        <v>36992</v>
      </c>
      <c r="B106" s="131" t="str">
        <f aca="false">INDEX('Master Data'!$A$2:$B$8,MATCH(WEEKDAY('BRA Power'!A106,3),'Master Data'!$A$2:$A$8,0),2)</f>
        <v>W</v>
      </c>
      <c r="D106" s="124" t="n">
        <v>309337</v>
      </c>
      <c r="E106" s="124" t="n">
        <v>0</v>
      </c>
      <c r="F106" s="124" t="n">
        <v>0</v>
      </c>
      <c r="G106" s="124" t="n">
        <v>2041582</v>
      </c>
      <c r="I106" s="124" t="n">
        <f aca="false">IF(MONTH($A106)=MONTH($A105),IF(G106=0,I105,G106),G106)</f>
        <v>2041582</v>
      </c>
      <c r="J106" s="124" t="n">
        <f aca="false">IF(MONTH($A106)=MONTH($A105),SUM(I106-I105),I106)</f>
        <v>4232</v>
      </c>
      <c r="K106" s="124" t="n">
        <f aca="false">IF(WEEKDAY(A106,3)&gt;4,0,(IF(A106&lt;K$2,0,IF(A106&lt;=K$3,1,0))))</f>
        <v>0</v>
      </c>
      <c r="L106" s="124" t="n">
        <f aca="false">J106*K106</f>
        <v>0</v>
      </c>
      <c r="M106" s="124" t="n">
        <f aca="false">SUM(J$97:J106)</f>
        <v>2041582</v>
      </c>
      <c r="N106" s="124" t="n">
        <f aca="false">SUM(J$6:J106)</f>
        <v>10652866</v>
      </c>
      <c r="P106" s="124" t="n">
        <f aca="false">D106/P$3</f>
        <v>0.309337</v>
      </c>
      <c r="Q106" s="124" t="n">
        <f aca="false">E106/P$3</f>
        <v>0</v>
      </c>
      <c r="R106" s="124" t="n">
        <f aca="false">F106/R$3</f>
        <v>0</v>
      </c>
      <c r="S106" s="126" t="n">
        <f aca="false">J106/$R$3</f>
        <v>4.232</v>
      </c>
      <c r="T106" s="126" t="n">
        <f aca="false">L106/$R$3</f>
        <v>0</v>
      </c>
      <c r="U106" s="126" t="n">
        <f aca="false">I106/$R$3</f>
        <v>2041.582</v>
      </c>
      <c r="V106" s="126" t="n">
        <f aca="false">M106/$R$3</f>
        <v>2041.582</v>
      </c>
      <c r="W106" s="126" t="n">
        <f aca="false">N106/$R$3</f>
        <v>10652.866</v>
      </c>
    </row>
    <row r="107" customFormat="false" ht="12.75" hidden="true" customHeight="false" outlineLevel="0" collapsed="false">
      <c r="A107" s="120" t="n">
        <f aca="false">A106+1</f>
        <v>36993</v>
      </c>
      <c r="B107" s="131" t="str">
        <f aca="false">INDEX('Master Data'!$A$2:$B$8,MATCH(WEEKDAY('BRA Power'!A107,3),'Master Data'!$A$2:$A$8,0),2)</f>
        <v>Th</v>
      </c>
      <c r="D107" s="124" t="n">
        <v>309474</v>
      </c>
      <c r="E107" s="124" t="n">
        <v>0</v>
      </c>
      <c r="F107" s="124" t="n">
        <v>0</v>
      </c>
      <c r="G107" s="124" t="n">
        <v>2045818</v>
      </c>
      <c r="I107" s="124" t="n">
        <f aca="false">IF(MONTH($A107)=MONTH($A106),IF(G107=0,I106,G107),G107)</f>
        <v>2045818</v>
      </c>
      <c r="J107" s="124" t="n">
        <f aca="false">IF(MONTH($A107)=MONTH($A106),SUM(I107-I106),I107)</f>
        <v>4236</v>
      </c>
      <c r="K107" s="124" t="n">
        <f aca="false">IF(WEEKDAY(A107,3)&gt;4,0,(IF(A107&lt;K$2,0,IF(A107&lt;=K$3,1,0))))</f>
        <v>0</v>
      </c>
      <c r="L107" s="124" t="n">
        <f aca="false">J107*K107</f>
        <v>0</v>
      </c>
      <c r="M107" s="124" t="n">
        <f aca="false">SUM(J$97:J107)</f>
        <v>2045818</v>
      </c>
      <c r="N107" s="124" t="n">
        <f aca="false">SUM(J$6:J107)</f>
        <v>10657102</v>
      </c>
      <c r="P107" s="124" t="n">
        <f aca="false">D107/P$3</f>
        <v>0.309474</v>
      </c>
      <c r="Q107" s="124" t="n">
        <f aca="false">E107/P$3</f>
        <v>0</v>
      </c>
      <c r="R107" s="124" t="n">
        <f aca="false">F107/R$3</f>
        <v>0</v>
      </c>
      <c r="S107" s="126" t="n">
        <f aca="false">J107/$R$3</f>
        <v>4.236</v>
      </c>
      <c r="T107" s="126" t="n">
        <f aca="false">L107/$R$3</f>
        <v>0</v>
      </c>
      <c r="U107" s="126" t="n">
        <f aca="false">I107/$R$3</f>
        <v>2045.818</v>
      </c>
      <c r="V107" s="126" t="n">
        <f aca="false">M107/$R$3</f>
        <v>2045.818</v>
      </c>
      <c r="W107" s="126" t="n">
        <f aca="false">N107/$R$3</f>
        <v>10657.102</v>
      </c>
    </row>
    <row r="108" customFormat="false" ht="12.75" hidden="true" customHeight="false" outlineLevel="0" collapsed="false">
      <c r="A108" s="120" t="n">
        <f aca="false">A107+1</f>
        <v>36994</v>
      </c>
      <c r="B108" s="131" t="str">
        <f aca="false">INDEX('Master Data'!$A$2:$B$8,MATCH(WEEKDAY('BRA Power'!A108,3),'Master Data'!$A$2:$A$8,0),2)</f>
        <v>F</v>
      </c>
      <c r="D108" s="124" t="n">
        <v>0</v>
      </c>
      <c r="E108" s="124" t="n">
        <v>0</v>
      </c>
      <c r="F108" s="124" t="n">
        <v>0</v>
      </c>
      <c r="G108" s="124" t="n">
        <v>0</v>
      </c>
      <c r="I108" s="124" t="n">
        <f aca="false">IF(MONTH($A108)=MONTH($A107),IF(G108=0,I107,G108),G108)</f>
        <v>2045818</v>
      </c>
      <c r="J108" s="124" t="n">
        <f aca="false">IF(MONTH($A108)=MONTH($A107),SUM(I108-I107),I108)</f>
        <v>0</v>
      </c>
      <c r="K108" s="124" t="n">
        <f aca="false">IF(WEEKDAY(A108,3)&gt;4,0,(IF(A108&lt;K$2,0,IF(A108&lt;=K$3,1,0))))</f>
        <v>0</v>
      </c>
      <c r="L108" s="124" t="n">
        <f aca="false">J108*K108</f>
        <v>0</v>
      </c>
      <c r="M108" s="124" t="n">
        <f aca="false">SUM(J$97:J108)</f>
        <v>2045818</v>
      </c>
      <c r="N108" s="124" t="n">
        <f aca="false">SUM(J$6:J108)</f>
        <v>10657102</v>
      </c>
      <c r="P108" s="124" t="n">
        <f aca="false">D108/P$3</f>
        <v>0</v>
      </c>
      <c r="Q108" s="124" t="n">
        <f aca="false">E108/P$3</f>
        <v>0</v>
      </c>
      <c r="R108" s="124" t="n">
        <f aca="false">F108/R$3</f>
        <v>0</v>
      </c>
      <c r="S108" s="126" t="n">
        <f aca="false">J108/$R$3</f>
        <v>0</v>
      </c>
      <c r="T108" s="126" t="n">
        <f aca="false">L108/$R$3</f>
        <v>0</v>
      </c>
      <c r="U108" s="126" t="n">
        <f aca="false">I108/$R$3</f>
        <v>2045.818</v>
      </c>
      <c r="V108" s="126" t="n">
        <f aca="false">M108/$R$3</f>
        <v>2045.818</v>
      </c>
      <c r="W108" s="126" t="n">
        <f aca="false">N108/$R$3</f>
        <v>10657.102</v>
      </c>
    </row>
    <row r="109" customFormat="false" ht="12.75" hidden="true" customHeight="false" outlineLevel="0" collapsed="false">
      <c r="A109" s="120" t="n">
        <f aca="false">A108+1</f>
        <v>36995</v>
      </c>
      <c r="B109" s="131" t="str">
        <f aca="false">INDEX('Master Data'!$A$2:$B$8,MATCH(WEEKDAY('BRA Power'!A109,3),'Master Data'!$A$2:$A$8,0),2)</f>
        <v>Sa</v>
      </c>
      <c r="D109" s="124" t="n">
        <v>0</v>
      </c>
      <c r="E109" s="124" t="n">
        <v>0</v>
      </c>
      <c r="F109" s="124" t="n">
        <v>0</v>
      </c>
      <c r="G109" s="124" t="n">
        <v>0</v>
      </c>
      <c r="I109" s="124" t="n">
        <f aca="false">IF(MONTH($A109)=MONTH($A108),IF(G109=0,I108,G109),G109)</f>
        <v>2045818</v>
      </c>
      <c r="J109" s="124" t="n">
        <f aca="false">IF(MONTH($A109)=MONTH($A108),SUM(I109-I108),I109)</f>
        <v>0</v>
      </c>
      <c r="K109" s="124" t="n">
        <f aca="false">IF(WEEKDAY(A109,3)&gt;4,0,(IF(A109&lt;K$2,0,IF(A109&lt;=K$3,1,0))))</f>
        <v>0</v>
      </c>
      <c r="L109" s="124" t="n">
        <f aca="false">J109*K109</f>
        <v>0</v>
      </c>
      <c r="M109" s="124" t="n">
        <f aca="false">SUM(J$97:J109)</f>
        <v>2045818</v>
      </c>
      <c r="N109" s="124" t="n">
        <f aca="false">SUM(J$6:J109)</f>
        <v>10657102</v>
      </c>
      <c r="P109" s="124" t="n">
        <f aca="false">D109/P$3</f>
        <v>0</v>
      </c>
      <c r="Q109" s="124" t="n">
        <f aca="false">E109/P$3</f>
        <v>0</v>
      </c>
      <c r="R109" s="124" t="n">
        <f aca="false">F109/R$3</f>
        <v>0</v>
      </c>
      <c r="S109" s="126" t="n">
        <f aca="false">J109/$R$3</f>
        <v>0</v>
      </c>
      <c r="T109" s="126" t="n">
        <f aca="false">L109/$R$3</f>
        <v>0</v>
      </c>
      <c r="U109" s="126" t="n">
        <f aca="false">I109/$R$3</f>
        <v>2045.818</v>
      </c>
      <c r="V109" s="126" t="n">
        <f aca="false">M109/$R$3</f>
        <v>2045.818</v>
      </c>
      <c r="W109" s="126" t="n">
        <f aca="false">N109/$R$3</f>
        <v>10657.102</v>
      </c>
    </row>
    <row r="110" customFormat="false" ht="12.75" hidden="true" customHeight="false" outlineLevel="0" collapsed="false">
      <c r="A110" s="120" t="n">
        <f aca="false">A109+1</f>
        <v>36996</v>
      </c>
      <c r="B110" s="131" t="str">
        <f aca="false">INDEX('Master Data'!$A$2:$B$8,MATCH(WEEKDAY('BRA Power'!A110,3),'Master Data'!$A$2:$A$8,0),2)</f>
        <v>Su</v>
      </c>
      <c r="D110" s="124" t="n">
        <v>0</v>
      </c>
      <c r="E110" s="124" t="n">
        <v>0</v>
      </c>
      <c r="F110" s="124" t="n">
        <v>0</v>
      </c>
      <c r="G110" s="124" t="n">
        <v>0</v>
      </c>
      <c r="I110" s="124" t="n">
        <f aca="false">IF(MONTH($A110)=MONTH($A109),IF(G110=0,I109,G110),G110)</f>
        <v>2045818</v>
      </c>
      <c r="J110" s="124" t="n">
        <f aca="false">IF(MONTH($A110)=MONTH($A109),SUM(I110-I109),I110)</f>
        <v>0</v>
      </c>
      <c r="K110" s="124" t="n">
        <f aca="false">IF(WEEKDAY(A110,3)&gt;4,0,(IF(A110&lt;K$2,0,IF(A110&lt;=K$3,1,0))))</f>
        <v>0</v>
      </c>
      <c r="L110" s="124" t="n">
        <f aca="false">J110*K110</f>
        <v>0</v>
      </c>
      <c r="M110" s="124" t="n">
        <f aca="false">SUM(J$97:J110)</f>
        <v>2045818</v>
      </c>
      <c r="N110" s="124" t="n">
        <f aca="false">SUM(J$6:J110)</f>
        <v>10657102</v>
      </c>
      <c r="P110" s="124" t="n">
        <f aca="false">D110/P$3</f>
        <v>0</v>
      </c>
      <c r="Q110" s="124" t="n">
        <f aca="false">E110/P$3</f>
        <v>0</v>
      </c>
      <c r="R110" s="124" t="n">
        <f aca="false">F110/R$3</f>
        <v>0</v>
      </c>
      <c r="S110" s="126" t="n">
        <f aca="false">J110/$R$3</f>
        <v>0</v>
      </c>
      <c r="T110" s="126" t="n">
        <f aca="false">L110/$R$3</f>
        <v>0</v>
      </c>
      <c r="U110" s="126" t="n">
        <f aca="false">I110/$R$3</f>
        <v>2045.818</v>
      </c>
      <c r="V110" s="126" t="n">
        <f aca="false">M110/$R$3</f>
        <v>2045.818</v>
      </c>
      <c r="W110" s="126" t="n">
        <f aca="false">N110/$R$3</f>
        <v>10657.102</v>
      </c>
    </row>
    <row r="111" customFormat="false" ht="12.75" hidden="true" customHeight="false" outlineLevel="0" collapsed="false">
      <c r="A111" s="120" t="n">
        <f aca="false">A110+1</f>
        <v>36997</v>
      </c>
      <c r="B111" s="131" t="str">
        <f aca="false">INDEX('Master Data'!$A$2:$B$8,MATCH(WEEKDAY('BRA Power'!A111,3),'Master Data'!$A$2:$A$8,0),2)</f>
        <v>M</v>
      </c>
      <c r="D111" s="124" t="n">
        <v>310024</v>
      </c>
      <c r="E111" s="124" t="n">
        <v>0</v>
      </c>
      <c r="F111" s="124" t="n">
        <v>0</v>
      </c>
      <c r="G111" s="124" t="n">
        <v>2062776</v>
      </c>
      <c r="I111" s="124" t="n">
        <f aca="false">IF(MONTH($A111)=MONTH($A110),IF(G111=0,I110,G111),G111)</f>
        <v>2062776</v>
      </c>
      <c r="J111" s="124" t="n">
        <f aca="false">IF(MONTH($A111)=MONTH($A110),SUM(I111-I110),I111)</f>
        <v>16958</v>
      </c>
      <c r="K111" s="124" t="n">
        <f aca="false">IF(WEEKDAY(A111,3)&gt;4,0,(IF(A111&lt;K$2,0,IF(A111&lt;=K$3,1,0))))</f>
        <v>0</v>
      </c>
      <c r="L111" s="124" t="n">
        <f aca="false">J111*K111</f>
        <v>0</v>
      </c>
      <c r="M111" s="124" t="n">
        <f aca="false">SUM(J$97:J111)</f>
        <v>2062776</v>
      </c>
      <c r="N111" s="124" t="n">
        <f aca="false">SUM(J$6:J111)</f>
        <v>10674060</v>
      </c>
      <c r="P111" s="124" t="n">
        <f aca="false">D111/P$3</f>
        <v>0.310024</v>
      </c>
      <c r="Q111" s="124" t="n">
        <f aca="false">E111/P$3</f>
        <v>0</v>
      </c>
      <c r="R111" s="124" t="n">
        <f aca="false">F111/R$3</f>
        <v>0</v>
      </c>
      <c r="S111" s="126" t="n">
        <f aca="false">J111/$R$3</f>
        <v>16.958</v>
      </c>
      <c r="T111" s="126" t="n">
        <f aca="false">L111/$R$3</f>
        <v>0</v>
      </c>
      <c r="U111" s="126" t="n">
        <f aca="false">I111/$R$3</f>
        <v>2062.776</v>
      </c>
      <c r="V111" s="126" t="n">
        <f aca="false">M111/$R$3</f>
        <v>2062.776</v>
      </c>
      <c r="W111" s="126" t="n">
        <f aca="false">N111/$R$3</f>
        <v>10674.06</v>
      </c>
    </row>
    <row r="112" customFormat="false" ht="12.75" hidden="true" customHeight="false" outlineLevel="0" collapsed="false">
      <c r="A112" s="120" t="n">
        <f aca="false">A111+1</f>
        <v>36998</v>
      </c>
      <c r="B112" s="131" t="str">
        <f aca="false">INDEX('Master Data'!$A$2:$B$8,MATCH(WEEKDAY('BRA Power'!A112,3),'Master Data'!$A$2:$A$8,0),2)</f>
        <v>T</v>
      </c>
      <c r="D112" s="124" t="n">
        <v>310161</v>
      </c>
      <c r="E112" s="124" t="n">
        <v>0</v>
      </c>
      <c r="F112" s="124" t="n">
        <v>0</v>
      </c>
      <c r="G112" s="124" t="n">
        <v>2067020</v>
      </c>
      <c r="I112" s="124" t="n">
        <f aca="false">IF(MONTH($A112)=MONTH($A111),IF(G112=0,I111,G112),G112)</f>
        <v>2067020</v>
      </c>
      <c r="J112" s="124" t="n">
        <f aca="false">IF(MONTH($A112)=MONTH($A111),SUM(I112-I111),I112)</f>
        <v>4244</v>
      </c>
      <c r="K112" s="124" t="n">
        <f aca="false">IF(WEEKDAY(A112,3)&gt;4,0,(IF(A112&lt;K$2,0,IF(A112&lt;=K$3,1,0))))</f>
        <v>0</v>
      </c>
      <c r="L112" s="124" t="n">
        <f aca="false">J112*K112</f>
        <v>0</v>
      </c>
      <c r="M112" s="124" t="n">
        <f aca="false">SUM(J$97:J112)</f>
        <v>2067020</v>
      </c>
      <c r="N112" s="124" t="n">
        <f aca="false">SUM(J$6:J112)</f>
        <v>10678304</v>
      </c>
      <c r="P112" s="124" t="n">
        <f aca="false">D112/P$3</f>
        <v>0.310161</v>
      </c>
      <c r="Q112" s="124" t="n">
        <f aca="false">E112/P$3</f>
        <v>0</v>
      </c>
      <c r="R112" s="124" t="n">
        <f aca="false">F112/R$3</f>
        <v>0</v>
      </c>
      <c r="S112" s="126" t="n">
        <f aca="false">J112/$R$3</f>
        <v>4.244</v>
      </c>
      <c r="T112" s="126" t="n">
        <f aca="false">L112/$R$3</f>
        <v>0</v>
      </c>
      <c r="U112" s="126" t="n">
        <f aca="false">I112/$R$3</f>
        <v>2067.02</v>
      </c>
      <c r="V112" s="126" t="n">
        <f aca="false">M112/$R$3</f>
        <v>2067.02</v>
      </c>
      <c r="W112" s="126" t="n">
        <f aca="false">N112/$R$3</f>
        <v>10678.304</v>
      </c>
    </row>
    <row r="113" customFormat="false" ht="12.75" hidden="true" customHeight="false" outlineLevel="0" collapsed="false">
      <c r="A113" s="120" t="n">
        <f aca="false">A112+1</f>
        <v>36999</v>
      </c>
      <c r="B113" s="131" t="str">
        <f aca="false">INDEX('Master Data'!$A$2:$B$8,MATCH(WEEKDAY('BRA Power'!A113,3),'Master Data'!$A$2:$A$8,0),2)</f>
        <v>W</v>
      </c>
      <c r="D113" s="124" t="n">
        <v>310299</v>
      </c>
      <c r="E113" s="124" t="n">
        <v>0</v>
      </c>
      <c r="F113" s="124" t="n">
        <v>0</v>
      </c>
      <c r="G113" s="124" t="n">
        <v>2071266</v>
      </c>
      <c r="I113" s="124" t="n">
        <f aca="false">IF(MONTH($A113)=MONTH($A112),IF(G113=0,I112,G113),G113)</f>
        <v>2071266</v>
      </c>
      <c r="J113" s="124" t="n">
        <f aca="false">IF(MONTH($A113)=MONTH($A112),SUM(I113-I112),I113)</f>
        <v>4246</v>
      </c>
      <c r="K113" s="124" t="n">
        <f aca="false">IF(WEEKDAY(A113,3)&gt;4,0,(IF(A113&lt;K$2,0,IF(A113&lt;=K$3,1,0))))</f>
        <v>0</v>
      </c>
      <c r="L113" s="124" t="n">
        <f aca="false">J113*K113</f>
        <v>0</v>
      </c>
      <c r="M113" s="124" t="n">
        <f aca="false">SUM(J$97:J113)</f>
        <v>2071266</v>
      </c>
      <c r="N113" s="124" t="n">
        <f aca="false">SUM(J$6:J113)</f>
        <v>10682550</v>
      </c>
      <c r="P113" s="124" t="n">
        <f aca="false">D113/P$3</f>
        <v>0.310299</v>
      </c>
      <c r="Q113" s="124" t="n">
        <f aca="false">E113/P$3</f>
        <v>0</v>
      </c>
      <c r="R113" s="124" t="n">
        <f aca="false">F113/R$3</f>
        <v>0</v>
      </c>
      <c r="S113" s="126" t="n">
        <f aca="false">J113/$R$3</f>
        <v>4.246</v>
      </c>
      <c r="T113" s="126" t="n">
        <f aca="false">L113/$R$3</f>
        <v>0</v>
      </c>
      <c r="U113" s="126" t="n">
        <f aca="false">I113/$R$3</f>
        <v>2071.266</v>
      </c>
      <c r="V113" s="126" t="n">
        <f aca="false">M113/$R$3</f>
        <v>2071.266</v>
      </c>
      <c r="W113" s="126" t="n">
        <f aca="false">N113/$R$3</f>
        <v>10682.55</v>
      </c>
    </row>
    <row r="114" customFormat="false" ht="12.75" hidden="true" customHeight="false" outlineLevel="0" collapsed="false">
      <c r="A114" s="120" t="n">
        <f aca="false">A113+1</f>
        <v>37000</v>
      </c>
      <c r="B114" s="131" t="str">
        <f aca="false">INDEX('Master Data'!$A$2:$B$8,MATCH(WEEKDAY('BRA Power'!A114,3),'Master Data'!$A$2:$A$8,0),2)</f>
        <v>Th</v>
      </c>
      <c r="D114" s="124" t="n">
        <v>310436</v>
      </c>
      <c r="E114" s="124" t="n">
        <v>0</v>
      </c>
      <c r="F114" s="124" t="n">
        <v>0</v>
      </c>
      <c r="G114" s="124" t="n">
        <v>2075514</v>
      </c>
      <c r="I114" s="124" t="n">
        <f aca="false">IF(MONTH($A114)=MONTH($A113),IF(G114=0,I113,G114),G114)</f>
        <v>2075514</v>
      </c>
      <c r="J114" s="124" t="n">
        <f aca="false">IF(MONTH($A114)=MONTH($A113),SUM(I114-I113),I114)</f>
        <v>4248</v>
      </c>
      <c r="K114" s="124" t="n">
        <f aca="false">IF(WEEKDAY(A114,3)&gt;4,0,(IF(A114&lt;K$2,0,IF(A114&lt;=K$3,1,0))))</f>
        <v>0</v>
      </c>
      <c r="L114" s="124" t="n">
        <f aca="false">J114*K114</f>
        <v>0</v>
      </c>
      <c r="M114" s="124" t="n">
        <f aca="false">SUM(J$97:J114)</f>
        <v>2075514</v>
      </c>
      <c r="N114" s="124" t="n">
        <f aca="false">SUM(J$6:J114)</f>
        <v>10686798</v>
      </c>
      <c r="P114" s="124" t="n">
        <f aca="false">D114/P$3</f>
        <v>0.310436</v>
      </c>
      <c r="Q114" s="124" t="n">
        <f aca="false">E114/P$3</f>
        <v>0</v>
      </c>
      <c r="R114" s="124" t="n">
        <f aca="false">F114/R$3</f>
        <v>0</v>
      </c>
      <c r="S114" s="126" t="n">
        <f aca="false">J114/$R$3</f>
        <v>4.248</v>
      </c>
      <c r="T114" s="126" t="n">
        <f aca="false">L114/$R$3</f>
        <v>0</v>
      </c>
      <c r="U114" s="126" t="n">
        <f aca="false">I114/$R$3</f>
        <v>2075.514</v>
      </c>
      <c r="V114" s="126" t="n">
        <f aca="false">M114/$R$3</f>
        <v>2075.514</v>
      </c>
      <c r="W114" s="126" t="n">
        <f aca="false">N114/$R$3</f>
        <v>10686.798</v>
      </c>
    </row>
    <row r="115" customFormat="false" ht="12.75" hidden="true" customHeight="false" outlineLevel="0" collapsed="false">
      <c r="A115" s="120" t="n">
        <f aca="false">A114+1</f>
        <v>37001</v>
      </c>
      <c r="B115" s="131" t="str">
        <f aca="false">INDEX('Master Data'!$A$2:$B$8,MATCH(WEEKDAY('BRA Power'!A115,3),'Master Data'!$A$2:$A$8,0),2)</f>
        <v>F</v>
      </c>
      <c r="D115" s="124" t="n">
        <v>310574</v>
      </c>
      <c r="E115" s="124" t="n">
        <v>0</v>
      </c>
      <c r="F115" s="124" t="n">
        <v>0</v>
      </c>
      <c r="G115" s="124" t="n">
        <v>2079765</v>
      </c>
      <c r="I115" s="124" t="n">
        <f aca="false">IF(MONTH($A115)=MONTH($A114),IF(G115=0,I114,G115),G115)</f>
        <v>2079765</v>
      </c>
      <c r="J115" s="124" t="n">
        <f aca="false">IF(MONTH($A115)=MONTH($A114),SUM(I115-I114),I115)</f>
        <v>4251</v>
      </c>
      <c r="K115" s="124" t="n">
        <f aca="false">IF(WEEKDAY(A115,3)&gt;4,0,(IF(A115&lt;K$2,0,IF(A115&lt;=K$3,1,0))))</f>
        <v>0</v>
      </c>
      <c r="L115" s="124" t="n">
        <f aca="false">J115*K115</f>
        <v>0</v>
      </c>
      <c r="M115" s="124" t="n">
        <f aca="false">SUM(J$97:J115)</f>
        <v>2079765</v>
      </c>
      <c r="N115" s="124" t="n">
        <f aca="false">SUM(J$6:J115)</f>
        <v>10691049</v>
      </c>
      <c r="P115" s="124" t="n">
        <f aca="false">D115/P$3</f>
        <v>0.310574</v>
      </c>
      <c r="Q115" s="124" t="n">
        <f aca="false">E115/P$3</f>
        <v>0</v>
      </c>
      <c r="R115" s="124" t="n">
        <f aca="false">F115/R$3</f>
        <v>0</v>
      </c>
      <c r="S115" s="126" t="n">
        <f aca="false">J115/$R$3</f>
        <v>4.251</v>
      </c>
      <c r="T115" s="126" t="n">
        <f aca="false">L115/$R$3</f>
        <v>0</v>
      </c>
      <c r="U115" s="126" t="n">
        <f aca="false">I115/$R$3</f>
        <v>2079.765</v>
      </c>
      <c r="V115" s="126" t="n">
        <f aca="false">M115/$R$3</f>
        <v>2079.765</v>
      </c>
      <c r="W115" s="126" t="n">
        <f aca="false">N115/$R$3</f>
        <v>10691.049</v>
      </c>
    </row>
    <row r="116" customFormat="false" ht="12.75" hidden="true" customHeight="false" outlineLevel="0" collapsed="false">
      <c r="A116" s="120" t="n">
        <f aca="false">A115+1</f>
        <v>37002</v>
      </c>
      <c r="B116" s="131" t="str">
        <f aca="false">INDEX('Master Data'!$A$2:$B$8,MATCH(WEEKDAY('BRA Power'!A116,3),'Master Data'!$A$2:$A$8,0),2)</f>
        <v>Sa</v>
      </c>
      <c r="D116" s="124" t="n">
        <v>0</v>
      </c>
      <c r="E116" s="124" t="n">
        <v>0</v>
      </c>
      <c r="F116" s="124" t="n">
        <v>0</v>
      </c>
      <c r="G116" s="124" t="n">
        <v>0</v>
      </c>
      <c r="I116" s="124" t="n">
        <f aca="false">IF(MONTH($A116)=MONTH($A115),IF(G116=0,I115,G116),G116)</f>
        <v>2079765</v>
      </c>
      <c r="J116" s="124" t="n">
        <f aca="false">IF(MONTH($A116)=MONTH($A115),SUM(I116-I115),I116)</f>
        <v>0</v>
      </c>
      <c r="K116" s="124" t="n">
        <f aca="false">IF(WEEKDAY(A116,3)&gt;4,0,(IF(A116&lt;K$2,0,IF(A116&lt;=K$3,1,0))))</f>
        <v>0</v>
      </c>
      <c r="L116" s="124" t="n">
        <f aca="false">J116*K116</f>
        <v>0</v>
      </c>
      <c r="M116" s="124" t="n">
        <f aca="false">SUM(J$97:J116)</f>
        <v>2079765</v>
      </c>
      <c r="N116" s="124" t="n">
        <f aca="false">SUM(J$6:J116)</f>
        <v>10691049</v>
      </c>
      <c r="P116" s="124" t="n">
        <f aca="false">D116/P$3</f>
        <v>0</v>
      </c>
      <c r="Q116" s="124" t="n">
        <f aca="false">E116/P$3</f>
        <v>0</v>
      </c>
      <c r="R116" s="124" t="n">
        <f aca="false">F116/R$3</f>
        <v>0</v>
      </c>
      <c r="S116" s="126" t="n">
        <f aca="false">J116/$R$3</f>
        <v>0</v>
      </c>
      <c r="T116" s="126" t="n">
        <f aca="false">L116/$R$3</f>
        <v>0</v>
      </c>
      <c r="U116" s="126" t="n">
        <f aca="false">I116/$R$3</f>
        <v>2079.765</v>
      </c>
      <c r="V116" s="126" t="n">
        <f aca="false">M116/$R$3</f>
        <v>2079.765</v>
      </c>
      <c r="W116" s="126" t="n">
        <f aca="false">N116/$R$3</f>
        <v>10691.049</v>
      </c>
    </row>
    <row r="117" customFormat="false" ht="12.75" hidden="true" customHeight="false" outlineLevel="0" collapsed="false">
      <c r="A117" s="120" t="n">
        <f aca="false">A116+1</f>
        <v>37003</v>
      </c>
      <c r="B117" s="131" t="str">
        <f aca="false">INDEX('Master Data'!$A$2:$B$8,MATCH(WEEKDAY('BRA Power'!A117,3),'Master Data'!$A$2:$A$8,0),2)</f>
        <v>Su</v>
      </c>
      <c r="D117" s="124" t="n">
        <v>0</v>
      </c>
      <c r="E117" s="124" t="n">
        <v>0</v>
      </c>
      <c r="F117" s="124" t="n">
        <v>0</v>
      </c>
      <c r="G117" s="124" t="n">
        <v>0</v>
      </c>
      <c r="I117" s="124" t="n">
        <f aca="false">IF(MONTH($A117)=MONTH($A116),IF(G117=0,I116,G117),G117)</f>
        <v>2079765</v>
      </c>
      <c r="J117" s="124" t="n">
        <f aca="false">IF(MONTH($A117)=MONTH($A116),SUM(I117-I116),I117)</f>
        <v>0</v>
      </c>
      <c r="K117" s="124" t="n">
        <f aca="false">IF(WEEKDAY(A117,3)&gt;4,0,(IF(A117&lt;K$2,0,IF(A117&lt;=K$3,1,0))))</f>
        <v>0</v>
      </c>
      <c r="L117" s="124" t="n">
        <f aca="false">J117*K117</f>
        <v>0</v>
      </c>
      <c r="M117" s="124" t="n">
        <f aca="false">SUM(J$97:J117)</f>
        <v>2079765</v>
      </c>
      <c r="N117" s="124" t="n">
        <f aca="false">SUM(J$6:J117)</f>
        <v>10691049</v>
      </c>
      <c r="P117" s="124" t="n">
        <f aca="false">D117/P$3</f>
        <v>0</v>
      </c>
      <c r="Q117" s="124" t="n">
        <f aca="false">E117/P$3</f>
        <v>0</v>
      </c>
      <c r="R117" s="124" t="n">
        <f aca="false">F117/R$3</f>
        <v>0</v>
      </c>
      <c r="S117" s="126" t="n">
        <f aca="false">J117/$R$3</f>
        <v>0</v>
      </c>
      <c r="T117" s="126" t="n">
        <f aca="false">L117/$R$3</f>
        <v>0</v>
      </c>
      <c r="U117" s="126" t="n">
        <f aca="false">I117/$R$3</f>
        <v>2079.765</v>
      </c>
      <c r="V117" s="126" t="n">
        <f aca="false">M117/$R$3</f>
        <v>2079.765</v>
      </c>
      <c r="W117" s="126" t="n">
        <f aca="false">N117/$R$3</f>
        <v>10691.049</v>
      </c>
    </row>
    <row r="118" customFormat="false" ht="12.75" hidden="true" customHeight="false" outlineLevel="0" collapsed="false">
      <c r="A118" s="120" t="n">
        <f aca="false">A117+1</f>
        <v>37004</v>
      </c>
      <c r="B118" s="131" t="str">
        <f aca="false">INDEX('Master Data'!$A$2:$B$8,MATCH(WEEKDAY('BRA Power'!A118,3),'Master Data'!$A$2:$A$8,0),2)</f>
        <v>M</v>
      </c>
      <c r="D118" s="124" t="n">
        <v>310988</v>
      </c>
      <c r="E118" s="124" t="n">
        <v>0</v>
      </c>
      <c r="F118" s="124" t="n">
        <v>0</v>
      </c>
      <c r="G118" s="124" t="n">
        <v>2092527</v>
      </c>
      <c r="I118" s="124" t="n">
        <f aca="false">IF(MONTH($A118)=MONTH($A117),IF(G118=0,I117,G118),G118)</f>
        <v>2092527</v>
      </c>
      <c r="J118" s="124" t="n">
        <f aca="false">IF(MONTH($A118)=MONTH($A117),SUM(I118-I117),I118)</f>
        <v>12762</v>
      </c>
      <c r="K118" s="124" t="n">
        <f aca="false">IF(WEEKDAY(A118,3)&gt;4,0,(IF(A118&lt;K$2,0,IF(A118&lt;=K$3,1,0))))</f>
        <v>0</v>
      </c>
      <c r="L118" s="124" t="n">
        <f aca="false">J118*K118</f>
        <v>0</v>
      </c>
      <c r="M118" s="124" t="n">
        <f aca="false">SUM(J$97:J118)</f>
        <v>2092527</v>
      </c>
      <c r="N118" s="124" t="n">
        <f aca="false">SUM(J$6:J118)</f>
        <v>10703811</v>
      </c>
      <c r="P118" s="124" t="n">
        <f aca="false">D118/P$3</f>
        <v>0.310988</v>
      </c>
      <c r="Q118" s="124" t="n">
        <f aca="false">E118/P$3</f>
        <v>0</v>
      </c>
      <c r="R118" s="124" t="n">
        <f aca="false">F118/R$3</f>
        <v>0</v>
      </c>
      <c r="S118" s="126" t="n">
        <f aca="false">J118/$R$3</f>
        <v>12.762</v>
      </c>
      <c r="T118" s="126" t="n">
        <f aca="false">L118/$R$3</f>
        <v>0</v>
      </c>
      <c r="U118" s="126" t="n">
        <f aca="false">I118/$R$3</f>
        <v>2092.527</v>
      </c>
      <c r="V118" s="126" t="n">
        <f aca="false">M118/$R$3</f>
        <v>2092.527</v>
      </c>
      <c r="W118" s="126" t="n">
        <f aca="false">N118/$R$3</f>
        <v>10703.811</v>
      </c>
    </row>
    <row r="119" customFormat="false" ht="12.75" hidden="true" customHeight="false" outlineLevel="0" collapsed="false">
      <c r="A119" s="120" t="n">
        <f aca="false">A118+1</f>
        <v>37005</v>
      </c>
      <c r="B119" s="131" t="str">
        <f aca="false">INDEX('Master Data'!$A$2:$B$8,MATCH(WEEKDAY('BRA Power'!A119,3),'Master Data'!$A$2:$A$8,0),2)</f>
        <v>T</v>
      </c>
      <c r="D119" s="124" t="n">
        <v>311126</v>
      </c>
      <c r="E119" s="124" t="n">
        <v>0</v>
      </c>
      <c r="F119" s="124" t="n">
        <v>0</v>
      </c>
      <c r="G119" s="124" t="n">
        <v>2096786</v>
      </c>
      <c r="I119" s="124" t="n">
        <f aca="false">IF(MONTH($A119)=MONTH($A118),IF(G119=0,I118,G119),G119)</f>
        <v>2096786</v>
      </c>
      <c r="J119" s="124" t="n">
        <f aca="false">IF(MONTH($A119)=MONTH($A118),SUM(I119-I118),I119)</f>
        <v>4259</v>
      </c>
      <c r="K119" s="124" t="n">
        <f aca="false">IF(WEEKDAY(A119,3)&gt;4,0,(IF(A119&lt;K$2,0,IF(A119&lt;=K$3,1,0))))</f>
        <v>0</v>
      </c>
      <c r="L119" s="124" t="n">
        <f aca="false">J119*K119</f>
        <v>0</v>
      </c>
      <c r="M119" s="124" t="n">
        <f aca="false">SUM(J$97:J119)</f>
        <v>2096786</v>
      </c>
      <c r="N119" s="124" t="n">
        <f aca="false">SUM(J$6:J119)</f>
        <v>10708070</v>
      </c>
      <c r="P119" s="124" t="n">
        <f aca="false">D119/P$3</f>
        <v>0.311126</v>
      </c>
      <c r="Q119" s="124" t="n">
        <f aca="false">E119/P$3</f>
        <v>0</v>
      </c>
      <c r="R119" s="124" t="n">
        <f aca="false">F119/R$3</f>
        <v>0</v>
      </c>
      <c r="S119" s="126" t="n">
        <f aca="false">J119/$R$3</f>
        <v>4.259</v>
      </c>
      <c r="T119" s="126" t="n">
        <f aca="false">L119/$R$3</f>
        <v>0</v>
      </c>
      <c r="U119" s="126" t="n">
        <f aca="false">I119/$R$3</f>
        <v>2096.786</v>
      </c>
      <c r="V119" s="126" t="n">
        <f aca="false">M119/$R$3</f>
        <v>2096.786</v>
      </c>
      <c r="W119" s="126" t="n">
        <f aca="false">N119/$R$3</f>
        <v>10708.07</v>
      </c>
    </row>
    <row r="120" customFormat="false" ht="12.75" hidden="true" customHeight="false" outlineLevel="0" collapsed="false">
      <c r="A120" s="120" t="n">
        <f aca="false">A119+1</f>
        <v>37006</v>
      </c>
      <c r="B120" s="131" t="str">
        <f aca="false">INDEX('Master Data'!$A$2:$B$8,MATCH(WEEKDAY('BRA Power'!A120,3),'Master Data'!$A$2:$A$8,0),2)</f>
        <v>W</v>
      </c>
      <c r="D120" s="124" t="n">
        <v>311264</v>
      </c>
      <c r="E120" s="124" t="n">
        <v>0</v>
      </c>
      <c r="F120" s="124" t="n">
        <v>0</v>
      </c>
      <c r="G120" s="124" t="n">
        <v>2101045</v>
      </c>
      <c r="I120" s="124" t="n">
        <f aca="false">IF(MONTH($A120)=MONTH($A119),IF(G120=0,I119,G120),G120)</f>
        <v>2101045</v>
      </c>
      <c r="J120" s="124" t="n">
        <f aca="false">IF(MONTH($A120)=MONTH($A119),SUM(I120-I119),I120)</f>
        <v>4259</v>
      </c>
      <c r="K120" s="124" t="n">
        <f aca="false">IF(WEEKDAY(A120,3)&gt;4,0,(IF(A120&lt;K$2,0,IF(A120&lt;=K$3,1,0))))</f>
        <v>0</v>
      </c>
      <c r="L120" s="124" t="n">
        <f aca="false">J120*K120</f>
        <v>0</v>
      </c>
      <c r="M120" s="124" t="n">
        <f aca="false">SUM(J$97:J120)</f>
        <v>2101045</v>
      </c>
      <c r="N120" s="124" t="n">
        <f aca="false">SUM(J$6:J120)</f>
        <v>10712329</v>
      </c>
      <c r="P120" s="124" t="n">
        <f aca="false">D120/P$3</f>
        <v>0.311264</v>
      </c>
      <c r="Q120" s="124" t="n">
        <f aca="false">E120/P$3</f>
        <v>0</v>
      </c>
      <c r="R120" s="124" t="n">
        <f aca="false">F120/R$3</f>
        <v>0</v>
      </c>
      <c r="S120" s="126" t="n">
        <f aca="false">J120/$R$3</f>
        <v>4.259</v>
      </c>
      <c r="T120" s="126" t="n">
        <f aca="false">L120/$R$3</f>
        <v>0</v>
      </c>
      <c r="U120" s="126" t="n">
        <f aca="false">I120/$R$3</f>
        <v>2101.045</v>
      </c>
      <c r="V120" s="126" t="n">
        <f aca="false">M120/$R$3</f>
        <v>2101.045</v>
      </c>
      <c r="W120" s="126" t="n">
        <f aca="false">N120/$R$3</f>
        <v>10712.329</v>
      </c>
    </row>
    <row r="121" customFormat="false" ht="12.75" hidden="true" customHeight="false" outlineLevel="0" collapsed="false">
      <c r="A121" s="120" t="n">
        <f aca="false">A120+1</f>
        <v>37007</v>
      </c>
      <c r="B121" s="131" t="str">
        <f aca="false">INDEX('Master Data'!$A$2:$B$8,MATCH(WEEKDAY('BRA Power'!A121,3),'Master Data'!$A$2:$A$8,0),2)</f>
        <v>Th</v>
      </c>
      <c r="D121" s="124" t="n">
        <v>311402</v>
      </c>
      <c r="E121" s="124" t="n">
        <v>0</v>
      </c>
      <c r="F121" s="124" t="n">
        <v>0</v>
      </c>
      <c r="G121" s="124" t="n">
        <v>2105307</v>
      </c>
      <c r="I121" s="124" t="n">
        <f aca="false">IF(MONTH($A121)=MONTH($A120),IF(G121=0,I120,G121),G121)</f>
        <v>2105307</v>
      </c>
      <c r="J121" s="124" t="n">
        <f aca="false">IF(MONTH($A121)=MONTH($A120),SUM(I121-I120),I121)</f>
        <v>4262</v>
      </c>
      <c r="K121" s="124" t="n">
        <f aca="false">IF(WEEKDAY(A121,3)&gt;4,0,(IF(A121&lt;K$2,0,IF(A121&lt;=K$3,1,0))))</f>
        <v>0</v>
      </c>
      <c r="L121" s="124" t="n">
        <f aca="false">J121*K121</f>
        <v>0</v>
      </c>
      <c r="M121" s="124" t="n">
        <f aca="false">SUM(J$97:J121)</f>
        <v>2105307</v>
      </c>
      <c r="N121" s="124" t="n">
        <f aca="false">SUM(J$6:J121)</f>
        <v>10716591</v>
      </c>
      <c r="P121" s="124" t="n">
        <f aca="false">D121/P$3</f>
        <v>0.311402</v>
      </c>
      <c r="Q121" s="124" t="n">
        <f aca="false">E121/P$3</f>
        <v>0</v>
      </c>
      <c r="R121" s="124" t="n">
        <f aca="false">F121/R$3</f>
        <v>0</v>
      </c>
      <c r="S121" s="126" t="n">
        <f aca="false">J121/$R$3</f>
        <v>4.262</v>
      </c>
      <c r="T121" s="126" t="n">
        <f aca="false">L121/$R$3</f>
        <v>0</v>
      </c>
      <c r="U121" s="126" t="n">
        <f aca="false">I121/$R$3</f>
        <v>2105.307</v>
      </c>
      <c r="V121" s="126" t="n">
        <f aca="false">M121/$R$3</f>
        <v>2105.307</v>
      </c>
      <c r="W121" s="126" t="n">
        <f aca="false">N121/$R$3</f>
        <v>10716.591</v>
      </c>
    </row>
    <row r="122" customFormat="false" ht="12.75" hidden="true" customHeight="false" outlineLevel="0" collapsed="false">
      <c r="A122" s="120" t="n">
        <f aca="false">A121+1</f>
        <v>37008</v>
      </c>
      <c r="B122" s="131" t="str">
        <f aca="false">INDEX('Master Data'!$A$2:$B$8,MATCH(WEEKDAY('BRA Power'!A122,3),'Master Data'!$A$2:$A$8,0),2)</f>
        <v>F</v>
      </c>
      <c r="D122" s="124" t="n">
        <v>311540</v>
      </c>
      <c r="E122" s="124" t="n">
        <v>0</v>
      </c>
      <c r="F122" s="124" t="n">
        <v>0</v>
      </c>
      <c r="G122" s="124" t="n">
        <v>2109571</v>
      </c>
      <c r="I122" s="124" t="n">
        <f aca="false">IF(MONTH($A122)=MONTH($A121),IF(G122=0,I121,G122),G122)</f>
        <v>2109571</v>
      </c>
      <c r="J122" s="124" t="n">
        <f aca="false">IF(MONTH($A122)=MONTH($A121),SUM(I122-I121),I122)</f>
        <v>4264</v>
      </c>
      <c r="K122" s="124" t="n">
        <f aca="false">IF(WEEKDAY(A122,3)&gt;4,0,(IF(A122&lt;K$2,0,IF(A122&lt;=K$3,1,0))))</f>
        <v>0</v>
      </c>
      <c r="L122" s="124" t="n">
        <f aca="false">J122*K122</f>
        <v>0</v>
      </c>
      <c r="M122" s="124" t="n">
        <f aca="false">SUM(J$97:J122)</f>
        <v>2109571</v>
      </c>
      <c r="N122" s="124" t="n">
        <f aca="false">SUM(J$6:J122)</f>
        <v>10720855</v>
      </c>
      <c r="P122" s="124" t="n">
        <f aca="false">D122/P$3</f>
        <v>0.31154</v>
      </c>
      <c r="Q122" s="124" t="n">
        <f aca="false">E122/P$3</f>
        <v>0</v>
      </c>
      <c r="R122" s="124" t="n">
        <f aca="false">F122/R$3</f>
        <v>0</v>
      </c>
      <c r="S122" s="126" t="n">
        <f aca="false">J122/$R$3</f>
        <v>4.264</v>
      </c>
      <c r="T122" s="126" t="n">
        <f aca="false">L122/$R$3</f>
        <v>0</v>
      </c>
      <c r="U122" s="126" t="n">
        <f aca="false">I122/$R$3</f>
        <v>2109.571</v>
      </c>
      <c r="V122" s="126" t="n">
        <f aca="false">M122/$R$3</f>
        <v>2109.571</v>
      </c>
      <c r="W122" s="126" t="n">
        <f aca="false">N122/$R$3</f>
        <v>10720.855</v>
      </c>
    </row>
    <row r="123" customFormat="false" ht="12.75" hidden="true" customHeight="false" outlineLevel="0" collapsed="false">
      <c r="A123" s="120" t="n">
        <f aca="false">A122+1</f>
        <v>37009</v>
      </c>
      <c r="B123" s="131" t="str">
        <f aca="false">INDEX('Master Data'!$A$2:$B$8,MATCH(WEEKDAY('BRA Power'!A123,3),'Master Data'!$A$2:$A$8,0),2)</f>
        <v>Sa</v>
      </c>
      <c r="D123" s="124" t="n">
        <v>0</v>
      </c>
      <c r="E123" s="124" t="n">
        <v>0</v>
      </c>
      <c r="F123" s="124" t="n">
        <v>0</v>
      </c>
      <c r="G123" s="124" t="n">
        <v>0</v>
      </c>
      <c r="I123" s="124" t="n">
        <f aca="false">IF(MONTH($A123)=MONTH($A122),IF(G123=0,I122,G123),G123)</f>
        <v>2109571</v>
      </c>
      <c r="J123" s="124" t="n">
        <f aca="false">IF(MONTH($A123)=MONTH($A122),SUM(I123-I122),I123)</f>
        <v>0</v>
      </c>
      <c r="K123" s="124" t="n">
        <f aca="false">IF(WEEKDAY(A123,3)&gt;4,0,(IF(A123&lt;K$2,0,IF(A123&lt;=K$3,1,0))))</f>
        <v>0</v>
      </c>
      <c r="L123" s="124" t="n">
        <f aca="false">J123*K123</f>
        <v>0</v>
      </c>
      <c r="M123" s="124" t="n">
        <f aca="false">SUM(J$97:J123)</f>
        <v>2109571</v>
      </c>
      <c r="N123" s="124" t="n">
        <f aca="false">SUM(J$6:J123)</f>
        <v>10720855</v>
      </c>
      <c r="P123" s="124" t="n">
        <f aca="false">D123/P$3</f>
        <v>0</v>
      </c>
      <c r="Q123" s="124" t="n">
        <f aca="false">E123/P$3</f>
        <v>0</v>
      </c>
      <c r="R123" s="124" t="n">
        <f aca="false">F123/R$3</f>
        <v>0</v>
      </c>
      <c r="S123" s="126" t="n">
        <f aca="false">J123/$R$3</f>
        <v>0</v>
      </c>
      <c r="T123" s="126" t="n">
        <f aca="false">L123/$R$3</f>
        <v>0</v>
      </c>
      <c r="U123" s="126" t="n">
        <f aca="false">I123/$R$3</f>
        <v>2109.571</v>
      </c>
      <c r="V123" s="126" t="n">
        <f aca="false">M123/$R$3</f>
        <v>2109.571</v>
      </c>
      <c r="W123" s="126" t="n">
        <f aca="false">N123/$R$3</f>
        <v>10720.855</v>
      </c>
    </row>
    <row r="124" customFormat="false" ht="12.75" hidden="true" customHeight="false" outlineLevel="0" collapsed="false">
      <c r="A124" s="120" t="n">
        <f aca="false">A123+1</f>
        <v>37010</v>
      </c>
      <c r="B124" s="131" t="str">
        <f aca="false">INDEX('Master Data'!$A$2:$B$8,MATCH(WEEKDAY('BRA Power'!A124,3),'Master Data'!$A$2:$A$8,0),2)</f>
        <v>Su</v>
      </c>
      <c r="D124" s="124" t="n">
        <v>0</v>
      </c>
      <c r="E124" s="124" t="n">
        <v>0</v>
      </c>
      <c r="F124" s="124" t="n">
        <v>0</v>
      </c>
      <c r="G124" s="124" t="n">
        <v>0</v>
      </c>
      <c r="I124" s="124" t="n">
        <f aca="false">IF(MONTH($A124)=MONTH($A123),IF(G124=0,I123,G124),G124)</f>
        <v>2109571</v>
      </c>
      <c r="J124" s="124" t="n">
        <f aca="false">IF(MONTH($A124)=MONTH($A123),SUM(I124-I123),I124)</f>
        <v>0</v>
      </c>
      <c r="K124" s="124" t="n">
        <f aca="false">IF(WEEKDAY(A124,3)&gt;4,0,(IF(A124&lt;K$2,0,IF(A124&lt;=K$3,1,0))))</f>
        <v>0</v>
      </c>
      <c r="L124" s="124" t="n">
        <f aca="false">J124*K124</f>
        <v>0</v>
      </c>
      <c r="M124" s="124" t="n">
        <f aca="false">SUM(J$97:J124)</f>
        <v>2109571</v>
      </c>
      <c r="N124" s="124" t="n">
        <f aca="false">SUM(J$6:J124)</f>
        <v>10720855</v>
      </c>
      <c r="P124" s="124" t="n">
        <f aca="false">D124/P$3</f>
        <v>0</v>
      </c>
      <c r="Q124" s="124" t="n">
        <f aca="false">E124/P$3</f>
        <v>0</v>
      </c>
      <c r="R124" s="124" t="n">
        <f aca="false">F124/R$3</f>
        <v>0</v>
      </c>
      <c r="S124" s="126" t="n">
        <f aca="false">J124/$R$3</f>
        <v>0</v>
      </c>
      <c r="T124" s="126" t="n">
        <f aca="false">L124/$R$3</f>
        <v>0</v>
      </c>
      <c r="U124" s="126" t="n">
        <f aca="false">I124/$R$3</f>
        <v>2109.571</v>
      </c>
      <c r="V124" s="126" t="n">
        <f aca="false">M124/$R$3</f>
        <v>2109.571</v>
      </c>
      <c r="W124" s="126" t="n">
        <f aca="false">N124/$R$3</f>
        <v>10720.855</v>
      </c>
    </row>
    <row r="125" customFormat="false" ht="12.75" hidden="false" customHeight="false" outlineLevel="0" collapsed="false">
      <c r="A125" s="120" t="n">
        <f aca="false">A124+1</f>
        <v>37011</v>
      </c>
      <c r="B125" s="131" t="str">
        <f aca="false">INDEX('Master Data'!$A$2:$B$8,MATCH(WEEKDAY('BRA Power'!A125,3),'Master Data'!$A$2:$A$8,0),2)</f>
        <v>M</v>
      </c>
      <c r="D125" s="124" t="n">
        <v>285015</v>
      </c>
      <c r="E125" s="124" t="n">
        <v>0</v>
      </c>
      <c r="F125" s="124" t="n">
        <v>0</v>
      </c>
      <c r="G125" s="124" t="n">
        <f aca="false">1667985-1133</f>
        <v>1666852</v>
      </c>
      <c r="I125" s="124" t="n">
        <f aca="false">IF(MONTH($A125)=MONTH($A124),IF(G125=0,I124,G125),G125)</f>
        <v>1666852</v>
      </c>
      <c r="J125" s="124" t="n">
        <f aca="false">IF(MONTH($A125)=MONTH($A124),SUM(I125-I124),I125)</f>
        <v>-442719</v>
      </c>
      <c r="K125" s="124" t="n">
        <f aca="false">IF(WEEKDAY(A125,3)&gt;4,0,(IF(A125&lt;K$2,0,IF(A125&lt;=K$3,1,0))))</f>
        <v>0</v>
      </c>
      <c r="L125" s="124" t="n">
        <f aca="false">J125*K125</f>
        <v>-0</v>
      </c>
      <c r="M125" s="124" t="n">
        <f aca="false">SUM(J$97:J125)</f>
        <v>1666852</v>
      </c>
      <c r="N125" s="124" t="n">
        <f aca="false">SUM(J$6:J125)</f>
        <v>10278136</v>
      </c>
      <c r="P125" s="124" t="n">
        <f aca="false">D125/P$3</f>
        <v>0.285015</v>
      </c>
      <c r="Q125" s="124" t="n">
        <f aca="false">E125/P$3</f>
        <v>0</v>
      </c>
      <c r="R125" s="124" t="n">
        <f aca="false">F125/R$3</f>
        <v>0</v>
      </c>
      <c r="S125" s="126" t="n">
        <f aca="false">J125/$R$3</f>
        <v>-442.719</v>
      </c>
      <c r="T125" s="126" t="n">
        <f aca="false">L125/$R$3</f>
        <v>-0</v>
      </c>
      <c r="U125" s="126" t="n">
        <f aca="false">I125/$R$3</f>
        <v>1666.852</v>
      </c>
      <c r="V125" s="126" t="n">
        <f aca="false">M125/$R$3</f>
        <v>1666.852</v>
      </c>
      <c r="W125" s="126" t="n">
        <f aca="false">N125/$R$3</f>
        <v>10278.136</v>
      </c>
    </row>
    <row r="126" customFormat="false" ht="12.75" hidden="true" customHeight="false" outlineLevel="0" collapsed="false">
      <c r="A126" s="120" t="n">
        <f aca="false">A125+1</f>
        <v>37012</v>
      </c>
      <c r="B126" s="131" t="str">
        <f aca="false">INDEX('Master Data'!$A$2:$B$8,MATCH(WEEKDAY('BRA Power'!A126,3),'Master Data'!$A$2:$A$8,0),2)</f>
        <v>T</v>
      </c>
      <c r="D126" s="124" t="n">
        <v>285162</v>
      </c>
      <c r="E126" s="124" t="n">
        <v>0</v>
      </c>
      <c r="F126" s="124" t="n">
        <v>0</v>
      </c>
      <c r="G126" s="124" t="n">
        <v>4427</v>
      </c>
      <c r="I126" s="124" t="n">
        <f aca="false">IF(MONTH($A126)=MONTH($A125),IF(G126=0,I125,G126),G126)</f>
        <v>4427</v>
      </c>
      <c r="J126" s="124" t="n">
        <f aca="false">IF(MONTH($A126)=MONTH($A125),SUM(I126-I125),I126)</f>
        <v>4427</v>
      </c>
      <c r="K126" s="124" t="n">
        <f aca="false">IF(WEEKDAY(A126,3)&gt;4,0,(IF(A126&lt;K$2,0,IF(A126&lt;=K$3,1,0))))</f>
        <v>0</v>
      </c>
      <c r="L126" s="124" t="n">
        <f aca="false">J126*K126</f>
        <v>0</v>
      </c>
      <c r="M126" s="124" t="n">
        <f aca="false">SUM(J$97:J126)</f>
        <v>1671279</v>
      </c>
      <c r="N126" s="124" t="n">
        <f aca="false">SUM(J$6:J126)</f>
        <v>10282563</v>
      </c>
      <c r="P126" s="124" t="n">
        <f aca="false">D126/P$3</f>
        <v>0.285162</v>
      </c>
      <c r="Q126" s="124" t="n">
        <f aca="false">E126/P$3</f>
        <v>0</v>
      </c>
      <c r="R126" s="124" t="n">
        <f aca="false">F126/R$3</f>
        <v>0</v>
      </c>
      <c r="S126" s="126" t="n">
        <f aca="false">J126/$R$3</f>
        <v>4.427</v>
      </c>
      <c r="T126" s="126" t="n">
        <f aca="false">L126/$R$3</f>
        <v>0</v>
      </c>
      <c r="U126" s="126" t="n">
        <f aca="false">I126/$R$3</f>
        <v>4.427</v>
      </c>
      <c r="V126" s="126" t="n">
        <f aca="false">M126/$R$3</f>
        <v>1671.279</v>
      </c>
      <c r="W126" s="126" t="n">
        <f aca="false">N126/$R$3</f>
        <v>10282.563</v>
      </c>
    </row>
    <row r="127" customFormat="false" ht="12.75" hidden="true" customHeight="false" outlineLevel="0" collapsed="false">
      <c r="A127" s="120" t="n">
        <f aca="false">A126+1</f>
        <v>37013</v>
      </c>
      <c r="B127" s="131" t="str">
        <f aca="false">INDEX('Master Data'!$A$2:$B$8,MATCH(WEEKDAY('BRA Power'!A127,3),'Master Data'!$A$2:$A$8,0),2)</f>
        <v>W</v>
      </c>
      <c r="D127" s="124" t="n">
        <v>340528</v>
      </c>
      <c r="E127" s="124" t="n">
        <v>0</v>
      </c>
      <c r="F127" s="124" t="n">
        <v>0</v>
      </c>
      <c r="G127" s="153" t="n">
        <f aca="false">1438426-100000</f>
        <v>1338426</v>
      </c>
      <c r="I127" s="124" t="n">
        <f aca="false">IF(MONTH($A127)=MONTH($A126),IF(G127=0,I126,G127),G127)</f>
        <v>1338426</v>
      </c>
      <c r="J127" s="124" t="n">
        <f aca="false">IF(MONTH($A127)=MONTH($A126),SUM(I127-I126),I127)</f>
        <v>1333999</v>
      </c>
      <c r="K127" s="124" t="n">
        <f aca="false">IF(WEEKDAY(A127,3)&gt;4,0,(IF(A127&lt;K$2,0,IF(A127&lt;=K$3,1,0))))</f>
        <v>0</v>
      </c>
      <c r="L127" s="124" t="n">
        <f aca="false">J127*K127</f>
        <v>0</v>
      </c>
      <c r="M127" s="124" t="n">
        <f aca="false">SUM(J$97:J127)</f>
        <v>3005278</v>
      </c>
      <c r="N127" s="124" t="n">
        <f aca="false">SUM(J$6:J127)</f>
        <v>11616562</v>
      </c>
      <c r="P127" s="124" t="n">
        <f aca="false">D127/P$3</f>
        <v>0.340528</v>
      </c>
      <c r="Q127" s="124" t="n">
        <f aca="false">E127/P$3</f>
        <v>0</v>
      </c>
      <c r="R127" s="124" t="n">
        <f aca="false">F127/R$3</f>
        <v>0</v>
      </c>
      <c r="S127" s="126" t="n">
        <f aca="false">J127/$R$3</f>
        <v>1333.999</v>
      </c>
      <c r="T127" s="126" t="n">
        <f aca="false">L127/$R$3</f>
        <v>0</v>
      </c>
      <c r="U127" s="126" t="n">
        <f aca="false">I127/$R$3</f>
        <v>1338.426</v>
      </c>
      <c r="V127" s="126" t="n">
        <f aca="false">M127/$R$3</f>
        <v>3005.278</v>
      </c>
      <c r="W127" s="126" t="n">
        <f aca="false">N127/$R$3</f>
        <v>11616.562</v>
      </c>
    </row>
    <row r="128" customFormat="false" ht="12.75" hidden="true" customHeight="false" outlineLevel="0" collapsed="false">
      <c r="A128" s="120" t="n">
        <f aca="false">A127+1</f>
        <v>37014</v>
      </c>
      <c r="B128" s="131" t="str">
        <f aca="false">INDEX('Master Data'!$A$2:$B$8,MATCH(WEEKDAY('BRA Power'!A128,3),'Master Data'!$A$2:$A$8,0),2)</f>
        <v>Th</v>
      </c>
      <c r="D128" s="124" t="n">
        <v>340697</v>
      </c>
      <c r="E128" s="124" t="n">
        <v>0</v>
      </c>
      <c r="F128" s="124" t="n">
        <v>0</v>
      </c>
      <c r="G128" s="124" t="n">
        <f aca="false">1443091-100000</f>
        <v>1343091</v>
      </c>
      <c r="I128" s="124" t="n">
        <f aca="false">IF(MONTH($A128)=MONTH($A127),IF(G128=0,I127,G128),G128)</f>
        <v>1343091</v>
      </c>
      <c r="J128" s="124" t="n">
        <f aca="false">IF(MONTH($A128)=MONTH($A127),SUM(I128-I127),I128)</f>
        <v>4665</v>
      </c>
      <c r="K128" s="124" t="n">
        <f aca="false">IF(WEEKDAY(A128,3)&gt;4,0,(IF(A128&lt;K$2,0,IF(A128&lt;=K$3,1,0))))</f>
        <v>0</v>
      </c>
      <c r="L128" s="124" t="n">
        <f aca="false">J128*K128</f>
        <v>0</v>
      </c>
      <c r="M128" s="124" t="n">
        <f aca="false">SUM(J$97:J128)</f>
        <v>3009943</v>
      </c>
      <c r="N128" s="124" t="n">
        <f aca="false">SUM(J$6:J128)</f>
        <v>11621227</v>
      </c>
      <c r="P128" s="124" t="n">
        <f aca="false">D128/P$3</f>
        <v>0.340697</v>
      </c>
      <c r="Q128" s="124" t="n">
        <f aca="false">E128/P$3</f>
        <v>0</v>
      </c>
      <c r="R128" s="124" t="n">
        <f aca="false">F128/R$3</f>
        <v>0</v>
      </c>
      <c r="S128" s="126" t="n">
        <f aca="false">J128/$R$3</f>
        <v>4.665</v>
      </c>
      <c r="T128" s="126" t="n">
        <f aca="false">L128/$R$3</f>
        <v>0</v>
      </c>
      <c r="U128" s="126" t="n">
        <f aca="false">I128/$R$3</f>
        <v>1343.091</v>
      </c>
      <c r="V128" s="126" t="n">
        <f aca="false">M128/$R$3</f>
        <v>3009.943</v>
      </c>
      <c r="W128" s="126" t="n">
        <f aca="false">N128/$R$3</f>
        <v>11621.227</v>
      </c>
    </row>
    <row r="129" customFormat="false" ht="12.75" hidden="true" customHeight="false" outlineLevel="0" collapsed="false">
      <c r="A129" s="120" t="n">
        <f aca="false">A128+1</f>
        <v>37015</v>
      </c>
      <c r="B129" s="131" t="str">
        <f aca="false">INDEX('Master Data'!$A$2:$B$8,MATCH(WEEKDAY('BRA Power'!A129,3),'Master Data'!$A$2:$A$8,0),2)</f>
        <v>F</v>
      </c>
      <c r="D129" s="124" t="n">
        <v>340866</v>
      </c>
      <c r="E129" s="124" t="n">
        <v>0</v>
      </c>
      <c r="F129" s="124" t="n">
        <v>0</v>
      </c>
      <c r="G129" s="124" t="n">
        <v>10877888</v>
      </c>
      <c r="I129" s="124" t="n">
        <f aca="false">IF(MONTH($A129)=MONTH($A128),IF(G129=0,I128,G129),G129)</f>
        <v>10877888</v>
      </c>
      <c r="J129" s="124" t="n">
        <f aca="false">IF(MONTH($A129)=MONTH($A128),SUM(I129-I128),I129)</f>
        <v>9534797</v>
      </c>
      <c r="K129" s="124" t="n">
        <f aca="false">IF(WEEKDAY(A129,3)&gt;4,0,(IF(A129&lt;K$2,0,IF(A129&lt;=K$3,1,0))))</f>
        <v>0</v>
      </c>
      <c r="L129" s="124" t="n">
        <f aca="false">J129*K129</f>
        <v>0</v>
      </c>
      <c r="M129" s="124" t="n">
        <f aca="false">SUM(J$97:J129)</f>
        <v>12544740</v>
      </c>
      <c r="N129" s="124" t="n">
        <f aca="false">SUM(J$6:J129)</f>
        <v>21156024</v>
      </c>
      <c r="P129" s="124" t="n">
        <f aca="false">D129/P$3</f>
        <v>0.340866</v>
      </c>
      <c r="Q129" s="124" t="n">
        <f aca="false">E129/P$3</f>
        <v>0</v>
      </c>
      <c r="R129" s="124" t="n">
        <f aca="false">F129/R$3</f>
        <v>0</v>
      </c>
      <c r="S129" s="126" t="n">
        <f aca="false">J129/$R$3</f>
        <v>9534.797</v>
      </c>
      <c r="T129" s="126" t="n">
        <f aca="false">L129/$R$3</f>
        <v>0</v>
      </c>
      <c r="U129" s="126" t="n">
        <f aca="false">I129/$R$3</f>
        <v>10877.888</v>
      </c>
      <c r="V129" s="126" t="n">
        <f aca="false">M129/$R$3</f>
        <v>12544.74</v>
      </c>
      <c r="W129" s="126" t="n">
        <f aca="false">N129/$R$3</f>
        <v>21156.024</v>
      </c>
    </row>
    <row r="130" customFormat="false" ht="12.75" hidden="true" customHeight="false" outlineLevel="0" collapsed="false">
      <c r="A130" s="120" t="n">
        <f aca="false">A129+1</f>
        <v>37016</v>
      </c>
      <c r="B130" s="131" t="str">
        <f aca="false">INDEX('Master Data'!$A$2:$B$8,MATCH(WEEKDAY('BRA Power'!A130,3),'Master Data'!$A$2:$A$8,0),2)</f>
        <v>Sa</v>
      </c>
      <c r="D130" s="124" t="n">
        <v>0</v>
      </c>
      <c r="E130" s="124" t="n">
        <v>0</v>
      </c>
      <c r="F130" s="124" t="n">
        <v>0</v>
      </c>
      <c r="G130" s="124" t="n">
        <v>0</v>
      </c>
      <c r="I130" s="124" t="n">
        <f aca="false">IF(MONTH($A130)=MONTH($A129),IF(G130=0,I129,G130),G130)</f>
        <v>10877888</v>
      </c>
      <c r="J130" s="124" t="n">
        <f aca="false">IF(MONTH($A130)=MONTH($A129),SUM(I130-I129),I130)</f>
        <v>0</v>
      </c>
      <c r="K130" s="124" t="n">
        <f aca="false">IF(WEEKDAY(A130,3)&gt;4,0,(IF(A130&lt;K$2,0,IF(A130&lt;=K$3,1,0))))</f>
        <v>0</v>
      </c>
      <c r="L130" s="124" t="n">
        <f aca="false">J130*K130</f>
        <v>0</v>
      </c>
      <c r="M130" s="124" t="n">
        <f aca="false">SUM(J$97:J130)</f>
        <v>12544740</v>
      </c>
      <c r="N130" s="124" t="n">
        <f aca="false">SUM(J$6:J130)</f>
        <v>21156024</v>
      </c>
      <c r="P130" s="124" t="n">
        <f aca="false">D130/P$3</f>
        <v>0</v>
      </c>
      <c r="Q130" s="124" t="n">
        <f aca="false">E130/P$3</f>
        <v>0</v>
      </c>
      <c r="R130" s="124" t="n">
        <f aca="false">F130/R$3</f>
        <v>0</v>
      </c>
      <c r="S130" s="126" t="n">
        <f aca="false">J130/$R$3</f>
        <v>0</v>
      </c>
      <c r="T130" s="126" t="n">
        <f aca="false">L130/$R$3</f>
        <v>0</v>
      </c>
      <c r="U130" s="126" t="n">
        <f aca="false">I130/$R$3</f>
        <v>10877.888</v>
      </c>
      <c r="V130" s="126" t="n">
        <f aca="false">M130/$R$3</f>
        <v>12544.74</v>
      </c>
      <c r="W130" s="126" t="n">
        <f aca="false">N130/$R$3</f>
        <v>21156.024</v>
      </c>
    </row>
    <row r="131" customFormat="false" ht="12.75" hidden="true" customHeight="false" outlineLevel="0" collapsed="false">
      <c r="A131" s="120" t="n">
        <f aca="false">A130+1</f>
        <v>37017</v>
      </c>
      <c r="B131" s="131" t="str">
        <f aca="false">INDEX('Master Data'!$A$2:$B$8,MATCH(WEEKDAY('BRA Power'!A131,3),'Master Data'!$A$2:$A$8,0),2)</f>
        <v>Su</v>
      </c>
      <c r="D131" s="124" t="n">
        <v>0</v>
      </c>
      <c r="E131" s="124" t="n">
        <v>0</v>
      </c>
      <c r="F131" s="124" t="n">
        <v>0</v>
      </c>
      <c r="G131" s="124" t="n">
        <v>0</v>
      </c>
      <c r="I131" s="124" t="n">
        <f aca="false">IF(MONTH($A131)=MONTH($A130),IF(G131=0,I130,G131),G131)</f>
        <v>10877888</v>
      </c>
      <c r="J131" s="124" t="n">
        <f aca="false">IF(MONTH($A131)=MONTH($A130),SUM(I131-I130),I131)</f>
        <v>0</v>
      </c>
      <c r="K131" s="124" t="n">
        <f aca="false">IF(WEEKDAY(A131,3)&gt;4,0,(IF(A131&lt;K$2,0,IF(A131&lt;=K$3,1,0))))</f>
        <v>0</v>
      </c>
      <c r="L131" s="124" t="n">
        <f aca="false">J131*K131</f>
        <v>0</v>
      </c>
      <c r="M131" s="124" t="n">
        <f aca="false">SUM(J$97:J131)</f>
        <v>12544740</v>
      </c>
      <c r="N131" s="124" t="n">
        <f aca="false">SUM(J$6:J131)</f>
        <v>21156024</v>
      </c>
      <c r="P131" s="124" t="n">
        <f aca="false">D131/P$3</f>
        <v>0</v>
      </c>
      <c r="Q131" s="124" t="n">
        <f aca="false">E131/P$3</f>
        <v>0</v>
      </c>
      <c r="R131" s="124" t="n">
        <f aca="false">F131/R$3</f>
        <v>0</v>
      </c>
      <c r="S131" s="126" t="n">
        <f aca="false">J131/$R$3</f>
        <v>0</v>
      </c>
      <c r="T131" s="126" t="n">
        <f aca="false">L131/$R$3</f>
        <v>0</v>
      </c>
      <c r="U131" s="126" t="n">
        <f aca="false">I131/$R$3</f>
        <v>10877.888</v>
      </c>
      <c r="V131" s="126" t="n">
        <f aca="false">M131/$R$3</f>
        <v>12544.74</v>
      </c>
      <c r="W131" s="126" t="n">
        <f aca="false">N131/$R$3</f>
        <v>21156.024</v>
      </c>
    </row>
    <row r="132" customFormat="false" ht="12.75" hidden="true" customHeight="false" outlineLevel="0" collapsed="false">
      <c r="A132" s="120" t="n">
        <f aca="false">A131+1</f>
        <v>37018</v>
      </c>
      <c r="B132" s="131" t="str">
        <f aca="false">INDEX('Master Data'!$A$2:$B$8,MATCH(WEEKDAY('BRA Power'!A132,3),'Master Data'!$A$2:$A$8,0),2)</f>
        <v>M</v>
      </c>
      <c r="D132" s="124" t="n">
        <v>341373</v>
      </c>
      <c r="E132" s="124" t="n">
        <v>0</v>
      </c>
      <c r="F132" s="124" t="n">
        <v>0</v>
      </c>
      <c r="G132" s="124" t="n">
        <f aca="false">11003481-100000</f>
        <v>10903481</v>
      </c>
      <c r="I132" s="124" t="n">
        <f aca="false">IF(MONTH($A132)=MONTH($A131),IF(G132=0,I131,G132),G132)</f>
        <v>10903481</v>
      </c>
      <c r="J132" s="124" t="n">
        <f aca="false">IF(MONTH($A132)=MONTH($A131),SUM(I132-I131),I132)</f>
        <v>25593</v>
      </c>
      <c r="K132" s="124" t="n">
        <f aca="false">IF(WEEKDAY(A132,3)&gt;4,0,(IF(A132&lt;K$2,0,IF(A132&lt;=K$3,1,0))))</f>
        <v>0</v>
      </c>
      <c r="L132" s="124" t="n">
        <f aca="false">J132*K132</f>
        <v>0</v>
      </c>
      <c r="M132" s="124" t="n">
        <f aca="false">SUM(J$97:J132)</f>
        <v>12570333</v>
      </c>
      <c r="N132" s="124" t="n">
        <f aca="false">SUM(J$6:J132)</f>
        <v>21181617</v>
      </c>
      <c r="P132" s="124" t="n">
        <f aca="false">D132/P$3</f>
        <v>0.341373</v>
      </c>
      <c r="Q132" s="124" t="n">
        <f aca="false">E132/P$3</f>
        <v>0</v>
      </c>
      <c r="R132" s="124" t="n">
        <f aca="false">F132/R$3</f>
        <v>0</v>
      </c>
      <c r="S132" s="126" t="n">
        <f aca="false">J132/$R$3</f>
        <v>25.593</v>
      </c>
      <c r="T132" s="126" t="n">
        <f aca="false">L132/$R$3</f>
        <v>0</v>
      </c>
      <c r="U132" s="126" t="n">
        <f aca="false">I132/$R$3</f>
        <v>10903.481</v>
      </c>
      <c r="V132" s="126" t="n">
        <f aca="false">M132/$R$3</f>
        <v>12570.333</v>
      </c>
      <c r="W132" s="126" t="n">
        <f aca="false">N132/$R$3</f>
        <v>21181.617</v>
      </c>
    </row>
    <row r="133" customFormat="false" ht="12.75" hidden="true" customHeight="false" outlineLevel="0" collapsed="false">
      <c r="A133" s="120" t="n">
        <f aca="false">A132+1</f>
        <v>37019</v>
      </c>
      <c r="B133" s="131" t="str">
        <f aca="false">INDEX('Master Data'!$A$2:$B$8,MATCH(WEEKDAY('BRA Power'!A133,3),'Master Data'!$A$2:$A$8,0),2)</f>
        <v>T</v>
      </c>
      <c r="D133" s="124" t="n">
        <v>341542</v>
      </c>
      <c r="E133" s="124" t="n">
        <v>0</v>
      </c>
      <c r="F133" s="124" t="n">
        <v>0</v>
      </c>
      <c r="G133" s="124" t="n">
        <f aca="false">11012019-100000</f>
        <v>10912019</v>
      </c>
      <c r="I133" s="124" t="n">
        <f aca="false">IF(MONTH($A133)=MONTH($A132),IF(G133=0,I132,G133),G133)</f>
        <v>10912019</v>
      </c>
      <c r="J133" s="124" t="n">
        <f aca="false">IF(MONTH($A133)=MONTH($A132),SUM(I133-I132),I133)</f>
        <v>8538</v>
      </c>
      <c r="K133" s="124" t="n">
        <f aca="false">IF(WEEKDAY(A133,3)&gt;4,0,(IF(A133&lt;K$2,0,IF(A133&lt;=K$3,1,0))))</f>
        <v>0</v>
      </c>
      <c r="L133" s="124" t="n">
        <f aca="false">J133*K133</f>
        <v>0</v>
      </c>
      <c r="M133" s="124" t="n">
        <f aca="false">SUM(J$97:J133)</f>
        <v>12578871</v>
      </c>
      <c r="N133" s="124" t="n">
        <f aca="false">SUM(J$6:J133)</f>
        <v>21190155</v>
      </c>
      <c r="P133" s="124" t="n">
        <f aca="false">D133/P$3</f>
        <v>0.341542</v>
      </c>
      <c r="Q133" s="124" t="n">
        <f aca="false">E133/P$3</f>
        <v>0</v>
      </c>
      <c r="R133" s="124" t="n">
        <f aca="false">F133/R$3</f>
        <v>0</v>
      </c>
      <c r="S133" s="126" t="n">
        <f aca="false">J133/$R$3</f>
        <v>8.538</v>
      </c>
      <c r="T133" s="126" t="n">
        <f aca="false">L133/$R$3</f>
        <v>0</v>
      </c>
      <c r="U133" s="126" t="n">
        <f aca="false">I133/$R$3</f>
        <v>10912.019</v>
      </c>
      <c r="V133" s="126" t="n">
        <f aca="false">M133/$R$3</f>
        <v>12578.871</v>
      </c>
      <c r="W133" s="126" t="n">
        <f aca="false">N133/$R$3</f>
        <v>21190.155</v>
      </c>
    </row>
    <row r="134" customFormat="false" ht="12.75" hidden="true" customHeight="false" outlineLevel="0" collapsed="false">
      <c r="A134" s="120" t="n">
        <f aca="false">A133+1</f>
        <v>37020</v>
      </c>
      <c r="B134" s="131" t="str">
        <f aca="false">INDEX('Master Data'!$A$2:$B$8,MATCH(WEEKDAY('BRA Power'!A134,3),'Master Data'!$A$2:$A$8,0),2)</f>
        <v>W</v>
      </c>
      <c r="D134" s="124" t="n">
        <v>341712</v>
      </c>
      <c r="E134" s="124" t="n">
        <v>0</v>
      </c>
      <c r="F134" s="124" t="n">
        <v>0</v>
      </c>
      <c r="G134" s="124" t="n">
        <f aca="false">11020564-100000</f>
        <v>10920564</v>
      </c>
      <c r="I134" s="124" t="n">
        <f aca="false">IF(MONTH($A134)=MONTH($A133),IF(G134=0,I133,G134),G134)</f>
        <v>10920564</v>
      </c>
      <c r="J134" s="124" t="n">
        <f aca="false">IF(MONTH($A134)=MONTH($A133),SUM(I134-I133),I134)</f>
        <v>8545</v>
      </c>
      <c r="K134" s="124" t="n">
        <f aca="false">IF(WEEKDAY(A134,3)&gt;4,0,(IF(A134&lt;K$2,0,IF(A134&lt;=K$3,1,0))))</f>
        <v>0</v>
      </c>
      <c r="L134" s="124" t="n">
        <f aca="false">J134*K134</f>
        <v>0</v>
      </c>
      <c r="M134" s="124" t="n">
        <f aca="false">SUM(J$97:J134)</f>
        <v>12587416</v>
      </c>
      <c r="N134" s="124" t="n">
        <f aca="false">SUM(J$6:J134)</f>
        <v>21198700</v>
      </c>
      <c r="P134" s="124" t="n">
        <f aca="false">D134/P$3</f>
        <v>0.341712</v>
      </c>
      <c r="Q134" s="124" t="n">
        <f aca="false">E134/P$3</f>
        <v>0</v>
      </c>
      <c r="R134" s="124" t="n">
        <f aca="false">F134/R$3</f>
        <v>0</v>
      </c>
      <c r="S134" s="126" t="n">
        <f aca="false">J134/$R$3</f>
        <v>8.545</v>
      </c>
      <c r="T134" s="126" t="n">
        <f aca="false">L134/$R$3</f>
        <v>0</v>
      </c>
      <c r="U134" s="126" t="n">
        <f aca="false">I134/$R$3</f>
        <v>10920.564</v>
      </c>
      <c r="V134" s="126" t="n">
        <f aca="false">M134/$R$3</f>
        <v>12587.416</v>
      </c>
      <c r="W134" s="126" t="n">
        <f aca="false">N134/$R$3</f>
        <v>21198.7</v>
      </c>
    </row>
    <row r="135" customFormat="false" ht="12.75" hidden="true" customHeight="false" outlineLevel="0" collapsed="false">
      <c r="A135" s="120" t="n">
        <f aca="false">A134+1</f>
        <v>37021</v>
      </c>
      <c r="B135" s="131" t="str">
        <f aca="false">INDEX('Master Data'!$A$2:$B$8,MATCH(WEEKDAY('BRA Power'!A135,3),'Master Data'!$A$2:$A$8,0),2)</f>
        <v>Th</v>
      </c>
      <c r="D135" s="124" t="n">
        <v>341881</v>
      </c>
      <c r="E135" s="124" t="n">
        <v>0</v>
      </c>
      <c r="F135" s="124" t="n">
        <v>0</v>
      </c>
      <c r="G135" s="124" t="n">
        <f aca="false">11029111-100000</f>
        <v>10929111</v>
      </c>
      <c r="I135" s="124" t="n">
        <f aca="false">IF(MONTH($A135)=MONTH($A134),IF(G135=0,I134,G135),G135)</f>
        <v>10929111</v>
      </c>
      <c r="J135" s="124" t="n">
        <f aca="false">IF(MONTH($A135)=MONTH($A134),SUM(I135-I134),I135)</f>
        <v>8547</v>
      </c>
      <c r="K135" s="124" t="n">
        <f aca="false">IF(WEEKDAY(A135,3)&gt;4,0,(IF(A135&lt;K$2,0,IF(A135&lt;=K$3,1,0))))</f>
        <v>0</v>
      </c>
      <c r="L135" s="124" t="n">
        <f aca="false">J135*K135</f>
        <v>0</v>
      </c>
      <c r="M135" s="124" t="n">
        <f aca="false">SUM(J$97:J135)</f>
        <v>12595963</v>
      </c>
      <c r="N135" s="124" t="n">
        <f aca="false">SUM(J$6:J135)</f>
        <v>21207247</v>
      </c>
      <c r="P135" s="124" t="n">
        <f aca="false">D135/P$3</f>
        <v>0.341881</v>
      </c>
      <c r="Q135" s="124" t="n">
        <f aca="false">E135/P$3</f>
        <v>0</v>
      </c>
      <c r="R135" s="124" t="n">
        <f aca="false">F135/R$3</f>
        <v>0</v>
      </c>
      <c r="S135" s="126" t="n">
        <f aca="false">J135/$R$3</f>
        <v>8.547</v>
      </c>
      <c r="T135" s="126" t="n">
        <f aca="false">L135/$R$3</f>
        <v>0</v>
      </c>
      <c r="U135" s="126" t="n">
        <f aca="false">I135/$R$3</f>
        <v>10929.111</v>
      </c>
      <c r="V135" s="126" t="n">
        <f aca="false">M135/$R$3</f>
        <v>12595.963</v>
      </c>
      <c r="W135" s="126" t="n">
        <f aca="false">N135/$R$3</f>
        <v>21207.247</v>
      </c>
    </row>
    <row r="136" customFormat="false" ht="12.75" hidden="true" customHeight="false" outlineLevel="0" collapsed="false">
      <c r="A136" s="120" t="n">
        <f aca="false">A135+1</f>
        <v>37022</v>
      </c>
      <c r="B136" s="131" t="str">
        <f aca="false">INDEX('Master Data'!$A$2:$B$8,MATCH(WEEKDAY('BRA Power'!A136,3),'Master Data'!$A$2:$A$8,0),2)</f>
        <v>F</v>
      </c>
      <c r="D136" s="124" t="n">
        <v>342051</v>
      </c>
      <c r="E136" s="124" t="n">
        <v>0</v>
      </c>
      <c r="F136" s="124" t="n">
        <v>0</v>
      </c>
      <c r="G136" s="124" t="n">
        <f aca="false">11037664-100000</f>
        <v>10937664</v>
      </c>
      <c r="I136" s="124" t="n">
        <f aca="false">IF(MONTH($A136)=MONTH($A135),IF(G136=0,I135,G136),G136)</f>
        <v>10937664</v>
      </c>
      <c r="J136" s="124" t="n">
        <f aca="false">IF(MONTH($A136)=MONTH($A135),SUM(I136-I135),I136)</f>
        <v>8553</v>
      </c>
      <c r="K136" s="124" t="n">
        <f aca="false">IF(WEEKDAY(A136,3)&gt;4,0,(IF(A136&lt;K$2,0,IF(A136&lt;=K$3,1,0))))</f>
        <v>0</v>
      </c>
      <c r="L136" s="124" t="n">
        <f aca="false">J136*K136</f>
        <v>0</v>
      </c>
      <c r="M136" s="124" t="n">
        <f aca="false">SUM(J$97:J136)</f>
        <v>12604516</v>
      </c>
      <c r="N136" s="124" t="n">
        <f aca="false">SUM(J$6:J136)</f>
        <v>21215800</v>
      </c>
      <c r="P136" s="124" t="n">
        <f aca="false">D136/P$3</f>
        <v>0.342051</v>
      </c>
      <c r="Q136" s="124" t="n">
        <f aca="false">E136/P$3</f>
        <v>0</v>
      </c>
      <c r="R136" s="124" t="n">
        <f aca="false">F136/R$3</f>
        <v>0</v>
      </c>
      <c r="S136" s="126" t="n">
        <f aca="false">J136/$R$3</f>
        <v>8.553</v>
      </c>
      <c r="T136" s="126" t="n">
        <f aca="false">L136/$R$3</f>
        <v>0</v>
      </c>
      <c r="U136" s="126" t="n">
        <f aca="false">I136/$R$3</f>
        <v>10937.664</v>
      </c>
      <c r="V136" s="126" t="n">
        <f aca="false">M136/$R$3</f>
        <v>12604.516</v>
      </c>
      <c r="W136" s="126" t="n">
        <f aca="false">N136/$R$3</f>
        <v>21215.8</v>
      </c>
    </row>
    <row r="137" customFormat="false" ht="12.75" hidden="true" customHeight="false" outlineLevel="0" collapsed="false">
      <c r="A137" s="120" t="n">
        <f aca="false">A136+1</f>
        <v>37023</v>
      </c>
      <c r="B137" s="131" t="str">
        <f aca="false">INDEX('Master Data'!$A$2:$B$8,MATCH(WEEKDAY('BRA Power'!A137,3),'Master Data'!$A$2:$A$8,0),2)</f>
        <v>Sa</v>
      </c>
      <c r="D137" s="124" t="n">
        <v>0</v>
      </c>
      <c r="E137" s="124" t="n">
        <v>0</v>
      </c>
      <c r="F137" s="124" t="n">
        <v>0</v>
      </c>
      <c r="G137" s="124" t="n">
        <v>0</v>
      </c>
      <c r="I137" s="124" t="n">
        <f aca="false">IF(MONTH($A137)=MONTH($A136),IF(G137=0,I136,G137),G137)</f>
        <v>10937664</v>
      </c>
      <c r="J137" s="124" t="n">
        <f aca="false">IF(MONTH($A137)=MONTH($A136),SUM(I137-I136),I137)</f>
        <v>0</v>
      </c>
      <c r="K137" s="124" t="n">
        <f aca="false">IF(WEEKDAY(A137,3)&gt;4,0,(IF(A137&lt;K$2,0,IF(A137&lt;=K$3,1,0))))</f>
        <v>0</v>
      </c>
      <c r="L137" s="124" t="n">
        <f aca="false">J137*K137</f>
        <v>0</v>
      </c>
      <c r="M137" s="124" t="n">
        <f aca="false">SUM(J$97:J137)</f>
        <v>12604516</v>
      </c>
      <c r="N137" s="124" t="n">
        <f aca="false">SUM(J$6:J137)</f>
        <v>21215800</v>
      </c>
      <c r="P137" s="124" t="n">
        <f aca="false">D137/P$3</f>
        <v>0</v>
      </c>
      <c r="Q137" s="124" t="n">
        <f aca="false">E137/P$3</f>
        <v>0</v>
      </c>
      <c r="R137" s="124" t="n">
        <f aca="false">F137/R$3</f>
        <v>0</v>
      </c>
      <c r="S137" s="126" t="n">
        <f aca="false">J137/$R$3</f>
        <v>0</v>
      </c>
      <c r="T137" s="126" t="n">
        <f aca="false">L137/$R$3</f>
        <v>0</v>
      </c>
      <c r="U137" s="126" t="n">
        <f aca="false">I137/$R$3</f>
        <v>10937.664</v>
      </c>
      <c r="V137" s="126" t="n">
        <f aca="false">M137/$R$3</f>
        <v>12604.516</v>
      </c>
      <c r="W137" s="126" t="n">
        <f aca="false">N137/$R$3</f>
        <v>21215.8</v>
      </c>
    </row>
    <row r="138" customFormat="false" ht="12.75" hidden="true" customHeight="false" outlineLevel="0" collapsed="false">
      <c r="A138" s="120" t="n">
        <f aca="false">A137+1</f>
        <v>37024</v>
      </c>
      <c r="B138" s="131" t="str">
        <f aca="false">INDEX('Master Data'!$A$2:$B$8,MATCH(WEEKDAY('BRA Power'!A138,3),'Master Data'!$A$2:$A$8,0),2)</f>
        <v>Su</v>
      </c>
      <c r="D138" s="124" t="n">
        <v>0</v>
      </c>
      <c r="E138" s="124" t="n">
        <v>0</v>
      </c>
      <c r="F138" s="124" t="n">
        <v>0</v>
      </c>
      <c r="G138" s="124" t="n">
        <v>0</v>
      </c>
      <c r="I138" s="124" t="n">
        <f aca="false">IF(MONTH($A138)=MONTH($A137),IF(G138=0,I137,G138),G138)</f>
        <v>10937664</v>
      </c>
      <c r="J138" s="124" t="n">
        <f aca="false">IF(MONTH($A138)=MONTH($A137),SUM(I138-I137),I138)</f>
        <v>0</v>
      </c>
      <c r="K138" s="124" t="n">
        <f aca="false">IF(WEEKDAY(A138,3)&gt;4,0,(IF(A138&lt;K$2,0,IF(A138&lt;=K$3,1,0))))</f>
        <v>0</v>
      </c>
      <c r="L138" s="124" t="n">
        <f aca="false">J138*K138</f>
        <v>0</v>
      </c>
      <c r="M138" s="124" t="n">
        <f aca="false">SUM(J$97:J138)</f>
        <v>12604516</v>
      </c>
      <c r="N138" s="124" t="n">
        <f aca="false">SUM(J$6:J138)</f>
        <v>21215800</v>
      </c>
      <c r="P138" s="124" t="n">
        <f aca="false">D138/P$3</f>
        <v>0</v>
      </c>
      <c r="Q138" s="124" t="n">
        <f aca="false">E138/P$3</f>
        <v>0</v>
      </c>
      <c r="R138" s="124" t="n">
        <f aca="false">F138/R$3</f>
        <v>0</v>
      </c>
      <c r="S138" s="126" t="n">
        <f aca="false">J138/$R$3</f>
        <v>0</v>
      </c>
      <c r="T138" s="126" t="n">
        <f aca="false">L138/$R$3</f>
        <v>0</v>
      </c>
      <c r="U138" s="126" t="n">
        <f aca="false">I138/$R$3</f>
        <v>10937.664</v>
      </c>
      <c r="V138" s="126" t="n">
        <f aca="false">M138/$R$3</f>
        <v>12604.516</v>
      </c>
      <c r="W138" s="126" t="n">
        <f aca="false">N138/$R$3</f>
        <v>21215.8</v>
      </c>
    </row>
    <row r="139" customFormat="false" ht="12.75" hidden="true" customHeight="false" outlineLevel="0" collapsed="false">
      <c r="A139" s="120" t="n">
        <f aca="false">A138+1</f>
        <v>37025</v>
      </c>
      <c r="B139" s="131" t="str">
        <f aca="false">INDEX('Master Data'!$A$2:$B$8,MATCH(WEEKDAY('BRA Power'!A139,3),'Master Data'!$A$2:$A$8,0),2)</f>
        <v>M</v>
      </c>
      <c r="D139" s="124" t="n">
        <v>342560</v>
      </c>
      <c r="E139" s="124" t="n">
        <v>0</v>
      </c>
      <c r="F139" s="124" t="n">
        <v>0</v>
      </c>
      <c r="G139" s="124" t="n">
        <f aca="false">11063346-100000</f>
        <v>10963346</v>
      </c>
      <c r="I139" s="124" t="n">
        <f aca="false">IF(MONTH($A139)=MONTH($A138),IF(G139=0,I138,G139),G139)</f>
        <v>10963346</v>
      </c>
      <c r="J139" s="124" t="n">
        <f aca="false">IF(MONTH($A139)=MONTH($A138),SUM(I139-I138),I139)</f>
        <v>25682</v>
      </c>
      <c r="K139" s="124" t="n">
        <f aca="false">IF(WEEKDAY(A139,3)&gt;4,0,(IF(A139&lt;K$2,0,IF(A139&lt;=K$3,1,0))))</f>
        <v>0</v>
      </c>
      <c r="L139" s="124" t="n">
        <f aca="false">J139*K139</f>
        <v>0</v>
      </c>
      <c r="M139" s="124" t="n">
        <f aca="false">SUM(J$97:J139)</f>
        <v>12630198</v>
      </c>
      <c r="N139" s="124" t="n">
        <f aca="false">SUM(J$6:J139)</f>
        <v>21241482</v>
      </c>
      <c r="P139" s="124" t="n">
        <f aca="false">D139/P$3</f>
        <v>0.34256</v>
      </c>
      <c r="Q139" s="124" t="n">
        <f aca="false">E139/P$3</f>
        <v>0</v>
      </c>
      <c r="R139" s="124" t="n">
        <f aca="false">F139/R$3</f>
        <v>0</v>
      </c>
      <c r="S139" s="126" t="n">
        <f aca="false">J139/$R$3</f>
        <v>25.682</v>
      </c>
      <c r="T139" s="126" t="n">
        <f aca="false">L139/$R$3</f>
        <v>0</v>
      </c>
      <c r="U139" s="126" t="n">
        <f aca="false">I139/$R$3</f>
        <v>10963.346</v>
      </c>
      <c r="V139" s="126" t="n">
        <f aca="false">M139/$R$3</f>
        <v>12630.198</v>
      </c>
      <c r="W139" s="126" t="n">
        <f aca="false">N139/$R$3</f>
        <v>21241.482</v>
      </c>
    </row>
    <row r="140" customFormat="false" ht="12.75" hidden="true" customHeight="false" outlineLevel="0" collapsed="false">
      <c r="A140" s="120" t="n">
        <f aca="false">A139+1</f>
        <v>37026</v>
      </c>
      <c r="B140" s="131" t="str">
        <f aca="false">INDEX('Master Data'!$A$2:$B$8,MATCH(WEEKDAY('BRA Power'!A140,3),'Master Data'!$A$2:$A$8,0),2)</f>
        <v>T</v>
      </c>
      <c r="D140" s="124" t="n">
        <v>342730</v>
      </c>
      <c r="E140" s="124" t="n">
        <v>0</v>
      </c>
      <c r="F140" s="124" t="n">
        <v>0</v>
      </c>
      <c r="G140" s="124" t="n">
        <f aca="false">11071916-100000</f>
        <v>10971916</v>
      </c>
      <c r="I140" s="124" t="n">
        <f aca="false">IF(MONTH($A140)=MONTH($A139),IF(G140=0,I139,G140),G140)</f>
        <v>10971916</v>
      </c>
      <c r="J140" s="124" t="n">
        <f aca="false">IF(MONTH($A140)=MONTH($A139),SUM(I140-I139),I140)</f>
        <v>8570</v>
      </c>
      <c r="K140" s="124" t="n">
        <f aca="false">IF(WEEKDAY(A140,3)&gt;4,0,(IF(A140&lt;K$2,0,IF(A140&lt;=K$3,1,0))))</f>
        <v>0</v>
      </c>
      <c r="L140" s="124" t="n">
        <f aca="false">J140*K140</f>
        <v>0</v>
      </c>
      <c r="M140" s="124" t="n">
        <f aca="false">SUM(J$97:J140)</f>
        <v>12638768</v>
      </c>
      <c r="N140" s="124" t="n">
        <f aca="false">SUM(J$6:J140)</f>
        <v>21250052</v>
      </c>
      <c r="P140" s="124" t="n">
        <f aca="false">D140/P$3</f>
        <v>0.34273</v>
      </c>
      <c r="Q140" s="124" t="n">
        <f aca="false">E140/P$3</f>
        <v>0</v>
      </c>
      <c r="R140" s="124" t="n">
        <f aca="false">F140/R$3</f>
        <v>0</v>
      </c>
      <c r="S140" s="126" t="n">
        <f aca="false">J140/$R$3</f>
        <v>8.57</v>
      </c>
      <c r="T140" s="126" t="n">
        <f aca="false">L140/$R$3</f>
        <v>0</v>
      </c>
      <c r="U140" s="126" t="n">
        <f aca="false">I140/$R$3</f>
        <v>10971.916</v>
      </c>
      <c r="V140" s="126" t="n">
        <f aca="false">M140/$R$3</f>
        <v>12638.768</v>
      </c>
      <c r="W140" s="126" t="n">
        <f aca="false">N140/$R$3</f>
        <v>21250.052</v>
      </c>
    </row>
    <row r="141" customFormat="false" ht="12.75" hidden="true" customHeight="false" outlineLevel="0" collapsed="false">
      <c r="A141" s="120" t="n">
        <f aca="false">A140+1</f>
        <v>37027</v>
      </c>
      <c r="B141" s="131" t="str">
        <f aca="false">INDEX('Master Data'!$A$2:$B$8,MATCH(WEEKDAY('BRA Power'!A141,3),'Master Data'!$A$2:$A$8,0),2)</f>
        <v>W</v>
      </c>
      <c r="D141" s="124" t="n">
        <v>342900</v>
      </c>
      <c r="E141" s="124" t="n">
        <v>0</v>
      </c>
      <c r="F141" s="124" t="n">
        <v>0</v>
      </c>
      <c r="G141" s="124" t="n">
        <f aca="false">11080489-100000</f>
        <v>10980489</v>
      </c>
      <c r="I141" s="124" t="n">
        <f aca="false">IF(MONTH($A141)=MONTH($A140),IF(G141=0,I140,G141),G141)</f>
        <v>10980489</v>
      </c>
      <c r="J141" s="124" t="n">
        <f aca="false">IF(MONTH($A141)=MONTH($A140),SUM(I141-I140),I141)</f>
        <v>8573</v>
      </c>
      <c r="K141" s="124" t="n">
        <f aca="false">IF(WEEKDAY(A141,3)&gt;4,0,(IF(A141&lt;K$2,0,IF(A141&lt;=K$3,1,0))))</f>
        <v>0</v>
      </c>
      <c r="L141" s="124" t="n">
        <f aca="false">J141*K141</f>
        <v>0</v>
      </c>
      <c r="M141" s="124" t="n">
        <f aca="false">SUM(J$97:J141)</f>
        <v>12647341</v>
      </c>
      <c r="N141" s="124" t="n">
        <f aca="false">SUM(J$6:J141)</f>
        <v>21258625</v>
      </c>
      <c r="P141" s="124" t="n">
        <f aca="false">D141/P$3</f>
        <v>0.3429</v>
      </c>
      <c r="Q141" s="124" t="n">
        <f aca="false">E141/P$3</f>
        <v>0</v>
      </c>
      <c r="R141" s="124" t="n">
        <f aca="false">F141/R$3</f>
        <v>0</v>
      </c>
      <c r="S141" s="126" t="n">
        <f aca="false">J141/$R$3</f>
        <v>8.573</v>
      </c>
      <c r="T141" s="126" t="n">
        <f aca="false">L141/$R$3</f>
        <v>0</v>
      </c>
      <c r="U141" s="126" t="n">
        <f aca="false">I141/$R$3</f>
        <v>10980.489</v>
      </c>
      <c r="V141" s="126" t="n">
        <f aca="false">M141/$R$3</f>
        <v>12647.341</v>
      </c>
      <c r="W141" s="126" t="n">
        <f aca="false">N141/$R$3</f>
        <v>21258.625</v>
      </c>
    </row>
    <row r="142" customFormat="false" ht="12.75" hidden="true" customHeight="false" outlineLevel="0" collapsed="false">
      <c r="A142" s="120" t="n">
        <f aca="false">A141+1</f>
        <v>37028</v>
      </c>
      <c r="B142" s="131" t="str">
        <f aca="false">INDEX('Master Data'!$A$2:$B$8,MATCH(WEEKDAY('BRA Power'!A142,3),'Master Data'!$A$2:$A$8,0),2)</f>
        <v>Th</v>
      </c>
      <c r="D142" s="124" t="n">
        <v>186440</v>
      </c>
      <c r="E142" s="124" t="n">
        <v>0</v>
      </c>
      <c r="F142" s="124" t="n">
        <v>0</v>
      </c>
      <c r="G142" s="124" t="n">
        <f aca="false">-7536301-100000</f>
        <v>-7636301</v>
      </c>
      <c r="I142" s="124" t="n">
        <f aca="false">IF(MONTH($A142)=MONTH($A141),IF(G142=0,I141,G142),G142)</f>
        <v>-7636301</v>
      </c>
      <c r="J142" s="124" t="n">
        <f aca="false">IF(MONTH($A142)=MONTH($A141),SUM(I142-I141),I142)</f>
        <v>-18616790</v>
      </c>
      <c r="K142" s="124" t="n">
        <f aca="false">IF(WEEKDAY(A142,3)&gt;4,0,(IF(A142&lt;K$2,0,IF(A142&lt;=K$3,1,0))))</f>
        <v>0</v>
      </c>
      <c r="L142" s="124" t="n">
        <f aca="false">J142*K142</f>
        <v>-0</v>
      </c>
      <c r="M142" s="124" t="n">
        <f aca="false">SUM(J$97:J142)</f>
        <v>-5969449</v>
      </c>
      <c r="N142" s="124" t="n">
        <f aca="false">SUM(J$6:J142)</f>
        <v>2641835</v>
      </c>
      <c r="P142" s="124" t="n">
        <f aca="false">D142/P$3</f>
        <v>0.18644</v>
      </c>
      <c r="Q142" s="124" t="n">
        <f aca="false">E142/P$3</f>
        <v>0</v>
      </c>
      <c r="R142" s="124" t="n">
        <f aca="false">F142/R$3</f>
        <v>0</v>
      </c>
      <c r="S142" s="126" t="n">
        <f aca="false">J142/$R$3</f>
        <v>-18616.79</v>
      </c>
      <c r="T142" s="126" t="n">
        <f aca="false">L142/$R$3</f>
        <v>-0</v>
      </c>
      <c r="U142" s="126" t="n">
        <f aca="false">I142/$R$3</f>
        <v>-7636.301</v>
      </c>
      <c r="V142" s="126" t="n">
        <f aca="false">M142/$R$3</f>
        <v>-5969.449</v>
      </c>
      <c r="W142" s="126" t="n">
        <f aca="false">N142/$R$3</f>
        <v>2641.835</v>
      </c>
    </row>
    <row r="143" customFormat="false" ht="12.75" hidden="true" customHeight="false" outlineLevel="0" collapsed="false">
      <c r="A143" s="120" t="n">
        <f aca="false">A142+1</f>
        <v>37029</v>
      </c>
      <c r="B143" s="131" t="str">
        <f aca="false">INDEX('Master Data'!$A$2:$B$8,MATCH(WEEKDAY('BRA Power'!A143,3),'Master Data'!$A$2:$A$8,0),2)</f>
        <v>F</v>
      </c>
      <c r="D143" s="124" t="n">
        <v>186540</v>
      </c>
      <c r="E143" s="124" t="n">
        <v>0</v>
      </c>
      <c r="F143" s="124" t="n">
        <v>0</v>
      </c>
      <c r="G143" s="124" t="n">
        <f aca="false">-7534498-100000</f>
        <v>-7634498</v>
      </c>
      <c r="I143" s="124" t="n">
        <f aca="false">IF(MONTH($A143)=MONTH($A142),IF(G143=0,I142,G143),G143)</f>
        <v>-7634498</v>
      </c>
      <c r="J143" s="124" t="n">
        <f aca="false">IF(MONTH($A143)=MONTH($A142),SUM(I143-I142),I143)</f>
        <v>1803</v>
      </c>
      <c r="K143" s="124" t="n">
        <f aca="false">IF(WEEKDAY(A143,3)&gt;4,0,(IF(A143&lt;K$2,0,IF(A143&lt;=K$3,1,0))))</f>
        <v>0</v>
      </c>
      <c r="L143" s="124" t="n">
        <f aca="false">J143*K143</f>
        <v>0</v>
      </c>
      <c r="M143" s="124" t="n">
        <f aca="false">SUM(J$97:J143)</f>
        <v>-5967646</v>
      </c>
      <c r="N143" s="124" t="n">
        <f aca="false">SUM(J$6:J143)</f>
        <v>2643638</v>
      </c>
      <c r="P143" s="124" t="n">
        <f aca="false">D143/P$3</f>
        <v>0.18654</v>
      </c>
      <c r="Q143" s="124" t="n">
        <f aca="false">E143/P$3</f>
        <v>0</v>
      </c>
      <c r="R143" s="124" t="n">
        <f aca="false">F143/R$3</f>
        <v>0</v>
      </c>
      <c r="S143" s="126" t="n">
        <f aca="false">J143/$R$3</f>
        <v>1.803</v>
      </c>
      <c r="T143" s="126" t="n">
        <f aca="false">L143/$R$3</f>
        <v>0</v>
      </c>
      <c r="U143" s="126" t="n">
        <f aca="false">I143/$R$3</f>
        <v>-7634.498</v>
      </c>
      <c r="V143" s="126" t="n">
        <f aca="false">M143/$R$3</f>
        <v>-5967.646</v>
      </c>
      <c r="W143" s="126" t="n">
        <f aca="false">N143/$R$3</f>
        <v>2643.638</v>
      </c>
    </row>
    <row r="144" customFormat="false" ht="12.75" hidden="true" customHeight="false" outlineLevel="0" collapsed="false">
      <c r="A144" s="120" t="n">
        <f aca="false">A143+1</f>
        <v>37030</v>
      </c>
      <c r="B144" s="131" t="str">
        <f aca="false">INDEX('Master Data'!$A$2:$B$8,MATCH(WEEKDAY('BRA Power'!A144,3),'Master Data'!$A$2:$A$8,0),2)</f>
        <v>Sa</v>
      </c>
      <c r="D144" s="124" t="n">
        <v>0</v>
      </c>
      <c r="E144" s="124" t="n">
        <v>0</v>
      </c>
      <c r="F144" s="124" t="n">
        <v>0</v>
      </c>
      <c r="G144" s="124" t="n">
        <v>0</v>
      </c>
      <c r="I144" s="124" t="n">
        <f aca="false">IF(MONTH($A144)=MONTH($A143),IF(G144=0,I143,G144),G144)</f>
        <v>-7634498</v>
      </c>
      <c r="J144" s="124" t="n">
        <f aca="false">IF(MONTH($A144)=MONTH($A143),SUM(I144-I143),I144)</f>
        <v>0</v>
      </c>
      <c r="K144" s="124" t="n">
        <f aca="false">IF(WEEKDAY(A144,3)&gt;4,0,(IF(A144&lt;K$2,0,IF(A144&lt;=K$3,1,0))))</f>
        <v>0</v>
      </c>
      <c r="L144" s="124" t="n">
        <f aca="false">J144*K144</f>
        <v>0</v>
      </c>
      <c r="M144" s="124" t="n">
        <f aca="false">SUM(J$97:J144)</f>
        <v>-5967646</v>
      </c>
      <c r="N144" s="124" t="n">
        <f aca="false">SUM(J$6:J144)</f>
        <v>2643638</v>
      </c>
      <c r="P144" s="124" t="n">
        <f aca="false">D144/P$3</f>
        <v>0</v>
      </c>
      <c r="Q144" s="124" t="n">
        <f aca="false">E144/P$3</f>
        <v>0</v>
      </c>
      <c r="R144" s="124" t="n">
        <f aca="false">F144/R$3</f>
        <v>0</v>
      </c>
      <c r="S144" s="126" t="n">
        <f aca="false">J144/$R$3</f>
        <v>0</v>
      </c>
      <c r="T144" s="126" t="n">
        <f aca="false">L144/$R$3</f>
        <v>0</v>
      </c>
      <c r="U144" s="126" t="n">
        <f aca="false">I144/$R$3</f>
        <v>-7634.498</v>
      </c>
      <c r="V144" s="126" t="n">
        <f aca="false">M144/$R$3</f>
        <v>-5967.646</v>
      </c>
      <c r="W144" s="126" t="n">
        <f aca="false">N144/$R$3</f>
        <v>2643.638</v>
      </c>
    </row>
    <row r="145" customFormat="false" ht="12.75" hidden="true" customHeight="false" outlineLevel="0" collapsed="false">
      <c r="A145" s="120" t="n">
        <f aca="false">A144+1</f>
        <v>37031</v>
      </c>
      <c r="B145" s="131" t="str">
        <f aca="false">INDEX('Master Data'!$A$2:$B$8,MATCH(WEEKDAY('BRA Power'!A145,3),'Master Data'!$A$2:$A$8,0),2)</f>
        <v>Su</v>
      </c>
      <c r="D145" s="124" t="n">
        <v>0</v>
      </c>
      <c r="E145" s="124" t="n">
        <v>0</v>
      </c>
      <c r="F145" s="124" t="n">
        <v>0</v>
      </c>
      <c r="G145" s="124" t="n">
        <v>0</v>
      </c>
      <c r="I145" s="124" t="n">
        <f aca="false">IF(MONTH($A145)=MONTH($A144),IF(G145=0,I144,G145),G145)</f>
        <v>-7634498</v>
      </c>
      <c r="J145" s="124" t="n">
        <f aca="false">IF(MONTH($A145)=MONTH($A144),SUM(I145-I144),I145)</f>
        <v>0</v>
      </c>
      <c r="K145" s="124" t="n">
        <f aca="false">IF(WEEKDAY(A145,3)&gt;4,0,(IF(A145&lt;K$2,0,IF(A145&lt;=K$3,1,0))))</f>
        <v>0</v>
      </c>
      <c r="L145" s="124" t="n">
        <f aca="false">J145*K145</f>
        <v>0</v>
      </c>
      <c r="M145" s="124" t="n">
        <f aca="false">SUM(J$97:J145)</f>
        <v>-5967646</v>
      </c>
      <c r="N145" s="124" t="n">
        <f aca="false">SUM(J$6:J145)</f>
        <v>2643638</v>
      </c>
      <c r="P145" s="124" t="n">
        <f aca="false">D145/P$3</f>
        <v>0</v>
      </c>
      <c r="Q145" s="124" t="n">
        <f aca="false">E145/P$3</f>
        <v>0</v>
      </c>
      <c r="R145" s="124" t="n">
        <f aca="false">F145/R$3</f>
        <v>0</v>
      </c>
      <c r="S145" s="126" t="n">
        <f aca="false">J145/$R$3</f>
        <v>0</v>
      </c>
      <c r="T145" s="126" t="n">
        <f aca="false">L145/$R$3</f>
        <v>0</v>
      </c>
      <c r="U145" s="126" t="n">
        <f aca="false">I145/$R$3</f>
        <v>-7634.498</v>
      </c>
      <c r="V145" s="126" t="n">
        <f aca="false">M145/$R$3</f>
        <v>-5967.646</v>
      </c>
      <c r="W145" s="126" t="n">
        <f aca="false">N145/$R$3</f>
        <v>2643.638</v>
      </c>
    </row>
    <row r="146" customFormat="false" ht="12.75" hidden="true" customHeight="false" outlineLevel="0" collapsed="false">
      <c r="A146" s="120" t="n">
        <f aca="false">A145+1</f>
        <v>37032</v>
      </c>
      <c r="B146" s="131" t="str">
        <f aca="false">INDEX('Master Data'!$A$2:$B$8,MATCH(WEEKDAY('BRA Power'!A146,3),'Master Data'!$A$2:$A$8,0),2)</f>
        <v>M</v>
      </c>
      <c r="D146" s="124" t="n">
        <v>186841</v>
      </c>
      <c r="E146" s="124" t="n">
        <v>0</v>
      </c>
      <c r="F146" s="124" t="n">
        <v>0</v>
      </c>
      <c r="G146" s="124" t="n">
        <f aca="false">-7436453-100000</f>
        <v>-7536453</v>
      </c>
      <c r="I146" s="124" t="n">
        <f aca="false">IF(MONTH($A146)=MONTH($A145),IF(G146=0,I145,G146),G146)</f>
        <v>-7536453</v>
      </c>
      <c r="J146" s="124" t="n">
        <f aca="false">IF(MONTH($A146)=MONTH($A145),SUM(I146-I145),I146)</f>
        <v>98045</v>
      </c>
      <c r="K146" s="124" t="n">
        <f aca="false">IF(WEEKDAY(A146,3)&gt;4,0,(IF(A146&lt;K$2,0,IF(A146&lt;=K$3,1,0))))</f>
        <v>0</v>
      </c>
      <c r="L146" s="124" t="n">
        <f aca="false">J146*K146</f>
        <v>0</v>
      </c>
      <c r="M146" s="124" t="n">
        <f aca="false">SUM(J$97:J146)</f>
        <v>-5869601</v>
      </c>
      <c r="N146" s="124" t="n">
        <f aca="false">SUM(J$6:J146)</f>
        <v>2741683</v>
      </c>
      <c r="P146" s="124" t="n">
        <f aca="false">D146/P$3</f>
        <v>0.186841</v>
      </c>
      <c r="Q146" s="124" t="n">
        <f aca="false">E146/P$3</f>
        <v>0</v>
      </c>
      <c r="R146" s="124" t="n">
        <f aca="false">F146/R$3</f>
        <v>0</v>
      </c>
      <c r="S146" s="126" t="n">
        <f aca="false">J146/$R$3</f>
        <v>98.045</v>
      </c>
      <c r="T146" s="126" t="n">
        <f aca="false">L146/$R$3</f>
        <v>0</v>
      </c>
      <c r="U146" s="126" t="n">
        <f aca="false">I146/$R$3</f>
        <v>-7536.453</v>
      </c>
      <c r="V146" s="126" t="n">
        <f aca="false">M146/$R$3</f>
        <v>-5869.601</v>
      </c>
      <c r="W146" s="126" t="n">
        <f aca="false">N146/$R$3</f>
        <v>2741.683</v>
      </c>
    </row>
    <row r="147" customFormat="false" ht="12.75" hidden="true" customHeight="false" outlineLevel="0" collapsed="false">
      <c r="A147" s="120" t="n">
        <f aca="false">A146+1</f>
        <v>37033</v>
      </c>
      <c r="B147" s="131" t="str">
        <f aca="false">INDEX('Master Data'!$A$2:$B$8,MATCH(WEEKDAY('BRA Power'!A147,3),'Master Data'!$A$2:$A$8,0),2)</f>
        <v>T</v>
      </c>
      <c r="D147" s="124" t="n">
        <v>186941</v>
      </c>
      <c r="E147" s="124" t="n">
        <v>0</v>
      </c>
      <c r="F147" s="124" t="n">
        <v>0</v>
      </c>
      <c r="G147" s="124" t="n">
        <v>-5546618</v>
      </c>
      <c r="I147" s="124" t="n">
        <f aca="false">IF(MONTH($A147)=MONTH($A146),IF(G147=0,I146,G147),G147)</f>
        <v>-5546618</v>
      </c>
      <c r="J147" s="124" t="n">
        <f aca="false">IF(MONTH($A147)=MONTH($A146),SUM(I147-I146),I147)</f>
        <v>1989835</v>
      </c>
      <c r="K147" s="124" t="n">
        <f aca="false">IF(WEEKDAY(A147,3)&gt;4,0,(IF(A147&lt;K$2,0,IF(A147&lt;=K$3,1,0))))</f>
        <v>0</v>
      </c>
      <c r="L147" s="124" t="n">
        <f aca="false">J147*K147</f>
        <v>0</v>
      </c>
      <c r="M147" s="124" t="n">
        <f aca="false">SUM(J$97:J147)</f>
        <v>-3879766</v>
      </c>
      <c r="N147" s="124" t="n">
        <f aca="false">SUM(J$6:J147)</f>
        <v>4731518</v>
      </c>
      <c r="P147" s="124" t="n">
        <f aca="false">D147/P$3</f>
        <v>0.186941</v>
      </c>
      <c r="Q147" s="124" t="n">
        <f aca="false">E147/P$3</f>
        <v>0</v>
      </c>
      <c r="R147" s="124" t="n">
        <f aca="false">F147/R$3</f>
        <v>0</v>
      </c>
      <c r="S147" s="126" t="n">
        <f aca="false">J147/$R$3</f>
        <v>1989.835</v>
      </c>
      <c r="T147" s="126" t="n">
        <f aca="false">L147/$R$3</f>
        <v>0</v>
      </c>
      <c r="U147" s="126" t="n">
        <f aca="false">I147/$R$3</f>
        <v>-5546.618</v>
      </c>
      <c r="V147" s="126" t="n">
        <f aca="false">M147/$R$3</f>
        <v>-3879.766</v>
      </c>
      <c r="W147" s="126" t="n">
        <f aca="false">N147/$R$3</f>
        <v>4731.518</v>
      </c>
    </row>
    <row r="148" customFormat="false" ht="12.75" hidden="true" customHeight="false" outlineLevel="0" collapsed="false">
      <c r="A148" s="120" t="n">
        <f aca="false">A147+1</f>
        <v>37034</v>
      </c>
      <c r="B148" s="131" t="str">
        <f aca="false">INDEX('Master Data'!$A$2:$B$8,MATCH(WEEKDAY('BRA Power'!A148,3),'Master Data'!$A$2:$A$8,0),2)</f>
        <v>W</v>
      </c>
      <c r="D148" s="124" t="n">
        <v>187041</v>
      </c>
      <c r="E148" s="124" t="n">
        <v>45258.0237525661</v>
      </c>
      <c r="F148" s="124" t="n">
        <v>0</v>
      </c>
      <c r="G148" s="124" t="n">
        <v>13074844</v>
      </c>
      <c r="I148" s="124" t="n">
        <f aca="false">IF(MONTH($A148)=MONTH($A147),IF(G148=0,I147,G148),G148)</f>
        <v>13074844</v>
      </c>
      <c r="J148" s="124" t="n">
        <f aca="false">IF(MONTH($A148)=MONTH($A147),SUM(I148-I147),I148)</f>
        <v>18621462</v>
      </c>
      <c r="K148" s="124" t="n">
        <f aca="false">IF(WEEKDAY(A148,3)&gt;4,0,(IF(A148&lt;K$2,0,IF(A148&lt;=K$3,1,0))))</f>
        <v>0</v>
      </c>
      <c r="L148" s="124" t="n">
        <f aca="false">J148*K148</f>
        <v>0</v>
      </c>
      <c r="M148" s="124" t="n">
        <f aca="false">SUM(J$97:J148)</f>
        <v>14741696</v>
      </c>
      <c r="N148" s="124" t="n">
        <f aca="false">SUM(J$6:J148)</f>
        <v>23352980</v>
      </c>
      <c r="P148" s="124" t="n">
        <f aca="false">D148/P$3</f>
        <v>0.187041</v>
      </c>
      <c r="Q148" s="124" t="n">
        <f aca="false">E148/P$3</f>
        <v>0.0452580237525661</v>
      </c>
      <c r="R148" s="124" t="n">
        <f aca="false">F148/R$3</f>
        <v>0</v>
      </c>
      <c r="S148" s="126" t="n">
        <f aca="false">J148/$R$3</f>
        <v>18621.462</v>
      </c>
      <c r="T148" s="126" t="n">
        <f aca="false">L148/$R$3</f>
        <v>0</v>
      </c>
      <c r="U148" s="126" t="n">
        <f aca="false">I148/$R$3</f>
        <v>13074.844</v>
      </c>
      <c r="V148" s="126" t="n">
        <f aca="false">M148/$R$3</f>
        <v>14741.696</v>
      </c>
      <c r="W148" s="126" t="n">
        <f aca="false">N148/$R$3</f>
        <v>23352.98</v>
      </c>
    </row>
    <row r="149" customFormat="false" ht="12.75" hidden="true" customHeight="false" outlineLevel="0" collapsed="false">
      <c r="A149" s="120" t="n">
        <f aca="false">A148+1</f>
        <v>37035</v>
      </c>
      <c r="B149" s="131" t="str">
        <f aca="false">INDEX('Master Data'!$A$2:$B$8,MATCH(WEEKDAY('BRA Power'!A149,3),'Master Data'!$A$2:$A$8,0),2)</f>
        <v>Th</v>
      </c>
      <c r="D149" s="124" t="n">
        <v>187141</v>
      </c>
      <c r="E149" s="124" t="n">
        <v>45258.0237525661</v>
      </c>
      <c r="F149" s="124" t="n">
        <v>0</v>
      </c>
      <c r="G149" s="124" t="n">
        <v>13077715</v>
      </c>
      <c r="I149" s="124" t="n">
        <f aca="false">IF(MONTH($A149)=MONTH($A148),IF(G149=0,I148,G149),G149)</f>
        <v>13077715</v>
      </c>
      <c r="J149" s="124" t="n">
        <f aca="false">IF(MONTH($A149)=MONTH($A148),SUM(I149-I148),I149)</f>
        <v>2871</v>
      </c>
      <c r="K149" s="124" t="n">
        <f aca="false">IF(WEEKDAY(A149,3)&gt;4,0,(IF(A149&lt;K$2,0,IF(A149&lt;=K$3,1,0))))</f>
        <v>0</v>
      </c>
      <c r="L149" s="124" t="n">
        <f aca="false">J149*K149</f>
        <v>0</v>
      </c>
      <c r="M149" s="124" t="n">
        <f aca="false">SUM(J$97:J149)</f>
        <v>14744567</v>
      </c>
      <c r="N149" s="124" t="n">
        <f aca="false">SUM(J$6:J149)</f>
        <v>23355851</v>
      </c>
      <c r="P149" s="124" t="n">
        <f aca="false">D149/P$3</f>
        <v>0.187141</v>
      </c>
      <c r="Q149" s="124" t="n">
        <f aca="false">E149/P$3</f>
        <v>0.0452580237525661</v>
      </c>
      <c r="R149" s="124" t="n">
        <f aca="false">F149/R$3</f>
        <v>0</v>
      </c>
      <c r="S149" s="126" t="n">
        <f aca="false">J149/$R$3</f>
        <v>2.871</v>
      </c>
      <c r="T149" s="126" t="n">
        <f aca="false">L149/$R$3</f>
        <v>0</v>
      </c>
      <c r="U149" s="126" t="n">
        <f aca="false">I149/$R$3</f>
        <v>13077.715</v>
      </c>
      <c r="V149" s="126" t="n">
        <f aca="false">M149/$R$3</f>
        <v>14744.567</v>
      </c>
      <c r="W149" s="126" t="n">
        <f aca="false">N149/$R$3</f>
        <v>23355.851</v>
      </c>
    </row>
    <row r="150" customFormat="false" ht="12.75" hidden="true" customHeight="false" outlineLevel="0" collapsed="false">
      <c r="A150" s="120" t="n">
        <f aca="false">A149+1</f>
        <v>37036</v>
      </c>
      <c r="B150" s="131" t="str">
        <f aca="false">INDEX('Master Data'!$A$2:$B$8,MATCH(WEEKDAY('BRA Power'!A150,3),'Master Data'!$A$2:$A$8,0),2)</f>
        <v>F</v>
      </c>
      <c r="D150" s="124" t="n">
        <v>187242</v>
      </c>
      <c r="E150" s="124" t="n">
        <v>45258.0237525661</v>
      </c>
      <c r="F150" s="124" t="n">
        <v>0</v>
      </c>
      <c r="G150" s="124" t="n">
        <v>13080587</v>
      </c>
      <c r="I150" s="124" t="n">
        <f aca="false">IF(MONTH($A150)=MONTH($A149),IF(G150=0,I149,G150),G150)</f>
        <v>13080587</v>
      </c>
      <c r="J150" s="124" t="n">
        <f aca="false">IF(MONTH($A150)=MONTH($A149),SUM(I150-I149),I150)</f>
        <v>2872</v>
      </c>
      <c r="K150" s="124" t="n">
        <f aca="false">IF(WEEKDAY(A150,3)&gt;4,0,(IF(A150&lt;K$2,0,IF(A150&lt;=K$3,1,0))))</f>
        <v>0</v>
      </c>
      <c r="L150" s="124" t="n">
        <f aca="false">J150*K150</f>
        <v>0</v>
      </c>
      <c r="M150" s="124" t="n">
        <f aca="false">SUM(J$97:J150)</f>
        <v>14747439</v>
      </c>
      <c r="N150" s="124" t="n">
        <f aca="false">SUM(J$6:J150)</f>
        <v>23358723</v>
      </c>
      <c r="P150" s="124" t="n">
        <f aca="false">D150/P$3</f>
        <v>0.187242</v>
      </c>
      <c r="Q150" s="124" t="n">
        <f aca="false">E150/P$3</f>
        <v>0.0452580237525661</v>
      </c>
      <c r="R150" s="124" t="n">
        <f aca="false">F150/R$3</f>
        <v>0</v>
      </c>
      <c r="S150" s="126" t="n">
        <f aca="false">J150/$R$3</f>
        <v>2.872</v>
      </c>
      <c r="T150" s="126" t="n">
        <f aca="false">L150/$R$3</f>
        <v>0</v>
      </c>
      <c r="U150" s="126" t="n">
        <f aca="false">I150/$R$3</f>
        <v>13080.587</v>
      </c>
      <c r="V150" s="126" t="n">
        <f aca="false">M150/$R$3</f>
        <v>14747.439</v>
      </c>
      <c r="W150" s="126" t="n">
        <f aca="false">N150/$R$3</f>
        <v>23358.723</v>
      </c>
    </row>
    <row r="151" customFormat="false" ht="12.75" hidden="true" customHeight="false" outlineLevel="0" collapsed="false">
      <c r="A151" s="120" t="n">
        <f aca="false">A150+1</f>
        <v>37037</v>
      </c>
      <c r="B151" s="131" t="str">
        <f aca="false">INDEX('Master Data'!$A$2:$B$8,MATCH(WEEKDAY('BRA Power'!A151,3),'Master Data'!$A$2:$A$8,0),2)</f>
        <v>Sa</v>
      </c>
      <c r="D151" s="124" t="n">
        <v>0</v>
      </c>
      <c r="E151" s="124" t="n">
        <v>0</v>
      </c>
      <c r="F151" s="124" t="n">
        <v>0</v>
      </c>
      <c r="G151" s="124" t="n">
        <v>0</v>
      </c>
      <c r="I151" s="124" t="n">
        <f aca="false">IF(MONTH($A151)=MONTH($A150),IF(G151=0,I150,G151),G151)</f>
        <v>13080587</v>
      </c>
      <c r="J151" s="124" t="n">
        <f aca="false">IF(MONTH($A151)=MONTH($A150),SUM(I151-I150),I151)</f>
        <v>0</v>
      </c>
      <c r="K151" s="124" t="n">
        <f aca="false">IF(WEEKDAY(A151,3)&gt;4,0,(IF(A151&lt;K$2,0,IF(A151&lt;=K$3,1,0))))</f>
        <v>0</v>
      </c>
      <c r="L151" s="124" t="n">
        <f aca="false">J151*K151</f>
        <v>0</v>
      </c>
      <c r="M151" s="124" t="n">
        <f aca="false">SUM(J$97:J151)</f>
        <v>14747439</v>
      </c>
      <c r="N151" s="124" t="n">
        <f aca="false">SUM(J$6:J151)</f>
        <v>23358723</v>
      </c>
      <c r="P151" s="124" t="n">
        <f aca="false">D151/P$3</f>
        <v>0</v>
      </c>
      <c r="Q151" s="124" t="n">
        <f aca="false">E151/P$3</f>
        <v>0</v>
      </c>
      <c r="R151" s="124" t="n">
        <f aca="false">F151/R$3</f>
        <v>0</v>
      </c>
      <c r="S151" s="126" t="n">
        <f aca="false">J151/$R$3</f>
        <v>0</v>
      </c>
      <c r="T151" s="126" t="n">
        <f aca="false">L151/$R$3</f>
        <v>0</v>
      </c>
      <c r="U151" s="126" t="n">
        <f aca="false">I151/$R$3</f>
        <v>13080.587</v>
      </c>
      <c r="V151" s="126" t="n">
        <f aca="false">M151/$R$3</f>
        <v>14747.439</v>
      </c>
      <c r="W151" s="126" t="n">
        <f aca="false">N151/$R$3</f>
        <v>23358.723</v>
      </c>
    </row>
    <row r="152" customFormat="false" ht="12.75" hidden="true" customHeight="false" outlineLevel="0" collapsed="false">
      <c r="A152" s="120" t="n">
        <f aca="false">A151+1</f>
        <v>37038</v>
      </c>
      <c r="B152" s="131" t="str">
        <f aca="false">INDEX('Master Data'!$A$2:$B$8,MATCH(WEEKDAY('BRA Power'!A152,3),'Master Data'!$A$2:$A$8,0),2)</f>
        <v>Su</v>
      </c>
      <c r="D152" s="124" t="n">
        <v>0</v>
      </c>
      <c r="E152" s="124" t="n">
        <v>0</v>
      </c>
      <c r="F152" s="124" t="n">
        <v>0</v>
      </c>
      <c r="G152" s="124" t="n">
        <v>0</v>
      </c>
      <c r="I152" s="124" t="n">
        <f aca="false">IF(MONTH($A152)=MONTH($A151),IF(G152=0,I151,G152),G152)</f>
        <v>13080587</v>
      </c>
      <c r="J152" s="124" t="n">
        <f aca="false">IF(MONTH($A152)=MONTH($A151),SUM(I152-I151),I152)</f>
        <v>0</v>
      </c>
      <c r="K152" s="124" t="n">
        <f aca="false">IF(WEEKDAY(A152,3)&gt;4,0,(IF(A152&lt;K$2,0,IF(A152&lt;=K$3,1,0))))</f>
        <v>0</v>
      </c>
      <c r="L152" s="124" t="n">
        <f aca="false">J152*K152</f>
        <v>0</v>
      </c>
      <c r="M152" s="124" t="n">
        <f aca="false">SUM(J$97:J152)</f>
        <v>14747439</v>
      </c>
      <c r="N152" s="124" t="n">
        <f aca="false">SUM(J$6:J152)</f>
        <v>23358723</v>
      </c>
      <c r="P152" s="124" t="n">
        <f aca="false">D152/P$3</f>
        <v>0</v>
      </c>
      <c r="Q152" s="124" t="n">
        <f aca="false">E152/P$3</f>
        <v>0</v>
      </c>
      <c r="R152" s="124" t="n">
        <f aca="false">F152/R$3</f>
        <v>0</v>
      </c>
      <c r="S152" s="126" t="n">
        <f aca="false">J152/$R$3</f>
        <v>0</v>
      </c>
      <c r="T152" s="126" t="n">
        <f aca="false">L152/$R$3</f>
        <v>0</v>
      </c>
      <c r="U152" s="126" t="n">
        <f aca="false">I152/$R$3</f>
        <v>13080.587</v>
      </c>
      <c r="V152" s="126" t="n">
        <f aca="false">M152/$R$3</f>
        <v>14747.439</v>
      </c>
      <c r="W152" s="126" t="n">
        <f aca="false">N152/$R$3</f>
        <v>23358.723</v>
      </c>
    </row>
    <row r="153" customFormat="false" ht="12.75" hidden="true" customHeight="false" outlineLevel="0" collapsed="false">
      <c r="A153" s="120" t="n">
        <f aca="false">A152+1</f>
        <v>37039</v>
      </c>
      <c r="B153" s="131" t="str">
        <f aca="false">INDEX('Master Data'!$A$2:$B$8,MATCH(WEEKDAY('BRA Power'!A153,3),'Master Data'!$A$2:$A$8,0),2)</f>
        <v>M</v>
      </c>
      <c r="D153" s="124" t="n">
        <v>0</v>
      </c>
      <c r="E153" s="124" t="n">
        <v>0</v>
      </c>
      <c r="F153" s="124" t="n">
        <v>0</v>
      </c>
      <c r="G153" s="124" t="n">
        <v>0</v>
      </c>
      <c r="I153" s="124" t="n">
        <f aca="false">IF(MONTH($A153)=MONTH($A152),IF(G153=0,I152,G153),G153)</f>
        <v>13080587</v>
      </c>
      <c r="J153" s="124" t="n">
        <f aca="false">IF(MONTH($A153)=MONTH($A152),SUM(I153-I152),I153)</f>
        <v>0</v>
      </c>
      <c r="K153" s="124" t="n">
        <f aca="false">IF(WEEKDAY(A153,3)&gt;4,0,(IF(A153&lt;K$2,0,IF(A153&lt;=K$3,1,0))))</f>
        <v>0</v>
      </c>
      <c r="L153" s="124" t="n">
        <f aca="false">J153*K153</f>
        <v>0</v>
      </c>
      <c r="M153" s="124" t="n">
        <f aca="false">SUM(J$97:J153)</f>
        <v>14747439</v>
      </c>
      <c r="N153" s="124" t="n">
        <f aca="false">SUM(J$6:J153)</f>
        <v>23358723</v>
      </c>
      <c r="P153" s="124" t="n">
        <f aca="false">D153/P$3</f>
        <v>0</v>
      </c>
      <c r="Q153" s="124" t="n">
        <f aca="false">E153/P$3</f>
        <v>0</v>
      </c>
      <c r="R153" s="124" t="n">
        <f aca="false">F153/R$3</f>
        <v>0</v>
      </c>
      <c r="S153" s="126" t="n">
        <f aca="false">J153/$R$3</f>
        <v>0</v>
      </c>
      <c r="T153" s="126" t="n">
        <f aca="false">L153/$R$3</f>
        <v>0</v>
      </c>
      <c r="U153" s="126" t="n">
        <f aca="false">I153/$R$3</f>
        <v>13080.587</v>
      </c>
      <c r="V153" s="126" t="n">
        <f aca="false">M153/$R$3</f>
        <v>14747.439</v>
      </c>
      <c r="W153" s="126" t="n">
        <f aca="false">N153/$R$3</f>
        <v>23358.723</v>
      </c>
    </row>
    <row r="154" customFormat="false" ht="12.75" hidden="true" customHeight="false" outlineLevel="0" collapsed="false">
      <c r="A154" s="120" t="n">
        <f aca="false">A153+1</f>
        <v>37040</v>
      </c>
      <c r="B154" s="131" t="str">
        <f aca="false">INDEX('Master Data'!$A$2:$B$8,MATCH(WEEKDAY('BRA Power'!A154,3),'Master Data'!$A$2:$A$8,0),2)</f>
        <v>T</v>
      </c>
      <c r="D154" s="124" t="n">
        <v>187644</v>
      </c>
      <c r="E154" s="124" t="n">
        <v>45400.9477100313</v>
      </c>
      <c r="F154" s="124" t="n">
        <v>0</v>
      </c>
      <c r="G154" s="124" t="n">
        <f aca="false">13192091-100000</f>
        <v>13092091</v>
      </c>
      <c r="I154" s="124" t="n">
        <f aca="false">IF(MONTH($A154)=MONTH($A153),IF(G154=0,I153,G154),G154)</f>
        <v>13092091</v>
      </c>
      <c r="J154" s="124" t="n">
        <f aca="false">IF(MONTH($A154)=MONTH($A153),SUM(I154-I153),I154)</f>
        <v>11504</v>
      </c>
      <c r="K154" s="124" t="n">
        <f aca="false">IF(WEEKDAY(A154,3)&gt;4,0,(IF(A154&lt;K$2,0,IF(A154&lt;=K$3,1,0))))</f>
        <v>0</v>
      </c>
      <c r="L154" s="124" t="n">
        <f aca="false">J154*K154</f>
        <v>0</v>
      </c>
      <c r="M154" s="124" t="n">
        <f aca="false">SUM(J$97:J154)</f>
        <v>14758943</v>
      </c>
      <c r="N154" s="124" t="n">
        <f aca="false">SUM(J$6:J154)</f>
        <v>23370227</v>
      </c>
      <c r="P154" s="124" t="n">
        <f aca="false">D154/P$3</f>
        <v>0.187644</v>
      </c>
      <c r="Q154" s="124" t="n">
        <f aca="false">E154/P$3</f>
        <v>0.0454009477100313</v>
      </c>
      <c r="R154" s="124" t="n">
        <f aca="false">F154/R$3</f>
        <v>0</v>
      </c>
      <c r="S154" s="126" t="n">
        <f aca="false">J154/$R$3</f>
        <v>11.504</v>
      </c>
      <c r="T154" s="126" t="n">
        <f aca="false">L154/$R$3</f>
        <v>0</v>
      </c>
      <c r="U154" s="126" t="n">
        <f aca="false">I154/$R$3</f>
        <v>13092.091</v>
      </c>
      <c r="V154" s="126" t="n">
        <f aca="false">M154/$R$3</f>
        <v>14758.943</v>
      </c>
      <c r="W154" s="126" t="n">
        <f aca="false">N154/$R$3</f>
        <v>23370.227</v>
      </c>
    </row>
    <row r="155" customFormat="false" ht="12.75" hidden="true" customHeight="false" outlineLevel="0" collapsed="false">
      <c r="A155" s="120" t="n">
        <f aca="false">A154+1</f>
        <v>37041</v>
      </c>
      <c r="B155" s="131" t="str">
        <f aca="false">INDEX('Master Data'!$A$2:$B$8,MATCH(WEEKDAY('BRA Power'!A155,3),'Master Data'!$A$2:$A$8,0),2)</f>
        <v>W</v>
      </c>
      <c r="D155" s="124" t="n">
        <v>187745</v>
      </c>
      <c r="E155" s="124" t="n">
        <v>45424.8122440827</v>
      </c>
      <c r="F155" s="124" t="n">
        <v>0</v>
      </c>
      <c r="G155" s="124" t="n">
        <f aca="false">13194970-100000</f>
        <v>13094970</v>
      </c>
      <c r="I155" s="124" t="n">
        <f aca="false">IF(MONTH($A155)=MONTH($A154),IF(G155=0,I154,G155),G155)</f>
        <v>13094970</v>
      </c>
      <c r="J155" s="124" t="n">
        <f aca="false">IF(MONTH($A155)=MONTH($A154),SUM(I155-I154),I155)</f>
        <v>2879</v>
      </c>
      <c r="K155" s="124" t="n">
        <f aca="false">IF(WEEKDAY(A155,3)&gt;4,0,(IF(A155&lt;K$2,0,IF(A155&lt;=K$3,1,0))))</f>
        <v>0</v>
      </c>
      <c r="L155" s="124" t="n">
        <f aca="false">J155*K155</f>
        <v>0</v>
      </c>
      <c r="M155" s="124" t="n">
        <f aca="false">SUM(J$97:J155)</f>
        <v>14761822</v>
      </c>
      <c r="N155" s="124" t="n">
        <f aca="false">SUM(J$6:J155)</f>
        <v>23373106</v>
      </c>
      <c r="P155" s="124" t="n">
        <f aca="false">D155/P$3</f>
        <v>0.187745</v>
      </c>
      <c r="Q155" s="124" t="n">
        <f aca="false">E155/P$3</f>
        <v>0.0454248122440827</v>
      </c>
      <c r="R155" s="124" t="n">
        <f aca="false">F155/R$3</f>
        <v>0</v>
      </c>
      <c r="S155" s="126" t="n">
        <f aca="false">J155/$R$3</f>
        <v>2.879</v>
      </c>
      <c r="T155" s="126" t="n">
        <f aca="false">L155/$R$3</f>
        <v>0</v>
      </c>
      <c r="U155" s="126" t="n">
        <f aca="false">I155/$R$3</f>
        <v>13094.97</v>
      </c>
      <c r="V155" s="126" t="n">
        <f aca="false">M155/$R$3</f>
        <v>14761.822</v>
      </c>
      <c r="W155" s="126" t="n">
        <f aca="false">N155/$R$3</f>
        <v>23373.106</v>
      </c>
    </row>
    <row r="156" customFormat="false" ht="12.75" hidden="false" customHeight="false" outlineLevel="0" collapsed="false">
      <c r="A156" s="120" t="n">
        <f aca="false">A155+1</f>
        <v>37042</v>
      </c>
      <c r="B156" s="131" t="str">
        <f aca="false">INDEX('Master Data'!$A$2:$B$8,MATCH(WEEKDAY('BRA Power'!A156,3),'Master Data'!$A$2:$A$8,0),2)</f>
        <v>Th</v>
      </c>
      <c r="D156" s="124" t="n">
        <v>180538</v>
      </c>
      <c r="E156" s="124" t="n">
        <v>45324.5856559281</v>
      </c>
      <c r="F156" s="124" t="n">
        <v>0</v>
      </c>
      <c r="G156" s="124" t="n">
        <f aca="false">13053560.3-100000</f>
        <v>12953560.3</v>
      </c>
      <c r="I156" s="124" t="n">
        <f aca="false">IF(MONTH($A156)=MONTH($A155),IF(G156=0,I155,G156),G156)</f>
        <v>12953560.3</v>
      </c>
      <c r="J156" s="124" t="n">
        <f aca="false">IF(MONTH($A156)=MONTH($A155),SUM(I156-I155),I156)</f>
        <v>-141409.699999999</v>
      </c>
      <c r="K156" s="124" t="n">
        <f aca="false">IF(WEEKDAY(A156,3)&gt;4,0,(IF(A156&lt;K$2,0,IF(A156&lt;=K$3,1,0))))</f>
        <v>0</v>
      </c>
      <c r="L156" s="124" t="n">
        <f aca="false">J156*K156</f>
        <v>-0</v>
      </c>
      <c r="M156" s="124" t="n">
        <f aca="false">SUM(J$97:J156)</f>
        <v>14620412.3</v>
      </c>
      <c r="N156" s="124" t="n">
        <f aca="false">SUM(J$6:J156)</f>
        <v>23231696.3</v>
      </c>
      <c r="P156" s="124" t="n">
        <f aca="false">D156/P$3</f>
        <v>0.180538</v>
      </c>
      <c r="Q156" s="124" t="n">
        <f aca="false">E156/P$3</f>
        <v>0.0453245856559281</v>
      </c>
      <c r="R156" s="124" t="n">
        <f aca="false">F156/R$3</f>
        <v>0</v>
      </c>
      <c r="S156" s="126" t="n">
        <f aca="false">J156/$R$3</f>
        <v>-141.409699999999</v>
      </c>
      <c r="T156" s="126" t="n">
        <f aca="false">L156/$R$3</f>
        <v>-0</v>
      </c>
      <c r="U156" s="126" t="n">
        <f aca="false">I156/$R$3</f>
        <v>12953.5603</v>
      </c>
      <c r="V156" s="126" t="n">
        <f aca="false">M156/$R$3</f>
        <v>14620.4123</v>
      </c>
      <c r="W156" s="126" t="n">
        <f aca="false">N156/$R$3</f>
        <v>23231.6963</v>
      </c>
    </row>
    <row r="157" customFormat="false" ht="12.75" hidden="true" customHeight="false" outlineLevel="0" collapsed="false">
      <c r="A157" s="120" t="n">
        <f aca="false">A156+1</f>
        <v>37043</v>
      </c>
      <c r="B157" s="131" t="str">
        <f aca="false">INDEX('Master Data'!$A$2:$B$8,MATCH(WEEKDAY('BRA Power'!A157,3),'Master Data'!$A$2:$A$8,0),2)</f>
        <v>F</v>
      </c>
      <c r="D157" s="124" t="n">
        <v>180640</v>
      </c>
      <c r="E157" s="124" t="n">
        <v>45348.2641243761</v>
      </c>
      <c r="F157" s="124" t="n">
        <v>0</v>
      </c>
      <c r="G157" s="124" t="n">
        <v>2673</v>
      </c>
      <c r="I157" s="124" t="n">
        <f aca="false">IF(MONTH($A157)=MONTH($A156),IF(G157=0,I156,G157),G157)</f>
        <v>2673</v>
      </c>
      <c r="J157" s="124" t="n">
        <f aca="false">IF(MONTH($A157)=MONTH($A156),SUM(I157-I156),I157)</f>
        <v>2673</v>
      </c>
      <c r="K157" s="124" t="n">
        <f aca="false">IF(WEEKDAY(A157,3)&gt;4,0,(IF(A157&lt;K$2,0,IF(A157&lt;=K$3,1,0))))</f>
        <v>0</v>
      </c>
      <c r="L157" s="124" t="n">
        <f aca="false">J157*K157</f>
        <v>0</v>
      </c>
      <c r="M157" s="124" t="n">
        <f aca="false">SUM(J$97:J157)</f>
        <v>14623085.3</v>
      </c>
      <c r="N157" s="124" t="n">
        <f aca="false">SUM(J$6:J157)</f>
        <v>23234369.3</v>
      </c>
      <c r="P157" s="124" t="n">
        <f aca="false">D157/P$3</f>
        <v>0.18064</v>
      </c>
      <c r="Q157" s="124" t="n">
        <f aca="false">E157/P$3</f>
        <v>0.0453482641243761</v>
      </c>
      <c r="R157" s="124" t="n">
        <f aca="false">F157/R$3</f>
        <v>0</v>
      </c>
      <c r="S157" s="126" t="n">
        <f aca="false">J157/$R$3</f>
        <v>2.673</v>
      </c>
      <c r="T157" s="126" t="n">
        <f aca="false">L157/$R$3</f>
        <v>0</v>
      </c>
      <c r="U157" s="126" t="n">
        <f aca="false">I157/$R$3</f>
        <v>2.673</v>
      </c>
      <c r="V157" s="126" t="n">
        <f aca="false">M157/$R$3</f>
        <v>14623.0853</v>
      </c>
      <c r="W157" s="126" t="n">
        <f aca="false">N157/$R$3</f>
        <v>23234.3693</v>
      </c>
    </row>
    <row r="158" customFormat="false" ht="12.75" hidden="true" customHeight="false" outlineLevel="0" collapsed="false">
      <c r="A158" s="120" t="n">
        <f aca="false">A157+1</f>
        <v>37044</v>
      </c>
      <c r="B158" s="131" t="str">
        <f aca="false">INDEX('Master Data'!$A$2:$B$8,MATCH(WEEKDAY('BRA Power'!A158,3),'Master Data'!$A$2:$A$8,0),2)</f>
        <v>Sa</v>
      </c>
      <c r="D158" s="124" t="n">
        <v>0</v>
      </c>
      <c r="E158" s="124" t="n">
        <v>0</v>
      </c>
      <c r="F158" s="124" t="n">
        <v>0</v>
      </c>
      <c r="G158" s="124" t="n">
        <v>0</v>
      </c>
      <c r="I158" s="124" t="n">
        <f aca="false">IF(MONTH($A158)=MONTH($A157),IF(G158=0,I157,G158),G158)</f>
        <v>2673</v>
      </c>
      <c r="J158" s="124" t="n">
        <f aca="false">IF(MONTH($A158)=MONTH($A157),SUM(I158-I157),I158)</f>
        <v>0</v>
      </c>
      <c r="K158" s="124" t="n">
        <f aca="false">IF(WEEKDAY(A158,3)&gt;4,0,(IF(A158&lt;K$2,0,IF(A158&lt;=K$3,1,0))))</f>
        <v>0</v>
      </c>
      <c r="L158" s="124" t="n">
        <f aca="false">J158*K158</f>
        <v>0</v>
      </c>
      <c r="M158" s="124" t="n">
        <f aca="false">SUM(J$97:J158)</f>
        <v>14623085.3</v>
      </c>
      <c r="N158" s="124" t="n">
        <f aca="false">SUM(J$6:J158)</f>
        <v>23234369.3</v>
      </c>
      <c r="P158" s="124" t="n">
        <f aca="false">D158/P$3</f>
        <v>0</v>
      </c>
      <c r="Q158" s="124" t="n">
        <f aca="false">E158/P$3</f>
        <v>0</v>
      </c>
      <c r="R158" s="124" t="n">
        <f aca="false">F158/R$3</f>
        <v>0</v>
      </c>
      <c r="S158" s="126" t="n">
        <f aca="false">J158/$R$3</f>
        <v>0</v>
      </c>
      <c r="T158" s="126" t="n">
        <f aca="false">L158/$R$3</f>
        <v>0</v>
      </c>
      <c r="U158" s="126" t="n">
        <f aca="false">I158/$R$3</f>
        <v>2.673</v>
      </c>
      <c r="V158" s="126" t="n">
        <f aca="false">M158/$R$3</f>
        <v>14623.0853</v>
      </c>
      <c r="W158" s="126" t="n">
        <f aca="false">N158/$R$3</f>
        <v>23234.3693</v>
      </c>
    </row>
    <row r="159" customFormat="false" ht="12.75" hidden="true" customHeight="false" outlineLevel="0" collapsed="false">
      <c r="A159" s="120" t="n">
        <f aca="false">A158+1</f>
        <v>37045</v>
      </c>
      <c r="B159" s="131" t="str">
        <f aca="false">INDEX('Master Data'!$A$2:$B$8,MATCH(WEEKDAY('BRA Power'!A159,3),'Master Data'!$A$2:$A$8,0),2)</f>
        <v>Su</v>
      </c>
      <c r="D159" s="124" t="n">
        <v>0</v>
      </c>
      <c r="E159" s="124" t="n">
        <v>0</v>
      </c>
      <c r="F159" s="124" t="n">
        <v>0</v>
      </c>
      <c r="G159" s="124" t="n">
        <v>0</v>
      </c>
      <c r="I159" s="124" t="n">
        <f aca="false">IF(MONTH($A159)=MONTH($A158),IF(G159=0,I158,G159),G159)</f>
        <v>2673</v>
      </c>
      <c r="J159" s="124" t="n">
        <f aca="false">IF(MONTH($A159)=MONTH($A158),SUM(I159-I158),I159)</f>
        <v>0</v>
      </c>
      <c r="K159" s="124" t="n">
        <f aca="false">IF(WEEKDAY(A159,3)&gt;4,0,(IF(A159&lt;K$2,0,IF(A159&lt;=K$3,1,0))))</f>
        <v>0</v>
      </c>
      <c r="L159" s="124" t="n">
        <f aca="false">J159*K159</f>
        <v>0</v>
      </c>
      <c r="M159" s="124" t="n">
        <f aca="false">SUM(J$97:J159)</f>
        <v>14623085.3</v>
      </c>
      <c r="N159" s="124" t="n">
        <f aca="false">SUM(J$6:J159)</f>
        <v>23234369.3</v>
      </c>
      <c r="P159" s="124" t="n">
        <f aca="false">D159/P$3</f>
        <v>0</v>
      </c>
      <c r="Q159" s="124" t="n">
        <f aca="false">E159/P$3</f>
        <v>0</v>
      </c>
      <c r="R159" s="124" t="n">
        <f aca="false">F159/R$3</f>
        <v>0</v>
      </c>
      <c r="S159" s="126" t="n">
        <f aca="false">J159/$R$3</f>
        <v>0</v>
      </c>
      <c r="T159" s="126" t="n">
        <f aca="false">L159/$R$3</f>
        <v>0</v>
      </c>
      <c r="U159" s="126" t="n">
        <f aca="false">I159/$R$3</f>
        <v>2.673</v>
      </c>
      <c r="V159" s="126" t="n">
        <f aca="false">M159/$R$3</f>
        <v>14623.0853</v>
      </c>
      <c r="W159" s="126" t="n">
        <f aca="false">N159/$R$3</f>
        <v>23234.3693</v>
      </c>
    </row>
    <row r="160" customFormat="false" ht="12.75" hidden="true" customHeight="false" outlineLevel="0" collapsed="false">
      <c r="A160" s="120" t="n">
        <f aca="false">A159+1</f>
        <v>37046</v>
      </c>
      <c r="B160" s="131" t="str">
        <f aca="false">INDEX('Master Data'!$A$2:$B$8,MATCH(WEEKDAY('BRA Power'!A160,3),'Master Data'!$A$2:$A$8,0),2)</f>
        <v>M</v>
      </c>
      <c r="D160" s="124" t="n">
        <v>180945</v>
      </c>
      <c r="E160" s="124" t="n">
        <v>45419.3742448428</v>
      </c>
      <c r="F160" s="124" t="n">
        <v>0</v>
      </c>
      <c r="G160" s="124" t="n">
        <v>10698</v>
      </c>
      <c r="I160" s="124" t="n">
        <f aca="false">IF(MONTH($A160)=MONTH($A159),IF(G160=0,I159,G160),G160)</f>
        <v>10698</v>
      </c>
      <c r="J160" s="124" t="n">
        <f aca="false">IF(MONTH($A160)=MONTH($A159),SUM(I160-I159),I160)</f>
        <v>8025</v>
      </c>
      <c r="K160" s="124" t="n">
        <f aca="false">IF(WEEKDAY(A160,3)&gt;4,0,(IF(A160&lt;K$2,0,IF(A160&lt;=K$3,1,0))))</f>
        <v>0</v>
      </c>
      <c r="L160" s="124" t="n">
        <f aca="false">J160*K160</f>
        <v>0</v>
      </c>
      <c r="M160" s="124" t="n">
        <f aca="false">SUM(J$97:J160)</f>
        <v>14631110.3</v>
      </c>
      <c r="N160" s="124" t="n">
        <f aca="false">SUM(J$6:J160)</f>
        <v>23242394.3</v>
      </c>
      <c r="P160" s="124" t="n">
        <f aca="false">D160/P$3</f>
        <v>0.180945</v>
      </c>
      <c r="Q160" s="124" t="n">
        <f aca="false">E160/P$3</f>
        <v>0.0454193742448428</v>
      </c>
      <c r="R160" s="124" t="n">
        <f aca="false">F160/R$3</f>
        <v>0</v>
      </c>
      <c r="S160" s="126" t="n">
        <f aca="false">J160/$R$3</f>
        <v>8.025</v>
      </c>
      <c r="T160" s="126" t="n">
        <f aca="false">L160/$R$3</f>
        <v>0</v>
      </c>
      <c r="U160" s="126" t="n">
        <f aca="false">I160/$R$3</f>
        <v>10.698</v>
      </c>
      <c r="V160" s="126" t="n">
        <f aca="false">M160/$R$3</f>
        <v>14631.1103</v>
      </c>
      <c r="W160" s="126" t="n">
        <f aca="false">N160/$R$3</f>
        <v>23242.3943</v>
      </c>
    </row>
    <row r="161" customFormat="false" ht="12.75" hidden="true" customHeight="false" outlineLevel="0" collapsed="false">
      <c r="A161" s="120" t="n">
        <f aca="false">A160+1</f>
        <v>37047</v>
      </c>
      <c r="B161" s="131" t="str">
        <f aca="false">INDEX('Master Data'!$A$2:$B$8,MATCH(WEEKDAY('BRA Power'!A161,3),'Master Data'!$A$2:$A$8,0),2)</f>
        <v>T</v>
      </c>
      <c r="D161" s="124" t="n">
        <v>181046.405164574</v>
      </c>
      <c r="E161" s="124" t="n">
        <v>45443.1025453295</v>
      </c>
      <c r="F161" s="124" t="n">
        <v>0</v>
      </c>
      <c r="G161" s="124" t="n">
        <v>919486</v>
      </c>
      <c r="I161" s="124" t="n">
        <f aca="false">IF(MONTH($A161)=MONTH($A160),IF(G161=0,I160,G161),G161)</f>
        <v>919486</v>
      </c>
      <c r="J161" s="124" t="n">
        <f aca="false">IF(MONTH($A161)=MONTH($A160),SUM(I161-I160),I161)</f>
        <v>908788</v>
      </c>
      <c r="K161" s="124" t="n">
        <f aca="false">IF(WEEKDAY(A161,3)&gt;4,0,(IF(A161&lt;K$2,0,IF(A161&lt;=K$3,1,0))))</f>
        <v>0</v>
      </c>
      <c r="L161" s="124" t="n">
        <f aca="false">J161*K161</f>
        <v>0</v>
      </c>
      <c r="M161" s="124" t="n">
        <f aca="false">SUM(J$97:J161)</f>
        <v>15539898.3</v>
      </c>
      <c r="N161" s="124" t="n">
        <f aca="false">SUM(J$6:J161)</f>
        <v>24151182.3</v>
      </c>
      <c r="P161" s="124" t="n">
        <f aca="false">D161/P$3</f>
        <v>0.181046405164574</v>
      </c>
      <c r="Q161" s="124" t="n">
        <f aca="false">E161/P$3</f>
        <v>0.0454431025453295</v>
      </c>
      <c r="R161" s="124" t="n">
        <f aca="false">F161/R$3</f>
        <v>0</v>
      </c>
      <c r="S161" s="126" t="n">
        <f aca="false">J161/$R$3</f>
        <v>908.788</v>
      </c>
      <c r="T161" s="126" t="n">
        <f aca="false">L161/$R$3</f>
        <v>0</v>
      </c>
      <c r="U161" s="126" t="n">
        <f aca="false">I161/$R$3</f>
        <v>919.486</v>
      </c>
      <c r="V161" s="126" t="n">
        <f aca="false">M161/$R$3</f>
        <v>15539.8983</v>
      </c>
      <c r="W161" s="126" t="n">
        <f aca="false">N161/$R$3</f>
        <v>24151.1823</v>
      </c>
    </row>
    <row r="162" customFormat="false" ht="12.75" hidden="true" customHeight="false" outlineLevel="0" collapsed="false">
      <c r="A162" s="120" t="n">
        <f aca="false">A161+1</f>
        <v>37048</v>
      </c>
      <c r="B162" s="131" t="str">
        <f aca="false">INDEX('Master Data'!$A$2:$B$8,MATCH(WEEKDAY('BRA Power'!A162,3),'Master Data'!$A$2:$A$8,0),2)</f>
        <v>W</v>
      </c>
      <c r="D162" s="124" t="n">
        <v>181148</v>
      </c>
      <c r="E162" s="124" t="n">
        <v>45466.8433203025</v>
      </c>
      <c r="F162" s="124" t="n">
        <v>0</v>
      </c>
      <c r="G162" s="124" t="n">
        <v>922635</v>
      </c>
      <c r="I162" s="124" t="n">
        <f aca="false">IF(MONTH($A162)=MONTH($A161),IF(G162=0,I161,G162),G162)</f>
        <v>922635</v>
      </c>
      <c r="J162" s="124" t="n">
        <f aca="false">IF(MONTH($A162)=MONTH($A161),SUM(I162-I161),I162)</f>
        <v>3149</v>
      </c>
      <c r="K162" s="124" t="n">
        <f aca="false">IF(WEEKDAY(A162,3)&gt;4,0,(IF(A162&lt;K$2,0,IF(A162&lt;=K$3,1,0))))</f>
        <v>0</v>
      </c>
      <c r="L162" s="124" t="n">
        <f aca="false">J162*K162</f>
        <v>0</v>
      </c>
      <c r="M162" s="124" t="n">
        <f aca="false">SUM(J$97:J162)</f>
        <v>15543047.3</v>
      </c>
      <c r="N162" s="124" t="n">
        <f aca="false">SUM(J$6:J162)</f>
        <v>24154331.3</v>
      </c>
      <c r="P162" s="124" t="n">
        <f aca="false">D162/P$3</f>
        <v>0.181148</v>
      </c>
      <c r="Q162" s="124" t="n">
        <f aca="false">E162/P$3</f>
        <v>0.0454668433203025</v>
      </c>
      <c r="R162" s="124" t="n">
        <f aca="false">F162/R$3</f>
        <v>0</v>
      </c>
      <c r="S162" s="126" t="n">
        <f aca="false">J162/$R$3</f>
        <v>3.149</v>
      </c>
      <c r="T162" s="126" t="n">
        <f aca="false">L162/$R$3</f>
        <v>0</v>
      </c>
      <c r="U162" s="126" t="n">
        <f aca="false">I162/$R$3</f>
        <v>922.635</v>
      </c>
      <c r="V162" s="126" t="n">
        <f aca="false">M162/$R$3</f>
        <v>15543.0473</v>
      </c>
      <c r="W162" s="126" t="n">
        <f aca="false">N162/$R$3</f>
        <v>24154.3313</v>
      </c>
    </row>
    <row r="163" customFormat="false" ht="12.75" hidden="true" customHeight="false" outlineLevel="0" collapsed="false">
      <c r="A163" s="120" t="n">
        <f aca="false">A162+1</f>
        <v>37049</v>
      </c>
      <c r="B163" s="131" t="str">
        <f aca="false">INDEX('Master Data'!$A$2:$B$8,MATCH(WEEKDAY('BRA Power'!A163,3),'Master Data'!$A$2:$A$8,0),2)</f>
        <v>Th</v>
      </c>
      <c r="D163" s="124" t="n">
        <v>181250</v>
      </c>
      <c r="E163" s="124" t="n">
        <v>45490.5965763593</v>
      </c>
      <c r="F163" s="124" t="n">
        <v>0</v>
      </c>
      <c r="G163" s="124" t="n">
        <v>925787</v>
      </c>
      <c r="I163" s="124" t="n">
        <f aca="false">IF(MONTH($A163)=MONTH($A162),IF(G163=0,I162,G163),G163)</f>
        <v>925787</v>
      </c>
      <c r="J163" s="124" t="n">
        <f aca="false">IF(MONTH($A163)=MONTH($A162),SUM(I163-I162),I163)</f>
        <v>3152</v>
      </c>
      <c r="K163" s="124" t="n">
        <f aca="false">IF(WEEKDAY(A163,3)&gt;4,0,(IF(A163&lt;K$2,0,IF(A163&lt;=K$3,1,0))))</f>
        <v>0</v>
      </c>
      <c r="L163" s="124" t="n">
        <f aca="false">J163*K163</f>
        <v>0</v>
      </c>
      <c r="M163" s="124" t="n">
        <f aca="false">SUM(J$97:J163)</f>
        <v>15546199.3</v>
      </c>
      <c r="N163" s="124" t="n">
        <f aca="false">SUM(J$6:J163)</f>
        <v>24157483.3</v>
      </c>
      <c r="P163" s="124" t="n">
        <f aca="false">D163/P$3</f>
        <v>0.18125</v>
      </c>
      <c r="Q163" s="124" t="n">
        <f aca="false">E163/P$3</f>
        <v>0.0454905965763593</v>
      </c>
      <c r="R163" s="124" t="n">
        <f aca="false">F163/R$3</f>
        <v>0</v>
      </c>
      <c r="S163" s="126" t="n">
        <f aca="false">J163/$R$3</f>
        <v>3.152</v>
      </c>
      <c r="T163" s="126" t="n">
        <f aca="false">L163/$R$3</f>
        <v>0</v>
      </c>
      <c r="U163" s="126" t="n">
        <f aca="false">I163/$R$3</f>
        <v>925.787</v>
      </c>
      <c r="V163" s="126" t="n">
        <f aca="false">M163/$R$3</f>
        <v>15546.1993</v>
      </c>
      <c r="W163" s="126" t="n">
        <f aca="false">N163/$R$3</f>
        <v>24157.4833</v>
      </c>
    </row>
    <row r="164" customFormat="false" ht="12.75" hidden="true" customHeight="false" outlineLevel="0" collapsed="false">
      <c r="A164" s="120" t="n">
        <f aca="false">A163+1</f>
        <v>37050</v>
      </c>
      <c r="B164" s="131" t="str">
        <f aca="false">INDEX('Master Data'!$A$2:$B$8,MATCH(WEEKDAY('BRA Power'!A164,3),'Master Data'!$A$2:$A$8,0),2)</f>
        <v>F</v>
      </c>
      <c r="D164" s="124" t="n">
        <v>181352.053407759</v>
      </c>
      <c r="E164" s="124" t="n">
        <v>45514.362320101</v>
      </c>
      <c r="F164" s="124" t="n">
        <v>0</v>
      </c>
      <c r="G164" s="124" t="n">
        <v>928941</v>
      </c>
      <c r="I164" s="124" t="n">
        <f aca="false">IF(MONTH($A164)=MONTH($A163),IF(G164=0,I163,G164),G164)</f>
        <v>928941</v>
      </c>
      <c r="J164" s="124" t="n">
        <f aca="false">IF(MONTH($A164)=MONTH($A163),SUM(I164-I163),I164)</f>
        <v>3154</v>
      </c>
      <c r="K164" s="124" t="n">
        <f aca="false">IF(WEEKDAY(A164,3)&gt;4,0,(IF(A164&lt;K$2,0,IF(A164&lt;=K$3,1,0))))</f>
        <v>0</v>
      </c>
      <c r="L164" s="124" t="n">
        <f aca="false">J164*K164</f>
        <v>0</v>
      </c>
      <c r="M164" s="124" t="n">
        <f aca="false">SUM(J$97:J164)</f>
        <v>15549353.3</v>
      </c>
      <c r="N164" s="124" t="n">
        <f aca="false">SUM(J$6:J164)</f>
        <v>24160637.3</v>
      </c>
      <c r="P164" s="124" t="n">
        <f aca="false">D164/P$3</f>
        <v>0.181352053407759</v>
      </c>
      <c r="Q164" s="124" t="n">
        <f aca="false">E164/P$3</f>
        <v>0.045514362320101</v>
      </c>
      <c r="R164" s="124" t="n">
        <f aca="false">F164/R$3</f>
        <v>0</v>
      </c>
      <c r="S164" s="126" t="n">
        <f aca="false">J164/$R$3</f>
        <v>3.154</v>
      </c>
      <c r="T164" s="126" t="n">
        <f aca="false">L164/$R$3</f>
        <v>0</v>
      </c>
      <c r="U164" s="126" t="n">
        <f aca="false">I164/$R$3</f>
        <v>928.941</v>
      </c>
      <c r="V164" s="126" t="n">
        <f aca="false">M164/$R$3</f>
        <v>15549.3533</v>
      </c>
      <c r="W164" s="126" t="n">
        <f aca="false">N164/$R$3</f>
        <v>24160.6373</v>
      </c>
    </row>
    <row r="165" customFormat="false" ht="12.75" hidden="true" customHeight="false" outlineLevel="0" collapsed="false">
      <c r="A165" s="120" t="n">
        <f aca="false">A164+1</f>
        <v>37051</v>
      </c>
      <c r="B165" s="131" t="str">
        <f aca="false">INDEX('Master Data'!$A$2:$B$8,MATCH(WEEKDAY('BRA Power'!A165,3),'Master Data'!$A$2:$A$8,0),2)</f>
        <v>Sa</v>
      </c>
      <c r="D165" s="124" t="n">
        <v>0</v>
      </c>
      <c r="E165" s="124" t="n">
        <v>0</v>
      </c>
      <c r="F165" s="124" t="n">
        <v>0</v>
      </c>
      <c r="G165" s="124" t="n">
        <v>0</v>
      </c>
      <c r="I165" s="124" t="n">
        <f aca="false">IF(MONTH($A165)=MONTH($A164),IF(G165=0,I164,G165),G165)</f>
        <v>928941</v>
      </c>
      <c r="J165" s="124" t="n">
        <f aca="false">IF(MONTH($A165)=MONTH($A164),SUM(I165-I164),I165)</f>
        <v>0</v>
      </c>
      <c r="K165" s="124" t="n">
        <f aca="false">IF(WEEKDAY(A165,3)&gt;4,0,(IF(A165&lt;K$2,0,IF(A165&lt;=K$3,1,0))))</f>
        <v>0</v>
      </c>
      <c r="L165" s="124" t="n">
        <f aca="false">J165*K165</f>
        <v>0</v>
      </c>
      <c r="M165" s="124" t="n">
        <f aca="false">SUM(J$97:J165)</f>
        <v>15549353.3</v>
      </c>
      <c r="N165" s="124" t="n">
        <f aca="false">SUM(J$6:J165)</f>
        <v>24160637.3</v>
      </c>
      <c r="P165" s="124" t="n">
        <f aca="false">D165/P$3</f>
        <v>0</v>
      </c>
      <c r="Q165" s="124" t="n">
        <f aca="false">E165/P$3</f>
        <v>0</v>
      </c>
      <c r="R165" s="124" t="n">
        <f aca="false">F165/R$3</f>
        <v>0</v>
      </c>
      <c r="S165" s="126" t="n">
        <f aca="false">J165/$R$3</f>
        <v>0</v>
      </c>
      <c r="T165" s="126" t="n">
        <f aca="false">L165/$R$3</f>
        <v>0</v>
      </c>
      <c r="U165" s="126" t="n">
        <f aca="false">I165/$R$3</f>
        <v>928.941</v>
      </c>
      <c r="V165" s="126" t="n">
        <f aca="false">M165/$R$3</f>
        <v>15549.3533</v>
      </c>
      <c r="W165" s="126" t="n">
        <f aca="false">N165/$R$3</f>
        <v>24160.6373</v>
      </c>
    </row>
    <row r="166" customFormat="false" ht="12.75" hidden="true" customHeight="false" outlineLevel="0" collapsed="false">
      <c r="A166" s="120" t="n">
        <f aca="false">A165+1</f>
        <v>37052</v>
      </c>
      <c r="B166" s="131" t="str">
        <f aca="false">INDEX('Master Data'!$A$2:$B$8,MATCH(WEEKDAY('BRA Power'!A166,3),'Master Data'!$A$2:$A$8,0),2)</f>
        <v>Su</v>
      </c>
      <c r="D166" s="124" t="n">
        <v>0</v>
      </c>
      <c r="E166" s="124" t="n">
        <v>0</v>
      </c>
      <c r="F166" s="124" t="n">
        <v>0</v>
      </c>
      <c r="G166" s="124" t="n">
        <v>0</v>
      </c>
      <c r="I166" s="124" t="n">
        <f aca="false">IF(MONTH($A166)=MONTH($A165),IF(G166=0,I165,G166),G166)</f>
        <v>928941</v>
      </c>
      <c r="J166" s="124" t="n">
        <f aca="false">IF(MONTH($A166)=MONTH($A165),SUM(I166-I165),I166)</f>
        <v>0</v>
      </c>
      <c r="K166" s="124" t="n">
        <f aca="false">IF(WEEKDAY(A166,3)&gt;4,0,(IF(A166&lt;K$2,0,IF(A166&lt;=K$3,1,0))))</f>
        <v>0</v>
      </c>
      <c r="L166" s="124" t="n">
        <f aca="false">J166*K166</f>
        <v>0</v>
      </c>
      <c r="M166" s="124" t="n">
        <f aca="false">SUM(J$97:J166)</f>
        <v>15549353.3</v>
      </c>
      <c r="N166" s="124" t="n">
        <f aca="false">SUM(J$6:J166)</f>
        <v>24160637.3</v>
      </c>
      <c r="P166" s="124" t="n">
        <f aca="false">D166/P$3</f>
        <v>0</v>
      </c>
      <c r="Q166" s="124" t="n">
        <f aca="false">E166/P$3</f>
        <v>0</v>
      </c>
      <c r="R166" s="124" t="n">
        <f aca="false">F166/R$3</f>
        <v>0</v>
      </c>
      <c r="S166" s="126" t="n">
        <f aca="false">J166/$R$3</f>
        <v>0</v>
      </c>
      <c r="T166" s="126" t="n">
        <f aca="false">L166/$R$3</f>
        <v>0</v>
      </c>
      <c r="U166" s="126" t="n">
        <f aca="false">I166/$R$3</f>
        <v>928.941</v>
      </c>
      <c r="V166" s="126" t="n">
        <f aca="false">M166/$R$3</f>
        <v>15549.3533</v>
      </c>
      <c r="W166" s="126" t="n">
        <f aca="false">N166/$R$3</f>
        <v>24160.6373</v>
      </c>
    </row>
    <row r="167" customFormat="false" ht="12.75" hidden="true" customHeight="false" outlineLevel="0" collapsed="false">
      <c r="A167" s="120" t="n">
        <f aca="false">A166+1</f>
        <v>37053</v>
      </c>
      <c r="B167" s="131" t="str">
        <f aca="false">INDEX('Master Data'!$A$2:$B$8,MATCH(WEEKDAY('BRA Power'!A167,3),'Master Data'!$A$2:$A$8,0),2)</f>
        <v>M</v>
      </c>
      <c r="D167" s="124" t="n">
        <v>181658.221444372</v>
      </c>
      <c r="E167" s="124" t="n">
        <v>45585.7345435001</v>
      </c>
      <c r="F167" s="124" t="n">
        <v>0</v>
      </c>
      <c r="G167" s="124" t="n">
        <v>938409</v>
      </c>
      <c r="I167" s="124" t="n">
        <f aca="false">IF(MONTH($A167)=MONTH($A166),IF(G167=0,I166,G167),G167)</f>
        <v>938409</v>
      </c>
      <c r="J167" s="124" t="n">
        <f aca="false">IF(MONTH($A167)=MONTH($A166),SUM(I167-I166),I167)</f>
        <v>9468</v>
      </c>
      <c r="K167" s="124" t="n">
        <f aca="false">IF(WEEKDAY(A167,3)&gt;4,0,(IF(A167&lt;K$2,0,IF(A167&lt;=K$3,1,0))))</f>
        <v>0</v>
      </c>
      <c r="L167" s="124" t="n">
        <f aca="false">J167*K167</f>
        <v>0</v>
      </c>
      <c r="M167" s="124" t="n">
        <f aca="false">SUM(J$97:J167)</f>
        <v>15558821.3</v>
      </c>
      <c r="N167" s="124" t="n">
        <f aca="false">SUM(J$6:J167)</f>
        <v>24170105.3</v>
      </c>
      <c r="P167" s="124" t="n">
        <f aca="false">D167/P$3</f>
        <v>0.181658221444372</v>
      </c>
      <c r="Q167" s="124" t="n">
        <f aca="false">E167/P$3</f>
        <v>0.0455857345435001</v>
      </c>
      <c r="R167" s="124" t="n">
        <f aca="false">F167/R$3</f>
        <v>0</v>
      </c>
      <c r="S167" s="126" t="n">
        <f aca="false">J167/$R$3</f>
        <v>9.468</v>
      </c>
      <c r="T167" s="126" t="n">
        <f aca="false">L167/$R$3</f>
        <v>0</v>
      </c>
      <c r="U167" s="126" t="n">
        <f aca="false">I167/$R$3</f>
        <v>938.409</v>
      </c>
      <c r="V167" s="126" t="n">
        <f aca="false">M167/$R$3</f>
        <v>15558.8213</v>
      </c>
      <c r="W167" s="126" t="n">
        <f aca="false">N167/$R$3</f>
        <v>24170.1053</v>
      </c>
    </row>
    <row r="168" customFormat="false" ht="12.75" hidden="true" customHeight="false" outlineLevel="0" collapsed="false">
      <c r="A168" s="120" t="n">
        <f aca="false">A167+1</f>
        <v>37054</v>
      </c>
      <c r="B168" s="131" t="str">
        <f aca="false">INDEX('Master Data'!$A$2:$B$8,MATCH(WEEKDAY('BRA Power'!A168,3),'Master Data'!$A$2:$A$8,0),2)</f>
        <v>T</v>
      </c>
      <c r="D168" s="124" t="n">
        <v>181760.393119917</v>
      </c>
      <c r="E168" s="124" t="n">
        <v>45609.5503040633</v>
      </c>
      <c r="F168" s="124" t="n">
        <v>0</v>
      </c>
      <c r="G168" s="124" t="n">
        <v>941569</v>
      </c>
      <c r="I168" s="124" t="n">
        <f aca="false">IF(MONTH($A168)=MONTH($A167),IF(G168=0,I167,G168),G168)</f>
        <v>941569</v>
      </c>
      <c r="J168" s="124" t="n">
        <f aca="false">IF(MONTH($A168)=MONTH($A167),SUM(I168-I167),I168)</f>
        <v>3160</v>
      </c>
      <c r="K168" s="124" t="n">
        <f aca="false">IF(WEEKDAY(A168,3)&gt;4,0,(IF(A168&lt;K$2,0,IF(A168&lt;=K$3,1,0))))</f>
        <v>0</v>
      </c>
      <c r="L168" s="124" t="n">
        <f aca="false">J168*K168</f>
        <v>0</v>
      </c>
      <c r="M168" s="124" t="n">
        <f aca="false">SUM(J$97:J168)</f>
        <v>15561981.3</v>
      </c>
      <c r="N168" s="124" t="n">
        <f aca="false">SUM(J$6:J168)</f>
        <v>24173265.3</v>
      </c>
      <c r="P168" s="124" t="n">
        <f aca="false">D168/P$3</f>
        <v>0.181760393119917</v>
      </c>
      <c r="Q168" s="124" t="n">
        <f aca="false">E168/P$3</f>
        <v>0.0456095503040633</v>
      </c>
      <c r="R168" s="124" t="n">
        <f aca="false">F168/R$3</f>
        <v>0</v>
      </c>
      <c r="S168" s="126" t="n">
        <f aca="false">J168/$R$3</f>
        <v>3.16</v>
      </c>
      <c r="T168" s="126" t="n">
        <f aca="false">L168/$R$3</f>
        <v>0</v>
      </c>
      <c r="U168" s="126" t="n">
        <f aca="false">I168/$R$3</f>
        <v>941.569</v>
      </c>
      <c r="V168" s="126" t="n">
        <f aca="false">M168/$R$3</f>
        <v>15561.9813</v>
      </c>
      <c r="W168" s="126" t="n">
        <f aca="false">N168/$R$3</f>
        <v>24173.2653</v>
      </c>
    </row>
    <row r="169" customFormat="false" ht="12.75" hidden="true" customHeight="false" outlineLevel="0" collapsed="false">
      <c r="A169" s="120" t="n">
        <f aca="false">A168+1</f>
        <v>37055</v>
      </c>
      <c r="B169" s="131" t="str">
        <f aca="false">INDEX('Master Data'!$A$2:$B$8,MATCH(WEEKDAY('BRA Power'!A169,3),'Master Data'!$A$2:$A$8,0),2)</f>
        <v>W</v>
      </c>
      <c r="D169" s="124" t="n">
        <v>181862.622682082</v>
      </c>
      <c r="E169" s="124" t="n">
        <v>45633.3785853699</v>
      </c>
      <c r="F169" s="124" t="n">
        <v>0</v>
      </c>
      <c r="G169" s="124" t="n">
        <v>944730</v>
      </c>
      <c r="I169" s="124" t="n">
        <f aca="false">IF(MONTH($A169)=MONTH($A168),IF(G169=0,I168,G169),G169)</f>
        <v>944730</v>
      </c>
      <c r="J169" s="124" t="n">
        <f aca="false">IF(MONTH($A169)=MONTH($A168),SUM(I169-I168),I169)</f>
        <v>3161</v>
      </c>
      <c r="K169" s="124" t="n">
        <f aca="false">IF(WEEKDAY(A169,3)&gt;4,0,(IF(A169&lt;K$2,0,IF(A169&lt;=K$3,1,0))))</f>
        <v>0</v>
      </c>
      <c r="L169" s="124" t="n">
        <f aca="false">J169*K169</f>
        <v>0</v>
      </c>
      <c r="M169" s="124" t="n">
        <f aca="false">SUM(J$97:J169)</f>
        <v>15565142.3</v>
      </c>
      <c r="N169" s="124" t="n">
        <f aca="false">SUM(J$6:J169)</f>
        <v>24176426.3</v>
      </c>
      <c r="P169" s="124" t="n">
        <f aca="false">D169/P$3</f>
        <v>0.181862622682082</v>
      </c>
      <c r="Q169" s="124" t="n">
        <f aca="false">E169/P$3</f>
        <v>0.0456333785853699</v>
      </c>
      <c r="R169" s="124" t="n">
        <f aca="false">F169/R$3</f>
        <v>0</v>
      </c>
      <c r="S169" s="126" t="n">
        <f aca="false">J169/$R$3</f>
        <v>3.161</v>
      </c>
      <c r="T169" s="126" t="n">
        <f aca="false">L169/$R$3</f>
        <v>0</v>
      </c>
      <c r="U169" s="126" t="n">
        <f aca="false">I169/$R$3</f>
        <v>944.73</v>
      </c>
      <c r="V169" s="126" t="n">
        <f aca="false">M169/$R$3</f>
        <v>15565.1423</v>
      </c>
      <c r="W169" s="126" t="n">
        <f aca="false">N169/$R$3</f>
        <v>24176.4263</v>
      </c>
    </row>
    <row r="170" customFormat="false" ht="12.75" hidden="true" customHeight="false" outlineLevel="0" collapsed="false">
      <c r="A170" s="120" t="n">
        <f aca="false">A169+1</f>
        <v>37056</v>
      </c>
      <c r="B170" s="131" t="str">
        <f aca="false">INDEX('Master Data'!$A$2:$B$8,MATCH(WEEKDAY('BRA Power'!A170,3),'Master Data'!$A$2:$A$8,0),2)</f>
        <v>Th</v>
      </c>
      <c r="D170" s="124" t="n">
        <v>181964.910163868</v>
      </c>
      <c r="E170" s="124" t="n">
        <v>45657.2193940421</v>
      </c>
      <c r="F170" s="124" t="n">
        <v>0</v>
      </c>
      <c r="G170" s="124" t="n">
        <v>947892</v>
      </c>
      <c r="I170" s="124" t="n">
        <f aca="false">IF(MONTH($A170)=MONTH($A169),IF(G170=0,I169,G170),G170)</f>
        <v>947892</v>
      </c>
      <c r="J170" s="124" t="n">
        <f aca="false">IF(MONTH($A170)=MONTH($A169),SUM(I170-I169),I170)</f>
        <v>3162</v>
      </c>
      <c r="K170" s="124" t="n">
        <f aca="false">IF(WEEKDAY(A170,3)&gt;4,0,(IF(A170&lt;K$2,0,IF(A170&lt;=K$3,1,0))))</f>
        <v>0</v>
      </c>
      <c r="L170" s="124" t="n">
        <f aca="false">J170*K170</f>
        <v>0</v>
      </c>
      <c r="M170" s="124" t="n">
        <f aca="false">SUM(J$97:J170)</f>
        <v>15568304.3</v>
      </c>
      <c r="N170" s="124" t="n">
        <f aca="false">SUM(J$6:J170)</f>
        <v>24179588.3</v>
      </c>
      <c r="P170" s="124" t="n">
        <f aca="false">D170/P$3</f>
        <v>0.181964910163868</v>
      </c>
      <c r="Q170" s="124" t="n">
        <f aca="false">E170/P$3</f>
        <v>0.0456572193940421</v>
      </c>
      <c r="R170" s="124" t="n">
        <f aca="false">F170/R$3</f>
        <v>0</v>
      </c>
      <c r="S170" s="126" t="n">
        <f aca="false">J170/$R$3</f>
        <v>3.162</v>
      </c>
      <c r="T170" s="126" t="n">
        <f aca="false">L170/$R$3</f>
        <v>0</v>
      </c>
      <c r="U170" s="126" t="n">
        <f aca="false">I170/$R$3</f>
        <v>947.892</v>
      </c>
      <c r="V170" s="126" t="n">
        <f aca="false">M170/$R$3</f>
        <v>15568.3043</v>
      </c>
      <c r="W170" s="126" t="n">
        <f aca="false">N170/$R$3</f>
        <v>24179.5883</v>
      </c>
    </row>
    <row r="171" customFormat="false" ht="12.75" hidden="true" customHeight="false" outlineLevel="0" collapsed="false">
      <c r="A171" s="120" t="n">
        <f aca="false">A170+1</f>
        <v>37057</v>
      </c>
      <c r="B171" s="131" t="str">
        <f aca="false">INDEX('Master Data'!$A$2:$B$8,MATCH(WEEKDAY('BRA Power'!A171,3),'Master Data'!$A$2:$A$8,0),2)</f>
        <v>F</v>
      </c>
      <c r="D171" s="124" t="n">
        <v>182067.255598293</v>
      </c>
      <c r="E171" s="124" t="n">
        <v>45681.0727367055</v>
      </c>
      <c r="F171" s="124" t="n">
        <v>0</v>
      </c>
      <c r="G171" s="124" t="n">
        <v>951056</v>
      </c>
      <c r="I171" s="124" t="n">
        <f aca="false">IF(MONTH($A171)=MONTH($A170),IF(G171=0,I170,G171),G171)</f>
        <v>951056</v>
      </c>
      <c r="J171" s="124" t="n">
        <f aca="false">IF(MONTH($A171)=MONTH($A170),SUM(I171-I170),I171)</f>
        <v>3164</v>
      </c>
      <c r="K171" s="124" t="n">
        <f aca="false">IF(WEEKDAY(A171,3)&gt;4,0,(IF(A171&lt;K$2,0,IF(A171&lt;=K$3,1,0))))</f>
        <v>0</v>
      </c>
      <c r="L171" s="124" t="n">
        <f aca="false">J171*K171</f>
        <v>0</v>
      </c>
      <c r="M171" s="124" t="n">
        <f aca="false">SUM(J$97:J171)</f>
        <v>15571468.3</v>
      </c>
      <c r="N171" s="124" t="n">
        <f aca="false">SUM(J$6:J171)</f>
        <v>24182752.3</v>
      </c>
      <c r="P171" s="124" t="n">
        <f aca="false">D171/P$3</f>
        <v>0.182067255598293</v>
      </c>
      <c r="Q171" s="124" t="n">
        <f aca="false">E171/P$3</f>
        <v>0.0456810727367056</v>
      </c>
      <c r="R171" s="124" t="n">
        <f aca="false">F171/R$3</f>
        <v>0</v>
      </c>
      <c r="S171" s="126" t="n">
        <f aca="false">J171/$R$3</f>
        <v>3.164</v>
      </c>
      <c r="T171" s="126" t="n">
        <f aca="false">L171/$R$3</f>
        <v>0</v>
      </c>
      <c r="U171" s="126" t="n">
        <f aca="false">I171/$R$3</f>
        <v>951.056</v>
      </c>
      <c r="V171" s="126" t="n">
        <f aca="false">M171/$R$3</f>
        <v>15571.4683</v>
      </c>
      <c r="W171" s="126" t="n">
        <f aca="false">N171/$R$3</f>
        <v>24182.7523</v>
      </c>
    </row>
    <row r="172" customFormat="false" ht="12.75" hidden="true" customHeight="false" outlineLevel="0" collapsed="false">
      <c r="A172" s="120" t="n">
        <f aca="false">A171+1</f>
        <v>37058</v>
      </c>
      <c r="B172" s="131" t="str">
        <f aca="false">INDEX('Master Data'!$A$2:$B$8,MATCH(WEEKDAY('BRA Power'!A172,3),'Master Data'!$A$2:$A$8,0),2)</f>
        <v>Sa</v>
      </c>
      <c r="D172" s="124" t="n">
        <v>0</v>
      </c>
      <c r="E172" s="124" t="n">
        <v>0</v>
      </c>
      <c r="F172" s="124" t="n">
        <v>0</v>
      </c>
      <c r="G172" s="124" t="n">
        <v>0</v>
      </c>
      <c r="I172" s="124" t="n">
        <f aca="false">IF(MONTH($A172)=MONTH($A171),IF(G172=0,I171,G172),G172)</f>
        <v>951056</v>
      </c>
      <c r="J172" s="124" t="n">
        <f aca="false">IF(MONTH($A172)=MONTH($A171),SUM(I172-I171),I172)</f>
        <v>0</v>
      </c>
      <c r="K172" s="124" t="n">
        <f aca="false">IF(WEEKDAY(A172,3)&gt;4,0,(IF(A172&lt;K$2,0,IF(A172&lt;=K$3,1,0))))</f>
        <v>0</v>
      </c>
      <c r="L172" s="124" t="n">
        <f aca="false">J172*K172</f>
        <v>0</v>
      </c>
      <c r="M172" s="124" t="n">
        <f aca="false">SUM(J$97:J172)</f>
        <v>15571468.3</v>
      </c>
      <c r="N172" s="124" t="n">
        <f aca="false">SUM(J$6:J172)</f>
        <v>24182752.3</v>
      </c>
      <c r="P172" s="124" t="n">
        <f aca="false">D172/P$3</f>
        <v>0</v>
      </c>
      <c r="Q172" s="124" t="n">
        <f aca="false">E172/P$3</f>
        <v>0</v>
      </c>
      <c r="R172" s="124" t="n">
        <f aca="false">F172/R$3</f>
        <v>0</v>
      </c>
      <c r="S172" s="126" t="n">
        <f aca="false">J172/$R$3</f>
        <v>0</v>
      </c>
      <c r="T172" s="126" t="n">
        <f aca="false">L172/$R$3</f>
        <v>0</v>
      </c>
      <c r="U172" s="126" t="n">
        <f aca="false">I172/$R$3</f>
        <v>951.056</v>
      </c>
      <c r="V172" s="126" t="n">
        <f aca="false">M172/$R$3</f>
        <v>15571.4683</v>
      </c>
      <c r="W172" s="126" t="n">
        <f aca="false">N172/$R$3</f>
        <v>24182.7523</v>
      </c>
    </row>
    <row r="173" customFormat="false" ht="12.75" hidden="true" customHeight="false" outlineLevel="0" collapsed="false">
      <c r="A173" s="120" t="n">
        <f aca="false">A172+1</f>
        <v>37059</v>
      </c>
      <c r="B173" s="131" t="str">
        <f aca="false">INDEX('Master Data'!$A$2:$B$8,MATCH(WEEKDAY('BRA Power'!A173,3),'Master Data'!$A$2:$A$8,0),2)</f>
        <v>Su</v>
      </c>
      <c r="D173" s="124" t="n">
        <v>0</v>
      </c>
      <c r="E173" s="124" t="n">
        <v>0</v>
      </c>
      <c r="F173" s="124" t="n">
        <v>0</v>
      </c>
      <c r="G173" s="124" t="n">
        <v>0</v>
      </c>
      <c r="I173" s="124" t="n">
        <f aca="false">IF(MONTH($A173)=MONTH($A172),IF(G173=0,I172,G173),G173)</f>
        <v>951056</v>
      </c>
      <c r="J173" s="124" t="n">
        <f aca="false">IF(MONTH($A173)=MONTH($A172),SUM(I173-I172),I173)</f>
        <v>0</v>
      </c>
      <c r="K173" s="124" t="n">
        <f aca="false">IF(WEEKDAY(A173,3)&gt;4,0,(IF(A173&lt;K$2,0,IF(A173&lt;=K$3,1,0))))</f>
        <v>0</v>
      </c>
      <c r="L173" s="124" t="n">
        <f aca="false">J173*K173</f>
        <v>0</v>
      </c>
      <c r="M173" s="124" t="n">
        <f aca="false">SUM(J$97:J173)</f>
        <v>15571468.3</v>
      </c>
      <c r="N173" s="124" t="n">
        <f aca="false">SUM(J$6:J173)</f>
        <v>24182752.3</v>
      </c>
      <c r="P173" s="124" t="n">
        <f aca="false">D173/P$3</f>
        <v>0</v>
      </c>
      <c r="Q173" s="124" t="n">
        <f aca="false">E173/P$3</f>
        <v>0</v>
      </c>
      <c r="R173" s="124" t="n">
        <f aca="false">F173/R$3</f>
        <v>0</v>
      </c>
      <c r="S173" s="126" t="n">
        <f aca="false">J173/$R$3</f>
        <v>0</v>
      </c>
      <c r="T173" s="126" t="n">
        <f aca="false">L173/$R$3</f>
        <v>0</v>
      </c>
      <c r="U173" s="126" t="n">
        <f aca="false">I173/$R$3</f>
        <v>951.056</v>
      </c>
      <c r="V173" s="126" t="n">
        <f aca="false">M173/$R$3</f>
        <v>15571.4683</v>
      </c>
      <c r="W173" s="126" t="n">
        <f aca="false">N173/$R$3</f>
        <v>24182.7523</v>
      </c>
    </row>
    <row r="174" customFormat="false" ht="12.75" hidden="true" customHeight="false" outlineLevel="0" collapsed="false">
      <c r="A174" s="120" t="n">
        <f aca="false">A173+1</f>
        <v>37060</v>
      </c>
      <c r="B174" s="131" t="str">
        <f aca="false">INDEX('Master Data'!$A$2:$B$8,MATCH(WEEKDAY('BRA Power'!A174,3),'Master Data'!$A$2:$A$8,0),2)</f>
        <v>M</v>
      </c>
      <c r="D174" s="124" t="n">
        <v>182374.639947868</v>
      </c>
      <c r="E174" s="124" t="n">
        <v>45752.7080349545</v>
      </c>
      <c r="F174" s="124" t="n">
        <v>0</v>
      </c>
      <c r="G174" s="124" t="n">
        <v>960557</v>
      </c>
      <c r="I174" s="124" t="n">
        <f aca="false">IF(MONTH($A174)=MONTH($A173),IF(G174=0,I173,G174),G174)</f>
        <v>960557</v>
      </c>
      <c r="J174" s="124" t="n">
        <f aca="false">IF(MONTH($A174)=MONTH($A173),SUM(I174-I173),I174)</f>
        <v>9501</v>
      </c>
      <c r="K174" s="124" t="n">
        <f aca="false">IF(WEEKDAY(A174,3)&gt;4,0,(IF(A174&lt;K$2,0,IF(A174&lt;=K$3,1,0))))</f>
        <v>0</v>
      </c>
      <c r="L174" s="124" t="n">
        <f aca="false">J174*K174</f>
        <v>0</v>
      </c>
      <c r="M174" s="124" t="n">
        <f aca="false">SUM(J$97:J174)</f>
        <v>15580969.3</v>
      </c>
      <c r="N174" s="124" t="n">
        <f aca="false">SUM(J$6:J174)</f>
        <v>24192253.3</v>
      </c>
      <c r="P174" s="124" t="n">
        <f aca="false">D174/P$3</f>
        <v>0.182374639947868</v>
      </c>
      <c r="Q174" s="124" t="n">
        <f aca="false">E174/P$3</f>
        <v>0.0457527080349544</v>
      </c>
      <c r="R174" s="124" t="n">
        <f aca="false">F174/R$3</f>
        <v>0</v>
      </c>
      <c r="S174" s="126" t="n">
        <f aca="false">J174/$R$3</f>
        <v>9.501</v>
      </c>
      <c r="T174" s="126" t="n">
        <f aca="false">L174/$R$3</f>
        <v>0</v>
      </c>
      <c r="U174" s="126" t="n">
        <f aca="false">I174/$R$3</f>
        <v>960.557</v>
      </c>
      <c r="V174" s="126" t="n">
        <f aca="false">M174/$R$3</f>
        <v>15580.9693</v>
      </c>
      <c r="W174" s="126" t="n">
        <f aca="false">N174/$R$3</f>
        <v>24192.2533</v>
      </c>
    </row>
    <row r="175" customFormat="false" ht="12.75" hidden="true" customHeight="false" outlineLevel="0" collapsed="false">
      <c r="A175" s="120" t="n">
        <f aca="false">A174+1</f>
        <v>37061</v>
      </c>
      <c r="B175" s="131" t="str">
        <f aca="false">INDEX('Master Data'!$A$2:$B$8,MATCH(WEEKDAY('BRA Power'!A175,3),'Master Data'!$A$2:$A$8,0),2)</f>
        <v>T</v>
      </c>
      <c r="D175" s="124" t="n">
        <v>182477</v>
      </c>
      <c r="E175" s="124" t="n">
        <v>45776.6115799114</v>
      </c>
      <c r="F175" s="124" t="n">
        <v>0</v>
      </c>
      <c r="G175" s="124" t="n">
        <v>963727</v>
      </c>
      <c r="I175" s="124" t="n">
        <f aca="false">IF(MONTH($A175)=MONTH($A174),IF(G175=0,I174,G175),G175)</f>
        <v>963727</v>
      </c>
      <c r="J175" s="124" t="n">
        <f aca="false">IF(MONTH($A175)=MONTH($A174),SUM(I175-I174),I175)</f>
        <v>3170</v>
      </c>
      <c r="K175" s="124" t="n">
        <f aca="false">IF(WEEKDAY(A175,3)&gt;4,0,(IF(A175&lt;K$2,0,IF(A175&lt;=K$3,1,0))))</f>
        <v>0</v>
      </c>
      <c r="L175" s="124" t="n">
        <f aca="false">J175*K175</f>
        <v>0</v>
      </c>
      <c r="M175" s="124" t="n">
        <f aca="false">SUM(J$97:J175)</f>
        <v>15584139.3</v>
      </c>
      <c r="N175" s="124" t="n">
        <f aca="false">SUM(J$6:J175)</f>
        <v>24195423.3</v>
      </c>
      <c r="P175" s="124" t="n">
        <f aca="false">D175/P$3</f>
        <v>0.182477</v>
      </c>
      <c r="Q175" s="124" t="n">
        <f aca="false">E175/P$3</f>
        <v>0.0457766115799114</v>
      </c>
      <c r="R175" s="124" t="n">
        <f aca="false">F175/R$3</f>
        <v>0</v>
      </c>
      <c r="S175" s="126" t="n">
        <f aca="false">J175/$R$3</f>
        <v>3.17</v>
      </c>
      <c r="T175" s="126" t="n">
        <f aca="false">L175/$R$3</f>
        <v>0</v>
      </c>
      <c r="U175" s="126" t="n">
        <f aca="false">I175/$R$3</f>
        <v>963.727</v>
      </c>
      <c r="V175" s="126" t="n">
        <f aca="false">M175/$R$3</f>
        <v>15584.1393</v>
      </c>
      <c r="W175" s="126" t="n">
        <f aca="false">N175/$R$3</f>
        <v>24195.4233</v>
      </c>
    </row>
    <row r="176" customFormat="false" ht="12.75" hidden="true" customHeight="false" outlineLevel="0" collapsed="false">
      <c r="A176" s="120" t="n">
        <f aca="false">A175+1</f>
        <v>37062</v>
      </c>
      <c r="B176" s="131" t="str">
        <f aca="false">INDEX('Master Data'!$A$2:$B$8,MATCH(WEEKDAY('BRA Power'!A176,3),'Master Data'!$A$2:$A$8,0),2)</f>
        <v>W</v>
      </c>
      <c r="D176" s="124" t="n">
        <v>182580</v>
      </c>
      <c r="E176" s="124" t="n">
        <v>45800.5276920412</v>
      </c>
      <c r="F176" s="124" t="n">
        <v>0</v>
      </c>
      <c r="G176" s="124" t="n">
        <v>966899</v>
      </c>
      <c r="I176" s="124" t="n">
        <f aca="false">IF(MONTH($A176)=MONTH($A175),IF(G176=0,I175,G176),G176)</f>
        <v>966899</v>
      </c>
      <c r="J176" s="124" t="n">
        <f aca="false">IF(MONTH($A176)=MONTH($A175),SUM(I176-I175),I176)</f>
        <v>3172</v>
      </c>
      <c r="K176" s="124" t="n">
        <f aca="false">IF(WEEKDAY(A176,3)&gt;4,0,(IF(A176&lt;K$2,0,IF(A176&lt;=K$3,1,0))))</f>
        <v>0</v>
      </c>
      <c r="L176" s="124" t="n">
        <f aca="false">J176*K176</f>
        <v>0</v>
      </c>
      <c r="M176" s="124" t="n">
        <f aca="false">SUM(J$97:J176)</f>
        <v>15587311.3</v>
      </c>
      <c r="N176" s="124" t="n">
        <f aca="false">SUM(J$6:J176)</f>
        <v>24198595.3</v>
      </c>
      <c r="P176" s="124" t="n">
        <f aca="false">D176/P$3</f>
        <v>0.18258</v>
      </c>
      <c r="Q176" s="124" t="n">
        <f aca="false">E176/P$3</f>
        <v>0.0458005276920412</v>
      </c>
      <c r="R176" s="124" t="n">
        <f aca="false">F176/R$3</f>
        <v>0</v>
      </c>
      <c r="S176" s="126" t="n">
        <f aca="false">J176/$R$3</f>
        <v>3.172</v>
      </c>
      <c r="T176" s="126" t="n">
        <f aca="false">L176/$R$3</f>
        <v>0</v>
      </c>
      <c r="U176" s="126" t="n">
        <f aca="false">I176/$R$3</f>
        <v>966.899</v>
      </c>
      <c r="V176" s="126" t="n">
        <f aca="false">M176/$R$3</f>
        <v>15587.3113</v>
      </c>
      <c r="W176" s="126" t="n">
        <f aca="false">N176/$R$3</f>
        <v>24198.5953</v>
      </c>
    </row>
    <row r="177" customFormat="false" ht="12.75" hidden="true" customHeight="false" outlineLevel="0" collapsed="false">
      <c r="A177" s="120" t="n">
        <f aca="false">A176+1</f>
        <v>37063</v>
      </c>
      <c r="B177" s="131" t="str">
        <f aca="false">INDEX('Master Data'!$A$2:$B$8,MATCH(WEEKDAY('BRA Power'!A177,3),'Master Data'!$A$2:$A$8,0),2)</f>
        <v>Th</v>
      </c>
      <c r="D177" s="124" t="n">
        <v>182683</v>
      </c>
      <c r="E177" s="124" t="n">
        <v>45824.4563779911</v>
      </c>
      <c r="F177" s="124" t="n">
        <v>0</v>
      </c>
      <c r="G177" s="124" t="n">
        <v>970072</v>
      </c>
      <c r="I177" s="124" t="n">
        <f aca="false">IF(MONTH($A177)=MONTH($A176),IF(G177=0,I176,G177),G177)</f>
        <v>970072</v>
      </c>
      <c r="J177" s="124" t="n">
        <f aca="false">IF(MONTH($A177)=MONTH($A176),SUM(I177-I176),I177)</f>
        <v>3173</v>
      </c>
      <c r="K177" s="124" t="n">
        <f aca="false">IF(WEEKDAY(A177,3)&gt;4,0,(IF(A177&lt;K$2,0,IF(A177&lt;=K$3,1,0))))</f>
        <v>0</v>
      </c>
      <c r="L177" s="124" t="n">
        <f aca="false">J177*K177</f>
        <v>0</v>
      </c>
      <c r="M177" s="124" t="n">
        <f aca="false">SUM(J$97:J177)</f>
        <v>15590484.3</v>
      </c>
      <c r="N177" s="124" t="n">
        <f aca="false">SUM(J$6:J177)</f>
        <v>24201768.3</v>
      </c>
      <c r="P177" s="124" t="n">
        <f aca="false">D177/P$3</f>
        <v>0.182683</v>
      </c>
      <c r="Q177" s="124" t="n">
        <f aca="false">E177/P$3</f>
        <v>0.0458244563779911</v>
      </c>
      <c r="R177" s="124" t="n">
        <f aca="false">F177/R$3</f>
        <v>0</v>
      </c>
      <c r="S177" s="126" t="n">
        <f aca="false">J177/$R$3</f>
        <v>3.173</v>
      </c>
      <c r="T177" s="126" t="n">
        <f aca="false">L177/$R$3</f>
        <v>0</v>
      </c>
      <c r="U177" s="126" t="n">
        <f aca="false">I177/$R$3</f>
        <v>970.072</v>
      </c>
      <c r="V177" s="126" t="n">
        <f aca="false">M177/$R$3</f>
        <v>15590.4843</v>
      </c>
      <c r="W177" s="126" t="n">
        <f aca="false">N177/$R$3</f>
        <v>24201.7683</v>
      </c>
    </row>
    <row r="178" customFormat="false" ht="12.75" hidden="true" customHeight="false" outlineLevel="0" collapsed="false">
      <c r="A178" s="120" t="n">
        <f aca="false">A177+1</f>
        <v>37064</v>
      </c>
      <c r="B178" s="131" t="str">
        <f aca="false">INDEX('Master Data'!$A$2:$B$8,MATCH(WEEKDAY('BRA Power'!A178,3),'Master Data'!$A$2:$A$8,0),2)</f>
        <v>F</v>
      </c>
      <c r="D178" s="124" t="n">
        <v>182785</v>
      </c>
      <c r="E178" s="124" t="n">
        <v>45848.3976444113</v>
      </c>
      <c r="F178" s="124" t="n">
        <v>0</v>
      </c>
      <c r="G178" s="124" t="n">
        <v>973247</v>
      </c>
      <c r="I178" s="124" t="n">
        <f aca="false">IF(MONTH($A178)=MONTH($A177),IF(G178=0,I177,G178),G178)</f>
        <v>973247</v>
      </c>
      <c r="J178" s="124" t="n">
        <f aca="false">IF(MONTH($A178)=MONTH($A177),SUM(I178-I177),I178)</f>
        <v>3175</v>
      </c>
      <c r="K178" s="124" t="n">
        <f aca="false">IF(WEEKDAY(A178,3)&gt;4,0,(IF(A178&lt;K$2,0,IF(A178&lt;=K$3,1,0))))</f>
        <v>0</v>
      </c>
      <c r="L178" s="124" t="n">
        <f aca="false">J178*K178</f>
        <v>0</v>
      </c>
      <c r="M178" s="124" t="n">
        <f aca="false">SUM(J$97:J178)</f>
        <v>15593659.3</v>
      </c>
      <c r="N178" s="124" t="n">
        <f aca="false">SUM(J$6:J178)</f>
        <v>24204943.3</v>
      </c>
      <c r="P178" s="124" t="n">
        <f aca="false">D178/P$3</f>
        <v>0.182785</v>
      </c>
      <c r="Q178" s="124" t="n">
        <f aca="false">E178/P$3</f>
        <v>0.0458483976444113</v>
      </c>
      <c r="R178" s="124" t="n">
        <f aca="false">F178/R$3</f>
        <v>0</v>
      </c>
      <c r="S178" s="126" t="n">
        <f aca="false">J178/$R$3</f>
        <v>3.175</v>
      </c>
      <c r="T178" s="126" t="n">
        <f aca="false">L178/$R$3</f>
        <v>0</v>
      </c>
      <c r="U178" s="126" t="n">
        <f aca="false">I178/$R$3</f>
        <v>973.247</v>
      </c>
      <c r="V178" s="126" t="n">
        <f aca="false">M178/$R$3</f>
        <v>15593.6593</v>
      </c>
      <c r="W178" s="126" t="n">
        <f aca="false">N178/$R$3</f>
        <v>24204.9433</v>
      </c>
    </row>
    <row r="179" customFormat="false" ht="12.75" hidden="true" customHeight="false" outlineLevel="0" collapsed="false">
      <c r="A179" s="120" t="n">
        <f aca="false">A178+1</f>
        <v>37065</v>
      </c>
      <c r="B179" s="131" t="str">
        <f aca="false">INDEX('Master Data'!$A$2:$B$8,MATCH(WEEKDAY('BRA Power'!A179,3),'Master Data'!$A$2:$A$8,0),2)</f>
        <v>Sa</v>
      </c>
      <c r="D179" s="124" t="n">
        <v>0</v>
      </c>
      <c r="E179" s="124" t="n">
        <v>0</v>
      </c>
      <c r="F179" s="124" t="n">
        <v>0</v>
      </c>
      <c r="G179" s="124" t="n">
        <v>0</v>
      </c>
      <c r="I179" s="124" t="n">
        <f aca="false">IF(MONTH($A179)=MONTH($A178),IF(G179=0,I178,G179),G179)</f>
        <v>973247</v>
      </c>
      <c r="J179" s="124" t="n">
        <f aca="false">IF(MONTH($A179)=MONTH($A178),SUM(I179-I178),I179)</f>
        <v>0</v>
      </c>
      <c r="K179" s="124" t="n">
        <f aca="false">IF(WEEKDAY(A179,3)&gt;4,0,(IF(A179&lt;K$2,0,IF(A179&lt;=K$3,1,0))))</f>
        <v>0</v>
      </c>
      <c r="L179" s="124" t="n">
        <f aca="false">J179*K179</f>
        <v>0</v>
      </c>
      <c r="M179" s="124" t="n">
        <f aca="false">SUM(J$97:J179)</f>
        <v>15593659.3</v>
      </c>
      <c r="N179" s="124" t="n">
        <f aca="false">SUM(J$6:J179)</f>
        <v>24204943.3</v>
      </c>
      <c r="P179" s="124" t="n">
        <f aca="false">D179/P$3</f>
        <v>0</v>
      </c>
      <c r="Q179" s="124" t="n">
        <f aca="false">E179/P$3</f>
        <v>0</v>
      </c>
      <c r="R179" s="124" t="n">
        <f aca="false">F179/R$3</f>
        <v>0</v>
      </c>
      <c r="S179" s="126" t="n">
        <f aca="false">J179/$R$3</f>
        <v>0</v>
      </c>
      <c r="T179" s="126" t="n">
        <f aca="false">L179/$R$3</f>
        <v>0</v>
      </c>
      <c r="U179" s="126" t="n">
        <f aca="false">I179/$R$3</f>
        <v>973.247</v>
      </c>
      <c r="V179" s="126" t="n">
        <f aca="false">M179/$R$3</f>
        <v>15593.6593</v>
      </c>
      <c r="W179" s="126" t="n">
        <f aca="false">N179/$R$3</f>
        <v>24204.9433</v>
      </c>
    </row>
    <row r="180" customFormat="false" ht="12.75" hidden="true" customHeight="false" outlineLevel="0" collapsed="false">
      <c r="A180" s="120" t="n">
        <f aca="false">A179+1</f>
        <v>37066</v>
      </c>
      <c r="B180" s="131" t="str">
        <f aca="false">INDEX('Master Data'!$A$2:$B$8,MATCH(WEEKDAY('BRA Power'!A180,3),'Master Data'!$A$2:$A$8,0),2)</f>
        <v>Su</v>
      </c>
      <c r="D180" s="124" t="n">
        <v>0</v>
      </c>
      <c r="E180" s="124" t="n">
        <v>0</v>
      </c>
      <c r="F180" s="124" t="n">
        <v>0</v>
      </c>
      <c r="G180" s="124" t="n">
        <v>0</v>
      </c>
      <c r="I180" s="124" t="n">
        <f aca="false">IF(MONTH($A180)=MONTH($A179),IF(G180=0,I179,G180),G180)</f>
        <v>973247</v>
      </c>
      <c r="J180" s="124" t="n">
        <f aca="false">IF(MONTH($A180)=MONTH($A179),SUM(I180-I179),I180)</f>
        <v>0</v>
      </c>
      <c r="K180" s="124" t="n">
        <f aca="false">IF(WEEKDAY(A180,3)&gt;4,0,(IF(A180&lt;K$2,0,IF(A180&lt;=K$3,1,0))))</f>
        <v>0</v>
      </c>
      <c r="L180" s="124" t="n">
        <f aca="false">J180*K180</f>
        <v>0</v>
      </c>
      <c r="M180" s="124" t="n">
        <f aca="false">SUM(J$97:J180)</f>
        <v>15593659.3</v>
      </c>
      <c r="N180" s="124" t="n">
        <f aca="false">SUM(J$6:J180)</f>
        <v>24204943.3</v>
      </c>
      <c r="P180" s="124" t="n">
        <f aca="false">D180/P$3</f>
        <v>0</v>
      </c>
      <c r="Q180" s="124" t="n">
        <f aca="false">E180/P$3</f>
        <v>0</v>
      </c>
      <c r="R180" s="124" t="n">
        <f aca="false">F180/R$3</f>
        <v>0</v>
      </c>
      <c r="S180" s="126" t="n">
        <f aca="false">J180/$R$3</f>
        <v>0</v>
      </c>
      <c r="T180" s="126" t="n">
        <f aca="false">L180/$R$3</f>
        <v>0</v>
      </c>
      <c r="U180" s="126" t="n">
        <f aca="false">I180/$R$3</f>
        <v>973.247</v>
      </c>
      <c r="V180" s="126" t="n">
        <f aca="false">M180/$R$3</f>
        <v>15593.6593</v>
      </c>
      <c r="W180" s="126" t="n">
        <f aca="false">N180/$R$3</f>
        <v>24204.9433</v>
      </c>
    </row>
    <row r="181" customFormat="false" ht="12.75" hidden="true" customHeight="false" outlineLevel="0" collapsed="false">
      <c r="A181" s="120" t="n">
        <f aca="false">A180+1</f>
        <v>37067</v>
      </c>
      <c r="B181" s="131" t="str">
        <f aca="false">INDEX('Master Data'!$A$2:$B$8,MATCH(WEEKDAY('BRA Power'!A181,3),'Master Data'!$A$2:$A$8,0),2)</f>
        <v>M</v>
      </c>
      <c r="D181" s="124" t="n">
        <v>183094</v>
      </c>
      <c r="E181" s="124" t="n">
        <v>45920.296993052</v>
      </c>
      <c r="F181" s="124" t="n">
        <v>0</v>
      </c>
      <c r="G181" s="124" t="n">
        <v>982781</v>
      </c>
      <c r="I181" s="124" t="n">
        <f aca="false">IF(MONTH($A181)=MONTH($A180),IF(G181=0,I180,G181),G181)</f>
        <v>982781</v>
      </c>
      <c r="J181" s="124" t="n">
        <f aca="false">IF(MONTH($A181)=MONTH($A180),SUM(I181-I180),I181)</f>
        <v>9534</v>
      </c>
      <c r="K181" s="124" t="n">
        <f aca="false">IF(WEEKDAY(A181,3)&gt;4,0,(IF(A181&lt;K$2,0,IF(A181&lt;=K$3,1,0))))</f>
        <v>0</v>
      </c>
      <c r="L181" s="124" t="n">
        <f aca="false">J181*K181</f>
        <v>0</v>
      </c>
      <c r="M181" s="124" t="n">
        <f aca="false">SUM(J$97:J181)</f>
        <v>15603193.3</v>
      </c>
      <c r="N181" s="124" t="n">
        <f aca="false">SUM(J$6:J181)</f>
        <v>24214477.3</v>
      </c>
      <c r="P181" s="124" t="n">
        <f aca="false">D181/P$3</f>
        <v>0.183094</v>
      </c>
      <c r="Q181" s="124" t="n">
        <f aca="false">E181/P$3</f>
        <v>0.045920296993052</v>
      </c>
      <c r="R181" s="124" t="n">
        <f aca="false">F181/R$3</f>
        <v>0</v>
      </c>
      <c r="S181" s="126" t="n">
        <f aca="false">J181/$R$3</f>
        <v>9.534</v>
      </c>
      <c r="T181" s="126" t="n">
        <f aca="false">L181/$R$3</f>
        <v>0</v>
      </c>
      <c r="U181" s="126" t="n">
        <f aca="false">I181/$R$3</f>
        <v>982.781</v>
      </c>
      <c r="V181" s="126" t="n">
        <f aca="false">M181/$R$3</f>
        <v>15603.1933</v>
      </c>
      <c r="W181" s="126" t="n">
        <f aca="false">N181/$R$3</f>
        <v>24214.4773</v>
      </c>
    </row>
    <row r="182" customFormat="false" ht="12.75" hidden="true" customHeight="false" outlineLevel="0" collapsed="false">
      <c r="A182" s="120" t="n">
        <f aca="false">A181+1</f>
        <v>37068</v>
      </c>
      <c r="B182" s="131" t="str">
        <f aca="false">INDEX('Master Data'!$A$2:$B$8,MATCH(WEEKDAY('BRA Power'!A182,3),'Master Data'!$A$2:$A$8,0),2)</f>
        <v>T</v>
      </c>
      <c r="D182" s="124" t="n">
        <v>183197</v>
      </c>
      <c r="E182" s="124" t="n">
        <v>45944.2886479293</v>
      </c>
      <c r="F182" s="124" t="n">
        <v>0</v>
      </c>
      <c r="G182" s="124" t="n">
        <v>985962</v>
      </c>
      <c r="I182" s="124" t="n">
        <f aca="false">IF(MONTH($A182)=MONTH($A181),IF(G182=0,I181,G182),G182)</f>
        <v>985962</v>
      </c>
      <c r="J182" s="124" t="n">
        <f aca="false">IF(MONTH($A182)=MONTH($A181),SUM(I182-I181),I182)</f>
        <v>3181</v>
      </c>
      <c r="K182" s="124" t="n">
        <f aca="false">IF(WEEKDAY(A182,3)&gt;4,0,(IF(A182&lt;K$2,0,IF(A182&lt;=K$3,1,0))))</f>
        <v>0</v>
      </c>
      <c r="L182" s="124" t="n">
        <f aca="false">J182*K182</f>
        <v>0</v>
      </c>
      <c r="M182" s="124" t="n">
        <f aca="false">SUM(J$97:J182)</f>
        <v>15606374.3</v>
      </c>
      <c r="N182" s="124" t="n">
        <f aca="false">SUM(J$6:J182)</f>
        <v>24217658.3</v>
      </c>
      <c r="P182" s="124" t="n">
        <f aca="false">D182/P$3</f>
        <v>0.183197</v>
      </c>
      <c r="Q182" s="124" t="n">
        <f aca="false">E182/P$3</f>
        <v>0.0459442886479293</v>
      </c>
      <c r="R182" s="124" t="n">
        <f aca="false">F182/R$3</f>
        <v>0</v>
      </c>
      <c r="S182" s="126" t="n">
        <f aca="false">J182/$R$3</f>
        <v>3.181</v>
      </c>
      <c r="T182" s="126" t="n">
        <f aca="false">L182/$R$3</f>
        <v>0</v>
      </c>
      <c r="U182" s="126" t="n">
        <f aca="false">I182/$R$3</f>
        <v>985.962</v>
      </c>
      <c r="V182" s="126" t="n">
        <f aca="false">M182/$R$3</f>
        <v>15606.3743</v>
      </c>
      <c r="W182" s="126" t="n">
        <f aca="false">N182/$R$3</f>
        <v>24217.6583</v>
      </c>
    </row>
    <row r="183" customFormat="false" ht="12.75" hidden="true" customHeight="false" outlineLevel="0" collapsed="false">
      <c r="A183" s="120" t="n">
        <f aca="false">A182+1</f>
        <v>37069</v>
      </c>
      <c r="B183" s="131" t="str">
        <f aca="false">INDEX('Master Data'!$A$2:$B$8,MATCH(WEEKDAY('BRA Power'!A183,3),'Master Data'!$A$2:$A$8,0),2)</f>
        <v>W</v>
      </c>
      <c r="D183" s="124" t="n">
        <v>183299.933161724</v>
      </c>
      <c r="E183" s="124" t="n">
        <v>45968.2929165823</v>
      </c>
      <c r="F183" s="124" t="n">
        <v>0</v>
      </c>
      <c r="G183" s="124" t="n">
        <v>989144</v>
      </c>
      <c r="I183" s="124" t="n">
        <f aca="false">IF(MONTH($A183)=MONTH($A182),IF(G183=0,I182,G183),G183)</f>
        <v>989144</v>
      </c>
      <c r="J183" s="124" t="n">
        <f aca="false">IF(MONTH($A183)=MONTH($A182),SUM(I183-I182),I183)</f>
        <v>3182</v>
      </c>
      <c r="K183" s="124" t="n">
        <f aca="false">IF(WEEKDAY(A183,3)&gt;4,0,(IF(A183&lt;K$2,0,IF(A183&lt;=K$3,1,0))))</f>
        <v>0</v>
      </c>
      <c r="L183" s="124" t="n">
        <f aca="false">J183*K183</f>
        <v>0</v>
      </c>
      <c r="M183" s="124" t="n">
        <f aca="false">SUM(J$97:J183)</f>
        <v>15609556.3</v>
      </c>
      <c r="N183" s="124" t="n">
        <f aca="false">SUM(J$6:J183)</f>
        <v>24220840.3</v>
      </c>
      <c r="P183" s="124" t="n">
        <f aca="false">D183/P$3</f>
        <v>0.183299933161724</v>
      </c>
      <c r="Q183" s="126" t="n">
        <f aca="false">E183/P$3</f>
        <v>0.0459682929165823</v>
      </c>
      <c r="R183" s="124" t="n">
        <f aca="false">F183/R$3</f>
        <v>0</v>
      </c>
      <c r="S183" s="126" t="n">
        <f aca="false">J183/$R$3</f>
        <v>3.182</v>
      </c>
      <c r="T183" s="126" t="n">
        <f aca="false">L183/$R$3</f>
        <v>0</v>
      </c>
      <c r="U183" s="126" t="n">
        <f aca="false">I183/$R$3</f>
        <v>989.144</v>
      </c>
      <c r="V183" s="126" t="n">
        <f aca="false">M183/$R$3</f>
        <v>15609.5563</v>
      </c>
      <c r="W183" s="126" t="n">
        <f aca="false">N183/$R$3</f>
        <v>24220.8403</v>
      </c>
    </row>
    <row r="184" customFormat="false" ht="12.75" hidden="true" customHeight="false" outlineLevel="0" collapsed="false">
      <c r="A184" s="120" t="n">
        <f aca="false">A183+1</f>
        <v>37070</v>
      </c>
      <c r="B184" s="131" t="str">
        <f aca="false">INDEX('Master Data'!$A$2:$B$8,MATCH(WEEKDAY('BRA Power'!A184,3),'Master Data'!$A$2:$A$8,0),2)</f>
        <v>Th</v>
      </c>
      <c r="D184" s="124" t="n">
        <v>183403.034993738</v>
      </c>
      <c r="E184" s="124" t="n">
        <v>45992.3098056829</v>
      </c>
      <c r="F184" s="124" t="n">
        <v>0</v>
      </c>
      <c r="G184" s="124" t="n">
        <v>992329</v>
      </c>
      <c r="I184" s="124" t="n">
        <f aca="false">IF(MONTH($A184)=MONTH($A183),IF(G184=0,I183,G184),G184)</f>
        <v>992329</v>
      </c>
      <c r="J184" s="124" t="n">
        <f aca="false">IF(MONTH($A184)=MONTH($A183),SUM(I184-I183),I184)</f>
        <v>3185</v>
      </c>
      <c r="K184" s="124" t="n">
        <f aca="false">IF(WEEKDAY(A184,3)&gt;4,0,(IF(A184&lt;K$2,0,IF(A184&lt;=K$3,1,0))))</f>
        <v>0</v>
      </c>
      <c r="L184" s="124" t="n">
        <f aca="false">J184*K184</f>
        <v>0</v>
      </c>
      <c r="M184" s="124" t="n">
        <f aca="false">SUM(J$97:J184)</f>
        <v>15612741.3</v>
      </c>
      <c r="N184" s="124" t="n">
        <f aca="false">SUM(J$6:J184)</f>
        <v>24224025.3</v>
      </c>
      <c r="P184" s="124" t="n">
        <f aca="false">D184/P$3</f>
        <v>0.183403034993738</v>
      </c>
      <c r="Q184" s="124" t="n">
        <f aca="false">E184/P$3</f>
        <v>0.0459923098056829</v>
      </c>
      <c r="R184" s="124" t="n">
        <f aca="false">F184/R$3</f>
        <v>0</v>
      </c>
      <c r="S184" s="126" t="n">
        <f aca="false">J184/$R$3</f>
        <v>3.185</v>
      </c>
      <c r="T184" s="126" t="n">
        <f aca="false">L184/$R$3</f>
        <v>0</v>
      </c>
      <c r="U184" s="126" t="n">
        <f aca="false">I184/$R$3</f>
        <v>992.329</v>
      </c>
      <c r="V184" s="126" t="n">
        <f aca="false">M184/$R$3</f>
        <v>15612.7413</v>
      </c>
      <c r="W184" s="126" t="n">
        <f aca="false">N184/$R$3</f>
        <v>24224.0253</v>
      </c>
    </row>
    <row r="185" customFormat="false" ht="12.75" hidden="true" customHeight="false" outlineLevel="0" collapsed="false">
      <c r="A185" s="120" t="n">
        <f aca="false">A184+1</f>
        <v>37071</v>
      </c>
      <c r="B185" s="131" t="str">
        <f aca="false">INDEX('Master Data'!$A$2:$B$8,MATCH(WEEKDAY('BRA Power'!A185,3),'Master Data'!$A$2:$A$8,0),2)</f>
        <v>F</v>
      </c>
      <c r="D185" s="124" t="n">
        <v>183506</v>
      </c>
      <c r="E185" s="124" t="n">
        <v>45832.3884970817</v>
      </c>
      <c r="F185" s="124" t="n">
        <v>0</v>
      </c>
      <c r="G185" s="124" t="n">
        <v>1210509</v>
      </c>
      <c r="I185" s="124" t="n">
        <f aca="false">IF(MONTH($A185)=MONTH($A184),IF(G185=0,I184,G185),G185)</f>
        <v>1210509</v>
      </c>
      <c r="J185" s="124" t="n">
        <f aca="false">IF(MONTH($A185)=MONTH($A184),SUM(I185-I184),I185)</f>
        <v>218180</v>
      </c>
      <c r="K185" s="124" t="n">
        <f aca="false">IF(WEEKDAY(A185,3)&gt;4,0,(IF(A185&lt;K$2,0,IF(A185&lt;=K$3,1,0))))</f>
        <v>0</v>
      </c>
      <c r="L185" s="124" t="n">
        <f aca="false">J185*K185</f>
        <v>0</v>
      </c>
      <c r="M185" s="124" t="n">
        <f aca="false">SUM(J$97:J185)</f>
        <v>15830921.3</v>
      </c>
      <c r="N185" s="124" t="n">
        <f aca="false">SUM(J$6:J185)</f>
        <v>24442205.3</v>
      </c>
      <c r="P185" s="124" t="n">
        <f aca="false">D185/P$3</f>
        <v>0.183506</v>
      </c>
      <c r="Q185" s="124" t="n">
        <f aca="false">E185/P$3</f>
        <v>0.0458323884970817</v>
      </c>
      <c r="R185" s="124" t="n">
        <f aca="false">F185/R$3</f>
        <v>0</v>
      </c>
      <c r="S185" s="126" t="n">
        <f aca="false">J185/$R$3</f>
        <v>218.18</v>
      </c>
      <c r="T185" s="126" t="n">
        <f aca="false">L185/$R$3</f>
        <v>0</v>
      </c>
      <c r="U185" s="126" t="n">
        <f aca="false">I185/$R$3</f>
        <v>1210.509</v>
      </c>
      <c r="V185" s="126" t="n">
        <f aca="false">M185/$R$3</f>
        <v>15830.9213</v>
      </c>
      <c r="W185" s="126" t="n">
        <f aca="false">N185/$R$3</f>
        <v>24442.2053</v>
      </c>
    </row>
    <row r="186" customFormat="false" ht="12.75" hidden="false" customHeight="false" outlineLevel="0" collapsed="false">
      <c r="A186" s="120" t="n">
        <f aca="false">A185+1</f>
        <v>37072</v>
      </c>
      <c r="B186" s="131" t="str">
        <f aca="false">INDEX('Master Data'!$A$2:$B$8,MATCH(WEEKDAY('BRA Power'!A186,3),'Master Data'!$A$2:$A$8,0),2)</f>
        <v>Sa</v>
      </c>
      <c r="D186" s="124" t="n">
        <v>0</v>
      </c>
      <c r="E186" s="124" t="n">
        <v>0</v>
      </c>
      <c r="F186" s="124" t="n">
        <v>0</v>
      </c>
      <c r="G186" s="124" t="n">
        <v>0</v>
      </c>
      <c r="I186" s="124" t="n">
        <f aca="false">IF(MONTH($A186)=MONTH($A185),IF(G186=0,I185,G186),G186)</f>
        <v>1210509</v>
      </c>
      <c r="J186" s="124" t="n">
        <f aca="false">IF(MONTH($A186)=MONTH($A185),SUM(I186-I185),I186)</f>
        <v>0</v>
      </c>
      <c r="K186" s="124" t="n">
        <f aca="false">IF(WEEKDAY(A186,3)&gt;4,0,(IF(A186&lt;K$2,0,IF(A186&lt;=K$3,1,0))))</f>
        <v>0</v>
      </c>
      <c r="L186" s="124" t="n">
        <f aca="false">J186*K186</f>
        <v>0</v>
      </c>
      <c r="M186" s="124" t="n">
        <f aca="false">SUM(J$97:J186)</f>
        <v>15830921.3</v>
      </c>
      <c r="N186" s="124" t="n">
        <f aca="false">SUM(J$6:J186)</f>
        <v>24442205.3</v>
      </c>
      <c r="P186" s="124" t="n">
        <f aca="false">D186/P$3</f>
        <v>0</v>
      </c>
      <c r="Q186" s="124" t="n">
        <f aca="false">E186/P$3</f>
        <v>0</v>
      </c>
      <c r="R186" s="124" t="n">
        <f aca="false">F186/R$3</f>
        <v>0</v>
      </c>
      <c r="S186" s="126" t="n">
        <f aca="false">J186/$R$3</f>
        <v>0</v>
      </c>
      <c r="T186" s="126" t="n">
        <f aca="false">L186/$R$3</f>
        <v>0</v>
      </c>
      <c r="U186" s="126" t="n">
        <f aca="false">I186/$R$3</f>
        <v>1210.509</v>
      </c>
      <c r="V186" s="126" t="n">
        <f aca="false">M186/$R$3</f>
        <v>15830.9213</v>
      </c>
      <c r="W186" s="126" t="n">
        <f aca="false">N186/$R$3</f>
        <v>24442.2053</v>
      </c>
    </row>
    <row r="187" customFormat="false" ht="12.75" hidden="true" customHeight="false" outlineLevel="0" collapsed="false">
      <c r="A187" s="120" t="n">
        <f aca="false">A186+1</f>
        <v>37073</v>
      </c>
      <c r="B187" s="131" t="str">
        <f aca="false">INDEX('Master Data'!$A$2:$B$8,MATCH(WEEKDAY('BRA Power'!A187,3),'Master Data'!$A$2:$A$8,0),2)</f>
        <v>Su</v>
      </c>
      <c r="D187" s="124" t="n">
        <v>0</v>
      </c>
      <c r="E187" s="124" t="n">
        <v>0</v>
      </c>
      <c r="F187" s="124" t="n">
        <v>0</v>
      </c>
      <c r="G187" s="124" t="n">
        <v>0</v>
      </c>
      <c r="I187" s="124" t="n">
        <f aca="false">IF(MONTH($A187)=MONTH($A186),IF(G187=0,I186,G187),G187)</f>
        <v>0</v>
      </c>
      <c r="J187" s="124" t="n">
        <f aca="false">IF(MONTH($A187)=MONTH($A186),SUM(I187-I186),I187)</f>
        <v>0</v>
      </c>
      <c r="K187" s="124" t="n">
        <f aca="false">IF(WEEKDAY(A187,3)&gt;4,0,(IF(A187&lt;K$2,0,IF(A187&lt;=K$3,1,0))))</f>
        <v>0</v>
      </c>
      <c r="L187" s="124" t="n">
        <f aca="false">J187*K187</f>
        <v>0</v>
      </c>
      <c r="M187" s="124" t="n">
        <f aca="false">SUM(J$97:J187)</f>
        <v>15830921.3</v>
      </c>
      <c r="N187" s="124" t="n">
        <f aca="false">SUM(J$6:J187)</f>
        <v>24442205.3</v>
      </c>
      <c r="P187" s="124" t="n">
        <f aca="false">D187/P$3</f>
        <v>0</v>
      </c>
      <c r="Q187" s="124" t="n">
        <f aca="false">E187/P$3</f>
        <v>0</v>
      </c>
      <c r="R187" s="124" t="n">
        <f aca="false">F187/R$3</f>
        <v>0</v>
      </c>
      <c r="S187" s="126" t="n">
        <f aca="false">J187/$R$3</f>
        <v>0</v>
      </c>
      <c r="T187" s="126" t="n">
        <f aca="false">L187/$R$3</f>
        <v>0</v>
      </c>
      <c r="U187" s="126" t="n">
        <f aca="false">I187/$R$3</f>
        <v>0</v>
      </c>
      <c r="V187" s="126" t="n">
        <f aca="false">M187/$R$3</f>
        <v>15830.9213</v>
      </c>
      <c r="W187" s="126" t="n">
        <f aca="false">N187/$R$3</f>
        <v>24442.2053</v>
      </c>
    </row>
    <row r="188" customFormat="false" ht="12.75" hidden="true" customHeight="false" outlineLevel="0" collapsed="false">
      <c r="A188" s="120" t="n">
        <f aca="false">A187+1</f>
        <v>37074</v>
      </c>
      <c r="B188" s="131" t="str">
        <f aca="false">INDEX('Master Data'!$A$2:$B$8,MATCH(WEEKDAY('BRA Power'!A188,3),'Master Data'!$A$2:$A$8,0),2)</f>
        <v>M</v>
      </c>
      <c r="D188" s="124" t="n">
        <v>168461</v>
      </c>
      <c r="E188" s="124" t="n">
        <v>45907.2515989431</v>
      </c>
      <c r="F188" s="124" t="n">
        <v>0</v>
      </c>
      <c r="G188" s="124" t="n">
        <v>9176</v>
      </c>
      <c r="I188" s="124" t="n">
        <f aca="false">IF(MONTH($A188)=MONTH($A187),IF(G188=0,I187,G188),G188)</f>
        <v>9176</v>
      </c>
      <c r="J188" s="124" t="n">
        <f aca="false">IF(MONTH($A188)=MONTH($A187),SUM(I188-I187),I188)</f>
        <v>9176</v>
      </c>
      <c r="K188" s="124" t="n">
        <f aca="false">IF(WEEKDAY(A188,3)&gt;4,0,(IF(A188&lt;K$2,0,IF(A188&lt;=K$3,1,0))))</f>
        <v>0</v>
      </c>
      <c r="L188" s="124" t="n">
        <f aca="false">J188*K188</f>
        <v>0</v>
      </c>
      <c r="M188" s="124" t="n">
        <f aca="false">SUM(J$188:J188)</f>
        <v>9176</v>
      </c>
      <c r="N188" s="124" t="n">
        <f aca="false">SUM(J$6:J188)</f>
        <v>24451381.3</v>
      </c>
      <c r="P188" s="124" t="n">
        <f aca="false">D188/P$3</f>
        <v>0.168461</v>
      </c>
      <c r="Q188" s="124" t="n">
        <f aca="false">E188/P$3</f>
        <v>0.045907251598943</v>
      </c>
      <c r="R188" s="124" t="n">
        <f aca="false">F188/R$3</f>
        <v>0</v>
      </c>
      <c r="S188" s="126" t="n">
        <f aca="false">J188/$R$3</f>
        <v>9.176</v>
      </c>
      <c r="T188" s="126" t="n">
        <f aca="false">L188/$R$3</f>
        <v>0</v>
      </c>
      <c r="U188" s="126" t="n">
        <f aca="false">I188/$R$3</f>
        <v>9.176</v>
      </c>
      <c r="V188" s="126" t="n">
        <f aca="false">M188/$R$3</f>
        <v>9.176</v>
      </c>
      <c r="W188" s="126" t="n">
        <f aca="false">N188/$R$3</f>
        <v>24451.3813</v>
      </c>
    </row>
    <row r="189" customFormat="false" ht="12.75" hidden="true" customHeight="false" outlineLevel="0" collapsed="false">
      <c r="A189" s="120" t="n">
        <f aca="false">A188+1</f>
        <v>37075</v>
      </c>
      <c r="B189" s="131" t="str">
        <f aca="false">INDEX('Master Data'!$A$2:$B$8,MATCH(WEEKDAY('BRA Power'!A189,3),'Master Data'!$A$2:$A$8,0),2)</f>
        <v>T</v>
      </c>
      <c r="D189" s="124" t="n">
        <v>168563.764091484</v>
      </c>
      <c r="E189" s="124" t="n">
        <v>45932.2332764187</v>
      </c>
      <c r="F189" s="124" t="n">
        <v>0</v>
      </c>
      <c r="G189" s="124" t="n">
        <v>12237</v>
      </c>
      <c r="I189" s="124" t="n">
        <f aca="false">IF(MONTH($A189)=MONTH($A188),IF(G189=0,I188,G189),G189)</f>
        <v>12237</v>
      </c>
      <c r="J189" s="124" t="n">
        <f aca="false">IF(MONTH($A189)=MONTH($A188),SUM(I189-I188),I189)</f>
        <v>3061</v>
      </c>
      <c r="K189" s="124" t="n">
        <f aca="false">IF(WEEKDAY(A189,3)&gt;4,0,(IF(A189&lt;K$2,0,IF(A189&lt;=K$3,1,0))))</f>
        <v>0</v>
      </c>
      <c r="L189" s="124" t="n">
        <f aca="false">J189*K189</f>
        <v>0</v>
      </c>
      <c r="M189" s="124" t="n">
        <f aca="false">SUM(J$188:J189)</f>
        <v>12237</v>
      </c>
      <c r="N189" s="124" t="n">
        <f aca="false">SUM(J$6:J189)</f>
        <v>24454442.3</v>
      </c>
      <c r="P189" s="124" t="n">
        <f aca="false">D189/P$3</f>
        <v>0.168563764091484</v>
      </c>
      <c r="Q189" s="124" t="n">
        <f aca="false">E189/P$3</f>
        <v>0.0459322332764187</v>
      </c>
      <c r="R189" s="124" t="n">
        <f aca="false">F189/R$3</f>
        <v>0</v>
      </c>
      <c r="S189" s="126" t="n">
        <f aca="false">J189/$R$3</f>
        <v>3.061</v>
      </c>
      <c r="T189" s="126" t="n">
        <f aca="false">L189/$R$3</f>
        <v>0</v>
      </c>
      <c r="U189" s="126" t="n">
        <f aca="false">I189/$R$3</f>
        <v>12.237</v>
      </c>
      <c r="V189" s="126" t="n">
        <f aca="false">M189/$R$3</f>
        <v>12.237</v>
      </c>
      <c r="W189" s="126" t="n">
        <f aca="false">N189/$R$3</f>
        <v>24454.4423</v>
      </c>
    </row>
    <row r="190" customFormat="false" ht="12.75" hidden="true" customHeight="false" outlineLevel="0" collapsed="false">
      <c r="A190" s="120" t="n">
        <f aca="false">A189+1</f>
        <v>37076</v>
      </c>
      <c r="B190" s="131" t="str">
        <f aca="false">INDEX('Master Data'!$A$2:$B$8,MATCH(WEEKDAY('BRA Power'!A190,3),'Master Data'!$A$2:$A$8,0),2)</f>
        <v>W</v>
      </c>
      <c r="D190" s="124" t="n">
        <v>0</v>
      </c>
      <c r="E190" s="124" t="n">
        <v>0</v>
      </c>
      <c r="F190" s="124" t="n">
        <v>0</v>
      </c>
      <c r="G190" s="124" t="n">
        <v>0</v>
      </c>
      <c r="I190" s="124" t="n">
        <f aca="false">IF(MONTH($A190)=MONTH($A189),IF(G190=0,I189,G190),G190)</f>
        <v>12237</v>
      </c>
      <c r="J190" s="124" t="n">
        <f aca="false">IF(MONTH($A190)=MONTH($A189),SUM(I190-I189),I190)</f>
        <v>0</v>
      </c>
      <c r="K190" s="124" t="n">
        <f aca="false">IF(WEEKDAY(A190,3)&gt;4,0,(IF(A190&lt;K$2,0,IF(A190&lt;=K$3,1,0))))</f>
        <v>0</v>
      </c>
      <c r="L190" s="124" t="n">
        <f aca="false">J190*K190</f>
        <v>0</v>
      </c>
      <c r="M190" s="124" t="n">
        <f aca="false">SUM(J$188:J190)</f>
        <v>12237</v>
      </c>
      <c r="N190" s="124" t="n">
        <f aca="false">SUM(J$6:J190)</f>
        <v>24454442.3</v>
      </c>
      <c r="P190" s="124" t="n">
        <f aca="false">D190/P$3</f>
        <v>0</v>
      </c>
      <c r="Q190" s="124" t="n">
        <f aca="false">E190/P$3</f>
        <v>0</v>
      </c>
      <c r="R190" s="124" t="n">
        <f aca="false">F190/R$3</f>
        <v>0</v>
      </c>
      <c r="S190" s="126" t="n">
        <f aca="false">J190/$R$3</f>
        <v>0</v>
      </c>
      <c r="T190" s="126" t="n">
        <f aca="false">L190/$R$3</f>
        <v>0</v>
      </c>
      <c r="U190" s="126" t="n">
        <f aca="false">I190/$R$3</f>
        <v>12.237</v>
      </c>
      <c r="V190" s="126" t="n">
        <f aca="false">M190/$R$3</f>
        <v>12.237</v>
      </c>
      <c r="W190" s="126" t="n">
        <f aca="false">N190/$R$3</f>
        <v>24454.4423</v>
      </c>
    </row>
    <row r="191" customFormat="false" ht="12.75" hidden="true" customHeight="false" outlineLevel="0" collapsed="false">
      <c r="A191" s="120" t="n">
        <f aca="false">A190+1</f>
        <v>37077</v>
      </c>
      <c r="B191" s="131" t="str">
        <f aca="false">INDEX('Master Data'!$A$2:$B$8,MATCH(WEEKDAY('BRA Power'!A191,3),'Master Data'!$A$2:$A$8,0),2)</f>
        <v>Th</v>
      </c>
      <c r="D191" s="124" t="n">
        <v>177803</v>
      </c>
      <c r="E191" s="124" t="n">
        <v>50002.6441440177</v>
      </c>
      <c r="F191" s="124" t="n">
        <v>0</v>
      </c>
      <c r="G191" s="124" t="n">
        <v>-1078319</v>
      </c>
      <c r="I191" s="124" t="n">
        <f aca="false">IF(MONTH($A191)=MONTH($A190),IF(G191=0,I190,G191),G191)</f>
        <v>-1078319</v>
      </c>
      <c r="J191" s="124" t="n">
        <f aca="false">IF(MONTH($A191)=MONTH($A190),SUM(I191-I190),I191)</f>
        <v>-1090556</v>
      </c>
      <c r="K191" s="124" t="n">
        <f aca="false">IF(WEEKDAY(A191,3)&gt;4,0,(IF(A191&lt;K$2,0,IF(A191&lt;=K$3,1,0))))</f>
        <v>0</v>
      </c>
      <c r="L191" s="124" t="n">
        <f aca="false">J191*K191</f>
        <v>-0</v>
      </c>
      <c r="M191" s="124" t="n">
        <f aca="false">SUM(J$188:J191)</f>
        <v>-1078319</v>
      </c>
      <c r="N191" s="124" t="n">
        <f aca="false">SUM(J$6:J191)</f>
        <v>23363886.3</v>
      </c>
      <c r="P191" s="124" t="n">
        <f aca="false">D191/P$3</f>
        <v>0.177803</v>
      </c>
      <c r="Q191" s="124" t="n">
        <f aca="false">E191/P$3</f>
        <v>0.0500026441440177</v>
      </c>
      <c r="R191" s="124" t="n">
        <f aca="false">F191/R$3</f>
        <v>0</v>
      </c>
      <c r="S191" s="126" t="n">
        <f aca="false">J191/$R$3</f>
        <v>-1090.556</v>
      </c>
      <c r="T191" s="126" t="n">
        <f aca="false">L191/$R$3</f>
        <v>-0</v>
      </c>
      <c r="U191" s="126" t="n">
        <f aca="false">I191/$R$3</f>
        <v>-1078.319</v>
      </c>
      <c r="V191" s="126" t="n">
        <f aca="false">M191/$R$3</f>
        <v>-1078.319</v>
      </c>
      <c r="W191" s="126" t="n">
        <f aca="false">N191/$R$3</f>
        <v>23363.8863</v>
      </c>
    </row>
    <row r="192" customFormat="false" ht="12.75" hidden="true" customHeight="false" outlineLevel="0" collapsed="false">
      <c r="A192" s="120" t="n">
        <f aca="false">A191+1</f>
        <v>37078</v>
      </c>
      <c r="B192" s="131" t="str">
        <f aca="false">INDEX('Master Data'!$A$2:$B$8,MATCH(WEEKDAY('BRA Power'!A192,3),'Master Data'!$A$2:$A$8,0),2)</f>
        <v>F</v>
      </c>
      <c r="D192" s="124" t="n">
        <v>177909.410813809</v>
      </c>
      <c r="E192" s="124" t="n">
        <v>50032.0118869657</v>
      </c>
      <c r="F192" s="124" t="n">
        <v>0</v>
      </c>
      <c r="G192" s="124" t="n">
        <v>-1076103</v>
      </c>
      <c r="I192" s="124" t="n">
        <f aca="false">IF(MONTH($A192)=MONTH($A191),IF(G192=0,I191,G192),G192)</f>
        <v>-1076103</v>
      </c>
      <c r="J192" s="124" t="n">
        <f aca="false">IF(MONTH($A192)=MONTH($A191),SUM(I192-I191),I192)</f>
        <v>2216</v>
      </c>
      <c r="K192" s="124" t="n">
        <f aca="false">IF(WEEKDAY(A192,3)&gt;4,0,(IF(A192&lt;K$2,0,IF(A192&lt;=K$3,1,0))))</f>
        <v>0</v>
      </c>
      <c r="L192" s="124" t="n">
        <f aca="false">J192*K192</f>
        <v>0</v>
      </c>
      <c r="M192" s="124" t="n">
        <f aca="false">SUM(J$188:J192)</f>
        <v>-1076103</v>
      </c>
      <c r="N192" s="124" t="n">
        <f aca="false">SUM(J$6:J192)</f>
        <v>23366102.3</v>
      </c>
      <c r="P192" s="124" t="n">
        <f aca="false">D192/P$3</f>
        <v>0.177909410813809</v>
      </c>
      <c r="Q192" s="124" t="n">
        <f aca="false">E192/P$3</f>
        <v>0.0500320118869657</v>
      </c>
      <c r="R192" s="124" t="n">
        <f aca="false">F192/R$3</f>
        <v>0</v>
      </c>
      <c r="S192" s="126" t="n">
        <f aca="false">J192/$R$3</f>
        <v>2.216</v>
      </c>
      <c r="T192" s="126" t="n">
        <f aca="false">L192/$R$3</f>
        <v>0</v>
      </c>
      <c r="U192" s="126" t="n">
        <f aca="false">I192/$R$3</f>
        <v>-1076.103</v>
      </c>
      <c r="V192" s="126" t="n">
        <f aca="false">M192/$R$3</f>
        <v>-1076.103</v>
      </c>
      <c r="W192" s="126" t="n">
        <f aca="false">N192/$R$3</f>
        <v>23366.1023</v>
      </c>
    </row>
    <row r="193" customFormat="false" ht="12.75" hidden="true" customHeight="false" outlineLevel="0" collapsed="false">
      <c r="A193" s="120" t="n">
        <f aca="false">A192+1</f>
        <v>37079</v>
      </c>
      <c r="B193" s="131" t="str">
        <f aca="false">INDEX('Master Data'!$A$2:$B$8,MATCH(WEEKDAY('BRA Power'!A193,3),'Master Data'!$A$2:$A$8,0),2)</f>
        <v>Sa</v>
      </c>
      <c r="D193" s="124" t="n">
        <v>0</v>
      </c>
      <c r="E193" s="124" t="n">
        <v>0</v>
      </c>
      <c r="F193" s="124" t="n">
        <v>0</v>
      </c>
      <c r="G193" s="124" t="n">
        <v>0</v>
      </c>
      <c r="I193" s="124" t="n">
        <f aca="false">IF(MONTH($A193)=MONTH($A192),IF(G193=0,I192,G193),G193)</f>
        <v>-1076103</v>
      </c>
      <c r="J193" s="124" t="n">
        <f aca="false">IF(MONTH($A193)=MONTH($A192),SUM(I193-I192),I193)</f>
        <v>0</v>
      </c>
      <c r="K193" s="124" t="n">
        <f aca="false">IF(WEEKDAY(A193,3)&gt;4,0,(IF(A193&lt;K$2,0,IF(A193&lt;=K$3,1,0))))</f>
        <v>0</v>
      </c>
      <c r="L193" s="124" t="n">
        <f aca="false">J193*K193</f>
        <v>0</v>
      </c>
      <c r="M193" s="124" t="n">
        <f aca="false">SUM(J$188:J193)</f>
        <v>-1076103</v>
      </c>
      <c r="N193" s="124" t="n">
        <f aca="false">SUM(J$6:J193)</f>
        <v>23366102.3</v>
      </c>
      <c r="P193" s="124" t="n">
        <f aca="false">D193/P$3</f>
        <v>0</v>
      </c>
      <c r="Q193" s="124" t="n">
        <f aca="false">E193/P$3</f>
        <v>0</v>
      </c>
      <c r="R193" s="124" t="n">
        <f aca="false">F193/R$3</f>
        <v>0</v>
      </c>
      <c r="S193" s="126" t="n">
        <f aca="false">J193/$R$3</f>
        <v>0</v>
      </c>
      <c r="T193" s="126" t="n">
        <f aca="false">L193/$R$3</f>
        <v>0</v>
      </c>
      <c r="U193" s="126" t="n">
        <f aca="false">I193/$R$3</f>
        <v>-1076.103</v>
      </c>
      <c r="V193" s="126" t="n">
        <f aca="false">M193/$R$3</f>
        <v>-1076.103</v>
      </c>
      <c r="W193" s="126" t="n">
        <f aca="false">N193/$R$3</f>
        <v>23366.1023</v>
      </c>
    </row>
    <row r="194" customFormat="false" ht="12.75" hidden="true" customHeight="false" outlineLevel="0" collapsed="false">
      <c r="A194" s="120" t="n">
        <f aca="false">A193+1</f>
        <v>37080</v>
      </c>
      <c r="B194" s="131" t="str">
        <f aca="false">INDEX('Master Data'!$A$2:$B$8,MATCH(WEEKDAY('BRA Power'!A194,3),'Master Data'!$A$2:$A$8,0),2)</f>
        <v>Su</v>
      </c>
      <c r="D194" s="124" t="n">
        <v>0</v>
      </c>
      <c r="E194" s="124" t="n">
        <v>0</v>
      </c>
      <c r="F194" s="124" t="n">
        <v>0</v>
      </c>
      <c r="G194" s="124" t="n">
        <v>0</v>
      </c>
      <c r="I194" s="124" t="n">
        <f aca="false">IF(MONTH($A194)=MONTH($A193),IF(G194=0,I193,G194),G194)</f>
        <v>-1076103</v>
      </c>
      <c r="J194" s="124" t="n">
        <f aca="false">IF(MONTH($A194)=MONTH($A193),SUM(I194-I193),I194)</f>
        <v>0</v>
      </c>
      <c r="K194" s="124" t="n">
        <f aca="false">IF(WEEKDAY(A194,3)&gt;4,0,(IF(A194&lt;K$2,0,IF(A194&lt;=K$3,1,0))))</f>
        <v>0</v>
      </c>
      <c r="L194" s="124" t="n">
        <f aca="false">J194*K194</f>
        <v>0</v>
      </c>
      <c r="M194" s="124" t="n">
        <f aca="false">SUM(J$188:J194)</f>
        <v>-1076103</v>
      </c>
      <c r="N194" s="124" t="n">
        <f aca="false">SUM(J$6:J194)</f>
        <v>23366102.3</v>
      </c>
      <c r="P194" s="124" t="n">
        <f aca="false">D194/P$3</f>
        <v>0</v>
      </c>
      <c r="Q194" s="124" t="n">
        <f aca="false">E194/P$3</f>
        <v>0</v>
      </c>
      <c r="R194" s="124" t="n">
        <f aca="false">F194/R$3</f>
        <v>0</v>
      </c>
      <c r="S194" s="126" t="n">
        <f aca="false">J194/$R$3</f>
        <v>0</v>
      </c>
      <c r="T194" s="126" t="n">
        <f aca="false">L194/$R$3</f>
        <v>0</v>
      </c>
      <c r="U194" s="126" t="n">
        <f aca="false">I194/$R$3</f>
        <v>-1076.103</v>
      </c>
      <c r="V194" s="126" t="n">
        <f aca="false">M194/$R$3</f>
        <v>-1076.103</v>
      </c>
      <c r="W194" s="126" t="n">
        <f aca="false">N194/$R$3</f>
        <v>23366.1023</v>
      </c>
    </row>
    <row r="195" customFormat="false" ht="12.75" hidden="true" customHeight="false" outlineLevel="0" collapsed="false">
      <c r="A195" s="120" t="n">
        <f aca="false">A194+1</f>
        <v>37081</v>
      </c>
      <c r="B195" s="131" t="str">
        <f aca="false">INDEX('Master Data'!$A$2:$B$8,MATCH(WEEKDAY('BRA Power'!A195,3),'Master Data'!$A$2:$A$8,0),2)</f>
        <v>M</v>
      </c>
      <c r="D195" s="124" t="n">
        <v>178228</v>
      </c>
      <c r="E195" s="124" t="n">
        <v>50120.2187449956</v>
      </c>
      <c r="F195" s="124" t="n">
        <v>0</v>
      </c>
      <c r="G195" s="124" t="n">
        <v>-1069449</v>
      </c>
      <c r="I195" s="124" t="n">
        <f aca="false">IF(MONTH($A195)=MONTH($A194),IF(G195=0,I194,G195),G195)</f>
        <v>-1069449</v>
      </c>
      <c r="J195" s="124" t="n">
        <f aca="false">IF(MONTH($A195)=MONTH($A194),SUM(I195-I194),I195)</f>
        <v>6654</v>
      </c>
      <c r="K195" s="124" t="n">
        <f aca="false">IF(WEEKDAY(A195,3)&gt;4,0,(IF(A195&lt;K$2,0,IF(A195&lt;=K$3,1,0))))</f>
        <v>0</v>
      </c>
      <c r="L195" s="124" t="n">
        <f aca="false">J195*K195</f>
        <v>0</v>
      </c>
      <c r="M195" s="124" t="n">
        <f aca="false">SUM(J$188:J195)</f>
        <v>-1069449</v>
      </c>
      <c r="N195" s="124" t="n">
        <f aca="false">SUM(J$6:J195)</f>
        <v>23372756.3</v>
      </c>
      <c r="P195" s="124" t="n">
        <f aca="false">D195/P$3</f>
        <v>0.178228</v>
      </c>
      <c r="Q195" s="124" t="n">
        <f aca="false">E195/P$3</f>
        <v>0.0501202187449956</v>
      </c>
      <c r="R195" s="124" t="n">
        <f aca="false">F195/R$3</f>
        <v>0</v>
      </c>
      <c r="S195" s="126" t="n">
        <f aca="false">J195/$R$3</f>
        <v>6.654</v>
      </c>
      <c r="T195" s="126" t="n">
        <f aca="false">L195/$R$3</f>
        <v>0</v>
      </c>
      <c r="U195" s="126" t="n">
        <f aca="false">I195/$R$3</f>
        <v>-1069.449</v>
      </c>
      <c r="V195" s="126" t="n">
        <f aca="false">M195/$R$3</f>
        <v>-1069.449</v>
      </c>
      <c r="W195" s="126" t="n">
        <f aca="false">N195/$R$3</f>
        <v>23372.7563</v>
      </c>
    </row>
    <row r="196" customFormat="false" ht="12.75" hidden="true" customHeight="false" outlineLevel="0" collapsed="false">
      <c r="A196" s="120" t="n">
        <f aca="false">A195+1</f>
        <v>37082</v>
      </c>
      <c r="B196" s="131" t="str">
        <f aca="false">INDEX('Master Data'!$A$2:$B$8,MATCH(WEEKDAY('BRA Power'!A196,3),'Master Data'!$A$2:$A$8,0),2)</f>
        <v>T</v>
      </c>
      <c r="D196" s="124" t="n">
        <v>178334</v>
      </c>
      <c r="E196" s="124" t="n">
        <v>50149.6556079515</v>
      </c>
      <c r="F196" s="124" t="n">
        <v>0</v>
      </c>
      <c r="G196" s="124" t="n">
        <v>-1067229</v>
      </c>
      <c r="I196" s="124" t="n">
        <f aca="false">IF(MONTH($A196)=MONTH($A195),IF(G196=0,I195,G196),G196)</f>
        <v>-1067229</v>
      </c>
      <c r="J196" s="124" t="n">
        <f aca="false">IF(MONTH($A196)=MONTH($A195),SUM(I196-I195),I196)</f>
        <v>2220</v>
      </c>
      <c r="K196" s="124" t="n">
        <f aca="false">IF(WEEKDAY(A196,3)&gt;4,0,(IF(A196&lt;K$2,0,IF(A196&lt;=K$3,1,0))))</f>
        <v>0</v>
      </c>
      <c r="L196" s="124" t="n">
        <f aca="false">J196*K196</f>
        <v>0</v>
      </c>
      <c r="M196" s="124" t="n">
        <f aca="false">SUM(J$188:J196)</f>
        <v>-1067229</v>
      </c>
      <c r="N196" s="124" t="n">
        <f aca="false">SUM(J$6:J196)</f>
        <v>23374976.3</v>
      </c>
      <c r="P196" s="124" t="n">
        <f aca="false">D196/P$3</f>
        <v>0.178334</v>
      </c>
      <c r="Q196" s="124" t="n">
        <f aca="false">E196/P$3</f>
        <v>0.0501496556079515</v>
      </c>
      <c r="R196" s="124" t="n">
        <f aca="false">F196/R$3</f>
        <v>0</v>
      </c>
      <c r="S196" s="126" t="n">
        <f aca="false">J196/$R$3</f>
        <v>2.22</v>
      </c>
      <c r="T196" s="126" t="n">
        <f aca="false">L196/$R$3</f>
        <v>0</v>
      </c>
      <c r="U196" s="126" t="n">
        <f aca="false">I196/$R$3</f>
        <v>-1067.229</v>
      </c>
      <c r="V196" s="126" t="n">
        <f aca="false">M196/$R$3</f>
        <v>-1067.229</v>
      </c>
      <c r="W196" s="126" t="n">
        <f aca="false">N196/$R$3</f>
        <v>23374.9763</v>
      </c>
    </row>
    <row r="197" customFormat="false" ht="12.75" hidden="true" customHeight="false" outlineLevel="0" collapsed="false">
      <c r="A197" s="120" t="n">
        <f aca="false">A196+1</f>
        <v>37083</v>
      </c>
      <c r="B197" s="131" t="str">
        <f aca="false">INDEX('Master Data'!$A$2:$B$8,MATCH(WEEKDAY('BRA Power'!A197,3),'Master Data'!$A$2:$A$8,0),2)</f>
        <v>W</v>
      </c>
      <c r="D197" s="124" t="n">
        <v>178440.208326923</v>
      </c>
      <c r="E197" s="124" t="n">
        <v>50179.1097763373</v>
      </c>
      <c r="F197" s="124" t="n">
        <v>0</v>
      </c>
      <c r="G197" s="124" t="n">
        <v>-1065007.35125597</v>
      </c>
      <c r="I197" s="124" t="n">
        <f aca="false">IF(MONTH($A197)=MONTH($A196),IF(G197=0,I196,G197),G197)</f>
        <v>-1065007.35125597</v>
      </c>
      <c r="J197" s="124" t="n">
        <f aca="false">IF(MONTH($A197)=MONTH($A196),SUM(I197-I196),I197)</f>
        <v>2221.64874402992</v>
      </c>
      <c r="K197" s="124" t="n">
        <f aca="false">IF(WEEKDAY(A197,3)&gt;4,0,(IF(A197&lt;K$2,0,IF(A197&lt;=K$3,1,0))))</f>
        <v>0</v>
      </c>
      <c r="L197" s="124" t="n">
        <f aca="false">J197*K197</f>
        <v>0</v>
      </c>
      <c r="M197" s="124" t="n">
        <f aca="false">SUM(J$188:J197)</f>
        <v>-1065007.35125597</v>
      </c>
      <c r="N197" s="124" t="n">
        <f aca="false">SUM(J$6:J197)</f>
        <v>23377197.948744</v>
      </c>
      <c r="P197" s="124" t="n">
        <f aca="false">D197/P$3</f>
        <v>0.178440208326923</v>
      </c>
      <c r="Q197" s="124" t="n">
        <f aca="false">E197/P$3</f>
        <v>0.0501791097763373</v>
      </c>
      <c r="R197" s="124" t="n">
        <f aca="false">F197/R$3</f>
        <v>0</v>
      </c>
      <c r="S197" s="126" t="n">
        <f aca="false">J197/$R$3</f>
        <v>2.22164874402992</v>
      </c>
      <c r="T197" s="126" t="n">
        <f aca="false">L197/$R$3</f>
        <v>0</v>
      </c>
      <c r="U197" s="126" t="n">
        <f aca="false">I197/$R$3</f>
        <v>-1065.00735125597</v>
      </c>
      <c r="V197" s="126" t="n">
        <f aca="false">M197/$R$3</f>
        <v>-1065.00735125597</v>
      </c>
      <c r="W197" s="126" t="n">
        <f aca="false">N197/$R$3</f>
        <v>23377.197948744</v>
      </c>
    </row>
    <row r="198" customFormat="false" ht="12.75" hidden="true" customHeight="false" outlineLevel="0" collapsed="false">
      <c r="A198" s="120" t="n">
        <f aca="false">A197+1</f>
        <v>37084</v>
      </c>
      <c r="B198" s="131" t="str">
        <f aca="false">INDEX('Master Data'!$A$2:$B$8,MATCH(WEEKDAY('BRA Power'!A198,3),'Master Data'!$A$2:$A$8,0),2)</f>
        <v>Th</v>
      </c>
      <c r="D198" s="124" t="n">
        <v>178546.565150497</v>
      </c>
      <c r="E198" s="124" t="n">
        <v>50208.5812603361</v>
      </c>
      <c r="F198" s="124" t="n">
        <v>0</v>
      </c>
      <c r="G198" s="124" t="n">
        <v>-1062784.82125597</v>
      </c>
      <c r="I198" s="124" t="n">
        <f aca="false">IF(MONTH($A198)=MONTH($A197),IF(G198=0,I197,G198),G198)</f>
        <v>-1062784.82125597</v>
      </c>
      <c r="J198" s="124" t="n">
        <f aca="false">IF(MONTH($A198)=MONTH($A197),SUM(I198-I197),I198)</f>
        <v>2222.53000000003</v>
      </c>
      <c r="K198" s="124" t="n">
        <f aca="false">IF(WEEKDAY(A198,3)&gt;4,0,(IF(A198&lt;K$2,0,IF(A198&lt;=K$3,1,0))))</f>
        <v>0</v>
      </c>
      <c r="L198" s="124" t="n">
        <f aca="false">J198*K198</f>
        <v>0</v>
      </c>
      <c r="M198" s="124" t="n">
        <f aca="false">SUM(J$188:J198)</f>
        <v>-1062784.82125597</v>
      </c>
      <c r="N198" s="124" t="n">
        <f aca="false">SUM(J$6:J198)</f>
        <v>23379420.478744</v>
      </c>
      <c r="P198" s="124" t="n">
        <f aca="false">D198/P$3</f>
        <v>0.178546565150497</v>
      </c>
      <c r="Q198" s="124" t="n">
        <f aca="false">E198/P$3</f>
        <v>0.0502085812603361</v>
      </c>
      <c r="R198" s="124" t="n">
        <f aca="false">F198/R$3</f>
        <v>0</v>
      </c>
      <c r="S198" s="126" t="n">
        <f aca="false">J198/$R$3</f>
        <v>2.22253000000003</v>
      </c>
      <c r="T198" s="126" t="n">
        <f aca="false">L198/$R$3</f>
        <v>0</v>
      </c>
      <c r="U198" s="126" t="n">
        <f aca="false">I198/$R$3</f>
        <v>-1062.78482125597</v>
      </c>
      <c r="V198" s="126" t="n">
        <f aca="false">M198/$R$3</f>
        <v>-1062.78482125597</v>
      </c>
      <c r="W198" s="126" t="n">
        <f aca="false">N198/$R$3</f>
        <v>23379.420478744</v>
      </c>
    </row>
    <row r="199" customFormat="false" ht="12.75" hidden="true" customHeight="false" outlineLevel="0" collapsed="false">
      <c r="A199" s="120" t="n">
        <f aca="false">A198+1</f>
        <v>37085</v>
      </c>
      <c r="B199" s="131" t="str">
        <f aca="false">INDEX('Master Data'!$A$2:$B$8,MATCH(WEEKDAY('BRA Power'!A199,3),'Master Data'!$A$2:$A$8,0),2)</f>
        <v>F</v>
      </c>
      <c r="D199" s="124" t="n">
        <v>178653</v>
      </c>
      <c r="E199" s="124" t="n">
        <v>50238.0700701372</v>
      </c>
      <c r="F199" s="124" t="n">
        <v>0</v>
      </c>
      <c r="G199" s="124" t="n">
        <v>-1060561</v>
      </c>
      <c r="I199" s="124" t="n">
        <f aca="false">IF(MONTH($A199)=MONTH($A198),IF(G199=0,I198,G199),G199)</f>
        <v>-1060561</v>
      </c>
      <c r="J199" s="124" t="n">
        <f aca="false">IF(MONTH($A199)=MONTH($A198),SUM(I199-I198),I199)</f>
        <v>2223.82125597005</v>
      </c>
      <c r="K199" s="124" t="n">
        <f aca="false">IF(WEEKDAY(A199,3)&gt;4,0,(IF(A199&lt;K$2,0,IF(A199&lt;=K$3,1,0))))</f>
        <v>0</v>
      </c>
      <c r="L199" s="124" t="n">
        <f aca="false">J199*K199</f>
        <v>0</v>
      </c>
      <c r="M199" s="124" t="n">
        <f aca="false">SUM(J$188:J199)</f>
        <v>-1060561</v>
      </c>
      <c r="N199" s="124" t="n">
        <f aca="false">SUM(J$6:J199)</f>
        <v>23381644.3</v>
      </c>
      <c r="P199" s="124" t="n">
        <f aca="false">D199/P$3</f>
        <v>0.178653</v>
      </c>
      <c r="Q199" s="124" t="n">
        <f aca="false">E199/P$3</f>
        <v>0.0502380700701372</v>
      </c>
      <c r="R199" s="124" t="n">
        <f aca="false">F199/R$3</f>
        <v>0</v>
      </c>
      <c r="S199" s="126" t="n">
        <f aca="false">J199/$R$3</f>
        <v>2.22382125597005</v>
      </c>
      <c r="T199" s="126" t="n">
        <f aca="false">L199/$R$3</f>
        <v>0</v>
      </c>
      <c r="U199" s="126" t="n">
        <f aca="false">I199/$R$3</f>
        <v>-1060.561</v>
      </c>
      <c r="V199" s="126" t="n">
        <f aca="false">M199/$R$3</f>
        <v>-1060.561</v>
      </c>
      <c r="W199" s="126" t="n">
        <f aca="false">N199/$R$3</f>
        <v>23381.6443</v>
      </c>
    </row>
    <row r="200" customFormat="false" ht="12.75" hidden="true" customHeight="false" outlineLevel="0" collapsed="false">
      <c r="A200" s="120" t="n">
        <f aca="false">A199+1</f>
        <v>37086</v>
      </c>
      <c r="B200" s="131" t="str">
        <f aca="false">INDEX('Master Data'!$A$2:$B$8,MATCH(WEEKDAY('BRA Power'!A200,3),'Master Data'!$A$2:$A$8,0),2)</f>
        <v>Sa</v>
      </c>
      <c r="D200" s="124" t="n">
        <v>0</v>
      </c>
      <c r="E200" s="124" t="n">
        <v>0</v>
      </c>
      <c r="F200" s="124" t="n">
        <v>0</v>
      </c>
      <c r="G200" s="124" t="n">
        <v>0</v>
      </c>
      <c r="I200" s="124" t="n">
        <f aca="false">IF(MONTH($A200)=MONTH($A199),IF(G200=0,I199,G200),G200)</f>
        <v>-1060561</v>
      </c>
      <c r="J200" s="124" t="n">
        <f aca="false">IF(MONTH($A200)=MONTH($A199),SUM(I200-I199),I200)</f>
        <v>0</v>
      </c>
      <c r="K200" s="124" t="n">
        <f aca="false">IF(WEEKDAY(A200,3)&gt;4,0,(IF(A200&lt;K$2,0,IF(A200&lt;=K$3,1,0))))</f>
        <v>0</v>
      </c>
      <c r="L200" s="124" t="n">
        <f aca="false">J200*K200</f>
        <v>0</v>
      </c>
      <c r="M200" s="124" t="n">
        <f aca="false">SUM(J$188:J200)</f>
        <v>-1060561</v>
      </c>
      <c r="N200" s="124" t="n">
        <f aca="false">SUM(J$6:J200)</f>
        <v>23381644.3</v>
      </c>
      <c r="P200" s="124" t="n">
        <f aca="false">D200/P$3</f>
        <v>0</v>
      </c>
      <c r="Q200" s="124" t="n">
        <f aca="false">E200/P$3</f>
        <v>0</v>
      </c>
      <c r="R200" s="124" t="n">
        <f aca="false">F200/R$3</f>
        <v>0</v>
      </c>
      <c r="S200" s="126" t="n">
        <f aca="false">J200/$R$3</f>
        <v>0</v>
      </c>
      <c r="T200" s="126" t="n">
        <f aca="false">L200/$R$3</f>
        <v>0</v>
      </c>
      <c r="U200" s="126" t="n">
        <f aca="false">I200/$R$3</f>
        <v>-1060.561</v>
      </c>
      <c r="V200" s="126" t="n">
        <f aca="false">M200/$R$3</f>
        <v>-1060.561</v>
      </c>
      <c r="W200" s="126" t="n">
        <f aca="false">N200/$R$3</f>
        <v>23381.6443</v>
      </c>
    </row>
    <row r="201" customFormat="false" ht="12.75" hidden="true" customHeight="false" outlineLevel="0" collapsed="false">
      <c r="A201" s="120" t="n">
        <f aca="false">A200+1</f>
        <v>37087</v>
      </c>
      <c r="B201" s="131" t="str">
        <f aca="false">INDEX('Master Data'!$A$2:$B$8,MATCH(WEEKDAY('BRA Power'!A201,3),'Master Data'!$A$2:$A$8,0),2)</f>
        <v>Su</v>
      </c>
      <c r="D201" s="124" t="n">
        <v>0</v>
      </c>
      <c r="E201" s="124" t="n">
        <v>0</v>
      </c>
      <c r="F201" s="124" t="n">
        <v>0</v>
      </c>
      <c r="G201" s="124" t="n">
        <v>0</v>
      </c>
      <c r="I201" s="124" t="n">
        <f aca="false">IF(MONTH($A201)=MONTH($A200),IF(G201=0,I200,G201),G201)</f>
        <v>-1060561</v>
      </c>
      <c r="J201" s="124" t="n">
        <f aca="false">IF(MONTH($A201)=MONTH($A200),SUM(I201-I200),I201)</f>
        <v>0</v>
      </c>
      <c r="K201" s="124" t="n">
        <f aca="false">IF(WEEKDAY(A201,3)&gt;4,0,(IF(A201&lt;K$2,0,IF(A201&lt;=K$3,1,0))))</f>
        <v>0</v>
      </c>
      <c r="L201" s="124" t="n">
        <f aca="false">J201*K201</f>
        <v>0</v>
      </c>
      <c r="M201" s="124" t="n">
        <f aca="false">SUM(J$188:J201)</f>
        <v>-1060561</v>
      </c>
      <c r="N201" s="124" t="n">
        <f aca="false">SUM(J$6:J201)</f>
        <v>23381644.3</v>
      </c>
      <c r="P201" s="124" t="n">
        <f aca="false">D201/P$3</f>
        <v>0</v>
      </c>
      <c r="Q201" s="124" t="n">
        <f aca="false">E201/P$3</f>
        <v>0</v>
      </c>
      <c r="R201" s="124" t="n">
        <f aca="false">F201/R$3</f>
        <v>0</v>
      </c>
      <c r="S201" s="126" t="n">
        <f aca="false">J201/$R$3</f>
        <v>0</v>
      </c>
      <c r="T201" s="126" t="n">
        <f aca="false">L201/$R$3</f>
        <v>0</v>
      </c>
      <c r="U201" s="126" t="n">
        <f aca="false">I201/$R$3</f>
        <v>-1060.561</v>
      </c>
      <c r="V201" s="126" t="n">
        <f aca="false">M201/$R$3</f>
        <v>-1060.561</v>
      </c>
      <c r="W201" s="126" t="n">
        <f aca="false">N201/$R$3</f>
        <v>23381.6443</v>
      </c>
    </row>
    <row r="202" customFormat="false" ht="12.75" hidden="true" customHeight="false" outlineLevel="0" collapsed="false">
      <c r="A202" s="120" t="n">
        <f aca="false">A201+1</f>
        <v>37088</v>
      </c>
      <c r="B202" s="131" t="str">
        <f aca="false">INDEX('Master Data'!$A$2:$B$8,MATCH(WEEKDAY('BRA Power'!A202,3),'Master Data'!$A$2:$A$8,0),2)</f>
        <v>M</v>
      </c>
      <c r="D202" s="124" t="n">
        <v>178972.651549616</v>
      </c>
      <c r="E202" s="124" t="n">
        <v>50326.6405563353</v>
      </c>
      <c r="F202" s="124" t="n">
        <v>0</v>
      </c>
      <c r="G202" s="124" t="n">
        <v>-1053883</v>
      </c>
      <c r="I202" s="124" t="n">
        <f aca="false">IF(MONTH($A202)=MONTH($A201),IF(G202=0,I201,G202),G202)</f>
        <v>-1053883</v>
      </c>
      <c r="J202" s="124" t="n">
        <f aca="false">IF(MONTH($A202)=MONTH($A201),SUM(I202-I201),I202)</f>
        <v>6678</v>
      </c>
      <c r="K202" s="124" t="n">
        <f aca="false">IF(WEEKDAY(A202,3)&gt;4,0,(IF(A202&lt;K$2,0,IF(A202&lt;=K$3,1,0))))</f>
        <v>0</v>
      </c>
      <c r="L202" s="124" t="n">
        <f aca="false">J202*K202</f>
        <v>0</v>
      </c>
      <c r="M202" s="124" t="n">
        <f aca="false">SUM(J$188:J202)</f>
        <v>-1053883</v>
      </c>
      <c r="N202" s="124" t="n">
        <f aca="false">SUM(J$6:J202)</f>
        <v>23388322.3</v>
      </c>
      <c r="P202" s="124" t="n">
        <f aca="false">D202/P$3</f>
        <v>0.178972651549616</v>
      </c>
      <c r="Q202" s="124" t="n">
        <f aca="false">E202/P$3</f>
        <v>0.0503266405563353</v>
      </c>
      <c r="R202" s="124" t="n">
        <f aca="false">F202/R$3</f>
        <v>0</v>
      </c>
      <c r="S202" s="126" t="n">
        <f aca="false">J202/$R$3</f>
        <v>6.678</v>
      </c>
      <c r="T202" s="126" t="n">
        <f aca="false">L202/$R$3</f>
        <v>0</v>
      </c>
      <c r="U202" s="126" t="n">
        <f aca="false">I202/$R$3</f>
        <v>-1053.883</v>
      </c>
      <c r="V202" s="126" t="n">
        <f aca="false">M202/$R$3</f>
        <v>-1053.883</v>
      </c>
      <c r="W202" s="126" t="n">
        <f aca="false">N202/$R$3</f>
        <v>23388.3223</v>
      </c>
    </row>
    <row r="203" customFormat="false" ht="12.75" hidden="true" customHeight="false" outlineLevel="0" collapsed="false">
      <c r="A203" s="120" t="n">
        <f aca="false">A202+1</f>
        <v>37089</v>
      </c>
      <c r="B203" s="131" t="str">
        <f aca="false">INDEX('Master Data'!$A$2:$B$8,MATCH(WEEKDAY('BRA Power'!A203,3),'Master Data'!$A$2:$A$8,0),2)</f>
        <v>T</v>
      </c>
      <c r="D203" s="124" t="n">
        <v>179079</v>
      </c>
      <c r="E203" s="124" t="n">
        <v>50356.1987713569</v>
      </c>
      <c r="F203" s="124" t="n">
        <v>0</v>
      </c>
      <c r="G203" s="124" t="n">
        <v>-1051655.28125597</v>
      </c>
      <c r="I203" s="124" t="n">
        <f aca="false">IF(MONTH($A203)=MONTH($A202),IF(G203=0,I202,G203),G203)</f>
        <v>-1051655.28125597</v>
      </c>
      <c r="J203" s="124" t="n">
        <f aca="false">IF(MONTH($A203)=MONTH($A202),SUM(I203-I202),I203)</f>
        <v>2227.71874402999</v>
      </c>
      <c r="K203" s="124" t="n">
        <f aca="false">IF(WEEKDAY(A203,3)&gt;4,0,(IF(A203&lt;K$2,0,IF(A203&lt;=K$3,1,0))))</f>
        <v>0</v>
      </c>
      <c r="L203" s="124" t="n">
        <f aca="false">J203*K203</f>
        <v>0</v>
      </c>
      <c r="M203" s="124" t="n">
        <f aca="false">SUM(J$188:J203)</f>
        <v>-1051655.28125597</v>
      </c>
      <c r="N203" s="124" t="n">
        <f aca="false">SUM(J$6:J203)</f>
        <v>23390550.018744</v>
      </c>
      <c r="P203" s="124" t="n">
        <f aca="false">D203/P$3</f>
        <v>0.179079</v>
      </c>
      <c r="Q203" s="124" t="n">
        <f aca="false">E203/P$3</f>
        <v>0.0503561987713569</v>
      </c>
      <c r="R203" s="124" t="n">
        <f aca="false">F203/R$3</f>
        <v>0</v>
      </c>
      <c r="S203" s="126" t="n">
        <f aca="false">J203/$R$3</f>
        <v>2.22771874402999</v>
      </c>
      <c r="T203" s="126" t="n">
        <f aca="false">L203/$R$3</f>
        <v>0</v>
      </c>
      <c r="U203" s="126" t="n">
        <f aca="false">I203/$R$3</f>
        <v>-1051.65528125597</v>
      </c>
      <c r="V203" s="126" t="n">
        <f aca="false">M203/$R$3</f>
        <v>-1051.65528125597</v>
      </c>
      <c r="W203" s="126" t="n">
        <f aca="false">N203/$R$3</f>
        <v>23390.550018744</v>
      </c>
    </row>
    <row r="204" customFormat="false" ht="12.75" hidden="true" customHeight="false" outlineLevel="0" collapsed="false">
      <c r="A204" s="120" t="n">
        <f aca="false">A203+1</f>
        <v>37090</v>
      </c>
      <c r="B204" s="131" t="str">
        <f aca="false">INDEX('Master Data'!$A$2:$B$8,MATCH(WEEKDAY('BRA Power'!A204,3),'Master Data'!$A$2:$A$8,0),2)</f>
        <v>W</v>
      </c>
      <c r="D204" s="124" t="n">
        <v>179186</v>
      </c>
      <c r="E204" s="124" t="n">
        <v>50385.7743632166</v>
      </c>
      <c r="F204" s="124" t="n">
        <v>0</v>
      </c>
      <c r="G204" s="124" t="n">
        <v>-1049426</v>
      </c>
      <c r="I204" s="124" t="n">
        <f aca="false">IF(MONTH($A204)=MONTH($A203),IF(G204=0,I203,G204),G204)</f>
        <v>-1049426</v>
      </c>
      <c r="J204" s="124" t="n">
        <f aca="false">IF(MONTH($A204)=MONTH($A203),SUM(I204-I203),I204)</f>
        <v>2229.28125597001</v>
      </c>
      <c r="K204" s="124" t="n">
        <f aca="false">IF(WEEKDAY(A204,3)&gt;4,0,(IF(A204&lt;K$2,0,IF(A204&lt;=K$3,1,0))))</f>
        <v>0</v>
      </c>
      <c r="L204" s="124" t="n">
        <f aca="false">J204*K204</f>
        <v>0</v>
      </c>
      <c r="M204" s="124" t="n">
        <f aca="false">SUM(J$188:J204)</f>
        <v>-1049426</v>
      </c>
      <c r="N204" s="124" t="n">
        <f aca="false">SUM(J$6:J204)</f>
        <v>23392779.3</v>
      </c>
      <c r="P204" s="124" t="n">
        <f aca="false">D204/P$3</f>
        <v>0.179186</v>
      </c>
      <c r="Q204" s="124" t="n">
        <f aca="false">E204/P$3</f>
        <v>0.0503857743632166</v>
      </c>
      <c r="R204" s="124" t="n">
        <f aca="false">F204/R$3</f>
        <v>0</v>
      </c>
      <c r="S204" s="126" t="n">
        <f aca="false">J204/$R$3</f>
        <v>2.22928125597001</v>
      </c>
      <c r="T204" s="126" t="n">
        <f aca="false">L204/$R$3</f>
        <v>0</v>
      </c>
      <c r="U204" s="126" t="n">
        <f aca="false">I204/$R$3</f>
        <v>-1049.426</v>
      </c>
      <c r="V204" s="126" t="n">
        <f aca="false">M204/$R$3</f>
        <v>-1049.426</v>
      </c>
      <c r="W204" s="126" t="n">
        <f aca="false">N204/$R$3</f>
        <v>23392.7793</v>
      </c>
    </row>
    <row r="205" customFormat="false" ht="12.75" hidden="true" customHeight="false" outlineLevel="0" collapsed="false">
      <c r="A205" s="120" t="n">
        <f aca="false">A204+1</f>
        <v>37091</v>
      </c>
      <c r="B205" s="131" t="str">
        <f aca="false">INDEX('Master Data'!$A$2:$B$8,MATCH(WEEKDAY('BRA Power'!A205,3),'Master Data'!$A$2:$A$8,0),2)</f>
        <v>Th</v>
      </c>
      <c r="D205" s="124" t="n">
        <v>179293</v>
      </c>
      <c r="E205" s="124" t="n">
        <v>50415.3673421396</v>
      </c>
      <c r="F205" s="124" t="n">
        <v>0</v>
      </c>
      <c r="G205" s="124" t="n">
        <v>-1047196</v>
      </c>
      <c r="I205" s="124" t="n">
        <f aca="false">IF(MONTH($A205)=MONTH($A204),IF(G205=0,I204,G205),G205)</f>
        <v>-1047196</v>
      </c>
      <c r="J205" s="124" t="n">
        <f aca="false">IF(MONTH($A205)=MONTH($A204),SUM(I205-I204),I205)</f>
        <v>2230</v>
      </c>
      <c r="K205" s="124" t="n">
        <f aca="false">IF(WEEKDAY(A205,3)&gt;4,0,(IF(A205&lt;K$2,0,IF(A205&lt;=K$3,1,0))))</f>
        <v>0</v>
      </c>
      <c r="L205" s="124" t="n">
        <f aca="false">J205*K205</f>
        <v>0</v>
      </c>
      <c r="M205" s="124" t="n">
        <f aca="false">SUM(J$188:J205)</f>
        <v>-1047196</v>
      </c>
      <c r="N205" s="124" t="n">
        <f aca="false">SUM(J$6:J205)</f>
        <v>23395009.3</v>
      </c>
      <c r="P205" s="124" t="n">
        <f aca="false">D205/P$3</f>
        <v>0.179293</v>
      </c>
      <c r="Q205" s="124" t="n">
        <f aca="false">E205/P$3</f>
        <v>0.0504153673421396</v>
      </c>
      <c r="R205" s="124" t="n">
        <f aca="false">F205/R$3</f>
        <v>0</v>
      </c>
      <c r="S205" s="126" t="n">
        <f aca="false">J205/$R$3</f>
        <v>2.23</v>
      </c>
      <c r="T205" s="126" t="n">
        <f aca="false">L205/$R$3</f>
        <v>0</v>
      </c>
      <c r="U205" s="126" t="n">
        <f aca="false">I205/$R$3</f>
        <v>-1047.196</v>
      </c>
      <c r="V205" s="126" t="n">
        <f aca="false">M205/$R$3</f>
        <v>-1047.196</v>
      </c>
      <c r="W205" s="126" t="n">
        <f aca="false">N205/$R$3</f>
        <v>23395.0093</v>
      </c>
    </row>
    <row r="206" customFormat="false" ht="12.75" hidden="true" customHeight="false" outlineLevel="0" collapsed="false">
      <c r="A206" s="120" t="n">
        <f aca="false">A205+1</f>
        <v>37092</v>
      </c>
      <c r="B206" s="131" t="str">
        <f aca="false">INDEX('Master Data'!$A$2:$B$8,MATCH(WEEKDAY('BRA Power'!A206,3),'Master Data'!$A$2:$A$8,0),2)</f>
        <v>F</v>
      </c>
      <c r="D206" s="124" t="n">
        <v>179399.79449116</v>
      </c>
      <c r="E206" s="124" t="n">
        <v>50444.9777183571</v>
      </c>
      <c r="F206" s="124" t="n">
        <v>0</v>
      </c>
      <c r="G206" s="124" t="n">
        <v>-1044964</v>
      </c>
      <c r="I206" s="124" t="n">
        <f aca="false">IF(MONTH($A206)=MONTH($A205),IF(G206=0,I205,G206),G206)</f>
        <v>-1044964</v>
      </c>
      <c r="J206" s="124" t="n">
        <f aca="false">IF(MONTH($A206)=MONTH($A205),SUM(I206-I205),I206)</f>
        <v>2232</v>
      </c>
      <c r="K206" s="124" t="n">
        <f aca="false">IF(WEEKDAY(A206,3)&gt;4,0,(IF(A206&lt;K$2,0,IF(A206&lt;=K$3,1,0))))</f>
        <v>0</v>
      </c>
      <c r="L206" s="124" t="n">
        <f aca="false">J206*K206</f>
        <v>0</v>
      </c>
      <c r="M206" s="124" t="n">
        <f aca="false">SUM(J$188:J206)</f>
        <v>-1044964</v>
      </c>
      <c r="N206" s="124" t="n">
        <f aca="false">SUM(J$6:J206)</f>
        <v>23397241.3</v>
      </c>
      <c r="P206" s="124" t="n">
        <f aca="false">D206/P$3</f>
        <v>0.17939979449116</v>
      </c>
      <c r="Q206" s="124" t="n">
        <f aca="false">E206/P$3</f>
        <v>0.0504449777183571</v>
      </c>
      <c r="R206" s="124" t="n">
        <f aca="false">F206/R$3</f>
        <v>0</v>
      </c>
      <c r="S206" s="126" t="n">
        <f aca="false">J206/$R$3</f>
        <v>2.232</v>
      </c>
      <c r="T206" s="126" t="n">
        <f aca="false">L206/$R$3</f>
        <v>0</v>
      </c>
      <c r="U206" s="126" t="n">
        <f aca="false">I206/$R$3</f>
        <v>-1044.964</v>
      </c>
      <c r="V206" s="126" t="n">
        <f aca="false">M206/$R$3</f>
        <v>-1044.964</v>
      </c>
      <c r="W206" s="126" t="n">
        <f aca="false">N206/$R$3</f>
        <v>23397.2413</v>
      </c>
    </row>
    <row r="207" customFormat="false" ht="12.75" hidden="true" customHeight="false" outlineLevel="0" collapsed="false">
      <c r="A207" s="120" t="n">
        <f aca="false">A206+1</f>
        <v>37093</v>
      </c>
      <c r="B207" s="131" t="str">
        <f aca="false">INDEX('Master Data'!$A$2:$B$8,MATCH(WEEKDAY('BRA Power'!A207,3),'Master Data'!$A$2:$A$8,0),2)</f>
        <v>Sa</v>
      </c>
      <c r="D207" s="124" t="n">
        <v>0</v>
      </c>
      <c r="E207" s="124" t="n">
        <v>0</v>
      </c>
      <c r="F207" s="124" t="n">
        <v>0</v>
      </c>
      <c r="G207" s="124" t="n">
        <v>0</v>
      </c>
      <c r="I207" s="124" t="n">
        <f aca="false">IF(MONTH($A207)=MONTH($A206),IF(G207=0,I206,G207),G207)</f>
        <v>-1044964</v>
      </c>
      <c r="J207" s="124" t="n">
        <f aca="false">IF(MONTH($A207)=MONTH($A206),SUM(I207-I206),I207)</f>
        <v>0</v>
      </c>
      <c r="K207" s="124" t="n">
        <f aca="false">IF(WEEKDAY(A207,3)&gt;4,0,(IF(A207&lt;K$2,0,IF(A207&lt;=K$3,1,0))))</f>
        <v>0</v>
      </c>
      <c r="L207" s="124" t="n">
        <f aca="false">J207*K207</f>
        <v>0</v>
      </c>
      <c r="M207" s="124" t="n">
        <f aca="false">SUM(J$188:J207)</f>
        <v>-1044964</v>
      </c>
      <c r="N207" s="124" t="n">
        <f aca="false">SUM(J$6:J207)</f>
        <v>23397241.3</v>
      </c>
      <c r="P207" s="124" t="n">
        <f aca="false">D207/P$3</f>
        <v>0</v>
      </c>
      <c r="Q207" s="124" t="n">
        <f aca="false">E207/P$3</f>
        <v>0</v>
      </c>
      <c r="R207" s="124" t="n">
        <f aca="false">F207/R$3</f>
        <v>0</v>
      </c>
      <c r="S207" s="126" t="n">
        <f aca="false">J207/$R$3</f>
        <v>0</v>
      </c>
      <c r="T207" s="126" t="n">
        <f aca="false">L207/$R$3</f>
        <v>0</v>
      </c>
      <c r="U207" s="126" t="n">
        <f aca="false">I207/$R$3</f>
        <v>-1044.964</v>
      </c>
      <c r="V207" s="126" t="n">
        <f aca="false">M207/$R$3</f>
        <v>-1044.964</v>
      </c>
      <c r="W207" s="126" t="n">
        <f aca="false">N207/$R$3</f>
        <v>23397.2413</v>
      </c>
    </row>
    <row r="208" customFormat="false" ht="12.75" hidden="true" customHeight="false" outlineLevel="0" collapsed="false">
      <c r="A208" s="120" t="n">
        <f aca="false">A207+1</f>
        <v>37094</v>
      </c>
      <c r="B208" s="131" t="str">
        <f aca="false">INDEX('Master Data'!$A$2:$B$8,MATCH(WEEKDAY('BRA Power'!A208,3),'Master Data'!$A$2:$A$8,0),2)</f>
        <v>Su</v>
      </c>
      <c r="D208" s="124" t="n">
        <v>0</v>
      </c>
      <c r="E208" s="124" t="n">
        <v>0</v>
      </c>
      <c r="F208" s="124" t="n">
        <v>0</v>
      </c>
      <c r="G208" s="124" t="n">
        <v>0</v>
      </c>
      <c r="I208" s="124" t="n">
        <f aca="false">IF(MONTH($A208)=MONTH($A207),IF(G208=0,I207,G208),G208)</f>
        <v>-1044964</v>
      </c>
      <c r="J208" s="124" t="n">
        <f aca="false">IF(MONTH($A208)=MONTH($A207),SUM(I208-I207),I208)</f>
        <v>0</v>
      </c>
      <c r="K208" s="124" t="n">
        <f aca="false">IF(WEEKDAY(A208,3)&gt;4,0,(IF(A208&lt;K$2,0,IF(A208&lt;=K$3,1,0))))</f>
        <v>0</v>
      </c>
      <c r="L208" s="124" t="n">
        <f aca="false">J208*K208</f>
        <v>0</v>
      </c>
      <c r="M208" s="124" t="n">
        <f aca="false">SUM(J$188:J208)</f>
        <v>-1044964</v>
      </c>
      <c r="N208" s="124" t="n">
        <f aca="false">SUM(J$6:J208)</f>
        <v>23397241.3</v>
      </c>
      <c r="P208" s="124" t="n">
        <f aca="false">D208/P$3</f>
        <v>0</v>
      </c>
      <c r="Q208" s="124" t="n">
        <f aca="false">E208/P$3</f>
        <v>0</v>
      </c>
      <c r="R208" s="124" t="n">
        <f aca="false">F208/R$3</f>
        <v>0</v>
      </c>
      <c r="S208" s="126" t="n">
        <f aca="false">J208/$R$3</f>
        <v>0</v>
      </c>
      <c r="T208" s="126" t="n">
        <f aca="false">L208/$R$3</f>
        <v>0</v>
      </c>
      <c r="U208" s="126" t="n">
        <f aca="false">I208/$R$3</f>
        <v>-1044.964</v>
      </c>
      <c r="V208" s="126" t="n">
        <f aca="false">M208/$R$3</f>
        <v>-1044.964</v>
      </c>
      <c r="W208" s="126" t="n">
        <f aca="false">N208/$R$3</f>
        <v>23397.2413</v>
      </c>
    </row>
    <row r="209" customFormat="false" ht="12.75" hidden="true" customHeight="false" outlineLevel="0" collapsed="false">
      <c r="A209" s="120" t="n">
        <f aca="false">A208+1</f>
        <v>37095</v>
      </c>
      <c r="B209" s="131" t="str">
        <f aca="false">INDEX('Master Data'!$A$2:$B$8,MATCH(WEEKDAY('BRA Power'!A209,3),'Master Data'!$A$2:$A$8,0),2)</f>
        <v>M</v>
      </c>
      <c r="D209" s="124" t="n">
        <v>179720.846640147</v>
      </c>
      <c r="E209" s="124" t="n">
        <v>50533.9133331798</v>
      </c>
      <c r="F209" s="124" t="n">
        <v>0</v>
      </c>
      <c r="G209" s="124" t="n">
        <v>-1038263</v>
      </c>
      <c r="I209" s="124" t="n">
        <f aca="false">IF(MONTH($A209)=MONTH($A208),IF(G209=0,I208,G209),G209)</f>
        <v>-1038263</v>
      </c>
      <c r="J209" s="124" t="n">
        <f aca="false">IF(MONTH($A209)=MONTH($A208),SUM(I209-I208),I209)</f>
        <v>6701</v>
      </c>
      <c r="K209" s="124" t="n">
        <f aca="false">IF(WEEKDAY(A209,3)&gt;4,0,(IF(A209&lt;K$2,0,IF(A209&lt;=K$3,1,0))))</f>
        <v>0</v>
      </c>
      <c r="L209" s="124" t="n">
        <f aca="false">J209*K209</f>
        <v>0</v>
      </c>
      <c r="M209" s="124" t="n">
        <f aca="false">SUM(J$188:J209)</f>
        <v>-1038263</v>
      </c>
      <c r="N209" s="124" t="n">
        <f aca="false">SUM(J$6:J209)</f>
        <v>23403942.3</v>
      </c>
      <c r="P209" s="124" t="n">
        <f aca="false">D209/P$3</f>
        <v>0.179720846640147</v>
      </c>
      <c r="Q209" s="124" t="n">
        <f aca="false">E209/P$3</f>
        <v>0.0505339133331798</v>
      </c>
      <c r="R209" s="124" t="n">
        <f aca="false">F209/R$3</f>
        <v>0</v>
      </c>
      <c r="S209" s="126" t="n">
        <f aca="false">J209/$R$3</f>
        <v>6.701</v>
      </c>
      <c r="T209" s="126" t="n">
        <f aca="false">L209/$R$3</f>
        <v>0</v>
      </c>
      <c r="U209" s="126" t="n">
        <f aca="false">I209/$R$3</f>
        <v>-1038.263</v>
      </c>
      <c r="V209" s="126" t="n">
        <f aca="false">M209/$R$3</f>
        <v>-1038.263</v>
      </c>
      <c r="W209" s="126" t="n">
        <f aca="false">N209/$R$3</f>
        <v>23403.9423</v>
      </c>
    </row>
    <row r="210" customFormat="false" ht="12.75" hidden="true" customHeight="false" outlineLevel="0" collapsed="false">
      <c r="A210" s="120" t="n">
        <f aca="false">A209+1</f>
        <v>37096</v>
      </c>
      <c r="B210" s="131" t="str">
        <f aca="false">INDEX('Master Data'!$A$2:$B$8,MATCH(WEEKDAY('BRA Power'!A210,3),'Master Data'!$A$2:$A$8,0),2)</f>
        <v>T</v>
      </c>
      <c r="D210" s="124" t="n">
        <v>179827.996613446</v>
      </c>
      <c r="E210" s="124" t="n">
        <v>50563.5934010086</v>
      </c>
      <c r="F210" s="124" t="n">
        <v>0</v>
      </c>
      <c r="G210" s="124" t="n">
        <v>-2087650</v>
      </c>
      <c r="I210" s="124" t="n">
        <f aca="false">IF(MONTH($A210)=MONTH($A209),IF(G210=0,I209,G210),G210)</f>
        <v>-2087650</v>
      </c>
      <c r="J210" s="124" t="n">
        <f aca="false">IF(MONTH($A210)=MONTH($A209),SUM(I210-I209),I210)</f>
        <v>-1049387</v>
      </c>
      <c r="K210" s="124" t="n">
        <f aca="false">IF(WEEKDAY(A210,3)&gt;4,0,(IF(A210&lt;K$2,0,IF(A210&lt;=K$3,1,0))))</f>
        <v>0</v>
      </c>
      <c r="L210" s="124" t="n">
        <f aca="false">J210*K210</f>
        <v>-0</v>
      </c>
      <c r="M210" s="124" t="n">
        <f aca="false">SUM(J$188:J210)</f>
        <v>-2087650</v>
      </c>
      <c r="N210" s="124" t="n">
        <f aca="false">SUM(J$6:J210)</f>
        <v>22354555.3</v>
      </c>
      <c r="P210" s="124" t="n">
        <f aca="false">D210/P$3</f>
        <v>0.179827996613446</v>
      </c>
      <c r="Q210" s="124" t="n">
        <f aca="false">E210/P$3</f>
        <v>0.0505635934010086</v>
      </c>
      <c r="R210" s="124" t="n">
        <f aca="false">F210/R$3</f>
        <v>0</v>
      </c>
      <c r="S210" s="126" t="n">
        <f aca="false">J210/$R$3</f>
        <v>-1049.387</v>
      </c>
      <c r="T210" s="126" t="n">
        <f aca="false">L210/$R$3</f>
        <v>-0</v>
      </c>
      <c r="U210" s="126" t="n">
        <f aca="false">I210/$R$3</f>
        <v>-2087.65</v>
      </c>
      <c r="V210" s="126" t="n">
        <f aca="false">M210/$R$3</f>
        <v>-2087.65</v>
      </c>
      <c r="W210" s="126" t="n">
        <f aca="false">N210/$R$3</f>
        <v>22354.5553</v>
      </c>
    </row>
    <row r="211" customFormat="false" ht="12.75" hidden="true" customHeight="false" outlineLevel="0" collapsed="false">
      <c r="A211" s="120" t="n">
        <f aca="false">A210+1</f>
        <v>37097</v>
      </c>
      <c r="B211" s="131" t="str">
        <f aca="false">INDEX('Master Data'!$A$2:$B$8,MATCH(WEEKDAY('BRA Power'!A211,3),'Master Data'!$A$2:$A$8,0),2)</f>
        <v>W</v>
      </c>
      <c r="D211" s="124" t="n">
        <v>179935</v>
      </c>
      <c r="E211" s="124" t="n">
        <v>50593.2909173785</v>
      </c>
      <c r="F211" s="124" t="n">
        <v>0</v>
      </c>
      <c r="G211" s="124" t="n">
        <v>-2087507</v>
      </c>
      <c r="I211" s="124" t="n">
        <f aca="false">IF(MONTH($A211)=MONTH($A210),IF(G211=0,I210,G211),G211)</f>
        <v>-2087507</v>
      </c>
      <c r="J211" s="124" t="n">
        <f aca="false">IF(MONTH($A211)=MONTH($A210),SUM(I211-I210),I211)</f>
        <v>143</v>
      </c>
      <c r="K211" s="124" t="n">
        <f aca="false">IF(WEEKDAY(A211,3)&gt;4,0,(IF(A211&lt;K$2,0,IF(A211&lt;=K$3,1,0))))</f>
        <v>0</v>
      </c>
      <c r="L211" s="124" t="n">
        <f aca="false">J211*K211</f>
        <v>0</v>
      </c>
      <c r="M211" s="124" t="n">
        <f aca="false">SUM(J$188:J211)</f>
        <v>-2087507</v>
      </c>
      <c r="N211" s="124" t="n">
        <f aca="false">SUM(J$6:J211)</f>
        <v>22354698.3</v>
      </c>
      <c r="P211" s="124" t="n">
        <f aca="false">D211/P$3</f>
        <v>0.179935</v>
      </c>
      <c r="Q211" s="124" t="n">
        <f aca="false">E211/P$3</f>
        <v>0.0505932909173785</v>
      </c>
      <c r="R211" s="124" t="n">
        <f aca="false">F211/R$3</f>
        <v>0</v>
      </c>
      <c r="S211" s="126" t="n">
        <f aca="false">J211/$R$3</f>
        <v>0.143</v>
      </c>
      <c r="T211" s="126" t="n">
        <f aca="false">L211/$R$3</f>
        <v>0</v>
      </c>
      <c r="U211" s="126" t="n">
        <f aca="false">I211/$R$3</f>
        <v>-2087.507</v>
      </c>
      <c r="V211" s="126" t="n">
        <f aca="false">M211/$R$3</f>
        <v>-2087.507</v>
      </c>
      <c r="W211" s="126" t="n">
        <f aca="false">N211/$R$3</f>
        <v>22354.6983</v>
      </c>
    </row>
    <row r="212" customFormat="false" ht="12.75" hidden="true" customHeight="false" outlineLevel="0" collapsed="false">
      <c r="A212" s="120" t="n">
        <f aca="false">A211+1</f>
        <v>37098</v>
      </c>
      <c r="B212" s="131" t="str">
        <f aca="false">INDEX('Master Data'!$A$2:$B$8,MATCH(WEEKDAY('BRA Power'!A212,3),'Master Data'!$A$2:$A$8,0),2)</f>
        <v>Th</v>
      </c>
      <c r="D212" s="124" t="n">
        <v>180042</v>
      </c>
      <c r="E212" s="124" t="n">
        <v>50623.0058925571</v>
      </c>
      <c r="F212" s="124" t="n">
        <v>0</v>
      </c>
      <c r="G212" s="124" t="n">
        <v>-2085940</v>
      </c>
      <c r="I212" s="124" t="n">
        <f aca="false">IF(MONTH($A212)=MONTH($A211),IF(G212=0,I211,G212),G212)</f>
        <v>-2085940</v>
      </c>
      <c r="J212" s="124" t="n">
        <f aca="false">IF(MONTH($A212)=MONTH($A211),SUM(I212-I211),I212)</f>
        <v>1567</v>
      </c>
      <c r="K212" s="124" t="n">
        <f aca="false">IF(WEEKDAY(A212,3)&gt;4,0,(IF(A212&lt;K$2,0,IF(A212&lt;=K$3,1,0))))</f>
        <v>0</v>
      </c>
      <c r="L212" s="124" t="n">
        <f aca="false">J212*K212</f>
        <v>0</v>
      </c>
      <c r="M212" s="124" t="n">
        <f aca="false">SUM(J$188:J212)</f>
        <v>-2085940</v>
      </c>
      <c r="N212" s="124" t="n">
        <f aca="false">SUM(J$6:J212)</f>
        <v>22356265.3</v>
      </c>
      <c r="P212" s="124" t="n">
        <f aca="false">D212/P$3</f>
        <v>0.180042</v>
      </c>
      <c r="Q212" s="124" t="n">
        <f aca="false">E212/P$3</f>
        <v>0.0506230058925571</v>
      </c>
      <c r="R212" s="124" t="n">
        <f aca="false">F212/R$3</f>
        <v>0</v>
      </c>
      <c r="S212" s="126" t="n">
        <f aca="false">J212/$R$3</f>
        <v>1.567</v>
      </c>
      <c r="T212" s="126" t="n">
        <f aca="false">L212/$R$3</f>
        <v>0</v>
      </c>
      <c r="U212" s="126" t="n">
        <f aca="false">I212/$R$3</f>
        <v>-2085.94</v>
      </c>
      <c r="V212" s="126" t="n">
        <f aca="false">M212/$R$3</f>
        <v>-2085.94</v>
      </c>
      <c r="W212" s="126" t="n">
        <f aca="false">N212/$R$3</f>
        <v>22356.2653</v>
      </c>
    </row>
    <row r="213" customFormat="false" ht="12.75" hidden="true" customHeight="false" outlineLevel="0" collapsed="false">
      <c r="A213" s="120" t="n">
        <f aca="false">A212+1</f>
        <v>37099</v>
      </c>
      <c r="B213" s="131" t="str">
        <f aca="false">INDEX('Master Data'!$A$2:$B$8,MATCH(WEEKDAY('BRA Power'!A213,3),'Master Data'!$A$2:$A$8,0),2)</f>
        <v>F</v>
      </c>
      <c r="D213" s="124" t="n">
        <v>180149.844883376</v>
      </c>
      <c r="E213" s="124" t="n">
        <v>50652.7383368179</v>
      </c>
      <c r="F213" s="124" t="n">
        <v>0</v>
      </c>
      <c r="G213" s="124" t="n">
        <v>-2084371</v>
      </c>
      <c r="I213" s="124" t="n">
        <f aca="false">IF(MONTH($A213)=MONTH($A212),IF(G213=0,I212,G213),G213)</f>
        <v>-2084371</v>
      </c>
      <c r="J213" s="124" t="n">
        <f aca="false">IF(MONTH($A213)=MONTH($A212),SUM(I213-I212),I213)</f>
        <v>1569</v>
      </c>
      <c r="K213" s="124" t="n">
        <f aca="false">IF(WEEKDAY(A213,3)&gt;4,0,(IF(A213&lt;K$2,0,IF(A213&lt;=K$3,1,0))))</f>
        <v>0</v>
      </c>
      <c r="L213" s="124" t="n">
        <f aca="false">J213*K213</f>
        <v>0</v>
      </c>
      <c r="M213" s="124" t="n">
        <f aca="false">SUM(J$188:J213)</f>
        <v>-2084371</v>
      </c>
      <c r="N213" s="124" t="n">
        <f aca="false">SUM(J$6:J213)</f>
        <v>22357834.3</v>
      </c>
      <c r="P213" s="124" t="n">
        <f aca="false">D213/P$3</f>
        <v>0.180149844883376</v>
      </c>
      <c r="Q213" s="124" t="n">
        <f aca="false">E213/P$3</f>
        <v>0.0506527383368179</v>
      </c>
      <c r="R213" s="124" t="n">
        <f aca="false">F213/R$3</f>
        <v>0</v>
      </c>
      <c r="S213" s="126" t="n">
        <f aca="false">J213/$R$3</f>
        <v>1.569</v>
      </c>
      <c r="T213" s="126" t="n">
        <f aca="false">L213/$R$3</f>
        <v>0</v>
      </c>
      <c r="U213" s="126" t="n">
        <f aca="false">I213/$R$3</f>
        <v>-2084.371</v>
      </c>
      <c r="V213" s="126" t="n">
        <f aca="false">M213/$R$3</f>
        <v>-2084.371</v>
      </c>
      <c r="W213" s="126" t="n">
        <f aca="false">N213/$R$3</f>
        <v>22357.8343</v>
      </c>
    </row>
    <row r="214" customFormat="false" ht="12.75" hidden="true" customHeight="false" outlineLevel="0" collapsed="false">
      <c r="A214" s="120" t="n">
        <f aca="false">A213+1</f>
        <v>37100</v>
      </c>
      <c r="B214" s="131" t="str">
        <f aca="false">INDEX('Master Data'!$A$2:$B$8,MATCH(WEEKDAY('BRA Power'!A214,3),'Master Data'!$A$2:$A$8,0),2)</f>
        <v>Sa</v>
      </c>
      <c r="D214" s="124" t="n">
        <v>0</v>
      </c>
      <c r="E214" s="124" t="n">
        <v>0</v>
      </c>
      <c r="F214" s="124" t="n">
        <v>0</v>
      </c>
      <c r="G214" s="124" t="n">
        <v>0</v>
      </c>
      <c r="I214" s="124" t="n">
        <f aca="false">IF(MONTH($A214)=MONTH($A213),IF(G214=0,I213,G214),G214)</f>
        <v>-2084371</v>
      </c>
      <c r="J214" s="124" t="n">
        <f aca="false">IF(MONTH($A214)=MONTH($A213),SUM(I214-I213),I214)</f>
        <v>0</v>
      </c>
      <c r="K214" s="124" t="n">
        <f aca="false">IF(WEEKDAY(A214,3)&gt;4,0,(IF(A214&lt;K$2,0,IF(A214&lt;=K$3,1,0))))</f>
        <v>0</v>
      </c>
      <c r="L214" s="124" t="n">
        <f aca="false">J214*K214</f>
        <v>0</v>
      </c>
      <c r="M214" s="124" t="n">
        <f aca="false">SUM(J$188:J214)</f>
        <v>-2084371</v>
      </c>
      <c r="N214" s="124" t="n">
        <f aca="false">SUM(J$6:J214)</f>
        <v>22357834.3</v>
      </c>
      <c r="P214" s="124" t="n">
        <f aca="false">D214/P$3</f>
        <v>0</v>
      </c>
      <c r="Q214" s="124" t="n">
        <f aca="false">E214/P$3</f>
        <v>0</v>
      </c>
      <c r="R214" s="124" t="n">
        <f aca="false">F214/R$3</f>
        <v>0</v>
      </c>
      <c r="S214" s="126" t="n">
        <f aca="false">J214/$R$3</f>
        <v>0</v>
      </c>
      <c r="T214" s="126" t="n">
        <f aca="false">L214/$R$3</f>
        <v>0</v>
      </c>
      <c r="U214" s="126" t="n">
        <f aca="false">I214/$R$3</f>
        <v>-2084.371</v>
      </c>
      <c r="V214" s="126" t="n">
        <f aca="false">M214/$R$3</f>
        <v>-2084.371</v>
      </c>
      <c r="W214" s="126" t="n">
        <f aca="false">N214/$R$3</f>
        <v>22357.8343</v>
      </c>
    </row>
    <row r="215" customFormat="false" ht="12.75" hidden="true" customHeight="false" outlineLevel="0" collapsed="false">
      <c r="A215" s="120" t="n">
        <f aca="false">A214+1</f>
        <v>37101</v>
      </c>
      <c r="B215" s="131" t="str">
        <f aca="false">INDEX('Master Data'!$A$2:$B$8,MATCH(WEEKDAY('BRA Power'!A215,3),'Master Data'!$A$2:$A$8,0),2)</f>
        <v>Su</v>
      </c>
      <c r="D215" s="124" t="n">
        <v>0</v>
      </c>
      <c r="E215" s="124" t="n">
        <v>0</v>
      </c>
      <c r="F215" s="124" t="n">
        <v>0</v>
      </c>
      <c r="G215" s="124" t="n">
        <v>0</v>
      </c>
      <c r="I215" s="124" t="n">
        <f aca="false">IF(MONTH($A215)=MONTH($A214),IF(G215=0,I214,G215),G215)</f>
        <v>-2084371</v>
      </c>
      <c r="J215" s="124" t="n">
        <f aca="false">IF(MONTH($A215)=MONTH($A214),SUM(I215-I214),I215)</f>
        <v>0</v>
      </c>
      <c r="K215" s="124" t="n">
        <f aca="false">IF(WEEKDAY(A215,3)&gt;4,0,(IF(A215&lt;K$2,0,IF(A215&lt;=K$3,1,0))))</f>
        <v>0</v>
      </c>
      <c r="L215" s="124" t="n">
        <f aca="false">J215*K215</f>
        <v>0</v>
      </c>
      <c r="M215" s="124" t="n">
        <f aca="false">SUM(J$188:J215)</f>
        <v>-2084371</v>
      </c>
      <c r="N215" s="124" t="n">
        <f aca="false">SUM(J$6:J215)</f>
        <v>22357834.3</v>
      </c>
      <c r="P215" s="124" t="n">
        <f aca="false">D215/P$3</f>
        <v>0</v>
      </c>
      <c r="Q215" s="124" t="n">
        <f aca="false">E215/P$3</f>
        <v>0</v>
      </c>
      <c r="R215" s="124" t="n">
        <f aca="false">F215/R$3</f>
        <v>0</v>
      </c>
      <c r="S215" s="126" t="n">
        <f aca="false">J215/$R$3</f>
        <v>0</v>
      </c>
      <c r="T215" s="126" t="n">
        <f aca="false">L215/$R$3</f>
        <v>0</v>
      </c>
      <c r="U215" s="126" t="n">
        <f aca="false">I215/$R$3</f>
        <v>-2084.371</v>
      </c>
      <c r="V215" s="126" t="n">
        <f aca="false">M215/$R$3</f>
        <v>-2084.371</v>
      </c>
      <c r="W215" s="126" t="n">
        <f aca="false">N215/$R$3</f>
        <v>22357.8343</v>
      </c>
    </row>
    <row r="216" customFormat="false" ht="12.75" hidden="true" customHeight="false" outlineLevel="0" collapsed="false">
      <c r="A216" s="120" t="n">
        <f aca="false">A215+1</f>
        <v>37102</v>
      </c>
      <c r="B216" s="131" t="str">
        <f aca="false">INDEX('Master Data'!$A$2:$B$8,MATCH(WEEKDAY('BRA Power'!A216,3),'Master Data'!$A$2:$A$8,0),2)</f>
        <v>M</v>
      </c>
      <c r="D216" s="124" t="n">
        <v>180472.291548412</v>
      </c>
      <c r="E216" s="124" t="n">
        <v>50742.0405869189</v>
      </c>
      <c r="F216" s="124" t="n">
        <v>0</v>
      </c>
      <c r="G216" s="124" t="n">
        <v>-3735296</v>
      </c>
      <c r="I216" s="124" t="n">
        <f aca="false">IF(MONTH($A216)=MONTH($A215),IF(G216=0,I215,G216),G216)</f>
        <v>-3735296</v>
      </c>
      <c r="J216" s="124" t="n">
        <f aca="false">IF(MONTH($A216)=MONTH($A215),SUM(I216-I215),I216)</f>
        <v>-1650925</v>
      </c>
      <c r="K216" s="124" t="n">
        <f aca="false">IF(WEEKDAY(A216,3)&gt;4,0,(IF(A216&lt;K$2,0,IF(A216&lt;=K$3,1,0))))</f>
        <v>0</v>
      </c>
      <c r="L216" s="124" t="n">
        <f aca="false">J216*K216</f>
        <v>-0</v>
      </c>
      <c r="M216" s="124" t="n">
        <f aca="false">SUM(J$188:J216)</f>
        <v>-3735296</v>
      </c>
      <c r="N216" s="124" t="n">
        <f aca="false">SUM(J$6:J216)</f>
        <v>20706909.3</v>
      </c>
      <c r="P216" s="124" t="n">
        <f aca="false">D216/P$3</f>
        <v>0.180472291548412</v>
      </c>
      <c r="Q216" s="124" t="n">
        <f aca="false">E216/P$3</f>
        <v>0.0507420405869189</v>
      </c>
      <c r="R216" s="124" t="n">
        <f aca="false">F216/R$3</f>
        <v>0</v>
      </c>
      <c r="S216" s="126" t="n">
        <f aca="false">J216/$R$3</f>
        <v>-1650.925</v>
      </c>
      <c r="T216" s="126" t="n">
        <f aca="false">L216/$R$3</f>
        <v>-0</v>
      </c>
      <c r="U216" s="126" t="n">
        <f aca="false">I216/$R$3</f>
        <v>-3735.296</v>
      </c>
      <c r="V216" s="126" t="n">
        <f aca="false">M216/$R$3</f>
        <v>-3735.296</v>
      </c>
      <c r="W216" s="126" t="n">
        <f aca="false">N216/$R$3</f>
        <v>20706.9093</v>
      </c>
    </row>
    <row r="217" customFormat="false" ht="12.75" hidden="false" customHeight="false" outlineLevel="0" collapsed="false">
      <c r="A217" s="120" t="n">
        <f aca="false">A216+1</f>
        <v>37103</v>
      </c>
      <c r="B217" s="131" t="str">
        <f aca="false">INDEX('Master Data'!$A$2:$B$8,MATCH(WEEKDAY('BRA Power'!A217,3),'Master Data'!$A$2:$A$8,0),2)</f>
        <v>T</v>
      </c>
      <c r="D217" s="124" t="n">
        <v>174054.487802508</v>
      </c>
      <c r="E217" s="124" t="n">
        <v>50372.0214198327</v>
      </c>
      <c r="F217" s="124" t="n">
        <v>0</v>
      </c>
      <c r="G217" s="124" t="n">
        <v>-4502526.25888889</v>
      </c>
      <c r="I217" s="124" t="n">
        <f aca="false">IF(MONTH($A217)=MONTH($A216),IF(G217=0,I216,G217),G217)</f>
        <v>-4502526.25888889</v>
      </c>
      <c r="J217" s="124" t="n">
        <f aca="false">IF(MONTH($A217)=MONTH($A216),SUM(I217-I216),I217)</f>
        <v>-767230.258888889</v>
      </c>
      <c r="K217" s="124" t="n">
        <f aca="false">IF(WEEKDAY(A217,3)&gt;4,0,(IF(A217&lt;K$2,0,IF(A217&lt;=K$3,1,0))))</f>
        <v>0</v>
      </c>
      <c r="L217" s="124" t="n">
        <f aca="false">J217*K217</f>
        <v>-0</v>
      </c>
      <c r="M217" s="124" t="n">
        <f aca="false">SUM(J$188:J217)</f>
        <v>-4502526.25888889</v>
      </c>
      <c r="N217" s="124" t="n">
        <f aca="false">SUM(J$6:J217)</f>
        <v>19939679.0411111</v>
      </c>
      <c r="P217" s="124" t="n">
        <f aca="false">D217/P$3</f>
        <v>0.174054487802508</v>
      </c>
      <c r="Q217" s="124" t="n">
        <f aca="false">E217/P$3</f>
        <v>0.0503720214198327</v>
      </c>
      <c r="R217" s="124" t="n">
        <f aca="false">F217/R$3</f>
        <v>0</v>
      </c>
      <c r="S217" s="126" t="n">
        <f aca="false">J217/$R$3</f>
        <v>-767.230258888889</v>
      </c>
      <c r="T217" s="126" t="n">
        <f aca="false">L217/$R$3</f>
        <v>-0</v>
      </c>
      <c r="U217" s="126" t="n">
        <f aca="false">I217/$R$3</f>
        <v>-4502.52625888889</v>
      </c>
      <c r="V217" s="126" t="n">
        <f aca="false">M217/$R$3</f>
        <v>-4502.52625888889</v>
      </c>
      <c r="W217" s="126" t="n">
        <f aca="false">N217/$R$3</f>
        <v>19939.6790411111</v>
      </c>
    </row>
    <row r="218" customFormat="false" ht="12.75" hidden="true" customHeight="false" outlineLevel="0" collapsed="false">
      <c r="A218" s="120" t="n">
        <f aca="false">A217+1</f>
        <v>37104</v>
      </c>
      <c r="B218" s="131" t="str">
        <f aca="false">INDEX('Master Data'!$A$2:$B$8,MATCH(WEEKDAY('BRA Power'!A218,3),'Master Data'!$A$2:$A$8,0),2)</f>
        <v>W</v>
      </c>
      <c r="D218" s="124" t="n">
        <v>174161.975889358</v>
      </c>
      <c r="E218" s="124" t="n">
        <v>50402.9219785323</v>
      </c>
      <c r="F218" s="124" t="n">
        <v>0</v>
      </c>
      <c r="G218" s="124" t="n">
        <v>380.11</v>
      </c>
      <c r="I218" s="124" t="n">
        <f aca="false">IF(MONTH($A218)=MONTH($A217),IF(G218=0,I217,G218),G218)</f>
        <v>380.11</v>
      </c>
      <c r="J218" s="124" t="n">
        <f aca="false">IF(MONTH($A218)=MONTH($A217),SUM(I218-I217),I218)</f>
        <v>380.11</v>
      </c>
      <c r="K218" s="124" t="n">
        <f aca="false">IF(WEEKDAY(A218,3)&gt;4,0,(IF(A218&lt;K$2,0,IF(A218&lt;=K$3,1,0))))</f>
        <v>0</v>
      </c>
      <c r="L218" s="124" t="n">
        <f aca="false">J218*K218</f>
        <v>0</v>
      </c>
      <c r="M218" s="124" t="n">
        <f aca="false">SUM(J$188:J218)</f>
        <v>-4502146.14888889</v>
      </c>
      <c r="N218" s="124" t="n">
        <f aca="false">SUM(J$6:J218)</f>
        <v>19940059.1511111</v>
      </c>
      <c r="P218" s="124" t="n">
        <f aca="false">D218/P$3</f>
        <v>0.174161975889358</v>
      </c>
      <c r="Q218" s="124" t="n">
        <f aca="false">E218/P$3</f>
        <v>0.0504029219785323</v>
      </c>
      <c r="R218" s="124" t="n">
        <f aca="false">F218/R$3</f>
        <v>0</v>
      </c>
      <c r="S218" s="126" t="n">
        <f aca="false">J218/$R$3</f>
        <v>0.38011</v>
      </c>
      <c r="T218" s="126" t="n">
        <f aca="false">L218/$R$3</f>
        <v>0</v>
      </c>
      <c r="U218" s="126" t="n">
        <f aca="false">I218/$R$3</f>
        <v>0.38011</v>
      </c>
      <c r="V218" s="126" t="n">
        <f aca="false">M218/$R$3</f>
        <v>-4502.14614888889</v>
      </c>
      <c r="W218" s="126" t="n">
        <f aca="false">N218/$R$3</f>
        <v>19940.0591511111</v>
      </c>
    </row>
    <row r="219" customFormat="false" ht="12.75" hidden="true" customHeight="false" outlineLevel="0" collapsed="false">
      <c r="A219" s="120" t="n">
        <f aca="false">A218+1</f>
        <v>37105</v>
      </c>
      <c r="B219" s="131" t="str">
        <f aca="false">INDEX('Master Data'!$A$2:$B$8,MATCH(WEEKDAY('BRA Power'!A219,3),'Master Data'!$A$2:$A$8,0),2)</f>
        <v>Th</v>
      </c>
      <c r="D219" s="124" t="n">
        <v>174269.533744032</v>
      </c>
      <c r="E219" s="124" t="n">
        <v>50433.8415061066</v>
      </c>
      <c r="F219" s="124" t="n">
        <v>0</v>
      </c>
      <c r="G219" s="124" t="n">
        <v>43329.5</v>
      </c>
      <c r="I219" s="124" t="n">
        <f aca="false">IF(MONTH($A219)=MONTH($A218),IF(G219=0,I218,G219),G219)</f>
        <v>43329.5</v>
      </c>
      <c r="J219" s="124" t="n">
        <f aca="false">IF(MONTH($A219)=MONTH($A218),SUM(I219-I218),I219)</f>
        <v>42949.39</v>
      </c>
      <c r="K219" s="124" t="n">
        <f aca="false">IF(WEEKDAY(A219,3)&gt;4,0,(IF(A219&lt;K$2,0,IF(A219&lt;=K$3,1,0))))</f>
        <v>0</v>
      </c>
      <c r="L219" s="124" t="n">
        <f aca="false">J219*K219</f>
        <v>0</v>
      </c>
      <c r="M219" s="124" t="n">
        <f aca="false">SUM(J$188:J219)</f>
        <v>-4459196.75888889</v>
      </c>
      <c r="N219" s="124" t="n">
        <f aca="false">SUM(J$6:J219)</f>
        <v>19983008.5411111</v>
      </c>
      <c r="P219" s="124" t="n">
        <f aca="false">D219/P$3</f>
        <v>0.174269533744032</v>
      </c>
      <c r="Q219" s="124" t="n">
        <f aca="false">E219/P$3</f>
        <v>0.0504338415061066</v>
      </c>
      <c r="R219" s="124" t="n">
        <f aca="false">F219/R$3</f>
        <v>0</v>
      </c>
      <c r="S219" s="126" t="n">
        <f aca="false">J219/$R$3</f>
        <v>42.94939</v>
      </c>
      <c r="T219" s="126" t="n">
        <f aca="false">L219/$R$3</f>
        <v>0</v>
      </c>
      <c r="U219" s="126" t="n">
        <f aca="false">I219/$R$3</f>
        <v>43.3295</v>
      </c>
      <c r="V219" s="126" t="n">
        <f aca="false">M219/$R$3</f>
        <v>-4459.19675888889</v>
      </c>
      <c r="W219" s="126" t="n">
        <f aca="false">N219/$R$3</f>
        <v>19983.0085411111</v>
      </c>
    </row>
    <row r="220" customFormat="false" ht="12.75" hidden="true" customHeight="false" outlineLevel="0" collapsed="false">
      <c r="A220" s="120" t="n">
        <f aca="false">A219+1</f>
        <v>37106</v>
      </c>
      <c r="B220" s="131" t="str">
        <f aca="false">INDEX('Master Data'!$A$2:$B$8,MATCH(WEEKDAY('BRA Power'!A220,3),'Master Data'!$A$2:$A$8,0),2)</f>
        <v>F</v>
      </c>
      <c r="D220" s="124" t="n">
        <v>174377.161412219</v>
      </c>
      <c r="E220" s="124" t="n">
        <v>50464.7800142082</v>
      </c>
      <c r="F220" s="124" t="n">
        <v>0</v>
      </c>
      <c r="G220" s="124" t="n">
        <v>43710</v>
      </c>
      <c r="I220" s="124" t="n">
        <f aca="false">IF(MONTH($A220)=MONTH($A219),IF(G220=0,I219,G220),G220)</f>
        <v>43710</v>
      </c>
      <c r="J220" s="124" t="n">
        <f aca="false">IF(MONTH($A220)=MONTH($A219),SUM(I220-I219),I220)</f>
        <v>380.5</v>
      </c>
      <c r="K220" s="124" t="n">
        <f aca="false">IF(WEEKDAY(A220,3)&gt;4,0,(IF(A220&lt;K$2,0,IF(A220&lt;=K$3,1,0))))</f>
        <v>0</v>
      </c>
      <c r="L220" s="124" t="n">
        <f aca="false">J220*K220</f>
        <v>0</v>
      </c>
      <c r="M220" s="124" t="n">
        <f aca="false">SUM(J$188:J220)</f>
        <v>-4458816.25888889</v>
      </c>
      <c r="N220" s="124" t="n">
        <f aca="false">SUM(J$6:J220)</f>
        <v>19983389.0411111</v>
      </c>
      <c r="P220" s="124" t="n">
        <f aca="false">D220/P$3</f>
        <v>0.174377161412219</v>
      </c>
      <c r="Q220" s="124" t="n">
        <f aca="false">E220/P$3</f>
        <v>0.0504647800142082</v>
      </c>
      <c r="R220" s="124" t="n">
        <f aca="false">F220/R$3</f>
        <v>0</v>
      </c>
      <c r="S220" s="126" t="n">
        <f aca="false">J220/$R$3</f>
        <v>0.3805</v>
      </c>
      <c r="T220" s="126" t="n">
        <f aca="false">L220/$R$3</f>
        <v>0</v>
      </c>
      <c r="U220" s="126" t="n">
        <f aca="false">I220/$R$3</f>
        <v>43.71</v>
      </c>
      <c r="V220" s="126" t="n">
        <f aca="false">M220/$R$3</f>
        <v>-4458.81625888889</v>
      </c>
      <c r="W220" s="126" t="n">
        <f aca="false">N220/$R$3</f>
        <v>19983.3890411111</v>
      </c>
    </row>
    <row r="221" customFormat="false" ht="12.75" hidden="true" customHeight="false" outlineLevel="0" collapsed="false">
      <c r="A221" s="120" t="n">
        <f aca="false">A220+1</f>
        <v>37107</v>
      </c>
      <c r="B221" s="131" t="str">
        <f aca="false">INDEX('Master Data'!$A$2:$B$8,MATCH(WEEKDAY('BRA Power'!A221,3),'Master Data'!$A$2:$A$8,0),2)</f>
        <v>Sa</v>
      </c>
      <c r="D221" s="124" t="n">
        <v>0</v>
      </c>
      <c r="E221" s="124" t="n">
        <v>0</v>
      </c>
      <c r="F221" s="124" t="n">
        <v>0</v>
      </c>
      <c r="G221" s="124" t="n">
        <v>0</v>
      </c>
      <c r="I221" s="124" t="n">
        <f aca="false">IF(MONTH($A221)=MONTH($A220),IF(G221=0,I220,G221),G221)</f>
        <v>43710</v>
      </c>
      <c r="J221" s="124" t="n">
        <f aca="false">IF(MONTH($A221)=MONTH($A220),SUM(I221-I220),I221)</f>
        <v>0</v>
      </c>
      <c r="K221" s="124" t="n">
        <f aca="false">IF(WEEKDAY(A221,3)&gt;4,0,(IF(A221&lt;K$2,0,IF(A221&lt;=K$3,1,0))))</f>
        <v>0</v>
      </c>
      <c r="L221" s="124" t="n">
        <f aca="false">J221*K221</f>
        <v>0</v>
      </c>
      <c r="M221" s="124" t="n">
        <f aca="false">SUM(J$188:J221)</f>
        <v>-4458816.25888889</v>
      </c>
      <c r="N221" s="124" t="n">
        <f aca="false">SUM(J$6:J221)</f>
        <v>19983389.0411111</v>
      </c>
      <c r="P221" s="124" t="n">
        <f aca="false">D221/P$3</f>
        <v>0</v>
      </c>
      <c r="Q221" s="124" t="n">
        <f aca="false">E221/P$3</f>
        <v>0</v>
      </c>
      <c r="R221" s="124" t="n">
        <f aca="false">F221/R$3</f>
        <v>0</v>
      </c>
      <c r="S221" s="126" t="n">
        <f aca="false">J221/$R$3</f>
        <v>0</v>
      </c>
      <c r="T221" s="126" t="n">
        <f aca="false">L221/$R$3</f>
        <v>0</v>
      </c>
      <c r="U221" s="126" t="n">
        <f aca="false">I221/$R$3</f>
        <v>43.71</v>
      </c>
      <c r="V221" s="126" t="n">
        <f aca="false">M221/$R$3</f>
        <v>-4458.81625888889</v>
      </c>
      <c r="W221" s="126" t="n">
        <f aca="false">N221/$R$3</f>
        <v>19983.3890411111</v>
      </c>
    </row>
    <row r="222" customFormat="false" ht="12.75" hidden="true" customHeight="false" outlineLevel="0" collapsed="false">
      <c r="A222" s="120" t="n">
        <f aca="false">A221+1</f>
        <v>37108</v>
      </c>
      <c r="B222" s="131" t="str">
        <f aca="false">INDEX('Master Data'!$A$2:$B$8,MATCH(WEEKDAY('BRA Power'!A222,3),'Master Data'!$A$2:$A$8,0),2)</f>
        <v>Su</v>
      </c>
      <c r="D222" s="124" t="n">
        <v>0</v>
      </c>
      <c r="E222" s="124" t="n">
        <v>0</v>
      </c>
      <c r="F222" s="124" t="n">
        <v>0</v>
      </c>
      <c r="G222" s="124" t="n">
        <v>0</v>
      </c>
      <c r="I222" s="124" t="n">
        <f aca="false">IF(MONTH($A222)=MONTH($A221),IF(G222=0,I221,G222),G222)</f>
        <v>43710</v>
      </c>
      <c r="J222" s="124" t="n">
        <f aca="false">IF(MONTH($A222)=MONTH($A221),SUM(I222-I221),I222)</f>
        <v>0</v>
      </c>
      <c r="K222" s="124" t="n">
        <f aca="false">IF(WEEKDAY(A222,3)&gt;4,0,(IF(A222&lt;K$2,0,IF(A222&lt;=K$3,1,0))))</f>
        <v>0</v>
      </c>
      <c r="L222" s="124" t="n">
        <f aca="false">J222*K222</f>
        <v>0</v>
      </c>
      <c r="M222" s="124" t="n">
        <f aca="false">SUM(J$188:J222)</f>
        <v>-4458816.25888889</v>
      </c>
      <c r="N222" s="124" t="n">
        <f aca="false">SUM(J$6:J222)</f>
        <v>19983389.0411111</v>
      </c>
      <c r="P222" s="124" t="n">
        <f aca="false">D222/P$3</f>
        <v>0</v>
      </c>
      <c r="Q222" s="124" t="n">
        <f aca="false">E222/P$3</f>
        <v>0</v>
      </c>
      <c r="R222" s="124" t="n">
        <f aca="false">F222/R$3</f>
        <v>0</v>
      </c>
      <c r="S222" s="126" t="n">
        <f aca="false">J222/$R$3</f>
        <v>0</v>
      </c>
      <c r="T222" s="126" t="n">
        <f aca="false">L222/$R$3</f>
        <v>0</v>
      </c>
      <c r="U222" s="126" t="n">
        <f aca="false">I222/$R$3</f>
        <v>43.71</v>
      </c>
      <c r="V222" s="126" t="n">
        <f aca="false">M222/$R$3</f>
        <v>-4458.81625888889</v>
      </c>
      <c r="W222" s="126" t="n">
        <f aca="false">N222/$R$3</f>
        <v>19983.3890411111</v>
      </c>
    </row>
    <row r="223" customFormat="false" ht="12.75" hidden="true" customHeight="false" outlineLevel="0" collapsed="false">
      <c r="A223" s="120" t="n">
        <f aca="false">A222+1</f>
        <v>37109</v>
      </c>
      <c r="B223" s="131" t="str">
        <f aca="false">INDEX('Master Data'!$A$2:$B$8,MATCH(WEEKDAY('BRA Power'!A223,3),'Master Data'!$A$2:$A$8,0),2)</f>
        <v>M</v>
      </c>
      <c r="D223" s="124" t="n">
        <v>174700.463755225</v>
      </c>
      <c r="E223" s="124" t="n">
        <v>50557.7095383086</v>
      </c>
      <c r="F223" s="124" t="n">
        <v>0</v>
      </c>
      <c r="G223" s="124" t="n">
        <v>44852</v>
      </c>
      <c r="I223" s="124" t="n">
        <f aca="false">IF(MONTH($A223)=MONTH($A222),IF(G223=0,I222,G223),G223)</f>
        <v>44852</v>
      </c>
      <c r="J223" s="124" t="n">
        <f aca="false">IF(MONTH($A223)=MONTH($A222),SUM(I223-I222),I223)</f>
        <v>1142</v>
      </c>
      <c r="K223" s="124" t="n">
        <f aca="false">IF(WEEKDAY(A223,3)&gt;4,0,(IF(A223&lt;K$2,0,IF(A223&lt;=K$3,1,0))))</f>
        <v>0</v>
      </c>
      <c r="L223" s="124" t="n">
        <f aca="false">J223*K223</f>
        <v>0</v>
      </c>
      <c r="M223" s="124" t="n">
        <f aca="false">SUM(J$188:J223)</f>
        <v>-4457674.25888889</v>
      </c>
      <c r="N223" s="124" t="n">
        <f aca="false">SUM(J$6:J223)</f>
        <v>19984531.0411111</v>
      </c>
      <c r="P223" s="124" t="n">
        <f aca="false">D223/P$3</f>
        <v>0.174700463755225</v>
      </c>
      <c r="Q223" s="124" t="n">
        <f aca="false">E223/P$3</f>
        <v>0.0505577095383086</v>
      </c>
      <c r="R223" s="124" t="n">
        <f aca="false">F223/R$3</f>
        <v>0</v>
      </c>
      <c r="S223" s="126" t="n">
        <f aca="false">J223/$R$3</f>
        <v>1.142</v>
      </c>
      <c r="T223" s="126" t="n">
        <f aca="false">L223/$R$3</f>
        <v>0</v>
      </c>
      <c r="U223" s="126" t="n">
        <f aca="false">I223/$R$3</f>
        <v>44.852</v>
      </c>
      <c r="V223" s="126" t="n">
        <f aca="false">M223/$R$3</f>
        <v>-4457.67425888889</v>
      </c>
      <c r="W223" s="126" t="n">
        <f aca="false">N223/$R$3</f>
        <v>19984.5310411111</v>
      </c>
    </row>
    <row r="224" customFormat="false" ht="12.75" hidden="true" customHeight="false" outlineLevel="0" collapsed="false">
      <c r="A224" s="120" t="n">
        <f aca="false">A223+1</f>
        <v>37110</v>
      </c>
      <c r="B224" s="131" t="str">
        <f aca="false">INDEX('Master Data'!$A$2:$B$8,MATCH(WEEKDAY('BRA Power'!A224,3),'Master Data'!$A$2:$A$8,0),2)</f>
        <v>T</v>
      </c>
      <c r="D224" s="124" t="n">
        <v>174808.371134981</v>
      </c>
      <c r="E224" s="124" t="n">
        <v>50588.7240851872</v>
      </c>
      <c r="F224" s="124" t="n">
        <v>0</v>
      </c>
      <c r="G224" s="124" t="n">
        <v>45233.61</v>
      </c>
      <c r="I224" s="124" t="n">
        <f aca="false">IF(MONTH($A224)=MONTH($A223),IF(G224=0,I223,G224),G224)</f>
        <v>45233.61</v>
      </c>
      <c r="J224" s="124" t="n">
        <f aca="false">IF(MONTH($A224)=MONTH($A223),SUM(I224-I223),I224)</f>
        <v>381.610000000001</v>
      </c>
      <c r="K224" s="124" t="n">
        <f aca="false">IF(WEEKDAY(A224,3)&gt;4,0,(IF(A224&lt;K$2,0,IF(A224&lt;=K$3,1,0))))</f>
        <v>0</v>
      </c>
      <c r="L224" s="124" t="n">
        <f aca="false">J224*K224</f>
        <v>0</v>
      </c>
      <c r="M224" s="124" t="n">
        <f aca="false">SUM(J$188:J224)</f>
        <v>-4457292.64888889</v>
      </c>
      <c r="N224" s="124" t="n">
        <f aca="false">SUM(J$6:J224)</f>
        <v>19984912.6511111</v>
      </c>
      <c r="P224" s="124" t="n">
        <f aca="false">D224/P$3</f>
        <v>0.174808371134981</v>
      </c>
      <c r="Q224" s="124" t="n">
        <f aca="false">E224/P$3</f>
        <v>0.0505887240851872</v>
      </c>
      <c r="R224" s="124" t="n">
        <f aca="false">F224/R$3</f>
        <v>0</v>
      </c>
      <c r="S224" s="126" t="n">
        <f aca="false">J224/$R$3</f>
        <v>0.381610000000001</v>
      </c>
      <c r="T224" s="126" t="n">
        <f aca="false">L224/$R$3</f>
        <v>0</v>
      </c>
      <c r="U224" s="126" t="n">
        <f aca="false">I224/$R$3</f>
        <v>45.23361</v>
      </c>
      <c r="V224" s="126" t="n">
        <f aca="false">M224/$R$3</f>
        <v>-4457.29264888889</v>
      </c>
      <c r="W224" s="126" t="n">
        <f aca="false">N224/$R$3</f>
        <v>19984.9126511111</v>
      </c>
    </row>
    <row r="225" customFormat="false" ht="12.75" hidden="true" customHeight="false" outlineLevel="0" collapsed="false">
      <c r="A225" s="120" t="n">
        <f aca="false">A224+1</f>
        <v>37111</v>
      </c>
      <c r="B225" s="131" t="str">
        <f aca="false">INDEX('Master Data'!$A$2:$B$8,MATCH(WEEKDAY('BRA Power'!A225,3),'Master Data'!$A$2:$A$8,0),2)</f>
        <v>W</v>
      </c>
      <c r="D225" s="124" t="n">
        <v>108987</v>
      </c>
      <c r="E225" s="124" t="n">
        <v>45740.7007777465</v>
      </c>
      <c r="F225" s="124" t="n">
        <v>0</v>
      </c>
      <c r="G225" s="124" t="n">
        <v>1373643</v>
      </c>
      <c r="I225" s="124" t="n">
        <f aca="false">IF(MONTH($A225)=MONTH($A224),IF(G225=0,I224,G225),G225)</f>
        <v>1373643</v>
      </c>
      <c r="J225" s="124" t="n">
        <f aca="false">IF(MONTH($A225)=MONTH($A224),SUM(I225-I224),I225)</f>
        <v>1328409.39</v>
      </c>
      <c r="K225" s="124" t="n">
        <f aca="false">IF(WEEKDAY(A225,3)&gt;4,0,(IF(A225&lt;K$2,0,IF(A225&lt;=K$3,1,0))))</f>
        <v>0</v>
      </c>
      <c r="L225" s="124" t="n">
        <f aca="false">J225*K225</f>
        <v>0</v>
      </c>
      <c r="M225" s="124" t="n">
        <f aca="false">SUM(J$188:J225)</f>
        <v>-3128883.25888889</v>
      </c>
      <c r="N225" s="124" t="n">
        <f aca="false">SUM(J$6:J225)</f>
        <v>21313322.0411111</v>
      </c>
      <c r="P225" s="124" t="n">
        <f aca="false">D225/P$3</f>
        <v>0.108987</v>
      </c>
      <c r="Q225" s="124" t="n">
        <f aca="false">E225/P$3</f>
        <v>0.0457407007777465</v>
      </c>
      <c r="R225" s="124" t="n">
        <f aca="false">F225/R$3</f>
        <v>0</v>
      </c>
      <c r="S225" s="126" t="n">
        <f aca="false">J225/$R$3</f>
        <v>1328.40939</v>
      </c>
      <c r="T225" s="126" t="n">
        <f aca="false">L225/$R$3</f>
        <v>0</v>
      </c>
      <c r="U225" s="126" t="n">
        <f aca="false">I225/$R$3</f>
        <v>1373.643</v>
      </c>
      <c r="V225" s="126" t="n">
        <f aca="false">M225/$R$3</f>
        <v>-3128.88325888889</v>
      </c>
      <c r="W225" s="126" t="n">
        <f aca="false">N225/$R$3</f>
        <v>21313.3220411111</v>
      </c>
    </row>
    <row r="226" customFormat="false" ht="12.75" hidden="true" customHeight="false" outlineLevel="0" collapsed="false">
      <c r="A226" s="120" t="n">
        <f aca="false">A225+1</f>
        <v>37112</v>
      </c>
      <c r="B226" s="131" t="str">
        <f aca="false">INDEX('Master Data'!$A$2:$B$8,MATCH(WEEKDAY('BRA Power'!A226,3),'Master Data'!$A$2:$A$8,0),2)</f>
        <v>Th</v>
      </c>
      <c r="D226" s="124" t="n">
        <v>109059.145733205</v>
      </c>
      <c r="E226" s="124" t="n">
        <v>45769.6886292553</v>
      </c>
      <c r="F226" s="124" t="n">
        <v>0</v>
      </c>
      <c r="G226" s="124" t="n">
        <v>1376123.42</v>
      </c>
      <c r="I226" s="124" t="n">
        <f aca="false">IF(MONTH($A226)=MONTH($A225),IF(G226=0,I225,G226),G226)</f>
        <v>1376123.42</v>
      </c>
      <c r="J226" s="124" t="n">
        <f aca="false">IF(MONTH($A226)=MONTH($A225),SUM(I226-I225),I226)</f>
        <v>2480.41999999993</v>
      </c>
      <c r="K226" s="124" t="n">
        <f aca="false">IF(WEEKDAY(A226,3)&gt;4,0,(IF(A226&lt;K$2,0,IF(A226&lt;=K$3,1,0))))</f>
        <v>0</v>
      </c>
      <c r="L226" s="124" t="n">
        <f aca="false">J226*K226</f>
        <v>0</v>
      </c>
      <c r="M226" s="124" t="n">
        <f aca="false">SUM(J$188:J226)</f>
        <v>-3126402.83888889</v>
      </c>
      <c r="N226" s="124" t="n">
        <f aca="false">SUM(J$6:J226)</f>
        <v>21315802.4611111</v>
      </c>
      <c r="P226" s="124" t="n">
        <f aca="false">D226/P$3</f>
        <v>0.109059145733205</v>
      </c>
      <c r="Q226" s="124" t="n">
        <f aca="false">E226/P$3</f>
        <v>0.0457696886292553</v>
      </c>
      <c r="R226" s="124" t="n">
        <f aca="false">F226/R$3</f>
        <v>0</v>
      </c>
      <c r="S226" s="126" t="n">
        <f aca="false">J226/$R$3</f>
        <v>2.48041999999993</v>
      </c>
      <c r="T226" s="126" t="n">
        <f aca="false">L226/$R$3</f>
        <v>0</v>
      </c>
      <c r="U226" s="126" t="n">
        <f aca="false">I226/$R$3</f>
        <v>1376.12342</v>
      </c>
      <c r="V226" s="126" t="n">
        <f aca="false">M226/$R$3</f>
        <v>-3126.40283888889</v>
      </c>
      <c r="W226" s="126" t="n">
        <f aca="false">N226/$R$3</f>
        <v>21315.8024611111</v>
      </c>
    </row>
    <row r="227" customFormat="false" ht="12.75" hidden="true" customHeight="false" outlineLevel="0" collapsed="false">
      <c r="A227" s="120" t="n">
        <f aca="false">A226+1</f>
        <v>37113</v>
      </c>
      <c r="B227" s="131" t="str">
        <f aca="false">INDEX('Master Data'!$A$2:$B$8,MATCH(WEEKDAY('BRA Power'!A227,3),'Master Data'!$A$2:$A$8,0),2)</f>
        <v>F</v>
      </c>
      <c r="D227" s="124" t="n">
        <v>109131.400138546</v>
      </c>
      <c r="E227" s="124" t="n">
        <v>45798.6948845825</v>
      </c>
      <c r="F227" s="124" t="n">
        <v>0</v>
      </c>
      <c r="G227" s="124" t="n">
        <v>1378105</v>
      </c>
      <c r="I227" s="124" t="n">
        <f aca="false">IF(MONTH($A227)=MONTH($A226),IF(G227=0,I226,G227),G227)</f>
        <v>1378105</v>
      </c>
      <c r="J227" s="124" t="n">
        <f aca="false">IF(MONTH($A227)=MONTH($A226),SUM(I227-I226),I227)</f>
        <v>1981.58000000007</v>
      </c>
      <c r="K227" s="124" t="n">
        <f aca="false">IF(WEEKDAY(A227,3)&gt;4,0,(IF(A227&lt;K$2,0,IF(A227&lt;=K$3,1,0))))</f>
        <v>0</v>
      </c>
      <c r="L227" s="124" t="n">
        <f aca="false">J227*K227</f>
        <v>0</v>
      </c>
      <c r="M227" s="124" t="n">
        <f aca="false">SUM(J$188:J227)</f>
        <v>-3124421.25888889</v>
      </c>
      <c r="N227" s="124" t="n">
        <f aca="false">SUM(J$6:J227)</f>
        <v>21317784.0411111</v>
      </c>
      <c r="P227" s="124" t="n">
        <f aca="false">D227/P$3</f>
        <v>0.109131400138546</v>
      </c>
      <c r="Q227" s="124" t="n">
        <f aca="false">E227/P$3</f>
        <v>0.0457986948845825</v>
      </c>
      <c r="R227" s="124" t="n">
        <f aca="false">F227/R$3</f>
        <v>0</v>
      </c>
      <c r="S227" s="126" t="n">
        <f aca="false">J227/$R$3</f>
        <v>1.98158000000007</v>
      </c>
      <c r="T227" s="126" t="n">
        <f aca="false">L227/$R$3</f>
        <v>0</v>
      </c>
      <c r="U227" s="126" t="n">
        <f aca="false">I227/$R$3</f>
        <v>1378.105</v>
      </c>
      <c r="V227" s="126" t="n">
        <f aca="false">M227/$R$3</f>
        <v>-3124.42125888889</v>
      </c>
      <c r="W227" s="126" t="n">
        <f aca="false">N227/$R$3</f>
        <v>21317.7840411111</v>
      </c>
    </row>
    <row r="228" customFormat="false" ht="12.75" hidden="true" customHeight="false" outlineLevel="0" collapsed="false">
      <c r="A228" s="120" t="n">
        <f aca="false">A227+1</f>
        <v>37114</v>
      </c>
      <c r="B228" s="131" t="str">
        <f aca="false">INDEX('Master Data'!$A$2:$B$8,MATCH(WEEKDAY('BRA Power'!A228,3),'Master Data'!$A$2:$A$8,0),2)</f>
        <v>Sa</v>
      </c>
      <c r="D228" s="124" t="n">
        <v>0</v>
      </c>
      <c r="E228" s="124" t="n">
        <v>0</v>
      </c>
      <c r="F228" s="124" t="n">
        <v>0</v>
      </c>
      <c r="G228" s="124" t="n">
        <v>0</v>
      </c>
      <c r="I228" s="124" t="n">
        <f aca="false">IF(MONTH($A228)=MONTH($A227),IF(G228=0,I227,G228),G228)</f>
        <v>1378105</v>
      </c>
      <c r="J228" s="124" t="n">
        <f aca="false">IF(MONTH($A228)=MONTH($A227),SUM(I228-I227),I228)</f>
        <v>0</v>
      </c>
      <c r="K228" s="124" t="n">
        <f aca="false">IF(WEEKDAY(A228,3)&gt;4,0,(IF(A228&lt;K$2,0,IF(A228&lt;=K$3,1,0))))</f>
        <v>0</v>
      </c>
      <c r="L228" s="124" t="n">
        <f aca="false">J228*K228</f>
        <v>0</v>
      </c>
      <c r="M228" s="124" t="n">
        <f aca="false">SUM(J$188:J228)</f>
        <v>-3124421.25888889</v>
      </c>
      <c r="N228" s="124" t="n">
        <f aca="false">SUM(J$6:J228)</f>
        <v>21317784.0411111</v>
      </c>
      <c r="P228" s="124" t="n">
        <f aca="false">D228/P$3</f>
        <v>0</v>
      </c>
      <c r="Q228" s="124" t="n">
        <f aca="false">E228/P$3</f>
        <v>0</v>
      </c>
      <c r="R228" s="124" t="n">
        <f aca="false">F228/R$3</f>
        <v>0</v>
      </c>
      <c r="S228" s="126" t="n">
        <f aca="false">J228/$R$3</f>
        <v>0</v>
      </c>
      <c r="T228" s="126" t="n">
        <f aca="false">L228/$R$3</f>
        <v>0</v>
      </c>
      <c r="U228" s="126" t="n">
        <f aca="false">I228/$R$3</f>
        <v>1378.105</v>
      </c>
      <c r="V228" s="126" t="n">
        <f aca="false">M228/$R$3</f>
        <v>-3124.42125888889</v>
      </c>
      <c r="W228" s="126" t="n">
        <f aca="false">N228/$R$3</f>
        <v>21317.7840411111</v>
      </c>
    </row>
    <row r="229" customFormat="false" ht="12.75" hidden="true" customHeight="false" outlineLevel="0" collapsed="false">
      <c r="A229" s="120" t="n">
        <f aca="false">A228+1</f>
        <v>37115</v>
      </c>
      <c r="B229" s="131" t="str">
        <f aca="false">INDEX('Master Data'!$A$2:$B$8,MATCH(WEEKDAY('BRA Power'!A229,3),'Master Data'!$A$2:$A$8,0),2)</f>
        <v>Su</v>
      </c>
      <c r="D229" s="124" t="n">
        <v>0</v>
      </c>
      <c r="E229" s="124" t="n">
        <v>0</v>
      </c>
      <c r="F229" s="124" t="n">
        <v>0</v>
      </c>
      <c r="G229" s="124" t="n">
        <v>0</v>
      </c>
      <c r="I229" s="124" t="n">
        <f aca="false">IF(MONTH($A229)=MONTH($A228),IF(G229=0,I228,G229),G229)</f>
        <v>1378105</v>
      </c>
      <c r="J229" s="124" t="n">
        <f aca="false">IF(MONTH($A229)=MONTH($A228),SUM(I229-I228),I229)</f>
        <v>0</v>
      </c>
      <c r="K229" s="124" t="n">
        <f aca="false">IF(WEEKDAY(A229,3)&gt;4,0,(IF(A229&lt;K$2,0,IF(A229&lt;=K$3,1,0))))</f>
        <v>0</v>
      </c>
      <c r="L229" s="124" t="n">
        <f aca="false">J229*K229</f>
        <v>0</v>
      </c>
      <c r="M229" s="124" t="n">
        <f aca="false">SUM(J$188:J229)</f>
        <v>-3124421.25888889</v>
      </c>
      <c r="N229" s="124" t="n">
        <f aca="false">SUM(J$6:J229)</f>
        <v>21317784.0411111</v>
      </c>
      <c r="P229" s="124" t="n">
        <f aca="false">D229/P$3</f>
        <v>0</v>
      </c>
      <c r="Q229" s="124" t="n">
        <f aca="false">E229/P$3</f>
        <v>0</v>
      </c>
      <c r="R229" s="124" t="n">
        <f aca="false">F229/R$3</f>
        <v>0</v>
      </c>
      <c r="S229" s="126" t="n">
        <f aca="false">J229/$R$3</f>
        <v>0</v>
      </c>
      <c r="T229" s="126" t="n">
        <f aca="false">L229/$R$3</f>
        <v>0</v>
      </c>
      <c r="U229" s="126" t="n">
        <f aca="false">I229/$R$3</f>
        <v>1378.105</v>
      </c>
      <c r="V229" s="126" t="n">
        <f aca="false">M229/$R$3</f>
        <v>-3124.42125888889</v>
      </c>
      <c r="W229" s="126" t="n">
        <f aca="false">N229/$R$3</f>
        <v>21317.7840411111</v>
      </c>
    </row>
    <row r="230" customFormat="false" ht="12.75" hidden="true" customHeight="false" outlineLevel="0" collapsed="false">
      <c r="A230" s="120" t="n">
        <f aca="false">A229+1</f>
        <v>37116</v>
      </c>
      <c r="B230" s="131" t="str">
        <f aca="false">INDEX('Master Data'!$A$2:$B$8,MATCH(WEEKDAY('BRA Power'!A230,3),'Master Data'!$A$2:$A$8,0),2)</f>
        <v>M</v>
      </c>
      <c r="D230" s="124" t="n">
        <v>-22871.0574280085</v>
      </c>
      <c r="E230" s="124" t="n">
        <v>142380.332661886</v>
      </c>
      <c r="F230" s="124" t="n">
        <v>0</v>
      </c>
      <c r="G230" s="124" t="n">
        <v>3457219</v>
      </c>
      <c r="I230" s="124" t="n">
        <f aca="false">IF(MONTH($A230)=MONTH($A229),IF(G230=0,I229,G230),G230)</f>
        <v>3457219</v>
      </c>
      <c r="J230" s="124" t="n">
        <f aca="false">IF(MONTH($A230)=MONTH($A229),SUM(I230-I229),I230)</f>
        <v>2079114</v>
      </c>
      <c r="K230" s="124" t="n">
        <f aca="false">IF(WEEKDAY(A230,3)&gt;4,0,(IF(A230&lt;K$2,0,IF(A230&lt;=K$3,1,0))))</f>
        <v>0</v>
      </c>
      <c r="L230" s="124" t="n">
        <f aca="false">J230*K230</f>
        <v>0</v>
      </c>
      <c r="M230" s="124" t="n">
        <f aca="false">SUM(J$188:J230)</f>
        <v>-1045307.25888889</v>
      </c>
      <c r="N230" s="124" t="n">
        <f aca="false">SUM(J$6:J230)</f>
        <v>23396898.0411111</v>
      </c>
      <c r="P230" s="124" t="n">
        <f aca="false">D230/P$3</f>
        <v>-0.0228710574280085</v>
      </c>
      <c r="Q230" s="124" t="n">
        <f aca="false">E230/P$3</f>
        <v>0.142380332661886</v>
      </c>
      <c r="R230" s="124" t="n">
        <f aca="false">F230/R$3</f>
        <v>0</v>
      </c>
      <c r="S230" s="126" t="n">
        <f aca="false">J230/$R$3</f>
        <v>2079.114</v>
      </c>
      <c r="T230" s="126" t="n">
        <f aca="false">L230/$R$3</f>
        <v>0</v>
      </c>
      <c r="U230" s="126" t="n">
        <f aca="false">I230/$R$3</f>
        <v>3457.219</v>
      </c>
      <c r="V230" s="126" t="n">
        <f aca="false">M230/$R$3</f>
        <v>-1045.30725888889</v>
      </c>
      <c r="W230" s="126" t="n">
        <f aca="false">N230/$R$3</f>
        <v>23396.8980411111</v>
      </c>
    </row>
    <row r="231" customFormat="false" ht="12.75" hidden="true" customHeight="false" outlineLevel="0" collapsed="false">
      <c r="A231" s="120" t="n">
        <f aca="false">A230+1</f>
        <v>37117</v>
      </c>
      <c r="B231" s="131" t="str">
        <f aca="false">INDEX('Master Data'!$A$2:$B$8,MATCH(WEEKDAY('BRA Power'!A231,3),'Master Data'!$A$2:$A$8,0),2)</f>
        <v>T</v>
      </c>
      <c r="D231" s="124" t="n">
        <v>-22981.2593724211</v>
      </c>
      <c r="E231" s="124" t="n">
        <v>142570.259109621</v>
      </c>
      <c r="F231" s="124" t="n">
        <v>0</v>
      </c>
      <c r="G231" s="124" t="n">
        <v>3419907.23</v>
      </c>
      <c r="I231" s="124" t="n">
        <f aca="false">IF(MONTH($A231)=MONTH($A230),IF(G231=0,I230,G231),G231)</f>
        <v>3419907.23</v>
      </c>
      <c r="J231" s="124" t="n">
        <f aca="false">IF(MONTH($A231)=MONTH($A230),SUM(I231-I230),I231)</f>
        <v>-37311.77</v>
      </c>
      <c r="K231" s="124" t="n">
        <f aca="false">IF(WEEKDAY(A231,3)&gt;4,0,(IF(A231&lt;K$2,0,IF(A231&lt;=K$3,1,0))))</f>
        <v>0</v>
      </c>
      <c r="L231" s="124" t="n">
        <f aca="false">J231*K231</f>
        <v>-0</v>
      </c>
      <c r="M231" s="124" t="n">
        <f aca="false">SUM(J$188:J231)</f>
        <v>-1082619.02888889</v>
      </c>
      <c r="N231" s="124" t="n">
        <f aca="false">SUM(J$6:J231)</f>
        <v>23359586.2711111</v>
      </c>
      <c r="P231" s="124" t="n">
        <f aca="false">D231/P$3</f>
        <v>-0.0229812593724211</v>
      </c>
      <c r="Q231" s="124" t="n">
        <f aca="false">E231/P$3</f>
        <v>0.142570259109621</v>
      </c>
      <c r="R231" s="124" t="n">
        <f aca="false">F231/R$3</f>
        <v>0</v>
      </c>
      <c r="S231" s="126" t="n">
        <f aca="false">J231/$R$3</f>
        <v>-37.31177</v>
      </c>
      <c r="T231" s="126" t="n">
        <f aca="false">L231/$R$3</f>
        <v>-0</v>
      </c>
      <c r="U231" s="126" t="n">
        <f aca="false">I231/$R$3</f>
        <v>3419.90723</v>
      </c>
      <c r="V231" s="126" t="n">
        <f aca="false">M231/$R$3</f>
        <v>-1082.61902888889</v>
      </c>
      <c r="W231" s="126" t="n">
        <f aca="false">N231/$R$3</f>
        <v>23359.5862711111</v>
      </c>
    </row>
    <row r="232" customFormat="false" ht="12.75" hidden="true" customHeight="false" outlineLevel="0" collapsed="false">
      <c r="A232" s="120" t="n">
        <f aca="false">A231+1</f>
        <v>37118</v>
      </c>
      <c r="B232" s="131" t="str">
        <f aca="false">INDEX('Master Data'!$A$2:$B$8,MATCH(WEEKDAY('BRA Power'!A232,3),'Master Data'!$A$2:$A$8,0),2)</f>
        <v>W</v>
      </c>
      <c r="D232" s="124" t="n">
        <v>-22872.7903671761</v>
      </c>
      <c r="E232" s="124" t="n">
        <v>142541.568186215</v>
      </c>
      <c r="F232" s="124" t="n">
        <v>0</v>
      </c>
      <c r="G232" s="124" t="n">
        <v>3425184.76</v>
      </c>
      <c r="I232" s="124" t="n">
        <f aca="false">IF(MONTH($A232)=MONTH($A231),IF(G232=0,I231,G232),G232)</f>
        <v>3425184.76</v>
      </c>
      <c r="J232" s="124" t="n">
        <f aca="false">IF(MONTH($A232)=MONTH($A231),SUM(I232-I231),I232)</f>
        <v>5277.5299999998</v>
      </c>
      <c r="K232" s="124" t="n">
        <f aca="false">IF(WEEKDAY(A232,3)&gt;4,0,(IF(A232&lt;K$2,0,IF(A232&lt;=K$3,1,0))))</f>
        <v>0</v>
      </c>
      <c r="L232" s="124" t="n">
        <f aca="false">J232*K232</f>
        <v>0</v>
      </c>
      <c r="M232" s="124" t="n">
        <f aca="false">SUM(J$188:J232)</f>
        <v>-1077341.49888889</v>
      </c>
      <c r="N232" s="124" t="n">
        <f aca="false">SUM(J$6:J232)</f>
        <v>23364863.8011111</v>
      </c>
      <c r="P232" s="124" t="n">
        <f aca="false">D232/P$3</f>
        <v>-0.0228727903671761</v>
      </c>
      <c r="Q232" s="124" t="n">
        <f aca="false">E232/P$3</f>
        <v>0.142541568186215</v>
      </c>
      <c r="R232" s="124" t="n">
        <f aca="false">F232/R$3</f>
        <v>0</v>
      </c>
      <c r="S232" s="126" t="n">
        <f aca="false">J232/$R$3</f>
        <v>5.2775299999998</v>
      </c>
      <c r="T232" s="126" t="n">
        <f aca="false">L232/$R$3</f>
        <v>0</v>
      </c>
      <c r="U232" s="126" t="n">
        <f aca="false">I232/$R$3</f>
        <v>3425.18476</v>
      </c>
      <c r="V232" s="126" t="n">
        <f aca="false">M232/$R$3</f>
        <v>-1077.34149888889</v>
      </c>
      <c r="W232" s="126" t="n">
        <f aca="false">N232/$R$3</f>
        <v>23364.8638011111</v>
      </c>
    </row>
    <row r="233" customFormat="false" ht="12.75" hidden="true" customHeight="false" outlineLevel="0" collapsed="false">
      <c r="A233" s="120" t="n">
        <f aca="false">A232+1</f>
        <v>37119</v>
      </c>
      <c r="B233" s="131" t="str">
        <f aca="false">INDEX('Master Data'!$A$2:$B$8,MATCH(WEEKDAY('BRA Power'!A233,3),'Master Data'!$A$2:$A$8,0),2)</f>
        <v>Th</v>
      </c>
      <c r="D233" s="124" t="n">
        <v>-22874.1518008816</v>
      </c>
      <c r="E233" s="124" t="n">
        <v>142622.76131651</v>
      </c>
      <c r="F233" s="124" t="n">
        <v>0</v>
      </c>
      <c r="G233" s="124" t="n">
        <v>3430479.94</v>
      </c>
      <c r="I233" s="124" t="n">
        <f aca="false">IF(MONTH($A233)=MONTH($A232),IF(G233=0,I232,G233),G233)</f>
        <v>3430479.94</v>
      </c>
      <c r="J233" s="124" t="n">
        <f aca="false">IF(MONTH($A233)=MONTH($A232),SUM(I233-I232),I233)</f>
        <v>5295.18000000017</v>
      </c>
      <c r="K233" s="124" t="n">
        <f aca="false">IF(WEEKDAY(A233,3)&gt;4,0,(IF(A233&lt;K$2,0,IF(A233&lt;=K$3,1,0))))</f>
        <v>0</v>
      </c>
      <c r="L233" s="124" t="n">
        <f aca="false">J233*K233</f>
        <v>0</v>
      </c>
      <c r="M233" s="124" t="n">
        <f aca="false">SUM(J$188:J233)</f>
        <v>-1072046.31888889</v>
      </c>
      <c r="N233" s="124" t="n">
        <f aca="false">SUM(J$6:J233)</f>
        <v>23370158.9811111</v>
      </c>
      <c r="P233" s="124" t="n">
        <f aca="false">D233/P$3</f>
        <v>-0.0228741518008816</v>
      </c>
      <c r="Q233" s="124" t="n">
        <f aca="false">E233/P$3</f>
        <v>0.14262276131651</v>
      </c>
      <c r="R233" s="124" t="n">
        <f aca="false">F233/R$3</f>
        <v>0</v>
      </c>
      <c r="S233" s="126" t="n">
        <f aca="false">J233/$R$3</f>
        <v>5.29518000000017</v>
      </c>
      <c r="T233" s="126" t="n">
        <f aca="false">L233/$R$3</f>
        <v>0</v>
      </c>
      <c r="U233" s="126" t="n">
        <f aca="false">I233/$R$3</f>
        <v>3430.47994</v>
      </c>
      <c r="V233" s="126" t="n">
        <f aca="false">M233/$R$3</f>
        <v>-1072.04631888889</v>
      </c>
      <c r="W233" s="126" t="n">
        <f aca="false">N233/$R$3</f>
        <v>23370.1589811111</v>
      </c>
    </row>
    <row r="234" customFormat="false" ht="12.75" hidden="true" customHeight="false" outlineLevel="0" collapsed="false">
      <c r="A234" s="120" t="n">
        <f aca="false">A233+1</f>
        <v>37120</v>
      </c>
      <c r="B234" s="131" t="str">
        <f aca="false">INDEX('Master Data'!$A$2:$B$8,MATCH(WEEKDAY('BRA Power'!A234,3),'Master Data'!$A$2:$A$8,0),2)</f>
        <v>F</v>
      </c>
      <c r="D234" s="124" t="n">
        <v>-22875.8530476287</v>
      </c>
      <c r="E234" s="124" t="n">
        <v>142704.347910858</v>
      </c>
      <c r="F234" s="124" t="n">
        <v>0</v>
      </c>
      <c r="G234" s="124" t="n">
        <v>3435794.79</v>
      </c>
      <c r="I234" s="124" t="n">
        <f aca="false">IF(MONTH($A234)=MONTH($A233),IF(G234=0,I233,G234),G234)</f>
        <v>3435794.79</v>
      </c>
      <c r="J234" s="124" t="n">
        <f aca="false">IF(MONTH($A234)=MONTH($A233),SUM(I234-I233),I234)</f>
        <v>5314.85000000009</v>
      </c>
      <c r="K234" s="124" t="n">
        <f aca="false">IF(WEEKDAY(A234,3)&gt;4,0,(IF(A234&lt;K$2,0,IF(A234&lt;=K$3,1,0))))</f>
        <v>0</v>
      </c>
      <c r="L234" s="124" t="n">
        <f aca="false">J234*K234</f>
        <v>0</v>
      </c>
      <c r="M234" s="124" t="n">
        <f aca="false">SUM(J$188:J234)</f>
        <v>-1066731.46888889</v>
      </c>
      <c r="N234" s="124" t="n">
        <f aca="false">SUM(J$6:J234)</f>
        <v>23375473.8311111</v>
      </c>
      <c r="P234" s="124" t="n">
        <f aca="false">D234/P$3</f>
        <v>-0.0228758530476287</v>
      </c>
      <c r="Q234" s="124" t="n">
        <f aca="false">E234/P$3</f>
        <v>0.142704347910858</v>
      </c>
      <c r="R234" s="124" t="n">
        <f aca="false">F234/R$3</f>
        <v>0</v>
      </c>
      <c r="S234" s="126" t="n">
        <f aca="false">J234/$R$3</f>
        <v>5.31485000000009</v>
      </c>
      <c r="T234" s="126" t="n">
        <f aca="false">L234/$R$3</f>
        <v>0</v>
      </c>
      <c r="U234" s="126" t="n">
        <f aca="false">I234/$R$3</f>
        <v>3435.79479</v>
      </c>
      <c r="V234" s="126" t="n">
        <f aca="false">M234/$R$3</f>
        <v>-1066.73146888889</v>
      </c>
      <c r="W234" s="126" t="n">
        <f aca="false">N234/$R$3</f>
        <v>23375.4738311111</v>
      </c>
    </row>
    <row r="235" customFormat="false" ht="12.75" hidden="true" customHeight="false" outlineLevel="0" collapsed="false">
      <c r="A235" s="120" t="n">
        <f aca="false">A234+1</f>
        <v>37121</v>
      </c>
      <c r="B235" s="131" t="str">
        <f aca="false">INDEX('Master Data'!$A$2:$B$8,MATCH(WEEKDAY('BRA Power'!A235,3),'Master Data'!$A$2:$A$8,0),2)</f>
        <v>Sa</v>
      </c>
      <c r="D235" s="124" t="n">
        <v>0</v>
      </c>
      <c r="E235" s="124" t="n">
        <v>0</v>
      </c>
      <c r="F235" s="124" t="n">
        <v>0</v>
      </c>
      <c r="G235" s="124" t="n">
        <v>0</v>
      </c>
      <c r="I235" s="124" t="n">
        <f aca="false">IF(MONTH($A235)=MONTH($A234),IF(G235=0,I234,G235),G235)</f>
        <v>3435794.79</v>
      </c>
      <c r="J235" s="124" t="n">
        <f aca="false">IF(MONTH($A235)=MONTH($A234),SUM(I235-I234),I235)</f>
        <v>0</v>
      </c>
      <c r="K235" s="124" t="n">
        <f aca="false">IF(WEEKDAY(A235,3)&gt;4,0,(IF(A235&lt;K$2,0,IF(A235&lt;=K$3,1,0))))</f>
        <v>0</v>
      </c>
      <c r="L235" s="124" t="n">
        <f aca="false">J235*K235</f>
        <v>0</v>
      </c>
      <c r="M235" s="124" t="n">
        <f aca="false">SUM(J$188:J235)</f>
        <v>-1066731.46888889</v>
      </c>
      <c r="N235" s="124" t="n">
        <f aca="false">SUM(J$6:J235)</f>
        <v>23375473.8311111</v>
      </c>
      <c r="P235" s="124" t="n">
        <f aca="false">D235/P$3</f>
        <v>0</v>
      </c>
      <c r="Q235" s="124" t="n">
        <f aca="false">E235/P$3</f>
        <v>0</v>
      </c>
      <c r="R235" s="124" t="n">
        <f aca="false">F235/R$3</f>
        <v>0</v>
      </c>
      <c r="S235" s="126" t="n">
        <f aca="false">J235/$R$3</f>
        <v>0</v>
      </c>
      <c r="T235" s="126" t="n">
        <f aca="false">L235/$R$3</f>
        <v>0</v>
      </c>
      <c r="U235" s="126" t="n">
        <f aca="false">I235/$R$3</f>
        <v>3435.79479</v>
      </c>
      <c r="V235" s="126" t="n">
        <f aca="false">M235/$R$3</f>
        <v>-1066.73146888889</v>
      </c>
      <c r="W235" s="126" t="n">
        <f aca="false">N235/$R$3</f>
        <v>23375.4738311111</v>
      </c>
    </row>
    <row r="236" customFormat="false" ht="12.75" hidden="true" customHeight="false" outlineLevel="0" collapsed="false">
      <c r="A236" s="120" t="n">
        <f aca="false">A235+1</f>
        <v>37122</v>
      </c>
      <c r="B236" s="131" t="str">
        <f aca="false">INDEX('Master Data'!$A$2:$B$8,MATCH(WEEKDAY('BRA Power'!A236,3),'Master Data'!$A$2:$A$8,0),2)</f>
        <v>Su</v>
      </c>
      <c r="D236" s="124" t="n">
        <v>0</v>
      </c>
      <c r="E236" s="124" t="n">
        <v>0</v>
      </c>
      <c r="F236" s="124" t="n">
        <v>0</v>
      </c>
      <c r="G236" s="124" t="n">
        <v>0</v>
      </c>
      <c r="I236" s="124" t="n">
        <f aca="false">IF(MONTH($A236)=MONTH($A235),IF(G236=0,I235,G236),G236)</f>
        <v>3435794.79</v>
      </c>
      <c r="J236" s="124" t="n">
        <f aca="false">IF(MONTH($A236)=MONTH($A235),SUM(I236-I235),I236)</f>
        <v>0</v>
      </c>
      <c r="K236" s="124" t="n">
        <f aca="false">IF(WEEKDAY(A236,3)&gt;4,0,(IF(A236&lt;K$2,0,IF(A236&lt;=K$3,1,0))))</f>
        <v>0</v>
      </c>
      <c r="L236" s="124" t="n">
        <f aca="false">J236*K236</f>
        <v>0</v>
      </c>
      <c r="M236" s="124" t="n">
        <f aca="false">SUM(J$188:J236)</f>
        <v>-1066731.46888889</v>
      </c>
      <c r="N236" s="124" t="n">
        <f aca="false">SUM(J$6:J236)</f>
        <v>23375473.8311111</v>
      </c>
      <c r="P236" s="124" t="n">
        <f aca="false">D236/P$3</f>
        <v>0</v>
      </c>
      <c r="Q236" s="124" t="n">
        <f aca="false">E236/P$3</f>
        <v>0</v>
      </c>
      <c r="R236" s="124" t="n">
        <f aca="false">F236/R$3</f>
        <v>0</v>
      </c>
      <c r="S236" s="126" t="n">
        <f aca="false">J236/$R$3</f>
        <v>0</v>
      </c>
      <c r="T236" s="126" t="n">
        <f aca="false">L236/$R$3</f>
        <v>0</v>
      </c>
      <c r="U236" s="126" t="n">
        <f aca="false">I236/$R$3</f>
        <v>3435.79479</v>
      </c>
      <c r="V236" s="126" t="n">
        <f aca="false">M236/$R$3</f>
        <v>-1066.73146888889</v>
      </c>
      <c r="W236" s="126" t="n">
        <f aca="false">N236/$R$3</f>
        <v>23375.4738311111</v>
      </c>
    </row>
    <row r="237" customFormat="false" ht="12.75" hidden="true" customHeight="false" outlineLevel="0" collapsed="false">
      <c r="A237" s="120" t="n">
        <f aca="false">A236+1</f>
        <v>37123</v>
      </c>
      <c r="B237" s="131" t="str">
        <f aca="false">INDEX('Master Data'!$A$2:$B$8,MATCH(WEEKDAY('BRA Power'!A237,3),'Master Data'!$A$2:$A$8,0),2)</f>
        <v>M</v>
      </c>
      <c r="D237" s="124" t="n">
        <v>-22883.0728863428</v>
      </c>
      <c r="E237" s="124" t="n">
        <v>142951.546061408</v>
      </c>
      <c r="F237" s="124" t="n">
        <v>0</v>
      </c>
      <c r="G237" s="124" t="n">
        <v>3451855</v>
      </c>
      <c r="I237" s="124" t="n">
        <f aca="false">IF(MONTH($A237)=MONTH($A236),IF(G237=0,I236,G237),G237)</f>
        <v>3451855</v>
      </c>
      <c r="J237" s="124" t="n">
        <f aca="false">IF(MONTH($A237)=MONTH($A236),SUM(I237-I236),I237)</f>
        <v>16060.21</v>
      </c>
      <c r="K237" s="124" t="n">
        <f aca="false">IF(WEEKDAY(A237,3)&gt;4,0,(IF(A237&lt;K$2,0,IF(A237&lt;=K$3,1,0))))</f>
        <v>0</v>
      </c>
      <c r="L237" s="124" t="n">
        <f aca="false">J237*K237</f>
        <v>0</v>
      </c>
      <c r="M237" s="124" t="n">
        <f aca="false">SUM(J$188:J237)</f>
        <v>-1050671.25888889</v>
      </c>
      <c r="N237" s="124" t="n">
        <f aca="false">SUM(J$6:J237)</f>
        <v>23391534.0411111</v>
      </c>
      <c r="P237" s="124" t="n">
        <f aca="false">D237/P$3</f>
        <v>-0.0228830728863428</v>
      </c>
      <c r="Q237" s="124" t="n">
        <f aca="false">E237/P$3</f>
        <v>0.142951546061408</v>
      </c>
      <c r="R237" s="124" t="n">
        <f aca="false">F237/R$3</f>
        <v>0</v>
      </c>
      <c r="S237" s="126" t="n">
        <f aca="false">J237/$R$3</f>
        <v>16.06021</v>
      </c>
      <c r="T237" s="126" t="n">
        <f aca="false">L237/$R$3</f>
        <v>0</v>
      </c>
      <c r="U237" s="126" t="n">
        <f aca="false">I237/$R$3</f>
        <v>3451.855</v>
      </c>
      <c r="V237" s="126" t="n">
        <f aca="false">M237/$R$3</f>
        <v>-1050.67125888889</v>
      </c>
      <c r="W237" s="126" t="n">
        <f aca="false">N237/$R$3</f>
        <v>23391.5340411111</v>
      </c>
    </row>
    <row r="238" customFormat="false" ht="12.75" hidden="true" customHeight="false" outlineLevel="0" collapsed="false">
      <c r="A238" s="120" t="n">
        <f aca="false">A237+1</f>
        <v>37124</v>
      </c>
      <c r="B238" s="131" t="str">
        <f aca="false">INDEX('Master Data'!$A$2:$B$8,MATCH(WEEKDAY('BRA Power'!A238,3),'Master Data'!$A$2:$A$8,0),2)</f>
        <v>T</v>
      </c>
      <c r="D238" s="124" t="n">
        <v>-22886.2116433591</v>
      </c>
      <c r="E238" s="124" t="n">
        <v>143034.785133158</v>
      </c>
      <c r="F238" s="124" t="n">
        <v>0</v>
      </c>
      <c r="G238" s="124" t="n">
        <v>3457248.04</v>
      </c>
      <c r="I238" s="124" t="n">
        <f aca="false">IF(MONTH($A238)=MONTH($A237),IF(G238=0,I237,G238),G238)</f>
        <v>3457248.04</v>
      </c>
      <c r="J238" s="124" t="n">
        <f aca="false">IF(MONTH($A238)=MONTH($A237),SUM(I238-I237),I238)</f>
        <v>5393.04000000004</v>
      </c>
      <c r="K238" s="124" t="n">
        <f aca="false">IF(WEEKDAY(A238,3)&gt;4,0,(IF(A238&lt;K$2,0,IF(A238&lt;=K$3,1,0))))</f>
        <v>0</v>
      </c>
      <c r="L238" s="124" t="n">
        <f aca="false">J238*K238</f>
        <v>0</v>
      </c>
      <c r="M238" s="124" t="n">
        <f aca="false">SUM(J$188:J238)</f>
        <v>-1045278.21888889</v>
      </c>
      <c r="N238" s="124" t="n">
        <f aca="false">SUM(J$6:J238)</f>
        <v>23396927.0811111</v>
      </c>
      <c r="P238" s="124" t="n">
        <f aca="false">D238/P$3</f>
        <v>-0.0228862116433591</v>
      </c>
      <c r="Q238" s="124" t="n">
        <f aca="false">E238/P$3</f>
        <v>0.143034785133158</v>
      </c>
      <c r="R238" s="124" t="n">
        <f aca="false">F238/R$3</f>
        <v>0</v>
      </c>
      <c r="S238" s="126" t="n">
        <f aca="false">J238/$R$3</f>
        <v>5.39304000000004</v>
      </c>
      <c r="T238" s="126" t="n">
        <f aca="false">L238/$R$3</f>
        <v>0</v>
      </c>
      <c r="U238" s="126" t="n">
        <f aca="false">I238/$R$3</f>
        <v>3457.24804</v>
      </c>
      <c r="V238" s="126" t="n">
        <f aca="false">M238/$R$3</f>
        <v>-1045.27821888889</v>
      </c>
      <c r="W238" s="126" t="n">
        <f aca="false">N238/$R$3</f>
        <v>23396.9270811111</v>
      </c>
    </row>
    <row r="239" customFormat="false" ht="12.75" hidden="true" customHeight="false" outlineLevel="0" collapsed="false">
      <c r="A239" s="120" t="n">
        <f aca="false">A238+1</f>
        <v>37125</v>
      </c>
      <c r="B239" s="131" t="str">
        <f aca="false">INDEX('Master Data'!$A$2:$B$8,MATCH(WEEKDAY('BRA Power'!A239,3),'Master Data'!$A$2:$A$8,0),2)</f>
        <v>W</v>
      </c>
      <c r="D239" s="124" t="n">
        <v>-22889.7304055733</v>
      </c>
      <c r="E239" s="124" t="n">
        <v>143118.458042786</v>
      </c>
      <c r="F239" s="124" t="n">
        <v>0</v>
      </c>
      <c r="G239" s="124" t="n">
        <v>3462660.39</v>
      </c>
      <c r="I239" s="124" t="n">
        <f aca="false">IF(MONTH($A239)=MONTH($A238),IF(G239=0,I238,G239),G239)</f>
        <v>3462660.39</v>
      </c>
      <c r="J239" s="124" t="n">
        <f aca="false">IF(MONTH($A239)=MONTH($A238),SUM(I239-I238),I239)</f>
        <v>5412.35000000009</v>
      </c>
      <c r="K239" s="124" t="n">
        <f aca="false">IF(WEEKDAY(A239,3)&gt;4,0,(IF(A239&lt;K$2,0,IF(A239&lt;=K$3,1,0))))</f>
        <v>0</v>
      </c>
      <c r="L239" s="124" t="n">
        <f aca="false">J239*K239</f>
        <v>0</v>
      </c>
      <c r="M239" s="124" t="n">
        <f aca="false">SUM(J$188:J239)</f>
        <v>-1039865.86888889</v>
      </c>
      <c r="N239" s="124" t="n">
        <f aca="false">SUM(J$6:J239)</f>
        <v>23402339.4311111</v>
      </c>
      <c r="P239" s="124" t="n">
        <f aca="false">D239/P$3</f>
        <v>-0.0228897304055733</v>
      </c>
      <c r="Q239" s="124" t="n">
        <f aca="false">E239/P$3</f>
        <v>0.143118458042786</v>
      </c>
      <c r="R239" s="124" t="n">
        <f aca="false">F239/R$3</f>
        <v>0</v>
      </c>
      <c r="S239" s="126" t="n">
        <f aca="false">J239/$R$3</f>
        <v>5.41235000000009</v>
      </c>
      <c r="T239" s="126" t="n">
        <f aca="false">L239/$R$3</f>
        <v>0</v>
      </c>
      <c r="U239" s="126" t="n">
        <f aca="false">I239/$R$3</f>
        <v>3462.66039</v>
      </c>
      <c r="V239" s="126" t="n">
        <f aca="false">M239/$R$3</f>
        <v>-1039.86586888889</v>
      </c>
      <c r="W239" s="126" t="n">
        <f aca="false">N239/$R$3</f>
        <v>23402.3394311111</v>
      </c>
    </row>
    <row r="240" customFormat="false" ht="12.75" hidden="true" customHeight="false" outlineLevel="0" collapsed="false">
      <c r="A240" s="120" t="n">
        <f aca="false">A239+1</f>
        <v>37126</v>
      </c>
      <c r="B240" s="131" t="str">
        <f aca="false">INDEX('Master Data'!$A$2:$B$8,MATCH(WEEKDAY('BRA Power'!A240,3),'Master Data'!$A$2:$A$8,0),2)</f>
        <v>Th</v>
      </c>
      <c r="D240" s="124" t="n">
        <v>-22780.6968254131</v>
      </c>
      <c r="E240" s="124" t="n">
        <v>143089.632479127</v>
      </c>
      <c r="F240" s="124" t="n">
        <v>0</v>
      </c>
      <c r="G240" s="124" t="n">
        <v>3468092.55</v>
      </c>
      <c r="I240" s="124" t="n">
        <f aca="false">IF(MONTH($A240)=MONTH($A239),IF(G240=0,I239,G240),G240)</f>
        <v>3468092.55</v>
      </c>
      <c r="J240" s="124" t="n">
        <f aca="false">IF(MONTH($A240)=MONTH($A239),SUM(I240-I239),I240)</f>
        <v>5432.15999999968</v>
      </c>
      <c r="K240" s="124" t="n">
        <f aca="false">IF(WEEKDAY(A240,3)&gt;4,0,(IF(A240&lt;K$2,0,IF(A240&lt;=K$3,1,0))))</f>
        <v>0</v>
      </c>
      <c r="L240" s="124" t="n">
        <f aca="false">J240*K240</f>
        <v>0</v>
      </c>
      <c r="M240" s="124" t="n">
        <f aca="false">SUM(J$188:J240)</f>
        <v>-1034433.70888889</v>
      </c>
      <c r="N240" s="124" t="n">
        <f aca="false">SUM(J$6:J240)</f>
        <v>23407771.5911111</v>
      </c>
      <c r="P240" s="124" t="n">
        <f aca="false">D240/P$3</f>
        <v>-0.0227806968254131</v>
      </c>
      <c r="Q240" s="124" t="n">
        <f aca="false">E240/P$3</f>
        <v>0.143089632479127</v>
      </c>
      <c r="R240" s="124" t="n">
        <f aca="false">F240/R$3</f>
        <v>0</v>
      </c>
      <c r="S240" s="126" t="n">
        <f aca="false">J240/$R$3</f>
        <v>5.43215999999968</v>
      </c>
      <c r="T240" s="126" t="n">
        <f aca="false">L240/$R$3</f>
        <v>0</v>
      </c>
      <c r="U240" s="126" t="n">
        <f aca="false">I240/$R$3</f>
        <v>3468.09255</v>
      </c>
      <c r="V240" s="126" t="n">
        <f aca="false">M240/$R$3</f>
        <v>-1034.43370888889</v>
      </c>
      <c r="W240" s="126" t="n">
        <f aca="false">N240/$R$3</f>
        <v>23407.7715911111</v>
      </c>
    </row>
    <row r="241" customFormat="false" ht="12.75" hidden="true" customHeight="false" outlineLevel="0" collapsed="false">
      <c r="A241" s="120" t="n">
        <f aca="false">A240+1</f>
        <v>37127</v>
      </c>
      <c r="B241" s="131" t="str">
        <f aca="false">INDEX('Master Data'!$A$2:$B$8,MATCH(WEEKDAY('BRA Power'!A241,3),'Master Data'!$A$2:$A$8,0),2)</f>
        <v>F</v>
      </c>
      <c r="D241" s="124" t="n">
        <v>-22671.5924652301</v>
      </c>
      <c r="E241" s="124" t="n">
        <v>143060.790040964</v>
      </c>
      <c r="F241" s="124" t="n">
        <v>0</v>
      </c>
      <c r="G241" s="124" t="n">
        <v>3473544.64</v>
      </c>
      <c r="I241" s="124" t="n">
        <f aca="false">IF(MONTH($A241)=MONTH($A240),IF(G241=0,I240,G241),G241)</f>
        <v>3473544.64</v>
      </c>
      <c r="J241" s="124" t="n">
        <f aca="false">IF(MONTH($A241)=MONTH($A240),SUM(I241-I240),I241)</f>
        <v>5452.09000000032</v>
      </c>
      <c r="K241" s="124" t="n">
        <f aca="false">IF(WEEKDAY(A241,3)&gt;4,0,(IF(A241&lt;K$2,0,IF(A241&lt;=K$3,1,0))))</f>
        <v>0</v>
      </c>
      <c r="L241" s="124" t="n">
        <f aca="false">J241*K241</f>
        <v>0</v>
      </c>
      <c r="M241" s="124" t="n">
        <f aca="false">SUM(J$188:J241)</f>
        <v>-1028981.61888889</v>
      </c>
      <c r="N241" s="124" t="n">
        <f aca="false">SUM(J$6:J241)</f>
        <v>23413223.6811111</v>
      </c>
      <c r="P241" s="124" t="n">
        <f aca="false">D241/P$3</f>
        <v>-0.0226715924652301</v>
      </c>
      <c r="Q241" s="124" t="n">
        <f aca="false">E241/P$3</f>
        <v>0.143060790040964</v>
      </c>
      <c r="R241" s="124" t="n">
        <f aca="false">F241/R$3</f>
        <v>0</v>
      </c>
      <c r="S241" s="126" t="n">
        <f aca="false">J241/$R$3</f>
        <v>5.45209000000032</v>
      </c>
      <c r="T241" s="126" t="n">
        <f aca="false">L241/$R$3</f>
        <v>0</v>
      </c>
      <c r="U241" s="126" t="n">
        <f aca="false">I241/$R$3</f>
        <v>3473.54464</v>
      </c>
      <c r="V241" s="126" t="n">
        <f aca="false">M241/$R$3</f>
        <v>-1028.98161888889</v>
      </c>
      <c r="W241" s="126" t="n">
        <f aca="false">N241/$R$3</f>
        <v>23413.2236811111</v>
      </c>
    </row>
    <row r="242" customFormat="false" ht="12.75" hidden="true" customHeight="false" outlineLevel="0" collapsed="false">
      <c r="A242" s="120" t="n">
        <f aca="false">A241+1</f>
        <v>37128</v>
      </c>
      <c r="B242" s="131" t="str">
        <f aca="false">INDEX('Master Data'!$A$2:$B$8,MATCH(WEEKDAY('BRA Power'!A242,3),'Master Data'!$A$2:$A$8,0),2)</f>
        <v>Sa</v>
      </c>
      <c r="D242" s="124" t="n">
        <v>0</v>
      </c>
      <c r="E242" s="124" t="n">
        <v>0</v>
      </c>
      <c r="F242" s="124" t="n">
        <v>0</v>
      </c>
      <c r="G242" s="124" t="n">
        <v>0</v>
      </c>
      <c r="I242" s="124" t="n">
        <f aca="false">IF(MONTH($A242)=MONTH($A241),IF(G242=0,I241,G242),G242)</f>
        <v>3473544.64</v>
      </c>
      <c r="J242" s="124" t="n">
        <f aca="false">IF(MONTH($A242)=MONTH($A241),SUM(I242-I241),I242)</f>
        <v>0</v>
      </c>
      <c r="K242" s="124" t="n">
        <f aca="false">IF(WEEKDAY(A242,3)&gt;4,0,(IF(A242&lt;K$2,0,IF(A242&lt;=K$3,1,0))))</f>
        <v>0</v>
      </c>
      <c r="L242" s="124" t="n">
        <f aca="false">J242*K242</f>
        <v>0</v>
      </c>
      <c r="M242" s="124" t="n">
        <f aca="false">SUM(J$188:J242)</f>
        <v>-1028981.61888889</v>
      </c>
      <c r="N242" s="124" t="n">
        <f aca="false">SUM(J$6:J242)</f>
        <v>23413223.6811111</v>
      </c>
      <c r="P242" s="124" t="n">
        <f aca="false">D242/P$3</f>
        <v>0</v>
      </c>
      <c r="Q242" s="124" t="n">
        <f aca="false">E242/P$3</f>
        <v>0</v>
      </c>
      <c r="R242" s="124" t="n">
        <f aca="false">F242/R$3</f>
        <v>0</v>
      </c>
      <c r="S242" s="126" t="n">
        <f aca="false">J242/$R$3</f>
        <v>0</v>
      </c>
      <c r="T242" s="126" t="n">
        <f aca="false">L242/$R$3</f>
        <v>0</v>
      </c>
      <c r="U242" s="126" t="n">
        <f aca="false">I242/$R$3</f>
        <v>3473.54464</v>
      </c>
      <c r="V242" s="126" t="n">
        <f aca="false">M242/$R$3</f>
        <v>-1028.98161888889</v>
      </c>
      <c r="W242" s="126" t="n">
        <f aca="false">N242/$R$3</f>
        <v>23413.2236811111</v>
      </c>
    </row>
    <row r="243" customFormat="false" ht="12.75" hidden="true" customHeight="false" outlineLevel="0" collapsed="false">
      <c r="A243" s="120" t="n">
        <f aca="false">A242+1</f>
        <v>37129</v>
      </c>
      <c r="B243" s="131" t="str">
        <f aca="false">INDEX('Master Data'!$A$2:$B$8,MATCH(WEEKDAY('BRA Power'!A243,3),'Master Data'!$A$2:$A$8,0),2)</f>
        <v>Su</v>
      </c>
      <c r="D243" s="124" t="n">
        <v>0</v>
      </c>
      <c r="E243" s="124" t="n">
        <v>0</v>
      </c>
      <c r="F243" s="124" t="n">
        <v>0</v>
      </c>
      <c r="G243" s="124" t="n">
        <v>0</v>
      </c>
      <c r="I243" s="124" t="n">
        <f aca="false">IF(MONTH($A243)=MONTH($A242),IF(G243=0,I242,G243),G243)</f>
        <v>3473544.64</v>
      </c>
      <c r="J243" s="124" t="n">
        <f aca="false">IF(MONTH($A243)=MONTH($A242),SUM(I243-I242),I243)</f>
        <v>0</v>
      </c>
      <c r="K243" s="124" t="n">
        <f aca="false">IF(WEEKDAY(A243,3)&gt;4,0,(IF(A243&lt;K$2,0,IF(A243&lt;=K$3,1,0))))</f>
        <v>0</v>
      </c>
      <c r="L243" s="124" t="n">
        <f aca="false">J243*K243</f>
        <v>0</v>
      </c>
      <c r="M243" s="124" t="n">
        <f aca="false">SUM(J$188:J243)</f>
        <v>-1028981.61888889</v>
      </c>
      <c r="N243" s="124" t="n">
        <f aca="false">SUM(J$6:J243)</f>
        <v>23413223.6811111</v>
      </c>
      <c r="P243" s="124" t="n">
        <f aca="false">D243/P$3</f>
        <v>0</v>
      </c>
      <c r="Q243" s="124" t="n">
        <f aca="false">E243/P$3</f>
        <v>0</v>
      </c>
      <c r="R243" s="124" t="n">
        <f aca="false">F243/R$3</f>
        <v>0</v>
      </c>
      <c r="S243" s="126" t="n">
        <f aca="false">J243/$R$3</f>
        <v>0</v>
      </c>
      <c r="T243" s="126" t="n">
        <f aca="false">L243/$R$3</f>
        <v>0</v>
      </c>
      <c r="U243" s="126" t="n">
        <f aca="false">I243/$R$3</f>
        <v>3473.54464</v>
      </c>
      <c r="V243" s="126" t="n">
        <f aca="false">M243/$R$3</f>
        <v>-1028.98161888889</v>
      </c>
      <c r="W243" s="126" t="n">
        <f aca="false">N243/$R$3</f>
        <v>23413.2236811111</v>
      </c>
    </row>
    <row r="244" customFormat="false" ht="12.75" hidden="true" customHeight="false" outlineLevel="0" collapsed="false">
      <c r="A244" s="120" t="n">
        <f aca="false">A243+1</f>
        <v>37130</v>
      </c>
      <c r="B244" s="131" t="str">
        <f aca="false">INDEX('Master Data'!$A$2:$B$8,MATCH(WEEKDAY('BRA Power'!A244,3),'Master Data'!$A$2:$A$8,0),2)</f>
        <v>M</v>
      </c>
      <c r="D244" s="124" t="n">
        <v>-22913.3374480193</v>
      </c>
      <c r="E244" s="124" t="n">
        <v>143543.644587628</v>
      </c>
      <c r="F244" s="124" t="n">
        <v>0</v>
      </c>
      <c r="G244" s="124" t="n">
        <v>3490021.6</v>
      </c>
      <c r="I244" s="124" t="n">
        <f aca="false">IF(MONTH($A244)=MONTH($A243),IF(G244=0,I243,G244),G244)</f>
        <v>3490021.6</v>
      </c>
      <c r="J244" s="124" t="n">
        <f aca="false">IF(MONTH($A244)=MONTH($A243),SUM(I244-I243),I244)</f>
        <v>16476.96</v>
      </c>
      <c r="K244" s="124" t="n">
        <f aca="false">IF(WEEKDAY(A244,3)&gt;4,0,(IF(A244&lt;K$2,0,IF(A244&lt;=K$3,1,0))))</f>
        <v>0</v>
      </c>
      <c r="L244" s="124" t="n">
        <f aca="false">J244*K244</f>
        <v>0</v>
      </c>
      <c r="M244" s="124" t="n">
        <f aca="false">SUM(J$188:J244)</f>
        <v>-1012504.65888889</v>
      </c>
      <c r="N244" s="124" t="n">
        <f aca="false">SUM(J$6:J244)</f>
        <v>23429700.6411111</v>
      </c>
      <c r="P244" s="124" t="n">
        <f aca="false">D244/P$3</f>
        <v>-0.0229133374480193</v>
      </c>
      <c r="Q244" s="124" t="n">
        <f aca="false">E244/P$3</f>
        <v>0.143543644587628</v>
      </c>
      <c r="R244" s="124" t="n">
        <f aca="false">F244/R$3</f>
        <v>0</v>
      </c>
      <c r="S244" s="126" t="n">
        <f aca="false">J244/$R$3</f>
        <v>16.47696</v>
      </c>
      <c r="T244" s="126" t="n">
        <f aca="false">L244/$R$3</f>
        <v>0</v>
      </c>
      <c r="U244" s="126" t="n">
        <f aca="false">I244/$R$3</f>
        <v>3490.0216</v>
      </c>
      <c r="V244" s="126" t="n">
        <f aca="false">M244/$R$3</f>
        <v>-1012.50465888889</v>
      </c>
      <c r="W244" s="126" t="n">
        <f aca="false">N244/$R$3</f>
        <v>23429.7006411111</v>
      </c>
    </row>
    <row r="245" customFormat="false" ht="12.75" hidden="true" customHeight="false" outlineLevel="0" collapsed="false">
      <c r="A245" s="120" t="n">
        <f aca="false">A244+1</f>
        <v>37131</v>
      </c>
      <c r="B245" s="131" t="str">
        <f aca="false">INDEX('Master Data'!$A$2:$B$8,MATCH(WEEKDAY('BRA Power'!A245,3),'Master Data'!$A$2:$A$8,0),2)</f>
        <v>T</v>
      </c>
      <c r="D245" s="124" t="n">
        <v>-25657.8543138615</v>
      </c>
      <c r="E245" s="124" t="n">
        <v>146368.63936239</v>
      </c>
      <c r="F245" s="124" t="n">
        <v>0</v>
      </c>
      <c r="G245" s="124" t="n">
        <v>3737796.15</v>
      </c>
      <c r="I245" s="124" t="n">
        <f aca="false">IF(MONTH($A245)=MONTH($A244),IF(G245=0,I244,G245),G245)</f>
        <v>3737796.15</v>
      </c>
      <c r="J245" s="124" t="n">
        <f aca="false">IF(MONTH($A245)=MONTH($A244),SUM(I245-I244),I245)</f>
        <v>247774.55</v>
      </c>
      <c r="K245" s="124" t="n">
        <f aca="false">IF(WEEKDAY(A245,3)&gt;4,0,(IF(A245&lt;K$2,0,IF(A245&lt;=K$3,1,0))))</f>
        <v>0</v>
      </c>
      <c r="L245" s="124" t="n">
        <f aca="false">J245*K245</f>
        <v>0</v>
      </c>
      <c r="M245" s="124" t="n">
        <f aca="false">SUM(J$188:J245)</f>
        <v>-764730.108888889</v>
      </c>
      <c r="N245" s="124" t="n">
        <f aca="false">SUM(J$6:J245)</f>
        <v>23677475.1911111</v>
      </c>
      <c r="P245" s="124" t="n">
        <f aca="false">D245/P$3</f>
        <v>-0.0256578543138615</v>
      </c>
      <c r="Q245" s="124" t="n">
        <f aca="false">E245/P$3</f>
        <v>0.14636863936239</v>
      </c>
      <c r="R245" s="124" t="n">
        <f aca="false">F245/R$3</f>
        <v>0</v>
      </c>
      <c r="S245" s="126" t="n">
        <f aca="false">J245/$R$3</f>
        <v>247.77455</v>
      </c>
      <c r="T245" s="126" t="n">
        <f aca="false">L245/$R$3</f>
        <v>0</v>
      </c>
      <c r="U245" s="126" t="n">
        <f aca="false">I245/$R$3</f>
        <v>3737.79615</v>
      </c>
      <c r="V245" s="126" t="n">
        <f aca="false">M245/$R$3</f>
        <v>-764.730108888889</v>
      </c>
      <c r="W245" s="126" t="n">
        <f aca="false">N245/$R$3</f>
        <v>23677.4751911111</v>
      </c>
    </row>
    <row r="246" customFormat="false" ht="12.75" hidden="true" customHeight="false" outlineLevel="0" collapsed="false">
      <c r="A246" s="120" t="n">
        <f aca="false">A245+1</f>
        <v>37132</v>
      </c>
      <c r="B246" s="131" t="str">
        <f aca="false">INDEX('Master Data'!$A$2:$B$8,MATCH(WEEKDAY('BRA Power'!A246,3),'Master Data'!$A$2:$A$8,0),2)</f>
        <v>W</v>
      </c>
      <c r="D246" s="124" t="n">
        <v>-25673.1389944104</v>
      </c>
      <c r="E246" s="124" t="n">
        <v>146464.456039913</v>
      </c>
      <c r="F246" s="124" t="n">
        <v>0</v>
      </c>
      <c r="G246" s="124" t="n">
        <v>3743517.85</v>
      </c>
      <c r="I246" s="124" t="n">
        <f aca="false">IF(MONTH($A246)=MONTH($A245),IF(G246=0,I245,G246),G246)</f>
        <v>3743517.85</v>
      </c>
      <c r="J246" s="124" t="n">
        <f aca="false">IF(MONTH($A246)=MONTH($A245),SUM(I246-I245),I246)</f>
        <v>5721.70000000019</v>
      </c>
      <c r="K246" s="124" t="n">
        <f aca="false">IF(WEEKDAY(A246,3)&gt;4,0,(IF(A246&lt;K$2,0,IF(A246&lt;=K$3,1,0))))</f>
        <v>0</v>
      </c>
      <c r="L246" s="124" t="n">
        <f aca="false">J246*K246</f>
        <v>0</v>
      </c>
      <c r="M246" s="124" t="n">
        <f aca="false">SUM(J$188:J246)</f>
        <v>-759008.408888889</v>
      </c>
      <c r="N246" s="124" t="n">
        <f aca="false">SUM(J$6:J246)</f>
        <v>23683196.8911111</v>
      </c>
      <c r="P246" s="124" t="n">
        <f aca="false">D246/P$3</f>
        <v>-0.0256731389944104</v>
      </c>
      <c r="Q246" s="124" t="n">
        <f aca="false">E246/P$3</f>
        <v>0.146464456039913</v>
      </c>
      <c r="R246" s="124" t="n">
        <f aca="false">F246/R$3</f>
        <v>0</v>
      </c>
      <c r="S246" s="126" t="n">
        <f aca="false">J246/$R$3</f>
        <v>5.72170000000019</v>
      </c>
      <c r="T246" s="126" t="n">
        <f aca="false">L246/$R$3</f>
        <v>0</v>
      </c>
      <c r="U246" s="126" t="n">
        <f aca="false">I246/$R$3</f>
        <v>3743.51785</v>
      </c>
      <c r="V246" s="126" t="n">
        <f aca="false">M246/$R$3</f>
        <v>-759.008408888889</v>
      </c>
      <c r="W246" s="126" t="n">
        <f aca="false">N246/$R$3</f>
        <v>23683.1968911111</v>
      </c>
    </row>
    <row r="247" customFormat="false" ht="12.75" hidden="true" customHeight="false" outlineLevel="0" collapsed="false">
      <c r="A247" s="120" t="n">
        <f aca="false">A246+1</f>
        <v>37133</v>
      </c>
      <c r="B247" s="131" t="str">
        <f aca="false">INDEX('Master Data'!$A$2:$B$8,MATCH(WEEKDAY('BRA Power'!A247,3),'Master Data'!$A$2:$A$8,0),2)</f>
        <v>Th</v>
      </c>
      <c r="D247" s="124" t="n">
        <v>-25563.6089794735</v>
      </c>
      <c r="E247" s="124" t="n">
        <v>146435.512146585</v>
      </c>
      <c r="F247" s="124" t="n">
        <v>0</v>
      </c>
      <c r="G247" s="124" t="n">
        <v>3749258.66</v>
      </c>
      <c r="I247" s="124" t="n">
        <f aca="false">IF(MONTH($A247)=MONTH($A246),IF(G247=0,I246,G247),G247)</f>
        <v>3749258.66</v>
      </c>
      <c r="J247" s="124" t="n">
        <f aca="false">IF(MONTH($A247)=MONTH($A246),SUM(I247-I246),I247)</f>
        <v>5740.81000000006</v>
      </c>
      <c r="K247" s="124" t="n">
        <f aca="false">IF(WEEKDAY(A247,3)&gt;4,0,(IF(A247&lt;K$2,0,IF(A247&lt;=K$3,1,0))))</f>
        <v>0</v>
      </c>
      <c r="L247" s="124" t="n">
        <f aca="false">J247*K247</f>
        <v>0</v>
      </c>
      <c r="M247" s="124" t="n">
        <f aca="false">SUM(J$188:J247)</f>
        <v>-753267.598888889</v>
      </c>
      <c r="N247" s="124" t="n">
        <f aca="false">SUM(J$6:J247)</f>
        <v>23688937.7011111</v>
      </c>
      <c r="P247" s="124" t="n">
        <f aca="false">D247/P$3</f>
        <v>-0.0255636089794735</v>
      </c>
      <c r="Q247" s="124" t="n">
        <f aca="false">E247/P$3</f>
        <v>0.146435512146585</v>
      </c>
      <c r="R247" s="124" t="n">
        <f aca="false">F247/R$3</f>
        <v>0</v>
      </c>
      <c r="S247" s="126" t="n">
        <f aca="false">J247/$R$3</f>
        <v>5.74081000000006</v>
      </c>
      <c r="T247" s="126" t="n">
        <f aca="false">L247/$R$3</f>
        <v>0</v>
      </c>
      <c r="U247" s="126" t="n">
        <f aca="false">I247/$R$3</f>
        <v>3749.25866</v>
      </c>
      <c r="V247" s="126" t="n">
        <f aca="false">M247/$R$3</f>
        <v>-753.267598888889</v>
      </c>
      <c r="W247" s="126" t="n">
        <f aca="false">N247/$R$3</f>
        <v>23688.9377011111</v>
      </c>
    </row>
    <row r="248" customFormat="false" ht="12.75" hidden="false" customHeight="false" outlineLevel="0" collapsed="false">
      <c r="A248" s="120" t="n">
        <f aca="false">A247+1</f>
        <v>37134</v>
      </c>
      <c r="B248" s="131" t="str">
        <f aca="false">INDEX('Master Data'!$A$2:$B$8,MATCH(WEEKDAY('BRA Power'!A248,3),'Master Data'!$A$2:$A$8,0),2)</f>
        <v>F</v>
      </c>
      <c r="D248" s="124" t="n">
        <v>-11247.7931612298</v>
      </c>
      <c r="E248" s="124" t="n">
        <v>131062.439830184</v>
      </c>
      <c r="F248" s="124" t="n">
        <v>0</v>
      </c>
      <c r="G248" s="124" t="n">
        <v>3801913.16266652</v>
      </c>
      <c r="I248" s="124" t="n">
        <f aca="false">IF(MONTH($A248)=MONTH($A247),IF(G248=0,I247,G248),G248)</f>
        <v>3801913.16266652</v>
      </c>
      <c r="J248" s="124" t="n">
        <f aca="false">IF(MONTH($A248)=MONTH($A247),SUM(I248-I247),I248)</f>
        <v>52654.5026665167</v>
      </c>
      <c r="K248" s="124" t="n">
        <f aca="false">IF(WEEKDAY(A248,3)&gt;4,0,(IF(A248&lt;K$2,0,IF(A248&lt;=K$3,1,0))))</f>
        <v>0</v>
      </c>
      <c r="L248" s="124" t="n">
        <f aca="false">J248*K248</f>
        <v>0</v>
      </c>
      <c r="M248" s="124" t="n">
        <f aca="false">SUM(J$188:J248)</f>
        <v>-700613.096222372</v>
      </c>
      <c r="N248" s="124" t="n">
        <f aca="false">SUM(J$6:J248)</f>
        <v>23741592.2037776</v>
      </c>
      <c r="P248" s="124" t="n">
        <f aca="false">D248/P$3</f>
        <v>-0.0112477931612298</v>
      </c>
      <c r="Q248" s="124" t="n">
        <f aca="false">E248/P$3</f>
        <v>0.131062439830184</v>
      </c>
      <c r="R248" s="124" t="n">
        <f aca="false">F248/R$3</f>
        <v>0</v>
      </c>
      <c r="S248" s="126" t="n">
        <f aca="false">J248/$R$3</f>
        <v>52.6545026665167</v>
      </c>
      <c r="T248" s="126" t="n">
        <f aca="false">L248/$R$3</f>
        <v>0</v>
      </c>
      <c r="U248" s="126" t="n">
        <f aca="false">I248/$R$3</f>
        <v>3801.91316266652</v>
      </c>
      <c r="V248" s="126" t="n">
        <f aca="false">M248/$R$3</f>
        <v>-700.613096222372</v>
      </c>
      <c r="W248" s="126" t="n">
        <f aca="false">N248/$R$3</f>
        <v>23741.5922037776</v>
      </c>
    </row>
    <row r="249" customFormat="false" ht="12.75" hidden="true" customHeight="false" outlineLevel="0" collapsed="false">
      <c r="A249" s="120" t="n">
        <f aca="false">A248+1</f>
        <v>37135</v>
      </c>
      <c r="B249" s="131" t="str">
        <f aca="false">INDEX('Master Data'!$A$2:$B$8,MATCH(WEEKDAY('BRA Power'!A249,3),'Master Data'!$A$2:$A$8,0),2)</f>
        <v>Sa</v>
      </c>
      <c r="D249" s="124" t="n">
        <v>0</v>
      </c>
      <c r="E249" s="124" t="n">
        <v>0</v>
      </c>
      <c r="F249" s="124" t="n">
        <v>0</v>
      </c>
      <c r="G249" s="124" t="n">
        <v>0</v>
      </c>
      <c r="I249" s="124" t="n">
        <f aca="false">IF(MONTH($A249)=MONTH($A248),IF(G249=0,I248,G249),G249)</f>
        <v>0</v>
      </c>
      <c r="J249" s="124" t="n">
        <f aca="false">IF(MONTH($A249)=MONTH($A248),SUM(I249-I248),I249)</f>
        <v>0</v>
      </c>
      <c r="K249" s="124" t="n">
        <f aca="false">IF(WEEKDAY(A249,3)&gt;4,0,(IF(A249&lt;K$2,0,IF(A249&lt;=K$3,1,0))))</f>
        <v>0</v>
      </c>
      <c r="L249" s="124" t="n">
        <f aca="false">J249*K249</f>
        <v>0</v>
      </c>
      <c r="M249" s="124" t="n">
        <f aca="false">SUM(J$188:J249)</f>
        <v>-700613.096222372</v>
      </c>
      <c r="N249" s="124" t="n">
        <f aca="false">SUM(J$6:J249)</f>
        <v>23741592.2037776</v>
      </c>
      <c r="P249" s="124" t="n">
        <f aca="false">D249/P$3</f>
        <v>0</v>
      </c>
      <c r="Q249" s="124" t="n">
        <f aca="false">E249/P$3</f>
        <v>0</v>
      </c>
      <c r="R249" s="124" t="n">
        <f aca="false">F249/R$3</f>
        <v>0</v>
      </c>
      <c r="S249" s="126" t="n">
        <f aca="false">J249/$R$3</f>
        <v>0</v>
      </c>
      <c r="T249" s="126" t="n">
        <f aca="false">L249/$R$3</f>
        <v>0</v>
      </c>
      <c r="U249" s="126" t="n">
        <f aca="false">I249/$R$3</f>
        <v>0</v>
      </c>
      <c r="V249" s="126" t="n">
        <f aca="false">M249/$R$3</f>
        <v>-700.613096222372</v>
      </c>
      <c r="W249" s="126" t="n">
        <f aca="false">N249/$R$3</f>
        <v>23741.5922037776</v>
      </c>
    </row>
    <row r="250" customFormat="false" ht="12.75" hidden="true" customHeight="false" outlineLevel="0" collapsed="false">
      <c r="A250" s="120" t="n">
        <f aca="false">A249+1</f>
        <v>37136</v>
      </c>
      <c r="B250" s="131" t="str">
        <f aca="false">INDEX('Master Data'!$A$2:$B$8,MATCH(WEEKDAY('BRA Power'!A250,3),'Master Data'!$A$2:$A$8,0),2)</f>
        <v>Su</v>
      </c>
      <c r="D250" s="124" t="n">
        <v>0</v>
      </c>
      <c r="E250" s="124" t="n">
        <v>0</v>
      </c>
      <c r="F250" s="124" t="n">
        <v>0</v>
      </c>
      <c r="G250" s="124" t="n">
        <v>0</v>
      </c>
      <c r="I250" s="124" t="n">
        <f aca="false">IF(MONTH($A250)=MONTH($A249),IF(G250=0,I249,G250),G250)</f>
        <v>0</v>
      </c>
      <c r="J250" s="124" t="n">
        <f aca="false">IF(MONTH($A250)=MONTH($A249),SUM(I250-I249),I250)</f>
        <v>0</v>
      </c>
      <c r="K250" s="124" t="n">
        <f aca="false">IF(WEEKDAY(A250,3)&gt;4,0,(IF(A250&lt;K$2,0,IF(A250&lt;=K$3,1,0))))</f>
        <v>0</v>
      </c>
      <c r="L250" s="124" t="n">
        <f aca="false">J250*K250</f>
        <v>0</v>
      </c>
      <c r="M250" s="124" t="n">
        <f aca="false">SUM(J$188:J250)</f>
        <v>-700613.096222372</v>
      </c>
      <c r="N250" s="124" t="n">
        <f aca="false">SUM(J$6:J250)</f>
        <v>23741592.2037776</v>
      </c>
      <c r="P250" s="124" t="n">
        <f aca="false">D250/P$3</f>
        <v>0</v>
      </c>
      <c r="Q250" s="124" t="n">
        <f aca="false">E250/P$3</f>
        <v>0</v>
      </c>
      <c r="R250" s="124" t="n">
        <f aca="false">F250/R$3</f>
        <v>0</v>
      </c>
      <c r="S250" s="126" t="n">
        <f aca="false">J250/$R$3</f>
        <v>0</v>
      </c>
      <c r="T250" s="126" t="n">
        <f aca="false">L250/$R$3</f>
        <v>0</v>
      </c>
      <c r="U250" s="126" t="n">
        <f aca="false">I250/$R$3</f>
        <v>0</v>
      </c>
      <c r="V250" s="126" t="n">
        <f aca="false">M250/$R$3</f>
        <v>-700.613096222372</v>
      </c>
      <c r="W250" s="126" t="n">
        <f aca="false">N250/$R$3</f>
        <v>23741.5922037776</v>
      </c>
    </row>
    <row r="251" customFormat="false" ht="12.75" hidden="true" customHeight="false" outlineLevel="0" collapsed="false">
      <c r="A251" s="120" t="n">
        <f aca="false">A250+1</f>
        <v>37137</v>
      </c>
      <c r="B251" s="131" t="str">
        <f aca="false">INDEX('Master Data'!$A$2:$B$8,MATCH(WEEKDAY('BRA Power'!A251,3),'Master Data'!$A$2:$A$8,0),2)</f>
        <v>M</v>
      </c>
      <c r="D251" s="124" t="n">
        <v>0</v>
      </c>
      <c r="E251" s="124" t="n">
        <v>0</v>
      </c>
      <c r="F251" s="124" t="n">
        <v>0</v>
      </c>
      <c r="G251" s="124" t="n">
        <v>0</v>
      </c>
      <c r="I251" s="124" t="n">
        <f aca="false">IF(MONTH($A251)=MONTH($A250),IF(G251=0,I250,G251),G251)</f>
        <v>0</v>
      </c>
      <c r="J251" s="124" t="n">
        <f aca="false">IF(MONTH($A251)=MONTH($A250),SUM(I251-I250),I251)</f>
        <v>0</v>
      </c>
      <c r="K251" s="124" t="n">
        <f aca="false">IF(WEEKDAY(A251,3)&gt;4,0,(IF(A251&lt;K$2,0,IF(A251&lt;=K$3,1,0))))</f>
        <v>0</v>
      </c>
      <c r="L251" s="124" t="n">
        <f aca="false">J251*K251</f>
        <v>0</v>
      </c>
      <c r="M251" s="124" t="n">
        <f aca="false">SUM(J$188:J251)</f>
        <v>-700613.096222372</v>
      </c>
      <c r="N251" s="124" t="n">
        <f aca="false">SUM(J$6:J251)</f>
        <v>23741592.2037776</v>
      </c>
      <c r="P251" s="124" t="n">
        <f aca="false">D251/P$3</f>
        <v>0</v>
      </c>
      <c r="Q251" s="124" t="n">
        <f aca="false">E251/P$3</f>
        <v>0</v>
      </c>
      <c r="R251" s="124" t="n">
        <f aca="false">F251/R$3</f>
        <v>0</v>
      </c>
      <c r="S251" s="126" t="n">
        <f aca="false">J251/$R$3</f>
        <v>0</v>
      </c>
      <c r="T251" s="126" t="n">
        <f aca="false">L251/$R$3</f>
        <v>0</v>
      </c>
      <c r="U251" s="126" t="n">
        <f aca="false">I251/$R$3</f>
        <v>0</v>
      </c>
      <c r="V251" s="126" t="n">
        <f aca="false">M251/$R$3</f>
        <v>-700.613096222372</v>
      </c>
      <c r="W251" s="126" t="n">
        <f aca="false">N251/$R$3</f>
        <v>23741.5922037776</v>
      </c>
    </row>
    <row r="252" customFormat="false" ht="12.75" hidden="true" customHeight="false" outlineLevel="0" collapsed="false">
      <c r="A252" s="120" t="n">
        <f aca="false">A251+1</f>
        <v>37138</v>
      </c>
      <c r="B252" s="131" t="str">
        <f aca="false">INDEX('Master Data'!$A$2:$B$8,MATCH(WEEKDAY('BRA Power'!A252,3),'Master Data'!$A$2:$A$8,0),2)</f>
        <v>T</v>
      </c>
      <c r="D252" s="124" t="n">
        <v>-11285.2751584707</v>
      </c>
      <c r="E252" s="124" t="n">
        <v>131420.574957458</v>
      </c>
      <c r="F252" s="124" t="n">
        <v>0</v>
      </c>
      <c r="G252" s="124" t="n">
        <v>23720</v>
      </c>
      <c r="I252" s="124" t="n">
        <f aca="false">IF(MONTH($A252)=MONTH($A251),IF(G252=0,I251,G252),G252)</f>
        <v>23720</v>
      </c>
      <c r="J252" s="124" t="n">
        <f aca="false">IF(MONTH($A252)=MONTH($A251),SUM(I252-I251),I252)</f>
        <v>23720</v>
      </c>
      <c r="K252" s="124" t="n">
        <f aca="false">IF(WEEKDAY(A252,3)&gt;4,0,(IF(A252&lt;K$2,0,IF(A252&lt;=K$3,1,0))))</f>
        <v>0</v>
      </c>
      <c r="L252" s="124" t="n">
        <f aca="false">J252*K252</f>
        <v>0</v>
      </c>
      <c r="M252" s="124" t="n">
        <f aca="false">SUM(J$188:J252)</f>
        <v>-676893.096222372</v>
      </c>
      <c r="N252" s="124" t="n">
        <f aca="false">SUM(J$6:J252)</f>
        <v>23765312.2037776</v>
      </c>
      <c r="P252" s="124" t="n">
        <f aca="false">D252/P$3</f>
        <v>-0.0112852751584707</v>
      </c>
      <c r="Q252" s="124" t="n">
        <f aca="false">E252/P$3</f>
        <v>0.131420574957458</v>
      </c>
      <c r="R252" s="124" t="n">
        <f aca="false">F252/R$3</f>
        <v>0</v>
      </c>
      <c r="S252" s="126" t="n">
        <f aca="false">J252/$R$3</f>
        <v>23.72</v>
      </c>
      <c r="T252" s="126" t="n">
        <f aca="false">L252/$R$3</f>
        <v>0</v>
      </c>
      <c r="U252" s="126" t="n">
        <f aca="false">I252/$R$3</f>
        <v>23.72</v>
      </c>
      <c r="V252" s="126" t="n">
        <f aca="false">M252/$R$3</f>
        <v>-676.893096222372</v>
      </c>
      <c r="W252" s="126" t="n">
        <f aca="false">N252/$R$3</f>
        <v>23765.3122037776</v>
      </c>
    </row>
    <row r="253" customFormat="false" ht="12.75" hidden="true" customHeight="false" outlineLevel="0" collapsed="false">
      <c r="A253" s="120" t="n">
        <f aca="false">A252+1</f>
        <v>37139</v>
      </c>
      <c r="B253" s="131" t="str">
        <f aca="false">INDEX('Master Data'!$A$2:$B$8,MATCH(WEEKDAY('BRA Power'!A253,3),'Master Data'!$A$2:$A$8,0),2)</f>
        <v>W</v>
      </c>
      <c r="D253" s="124" t="n">
        <v>-11181.0872413638</v>
      </c>
      <c r="E253" s="124" t="n">
        <v>131396.685526</v>
      </c>
      <c r="F253" s="124" t="n">
        <v>0</v>
      </c>
      <c r="G253" s="124" t="n">
        <v>29698</v>
      </c>
      <c r="I253" s="124" t="n">
        <f aca="false">IF(MONTH($A253)=MONTH($A252),IF(G253=0,I252,G253),G253)</f>
        <v>29698</v>
      </c>
      <c r="J253" s="124" t="n">
        <f aca="false">IF(MONTH($A253)=MONTH($A252),SUM(I253-I252),I253)</f>
        <v>5978</v>
      </c>
      <c r="K253" s="124" t="n">
        <f aca="false">IF(WEEKDAY(A253,3)&gt;4,0,(IF(A253&lt;K$2,0,IF(A253&lt;=K$3,1,0))))</f>
        <v>0</v>
      </c>
      <c r="L253" s="124" t="n">
        <f aca="false">J253*K253</f>
        <v>0</v>
      </c>
      <c r="M253" s="124" t="n">
        <f aca="false">SUM(J$188:J253)</f>
        <v>-670915.096222372</v>
      </c>
      <c r="N253" s="124" t="n">
        <f aca="false">SUM(J$6:J253)</f>
        <v>23771290.2037776</v>
      </c>
      <c r="P253" s="124" t="n">
        <f aca="false">D253/P$3</f>
        <v>-0.0111810872413638</v>
      </c>
      <c r="Q253" s="124" t="n">
        <f aca="false">E253/P$3</f>
        <v>0.131396685526</v>
      </c>
      <c r="R253" s="124" t="n">
        <f aca="false">F253/R$3</f>
        <v>0</v>
      </c>
      <c r="S253" s="126" t="n">
        <f aca="false">J253/$R$3</f>
        <v>5.978</v>
      </c>
      <c r="T253" s="126" t="n">
        <f aca="false">L253/$R$3</f>
        <v>0</v>
      </c>
      <c r="U253" s="126" t="n">
        <f aca="false">I253/$R$3</f>
        <v>29.698</v>
      </c>
      <c r="V253" s="126" t="n">
        <f aca="false">M253/$R$3</f>
        <v>-670.915096222372</v>
      </c>
      <c r="W253" s="126" t="n">
        <f aca="false">N253/$R$3</f>
        <v>23771.2902037776</v>
      </c>
    </row>
    <row r="254" customFormat="false" ht="12.75" hidden="true" customHeight="false" outlineLevel="0" collapsed="false">
      <c r="A254" s="120" t="n">
        <f aca="false">A253+1</f>
        <v>37140</v>
      </c>
      <c r="B254" s="131" t="str">
        <f aca="false">INDEX('Master Data'!$A$2:$B$8,MATCH(WEEKDAY('BRA Power'!A254,3),'Master Data'!$A$2:$A$8,0),2)</f>
        <v>Th</v>
      </c>
      <c r="D254" s="124" t="n">
        <v>-11076.8319566905</v>
      </c>
      <c r="E254" s="124" t="n">
        <v>131372.782881774</v>
      </c>
      <c r="F254" s="124" t="n">
        <v>0</v>
      </c>
      <c r="G254" s="124" t="n">
        <v>35695</v>
      </c>
      <c r="I254" s="124" t="n">
        <f aca="false">IF(MONTH($A254)=MONTH($A253),IF(G254=0,I253,G254),G254)</f>
        <v>35695</v>
      </c>
      <c r="J254" s="124" t="n">
        <f aca="false">IF(MONTH($A254)=MONTH($A253),SUM(I254-I253),I254)</f>
        <v>5997</v>
      </c>
      <c r="K254" s="124" t="n">
        <f aca="false">IF(WEEKDAY(A254,3)&gt;4,0,(IF(A254&lt;K$2,0,IF(A254&lt;=K$3,1,0))))</f>
        <v>0</v>
      </c>
      <c r="L254" s="124" t="n">
        <f aca="false">J254*K254</f>
        <v>0</v>
      </c>
      <c r="M254" s="124" t="n">
        <f aca="false">SUM(J$188:J254)</f>
        <v>-664918.096222372</v>
      </c>
      <c r="N254" s="124" t="n">
        <f aca="false">SUM(J$6:J254)</f>
        <v>23777287.2037776</v>
      </c>
      <c r="P254" s="124" t="n">
        <f aca="false">D254/P$3</f>
        <v>-0.0110768319566905</v>
      </c>
      <c r="Q254" s="124" t="n">
        <f aca="false">E254/P$3</f>
        <v>0.131372782881774</v>
      </c>
      <c r="R254" s="124" t="n">
        <f aca="false">F254/R$3</f>
        <v>0</v>
      </c>
      <c r="S254" s="126" t="n">
        <f aca="false">J254/$R$3</f>
        <v>5.997</v>
      </c>
      <c r="T254" s="126" t="n">
        <f aca="false">L254/$R$3</f>
        <v>0</v>
      </c>
      <c r="U254" s="126" t="n">
        <f aca="false">I254/$R$3</f>
        <v>35.695</v>
      </c>
      <c r="V254" s="126" t="n">
        <f aca="false">M254/$R$3</f>
        <v>-664.918096222372</v>
      </c>
      <c r="W254" s="126" t="n">
        <f aca="false">N254/$R$3</f>
        <v>23777.2872037776</v>
      </c>
    </row>
    <row r="255" customFormat="false" ht="12.75" hidden="true" customHeight="false" outlineLevel="0" collapsed="false">
      <c r="A255" s="120" t="n">
        <f aca="false">A254+1</f>
        <v>37141</v>
      </c>
      <c r="B255" s="131" t="str">
        <f aca="false">INDEX('Master Data'!$A$2:$B$8,MATCH(WEEKDAY('BRA Power'!A255,3),'Master Data'!$A$2:$A$8,0),2)</f>
        <v>F</v>
      </c>
      <c r="D255" s="124" t="n">
        <v>-10972.5092603017</v>
      </c>
      <c r="E255" s="124" t="n">
        <v>131348.867017446</v>
      </c>
      <c r="F255" s="124" t="n">
        <v>0</v>
      </c>
      <c r="G255" s="124" t="n">
        <v>41711.29</v>
      </c>
      <c r="I255" s="124" t="n">
        <f aca="false">IF(MONTH($A255)=MONTH($A254),IF(G255=0,I254,G255),G255)</f>
        <v>41711.29</v>
      </c>
      <c r="J255" s="124" t="n">
        <f aca="false">IF(MONTH($A255)=MONTH($A254),SUM(I255-I254),I255)</f>
        <v>6016.29</v>
      </c>
      <c r="K255" s="124" t="n">
        <f aca="false">IF(WEEKDAY(A255,3)&gt;4,0,(IF(A255&lt;K$2,0,IF(A255&lt;=K$3,1,0))))</f>
        <v>0</v>
      </c>
      <c r="L255" s="124" t="n">
        <f aca="false">J255*K255</f>
        <v>0</v>
      </c>
      <c r="M255" s="124" t="n">
        <f aca="false">SUM(J$188:J255)</f>
        <v>-658901.806222372</v>
      </c>
      <c r="N255" s="124" t="n">
        <f aca="false">SUM(J$6:J255)</f>
        <v>23783303.4937776</v>
      </c>
      <c r="P255" s="124" t="n">
        <f aca="false">D255/P$3</f>
        <v>-0.0109725092603017</v>
      </c>
      <c r="Q255" s="124" t="n">
        <f aca="false">E255/P$3</f>
        <v>0.131348867017446</v>
      </c>
      <c r="R255" s="124" t="n">
        <f aca="false">F255/R$3</f>
        <v>0</v>
      </c>
      <c r="S255" s="126" t="n">
        <f aca="false">J255/$R$3</f>
        <v>6.01629</v>
      </c>
      <c r="T255" s="126" t="n">
        <f aca="false">L255/$R$3</f>
        <v>0</v>
      </c>
      <c r="U255" s="126" t="n">
        <f aca="false">I255/$R$3</f>
        <v>41.71129</v>
      </c>
      <c r="V255" s="126" t="n">
        <f aca="false">M255/$R$3</f>
        <v>-658.901806222372</v>
      </c>
      <c r="W255" s="126" t="n">
        <f aca="false">N255/$R$3</f>
        <v>23783.3034937776</v>
      </c>
    </row>
    <row r="256" customFormat="false" ht="12.75" hidden="true" customHeight="false" outlineLevel="0" collapsed="false">
      <c r="A256" s="120" t="n">
        <f aca="false">A255+1</f>
        <v>37142</v>
      </c>
      <c r="B256" s="131" t="str">
        <f aca="false">INDEX('Master Data'!$A$2:$B$8,MATCH(WEEKDAY('BRA Power'!A256,3),'Master Data'!$A$2:$A$8,0),2)</f>
        <v>Sa</v>
      </c>
      <c r="D256" s="124" t="n">
        <v>0</v>
      </c>
      <c r="E256" s="124" t="n">
        <v>0</v>
      </c>
      <c r="F256" s="124" t="n">
        <v>0</v>
      </c>
      <c r="G256" s="124" t="n">
        <v>0</v>
      </c>
      <c r="I256" s="124" t="n">
        <f aca="false">IF(MONTH($A256)=MONTH($A255),IF(G256=0,I255,G256),G256)</f>
        <v>41711.29</v>
      </c>
      <c r="J256" s="124" t="n">
        <f aca="false">IF(MONTH($A256)=MONTH($A255),SUM(I256-I255),I256)</f>
        <v>0</v>
      </c>
      <c r="K256" s="124" t="n">
        <f aca="false">IF(WEEKDAY(A256,3)&gt;4,0,(IF(A256&lt;K$2,0,IF(A256&lt;=K$3,1,0))))</f>
        <v>0</v>
      </c>
      <c r="L256" s="124" t="n">
        <f aca="false">J256*K256</f>
        <v>0</v>
      </c>
      <c r="M256" s="124" t="n">
        <f aca="false">SUM(J$188:J256)</f>
        <v>-658901.806222372</v>
      </c>
      <c r="N256" s="124" t="n">
        <f aca="false">SUM(J$6:J256)</f>
        <v>23783303.4937776</v>
      </c>
      <c r="P256" s="124" t="n">
        <f aca="false">D256/P$3</f>
        <v>0</v>
      </c>
      <c r="Q256" s="124" t="n">
        <f aca="false">E256/P$3</f>
        <v>0</v>
      </c>
      <c r="R256" s="124" t="n">
        <f aca="false">F256/R$3</f>
        <v>0</v>
      </c>
      <c r="S256" s="126" t="n">
        <f aca="false">J256/$R$3</f>
        <v>0</v>
      </c>
      <c r="T256" s="126" t="n">
        <f aca="false">L256/$R$3</f>
        <v>0</v>
      </c>
      <c r="U256" s="126" t="n">
        <f aca="false">I256/$R$3</f>
        <v>41.71129</v>
      </c>
      <c r="V256" s="126" t="n">
        <f aca="false">M256/$R$3</f>
        <v>-658.901806222372</v>
      </c>
      <c r="W256" s="126" t="n">
        <f aca="false">N256/$R$3</f>
        <v>23783.3034937776</v>
      </c>
    </row>
    <row r="257" customFormat="false" ht="12.75" hidden="true" customHeight="false" outlineLevel="0" collapsed="false">
      <c r="A257" s="120" t="n">
        <f aca="false">A256+1</f>
        <v>37143</v>
      </c>
      <c r="B257" s="131" t="str">
        <f aca="false">INDEX('Master Data'!$A$2:$B$8,MATCH(WEEKDAY('BRA Power'!A257,3),'Master Data'!$A$2:$A$8,0),2)</f>
        <v>Su</v>
      </c>
      <c r="D257" s="124" t="n">
        <v>0</v>
      </c>
      <c r="E257" s="124" t="n">
        <v>0</v>
      </c>
      <c r="F257" s="124" t="n">
        <v>0</v>
      </c>
      <c r="G257" s="124" t="n">
        <v>0</v>
      </c>
      <c r="I257" s="124" t="n">
        <f aca="false">IF(MONTH($A257)=MONTH($A256),IF(G257=0,I256,G257),G257)</f>
        <v>41711.29</v>
      </c>
      <c r="J257" s="124" t="n">
        <f aca="false">IF(MONTH($A257)=MONTH($A256),SUM(I257-I256),I257)</f>
        <v>0</v>
      </c>
      <c r="K257" s="124" t="n">
        <f aca="false">IF(WEEKDAY(A257,3)&gt;4,0,(IF(A257&lt;K$2,0,IF(A257&lt;=K$3,1,0))))</f>
        <v>0</v>
      </c>
      <c r="L257" s="124" t="n">
        <f aca="false">J257*K257</f>
        <v>0</v>
      </c>
      <c r="M257" s="124" t="n">
        <f aca="false">SUM(J$188:J257)</f>
        <v>-658901.806222372</v>
      </c>
      <c r="N257" s="124" t="n">
        <f aca="false">SUM(J$6:J257)</f>
        <v>23783303.4937776</v>
      </c>
      <c r="P257" s="124" t="n">
        <f aca="false">D257/P$3</f>
        <v>0</v>
      </c>
      <c r="Q257" s="124" t="n">
        <f aca="false">E257/P$3</f>
        <v>0</v>
      </c>
      <c r="R257" s="124" t="n">
        <f aca="false">F257/R$3</f>
        <v>0</v>
      </c>
      <c r="S257" s="126" t="n">
        <f aca="false">J257/$R$3</f>
        <v>0</v>
      </c>
      <c r="T257" s="126" t="n">
        <f aca="false">L257/$R$3</f>
        <v>0</v>
      </c>
      <c r="U257" s="126" t="n">
        <f aca="false">I257/$R$3</f>
        <v>41.71129</v>
      </c>
      <c r="V257" s="126" t="n">
        <f aca="false">M257/$R$3</f>
        <v>-658.901806222372</v>
      </c>
      <c r="W257" s="126" t="n">
        <f aca="false">N257/$R$3</f>
        <v>23783.3034937776</v>
      </c>
    </row>
    <row r="258" customFormat="false" ht="12.75" hidden="true" customHeight="false" outlineLevel="0" collapsed="false">
      <c r="A258" s="120" t="n">
        <f aca="false">A257+1</f>
        <v>37144</v>
      </c>
      <c r="B258" s="131" t="str">
        <f aca="false">INDEX('Master Data'!$A$2:$B$8,MATCH(WEEKDAY('BRA Power'!A258,3),'Master Data'!$A$2:$A$8,0),2)</f>
        <v>M</v>
      </c>
      <c r="D258" s="124" t="n">
        <v>-10659.1362589161</v>
      </c>
      <c r="E258" s="124" t="n">
        <v>131277.040030452</v>
      </c>
      <c r="F258" s="124" t="n">
        <v>0</v>
      </c>
      <c r="G258" s="124" t="n">
        <v>59876.63</v>
      </c>
      <c r="I258" s="124" t="n">
        <f aca="false">IF(MONTH($A258)=MONTH($A257),IF(G258=0,I257,G258),G258)</f>
        <v>59876.63</v>
      </c>
      <c r="J258" s="124" t="n">
        <f aca="false">IF(MONTH($A258)=MONTH($A257),SUM(I258-I257),I258)</f>
        <v>18165.34</v>
      </c>
      <c r="K258" s="124" t="n">
        <f aca="false">IF(WEEKDAY(A258,3)&gt;4,0,(IF(A258&lt;K$2,0,IF(A258&lt;=K$3,1,0))))</f>
        <v>0</v>
      </c>
      <c r="L258" s="124" t="n">
        <f aca="false">J258*K258</f>
        <v>0</v>
      </c>
      <c r="M258" s="124" t="n">
        <f aca="false">SUM(J$188:J258)</f>
        <v>-640736.466222372</v>
      </c>
      <c r="N258" s="124" t="n">
        <f aca="false">SUM(J$6:J258)</f>
        <v>23801468.8337776</v>
      </c>
      <c r="P258" s="124" t="n">
        <f aca="false">D258/P$3</f>
        <v>-0.0106591362589161</v>
      </c>
      <c r="Q258" s="124" t="n">
        <f aca="false">E258/P$3</f>
        <v>0.131277040030452</v>
      </c>
      <c r="R258" s="124" t="n">
        <f aca="false">F258/R$3</f>
        <v>0</v>
      </c>
      <c r="S258" s="126" t="n">
        <f aca="false">J258/$R$3</f>
        <v>18.16534</v>
      </c>
      <c r="T258" s="126" t="n">
        <f aca="false">L258/$R$3</f>
        <v>0</v>
      </c>
      <c r="U258" s="126" t="n">
        <f aca="false">I258/$R$3</f>
        <v>59.87663</v>
      </c>
      <c r="V258" s="126" t="n">
        <f aca="false">M258/$R$3</f>
        <v>-640.736466222372</v>
      </c>
      <c r="W258" s="126" t="n">
        <f aca="false">N258/$R$3</f>
        <v>23801.4688337776</v>
      </c>
    </row>
    <row r="259" customFormat="false" ht="12.75" hidden="true" customHeight="false" outlineLevel="0" collapsed="false">
      <c r="A259" s="120" t="n">
        <f aca="false">A258+1</f>
        <v>37145</v>
      </c>
      <c r="B259" s="131" t="str">
        <f aca="false">INDEX('Master Data'!$A$2:$B$8,MATCH(WEEKDAY('BRA Power'!A259,3),'Master Data'!$A$2:$A$8,0),2)</f>
        <v>T</v>
      </c>
      <c r="D259" s="124" t="n">
        <v>0</v>
      </c>
      <c r="E259" s="124" t="n">
        <v>0</v>
      </c>
      <c r="F259" s="124" t="n">
        <v>0</v>
      </c>
      <c r="G259" s="124" t="n">
        <v>0</v>
      </c>
      <c r="I259" s="124" t="n">
        <f aca="false">IF(MONTH($A259)=MONTH($A258),IF(G259=0,I258,G259),G259)</f>
        <v>59876.63</v>
      </c>
      <c r="J259" s="124" t="n">
        <f aca="false">IF(MONTH($A259)=MONTH($A258),SUM(I259-I258),I259)</f>
        <v>0</v>
      </c>
      <c r="K259" s="124" t="n">
        <f aca="false">IF(WEEKDAY(A259,3)&gt;4,0,(IF(A259&lt;K$2,0,IF(A259&lt;=K$3,1,0))))</f>
        <v>0</v>
      </c>
      <c r="L259" s="124" t="n">
        <f aca="false">J259*K259</f>
        <v>0</v>
      </c>
      <c r="M259" s="124" t="n">
        <f aca="false">SUM(J$188:J259)</f>
        <v>-640736.466222372</v>
      </c>
      <c r="N259" s="124" t="n">
        <f aca="false">SUM(J$6:J259)</f>
        <v>23801468.8337776</v>
      </c>
      <c r="P259" s="124" t="n">
        <f aca="false">D259/P$3</f>
        <v>0</v>
      </c>
      <c r="Q259" s="124" t="n">
        <f aca="false">E259/P$3</f>
        <v>0</v>
      </c>
      <c r="R259" s="124" t="n">
        <f aca="false">F259/R$3</f>
        <v>0</v>
      </c>
      <c r="S259" s="126" t="n">
        <f aca="false">J259/$R$3</f>
        <v>0</v>
      </c>
      <c r="T259" s="126" t="n">
        <f aca="false">L259/$R$3</f>
        <v>0</v>
      </c>
      <c r="U259" s="126" t="n">
        <f aca="false">I259/$R$3</f>
        <v>59.87663</v>
      </c>
      <c r="V259" s="126" t="n">
        <f aca="false">M259/$R$3</f>
        <v>-640.736466222372</v>
      </c>
      <c r="W259" s="126" t="n">
        <f aca="false">N259/$R$3</f>
        <v>23801.4688337776</v>
      </c>
    </row>
    <row r="260" customFormat="false" ht="12.75" hidden="true" customHeight="false" outlineLevel="0" collapsed="false">
      <c r="A260" s="120" t="n">
        <f aca="false">A259+1</f>
        <v>37146</v>
      </c>
      <c r="B260" s="131" t="str">
        <f aca="false">INDEX('Master Data'!$A$2:$B$8,MATCH(WEEKDAY('BRA Power'!A260,3),'Master Data'!$A$2:$A$8,0),2)</f>
        <v>W</v>
      </c>
      <c r="D260" s="124" t="n">
        <v>-10449.8830553686</v>
      </c>
      <c r="E260" s="124" t="n">
        <v>131229.089137311</v>
      </c>
      <c r="F260" s="124" t="n">
        <v>0</v>
      </c>
      <c r="G260" s="124" t="n">
        <v>72084.59</v>
      </c>
      <c r="I260" s="124" t="n">
        <f aca="false">IF(MONTH($A260)=MONTH($A259),IF(G260=0,I259,G260),G260)</f>
        <v>72084.59</v>
      </c>
      <c r="J260" s="124" t="n">
        <f aca="false">IF(MONTH($A260)=MONTH($A259),SUM(I260-I259),I260)</f>
        <v>12207.96</v>
      </c>
      <c r="K260" s="124" t="n">
        <f aca="false">IF(WEEKDAY(A260,3)&gt;4,0,(IF(A260&lt;K$2,0,IF(A260&lt;=K$3,1,0))))</f>
        <v>0</v>
      </c>
      <c r="L260" s="124" t="n">
        <f aca="false">J260*K260</f>
        <v>0</v>
      </c>
      <c r="M260" s="124" t="n">
        <f aca="false">SUM(J$188:J260)</f>
        <v>-628528.506222372</v>
      </c>
      <c r="N260" s="124" t="n">
        <f aca="false">SUM(J$6:J260)</f>
        <v>23813676.7937776</v>
      </c>
      <c r="P260" s="124" t="n">
        <f aca="false">D260/P$3</f>
        <v>-0.0104498830553686</v>
      </c>
      <c r="Q260" s="124" t="n">
        <f aca="false">E260/P$3</f>
        <v>0.131229089137311</v>
      </c>
      <c r="R260" s="124" t="n">
        <f aca="false">F260/R$3</f>
        <v>0</v>
      </c>
      <c r="S260" s="126" t="n">
        <f aca="false">J260/$R$3</f>
        <v>12.20796</v>
      </c>
      <c r="T260" s="126" t="n">
        <f aca="false">L260/$R$3</f>
        <v>0</v>
      </c>
      <c r="U260" s="126" t="n">
        <f aca="false">I260/$R$3</f>
        <v>72.08459</v>
      </c>
      <c r="V260" s="126" t="n">
        <f aca="false">M260/$R$3</f>
        <v>-628.528506222372</v>
      </c>
      <c r="W260" s="126" t="n">
        <f aca="false">N260/$R$3</f>
        <v>23813.6767937776</v>
      </c>
    </row>
    <row r="261" customFormat="false" ht="12.75" hidden="true" customHeight="false" outlineLevel="0" collapsed="false">
      <c r="A261" s="120" t="n">
        <f aca="false">A260+1</f>
        <v>37147</v>
      </c>
      <c r="B261" s="131" t="str">
        <f aca="false">INDEX('Master Data'!$A$2:$B$8,MATCH(WEEKDAY('BRA Power'!A261,3),'Master Data'!$A$2:$A$8,0),2)</f>
        <v>Th</v>
      </c>
      <c r="D261" s="124" t="n">
        <v>-11404.1029352792</v>
      </c>
      <c r="E261" s="124" t="n">
        <v>132264.041773492</v>
      </c>
      <c r="F261" s="124" t="n">
        <v>0</v>
      </c>
      <c r="G261" s="124" t="n">
        <v>78218.09</v>
      </c>
      <c r="I261" s="124" t="n">
        <f aca="false">IF(MONTH($A261)=MONTH($A260),IF(G261=0,I260,G261),G261)</f>
        <v>78218.09</v>
      </c>
      <c r="J261" s="124" t="n">
        <f aca="false">IF(MONTH($A261)=MONTH($A260),SUM(I261-I260),I261)</f>
        <v>6133.5</v>
      </c>
      <c r="K261" s="124" t="n">
        <f aca="false">IF(WEEKDAY(A261,3)&gt;4,0,(IF(A261&lt;K$2,0,IF(A261&lt;=K$3,1,0))))</f>
        <v>0</v>
      </c>
      <c r="L261" s="124" t="n">
        <f aca="false">J261*K261</f>
        <v>0</v>
      </c>
      <c r="M261" s="124" t="n">
        <f aca="false">SUM(J$188:J261)</f>
        <v>-622395.006222372</v>
      </c>
      <c r="N261" s="124" t="n">
        <f aca="false">SUM(J$6:J261)</f>
        <v>23819810.2937776</v>
      </c>
      <c r="P261" s="124" t="n">
        <f aca="false">D261/P$3</f>
        <v>-0.0114041029352792</v>
      </c>
      <c r="Q261" s="124" t="n">
        <f aca="false">E261/P$3</f>
        <v>0.132264041773492</v>
      </c>
      <c r="R261" s="124" t="n">
        <f aca="false">F261/R$3</f>
        <v>0</v>
      </c>
      <c r="S261" s="126" t="n">
        <f aca="false">J261/$R$3</f>
        <v>6.1335</v>
      </c>
      <c r="T261" s="126" t="n">
        <f aca="false">L261/$R$3</f>
        <v>0</v>
      </c>
      <c r="U261" s="126" t="n">
        <f aca="false">I261/$R$3</f>
        <v>78.21809</v>
      </c>
      <c r="V261" s="126" t="n">
        <f aca="false">M261/$R$3</f>
        <v>-622.395006222372</v>
      </c>
      <c r="W261" s="126" t="n">
        <f aca="false">N261/$R$3</f>
        <v>23819.8102937776</v>
      </c>
    </row>
    <row r="262" customFormat="false" ht="12.75" hidden="true" customHeight="false" outlineLevel="0" collapsed="false">
      <c r="A262" s="120" t="n">
        <f aca="false">A261+1</f>
        <v>37148</v>
      </c>
      <c r="B262" s="131" t="str">
        <f aca="false">INDEX('Master Data'!$A$2:$B$8,MATCH(WEEKDAY('BRA Power'!A262,3),'Master Data'!$A$2:$A$8,0),2)</f>
        <v>F</v>
      </c>
      <c r="D262" s="124" t="n">
        <v>-11420.5881047423</v>
      </c>
      <c r="E262" s="124" t="n">
        <v>132361.314149251</v>
      </c>
      <c r="F262" s="124" t="n">
        <v>0</v>
      </c>
      <c r="G262" s="124" t="n">
        <v>84371.33</v>
      </c>
      <c r="I262" s="124" t="n">
        <f aca="false">IF(MONTH($A262)=MONTH($A261),IF(G262=0,I261,G262),G262)</f>
        <v>84371.33</v>
      </c>
      <c r="J262" s="124" t="n">
        <f aca="false">IF(MONTH($A262)=MONTH($A261),SUM(I262-I261),I262)</f>
        <v>6153.24000000001</v>
      </c>
      <c r="K262" s="124" t="n">
        <f aca="false">IF(WEEKDAY(A262,3)&gt;4,0,(IF(A262&lt;K$2,0,IF(A262&lt;=K$3,1,0))))</f>
        <v>0</v>
      </c>
      <c r="L262" s="124" t="n">
        <f aca="false">J262*K262</f>
        <v>0</v>
      </c>
      <c r="M262" s="124" t="n">
        <f aca="false">SUM(J$188:J262)</f>
        <v>-616241.766222372</v>
      </c>
      <c r="N262" s="124" t="n">
        <f aca="false">SUM(J$6:J262)</f>
        <v>23825963.5337776</v>
      </c>
      <c r="P262" s="124" t="n">
        <f aca="false">D262/P$3</f>
        <v>-0.0114205881047423</v>
      </c>
      <c r="Q262" s="124" t="n">
        <f aca="false">E262/P$3</f>
        <v>0.132361314149251</v>
      </c>
      <c r="R262" s="124" t="n">
        <f aca="false">F262/R$3</f>
        <v>0</v>
      </c>
      <c r="S262" s="126" t="n">
        <f aca="false">J262/$R$3</f>
        <v>6.15324000000001</v>
      </c>
      <c r="T262" s="126" t="n">
        <f aca="false">L262/$R$3</f>
        <v>0</v>
      </c>
      <c r="U262" s="126" t="n">
        <f aca="false">I262/$R$3</f>
        <v>84.37133</v>
      </c>
      <c r="V262" s="126" t="n">
        <f aca="false">M262/$R$3</f>
        <v>-616.241766222373</v>
      </c>
      <c r="W262" s="126" t="n">
        <f aca="false">N262/$R$3</f>
        <v>23825.9635337776</v>
      </c>
    </row>
    <row r="263" customFormat="false" ht="12.75" hidden="true" customHeight="false" outlineLevel="0" collapsed="false">
      <c r="A263" s="120" t="n">
        <f aca="false">A262+1</f>
        <v>37149</v>
      </c>
      <c r="B263" s="131" t="str">
        <f aca="false">INDEX('Master Data'!$A$2:$B$8,MATCH(WEEKDAY('BRA Power'!A263,3),'Master Data'!$A$2:$A$8,0),2)</f>
        <v>Sa</v>
      </c>
      <c r="D263" s="124" t="n">
        <v>0</v>
      </c>
      <c r="E263" s="124" t="n">
        <v>0</v>
      </c>
      <c r="F263" s="124" t="n">
        <v>0</v>
      </c>
      <c r="G263" s="124" t="n">
        <v>0</v>
      </c>
      <c r="I263" s="124" t="n">
        <f aca="false">IF(MONTH($A263)=MONTH($A262),IF(G263=0,I262,G263),G263)</f>
        <v>84371.33</v>
      </c>
      <c r="J263" s="124" t="n">
        <f aca="false">IF(MONTH($A263)=MONTH($A262),SUM(I263-I262),I263)</f>
        <v>0</v>
      </c>
      <c r="K263" s="124" t="n">
        <f aca="false">IF(WEEKDAY(A263,3)&gt;4,0,(IF(A263&lt;K$2,0,IF(A263&lt;=K$3,1,0))))</f>
        <v>0</v>
      </c>
      <c r="L263" s="124" t="n">
        <f aca="false">J263*K263</f>
        <v>0</v>
      </c>
      <c r="M263" s="124" t="n">
        <f aca="false">SUM(J$188:J263)</f>
        <v>-616241.766222372</v>
      </c>
      <c r="N263" s="124" t="n">
        <f aca="false">SUM(J$6:J263)</f>
        <v>23825963.5337776</v>
      </c>
      <c r="P263" s="124" t="n">
        <f aca="false">D263/P$3</f>
        <v>0</v>
      </c>
      <c r="Q263" s="124" t="n">
        <f aca="false">E263/P$3</f>
        <v>0</v>
      </c>
      <c r="R263" s="124" t="n">
        <f aca="false">F263/R$3</f>
        <v>0</v>
      </c>
      <c r="S263" s="126" t="n">
        <f aca="false">J263/$R$3</f>
        <v>0</v>
      </c>
      <c r="T263" s="126" t="n">
        <f aca="false">L263/$R$3</f>
        <v>0</v>
      </c>
      <c r="U263" s="126" t="n">
        <f aca="false">I263/$R$3</f>
        <v>84.37133</v>
      </c>
      <c r="V263" s="126" t="n">
        <f aca="false">M263/$R$3</f>
        <v>-616.241766222373</v>
      </c>
      <c r="W263" s="126" t="n">
        <f aca="false">N263/$R$3</f>
        <v>23825.9635337776</v>
      </c>
    </row>
    <row r="264" customFormat="false" ht="12.75" hidden="true" customHeight="false" outlineLevel="0" collapsed="false">
      <c r="A264" s="120" t="n">
        <f aca="false">A263+1</f>
        <v>37150</v>
      </c>
      <c r="B264" s="131" t="str">
        <f aca="false">INDEX('Master Data'!$A$2:$B$8,MATCH(WEEKDAY('BRA Power'!A264,3),'Master Data'!$A$2:$A$8,0),2)</f>
        <v>Su</v>
      </c>
      <c r="D264" s="124" t="n">
        <v>0</v>
      </c>
      <c r="E264" s="124" t="n">
        <v>0</v>
      </c>
      <c r="F264" s="124" t="n">
        <v>0</v>
      </c>
      <c r="G264" s="124" t="n">
        <v>0</v>
      </c>
      <c r="I264" s="124" t="n">
        <f aca="false">IF(MONTH($A264)=MONTH($A263),IF(G264=0,I263,G264),G264)</f>
        <v>84371.33</v>
      </c>
      <c r="J264" s="124" t="n">
        <f aca="false">IF(MONTH($A264)=MONTH($A263),SUM(I264-I263),I264)</f>
        <v>0</v>
      </c>
      <c r="K264" s="124" t="n">
        <f aca="false">IF(WEEKDAY(A264,3)&gt;4,0,(IF(A264&lt;K$2,0,IF(A264&lt;=K$3,1,0))))</f>
        <v>0</v>
      </c>
      <c r="L264" s="124" t="n">
        <f aca="false">J264*K264</f>
        <v>0</v>
      </c>
      <c r="M264" s="124" t="n">
        <f aca="false">SUM(J$188:J264)</f>
        <v>-616241.766222372</v>
      </c>
      <c r="N264" s="124" t="n">
        <f aca="false">SUM(J$6:J264)</f>
        <v>23825963.5337776</v>
      </c>
      <c r="P264" s="124" t="n">
        <f aca="false">D264/P$3</f>
        <v>0</v>
      </c>
      <c r="Q264" s="124" t="n">
        <f aca="false">E264/P$3</f>
        <v>0</v>
      </c>
      <c r="R264" s="124" t="n">
        <f aca="false">F264/R$3</f>
        <v>0</v>
      </c>
      <c r="S264" s="126" t="n">
        <f aca="false">J264/$R$3</f>
        <v>0</v>
      </c>
      <c r="T264" s="126" t="n">
        <f aca="false">L264/$R$3</f>
        <v>0</v>
      </c>
      <c r="U264" s="126" t="n">
        <f aca="false">I264/$R$3</f>
        <v>84.37133</v>
      </c>
      <c r="V264" s="126" t="n">
        <f aca="false">M264/$R$3</f>
        <v>-616.241766222373</v>
      </c>
      <c r="W264" s="126" t="n">
        <f aca="false">N264/$R$3</f>
        <v>23825.9635337776</v>
      </c>
    </row>
    <row r="265" customFormat="false" ht="12.75" hidden="true" customHeight="false" outlineLevel="0" collapsed="false">
      <c r="A265" s="120" t="n">
        <f aca="false">A264+1</f>
        <v>37151</v>
      </c>
      <c r="B265" s="131" t="str">
        <f aca="false">INDEX('Master Data'!$A$2:$B$8,MATCH(WEEKDAY('BRA Power'!A265,3),'Master Data'!$A$2:$A$8,0),2)</f>
        <v>M</v>
      </c>
      <c r="D265" s="124" t="n">
        <v>-11474.404289738</v>
      </c>
      <c r="E265" s="124" t="n">
        <v>132657.819023588</v>
      </c>
      <c r="F265" s="124" t="n">
        <v>0</v>
      </c>
      <c r="G265" s="124" t="n">
        <v>227643.18</v>
      </c>
      <c r="I265" s="124" t="n">
        <f aca="false">IF(MONTH($A265)=MONTH($A264),IF(G265=0,I264,G265),G265)</f>
        <v>227643.18</v>
      </c>
      <c r="J265" s="124" t="n">
        <f aca="false">IF(MONTH($A265)=MONTH($A264),SUM(I265-I264),I265)</f>
        <v>143271.85</v>
      </c>
      <c r="K265" s="124" t="n">
        <f aca="false">IF(WEEKDAY(A265,3)&gt;4,0,(IF(A265&lt;K$2,0,IF(A265&lt;=K$3,1,0))))</f>
        <v>0</v>
      </c>
      <c r="L265" s="124" t="n">
        <f aca="false">J265*K265</f>
        <v>0</v>
      </c>
      <c r="M265" s="124" t="n">
        <f aca="false">SUM(J$188:J265)</f>
        <v>-472969.916222372</v>
      </c>
      <c r="N265" s="124" t="n">
        <f aca="false">SUM(J$6:J265)</f>
        <v>23969235.3837776</v>
      </c>
      <c r="P265" s="124" t="n">
        <f aca="false">D265/P$3</f>
        <v>-0.011474404289738</v>
      </c>
      <c r="Q265" s="124" t="n">
        <f aca="false">E265/P$3</f>
        <v>0.132657819023588</v>
      </c>
      <c r="R265" s="124" t="n">
        <f aca="false">F265/R$3</f>
        <v>0</v>
      </c>
      <c r="S265" s="126" t="n">
        <f aca="false">J265/$R$3</f>
        <v>143.27185</v>
      </c>
      <c r="T265" s="126" t="n">
        <f aca="false">L265/$R$3</f>
        <v>0</v>
      </c>
      <c r="U265" s="126" t="n">
        <f aca="false">I265/$R$3</f>
        <v>227.64318</v>
      </c>
      <c r="V265" s="126" t="n">
        <f aca="false">M265/$R$3</f>
        <v>-472.969916222372</v>
      </c>
      <c r="W265" s="126" t="n">
        <f aca="false">N265/$R$3</f>
        <v>23969.2353837776</v>
      </c>
    </row>
    <row r="266" customFormat="false" ht="12.75" hidden="true" customHeight="false" outlineLevel="0" collapsed="false">
      <c r="A266" s="120" t="n">
        <f aca="false">A265+1</f>
        <v>37152</v>
      </c>
      <c r="B266" s="131" t="str">
        <f aca="false">INDEX('Master Data'!$A$2:$B$8,MATCH(WEEKDAY('BRA Power'!A266,3),'Master Data'!$A$2:$A$8,0),2)</f>
        <v>T</v>
      </c>
      <c r="D266" s="124" t="n">
        <v>-11493.8567732329</v>
      </c>
      <c r="E266" s="124" t="n">
        <v>132758.276883908</v>
      </c>
      <c r="F266" s="124" t="n">
        <v>0</v>
      </c>
      <c r="G266" s="124" t="n">
        <v>230998.28</v>
      </c>
      <c r="I266" s="124" t="n">
        <f aca="false">IF(MONTH($A266)=MONTH($A265),IF(G266=0,I265,G266),G266)</f>
        <v>230998.28</v>
      </c>
      <c r="J266" s="124" t="n">
        <f aca="false">IF(MONTH($A266)=MONTH($A265),SUM(I266-I265),I266)</f>
        <v>3355.10000000001</v>
      </c>
      <c r="K266" s="124" t="n">
        <f aca="false">IF(WEEKDAY(A266,3)&gt;4,0,(IF(A266&lt;K$2,0,IF(A266&lt;=K$3,1,0))))</f>
        <v>0</v>
      </c>
      <c r="L266" s="124" t="n">
        <f aca="false">J266*K266</f>
        <v>0</v>
      </c>
      <c r="M266" s="124" t="n">
        <f aca="false">SUM(J$188:J266)</f>
        <v>-469614.816222372</v>
      </c>
      <c r="N266" s="124" t="n">
        <f aca="false">SUM(J$6:J266)</f>
        <v>23972590.4837776</v>
      </c>
      <c r="P266" s="124" t="n">
        <f aca="false">D266/P$3</f>
        <v>-0.0114938567732329</v>
      </c>
      <c r="Q266" s="124" t="n">
        <f aca="false">E266/P$3</f>
        <v>0.132758276883908</v>
      </c>
      <c r="R266" s="124" t="n">
        <f aca="false">F266/R$3</f>
        <v>0</v>
      </c>
      <c r="S266" s="126" t="n">
        <f aca="false">J266/$R$3</f>
        <v>3.35510000000001</v>
      </c>
      <c r="T266" s="126" t="n">
        <f aca="false">L266/$R$3</f>
        <v>0</v>
      </c>
      <c r="U266" s="126" t="n">
        <f aca="false">I266/$R$3</f>
        <v>230.99828</v>
      </c>
      <c r="V266" s="126" t="n">
        <f aca="false">M266/$R$3</f>
        <v>-469.614816222372</v>
      </c>
      <c r="W266" s="126" t="n">
        <f aca="false">N266/$R$3</f>
        <v>23972.5904837776</v>
      </c>
    </row>
    <row r="267" customFormat="false" ht="12.75" hidden="true" customHeight="false" outlineLevel="0" collapsed="false">
      <c r="A267" s="120" t="n">
        <f aca="false">A266+1</f>
        <v>37153</v>
      </c>
      <c r="B267" s="131" t="str">
        <f aca="false">INDEX('Master Data'!$A$2:$B$8,MATCH(WEEKDAY('BRA Power'!A267,3),'Master Data'!$A$2:$A$8,0),2)</f>
        <v>W</v>
      </c>
      <c r="D267" s="124" t="n">
        <v>-11514.0976957236</v>
      </c>
      <c r="E267" s="124" t="n">
        <v>132859.577818588</v>
      </c>
      <c r="F267" s="124" t="n">
        <v>0</v>
      </c>
      <c r="G267" s="124" t="n">
        <v>237249.76</v>
      </c>
      <c r="I267" s="124" t="n">
        <f aca="false">IF(MONTH($A267)=MONTH($A266),IF(G267=0,I266,G267),G267)</f>
        <v>237249.76</v>
      </c>
      <c r="J267" s="124" t="n">
        <f aca="false">IF(MONTH($A267)=MONTH($A266),SUM(I267-I266),I267)</f>
        <v>6251.48000000001</v>
      </c>
      <c r="K267" s="124" t="n">
        <f aca="false">IF(WEEKDAY(A267,3)&gt;4,0,(IF(A267&lt;K$2,0,IF(A267&lt;=K$3,1,0))))</f>
        <v>0</v>
      </c>
      <c r="L267" s="124" t="n">
        <f aca="false">J267*K267</f>
        <v>0</v>
      </c>
      <c r="M267" s="124" t="n">
        <f aca="false">SUM(J$188:J267)</f>
        <v>-463363.336222372</v>
      </c>
      <c r="N267" s="124" t="n">
        <f aca="false">SUM(J$6:J267)</f>
        <v>23978841.9637776</v>
      </c>
      <c r="P267" s="124" t="n">
        <f aca="false">D267/P$3</f>
        <v>-0.0115140976957236</v>
      </c>
      <c r="Q267" s="124" t="n">
        <f aca="false">E267/P$3</f>
        <v>0.132859577818588</v>
      </c>
      <c r="R267" s="124" t="n">
        <f aca="false">F267/R$3</f>
        <v>0</v>
      </c>
      <c r="S267" s="126" t="n">
        <f aca="false">J267/$R$3</f>
        <v>6.25148000000001</v>
      </c>
      <c r="T267" s="126" t="n">
        <f aca="false">L267/$R$3</f>
        <v>0</v>
      </c>
      <c r="U267" s="126" t="n">
        <f aca="false">I267/$R$3</f>
        <v>237.24976</v>
      </c>
      <c r="V267" s="126" t="n">
        <f aca="false">M267/$R$3</f>
        <v>-463.363336222372</v>
      </c>
      <c r="W267" s="126" t="n">
        <f aca="false">N267/$R$3</f>
        <v>23978.8419637776</v>
      </c>
    </row>
    <row r="268" customFormat="false" ht="12.75" hidden="true" customHeight="false" outlineLevel="0" collapsed="false">
      <c r="A268" s="120" t="n">
        <f aca="false">A267+1</f>
        <v>37154</v>
      </c>
      <c r="B268" s="131" t="str">
        <f aca="false">INDEX('Master Data'!$A$2:$B$8,MATCH(WEEKDAY('BRA Power'!A268,3),'Master Data'!$A$2:$A$8,0),2)</f>
        <v>Th</v>
      </c>
      <c r="D268" s="124" t="n">
        <v>-11535.146923571</v>
      </c>
      <c r="E268" s="124" t="n">
        <v>132961.741731135</v>
      </c>
      <c r="F268" s="124" t="n">
        <v>0</v>
      </c>
      <c r="G268" s="124" t="n">
        <v>243521.31</v>
      </c>
      <c r="I268" s="124" t="n">
        <f aca="false">IF(MONTH($A268)=MONTH($A267),IF(G268=0,I267,G268),G268)</f>
        <v>243521.31</v>
      </c>
      <c r="J268" s="124" t="n">
        <f aca="false">IF(MONTH($A268)=MONTH($A267),SUM(I268-I267),I268)</f>
        <v>6271.54999999999</v>
      </c>
      <c r="K268" s="124" t="n">
        <f aca="false">IF(WEEKDAY(A268,3)&gt;4,0,(IF(A268&lt;K$2,0,IF(A268&lt;=K$3,1,0))))</f>
        <v>0</v>
      </c>
      <c r="L268" s="124" t="n">
        <f aca="false">J268*K268</f>
        <v>0</v>
      </c>
      <c r="M268" s="124" t="n">
        <f aca="false">SUM(J$188:J268)</f>
        <v>-457091.786222372</v>
      </c>
      <c r="N268" s="124" t="n">
        <f aca="false">SUM(J$6:J268)</f>
        <v>23985113.5137776</v>
      </c>
      <c r="P268" s="124" t="n">
        <f aca="false">D268/P$3</f>
        <v>-0.011535146923571</v>
      </c>
      <c r="Q268" s="124" t="n">
        <f aca="false">E268/P$3</f>
        <v>0.132961741731135</v>
      </c>
      <c r="R268" s="124" t="n">
        <f aca="false">F268/R$3</f>
        <v>0</v>
      </c>
      <c r="S268" s="126" t="n">
        <f aca="false">J268/$R$3</f>
        <v>6.27154999999999</v>
      </c>
      <c r="T268" s="126" t="n">
        <f aca="false">L268/$R$3</f>
        <v>0</v>
      </c>
      <c r="U268" s="126" t="n">
        <f aca="false">I268/$R$3</f>
        <v>243.52131</v>
      </c>
      <c r="V268" s="126" t="n">
        <f aca="false">M268/$R$3</f>
        <v>-457.091786222372</v>
      </c>
      <c r="W268" s="126" t="n">
        <f aca="false">N268/$R$3</f>
        <v>23985.1135137776</v>
      </c>
    </row>
    <row r="269" customFormat="false" ht="12.75" hidden="true" customHeight="false" outlineLevel="0" collapsed="false">
      <c r="A269" s="120" t="n">
        <f aca="false">A268+1</f>
        <v>37155</v>
      </c>
      <c r="B269" s="131" t="str">
        <f aca="false">INDEX('Master Data'!$A$2:$B$8,MATCH(WEEKDAY('BRA Power'!A269,3),'Master Data'!$A$2:$A$8,0),2)</f>
        <v>F</v>
      </c>
      <c r="D269" s="124" t="n">
        <v>-11557.024979489</v>
      </c>
      <c r="E269" s="124" t="n">
        <v>133064.789181431</v>
      </c>
      <c r="F269" s="124" t="n">
        <v>0</v>
      </c>
      <c r="G269" s="124" t="n">
        <v>249812.96</v>
      </c>
      <c r="I269" s="124" t="n">
        <f aca="false">IF(MONTH($A269)=MONTH($A268),IF(G269=0,I268,G269),G269)</f>
        <v>249812.96</v>
      </c>
      <c r="J269" s="124" t="n">
        <f aca="false">IF(MONTH($A269)=MONTH($A268),SUM(I269-I268),I269)</f>
        <v>6291.64999999999</v>
      </c>
      <c r="K269" s="124" t="n">
        <f aca="false">IF(WEEKDAY(A269,3)&gt;4,0,(IF(A269&lt;K$2,0,IF(A269&lt;=K$3,1,0))))</f>
        <v>0</v>
      </c>
      <c r="L269" s="124" t="n">
        <f aca="false">J269*K269</f>
        <v>0</v>
      </c>
      <c r="M269" s="124" t="n">
        <f aca="false">SUM(J$188:J269)</f>
        <v>-450800.136222372</v>
      </c>
      <c r="N269" s="124" t="n">
        <f aca="false">SUM(J$6:J269)</f>
        <v>23991405.1637776</v>
      </c>
      <c r="P269" s="124" t="n">
        <f aca="false">D269/P$3</f>
        <v>-0.011557024979489</v>
      </c>
      <c r="Q269" s="124" t="n">
        <f aca="false">E269/P$3</f>
        <v>0.133064789181431</v>
      </c>
      <c r="R269" s="124" t="n">
        <f aca="false">F269/R$3</f>
        <v>0</v>
      </c>
      <c r="S269" s="126" t="n">
        <f aca="false">J269/$R$3</f>
        <v>6.29164999999999</v>
      </c>
      <c r="T269" s="126" t="n">
        <f aca="false">L269/$R$3</f>
        <v>0</v>
      </c>
      <c r="U269" s="126" t="n">
        <f aca="false">I269/$R$3</f>
        <v>249.81296</v>
      </c>
      <c r="V269" s="126" t="n">
        <f aca="false">M269/$R$3</f>
        <v>-450.800136222372</v>
      </c>
      <c r="W269" s="126" t="n">
        <f aca="false">N269/$R$3</f>
        <v>23991.4051637776</v>
      </c>
    </row>
    <row r="270" customFormat="false" ht="12.75" hidden="true" customHeight="false" outlineLevel="0" collapsed="false">
      <c r="A270" s="120" t="n">
        <f aca="false">A269+1</f>
        <v>37156</v>
      </c>
      <c r="B270" s="131" t="str">
        <f aca="false">INDEX('Master Data'!$A$2:$B$8,MATCH(WEEKDAY('BRA Power'!A270,3),'Master Data'!$A$2:$A$8,0),2)</f>
        <v>Sa</v>
      </c>
      <c r="D270" s="124" t="n">
        <v>0</v>
      </c>
      <c r="E270" s="124" t="n">
        <v>0</v>
      </c>
      <c r="F270" s="124" t="n">
        <v>0</v>
      </c>
      <c r="G270" s="124" t="n">
        <v>0</v>
      </c>
      <c r="I270" s="124" t="n">
        <f aca="false">IF(MONTH($A270)=MONTH($A269),IF(G270=0,I269,G270),G270)</f>
        <v>249812.96</v>
      </c>
      <c r="J270" s="124" t="n">
        <f aca="false">IF(MONTH($A270)=MONTH($A269),SUM(I270-I269),I270)</f>
        <v>0</v>
      </c>
      <c r="K270" s="124" t="n">
        <f aca="false">IF(WEEKDAY(A270,3)&gt;4,0,(IF(A270&lt;K$2,0,IF(A270&lt;=K$3,1,0))))</f>
        <v>0</v>
      </c>
      <c r="L270" s="124" t="n">
        <f aca="false">J270*K270</f>
        <v>0</v>
      </c>
      <c r="M270" s="124" t="n">
        <f aca="false">SUM(J$188:J270)</f>
        <v>-450800.136222372</v>
      </c>
      <c r="N270" s="124" t="n">
        <f aca="false">SUM(J$6:J270)</f>
        <v>23991405.1637776</v>
      </c>
      <c r="P270" s="124" t="n">
        <f aca="false">D270/P$3</f>
        <v>0</v>
      </c>
      <c r="Q270" s="124" t="n">
        <f aca="false">E270/P$3</f>
        <v>0</v>
      </c>
      <c r="R270" s="124" t="n">
        <f aca="false">F270/R$3</f>
        <v>0</v>
      </c>
      <c r="S270" s="126" t="n">
        <f aca="false">J270/$R$3</f>
        <v>0</v>
      </c>
      <c r="T270" s="126" t="n">
        <f aca="false">L270/$R$3</f>
        <v>0</v>
      </c>
      <c r="U270" s="126" t="n">
        <f aca="false">I270/$R$3</f>
        <v>249.81296</v>
      </c>
      <c r="V270" s="126" t="n">
        <f aca="false">M270/$R$3</f>
        <v>-450.800136222372</v>
      </c>
      <c r="W270" s="126" t="n">
        <f aca="false">N270/$R$3</f>
        <v>23991.4051637776</v>
      </c>
    </row>
    <row r="271" customFormat="false" ht="12.75" hidden="true" customHeight="false" outlineLevel="0" collapsed="false">
      <c r="A271" s="120" t="n">
        <f aca="false">A270+1</f>
        <v>37157</v>
      </c>
      <c r="B271" s="131" t="str">
        <f aca="false">INDEX('Master Data'!$A$2:$B$8,MATCH(WEEKDAY('BRA Power'!A271,3),'Master Data'!$A$2:$A$8,0),2)</f>
        <v>Su</v>
      </c>
      <c r="D271" s="124" t="n">
        <v>0</v>
      </c>
      <c r="E271" s="124" t="n">
        <v>0</v>
      </c>
      <c r="F271" s="124" t="n">
        <v>0</v>
      </c>
      <c r="G271" s="124" t="n">
        <v>0</v>
      </c>
      <c r="I271" s="124" t="n">
        <f aca="false">IF(MONTH($A271)=MONTH($A270),IF(G271=0,I270,G271),G271)</f>
        <v>249812.96</v>
      </c>
      <c r="J271" s="124" t="n">
        <f aca="false">IF(MONTH($A271)=MONTH($A270),SUM(I271-I270),I271)</f>
        <v>0</v>
      </c>
      <c r="K271" s="124" t="n">
        <f aca="false">IF(WEEKDAY(A271,3)&gt;4,0,(IF(A271&lt;K$2,0,IF(A271&lt;=K$3,1,0))))</f>
        <v>0</v>
      </c>
      <c r="L271" s="124" t="n">
        <f aca="false">J271*K271</f>
        <v>0</v>
      </c>
      <c r="M271" s="124" t="n">
        <f aca="false">SUM(J$188:J271)</f>
        <v>-450800.136222372</v>
      </c>
      <c r="N271" s="124" t="n">
        <f aca="false">SUM(J$6:J271)</f>
        <v>23991405.1637776</v>
      </c>
      <c r="P271" s="124" t="n">
        <f aca="false">D271/P$3</f>
        <v>0</v>
      </c>
      <c r="Q271" s="124" t="n">
        <f aca="false">E271/P$3</f>
        <v>0</v>
      </c>
      <c r="R271" s="124" t="n">
        <f aca="false">F271/R$3</f>
        <v>0</v>
      </c>
      <c r="S271" s="126" t="n">
        <f aca="false">J271/$R$3</f>
        <v>0</v>
      </c>
      <c r="T271" s="126" t="n">
        <f aca="false">L271/$R$3</f>
        <v>0</v>
      </c>
      <c r="U271" s="126" t="n">
        <f aca="false">I271/$R$3</f>
        <v>249.81296</v>
      </c>
      <c r="V271" s="126" t="n">
        <f aca="false">M271/$R$3</f>
        <v>-450.800136222372</v>
      </c>
      <c r="W271" s="126" t="n">
        <f aca="false">N271/$R$3</f>
        <v>23991.4051637776</v>
      </c>
    </row>
    <row r="272" customFormat="false" ht="12.75" hidden="true" customHeight="false" outlineLevel="0" collapsed="false">
      <c r="A272" s="120" t="n">
        <f aca="false">A271+1</f>
        <v>37158</v>
      </c>
      <c r="B272" s="131" t="str">
        <f aca="false">INDEX('Master Data'!$A$2:$B$8,MATCH(WEEKDAY('BRA Power'!A272,3),'Master Data'!$A$2:$A$8,0),2)</f>
        <v>M</v>
      </c>
      <c r="D272" s="124" t="n">
        <v>-11627.8477853941</v>
      </c>
      <c r="E272" s="124" t="n">
        <v>133379.448800621</v>
      </c>
      <c r="F272" s="124" t="n">
        <v>0</v>
      </c>
      <c r="G272" s="124" t="n">
        <v>268808.99</v>
      </c>
      <c r="I272" s="124" t="n">
        <f aca="false">IF(MONTH($A272)=MONTH($A271),IF(G272=0,I271,G272),G272)</f>
        <v>268808.99</v>
      </c>
      <c r="J272" s="124" t="n">
        <f aca="false">IF(MONTH($A272)=MONTH($A271),SUM(I272-I271),I272)</f>
        <v>18996.03</v>
      </c>
      <c r="K272" s="124" t="n">
        <f aca="false">IF(WEEKDAY(A272,3)&gt;4,0,(IF(A272&lt;K$2,0,IF(A272&lt;=K$3,1,0))))</f>
        <v>0</v>
      </c>
      <c r="L272" s="124" t="n">
        <f aca="false">J272*K272</f>
        <v>0</v>
      </c>
      <c r="M272" s="124" t="n">
        <f aca="false">SUM(J$188:J272)</f>
        <v>-431804.106222372</v>
      </c>
      <c r="N272" s="124" t="n">
        <f aca="false">SUM(J$6:J272)</f>
        <v>24010401.1937776</v>
      </c>
      <c r="P272" s="124" t="n">
        <f aca="false">D272/P$3</f>
        <v>-0.0116278477853941</v>
      </c>
      <c r="Q272" s="124" t="n">
        <f aca="false">E272/P$3</f>
        <v>0.133379448800621</v>
      </c>
      <c r="R272" s="124" t="n">
        <f aca="false">F272/R$3</f>
        <v>0</v>
      </c>
      <c r="S272" s="126" t="n">
        <f aca="false">J272/$R$3</f>
        <v>18.99603</v>
      </c>
      <c r="T272" s="126" t="n">
        <f aca="false">L272/$R$3</f>
        <v>0</v>
      </c>
      <c r="U272" s="126" t="n">
        <f aca="false">I272/$R$3</f>
        <v>268.80899</v>
      </c>
      <c r="V272" s="126" t="n">
        <f aca="false">M272/$R$3</f>
        <v>-431.804106222372</v>
      </c>
      <c r="W272" s="126" t="n">
        <f aca="false">N272/$R$3</f>
        <v>24010.4011937776</v>
      </c>
    </row>
    <row r="273" customFormat="false" ht="12.75" hidden="true" customHeight="false" outlineLevel="0" collapsed="false">
      <c r="A273" s="120" t="n">
        <f aca="false">A272+1</f>
        <v>37159</v>
      </c>
      <c r="B273" s="131" t="str">
        <f aca="false">INDEX('Master Data'!$A$2:$B$8,MATCH(WEEKDAY('BRA Power'!A273,3),'Master Data'!$A$2:$A$8,0),2)</f>
        <v>T</v>
      </c>
      <c r="D273" s="124" t="n">
        <v>-11653.2605169438</v>
      </c>
      <c r="E273" s="124" t="n">
        <v>133486.250137469</v>
      </c>
      <c r="F273" s="124" t="n">
        <v>0</v>
      </c>
      <c r="G273" s="124" t="n">
        <v>275181.44</v>
      </c>
      <c r="I273" s="124" t="n">
        <f aca="false">IF(MONTH($A273)=MONTH($A272),IF(G273=0,I272,G273),G273)</f>
        <v>275181.44</v>
      </c>
      <c r="J273" s="124" t="n">
        <f aca="false">IF(MONTH($A273)=MONTH($A272),SUM(I273-I272),I273)</f>
        <v>6372.45000000001</v>
      </c>
      <c r="K273" s="124" t="n">
        <f aca="false">IF(WEEKDAY(A273,3)&gt;4,0,(IF(A273&lt;K$2,0,IF(A273&lt;=K$3,1,0))))</f>
        <v>0</v>
      </c>
      <c r="L273" s="124" t="n">
        <f aca="false">J273*K273</f>
        <v>0</v>
      </c>
      <c r="M273" s="124" t="n">
        <f aca="false">SUM(J$188:J273)</f>
        <v>-425431.656222372</v>
      </c>
      <c r="N273" s="124" t="n">
        <f aca="false">SUM(J$6:J273)</f>
        <v>24016773.6437776</v>
      </c>
      <c r="P273" s="124" t="n">
        <f aca="false">D273/P$3</f>
        <v>-0.0116532605169438</v>
      </c>
      <c r="Q273" s="124" t="n">
        <f aca="false">E273/P$3</f>
        <v>0.133486250137469</v>
      </c>
      <c r="R273" s="124" t="n">
        <f aca="false">F273/R$3</f>
        <v>0</v>
      </c>
      <c r="S273" s="126" t="n">
        <f aca="false">J273/$R$3</f>
        <v>6.37245000000001</v>
      </c>
      <c r="T273" s="126" t="n">
        <f aca="false">L273/$R$3</f>
        <v>0</v>
      </c>
      <c r="U273" s="126" t="n">
        <f aca="false">I273/$R$3</f>
        <v>275.18144</v>
      </c>
      <c r="V273" s="126" t="n">
        <f aca="false">M273/$R$3</f>
        <v>-425.431656222372</v>
      </c>
      <c r="W273" s="126" t="n">
        <f aca="false">N273/$R$3</f>
        <v>24016.7736437776</v>
      </c>
    </row>
    <row r="274" customFormat="false" ht="12.75" hidden="true" customHeight="false" outlineLevel="0" collapsed="false">
      <c r="A274" s="120" t="n">
        <f aca="false">A273+1</f>
        <v>37160</v>
      </c>
      <c r="B274" s="131" t="str">
        <f aca="false">INDEX('Master Data'!$A$2:$B$8,MATCH(WEEKDAY('BRA Power'!A274,3),'Master Data'!$A$2:$A$8,0),2)</f>
        <v>W</v>
      </c>
      <c r="D274" s="124" t="n">
        <v>-11679.6155655472</v>
      </c>
      <c r="E274" s="124" t="n">
        <v>133594.04868728</v>
      </c>
      <c r="F274" s="124" t="n">
        <v>0</v>
      </c>
      <c r="G274" s="124" t="n">
        <v>281574.16</v>
      </c>
      <c r="I274" s="124" t="n">
        <f aca="false">IF(MONTH($A274)=MONTH($A273),IF(G274=0,I273,G274),G274)</f>
        <v>281574.16</v>
      </c>
      <c r="J274" s="124" t="n">
        <f aca="false">IF(MONTH($A274)=MONTH($A273),SUM(I274-I273),I274)</f>
        <v>6392.71999999997</v>
      </c>
      <c r="K274" s="124" t="n">
        <f aca="false">IF(WEEKDAY(A274,3)&gt;4,0,(IF(A274&lt;K$2,0,IF(A274&lt;=K$3,1,0))))</f>
        <v>0</v>
      </c>
      <c r="L274" s="124" t="n">
        <f aca="false">J274*K274</f>
        <v>0</v>
      </c>
      <c r="M274" s="124" t="n">
        <f aca="false">SUM(J$188:J274)</f>
        <v>-419038.936222372</v>
      </c>
      <c r="N274" s="124" t="n">
        <f aca="false">SUM(J$6:J274)</f>
        <v>24023166.3637776</v>
      </c>
      <c r="P274" s="124" t="n">
        <f aca="false">D274/P$3</f>
        <v>-0.0116796155655472</v>
      </c>
      <c r="Q274" s="124" t="n">
        <f aca="false">E274/P$3</f>
        <v>0.13359404868728</v>
      </c>
      <c r="R274" s="124" t="n">
        <f aca="false">F274/R$3</f>
        <v>0</v>
      </c>
      <c r="S274" s="126" t="n">
        <f aca="false">J274/$R$3</f>
        <v>6.39271999999997</v>
      </c>
      <c r="T274" s="126" t="n">
        <f aca="false">L274/$R$3</f>
        <v>0</v>
      </c>
      <c r="U274" s="126" t="n">
        <f aca="false">I274/$R$3</f>
        <v>281.57416</v>
      </c>
      <c r="V274" s="126" t="n">
        <f aca="false">M274/$R$3</f>
        <v>-419.038936222372</v>
      </c>
      <c r="W274" s="126" t="n">
        <f aca="false">N274/$R$3</f>
        <v>24023.1663637776</v>
      </c>
    </row>
    <row r="275" customFormat="false" ht="12.75" hidden="true" customHeight="false" outlineLevel="0" collapsed="false">
      <c r="A275" s="120" t="n">
        <f aca="false">A274+1</f>
        <v>37161</v>
      </c>
      <c r="B275" s="131" t="str">
        <f aca="false">INDEX('Master Data'!$A$2:$B$8,MATCH(WEEKDAY('BRA Power'!A275,3),'Master Data'!$A$2:$A$8,0),2)</f>
        <v>Th</v>
      </c>
      <c r="D275" s="124" t="n">
        <v>-11706.9380317605</v>
      </c>
      <c r="E275" s="124" t="n">
        <v>133702.869587931</v>
      </c>
      <c r="F275" s="124" t="n">
        <v>0</v>
      </c>
      <c r="G275" s="124" t="n">
        <v>-1089209.96405969</v>
      </c>
      <c r="I275" s="124" t="n">
        <f aca="false">IF(MONTH($A275)=MONTH($A274),IF(G275=0,I274,G275),G275)</f>
        <v>-1089209.96405969</v>
      </c>
      <c r="J275" s="124" t="n">
        <f aca="false">IF(MONTH($A275)=MONTH($A274),SUM(I275-I274),I275)</f>
        <v>-1370784.12405969</v>
      </c>
      <c r="K275" s="124" t="n">
        <f aca="false">IF(WEEKDAY(A275,3)&gt;4,0,(IF(A275&lt;K$2,0,IF(A275&lt;=K$3,1,0))))</f>
        <v>0</v>
      </c>
      <c r="L275" s="124" t="n">
        <f aca="false">J275*K275</f>
        <v>-0</v>
      </c>
      <c r="M275" s="124" t="n">
        <f aca="false">SUM(J$188:J275)</f>
        <v>-1789823.06028206</v>
      </c>
      <c r="N275" s="124" t="n">
        <f aca="false">SUM(J$6:J275)</f>
        <v>22652382.2397179</v>
      </c>
      <c r="P275" s="124" t="n">
        <f aca="false">D275/P$3</f>
        <v>-0.0117069380317605</v>
      </c>
      <c r="Q275" s="124" t="n">
        <f aca="false">E275/P$3</f>
        <v>0.133702869587931</v>
      </c>
      <c r="R275" s="124" t="n">
        <f aca="false">F275/R$3</f>
        <v>0</v>
      </c>
      <c r="S275" s="126" t="n">
        <f aca="false">J275/$R$3</f>
        <v>-1370.78412405969</v>
      </c>
      <c r="T275" s="126" t="n">
        <f aca="false">L275/$R$3</f>
        <v>-0</v>
      </c>
      <c r="U275" s="126" t="n">
        <f aca="false">I275/$R$3</f>
        <v>-1089.20996405969</v>
      </c>
      <c r="V275" s="126" t="n">
        <f aca="false">M275/$R$3</f>
        <v>-1789.82306028206</v>
      </c>
      <c r="W275" s="126" t="n">
        <f aca="false">N275/$R$3</f>
        <v>22652.3822397179</v>
      </c>
    </row>
    <row r="276" customFormat="false" ht="12.75" hidden="false" customHeight="false" outlineLevel="0" collapsed="false">
      <c r="A276" s="120" t="n">
        <f aca="false">A275+1</f>
        <v>37162</v>
      </c>
      <c r="B276" s="131" t="str">
        <f aca="false">INDEX('Master Data'!$A$2:$B$8,MATCH(WEEKDAY('BRA Power'!A276,3),'Master Data'!$A$2:$A$8,0),2)</f>
        <v>F</v>
      </c>
      <c r="D276" s="124" t="n">
        <v>-4990.39374368515</v>
      </c>
      <c r="E276" s="124" t="n">
        <v>118979.282621851</v>
      </c>
      <c r="F276" s="124" t="n">
        <v>0</v>
      </c>
      <c r="G276" s="124" t="n">
        <v>-1086548.37130782</v>
      </c>
      <c r="I276" s="124" t="n">
        <f aca="false">IF(MONTH($A276)=MONTH($A275),IF(G276=0,I275,G276),G276)</f>
        <v>-1086548.37130782</v>
      </c>
      <c r="J276" s="124" t="n">
        <f aca="false">IF(MONTH($A276)=MONTH($A275),SUM(I276-I275),I276)</f>
        <v>2661.59275186528</v>
      </c>
      <c r="K276" s="124" t="n">
        <f aca="false">IF(WEEKDAY(A276,3)&gt;4,0,(IF(A276&lt;K$2,0,IF(A276&lt;=K$3,1,0))))</f>
        <v>0</v>
      </c>
      <c r="L276" s="124" t="n">
        <f aca="false">J276*K276</f>
        <v>0</v>
      </c>
      <c r="M276" s="124" t="n">
        <f aca="false">SUM(J$188:J276)</f>
        <v>-1787161.4675302</v>
      </c>
      <c r="N276" s="124" t="n">
        <f aca="false">SUM(J$6:J276)</f>
        <v>22655043.8324698</v>
      </c>
      <c r="P276" s="124" t="n">
        <f aca="false">D276/P$3</f>
        <v>-0.00499039374368515</v>
      </c>
      <c r="Q276" s="124" t="n">
        <f aca="false">E276/P$3</f>
        <v>0.118979282621851</v>
      </c>
      <c r="R276" s="124" t="n">
        <f aca="false">F276/R$3</f>
        <v>0</v>
      </c>
      <c r="S276" s="126" t="n">
        <f aca="false">J276/$R$3</f>
        <v>2.66159275186528</v>
      </c>
      <c r="T276" s="126" t="n">
        <f aca="false">L276/$R$3</f>
        <v>0</v>
      </c>
      <c r="U276" s="126" t="n">
        <f aca="false">I276/$R$3</f>
        <v>-1086.54837130782</v>
      </c>
      <c r="V276" s="126" t="n">
        <f aca="false">M276/$R$3</f>
        <v>-1787.1614675302</v>
      </c>
      <c r="W276" s="126" t="n">
        <f aca="false">N276/$R$3</f>
        <v>22655.0438324698</v>
      </c>
    </row>
    <row r="277" customFormat="false" ht="12.75" hidden="false" customHeight="false" outlineLevel="0" collapsed="false">
      <c r="A277" s="120" t="n">
        <f aca="false">A276+1</f>
        <v>37163</v>
      </c>
      <c r="B277" s="131" t="str">
        <f aca="false">INDEX('Master Data'!$A$2:$B$8,MATCH(WEEKDAY('BRA Power'!A277,3),'Master Data'!$A$2:$A$8,0),2)</f>
        <v>Sa</v>
      </c>
      <c r="D277" s="124" t="n">
        <v>0</v>
      </c>
      <c r="E277" s="124" t="n">
        <v>0</v>
      </c>
      <c r="F277" s="124" t="n">
        <v>0</v>
      </c>
      <c r="G277" s="124" t="n">
        <v>0</v>
      </c>
      <c r="I277" s="124" t="n">
        <f aca="false">IF(MONTH($A277)=MONTH($A276),IF(G277=0,I276,G277),G277)</f>
        <v>-1086548.37130782</v>
      </c>
      <c r="J277" s="124" t="n">
        <f aca="false">IF(MONTH($A277)=MONTH($A276),SUM(I277-I276),I277)</f>
        <v>0</v>
      </c>
      <c r="K277" s="124" t="n">
        <f aca="false">IF(WEEKDAY(A277,3)&gt;4,0,(IF(A277&lt;K$2,0,IF(A277&lt;=K$3,1,0))))</f>
        <v>0</v>
      </c>
      <c r="L277" s="124" t="n">
        <f aca="false">J277*K277</f>
        <v>0</v>
      </c>
      <c r="M277" s="124" t="n">
        <f aca="false">SUM(J$188:J277)</f>
        <v>-1787161.4675302</v>
      </c>
      <c r="N277" s="124" t="n">
        <f aca="false">SUM(J$6:J277)</f>
        <v>22655043.8324698</v>
      </c>
      <c r="P277" s="124" t="n">
        <f aca="false">D277/P$3</f>
        <v>0</v>
      </c>
      <c r="Q277" s="124" t="n">
        <f aca="false">E277/P$3</f>
        <v>0</v>
      </c>
      <c r="R277" s="124" t="n">
        <f aca="false">F277/R$3</f>
        <v>0</v>
      </c>
      <c r="S277" s="126" t="n">
        <f aca="false">J277/$R$3</f>
        <v>0</v>
      </c>
      <c r="T277" s="126" t="n">
        <f aca="false">L277/$R$3</f>
        <v>0</v>
      </c>
      <c r="U277" s="126" t="n">
        <f aca="false">I277/$R$3</f>
        <v>-1086.54837130782</v>
      </c>
      <c r="V277" s="126" t="n">
        <f aca="false">M277/$R$3</f>
        <v>-1787.1614675302</v>
      </c>
      <c r="W277" s="126" t="n">
        <f aca="false">N277/$R$3</f>
        <v>22655.0438324698</v>
      </c>
    </row>
    <row r="278" customFormat="false" ht="12.75" hidden="false" customHeight="false" outlineLevel="0" collapsed="false">
      <c r="A278" s="120" t="n">
        <f aca="false">A277+1</f>
        <v>37164</v>
      </c>
      <c r="B278" s="131" t="str">
        <f aca="false">INDEX('Master Data'!$A$2:$B$8,MATCH(WEEKDAY('BRA Power'!A278,3),'Master Data'!$A$2:$A$8,0),2)</f>
        <v>Su</v>
      </c>
      <c r="D278" s="124" t="n">
        <v>0</v>
      </c>
      <c r="E278" s="124" t="n">
        <v>0</v>
      </c>
      <c r="F278" s="124" t="n">
        <v>0</v>
      </c>
      <c r="G278" s="124" t="n">
        <v>0</v>
      </c>
      <c r="I278" s="124" t="n">
        <f aca="false">IF(MONTH($A278)=MONTH($A277),IF(G278=0,I277,G278),G278)</f>
        <v>-1086548.37130782</v>
      </c>
      <c r="J278" s="124" t="n">
        <f aca="false">IF(MONTH($A278)=MONTH($A277),SUM(I278-I277),I278)</f>
        <v>0</v>
      </c>
      <c r="K278" s="124" t="n">
        <f aca="false">IF(WEEKDAY(A278,3)&gt;4,0,(IF(A278&lt;K$2,0,IF(A278&lt;=K$3,1,0))))</f>
        <v>0</v>
      </c>
      <c r="L278" s="124" t="n">
        <f aca="false">J278*K278</f>
        <v>0</v>
      </c>
      <c r="M278" s="124" t="n">
        <f aca="false">SUM(J$188:J278)</f>
        <v>-1787161.4675302</v>
      </c>
      <c r="N278" s="124" t="n">
        <f aca="false">SUM(J$6:J278)</f>
        <v>22655043.8324698</v>
      </c>
      <c r="P278" s="124" t="n">
        <f aca="false">D278/P$3</f>
        <v>0</v>
      </c>
      <c r="Q278" s="124" t="n">
        <f aca="false">E278/P$3</f>
        <v>0</v>
      </c>
      <c r="R278" s="124" t="n">
        <f aca="false">F278/R$3</f>
        <v>0</v>
      </c>
      <c r="S278" s="126" t="n">
        <f aca="false">J278/$R$3</f>
        <v>0</v>
      </c>
      <c r="T278" s="126" t="n">
        <f aca="false">L278/$R$3</f>
        <v>0</v>
      </c>
      <c r="U278" s="126" t="n">
        <f aca="false">I278/$R$3</f>
        <v>-1086.54837130782</v>
      </c>
      <c r="V278" s="126" t="n">
        <f aca="false">M278/$R$3</f>
        <v>-1787.1614675302</v>
      </c>
      <c r="W278" s="126" t="n">
        <f aca="false">N278/$R$3</f>
        <v>22655.0438324698</v>
      </c>
    </row>
    <row r="279" customFormat="false" ht="12.75" hidden="true" customHeight="false" outlineLevel="0" collapsed="false">
      <c r="A279" s="120" t="n">
        <f aca="false">A278+1</f>
        <v>37165</v>
      </c>
      <c r="B279" s="131" t="str">
        <f aca="false">INDEX('Master Data'!$A$2:$B$8,MATCH(WEEKDAY('BRA Power'!A279,3),'Master Data'!$A$2:$A$8,0),2)</f>
        <v>M</v>
      </c>
      <c r="D279" s="124" t="n">
        <v>-4677.24918941899</v>
      </c>
      <c r="E279" s="124" t="n">
        <v>118915.234556514</v>
      </c>
      <c r="F279" s="124" t="n">
        <v>0</v>
      </c>
      <c r="G279" s="124" t="n">
        <v>16500.4505598188</v>
      </c>
      <c r="I279" s="124" t="n">
        <f aca="false">IF(MONTH($A279)=MONTH($A278),IF(G279=0,I278,G279),G279)</f>
        <v>16500.4505598188</v>
      </c>
      <c r="J279" s="124" t="n">
        <f aca="false">IF(MONTH($A279)=MONTH($A278),SUM(I279-I278),I279)</f>
        <v>16500.4505598188</v>
      </c>
      <c r="K279" s="124" t="n">
        <f aca="false">IF(WEEKDAY(A279,3)&gt;4,0,(IF(A279&lt;K$2,0,IF(A279&lt;=K$3,1,0))))</f>
        <v>0</v>
      </c>
      <c r="L279" s="124" t="n">
        <f aca="false">J279*K279</f>
        <v>0</v>
      </c>
      <c r="M279" s="124" t="n">
        <f aca="false">SUM(J$188:J279)</f>
        <v>-1770661.01697038</v>
      </c>
      <c r="N279" s="124" t="n">
        <f aca="false">SUM(J$6:J279)</f>
        <v>22671544.2830296</v>
      </c>
      <c r="P279" s="124" t="n">
        <f aca="false">D279/P$3</f>
        <v>-0.00467724918941899</v>
      </c>
      <c r="Q279" s="124" t="n">
        <f aca="false">E279/P$3</f>
        <v>0.118915234556514</v>
      </c>
      <c r="R279" s="124" t="n">
        <f aca="false">F279/R$3</f>
        <v>0</v>
      </c>
      <c r="S279" s="126" t="n">
        <f aca="false">J279/$R$3</f>
        <v>16.5004505598188</v>
      </c>
      <c r="T279" s="126" t="n">
        <f aca="false">L279/$R$3</f>
        <v>0</v>
      </c>
      <c r="U279" s="126" t="n">
        <f aca="false">I279/$R$3</f>
        <v>16.5004505598188</v>
      </c>
      <c r="V279" s="126" t="n">
        <f aca="false">M279/$R$3</f>
        <v>-1770.66101697038</v>
      </c>
      <c r="W279" s="126" t="n">
        <f aca="false">N279/$R$3</f>
        <v>22671.5442830296</v>
      </c>
    </row>
    <row r="280" customFormat="false" ht="12.75" hidden="true" customHeight="false" outlineLevel="0" collapsed="false">
      <c r="A280" s="120" t="n">
        <f aca="false">A279+1</f>
        <v>37166</v>
      </c>
      <c r="B280" s="131" t="str">
        <f aca="false">INDEX('Master Data'!$A$2:$B$8,MATCH(WEEKDAY('BRA Power'!A280,3),'Master Data'!$A$2:$A$8,0),2)</f>
        <v>T</v>
      </c>
      <c r="D280" s="124" t="n">
        <v>-4572.72010713828</v>
      </c>
      <c r="E280" s="124" t="n">
        <v>118893.86047211</v>
      </c>
      <c r="F280" s="124" t="n">
        <v>0</v>
      </c>
      <c r="G280" s="124" t="n">
        <v>22038.6649318894</v>
      </c>
      <c r="I280" s="124" t="n">
        <f aca="false">IF(MONTH($A280)=MONTH($A279),IF(G280=0,I279,G280),G280)</f>
        <v>22038.6649318894</v>
      </c>
      <c r="J280" s="124" t="n">
        <f aca="false">IF(MONTH($A280)=MONTH($A279),SUM(I280-I279),I280)</f>
        <v>5538.21437207057</v>
      </c>
      <c r="K280" s="124" t="n">
        <f aca="false">IF(WEEKDAY(A280,3)&gt;4,0,(IF(A280&lt;K$2,0,IF(A280&lt;=K$3,1,0))))</f>
        <v>0</v>
      </c>
      <c r="L280" s="124" t="n">
        <f aca="false">J280*K280</f>
        <v>0</v>
      </c>
      <c r="M280" s="124" t="n">
        <f aca="false">SUM(J$280:J280)</f>
        <v>5538.21437207057</v>
      </c>
      <c r="N280" s="124" t="n">
        <f aca="false">SUM(J$6:J280)</f>
        <v>22677082.4974017</v>
      </c>
      <c r="P280" s="124" t="n">
        <f aca="false">D280/P$3</f>
        <v>-0.00457272010713828</v>
      </c>
      <c r="Q280" s="124" t="n">
        <f aca="false">E280/P$3</f>
        <v>0.11889386047211</v>
      </c>
      <c r="R280" s="124" t="n">
        <f aca="false">F280/R$3</f>
        <v>0</v>
      </c>
      <c r="S280" s="126" t="n">
        <f aca="false">J280/$R$3</f>
        <v>5.53821437207057</v>
      </c>
      <c r="T280" s="126" t="n">
        <f aca="false">L280/$R$3</f>
        <v>0</v>
      </c>
      <c r="U280" s="126" t="n">
        <f aca="false">I280/$R$3</f>
        <v>22.0386649318894</v>
      </c>
      <c r="V280" s="126" t="n">
        <f aca="false">M280/$R$3</f>
        <v>5.53821437207057</v>
      </c>
      <c r="W280" s="126" t="n">
        <f aca="false">N280/$R$3</f>
        <v>22677.0824974017</v>
      </c>
    </row>
    <row r="281" customFormat="false" ht="12.75" hidden="true" customHeight="false" outlineLevel="0" collapsed="false">
      <c r="A281" s="120" t="n">
        <f aca="false">A280+1</f>
        <v>37167</v>
      </c>
      <c r="B281" s="131" t="str">
        <f aca="false">INDEX('Master Data'!$A$2:$B$8,MATCH(WEEKDAY('BRA Power'!A281,3),'Master Data'!$A$2:$A$8,0),2)</f>
        <v>W</v>
      </c>
      <c r="D281" s="124" t="n">
        <v>-4468.11715401342</v>
      </c>
      <c r="E281" s="124" t="n">
        <v>118872.474011087</v>
      </c>
      <c r="F281" s="124" t="n">
        <v>0</v>
      </c>
      <c r="G281" s="124" t="n">
        <f aca="false">5471.77+1611.67-3991.86+24504.29</f>
        <v>27595.87</v>
      </c>
      <c r="I281" s="124" t="n">
        <f aca="false">IF(MONTH($A281)=MONTH($A280),IF(G281=0,I280,G281),G281)</f>
        <v>27595.87</v>
      </c>
      <c r="J281" s="124" t="n">
        <f aca="false">IF(MONTH($A281)=MONTH($A280),SUM(I281-I280),I281)</f>
        <v>5557.20506811065</v>
      </c>
      <c r="K281" s="124" t="n">
        <f aca="false">IF(WEEKDAY(A281,3)&gt;4,0,(IF(A281&lt;K$2,0,IF(A281&lt;=K$3,1,0))))</f>
        <v>0</v>
      </c>
      <c r="L281" s="124" t="n">
        <f aca="false">J281*K281</f>
        <v>0</v>
      </c>
      <c r="M281" s="124" t="n">
        <f aca="false">SUM(J$280:J281)</f>
        <v>11095.4194401812</v>
      </c>
      <c r="N281" s="124" t="n">
        <f aca="false">SUM(J$6:J281)</f>
        <v>22682639.7024698</v>
      </c>
      <c r="P281" s="124" t="n">
        <f aca="false">D281/P$3</f>
        <v>-0.00446811715401342</v>
      </c>
      <c r="Q281" s="124" t="n">
        <f aca="false">E281/P$3</f>
        <v>0.118872474011087</v>
      </c>
      <c r="R281" s="124" t="n">
        <f aca="false">F281/R$3</f>
        <v>0</v>
      </c>
      <c r="S281" s="126" t="n">
        <f aca="false">J281/$R$3</f>
        <v>5.55720506811065</v>
      </c>
      <c r="T281" s="126" t="n">
        <f aca="false">L281/$R$3</f>
        <v>0</v>
      </c>
      <c r="U281" s="126" t="n">
        <f aca="false">I281/$R$3</f>
        <v>27.59587</v>
      </c>
      <c r="V281" s="126" t="n">
        <f aca="false">M281/$R$3</f>
        <v>11.0954194401812</v>
      </c>
      <c r="W281" s="126" t="n">
        <f aca="false">N281/$R$3</f>
        <v>22682.6397024698</v>
      </c>
    </row>
    <row r="282" customFormat="false" ht="12.75" hidden="true" customHeight="false" outlineLevel="0" collapsed="false">
      <c r="A282" s="120" t="n">
        <f aca="false">A281+1</f>
        <v>37168</v>
      </c>
      <c r="B282" s="131" t="str">
        <f aca="false">INDEX('Master Data'!$A$2:$B$8,MATCH(WEEKDAY('BRA Power'!A282,3),'Master Data'!$A$2:$A$8,0),2)</f>
        <v>Th</v>
      </c>
      <c r="D282" s="124" t="n">
        <v>-4363.44027673662</v>
      </c>
      <c r="E282" s="124" t="n">
        <v>118851.075166254</v>
      </c>
      <c r="F282" s="124" t="n">
        <v>0</v>
      </c>
      <c r="G282" s="124" t="n">
        <v>33172.0447277404</v>
      </c>
      <c r="I282" s="124" t="n">
        <f aca="false">IF(MONTH($A282)=MONTH($A281),IF(G282=0,I281,G282),G282)</f>
        <v>33172.0447277404</v>
      </c>
      <c r="J282" s="124" t="n">
        <f aca="false">IF(MONTH($A282)=MONTH($A281),SUM(I282-I281),I282)</f>
        <v>5576.17472774039</v>
      </c>
      <c r="K282" s="124" t="n">
        <f aca="false">IF(WEEKDAY(A282,3)&gt;4,0,(IF(A282&lt;K$2,0,IF(A282&lt;=K$3,1,0))))</f>
        <v>0</v>
      </c>
      <c r="L282" s="124" t="n">
        <f aca="false">J282*K282</f>
        <v>0</v>
      </c>
      <c r="M282" s="124" t="n">
        <f aca="false">SUM(J$280:J282)</f>
        <v>16671.5941679216</v>
      </c>
      <c r="N282" s="124" t="n">
        <f aca="false">SUM(J$6:J282)</f>
        <v>22688215.8771975</v>
      </c>
      <c r="P282" s="124" t="n">
        <f aca="false">D282/P$3</f>
        <v>-0.00436344027673662</v>
      </c>
      <c r="Q282" s="124" t="n">
        <f aca="false">E282/P$3</f>
        <v>0.118851075166254</v>
      </c>
      <c r="R282" s="124" t="n">
        <f aca="false">F282/R$3</f>
        <v>0</v>
      </c>
      <c r="S282" s="126" t="n">
        <f aca="false">J282/$R$3</f>
        <v>5.57617472774038</v>
      </c>
      <c r="T282" s="126" t="n">
        <f aca="false">L282/$R$3</f>
        <v>0</v>
      </c>
      <c r="U282" s="126" t="n">
        <f aca="false">I282/$R$3</f>
        <v>33.1720447277404</v>
      </c>
      <c r="V282" s="126" t="n">
        <f aca="false">M282/$R$3</f>
        <v>16.6715941679216</v>
      </c>
      <c r="W282" s="126" t="n">
        <f aca="false">N282/$R$3</f>
        <v>22688.2158771975</v>
      </c>
    </row>
    <row r="283" customFormat="false" ht="12.75" hidden="true" customHeight="false" outlineLevel="0" collapsed="false">
      <c r="A283" s="120" t="n">
        <f aca="false">A282+1</f>
        <v>37169</v>
      </c>
      <c r="B283" s="131" t="str">
        <f aca="false">INDEX('Master Data'!$A$2:$B$8,MATCH(WEEKDAY('BRA Power'!A283,3),'Master Data'!$A$2:$A$8,0),2)</f>
        <v>F</v>
      </c>
      <c r="D283" s="124" t="n">
        <v>-4258.68942196104</v>
      </c>
      <c r="E283" s="124" t="n">
        <v>118829.663930415</v>
      </c>
      <c r="F283" s="124" t="n">
        <v>0</v>
      </c>
      <c r="G283" s="124" t="n">
        <v>-985738.85349699</v>
      </c>
      <c r="I283" s="124" t="n">
        <f aca="false">IF(MONTH($A283)=MONTH($A282),IF(G283=0,I282,G283),G283)</f>
        <v>-985738.85349699</v>
      </c>
      <c r="J283" s="124" t="n">
        <f aca="false">IF(MONTH($A283)=MONTH($A282),SUM(I283-I282),I283)</f>
        <v>-1018910.89822473</v>
      </c>
      <c r="K283" s="124" t="n">
        <f aca="false">IF(WEEKDAY(A283,3)&gt;4,0,(IF(A283&lt;K$2,0,IF(A283&lt;=K$3,1,0))))</f>
        <v>0</v>
      </c>
      <c r="L283" s="124" t="n">
        <f aca="false">J283*K283</f>
        <v>-0</v>
      </c>
      <c r="M283" s="124" t="n">
        <f aca="false">SUM(J$280:J283)</f>
        <v>-1002239.30405681</v>
      </c>
      <c r="N283" s="124" t="n">
        <f aca="false">SUM(J$6:J283)</f>
        <v>21669304.9789728</v>
      </c>
      <c r="P283" s="124" t="n">
        <f aca="false">D283/P$3</f>
        <v>-0.00425868942196104</v>
      </c>
      <c r="Q283" s="124" t="n">
        <f aca="false">E283/P$3</f>
        <v>0.118829663930415</v>
      </c>
      <c r="R283" s="124" t="n">
        <f aca="false">F283/R$3</f>
        <v>0</v>
      </c>
      <c r="S283" s="126" t="n">
        <f aca="false">J283/$R$3</f>
        <v>-1018.91089822473</v>
      </c>
      <c r="T283" s="126" t="n">
        <f aca="false">L283/$R$3</f>
        <v>-0</v>
      </c>
      <c r="U283" s="126" t="n">
        <f aca="false">I283/$R$3</f>
        <v>-985.73885349699</v>
      </c>
      <c r="V283" s="126" t="n">
        <f aca="false">M283/$R$3</f>
        <v>-1002.23930405681</v>
      </c>
      <c r="W283" s="126" t="n">
        <f aca="false">N283/$R$3</f>
        <v>21669.3049789728</v>
      </c>
    </row>
    <row r="284" customFormat="false" ht="12.75" hidden="true" customHeight="false" outlineLevel="0" collapsed="false">
      <c r="A284" s="120" t="n">
        <f aca="false">A283+1</f>
        <v>37170</v>
      </c>
      <c r="B284" s="131" t="str">
        <f aca="false">INDEX('Master Data'!$A$2:$B$8,MATCH(WEEKDAY('BRA Power'!A284,3),'Master Data'!$A$2:$A$8,0),2)</f>
        <v>Sa</v>
      </c>
      <c r="D284" s="124" t="n">
        <v>0</v>
      </c>
      <c r="E284" s="124" t="n">
        <v>0</v>
      </c>
      <c r="F284" s="124" t="n">
        <v>0</v>
      </c>
      <c r="G284" s="124" t="n">
        <v>0</v>
      </c>
      <c r="I284" s="124" t="n">
        <f aca="false">IF(MONTH($A284)=MONTH($A283),IF(G284=0,I283,G284),G284)</f>
        <v>-985738.85349699</v>
      </c>
      <c r="J284" s="124" t="n">
        <f aca="false">IF(MONTH($A284)=MONTH($A283),SUM(I284-I283),I284)</f>
        <v>0</v>
      </c>
      <c r="K284" s="124" t="n">
        <f aca="false">IF(WEEKDAY(A284,3)&gt;4,0,(IF(A284&lt;K$2,0,IF(A284&lt;=K$3,1,0))))</f>
        <v>0</v>
      </c>
      <c r="L284" s="124" t="n">
        <f aca="false">J284*K284</f>
        <v>0</v>
      </c>
      <c r="M284" s="124" t="n">
        <f aca="false">SUM(J$280:J284)</f>
        <v>-1002239.30405681</v>
      </c>
      <c r="N284" s="124" t="n">
        <f aca="false">SUM(J$6:J284)</f>
        <v>21669304.9789728</v>
      </c>
      <c r="P284" s="124" t="n">
        <f aca="false">D284/P$3</f>
        <v>0</v>
      </c>
      <c r="Q284" s="124" t="n">
        <f aca="false">E284/P$3</f>
        <v>0</v>
      </c>
      <c r="R284" s="124" t="n">
        <f aca="false">F284/R$3</f>
        <v>0</v>
      </c>
      <c r="S284" s="126" t="n">
        <f aca="false">J284/$R$3</f>
        <v>0</v>
      </c>
      <c r="T284" s="126" t="n">
        <f aca="false">L284/$R$3</f>
        <v>0</v>
      </c>
      <c r="U284" s="126" t="n">
        <f aca="false">I284/$R$3</f>
        <v>-985.73885349699</v>
      </c>
      <c r="V284" s="126" t="n">
        <f aca="false">M284/$R$3</f>
        <v>-1002.23930405681</v>
      </c>
      <c r="W284" s="126" t="n">
        <f aca="false">N284/$R$3</f>
        <v>21669.3049789728</v>
      </c>
    </row>
    <row r="285" customFormat="false" ht="12.75" hidden="true" customHeight="false" outlineLevel="0" collapsed="false">
      <c r="A285" s="120" t="n">
        <f aca="false">A284+1</f>
        <v>37171</v>
      </c>
      <c r="B285" s="131" t="str">
        <f aca="false">INDEX('Master Data'!$A$2:$B$8,MATCH(WEEKDAY('BRA Power'!A285,3),'Master Data'!$A$2:$A$8,0),2)</f>
        <v>Su</v>
      </c>
      <c r="D285" s="124" t="n">
        <v>0</v>
      </c>
      <c r="E285" s="124" t="n">
        <v>0</v>
      </c>
      <c r="F285" s="124" t="n">
        <v>0</v>
      </c>
      <c r="G285" s="124" t="n">
        <v>0</v>
      </c>
      <c r="I285" s="124" t="n">
        <f aca="false">IF(MONTH($A285)=MONTH($A284),IF(G285=0,I284,G285),G285)</f>
        <v>-985738.85349699</v>
      </c>
      <c r="J285" s="124" t="n">
        <f aca="false">IF(MONTH($A285)=MONTH($A284),SUM(I285-I284),I285)</f>
        <v>0</v>
      </c>
      <c r="K285" s="124" t="n">
        <f aca="false">IF(WEEKDAY(A285,3)&gt;4,0,(IF(A285&lt;K$2,0,IF(A285&lt;=K$3,1,0))))</f>
        <v>0</v>
      </c>
      <c r="L285" s="124" t="n">
        <f aca="false">J285*K285</f>
        <v>0</v>
      </c>
      <c r="M285" s="124" t="n">
        <f aca="false">SUM(J$280:J285)</f>
        <v>-1002239.30405681</v>
      </c>
      <c r="N285" s="124" t="n">
        <f aca="false">SUM(J$6:J285)</f>
        <v>21669304.9789728</v>
      </c>
      <c r="P285" s="124" t="n">
        <f aca="false">D285/P$3</f>
        <v>0</v>
      </c>
      <c r="Q285" s="124" t="n">
        <f aca="false">E285/P$3</f>
        <v>0</v>
      </c>
      <c r="R285" s="124" t="n">
        <f aca="false">F285/R$3</f>
        <v>0</v>
      </c>
      <c r="S285" s="126" t="n">
        <f aca="false">J285/$R$3</f>
        <v>0</v>
      </c>
      <c r="T285" s="126" t="n">
        <f aca="false">L285/$R$3</f>
        <v>0</v>
      </c>
      <c r="U285" s="126" t="n">
        <f aca="false">I285/$R$3</f>
        <v>-985.73885349699</v>
      </c>
      <c r="V285" s="126" t="n">
        <f aca="false">M285/$R$3</f>
        <v>-1002.23930405681</v>
      </c>
      <c r="W285" s="126" t="n">
        <f aca="false">N285/$R$3</f>
        <v>21669.3049789728</v>
      </c>
    </row>
    <row r="286" customFormat="false" ht="12.75" hidden="true" customHeight="false" outlineLevel="0" collapsed="false">
      <c r="A286" s="120" t="n">
        <f aca="false">A285+1</f>
        <v>37172</v>
      </c>
      <c r="B286" s="131" t="str">
        <f aca="false">INDEX('Master Data'!$A$2:$B$8,MATCH(WEEKDAY('BRA Power'!A286,3),'Master Data'!$A$2:$A$8,0),2)</f>
        <v>M</v>
      </c>
      <c r="D286" s="124" t="n">
        <v>-2060.02911283806</v>
      </c>
      <c r="E286" s="124" t="n">
        <v>116881.392459114</v>
      </c>
      <c r="F286" s="124" t="n">
        <v>0</v>
      </c>
      <c r="G286" s="124" t="n">
        <v>-964639.72349699</v>
      </c>
      <c r="I286" s="124" t="n">
        <f aca="false">IF(MONTH($A286)=MONTH($A285),IF(G286=0,I285,G286),G286)</f>
        <v>-964639.72349699</v>
      </c>
      <c r="J286" s="124" t="n">
        <f aca="false">IF(MONTH($A286)=MONTH($A285),SUM(I286-I285),I286)</f>
        <v>21099.13</v>
      </c>
      <c r="K286" s="124" t="n">
        <f aca="false">IF(WEEKDAY(A286,3)&gt;4,0,(IF(A286&lt;K$2,0,IF(A286&lt;=K$3,1,0))))</f>
        <v>0</v>
      </c>
      <c r="L286" s="124" t="n">
        <f aca="false">J286*K286</f>
        <v>0</v>
      </c>
      <c r="M286" s="124" t="n">
        <f aca="false">SUM(J$280:J286)</f>
        <v>-981140.174056808</v>
      </c>
      <c r="N286" s="124" t="n">
        <f aca="false">SUM(J$6:J286)</f>
        <v>21690404.1089728</v>
      </c>
      <c r="P286" s="124" t="n">
        <f aca="false">D286/P$3</f>
        <v>-0.00206002911283806</v>
      </c>
      <c r="Q286" s="124" t="n">
        <f aca="false">E286/P$3</f>
        <v>0.116881392459114</v>
      </c>
      <c r="R286" s="124" t="n">
        <f aca="false">F286/R$3</f>
        <v>0</v>
      </c>
      <c r="S286" s="126" t="n">
        <f aca="false">J286/$R$3</f>
        <v>21.09913</v>
      </c>
      <c r="T286" s="126" t="n">
        <f aca="false">L286/$R$3</f>
        <v>0</v>
      </c>
      <c r="U286" s="126" t="n">
        <f aca="false">I286/$R$3</f>
        <v>-964.63972349699</v>
      </c>
      <c r="V286" s="126" t="n">
        <f aca="false">M286/$R$3</f>
        <v>-981.140174056808</v>
      </c>
      <c r="W286" s="126" t="n">
        <f aca="false">N286/$R$3</f>
        <v>21690.4041089728</v>
      </c>
    </row>
    <row r="287" customFormat="false" ht="12.75" hidden="true" customHeight="false" outlineLevel="0" collapsed="false">
      <c r="A287" s="120" t="n">
        <f aca="false">A286+1</f>
        <v>37173</v>
      </c>
      <c r="B287" s="131" t="str">
        <f aca="false">INDEX('Master Data'!$A$2:$B$8,MATCH(WEEKDAY('BRA Power'!A287,3),'Master Data'!$A$2:$A$8,0),2)</f>
        <v>T</v>
      </c>
      <c r="D287" s="124" t="n">
        <v>-1954.9818138131</v>
      </c>
      <c r="E287" s="124" t="n">
        <v>116859.931587225</v>
      </c>
      <c r="F287" s="124" t="n">
        <v>0</v>
      </c>
      <c r="G287" s="124" t="n">
        <v>-957523.49349699</v>
      </c>
      <c r="I287" s="124" t="n">
        <f aca="false">IF(MONTH($A287)=MONTH($A286),IF(G287=0,I286,G287),G287)</f>
        <v>-957523.49349699</v>
      </c>
      <c r="J287" s="124" t="n">
        <f aca="false">IF(MONTH($A287)=MONTH($A286),SUM(I287-I286),I287)</f>
        <v>7116.22999999998</v>
      </c>
      <c r="K287" s="124" t="n">
        <f aca="false">IF(WEEKDAY(A287,3)&gt;4,0,(IF(A287&lt;K$2,0,IF(A287&lt;=K$3,1,0))))</f>
        <v>0</v>
      </c>
      <c r="L287" s="124" t="n">
        <f aca="false">J287*K287</f>
        <v>0</v>
      </c>
      <c r="M287" s="124" t="n">
        <f aca="false">SUM(J$280:J287)</f>
        <v>-974023.944056808</v>
      </c>
      <c r="N287" s="124" t="n">
        <f aca="false">SUM(J$6:J287)</f>
        <v>21697520.3389728</v>
      </c>
      <c r="P287" s="124" t="n">
        <f aca="false">D287/P$3</f>
        <v>-0.0019549818138131</v>
      </c>
      <c r="Q287" s="124" t="n">
        <f aca="false">E287/P$3</f>
        <v>0.116859931587225</v>
      </c>
      <c r="R287" s="124" t="n">
        <f aca="false">F287/R$3</f>
        <v>0</v>
      </c>
      <c r="S287" s="126" t="n">
        <f aca="false">J287/$R$3</f>
        <v>7.11622999999998</v>
      </c>
      <c r="T287" s="126" t="n">
        <f aca="false">L287/$R$3</f>
        <v>0</v>
      </c>
      <c r="U287" s="126" t="n">
        <f aca="false">I287/$R$3</f>
        <v>-957.52349349699</v>
      </c>
      <c r="V287" s="126" t="n">
        <f aca="false">M287/$R$3</f>
        <v>-974.023944056808</v>
      </c>
      <c r="W287" s="126" t="n">
        <f aca="false">N287/$R$3</f>
        <v>21697.5203389728</v>
      </c>
    </row>
    <row r="288" customFormat="false" ht="12.75" hidden="true" customHeight="false" outlineLevel="0" collapsed="false">
      <c r="A288" s="120" t="n">
        <f aca="false">A287+1</f>
        <v>37174</v>
      </c>
      <c r="B288" s="131" t="str">
        <f aca="false">INDEX('Master Data'!$A$2:$B$8,MATCH(WEEKDAY('BRA Power'!A288,3),'Master Data'!$A$2:$A$8,0),2)</f>
        <v>W</v>
      </c>
      <c r="D288" s="124" t="n">
        <v>-2038.60760806029</v>
      </c>
      <c r="E288" s="124" t="n">
        <v>117027.205626388</v>
      </c>
      <c r="F288" s="124" t="n">
        <v>0</v>
      </c>
      <c r="G288" s="124" t="n">
        <v>-950365.13349699</v>
      </c>
      <c r="I288" s="124" t="n">
        <f aca="false">IF(MONTH($A288)=MONTH($A287),IF(G288=0,I287,G288),G288)</f>
        <v>-950365.13349699</v>
      </c>
      <c r="J288" s="124" t="n">
        <f aca="false">IF(MONTH($A288)=MONTH($A287),SUM(I288-I287),I288)</f>
        <v>7158.3600000001</v>
      </c>
      <c r="K288" s="124" t="n">
        <f aca="false">IF(WEEKDAY(A288,3)&gt;4,0,(IF(A288&lt;K$2,0,IF(A288&lt;=K$3,1,0))))</f>
        <v>0</v>
      </c>
      <c r="L288" s="124" t="n">
        <f aca="false">J288*K288</f>
        <v>0</v>
      </c>
      <c r="M288" s="124" t="n">
        <f aca="false">SUM(J$280:J288)</f>
        <v>-966865.584056808</v>
      </c>
      <c r="N288" s="124" t="n">
        <f aca="false">SUM(J$6:J288)</f>
        <v>21704678.6989728</v>
      </c>
      <c r="P288" s="124" t="n">
        <f aca="false">D288/P$3</f>
        <v>-0.0020386076080603</v>
      </c>
      <c r="Q288" s="124" t="n">
        <f aca="false">E288/P$3</f>
        <v>0.117027205626388</v>
      </c>
      <c r="R288" s="124" t="n">
        <f aca="false">F288/R$3</f>
        <v>0</v>
      </c>
      <c r="S288" s="126" t="n">
        <f aca="false">J288/$R$3</f>
        <v>7.1583600000001</v>
      </c>
      <c r="T288" s="126" t="n">
        <f aca="false">L288/$R$3</f>
        <v>0</v>
      </c>
      <c r="U288" s="126" t="n">
        <f aca="false">I288/$R$3</f>
        <v>-950.36513349699</v>
      </c>
      <c r="V288" s="126" t="n">
        <f aca="false">M288/$R$3</f>
        <v>-966.865584056808</v>
      </c>
      <c r="W288" s="126" t="n">
        <f aca="false">N288/$R$3</f>
        <v>21704.6786989728</v>
      </c>
    </row>
    <row r="289" customFormat="false" ht="12.75" hidden="true" customHeight="false" outlineLevel="0" collapsed="false">
      <c r="A289" s="120" t="n">
        <f aca="false">A288+1</f>
        <v>37175</v>
      </c>
      <c r="B289" s="131" t="str">
        <f aca="false">INDEX('Master Data'!$A$2:$B$8,MATCH(WEEKDAY('BRA Power'!A289,3),'Master Data'!$A$2:$A$8,0),2)</f>
        <v>Th</v>
      </c>
      <c r="D289" s="124" t="n">
        <v>-2029.54439086517</v>
      </c>
      <c r="E289" s="124" t="n">
        <v>117101.852518252</v>
      </c>
      <c r="F289" s="124" t="n">
        <v>0</v>
      </c>
      <c r="G289" s="124" t="n">
        <v>-943164.29349699</v>
      </c>
      <c r="I289" s="124" t="n">
        <f aca="false">IF(MONTH($A289)=MONTH($A288),IF(G289=0,I288,G289),G289)</f>
        <v>-943164.29349699</v>
      </c>
      <c r="J289" s="124" t="n">
        <f aca="false">IF(MONTH($A289)=MONTH($A288),SUM(I289-I288),I289)</f>
        <v>7200.83999999997</v>
      </c>
      <c r="K289" s="124" t="n">
        <f aca="false">IF(WEEKDAY(A289,3)&gt;4,0,(IF(A289&lt;K$2,0,IF(A289&lt;=K$3,1,0))))</f>
        <v>0</v>
      </c>
      <c r="L289" s="124" t="n">
        <f aca="false">J289*K289</f>
        <v>0</v>
      </c>
      <c r="M289" s="124" t="n">
        <f aca="false">SUM(J$280:J289)</f>
        <v>-959664.744056808</v>
      </c>
      <c r="N289" s="124" t="n">
        <f aca="false">SUM(J$6:J289)</f>
        <v>21711879.5389728</v>
      </c>
      <c r="P289" s="124" t="n">
        <f aca="false">D289/P$3</f>
        <v>-0.00202954439086517</v>
      </c>
      <c r="Q289" s="124" t="n">
        <f aca="false">E289/P$3</f>
        <v>0.117101852518252</v>
      </c>
      <c r="R289" s="124" t="n">
        <f aca="false">F289/R$3</f>
        <v>0</v>
      </c>
      <c r="S289" s="126" t="n">
        <f aca="false">J289/$R$3</f>
        <v>7.20083999999997</v>
      </c>
      <c r="T289" s="126" t="n">
        <f aca="false">L289/$R$3</f>
        <v>0</v>
      </c>
      <c r="U289" s="126" t="n">
        <f aca="false">I289/$R$3</f>
        <v>-943.16429349699</v>
      </c>
      <c r="V289" s="126" t="n">
        <f aca="false">M289/$R$3</f>
        <v>-959.664744056808</v>
      </c>
      <c r="W289" s="126" t="n">
        <f aca="false">N289/$R$3</f>
        <v>21711.8795389728</v>
      </c>
    </row>
    <row r="290" customFormat="false" ht="12.75" hidden="true" customHeight="false" outlineLevel="0" collapsed="false">
      <c r="A290" s="120" t="n">
        <f aca="false">A289+1</f>
        <v>37176</v>
      </c>
      <c r="B290" s="131" t="str">
        <f aca="false">INDEX('Master Data'!$A$2:$B$8,MATCH(WEEKDAY('BRA Power'!A290,3),'Master Data'!$A$2:$A$8,0),2)</f>
        <v>F</v>
      </c>
      <c r="D290" s="124" t="n">
        <v>-2021.6416241111</v>
      </c>
      <c r="E290" s="124" t="n">
        <v>117177.721771099</v>
      </c>
      <c r="F290" s="124" t="n">
        <v>0</v>
      </c>
      <c r="G290" s="124" t="n">
        <v>-935920.71349699</v>
      </c>
      <c r="I290" s="124" t="n">
        <f aca="false">IF(MONTH($A290)=MONTH($A289),IF(G290=0,I289,G290),G290)</f>
        <v>-935920.71349699</v>
      </c>
      <c r="J290" s="124" t="n">
        <f aca="false">IF(MONTH($A290)=MONTH($A289),SUM(I290-I289),I290)</f>
        <v>7243.58000000007</v>
      </c>
      <c r="K290" s="124" t="n">
        <f aca="false">IF(WEEKDAY(A290,3)&gt;4,0,(IF(A290&lt;K$2,0,IF(A290&lt;=K$3,1,0))))</f>
        <v>0</v>
      </c>
      <c r="L290" s="124" t="n">
        <f aca="false">J290*K290</f>
        <v>0</v>
      </c>
      <c r="M290" s="124" t="n">
        <f aca="false">SUM(J$280:J290)</f>
        <v>-952421.164056808</v>
      </c>
      <c r="N290" s="124" t="n">
        <f aca="false">SUM(J$6:J290)</f>
        <v>21719123.1189728</v>
      </c>
      <c r="P290" s="124" t="n">
        <f aca="false">D290/P$3</f>
        <v>-0.0020216416241111</v>
      </c>
      <c r="Q290" s="124" t="n">
        <f aca="false">E290/P$3</f>
        <v>0.117177721771099</v>
      </c>
      <c r="R290" s="124" t="n">
        <f aca="false">F290/R$3</f>
        <v>0</v>
      </c>
      <c r="S290" s="126" t="n">
        <f aca="false">J290/$R$3</f>
        <v>7.24358000000007</v>
      </c>
      <c r="T290" s="126" t="n">
        <f aca="false">L290/$R$3</f>
        <v>0</v>
      </c>
      <c r="U290" s="126" t="n">
        <f aca="false">I290/$R$3</f>
        <v>-935.92071349699</v>
      </c>
      <c r="V290" s="126" t="n">
        <f aca="false">M290/$R$3</f>
        <v>-952.421164056808</v>
      </c>
      <c r="W290" s="126" t="n">
        <f aca="false">N290/$R$3</f>
        <v>21719.1231189728</v>
      </c>
    </row>
    <row r="291" customFormat="false" ht="12.75" hidden="true" customHeight="false" outlineLevel="0" collapsed="false">
      <c r="A291" s="120" t="n">
        <f aca="false">A290+1</f>
        <v>37177</v>
      </c>
      <c r="B291" s="131" t="str">
        <f aca="false">INDEX('Master Data'!$A$2:$B$8,MATCH(WEEKDAY('BRA Power'!A291,3),'Master Data'!$A$2:$A$8,0),2)</f>
        <v>Sa</v>
      </c>
      <c r="D291" s="124" t="n">
        <v>0</v>
      </c>
      <c r="E291" s="124" t="n">
        <v>0</v>
      </c>
      <c r="F291" s="124" t="n">
        <v>0</v>
      </c>
      <c r="G291" s="124" t="n">
        <v>0</v>
      </c>
      <c r="I291" s="124" t="n">
        <f aca="false">IF(MONTH($A291)=MONTH($A290),IF(G291=0,I290,G291),G291)</f>
        <v>-935920.71349699</v>
      </c>
      <c r="J291" s="124" t="n">
        <f aca="false">IF(MONTH($A291)=MONTH($A290),SUM(I291-I290),I291)</f>
        <v>0</v>
      </c>
      <c r="K291" s="124" t="n">
        <f aca="false">IF(WEEKDAY(A291,3)&gt;4,0,(IF(A291&lt;K$2,0,IF(A291&lt;=K$3,1,0))))</f>
        <v>0</v>
      </c>
      <c r="L291" s="124" t="n">
        <f aca="false">J291*K291</f>
        <v>0</v>
      </c>
      <c r="M291" s="124" t="n">
        <f aca="false">SUM(J$280:J291)</f>
        <v>-952421.164056808</v>
      </c>
      <c r="N291" s="124" t="n">
        <f aca="false">SUM(J$6:J291)</f>
        <v>21719123.1189728</v>
      </c>
      <c r="P291" s="124" t="n">
        <f aca="false">D291/P$3</f>
        <v>0</v>
      </c>
      <c r="Q291" s="124" t="n">
        <f aca="false">E291/P$3</f>
        <v>0</v>
      </c>
      <c r="R291" s="124" t="n">
        <f aca="false">F291/R$3</f>
        <v>0</v>
      </c>
      <c r="S291" s="126" t="n">
        <f aca="false">J291/$R$3</f>
        <v>0</v>
      </c>
      <c r="T291" s="126" t="n">
        <f aca="false">L291/$R$3</f>
        <v>0</v>
      </c>
      <c r="U291" s="126" t="n">
        <f aca="false">I291/$R$3</f>
        <v>-935.92071349699</v>
      </c>
      <c r="V291" s="126" t="n">
        <f aca="false">M291/$R$3</f>
        <v>-952.421164056808</v>
      </c>
      <c r="W291" s="126" t="n">
        <f aca="false">N291/$R$3</f>
        <v>21719.1231189728</v>
      </c>
    </row>
    <row r="292" customFormat="false" ht="12.75" hidden="true" customHeight="false" outlineLevel="0" collapsed="false">
      <c r="A292" s="120" t="n">
        <f aca="false">A291+1</f>
        <v>37178</v>
      </c>
      <c r="B292" s="131" t="str">
        <f aca="false">INDEX('Master Data'!$A$2:$B$8,MATCH(WEEKDAY('BRA Power'!A292,3),'Master Data'!$A$2:$A$8,0),2)</f>
        <v>Su</v>
      </c>
      <c r="D292" s="124" t="n">
        <v>0</v>
      </c>
      <c r="E292" s="124" t="n">
        <v>0</v>
      </c>
      <c r="F292" s="124" t="n">
        <v>0</v>
      </c>
      <c r="G292" s="124" t="n">
        <v>0</v>
      </c>
      <c r="I292" s="124" t="n">
        <f aca="false">IF(MONTH($A292)=MONTH($A291),IF(G292=0,I291,G292),G292)</f>
        <v>-935920.71349699</v>
      </c>
      <c r="J292" s="124" t="n">
        <f aca="false">IF(MONTH($A292)=MONTH($A291),SUM(I292-I291),I292)</f>
        <v>0</v>
      </c>
      <c r="K292" s="124" t="n">
        <f aca="false">IF(WEEKDAY(A292,3)&gt;4,0,(IF(A292&lt;K$2,0,IF(A292&lt;=K$3,1,0))))</f>
        <v>0</v>
      </c>
      <c r="L292" s="124" t="n">
        <f aca="false">J292*K292</f>
        <v>0</v>
      </c>
      <c r="M292" s="124" t="n">
        <f aca="false">SUM(J$280:J292)</f>
        <v>-952421.164056808</v>
      </c>
      <c r="N292" s="124" t="n">
        <f aca="false">SUM(J$6:J292)</f>
        <v>21719123.1189728</v>
      </c>
      <c r="P292" s="124" t="n">
        <f aca="false">D292/P$3</f>
        <v>0</v>
      </c>
      <c r="Q292" s="124" t="n">
        <f aca="false">E292/P$3</f>
        <v>0</v>
      </c>
      <c r="R292" s="124" t="n">
        <f aca="false">F292/R$3</f>
        <v>0</v>
      </c>
      <c r="S292" s="126" t="n">
        <f aca="false">J292/$R$3</f>
        <v>0</v>
      </c>
      <c r="T292" s="126" t="n">
        <f aca="false">L292/$R$3</f>
        <v>0</v>
      </c>
      <c r="U292" s="126" t="n">
        <f aca="false">I292/$R$3</f>
        <v>-935.92071349699</v>
      </c>
      <c r="V292" s="126" t="n">
        <f aca="false">M292/$R$3</f>
        <v>-952.421164056808</v>
      </c>
      <c r="W292" s="126" t="n">
        <f aca="false">N292/$R$3</f>
        <v>21719.1231189728</v>
      </c>
    </row>
    <row r="293" customFormat="false" ht="12.75" hidden="true" customHeight="false" outlineLevel="0" collapsed="false">
      <c r="A293" s="120" t="n">
        <f aca="false">A292+1</f>
        <v>37179</v>
      </c>
      <c r="B293" s="131" t="str">
        <f aca="false">INDEX('Master Data'!$A$2:$B$8,MATCH(WEEKDAY('BRA Power'!A293,3),'Master Data'!$A$2:$A$8,0),2)</f>
        <v>M</v>
      </c>
      <c r="D293" s="124" t="n">
        <v>-2005.40728320995</v>
      </c>
      <c r="E293" s="124" t="n">
        <v>117413.175416759</v>
      </c>
      <c r="F293" s="124" t="n">
        <v>0</v>
      </c>
      <c r="G293" s="124" t="n">
        <v>-913930.26349699</v>
      </c>
      <c r="I293" s="124" t="n">
        <f aca="false">IF(MONTH($A293)=MONTH($A292),IF(G293=0,I292,G293),G293)</f>
        <v>-913930.26349699</v>
      </c>
      <c r="J293" s="124" t="n">
        <f aca="false">IF(MONTH($A293)=MONTH($A292),SUM(I293-I292),I293)</f>
        <v>21990.45</v>
      </c>
      <c r="K293" s="124" t="n">
        <f aca="false">IF(WEEKDAY(A293,3)&gt;4,0,(IF(A293&lt;K$2,0,IF(A293&lt;=K$3,1,0))))</f>
        <v>0</v>
      </c>
      <c r="L293" s="124" t="n">
        <f aca="false">J293*K293</f>
        <v>0</v>
      </c>
      <c r="M293" s="124" t="n">
        <f aca="false">SUM(J$280:J293)</f>
        <v>-930430.714056808</v>
      </c>
      <c r="N293" s="124" t="n">
        <f aca="false">SUM(J$6:J293)</f>
        <v>21741113.5689728</v>
      </c>
      <c r="P293" s="124" t="n">
        <f aca="false">D293/P$3</f>
        <v>-0.00200540728320995</v>
      </c>
      <c r="Q293" s="124" t="n">
        <f aca="false">E293/P$3</f>
        <v>0.117413175416759</v>
      </c>
      <c r="R293" s="124" t="n">
        <f aca="false">F293/R$3</f>
        <v>0</v>
      </c>
      <c r="S293" s="126" t="n">
        <f aca="false">J293/$R$3</f>
        <v>21.99045</v>
      </c>
      <c r="T293" s="126" t="n">
        <f aca="false">L293/$R$3</f>
        <v>0</v>
      </c>
      <c r="U293" s="126" t="n">
        <f aca="false">I293/$R$3</f>
        <v>-913.93026349699</v>
      </c>
      <c r="V293" s="126" t="n">
        <f aca="false">M293/$R$3</f>
        <v>-930.430714056808</v>
      </c>
      <c r="W293" s="126" t="n">
        <f aca="false">N293/$R$3</f>
        <v>21741.1135689728</v>
      </c>
    </row>
    <row r="294" customFormat="false" ht="12.75" hidden="true" customHeight="false" outlineLevel="0" collapsed="false">
      <c r="A294" s="120" t="n">
        <f aca="false">A293+1</f>
        <v>37180</v>
      </c>
      <c r="B294" s="131" t="str">
        <f aca="false">INDEX('Master Data'!$A$2:$B$8,MATCH(WEEKDAY('BRA Power'!A294,3),'Master Data'!$A$2:$A$8,0),2)</f>
        <v>T</v>
      </c>
      <c r="D294" s="124" t="n">
        <v>-2002.67212464108</v>
      </c>
      <c r="E294" s="124" t="n">
        <v>117494.460384643</v>
      </c>
      <c r="F294" s="124" t="n">
        <v>0</v>
      </c>
      <c r="G294" s="124" t="n">
        <v>-906512.58349699</v>
      </c>
      <c r="I294" s="124" t="n">
        <f aca="false">IF(MONTH($A294)=MONTH($A293),IF(G294=0,I293,G294),G294)</f>
        <v>-906512.58349699</v>
      </c>
      <c r="J294" s="124" t="n">
        <f aca="false">IF(MONTH($A294)=MONTH($A293),SUM(I294-I293),I294)</f>
        <v>7417.67999999994</v>
      </c>
      <c r="K294" s="124" t="n">
        <f aca="false">IF(WEEKDAY(A294,3)&gt;4,0,(IF(A294&lt;K$2,0,IF(A294&lt;=K$3,1,0))))</f>
        <v>0</v>
      </c>
      <c r="L294" s="124" t="n">
        <f aca="false">J294*K294</f>
        <v>0</v>
      </c>
      <c r="M294" s="124" t="n">
        <f aca="false">SUM(J$280:J294)</f>
        <v>-923013.034056808</v>
      </c>
      <c r="N294" s="124" t="n">
        <f aca="false">SUM(J$6:J294)</f>
        <v>21748531.2489728</v>
      </c>
      <c r="P294" s="124" t="n">
        <f aca="false">D294/P$3</f>
        <v>-0.00200267212464108</v>
      </c>
      <c r="Q294" s="124" t="n">
        <f aca="false">E294/P$3</f>
        <v>0.117494460384643</v>
      </c>
      <c r="R294" s="124" t="n">
        <f aca="false">F294/R$3</f>
        <v>0</v>
      </c>
      <c r="S294" s="126" t="n">
        <f aca="false">J294/$R$3</f>
        <v>7.41767999999994</v>
      </c>
      <c r="T294" s="126" t="n">
        <f aca="false">L294/$R$3</f>
        <v>0</v>
      </c>
      <c r="U294" s="126" t="n">
        <f aca="false">I294/$R$3</f>
        <v>-906.51258349699</v>
      </c>
      <c r="V294" s="126" t="n">
        <f aca="false">M294/$R$3</f>
        <v>-923.013034056808</v>
      </c>
      <c r="W294" s="126" t="n">
        <f aca="false">N294/$R$3</f>
        <v>21748.5312489728</v>
      </c>
    </row>
    <row r="295" customFormat="false" ht="12.75" hidden="true" customHeight="false" outlineLevel="0" collapsed="false">
      <c r="A295" s="120" t="n">
        <f aca="false">A294+1</f>
        <v>37181</v>
      </c>
      <c r="B295" s="131" t="str">
        <f aca="false">INDEX('Master Data'!$A$2:$B$8,MATCH(WEEKDAY('BRA Power'!A295,3),'Master Data'!$A$2:$A$8,0),2)</f>
        <v>W</v>
      </c>
      <c r="D295" s="124" t="n">
        <v>-2001.3756324534</v>
      </c>
      <c r="E295" s="124" t="n">
        <v>123415.539937814</v>
      </c>
      <c r="F295" s="124" t="n">
        <v>0</v>
      </c>
      <c r="G295" s="124" t="n">
        <v>-899050.65349699</v>
      </c>
      <c r="I295" s="124" t="n">
        <f aca="false">IF(MONTH($A295)=MONTH($A294),IF(G295=0,I294,G295),G295)</f>
        <v>-899050.65349699</v>
      </c>
      <c r="J295" s="124" t="n">
        <f aca="false">IF(MONTH($A295)=MONTH($A294),SUM(I295-I294),I295)</f>
        <v>7461.93000000005</v>
      </c>
      <c r="K295" s="124" t="n">
        <f aca="false">IF(WEEKDAY(A295,3)&gt;4,0,(IF(A295&lt;K$2,0,IF(A295&lt;=K$3,1,0))))</f>
        <v>0</v>
      </c>
      <c r="L295" s="124" t="n">
        <f aca="false">J295*K295</f>
        <v>0</v>
      </c>
      <c r="M295" s="124" t="n">
        <f aca="false">SUM(J$280:J295)</f>
        <v>-915551.104056808</v>
      </c>
      <c r="N295" s="124" t="n">
        <f aca="false">SUM(J$6:J295)</f>
        <v>21755993.1789728</v>
      </c>
      <c r="P295" s="124" t="n">
        <f aca="false">D295/P$3</f>
        <v>-0.0020013756324534</v>
      </c>
      <c r="Q295" s="124" t="n">
        <f aca="false">E295/P$3</f>
        <v>0.123415539937814</v>
      </c>
      <c r="R295" s="124" t="n">
        <f aca="false">F295/R$3</f>
        <v>0</v>
      </c>
      <c r="S295" s="126" t="n">
        <f aca="false">J295/$R$3</f>
        <v>7.46193000000005</v>
      </c>
      <c r="T295" s="126" t="n">
        <f aca="false">L295/$R$3</f>
        <v>0</v>
      </c>
      <c r="U295" s="126" t="n">
        <f aca="false">I295/$R$3</f>
        <v>-899.05065349699</v>
      </c>
      <c r="V295" s="126" t="n">
        <f aca="false">M295/$R$3</f>
        <v>-915.551104056808</v>
      </c>
      <c r="W295" s="126" t="n">
        <f aca="false">N295/$R$3</f>
        <v>21755.9931789728</v>
      </c>
    </row>
    <row r="296" customFormat="false" ht="12.75" hidden="true" customHeight="false" outlineLevel="0" collapsed="false">
      <c r="A296" s="120" t="n">
        <f aca="false">A295+1</f>
        <v>37182</v>
      </c>
      <c r="B296" s="131" t="str">
        <f aca="false">INDEX('Master Data'!$A$2:$B$8,MATCH(WEEKDAY('BRA Power'!A296,3),'Master Data'!$A$2:$A$8,0),2)</f>
        <v>Th</v>
      </c>
      <c r="D296" s="124" t="n">
        <v>-6371.92190921202</v>
      </c>
      <c r="E296" s="124" t="n">
        <v>127873.834785969</v>
      </c>
      <c r="F296" s="124" t="n">
        <v>0</v>
      </c>
      <c r="G296" s="124" t="n">
        <v>-880366.193496989</v>
      </c>
      <c r="I296" s="124" t="n">
        <f aca="false">IF(MONTH($A296)=MONTH($A295),IF(G296=0,I295,G296),G296)</f>
        <v>-880366.193496989</v>
      </c>
      <c r="J296" s="124" t="n">
        <f aca="false">IF(MONTH($A296)=MONTH($A295),SUM(I296-I295),I296)</f>
        <v>18684.4600000001</v>
      </c>
      <c r="K296" s="124" t="n">
        <f aca="false">IF(WEEKDAY(A296,3)&gt;4,0,(IF(A296&lt;K$2,0,IF(A296&lt;=K$3,1,0))))</f>
        <v>0</v>
      </c>
      <c r="L296" s="124" t="n">
        <f aca="false">J296*K296</f>
        <v>0</v>
      </c>
      <c r="M296" s="124" t="n">
        <f aca="false">SUM(J$280:J296)</f>
        <v>-896866.644056808</v>
      </c>
      <c r="N296" s="124" t="n">
        <f aca="false">SUM(J$6:J296)</f>
        <v>21774677.6389728</v>
      </c>
      <c r="P296" s="124" t="n">
        <f aca="false">D296/P$3</f>
        <v>-0.00637192190921202</v>
      </c>
      <c r="Q296" s="124" t="n">
        <f aca="false">E296/P$3</f>
        <v>0.127873834785969</v>
      </c>
      <c r="R296" s="124" t="n">
        <f aca="false">F296/R$3</f>
        <v>0</v>
      </c>
      <c r="S296" s="126" t="n">
        <f aca="false">J296/$R$3</f>
        <v>18.6844600000001</v>
      </c>
      <c r="T296" s="126" t="n">
        <f aca="false">L296/$R$3</f>
        <v>0</v>
      </c>
      <c r="U296" s="126" t="n">
        <f aca="false">I296/$R$3</f>
        <v>-880.36619349699</v>
      </c>
      <c r="V296" s="126" t="n">
        <f aca="false">M296/$R$3</f>
        <v>-896.866644056808</v>
      </c>
      <c r="W296" s="126" t="n">
        <f aca="false">N296/$R$3</f>
        <v>21774.6776389728</v>
      </c>
    </row>
    <row r="297" customFormat="false" ht="12.75" hidden="true" customHeight="false" outlineLevel="0" collapsed="false">
      <c r="A297" s="120" t="n">
        <f aca="false">A296+1</f>
        <v>37183</v>
      </c>
      <c r="B297" s="131" t="str">
        <f aca="false">INDEX('Master Data'!$A$2:$B$8,MATCH(WEEKDAY('BRA Power'!A297,3),'Master Data'!$A$2:$A$8,0),2)</f>
        <v>F</v>
      </c>
      <c r="D297" s="124" t="n">
        <v>-6376.68400511545</v>
      </c>
      <c r="E297" s="124" t="n">
        <v>127966.409914486</v>
      </c>
      <c r="F297" s="124" t="n">
        <v>0</v>
      </c>
      <c r="G297" s="124" t="n">
        <v>-872811.23349699</v>
      </c>
      <c r="I297" s="124" t="n">
        <f aca="false">IF(MONTH($A297)=MONTH($A296),IF(G297=0,I296,G297),G297)</f>
        <v>-872811.23349699</v>
      </c>
      <c r="J297" s="124" t="n">
        <f aca="false">IF(MONTH($A297)=MONTH($A296),SUM(I297-I296),I297)</f>
        <v>7554.95999999973</v>
      </c>
      <c r="K297" s="124" t="n">
        <f aca="false">IF(WEEKDAY(A297,3)&gt;4,0,(IF(A297&lt;K$2,0,IF(A297&lt;=K$3,1,0))))</f>
        <v>0</v>
      </c>
      <c r="L297" s="124" t="n">
        <f aca="false">J297*K297</f>
        <v>0</v>
      </c>
      <c r="M297" s="124" t="n">
        <f aca="false">SUM(J$280:J297)</f>
        <v>-889311.684056809</v>
      </c>
      <c r="N297" s="124" t="n">
        <f aca="false">SUM(J$6:J297)</f>
        <v>21782232.5989728</v>
      </c>
      <c r="P297" s="124" t="n">
        <f aca="false">D297/P$3</f>
        <v>-0.00637668400511545</v>
      </c>
      <c r="Q297" s="124" t="n">
        <f aca="false">E297/P$3</f>
        <v>0.127966409914486</v>
      </c>
      <c r="R297" s="124" t="n">
        <f aca="false">F297/R$3</f>
        <v>0</v>
      </c>
      <c r="S297" s="126" t="n">
        <f aca="false">J297/$R$3</f>
        <v>7.55495999999973</v>
      </c>
      <c r="T297" s="126" t="n">
        <f aca="false">L297/$R$3</f>
        <v>0</v>
      </c>
      <c r="U297" s="126" t="n">
        <f aca="false">I297/$R$3</f>
        <v>-872.81123349699</v>
      </c>
      <c r="V297" s="126" t="n">
        <f aca="false">M297/$R$3</f>
        <v>-889.311684056808</v>
      </c>
      <c r="W297" s="126" t="n">
        <f aca="false">N297/$R$3</f>
        <v>21782.2325989728</v>
      </c>
    </row>
    <row r="298" customFormat="false" ht="12.75" hidden="true" customHeight="false" outlineLevel="0" collapsed="false">
      <c r="A298" s="120" t="n">
        <f aca="false">A297+1</f>
        <v>37184</v>
      </c>
      <c r="B298" s="131" t="str">
        <f aca="false">INDEX('Master Data'!$A$2:$B$8,MATCH(WEEKDAY('BRA Power'!A298,3),'Master Data'!$A$2:$A$8,0),2)</f>
        <v>Sa</v>
      </c>
      <c r="D298" s="124" t="n">
        <v>0</v>
      </c>
      <c r="E298" s="124" t="n">
        <v>0</v>
      </c>
      <c r="F298" s="124" t="n">
        <v>0</v>
      </c>
      <c r="G298" s="124" t="n">
        <v>0</v>
      </c>
      <c r="I298" s="124" t="n">
        <f aca="false">IF(MONTH($A298)=MONTH($A297),IF(G298=0,I297,G298),G298)</f>
        <v>-872811.23349699</v>
      </c>
      <c r="J298" s="124" t="n">
        <f aca="false">IF(MONTH($A298)=MONTH($A297),SUM(I298-I297),I298)</f>
        <v>0</v>
      </c>
      <c r="K298" s="124" t="n">
        <f aca="false">IF(WEEKDAY(A298,3)&gt;4,0,(IF(A298&lt;K$2,0,IF(A298&lt;=K$3,1,0))))</f>
        <v>0</v>
      </c>
      <c r="L298" s="124" t="n">
        <f aca="false">J298*K298</f>
        <v>0</v>
      </c>
      <c r="M298" s="124" t="n">
        <f aca="false">SUM(J$280:J298)</f>
        <v>-889311.684056809</v>
      </c>
      <c r="N298" s="124" t="n">
        <f aca="false">SUM(J$6:J298)</f>
        <v>21782232.5989728</v>
      </c>
      <c r="P298" s="124" t="n">
        <f aca="false">D298/P$3</f>
        <v>0</v>
      </c>
      <c r="Q298" s="124" t="n">
        <f aca="false">E298/P$3</f>
        <v>0</v>
      </c>
      <c r="R298" s="124" t="n">
        <f aca="false">F298/R$3</f>
        <v>0</v>
      </c>
      <c r="S298" s="126" t="n">
        <f aca="false">J298/$R$3</f>
        <v>0</v>
      </c>
      <c r="T298" s="126" t="n">
        <f aca="false">L298/$R$3</f>
        <v>0</v>
      </c>
      <c r="U298" s="126" t="n">
        <f aca="false">I298/$R$3</f>
        <v>-872.81123349699</v>
      </c>
      <c r="V298" s="126" t="n">
        <f aca="false">M298/$R$3</f>
        <v>-889.311684056808</v>
      </c>
      <c r="W298" s="126" t="n">
        <f aca="false">N298/$R$3</f>
        <v>21782.2325989728</v>
      </c>
    </row>
    <row r="299" customFormat="false" ht="12.75" hidden="true" customHeight="false" outlineLevel="0" collapsed="false">
      <c r="A299" s="120" t="n">
        <f aca="false">A298+1</f>
        <v>37185</v>
      </c>
      <c r="B299" s="131" t="str">
        <f aca="false">INDEX('Master Data'!$A$2:$B$8,MATCH(WEEKDAY('BRA Power'!A299,3),'Master Data'!$A$2:$A$8,0),2)</f>
        <v>Su</v>
      </c>
      <c r="D299" s="124" t="n">
        <v>0</v>
      </c>
      <c r="E299" s="124" t="n">
        <v>0</v>
      </c>
      <c r="F299" s="124" t="n">
        <v>0</v>
      </c>
      <c r="G299" s="124" t="n">
        <v>0</v>
      </c>
      <c r="I299" s="124" t="n">
        <f aca="false">IF(MONTH($A299)=MONTH($A298),IF(G299=0,I298,G299),G299)</f>
        <v>-872811.23349699</v>
      </c>
      <c r="J299" s="124" t="n">
        <f aca="false">IF(MONTH($A299)=MONTH($A298),SUM(I299-I298),I299)</f>
        <v>0</v>
      </c>
      <c r="K299" s="124" t="n">
        <f aca="false">IF(WEEKDAY(A299,3)&gt;4,0,(IF(A299&lt;K$2,0,IF(A299&lt;=K$3,1,0))))</f>
        <v>0</v>
      </c>
      <c r="L299" s="124" t="n">
        <f aca="false">J299*K299</f>
        <v>0</v>
      </c>
      <c r="M299" s="124" t="n">
        <f aca="false">SUM(J$280:J299)</f>
        <v>-889311.684056809</v>
      </c>
      <c r="N299" s="124" t="n">
        <f aca="false">SUM(J$6:J299)</f>
        <v>21782232.5989728</v>
      </c>
      <c r="P299" s="124" t="n">
        <f aca="false">D299/P$3</f>
        <v>0</v>
      </c>
      <c r="Q299" s="124" t="n">
        <f aca="false">E299/P$3</f>
        <v>0</v>
      </c>
      <c r="R299" s="124" t="n">
        <f aca="false">F299/R$3</f>
        <v>0</v>
      </c>
      <c r="S299" s="126" t="n">
        <f aca="false">J299/$R$3</f>
        <v>0</v>
      </c>
      <c r="T299" s="126" t="n">
        <f aca="false">L299/$R$3</f>
        <v>0</v>
      </c>
      <c r="U299" s="126" t="n">
        <f aca="false">I299/$R$3</f>
        <v>-872.81123349699</v>
      </c>
      <c r="V299" s="126" t="n">
        <f aca="false">M299/$R$3</f>
        <v>-889.311684056808</v>
      </c>
      <c r="W299" s="126" t="n">
        <f aca="false">N299/$R$3</f>
        <v>21782.2325989728</v>
      </c>
    </row>
    <row r="300" customFormat="false" ht="12.75" hidden="true" customHeight="false" outlineLevel="0" collapsed="false">
      <c r="A300" s="120" t="n">
        <f aca="false">A299+1</f>
        <v>37186</v>
      </c>
      <c r="B300" s="131" t="str">
        <f aca="false">INDEX('Master Data'!$A$2:$B$8,MATCH(WEEKDAY('BRA Power'!A300,3),'Master Data'!$A$2:$A$8,0),2)</f>
        <v>M</v>
      </c>
      <c r="D300" s="124" t="n">
        <v>-6396.71081430631</v>
      </c>
      <c r="E300" s="124" t="n">
        <v>128250.263069537</v>
      </c>
      <c r="F300" s="124" t="n">
        <v>0</v>
      </c>
      <c r="G300" s="124" t="n">
        <v>-849881.37349699</v>
      </c>
      <c r="I300" s="124" t="n">
        <f aca="false">IF(MONTH($A300)=MONTH($A299),IF(G300=0,I299,G300),G300)</f>
        <v>-849881.37349699</v>
      </c>
      <c r="J300" s="124" t="n">
        <f aca="false">IF(MONTH($A300)=MONTH($A299),SUM(I300-I299),I300)</f>
        <v>22929.8600000002</v>
      </c>
      <c r="K300" s="124" t="n">
        <f aca="false">IF(WEEKDAY(A300,3)&gt;4,0,(IF(A300&lt;K$2,0,IF(A300&lt;=K$3,1,0))))</f>
        <v>0</v>
      </c>
      <c r="L300" s="124" t="n">
        <f aca="false">J300*K300</f>
        <v>0</v>
      </c>
      <c r="M300" s="124" t="n">
        <f aca="false">SUM(J$280:J300)</f>
        <v>-866381.824056808</v>
      </c>
      <c r="N300" s="124" t="n">
        <f aca="false">SUM(J$6:J300)</f>
        <v>21805162.4589728</v>
      </c>
      <c r="P300" s="124" t="n">
        <f aca="false">D300/P$3</f>
        <v>-0.00639671081430631</v>
      </c>
      <c r="Q300" s="124" t="n">
        <f aca="false">E300/P$3</f>
        <v>0.128250263069537</v>
      </c>
      <c r="R300" s="124" t="n">
        <f aca="false">F300/R$3</f>
        <v>0</v>
      </c>
      <c r="S300" s="126" t="n">
        <f aca="false">J300/$R$3</f>
        <v>22.9298600000002</v>
      </c>
      <c r="T300" s="126" t="n">
        <f aca="false">L300/$R$3</f>
        <v>0</v>
      </c>
      <c r="U300" s="126" t="n">
        <f aca="false">I300/$R$3</f>
        <v>-849.88137349699</v>
      </c>
      <c r="V300" s="126" t="n">
        <f aca="false">M300/$R$3</f>
        <v>-866.381824056808</v>
      </c>
      <c r="W300" s="126" t="n">
        <f aca="false">N300/$R$3</f>
        <v>21805.1624589728</v>
      </c>
    </row>
    <row r="301" customFormat="false" ht="12.75" hidden="true" customHeight="false" outlineLevel="0" collapsed="false">
      <c r="A301" s="120" t="n">
        <f aca="false">A300+1</f>
        <v>37187</v>
      </c>
      <c r="B301" s="131" t="str">
        <f aca="false">INDEX('Master Data'!$A$2:$B$8,MATCH(WEEKDAY('BRA Power'!A301,3),'Master Data'!$A$2:$A$8,0),2)</f>
        <v>T</v>
      </c>
      <c r="D301" s="124" t="n">
        <v>-6407.06815873536</v>
      </c>
      <c r="E301" s="124" t="n">
        <v>128348.691772349</v>
      </c>
      <c r="F301" s="124" t="n">
        <v>0</v>
      </c>
      <c r="G301" s="124" t="n">
        <v>-842147.26349699</v>
      </c>
      <c r="I301" s="124" t="n">
        <f aca="false">IF(MONTH($A301)=MONTH($A300),IF(G301=0,I300,G301),G301)</f>
        <v>-842147.26349699</v>
      </c>
      <c r="J301" s="124" t="n">
        <f aca="false">IF(MONTH($A301)=MONTH($A300),SUM(I301-I300),I301)</f>
        <v>7734.10999999999</v>
      </c>
      <c r="K301" s="124" t="n">
        <f aca="false">IF(WEEKDAY(A301,3)&gt;4,0,(IF(A301&lt;K$2,0,IF(A301&lt;=K$3,1,0))))</f>
        <v>0</v>
      </c>
      <c r="L301" s="124" t="n">
        <f aca="false">J301*K301</f>
        <v>0</v>
      </c>
      <c r="M301" s="124" t="n">
        <f aca="false">SUM(J$280:J301)</f>
        <v>-858647.714056808</v>
      </c>
      <c r="N301" s="124" t="n">
        <f aca="false">SUM(J$6:J301)</f>
        <v>21812896.5689728</v>
      </c>
      <c r="P301" s="124" t="n">
        <f aca="false">D301/P$3</f>
        <v>-0.00640706815873536</v>
      </c>
      <c r="Q301" s="124" t="n">
        <f aca="false">E301/P$3</f>
        <v>0.128348691772349</v>
      </c>
      <c r="R301" s="124" t="n">
        <f aca="false">F301/R$3</f>
        <v>0</v>
      </c>
      <c r="S301" s="126" t="n">
        <f aca="false">J301/$R$3</f>
        <v>7.73410999999999</v>
      </c>
      <c r="T301" s="126" t="n">
        <f aca="false">L301/$R$3</f>
        <v>0</v>
      </c>
      <c r="U301" s="126" t="n">
        <f aca="false">I301/$R$3</f>
        <v>-842.14726349699</v>
      </c>
      <c r="V301" s="126" t="n">
        <f aca="false">M301/$R$3</f>
        <v>-858.647714056808</v>
      </c>
      <c r="W301" s="126" t="n">
        <f aca="false">N301/$R$3</f>
        <v>21812.8965689728</v>
      </c>
    </row>
    <row r="302" customFormat="false" ht="12.75" hidden="true" customHeight="false" outlineLevel="0" collapsed="false">
      <c r="A302" s="120" t="n">
        <f aca="false">A301+1</f>
        <v>37188</v>
      </c>
      <c r="B302" s="131" t="str">
        <f aca="false">INDEX('Master Data'!$A$2:$B$8,MATCH(WEEKDAY('BRA Power'!A302,3),'Master Data'!$A$2:$A$8,0),2)</f>
        <v>W</v>
      </c>
      <c r="D302" s="124" t="n">
        <v>-6419.41927959674</v>
      </c>
      <c r="E302" s="124" t="n">
        <v>128449.178953444</v>
      </c>
      <c r="F302" s="124" t="n">
        <v>0</v>
      </c>
      <c r="G302" s="124" t="n">
        <v>-834367.493496989</v>
      </c>
      <c r="I302" s="124" t="n">
        <f aca="false">IF(MONTH($A302)=MONTH($A301),IF(G302=0,I301,G302),G302)</f>
        <v>-834367.493496989</v>
      </c>
      <c r="J302" s="124" t="n">
        <f aca="false">IF(MONTH($A302)=MONTH($A301),SUM(I302-I301),I302)</f>
        <v>7779.77000000014</v>
      </c>
      <c r="K302" s="124" t="n">
        <f aca="false">IF(WEEKDAY(A302,3)&gt;4,0,(IF(A302&lt;K$2,0,IF(A302&lt;=K$3,1,0))))</f>
        <v>0</v>
      </c>
      <c r="L302" s="124" t="n">
        <f aca="false">J302*K302</f>
        <v>0</v>
      </c>
      <c r="M302" s="124" t="n">
        <f aca="false">SUM(J$280:J302)</f>
        <v>-850867.944056808</v>
      </c>
      <c r="N302" s="124" t="n">
        <f aca="false">SUM(J$6:J302)</f>
        <v>21820676.3389728</v>
      </c>
      <c r="P302" s="124" t="n">
        <f aca="false">D302/P$3</f>
        <v>-0.00641941927959674</v>
      </c>
      <c r="Q302" s="124" t="n">
        <f aca="false">E302/P$3</f>
        <v>0.128449178953444</v>
      </c>
      <c r="R302" s="124" t="n">
        <f aca="false">F302/R$3</f>
        <v>0</v>
      </c>
      <c r="S302" s="126" t="n">
        <f aca="false">J302/$R$3</f>
        <v>7.77977000000014</v>
      </c>
      <c r="T302" s="126" t="n">
        <f aca="false">L302/$R$3</f>
        <v>0</v>
      </c>
      <c r="U302" s="126" t="n">
        <f aca="false">I302/$R$3</f>
        <v>-834.367493496989</v>
      </c>
      <c r="V302" s="126" t="n">
        <f aca="false">M302/$R$3</f>
        <v>-850.867944056808</v>
      </c>
      <c r="W302" s="126" t="n">
        <f aca="false">N302/$R$3</f>
        <v>21820.6763389728</v>
      </c>
    </row>
    <row r="303" customFormat="false" ht="12.75" hidden="true" customHeight="false" outlineLevel="0" collapsed="false">
      <c r="A303" s="120" t="n">
        <f aca="false">A302+1</f>
        <v>37189</v>
      </c>
      <c r="B303" s="131" t="str">
        <f aca="false">INDEX('Master Data'!$A$2:$B$8,MATCH(WEEKDAY('BRA Power'!A303,3),'Master Data'!$A$2:$A$8,0),2)</f>
        <v>Th</v>
      </c>
      <c r="D303" s="124" t="n">
        <v>-6433.86511018898</v>
      </c>
      <c r="E303" s="124" t="n">
        <v>128551.825594356</v>
      </c>
      <c r="F303" s="124" t="n">
        <v>0</v>
      </c>
      <c r="G303" s="124" t="n">
        <v>-774937.54349699</v>
      </c>
      <c r="I303" s="124" t="n">
        <f aca="false">IF(MONTH($A303)=MONTH($A302),IF(G303=0,I302,G303),G303)</f>
        <v>-774937.54349699</v>
      </c>
      <c r="J303" s="124" t="n">
        <f aca="false">IF(MONTH($A303)=MONTH($A302),SUM(I303-I302),I303)</f>
        <v>59429.9499999997</v>
      </c>
      <c r="K303" s="124" t="n">
        <f aca="false">IF(WEEKDAY(A303,3)&gt;4,0,(IF(A303&lt;K$2,0,IF(A303&lt;=K$3,1,0))))</f>
        <v>0</v>
      </c>
      <c r="L303" s="124" t="n">
        <f aca="false">J303*K303</f>
        <v>0</v>
      </c>
      <c r="M303" s="124" t="n">
        <f aca="false">SUM(J$280:J303)</f>
        <v>-791437.994056808</v>
      </c>
      <c r="N303" s="124" t="n">
        <f aca="false">SUM(J$6:J303)</f>
        <v>21880106.2889728</v>
      </c>
      <c r="P303" s="124" t="n">
        <f aca="false">D303/P$3</f>
        <v>-0.00643386511018898</v>
      </c>
      <c r="Q303" s="124" t="n">
        <f aca="false">E303/P$3</f>
        <v>0.128551825594356</v>
      </c>
      <c r="R303" s="124" t="n">
        <f aca="false">F303/R$3</f>
        <v>0</v>
      </c>
      <c r="S303" s="126" t="n">
        <f aca="false">J303/$R$3</f>
        <v>59.4299499999997</v>
      </c>
      <c r="T303" s="126" t="n">
        <f aca="false">L303/$R$3</f>
        <v>0</v>
      </c>
      <c r="U303" s="126" t="n">
        <f aca="false">I303/$R$3</f>
        <v>-774.93754349699</v>
      </c>
      <c r="V303" s="126" t="n">
        <f aca="false">M303/$R$3</f>
        <v>-791.437994056808</v>
      </c>
      <c r="W303" s="126" t="n">
        <f aca="false">N303/$R$3</f>
        <v>21880.1062889728</v>
      </c>
    </row>
    <row r="304" customFormat="false" ht="12.75" hidden="false" customHeight="false" outlineLevel="0" collapsed="false">
      <c r="A304" s="120" t="n">
        <f aca="false">A303+1</f>
        <v>37190</v>
      </c>
      <c r="B304" s="131" t="str">
        <f aca="false">INDEX('Master Data'!$A$2:$B$8,MATCH(WEEKDAY('BRA Power'!A304,3),'Master Data'!$A$2:$A$8,0),2)</f>
        <v>F</v>
      </c>
      <c r="D304" s="124" t="n">
        <v>-6450.51345030529</v>
      </c>
      <c r="E304" s="124" t="n">
        <v>128656.73954315</v>
      </c>
      <c r="F304" s="124" t="n">
        <v>0</v>
      </c>
      <c r="G304" s="124" t="n">
        <v>-767066.27349699</v>
      </c>
      <c r="I304" s="124" t="n">
        <f aca="false">IF(MONTH($A304)=MONTH($A303),IF(G304=0,I303,G304),G304)</f>
        <v>-767066.27349699</v>
      </c>
      <c r="J304" s="124" t="n">
        <f aca="false">IF(MONTH($A304)=MONTH($A303),SUM(I304-I303),I304)</f>
        <v>7871.27000000002</v>
      </c>
      <c r="K304" s="124" t="n">
        <f aca="false">IF(WEEKDAY(A304,3)&gt;4,0,(IF(A304&lt;K$2,0,IF(A304&lt;=K$3,1,0))))</f>
        <v>1</v>
      </c>
      <c r="L304" s="124" t="n">
        <f aca="false">J304*K304</f>
        <v>7871.27000000002</v>
      </c>
      <c r="M304" s="124" t="n">
        <f aca="false">SUM(J$280:J304)</f>
        <v>-783566.724056808</v>
      </c>
      <c r="N304" s="124" t="n">
        <f aca="false">SUM(J$6:J304)</f>
        <v>21887977.5589728</v>
      </c>
      <c r="P304" s="124" t="n">
        <f aca="false">D304/P$3</f>
        <v>-0.00645051345030529</v>
      </c>
      <c r="Q304" s="124" t="n">
        <f aca="false">E304/P$3</f>
        <v>0.12865673954315</v>
      </c>
      <c r="R304" s="124" t="n">
        <f aca="false">F304/R$3</f>
        <v>0</v>
      </c>
      <c r="S304" s="126" t="n">
        <f aca="false">J304/$R$3</f>
        <v>7.87127000000002</v>
      </c>
      <c r="T304" s="126" t="n">
        <f aca="false">L304/$R$3</f>
        <v>7.87127000000002</v>
      </c>
      <c r="U304" s="126" t="n">
        <f aca="false">I304/$R$3</f>
        <v>-767.06627349699</v>
      </c>
      <c r="V304" s="126" t="n">
        <f aca="false">M304/$R$3</f>
        <v>-783.566724056808</v>
      </c>
      <c r="W304" s="126" t="n">
        <f aca="false">N304/$R$3</f>
        <v>21887.9775589728</v>
      </c>
    </row>
    <row r="305" customFormat="false" ht="12.75" hidden="false" customHeight="false" outlineLevel="0" collapsed="false">
      <c r="A305" s="120" t="n">
        <f aca="false">A304+1</f>
        <v>37191</v>
      </c>
      <c r="B305" s="131" t="str">
        <f aca="false">INDEX('Master Data'!$A$2:$B$8,MATCH(WEEKDAY('BRA Power'!A305,3),'Master Data'!$A$2:$A$8,0),2)</f>
        <v>Sa</v>
      </c>
      <c r="D305" s="124" t="n">
        <v>0</v>
      </c>
      <c r="E305" s="124" t="n">
        <v>0</v>
      </c>
      <c r="F305" s="124" t="n">
        <v>0</v>
      </c>
      <c r="G305" s="124" t="n">
        <v>0</v>
      </c>
      <c r="I305" s="124" t="n">
        <f aca="false">IF(MONTH($A305)=MONTH($A304),IF(G305=0,I304,G305),G305)</f>
        <v>-767066.27349699</v>
      </c>
      <c r="J305" s="124" t="n">
        <f aca="false">IF(MONTH($A305)=MONTH($A304),SUM(I305-I304),I305)</f>
        <v>0</v>
      </c>
      <c r="K305" s="124" t="n">
        <f aca="false">IF(WEEKDAY(A305,3)&gt;4,0,(IF(A305&lt;K$2,0,IF(A305&lt;=K$3,1,0))))</f>
        <v>0</v>
      </c>
      <c r="L305" s="124" t="n">
        <f aca="false">J305*K305</f>
        <v>0</v>
      </c>
      <c r="M305" s="124" t="n">
        <f aca="false">SUM(J$280:J305)</f>
        <v>-783566.724056808</v>
      </c>
      <c r="N305" s="124" t="n">
        <f aca="false">SUM(J$6:J305)</f>
        <v>21887977.5589728</v>
      </c>
      <c r="P305" s="124" t="n">
        <f aca="false">D305/P$3</f>
        <v>0</v>
      </c>
      <c r="Q305" s="124" t="n">
        <f aca="false">E305/P$3</f>
        <v>0</v>
      </c>
      <c r="R305" s="124" t="n">
        <f aca="false">F305/R$3</f>
        <v>0</v>
      </c>
      <c r="S305" s="126" t="n">
        <f aca="false">J305/$R$3</f>
        <v>0</v>
      </c>
      <c r="T305" s="126" t="n">
        <f aca="false">L305/$R$3</f>
        <v>0</v>
      </c>
      <c r="U305" s="126" t="n">
        <f aca="false">I305/$R$3</f>
        <v>-767.06627349699</v>
      </c>
      <c r="V305" s="126" t="n">
        <f aca="false">M305/$R$3</f>
        <v>-783.566724056808</v>
      </c>
      <c r="W305" s="126" t="n">
        <f aca="false">N305/$R$3</f>
        <v>21887.9775589728</v>
      </c>
    </row>
    <row r="306" customFormat="false" ht="12.75" hidden="false" customHeight="false" outlineLevel="0" collapsed="false">
      <c r="A306" s="120" t="n">
        <f aca="false">A305+1</f>
        <v>37192</v>
      </c>
      <c r="B306" s="131" t="str">
        <f aca="false">INDEX('Master Data'!$A$2:$B$8,MATCH(WEEKDAY('BRA Power'!A306,3),'Master Data'!$A$2:$A$8,0),2)</f>
        <v>Su</v>
      </c>
      <c r="D306" s="124" t="n">
        <v>0</v>
      </c>
      <c r="E306" s="124" t="n">
        <v>0</v>
      </c>
      <c r="F306" s="124" t="n">
        <v>0</v>
      </c>
      <c r="G306" s="124" t="n">
        <v>0</v>
      </c>
      <c r="I306" s="124" t="n">
        <f aca="false">IF(MONTH($A306)=MONTH($A305),IF(G306=0,I305,G306),G306)</f>
        <v>-767066.27349699</v>
      </c>
      <c r="J306" s="124" t="n">
        <f aca="false">IF(MONTH($A306)=MONTH($A305),SUM(I306-I305),I306)</f>
        <v>0</v>
      </c>
      <c r="K306" s="124" t="n">
        <f aca="false">IF(WEEKDAY(A306,3)&gt;4,0,(IF(A306&lt;K$2,0,IF(A306&lt;=K$3,1,0))))</f>
        <v>0</v>
      </c>
      <c r="L306" s="124" t="n">
        <f aca="false">J306*K306</f>
        <v>0</v>
      </c>
      <c r="M306" s="124" t="n">
        <f aca="false">SUM(J$280:J306)</f>
        <v>-783566.724056808</v>
      </c>
      <c r="N306" s="124" t="n">
        <f aca="false">SUM(J$6:J306)</f>
        <v>21887977.5589728</v>
      </c>
      <c r="P306" s="124" t="n">
        <f aca="false">D306/P$3</f>
        <v>0</v>
      </c>
      <c r="Q306" s="124" t="n">
        <f aca="false">E306/P$3</f>
        <v>0</v>
      </c>
      <c r="R306" s="124" t="n">
        <f aca="false">F306/R$3</f>
        <v>0</v>
      </c>
      <c r="S306" s="126" t="n">
        <f aca="false">J306/$R$3</f>
        <v>0</v>
      </c>
      <c r="T306" s="126" t="n">
        <f aca="false">L306/$R$3</f>
        <v>0</v>
      </c>
      <c r="U306" s="126" t="n">
        <f aca="false">I306/$R$3</f>
        <v>-767.06627349699</v>
      </c>
      <c r="V306" s="126" t="n">
        <f aca="false">M306/$R$3</f>
        <v>-783.566724056808</v>
      </c>
      <c r="W306" s="126" t="n">
        <f aca="false">N306/$R$3</f>
        <v>21887.9775589728</v>
      </c>
    </row>
    <row r="307" customFormat="false" ht="12.75" hidden="false" customHeight="false" outlineLevel="0" collapsed="false">
      <c r="A307" s="120" t="n">
        <f aca="false">A306+1</f>
        <v>37193</v>
      </c>
      <c r="B307" s="131" t="str">
        <f aca="false">INDEX('Master Data'!$A$2:$B$8,MATCH(WEEKDAY('BRA Power'!A307,3),'Master Data'!$A$2:$A$8,0),2)</f>
        <v>M</v>
      </c>
      <c r="D307" s="124" t="n">
        <v>-6514.86755483781</v>
      </c>
      <c r="E307" s="124" t="n">
        <v>128986.279747137</v>
      </c>
      <c r="F307" s="124" t="n">
        <v>0</v>
      </c>
      <c r="G307" s="124" t="n">
        <v>728687.252379782</v>
      </c>
      <c r="I307" s="124" t="n">
        <f aca="false">IF(MONTH($A307)=MONTH($A306),IF(G307=0,I306,G307),G307)</f>
        <v>728687.252379782</v>
      </c>
      <c r="J307" s="124" t="n">
        <f aca="false">IF(MONTH($A307)=MONTH($A306),SUM(I307-I306),I307)</f>
        <v>1495753.52587677</v>
      </c>
      <c r="K307" s="124" t="n">
        <f aca="false">IF(WEEKDAY(A307,3)&gt;4,0,(IF(A307&lt;K$2,0,IF(A307&lt;=K$3,1,0))))</f>
        <v>1</v>
      </c>
      <c r="L307" s="124" t="n">
        <f aca="false">J307*K307</f>
        <v>1495753.52587677</v>
      </c>
      <c r="M307" s="124" t="n">
        <f aca="false">SUM(J$280:J307)</f>
        <v>712186.801819963</v>
      </c>
      <c r="N307" s="124" t="n">
        <f aca="false">SUM(J$6:J307)</f>
        <v>23383731.0848496</v>
      </c>
      <c r="P307" s="124" t="n">
        <f aca="false">D307/P$3</f>
        <v>-0.00651486755483781</v>
      </c>
      <c r="Q307" s="124" t="n">
        <f aca="false">E307/P$3</f>
        <v>0.128986279747137</v>
      </c>
      <c r="R307" s="124" t="n">
        <f aca="false">F307/R$3</f>
        <v>0</v>
      </c>
      <c r="S307" s="126" t="n">
        <f aca="false">J307/$R$3</f>
        <v>1495.75352587677</v>
      </c>
      <c r="T307" s="126" t="n">
        <f aca="false">L307/$R$3</f>
        <v>1495.75352587677</v>
      </c>
      <c r="U307" s="126" t="n">
        <f aca="false">I307/$R$3</f>
        <v>728.687252379782</v>
      </c>
      <c r="V307" s="126" t="n">
        <f aca="false">M307/$R$3</f>
        <v>712.186801819963</v>
      </c>
      <c r="W307" s="126" t="n">
        <f aca="false">N307/$R$3</f>
        <v>23383.7310848496</v>
      </c>
    </row>
    <row r="308" customFormat="false" ht="12.75" hidden="false" customHeight="false" outlineLevel="0" collapsed="false">
      <c r="A308" s="120" t="n">
        <f aca="false">A307+1</f>
        <v>37194</v>
      </c>
      <c r="B308" s="131" t="str">
        <f aca="false">INDEX('Master Data'!$A$2:$B$8,MATCH(WEEKDAY('BRA Power'!A308,3),'Master Data'!$A$2:$A$8,0),2)</f>
        <v>T</v>
      </c>
      <c r="D308" s="124" t="n">
        <v>94280.3406983482</v>
      </c>
      <c r="E308" s="124" t="n">
        <v>70516.3943359949</v>
      </c>
      <c r="F308" s="124" t="n">
        <v>0</v>
      </c>
      <c r="G308" s="124" t="n">
        <v>736516.342379782</v>
      </c>
      <c r="I308" s="124" t="n">
        <f aca="false">IF(MONTH($A308)=MONTH($A307),IF(G308=0,I307,G308),G308)</f>
        <v>736516.342379782</v>
      </c>
      <c r="J308" s="124" t="n">
        <f aca="false">IF(MONTH($A308)=MONTH($A307),SUM(I308-I307),I308)</f>
        <v>7829.08999999974</v>
      </c>
      <c r="K308" s="124" t="n">
        <f aca="false">IF(WEEKDAY(A308,3)&gt;4,0,(IF(A308&lt;K$2,0,IF(A308&lt;=K$3,1,0))))</f>
        <v>1</v>
      </c>
      <c r="L308" s="124" t="n">
        <f aca="false">J308*K308</f>
        <v>7829.08999999974</v>
      </c>
      <c r="M308" s="124" t="n">
        <f aca="false">SUM(J$280:J308)</f>
        <v>720015.891819963</v>
      </c>
      <c r="N308" s="124" t="n">
        <f aca="false">SUM(J$6:J308)</f>
        <v>23391560.1748496</v>
      </c>
      <c r="P308" s="124" t="n">
        <f aca="false">D308/P$3</f>
        <v>0.0942803406983482</v>
      </c>
      <c r="Q308" s="124" t="n">
        <f aca="false">E308/P$3</f>
        <v>0.0705163943359949</v>
      </c>
      <c r="R308" s="124" t="n">
        <f aca="false">F308/R$3</f>
        <v>0</v>
      </c>
      <c r="S308" s="126" t="n">
        <f aca="false">J308/$R$3</f>
        <v>7.82908999999973</v>
      </c>
      <c r="T308" s="126" t="n">
        <f aca="false">L308/$R$3</f>
        <v>7.82908999999973</v>
      </c>
      <c r="U308" s="126" t="n">
        <f aca="false">I308/$R$3</f>
        <v>736.516342379782</v>
      </c>
      <c r="V308" s="126" t="n">
        <f aca="false">M308/$R$3</f>
        <v>720.015891819963</v>
      </c>
      <c r="W308" s="126" t="n">
        <f aca="false">N308/$R$3</f>
        <v>23391.5601748496</v>
      </c>
    </row>
    <row r="309" customFormat="false" ht="12.75" hidden="false" customHeight="false" outlineLevel="0" collapsed="false">
      <c r="A309" s="120" t="n">
        <f aca="false">A308+1</f>
        <v>37195</v>
      </c>
      <c r="B309" s="131" t="str">
        <f aca="false">INDEX('Master Data'!$A$2:$B$8,MATCH(WEEKDAY('BRA Power'!A309,3),'Master Data'!$A$2:$A$8,0),2)</f>
        <v>W</v>
      </c>
      <c r="D309" s="154" t="n">
        <v>91262.6449011371</v>
      </c>
      <c r="E309" s="154" t="n">
        <v>71797.3987052641</v>
      </c>
      <c r="F309" s="124" t="n">
        <v>0</v>
      </c>
      <c r="G309" s="124" t="n">
        <v>812738.421400556</v>
      </c>
      <c r="I309" s="124" t="n">
        <f aca="false">IF(MONTH($A309)=MONTH($A308),IF(G309=0,I308,G309),G309)</f>
        <v>812738.421400556</v>
      </c>
      <c r="J309" s="124" t="n">
        <f aca="false">IF(MONTH($A309)=MONTH($A308),SUM(I309-I308),I309)</f>
        <v>76222.079020774</v>
      </c>
      <c r="K309" s="124" t="n">
        <f aca="false">IF(WEEKDAY(A309,3)&gt;4,0,(IF(A309&lt;K$2,0,IF(A309&lt;=K$3,1,0))))</f>
        <v>1</v>
      </c>
      <c r="L309" s="124" t="n">
        <f aca="false">J309*K309</f>
        <v>76222.079020774</v>
      </c>
      <c r="M309" s="124" t="n">
        <f aca="false">SUM(J$280:J309)</f>
        <v>796237.970840737</v>
      </c>
      <c r="N309" s="124" t="n">
        <f aca="false">SUM(J$6:J309)</f>
        <v>23467782.2538704</v>
      </c>
      <c r="P309" s="124" t="n">
        <f aca="false">D309/P$3</f>
        <v>0.0912626449011371</v>
      </c>
      <c r="Q309" s="124" t="n">
        <f aca="false">E309/P$3</f>
        <v>0.0717973987052641</v>
      </c>
      <c r="R309" s="124" t="n">
        <f aca="false">F309/R$3</f>
        <v>0</v>
      </c>
      <c r="S309" s="126" t="n">
        <f aca="false">J309/$R$3</f>
        <v>76.222079020774</v>
      </c>
      <c r="T309" s="126" t="n">
        <f aca="false">L309/$R$3</f>
        <v>76.222079020774</v>
      </c>
      <c r="U309" s="126" t="n">
        <f aca="false">I309/$R$3</f>
        <v>812.738421400556</v>
      </c>
      <c r="V309" s="126" t="n">
        <f aca="false">M309/$R$3</f>
        <v>796.237970840737</v>
      </c>
      <c r="W309" s="126" t="n">
        <f aca="false">N309/$R$3</f>
        <v>23467.7822538704</v>
      </c>
    </row>
    <row r="310" customFormat="false" ht="12.75" hidden="false" customHeight="false" outlineLevel="0" collapsed="false">
      <c r="A310" s="120" t="n">
        <f aca="false">A309+1</f>
        <v>37196</v>
      </c>
      <c r="B310" s="131" t="str">
        <f aca="false">INDEX('Master Data'!$A$2:$B$8,MATCH(WEEKDAY('BRA Power'!A310,3),'Master Data'!$A$2:$A$8,0),2)</f>
        <v>Th</v>
      </c>
      <c r="D310" s="124" t="n">
        <v>91273.2072023077</v>
      </c>
      <c r="E310" s="124" t="n">
        <v>71841.4518937157</v>
      </c>
      <c r="F310" s="124" t="n">
        <v>0</v>
      </c>
      <c r="G310" s="124" t="n">
        <v>2974067.89663184</v>
      </c>
      <c r="I310" s="124" t="n">
        <f aca="false">IF(MONTH($A310)=MONTH($A309),IF(G310=0,I309,G310),G310)</f>
        <v>2974067.89663184</v>
      </c>
      <c r="J310" s="124" t="n">
        <f aca="false">IF(MONTH($A310)=MONTH($A309),SUM(I310-I309),I310)</f>
        <v>2974067.89663184</v>
      </c>
      <c r="K310" s="124" t="n">
        <f aca="false">IF(WEEKDAY(A310,3)&gt;4,0,(IF(A310&lt;K$2,0,IF(A310&lt;=K$3,1,0))))</f>
        <v>1</v>
      </c>
      <c r="L310" s="124" t="n">
        <f aca="false">J310*K310</f>
        <v>2974067.89663184</v>
      </c>
      <c r="M310" s="124" t="n">
        <f aca="false">SUM(J$280:J310)</f>
        <v>3770305.86747257</v>
      </c>
      <c r="N310" s="124" t="n">
        <f aca="false">SUM(J$6:J310)</f>
        <v>26441850.1505022</v>
      </c>
      <c r="P310" s="124" t="n">
        <f aca="false">D310/P$3</f>
        <v>0.0912732072023077</v>
      </c>
      <c r="Q310" s="124" t="n">
        <f aca="false">E310/P$3</f>
        <v>0.0718414518937157</v>
      </c>
      <c r="R310" s="124" t="n">
        <f aca="false">F310/R$3</f>
        <v>0</v>
      </c>
      <c r="S310" s="126" t="n">
        <f aca="false">J310/$R$3</f>
        <v>2974.06789663184</v>
      </c>
      <c r="T310" s="126" t="n">
        <f aca="false">L310/$R$3</f>
        <v>2974.06789663184</v>
      </c>
      <c r="U310" s="126" t="n">
        <f aca="false">I310/$R$3</f>
        <v>2974.06789663184</v>
      </c>
      <c r="V310" s="126" t="n">
        <f aca="false">M310/$R$3</f>
        <v>3770.30586747257</v>
      </c>
      <c r="W310" s="126" t="n">
        <f aca="false">N310/$R$3</f>
        <v>26441.8501505022</v>
      </c>
    </row>
    <row r="311" customFormat="false" ht="12.75" hidden="false" customHeight="false" outlineLevel="0" collapsed="false">
      <c r="A311" s="120" t="n">
        <f aca="false">A310+1</f>
        <v>37197</v>
      </c>
      <c r="B311" s="131" t="str">
        <f aca="false">INDEX('Master Data'!$A$2:$B$8,MATCH(WEEKDAY('BRA Power'!A311,3),'Master Data'!$A$2:$A$8,0),2)</f>
        <v>F</v>
      </c>
      <c r="D311" s="124" t="n">
        <v>0</v>
      </c>
      <c r="E311" s="124" t="n">
        <v>0</v>
      </c>
      <c r="F311" s="124" t="n">
        <v>0</v>
      </c>
      <c r="G311" s="124" t="n">
        <v>0</v>
      </c>
      <c r="I311" s="124" t="n">
        <f aca="false">IF(MONTH($A311)=MONTH($A310),IF(G311=0,I310,G311),G311)</f>
        <v>2974067.89663184</v>
      </c>
      <c r="J311" s="124" t="n">
        <f aca="false">IF(MONTH($A311)=MONTH($A310),SUM(I311-I310),I311)</f>
        <v>0</v>
      </c>
      <c r="K311" s="124" t="n">
        <f aca="false">IF(WEEKDAY(A311,3)&gt;4,0,(IF(A311&lt;K$2,0,IF(A311&lt;=K$3,1,0))))</f>
        <v>0</v>
      </c>
      <c r="L311" s="124" t="n">
        <f aca="false">J311*K311</f>
        <v>0</v>
      </c>
      <c r="M311" s="124" t="n">
        <f aca="false">SUM(J$280:J311)</f>
        <v>3770305.86747257</v>
      </c>
      <c r="N311" s="124" t="n">
        <f aca="false">SUM(J$6:J311)</f>
        <v>26441850.1505022</v>
      </c>
      <c r="P311" s="124" t="n">
        <f aca="false">D311/P$3</f>
        <v>0</v>
      </c>
      <c r="Q311" s="124" t="n">
        <f aca="false">E311/P$3</f>
        <v>0</v>
      </c>
      <c r="R311" s="124" t="n">
        <f aca="false">F311/R$3</f>
        <v>0</v>
      </c>
      <c r="S311" s="126" t="n">
        <f aca="false">J311/$R$3</f>
        <v>0</v>
      </c>
      <c r="T311" s="126" t="n">
        <f aca="false">L311/$R$3</f>
        <v>0</v>
      </c>
      <c r="U311" s="126" t="n">
        <f aca="false">I311/$R$3</f>
        <v>2974.06789663184</v>
      </c>
      <c r="V311" s="126" t="n">
        <f aca="false">M311/$R$3</f>
        <v>3770.30586747257</v>
      </c>
      <c r="W311" s="126" t="n">
        <f aca="false">N311/$R$3</f>
        <v>26441.8501505022</v>
      </c>
    </row>
    <row r="312" customFormat="false" ht="12.75" hidden="false" customHeight="false" outlineLevel="0" collapsed="false">
      <c r="A312" s="120" t="n">
        <f aca="false">A311+1</f>
        <v>37198</v>
      </c>
      <c r="B312" s="131" t="str">
        <f aca="false">INDEX('Master Data'!$A$2:$B$8,MATCH(WEEKDAY('BRA Power'!A312,3),'Master Data'!$A$2:$A$8,0),2)</f>
        <v>Sa</v>
      </c>
      <c r="D312" s="124" t="n">
        <v>0</v>
      </c>
      <c r="E312" s="124" t="n">
        <v>0</v>
      </c>
      <c r="F312" s="124" t="n">
        <v>0</v>
      </c>
      <c r="G312" s="124" t="n">
        <v>0</v>
      </c>
      <c r="I312" s="124" t="n">
        <f aca="false">IF(MONTH($A312)=MONTH($A311),IF(G312=0,I311,G312),G312)</f>
        <v>2974067.89663184</v>
      </c>
      <c r="J312" s="124" t="n">
        <f aca="false">IF(MONTH($A312)=MONTH($A311),SUM(I312-I311),I312)</f>
        <v>0</v>
      </c>
      <c r="K312" s="124" t="n">
        <f aca="false">IF(WEEKDAY(A312,3)&gt;4,0,(IF(A312&lt;K$2,0,IF(A312&lt;=K$3,1,0))))</f>
        <v>0</v>
      </c>
      <c r="L312" s="124" t="n">
        <f aca="false">J312*K312</f>
        <v>0</v>
      </c>
      <c r="M312" s="124" t="n">
        <f aca="false">SUM(J$280:J312)</f>
        <v>3770305.86747257</v>
      </c>
      <c r="N312" s="124" t="n">
        <f aca="false">SUM(J$6:J312)</f>
        <v>26441850.1505022</v>
      </c>
      <c r="P312" s="124" t="n">
        <f aca="false">D312/P$3</f>
        <v>0</v>
      </c>
      <c r="Q312" s="124" t="n">
        <f aca="false">E312/P$3</f>
        <v>0</v>
      </c>
      <c r="R312" s="124" t="n">
        <f aca="false">F312/R$3</f>
        <v>0</v>
      </c>
      <c r="S312" s="126" t="n">
        <f aca="false">J312/$R$3</f>
        <v>0</v>
      </c>
      <c r="T312" s="126" t="n">
        <f aca="false">L312/$R$3</f>
        <v>0</v>
      </c>
      <c r="U312" s="126" t="n">
        <f aca="false">I312/$R$3</f>
        <v>2974.06789663184</v>
      </c>
      <c r="V312" s="126" t="n">
        <f aca="false">M312/$R$3</f>
        <v>3770.30586747257</v>
      </c>
      <c r="W312" s="126" t="n">
        <f aca="false">N312/$R$3</f>
        <v>26441.8501505022</v>
      </c>
    </row>
    <row r="313" customFormat="false" ht="12.75" hidden="false" customHeight="false" outlineLevel="0" collapsed="false">
      <c r="A313" s="120" t="n">
        <f aca="false">A312+1</f>
        <v>37199</v>
      </c>
      <c r="B313" s="131" t="str">
        <f aca="false">INDEX('Master Data'!$A$2:$B$8,MATCH(WEEKDAY('BRA Power'!A313,3),'Master Data'!$A$2:$A$8,0),2)</f>
        <v>Su</v>
      </c>
      <c r="D313" s="124" t="n">
        <v>0</v>
      </c>
      <c r="E313" s="124" t="n">
        <v>0</v>
      </c>
      <c r="F313" s="124" t="n">
        <v>0</v>
      </c>
      <c r="G313" s="124" t="n">
        <v>0</v>
      </c>
      <c r="I313" s="124" t="n">
        <f aca="false">IF(MONTH($A313)=MONTH($A312),IF(G313=0,I312,G313),G313)</f>
        <v>2974067.89663184</v>
      </c>
      <c r="J313" s="124" t="n">
        <f aca="false">IF(MONTH($A313)=MONTH($A312),SUM(I313-I312),I313)</f>
        <v>0</v>
      </c>
      <c r="K313" s="124" t="n">
        <f aca="false">IF(WEEKDAY(A313,3)&gt;4,0,(IF(A313&lt;K$2,0,IF(A313&lt;=K$3,1,0))))</f>
        <v>0</v>
      </c>
      <c r="L313" s="124" t="n">
        <f aca="false">J313*K313</f>
        <v>0</v>
      </c>
      <c r="M313" s="124" t="n">
        <f aca="false">SUM(J$280:J313)</f>
        <v>3770305.86747257</v>
      </c>
      <c r="N313" s="124" t="n">
        <f aca="false">SUM(J$6:J313)</f>
        <v>26441850.1505022</v>
      </c>
      <c r="P313" s="124" t="n">
        <f aca="false">D313/P$3</f>
        <v>0</v>
      </c>
      <c r="Q313" s="124" t="n">
        <f aca="false">E313/P$3</f>
        <v>0</v>
      </c>
      <c r="R313" s="124" t="n">
        <f aca="false">F313/R$3</f>
        <v>0</v>
      </c>
      <c r="S313" s="126" t="n">
        <f aca="false">J313/$R$3</f>
        <v>0</v>
      </c>
      <c r="T313" s="126" t="n">
        <f aca="false">L313/$R$3</f>
        <v>0</v>
      </c>
      <c r="U313" s="126" t="n">
        <f aca="false">I313/$R$3</f>
        <v>2974.06789663184</v>
      </c>
      <c r="V313" s="126" t="n">
        <f aca="false">M313/$R$3</f>
        <v>3770.30586747257</v>
      </c>
      <c r="W313" s="126" t="n">
        <f aca="false">N313/$R$3</f>
        <v>26441.8501505022</v>
      </c>
    </row>
    <row r="314" customFormat="false" ht="12.75" hidden="false" customHeight="false" outlineLevel="0" collapsed="false">
      <c r="A314" s="120" t="n">
        <f aca="false">A313+1</f>
        <v>37200</v>
      </c>
      <c r="B314" s="131" t="str">
        <f aca="false">INDEX('Master Data'!$A$2:$B$8,MATCH(WEEKDAY('BRA Power'!A314,3),'Master Data'!$A$2:$A$8,0),2)</f>
        <v>M</v>
      </c>
      <c r="D314" s="124" t="n">
        <v>0</v>
      </c>
      <c r="E314" s="124" t="n">
        <v>0</v>
      </c>
      <c r="F314" s="124" t="n">
        <v>0</v>
      </c>
      <c r="G314" s="124" t="n">
        <v>0</v>
      </c>
      <c r="I314" s="124" t="n">
        <f aca="false">IF(MONTH($A314)=MONTH($A313),IF(G314=0,I313,G314),G314)</f>
        <v>2974067.89663184</v>
      </c>
      <c r="J314" s="124" t="n">
        <f aca="false">IF(MONTH($A314)=MONTH($A313),SUM(I314-I313),I314)</f>
        <v>0</v>
      </c>
      <c r="K314" s="124" t="n">
        <f aca="false">IF(WEEKDAY(A314,3)&gt;4,0,(IF(A314&lt;K$2,0,IF(A314&lt;=K$3,1,0))))</f>
        <v>0</v>
      </c>
      <c r="L314" s="124" t="n">
        <f aca="false">J314*K314</f>
        <v>0</v>
      </c>
      <c r="M314" s="124" t="n">
        <f aca="false">SUM(J$280:J314)</f>
        <v>3770305.86747257</v>
      </c>
      <c r="N314" s="124" t="n">
        <f aca="false">SUM(J$6:J314)</f>
        <v>26441850.1505022</v>
      </c>
      <c r="P314" s="124" t="n">
        <f aca="false">D314/P$3</f>
        <v>0</v>
      </c>
      <c r="Q314" s="124" t="n">
        <f aca="false">E314/P$3</f>
        <v>0</v>
      </c>
      <c r="R314" s="124" t="n">
        <f aca="false">F314/R$3</f>
        <v>0</v>
      </c>
      <c r="S314" s="126" t="n">
        <f aca="false">J314/$R$3</f>
        <v>0</v>
      </c>
      <c r="T314" s="126" t="n">
        <f aca="false">L314/$R$3</f>
        <v>0</v>
      </c>
      <c r="U314" s="126" t="n">
        <f aca="false">I314/$R$3</f>
        <v>2974.06789663184</v>
      </c>
      <c r="V314" s="126" t="n">
        <f aca="false">M314/$R$3</f>
        <v>3770.30586747257</v>
      </c>
      <c r="W314" s="126" t="n">
        <f aca="false">N314/$R$3</f>
        <v>26441.8501505022</v>
      </c>
    </row>
    <row r="315" customFormat="false" ht="12.75" hidden="false" customHeight="false" outlineLevel="0" collapsed="false">
      <c r="A315" s="120" t="n">
        <f aca="false">A314+1</f>
        <v>37201</v>
      </c>
      <c r="B315" s="131" t="str">
        <f aca="false">INDEX('Master Data'!$A$2:$B$8,MATCH(WEEKDAY('BRA Power'!A315,3),'Master Data'!$A$2:$A$8,0),2)</f>
        <v>T</v>
      </c>
      <c r="D315" s="124" t="n">
        <v>0</v>
      </c>
      <c r="E315" s="124" t="n">
        <v>0</v>
      </c>
      <c r="F315" s="124" t="n">
        <v>0</v>
      </c>
      <c r="G315" s="124" t="n">
        <v>0</v>
      </c>
      <c r="I315" s="124" t="n">
        <f aca="false">IF(MONTH($A315)=MONTH($A314),IF(G315=0,I314,G315),G315)</f>
        <v>2974067.89663184</v>
      </c>
      <c r="J315" s="124" t="n">
        <f aca="false">IF(MONTH($A315)=MONTH($A314),SUM(I315-I314),I315)</f>
        <v>0</v>
      </c>
      <c r="K315" s="124" t="n">
        <f aca="false">IF(WEEKDAY(A315,3)&gt;4,0,(IF(A315&lt;K$2,0,IF(A315&lt;=K$3,1,0))))</f>
        <v>0</v>
      </c>
      <c r="L315" s="124" t="n">
        <f aca="false">J315*K315</f>
        <v>0</v>
      </c>
      <c r="M315" s="124" t="n">
        <f aca="false">SUM(J$280:J315)</f>
        <v>3770305.86747257</v>
      </c>
      <c r="N315" s="124" t="n">
        <f aca="false">SUM(J$6:J315)</f>
        <v>26441850.1505022</v>
      </c>
      <c r="P315" s="124" t="n">
        <f aca="false">D315/P$3</f>
        <v>0</v>
      </c>
      <c r="Q315" s="124" t="n">
        <f aca="false">E315/P$3</f>
        <v>0</v>
      </c>
      <c r="R315" s="124" t="n">
        <f aca="false">F315/R$3</f>
        <v>0</v>
      </c>
      <c r="S315" s="126" t="n">
        <f aca="false">J315/$R$3</f>
        <v>0</v>
      </c>
      <c r="T315" s="126" t="n">
        <f aca="false">L315/$R$3</f>
        <v>0</v>
      </c>
      <c r="U315" s="126" t="n">
        <f aca="false">I315/$R$3</f>
        <v>2974.06789663184</v>
      </c>
      <c r="V315" s="126" t="n">
        <f aca="false">M315/$R$3</f>
        <v>3770.30586747257</v>
      </c>
      <c r="W315" s="126" t="n">
        <f aca="false">N315/$R$3</f>
        <v>26441.8501505022</v>
      </c>
    </row>
    <row r="316" customFormat="false" ht="12.75" hidden="false" customHeight="false" outlineLevel="0" collapsed="false">
      <c r="A316" s="120" t="n">
        <f aca="false">A315+1</f>
        <v>37202</v>
      </c>
      <c r="B316" s="131" t="str">
        <f aca="false">INDEX('Master Data'!$A$2:$B$8,MATCH(WEEKDAY('BRA Power'!A316,3),'Master Data'!$A$2:$A$8,0),2)</f>
        <v>W</v>
      </c>
      <c r="D316" s="124" t="n">
        <v>0</v>
      </c>
      <c r="E316" s="124" t="n">
        <v>0</v>
      </c>
      <c r="F316" s="124" t="n">
        <v>0</v>
      </c>
      <c r="G316" s="124" t="n">
        <v>0</v>
      </c>
      <c r="I316" s="124" t="n">
        <f aca="false">IF(MONTH($A316)=MONTH($A315),IF(G316=0,I315,G316),G316)</f>
        <v>2974067.89663184</v>
      </c>
      <c r="J316" s="124" t="n">
        <f aca="false">IF(MONTH($A316)=MONTH($A315),SUM(I316-I315),I316)</f>
        <v>0</v>
      </c>
      <c r="K316" s="124" t="n">
        <f aca="false">IF(WEEKDAY(A316,3)&gt;4,0,(IF(A316&lt;K$2,0,IF(A316&lt;=K$3,1,0))))</f>
        <v>0</v>
      </c>
      <c r="L316" s="124" t="n">
        <f aca="false">J316*K316</f>
        <v>0</v>
      </c>
      <c r="M316" s="124" t="n">
        <f aca="false">SUM(J$280:J316)</f>
        <v>3770305.86747257</v>
      </c>
      <c r="N316" s="124" t="n">
        <f aca="false">SUM(J$6:J316)</f>
        <v>26441850.1505022</v>
      </c>
      <c r="P316" s="124" t="n">
        <f aca="false">D316/P$3</f>
        <v>0</v>
      </c>
      <c r="Q316" s="124" t="n">
        <f aca="false">E316/P$3</f>
        <v>0</v>
      </c>
      <c r="R316" s="124" t="n">
        <f aca="false">F316/R$3</f>
        <v>0</v>
      </c>
      <c r="S316" s="126" t="n">
        <f aca="false">J316/$R$3</f>
        <v>0</v>
      </c>
      <c r="T316" s="126" t="n">
        <f aca="false">L316/$R$3</f>
        <v>0</v>
      </c>
      <c r="U316" s="126" t="n">
        <f aca="false">I316/$R$3</f>
        <v>2974.06789663184</v>
      </c>
      <c r="V316" s="126" t="n">
        <f aca="false">M316/$R$3</f>
        <v>3770.30586747257</v>
      </c>
      <c r="W316" s="126" t="n">
        <f aca="false">N316/$R$3</f>
        <v>26441.8501505022</v>
      </c>
    </row>
    <row r="317" customFormat="false" ht="12.75" hidden="false" customHeight="false" outlineLevel="0" collapsed="false">
      <c r="A317" s="120" t="n">
        <f aca="false">A316+1</f>
        <v>37203</v>
      </c>
      <c r="B317" s="131" t="str">
        <f aca="false">INDEX('Master Data'!$A$2:$B$8,MATCH(WEEKDAY('BRA Power'!A317,3),'Master Data'!$A$2:$A$8,0),2)</f>
        <v>Th</v>
      </c>
      <c r="D317" s="124" t="n">
        <v>0</v>
      </c>
      <c r="E317" s="124" t="n">
        <v>0</v>
      </c>
      <c r="F317" s="124" t="n">
        <v>0</v>
      </c>
      <c r="G317" s="124" t="n">
        <v>0</v>
      </c>
      <c r="I317" s="124" t="n">
        <f aca="false">IF(MONTH($A317)=MONTH($A316),IF(G317=0,I316,G317),G317)</f>
        <v>2974067.89663184</v>
      </c>
      <c r="J317" s="124" t="n">
        <f aca="false">IF(MONTH($A317)=MONTH($A316),SUM(I317-I316),I317)</f>
        <v>0</v>
      </c>
      <c r="K317" s="124" t="n">
        <f aca="false">IF(WEEKDAY(A317,3)&gt;4,0,(IF(A317&lt;K$2,0,IF(A317&lt;=K$3,1,0))))</f>
        <v>0</v>
      </c>
      <c r="L317" s="124" t="n">
        <f aca="false">J317*K317</f>
        <v>0</v>
      </c>
      <c r="M317" s="124" t="n">
        <f aca="false">SUM(J$280:J317)</f>
        <v>3770305.86747257</v>
      </c>
      <c r="N317" s="124" t="n">
        <f aca="false">SUM(J$6:J317)</f>
        <v>26441850.1505022</v>
      </c>
      <c r="P317" s="124" t="n">
        <f aca="false">D317/P$3</f>
        <v>0</v>
      </c>
      <c r="Q317" s="124" t="n">
        <f aca="false">E317/P$3</f>
        <v>0</v>
      </c>
      <c r="R317" s="124" t="n">
        <f aca="false">F317/R$3</f>
        <v>0</v>
      </c>
      <c r="S317" s="126" t="n">
        <f aca="false">J317/$R$3</f>
        <v>0</v>
      </c>
      <c r="T317" s="126" t="n">
        <f aca="false">L317/$R$3</f>
        <v>0</v>
      </c>
      <c r="U317" s="126" t="n">
        <f aca="false">I317/$R$3</f>
        <v>2974.06789663184</v>
      </c>
      <c r="V317" s="126" t="n">
        <f aca="false">M317/$R$3</f>
        <v>3770.30586747257</v>
      </c>
      <c r="W317" s="126" t="n">
        <f aca="false">N317/$R$3</f>
        <v>26441.8501505022</v>
      </c>
    </row>
    <row r="318" customFormat="false" ht="12.75" hidden="false" customHeight="false" outlineLevel="0" collapsed="false">
      <c r="A318" s="120" t="n">
        <f aca="false">A317+1</f>
        <v>37204</v>
      </c>
      <c r="B318" s="131" t="str">
        <f aca="false">INDEX('Master Data'!$A$2:$B$8,MATCH(WEEKDAY('BRA Power'!A318,3),'Master Data'!$A$2:$A$8,0),2)</f>
        <v>F</v>
      </c>
      <c r="D318" s="124" t="n">
        <v>0</v>
      </c>
      <c r="E318" s="124" t="n">
        <v>0</v>
      </c>
      <c r="F318" s="124" t="n">
        <v>0</v>
      </c>
      <c r="G318" s="124" t="n">
        <v>0</v>
      </c>
      <c r="I318" s="124" t="n">
        <f aca="false">IF(MONTH($A318)=MONTH($A317),IF(G318=0,I317,G318),G318)</f>
        <v>2974067.89663184</v>
      </c>
      <c r="J318" s="124" t="n">
        <f aca="false">IF(MONTH($A318)=MONTH($A317),SUM(I318-I317),I318)</f>
        <v>0</v>
      </c>
      <c r="K318" s="124" t="n">
        <f aca="false">IF(WEEKDAY(A318,3)&gt;4,0,(IF(A318&lt;K$2,0,IF(A318&lt;=K$3,1,0))))</f>
        <v>0</v>
      </c>
      <c r="L318" s="124" t="n">
        <f aca="false">J318*K318</f>
        <v>0</v>
      </c>
      <c r="M318" s="124" t="n">
        <f aca="false">SUM(J$280:J318)</f>
        <v>3770305.86747257</v>
      </c>
      <c r="N318" s="124" t="n">
        <f aca="false">SUM(J$6:J318)</f>
        <v>26441850.1505022</v>
      </c>
      <c r="P318" s="124" t="n">
        <f aca="false">D318/P$3</f>
        <v>0</v>
      </c>
      <c r="Q318" s="124" t="n">
        <f aca="false">E318/P$3</f>
        <v>0</v>
      </c>
      <c r="R318" s="124" t="n">
        <f aca="false">F318/R$3</f>
        <v>0</v>
      </c>
      <c r="S318" s="126" t="n">
        <f aca="false">J318/$R$3</f>
        <v>0</v>
      </c>
      <c r="T318" s="126" t="n">
        <f aca="false">L318/$R$3</f>
        <v>0</v>
      </c>
      <c r="U318" s="126" t="n">
        <f aca="false">I318/$R$3</f>
        <v>2974.06789663184</v>
      </c>
      <c r="V318" s="126" t="n">
        <f aca="false">M318/$R$3</f>
        <v>3770.30586747257</v>
      </c>
      <c r="W318" s="126" t="n">
        <f aca="false">N318/$R$3</f>
        <v>26441.8501505022</v>
      </c>
    </row>
    <row r="319" customFormat="false" ht="12.75" hidden="false" customHeight="false" outlineLevel="0" collapsed="false">
      <c r="A319" s="120" t="n">
        <f aca="false">A318+1</f>
        <v>37205</v>
      </c>
      <c r="B319" s="131" t="str">
        <f aca="false">INDEX('Master Data'!$A$2:$B$8,MATCH(WEEKDAY('BRA Power'!A319,3),'Master Data'!$A$2:$A$8,0),2)</f>
        <v>Sa</v>
      </c>
      <c r="D319" s="124" t="n">
        <v>0</v>
      </c>
      <c r="E319" s="124" t="n">
        <v>0</v>
      </c>
      <c r="F319" s="124" t="n">
        <v>0</v>
      </c>
      <c r="G319" s="124" t="n">
        <v>0</v>
      </c>
      <c r="I319" s="124" t="n">
        <f aca="false">IF(MONTH($A319)=MONTH($A318),IF(G319=0,I318,G319),G319)</f>
        <v>2974067.89663184</v>
      </c>
      <c r="J319" s="124" t="n">
        <f aca="false">IF(MONTH($A319)=MONTH($A318),SUM(I319-I318),I319)</f>
        <v>0</v>
      </c>
      <c r="K319" s="124" t="n">
        <f aca="false">IF(WEEKDAY(A319,3)&gt;4,0,(IF(A319&lt;K$2,0,IF(A319&lt;=K$3,1,0))))</f>
        <v>0</v>
      </c>
      <c r="L319" s="124" t="n">
        <f aca="false">J319*K319</f>
        <v>0</v>
      </c>
      <c r="M319" s="124" t="n">
        <f aca="false">SUM(J$280:J319)</f>
        <v>3770305.86747257</v>
      </c>
      <c r="N319" s="124" t="n">
        <f aca="false">SUM(J$6:J319)</f>
        <v>26441850.1505022</v>
      </c>
      <c r="P319" s="124" t="n">
        <f aca="false">D319/P$3</f>
        <v>0</v>
      </c>
      <c r="Q319" s="124" t="n">
        <f aca="false">E319/P$3</f>
        <v>0</v>
      </c>
      <c r="R319" s="124" t="n">
        <f aca="false">F319/R$3</f>
        <v>0</v>
      </c>
      <c r="S319" s="126" t="n">
        <f aca="false">J319/$R$3</f>
        <v>0</v>
      </c>
      <c r="T319" s="126" t="n">
        <f aca="false">L319/$R$3</f>
        <v>0</v>
      </c>
      <c r="U319" s="126" t="n">
        <f aca="false">I319/$R$3</f>
        <v>2974.06789663184</v>
      </c>
      <c r="V319" s="126" t="n">
        <f aca="false">M319/$R$3</f>
        <v>3770.30586747257</v>
      </c>
      <c r="W319" s="126" t="n">
        <f aca="false">N319/$R$3</f>
        <v>26441.8501505022</v>
      </c>
    </row>
    <row r="320" customFormat="false" ht="12.75" hidden="false" customHeight="false" outlineLevel="0" collapsed="false">
      <c r="A320" s="120" t="n">
        <f aca="false">A319+1</f>
        <v>37206</v>
      </c>
      <c r="B320" s="131" t="str">
        <f aca="false">INDEX('Master Data'!$A$2:$B$8,MATCH(WEEKDAY('BRA Power'!A320,3),'Master Data'!$A$2:$A$8,0),2)</f>
        <v>Su</v>
      </c>
      <c r="D320" s="124" t="n">
        <v>0</v>
      </c>
      <c r="E320" s="124" t="n">
        <v>0</v>
      </c>
      <c r="F320" s="124" t="n">
        <v>0</v>
      </c>
      <c r="G320" s="124" t="n">
        <v>0</v>
      </c>
      <c r="I320" s="124" t="n">
        <f aca="false">IF(MONTH($A320)=MONTH($A319),IF(G320=0,I319,G320),G320)</f>
        <v>2974067.89663184</v>
      </c>
      <c r="J320" s="124" t="n">
        <f aca="false">IF(MONTH($A320)=MONTH($A319),SUM(I320-I319),I320)</f>
        <v>0</v>
      </c>
      <c r="K320" s="124" t="n">
        <f aca="false">IF(WEEKDAY(A320,3)&gt;4,0,(IF(A320&lt;K$2,0,IF(A320&lt;=K$3,1,0))))</f>
        <v>0</v>
      </c>
      <c r="L320" s="124" t="n">
        <f aca="false">J320*K320</f>
        <v>0</v>
      </c>
      <c r="M320" s="124" t="n">
        <f aca="false">SUM(J$280:J320)</f>
        <v>3770305.86747257</v>
      </c>
      <c r="N320" s="124" t="n">
        <f aca="false">SUM(J$6:J320)</f>
        <v>26441850.1505022</v>
      </c>
      <c r="P320" s="124" t="n">
        <f aca="false">D320/P$3</f>
        <v>0</v>
      </c>
      <c r="Q320" s="124" t="n">
        <f aca="false">E320/P$3</f>
        <v>0</v>
      </c>
      <c r="R320" s="124" t="n">
        <f aca="false">F320/R$3</f>
        <v>0</v>
      </c>
      <c r="S320" s="126" t="n">
        <f aca="false">J320/$R$3</f>
        <v>0</v>
      </c>
      <c r="T320" s="126" t="n">
        <f aca="false">L320/$R$3</f>
        <v>0</v>
      </c>
      <c r="U320" s="126" t="n">
        <f aca="false">I320/$R$3</f>
        <v>2974.06789663184</v>
      </c>
      <c r="V320" s="126" t="n">
        <f aca="false">M320/$R$3</f>
        <v>3770.30586747257</v>
      </c>
      <c r="W320" s="126" t="n">
        <f aca="false">N320/$R$3</f>
        <v>26441.8501505022</v>
      </c>
    </row>
    <row r="321" customFormat="false" ht="12.75" hidden="false" customHeight="false" outlineLevel="0" collapsed="false">
      <c r="A321" s="120" t="n">
        <f aca="false">A320+1</f>
        <v>37207</v>
      </c>
      <c r="B321" s="131" t="str">
        <f aca="false">INDEX('Master Data'!$A$2:$B$8,MATCH(WEEKDAY('BRA Power'!A321,3),'Master Data'!$A$2:$A$8,0),2)</f>
        <v>M</v>
      </c>
      <c r="D321" s="124" t="n">
        <v>0</v>
      </c>
      <c r="E321" s="124" t="n">
        <v>0</v>
      </c>
      <c r="F321" s="124" t="n">
        <v>0</v>
      </c>
      <c r="G321" s="124" t="n">
        <v>0</v>
      </c>
      <c r="I321" s="124" t="n">
        <f aca="false">IF(MONTH($A321)=MONTH($A320),IF(G321=0,I320,G321),G321)</f>
        <v>2974067.89663184</v>
      </c>
      <c r="J321" s="124" t="n">
        <f aca="false">IF(MONTH($A321)=MONTH($A320),SUM(I321-I320),I321)</f>
        <v>0</v>
      </c>
      <c r="K321" s="124" t="n">
        <f aca="false">IF(WEEKDAY(A321,3)&gt;4,0,(IF(A321&lt;K$2,0,IF(A321&lt;=K$3,1,0))))</f>
        <v>0</v>
      </c>
      <c r="L321" s="124" t="n">
        <f aca="false">J321*K321</f>
        <v>0</v>
      </c>
      <c r="M321" s="124" t="n">
        <f aca="false">SUM(J$280:J321)</f>
        <v>3770305.86747257</v>
      </c>
      <c r="N321" s="124" t="n">
        <f aca="false">SUM(J$6:J321)</f>
        <v>26441850.1505022</v>
      </c>
      <c r="P321" s="124" t="n">
        <f aca="false">D321/P$3</f>
        <v>0</v>
      </c>
      <c r="Q321" s="124" t="n">
        <f aca="false">E321/P$3</f>
        <v>0</v>
      </c>
      <c r="R321" s="124" t="n">
        <f aca="false">F321/R$3</f>
        <v>0</v>
      </c>
      <c r="S321" s="126" t="n">
        <f aca="false">J321/$R$3</f>
        <v>0</v>
      </c>
      <c r="T321" s="126" t="n">
        <f aca="false">L321/$R$3</f>
        <v>0</v>
      </c>
      <c r="U321" s="126" t="n">
        <f aca="false">I321/$R$3</f>
        <v>2974.06789663184</v>
      </c>
      <c r="V321" s="126" t="n">
        <f aca="false">M321/$R$3</f>
        <v>3770.30586747257</v>
      </c>
      <c r="W321" s="126" t="n">
        <f aca="false">N321/$R$3</f>
        <v>26441.8501505022</v>
      </c>
    </row>
    <row r="322" customFormat="false" ht="12.75" hidden="false" customHeight="false" outlineLevel="0" collapsed="false">
      <c r="A322" s="120" t="n">
        <f aca="false">A321+1</f>
        <v>37208</v>
      </c>
      <c r="B322" s="131" t="str">
        <f aca="false">INDEX('Master Data'!$A$2:$B$8,MATCH(WEEKDAY('BRA Power'!A322,3),'Master Data'!$A$2:$A$8,0),2)</f>
        <v>T</v>
      </c>
      <c r="D322" s="124" t="n">
        <v>0</v>
      </c>
      <c r="E322" s="124" t="n">
        <v>0</v>
      </c>
      <c r="F322" s="124" t="n">
        <v>0</v>
      </c>
      <c r="G322" s="124" t="n">
        <v>0</v>
      </c>
      <c r="I322" s="124" t="n">
        <f aca="false">IF(MONTH($A322)=MONTH($A321),IF(G322=0,I321,G322),G322)</f>
        <v>2974067.89663184</v>
      </c>
      <c r="J322" s="124" t="n">
        <f aca="false">IF(MONTH($A322)=MONTH($A321),SUM(I322-I321),I322)</f>
        <v>0</v>
      </c>
      <c r="K322" s="124" t="n">
        <f aca="false">IF(WEEKDAY(A322,3)&gt;4,0,(IF(A322&lt;K$2,0,IF(A322&lt;=K$3,1,0))))</f>
        <v>0</v>
      </c>
      <c r="L322" s="124" t="n">
        <f aca="false">J322*K322</f>
        <v>0</v>
      </c>
      <c r="M322" s="124" t="n">
        <f aca="false">SUM(J$280:J322)</f>
        <v>3770305.86747257</v>
      </c>
      <c r="N322" s="124" t="n">
        <f aca="false">SUM(J$6:J322)</f>
        <v>26441850.1505022</v>
      </c>
      <c r="P322" s="124" t="n">
        <f aca="false">D322/P$3</f>
        <v>0</v>
      </c>
      <c r="Q322" s="124" t="n">
        <f aca="false">E322/P$3</f>
        <v>0</v>
      </c>
      <c r="R322" s="124" t="n">
        <f aca="false">F322/R$3</f>
        <v>0</v>
      </c>
      <c r="S322" s="126" t="n">
        <f aca="false">J322/$R$3</f>
        <v>0</v>
      </c>
      <c r="T322" s="126" t="n">
        <f aca="false">L322/$R$3</f>
        <v>0</v>
      </c>
      <c r="U322" s="126" t="n">
        <f aca="false">I322/$R$3</f>
        <v>2974.06789663184</v>
      </c>
      <c r="V322" s="126" t="n">
        <f aca="false">M322/$R$3</f>
        <v>3770.30586747257</v>
      </c>
      <c r="W322" s="126" t="n">
        <f aca="false">N322/$R$3</f>
        <v>26441.8501505022</v>
      </c>
    </row>
    <row r="323" customFormat="false" ht="12.75" hidden="false" customHeight="false" outlineLevel="0" collapsed="false">
      <c r="A323" s="120" t="n">
        <f aca="false">A322+1</f>
        <v>37209</v>
      </c>
      <c r="B323" s="131" t="str">
        <f aca="false">INDEX('Master Data'!$A$2:$B$8,MATCH(WEEKDAY('BRA Power'!A323,3),'Master Data'!$A$2:$A$8,0),2)</f>
        <v>W</v>
      </c>
      <c r="D323" s="124" t="n">
        <v>0</v>
      </c>
      <c r="E323" s="124" t="n">
        <v>0</v>
      </c>
      <c r="F323" s="124" t="n">
        <v>0</v>
      </c>
      <c r="G323" s="124" t="n">
        <v>0</v>
      </c>
      <c r="I323" s="124" t="n">
        <f aca="false">IF(MONTH($A323)=MONTH($A322),IF(G323=0,I322,G323),G323)</f>
        <v>2974067.89663184</v>
      </c>
      <c r="J323" s="124" t="n">
        <f aca="false">IF(MONTH($A323)=MONTH($A322),SUM(I323-I322),I323)</f>
        <v>0</v>
      </c>
      <c r="K323" s="124" t="n">
        <f aca="false">IF(WEEKDAY(A323,3)&gt;4,0,(IF(A323&lt;K$2,0,IF(A323&lt;=K$3,1,0))))</f>
        <v>0</v>
      </c>
      <c r="L323" s="124" t="n">
        <f aca="false">J323*K323</f>
        <v>0</v>
      </c>
      <c r="M323" s="124" t="n">
        <f aca="false">SUM(J$280:J323)</f>
        <v>3770305.86747257</v>
      </c>
      <c r="N323" s="124" t="n">
        <f aca="false">SUM(J$6:J323)</f>
        <v>26441850.1505022</v>
      </c>
      <c r="P323" s="124" t="n">
        <f aca="false">D323/P$3</f>
        <v>0</v>
      </c>
      <c r="Q323" s="124" t="n">
        <f aca="false">E323/P$3</f>
        <v>0</v>
      </c>
      <c r="R323" s="124" t="n">
        <f aca="false">F323/R$3</f>
        <v>0</v>
      </c>
      <c r="S323" s="126" t="n">
        <f aca="false">J323/$R$3</f>
        <v>0</v>
      </c>
      <c r="T323" s="126" t="n">
        <f aca="false">L323/$R$3</f>
        <v>0</v>
      </c>
      <c r="U323" s="126" t="n">
        <f aca="false">I323/$R$3</f>
        <v>2974.06789663184</v>
      </c>
      <c r="V323" s="126" t="n">
        <f aca="false">M323/$R$3</f>
        <v>3770.30586747257</v>
      </c>
      <c r="W323" s="126" t="n">
        <f aca="false">N323/$R$3</f>
        <v>26441.8501505022</v>
      </c>
    </row>
    <row r="324" customFormat="false" ht="12.75" hidden="false" customHeight="false" outlineLevel="0" collapsed="false">
      <c r="A324" s="120" t="n">
        <f aca="false">A323+1</f>
        <v>37210</v>
      </c>
      <c r="B324" s="131" t="str">
        <f aca="false">INDEX('Master Data'!$A$2:$B$8,MATCH(WEEKDAY('BRA Power'!A324,3),'Master Data'!$A$2:$A$8,0),2)</f>
        <v>Th</v>
      </c>
      <c r="D324" s="124" t="n">
        <v>0</v>
      </c>
      <c r="E324" s="124" t="n">
        <v>0</v>
      </c>
      <c r="F324" s="124" t="n">
        <v>0</v>
      </c>
      <c r="G324" s="124" t="n">
        <v>0</v>
      </c>
      <c r="I324" s="124" t="n">
        <f aca="false">IF(MONTH($A324)=MONTH($A323),IF(G324=0,I323,G324),G324)</f>
        <v>2974067.89663184</v>
      </c>
      <c r="J324" s="124" t="n">
        <f aca="false">IF(MONTH($A324)=MONTH($A323),SUM(I324-I323),I324)</f>
        <v>0</v>
      </c>
      <c r="K324" s="124" t="n">
        <f aca="false">IF(WEEKDAY(A324,3)&gt;4,0,(IF(A324&lt;K$2,0,IF(A324&lt;=K$3,1,0))))</f>
        <v>0</v>
      </c>
      <c r="L324" s="124" t="n">
        <f aca="false">J324*K324</f>
        <v>0</v>
      </c>
      <c r="M324" s="124" t="n">
        <f aca="false">SUM(J$280:J324)</f>
        <v>3770305.86747257</v>
      </c>
      <c r="N324" s="124" t="n">
        <f aca="false">SUM(J$6:J324)</f>
        <v>26441850.1505022</v>
      </c>
      <c r="P324" s="124" t="n">
        <f aca="false">D324/P$3</f>
        <v>0</v>
      </c>
      <c r="Q324" s="124" t="n">
        <f aca="false">E324/P$3</f>
        <v>0</v>
      </c>
      <c r="R324" s="124" t="n">
        <f aca="false">F324/R$3</f>
        <v>0</v>
      </c>
      <c r="S324" s="126" t="n">
        <f aca="false">J324/$R$3</f>
        <v>0</v>
      </c>
      <c r="T324" s="126" t="n">
        <f aca="false">L324/$R$3</f>
        <v>0</v>
      </c>
      <c r="U324" s="126" t="n">
        <f aca="false">I324/$R$3</f>
        <v>2974.06789663184</v>
      </c>
      <c r="V324" s="126" t="n">
        <f aca="false">M324/$R$3</f>
        <v>3770.30586747257</v>
      </c>
      <c r="W324" s="126" t="n">
        <f aca="false">N324/$R$3</f>
        <v>26441.8501505022</v>
      </c>
    </row>
    <row r="325" customFormat="false" ht="12.75" hidden="false" customHeight="false" outlineLevel="0" collapsed="false">
      <c r="A325" s="120" t="n">
        <f aca="false">A324+1</f>
        <v>37211</v>
      </c>
      <c r="B325" s="131" t="str">
        <f aca="false">INDEX('Master Data'!$A$2:$B$8,MATCH(WEEKDAY('BRA Power'!A325,3),'Master Data'!$A$2:$A$8,0),2)</f>
        <v>F</v>
      </c>
      <c r="D325" s="124" t="n">
        <v>0</v>
      </c>
      <c r="E325" s="124" t="n">
        <v>0</v>
      </c>
      <c r="F325" s="124" t="n">
        <v>0</v>
      </c>
      <c r="G325" s="124" t="n">
        <v>0</v>
      </c>
      <c r="I325" s="124" t="n">
        <f aca="false">IF(MONTH($A325)=MONTH($A324),IF(G325=0,I324,G325),G325)</f>
        <v>2974067.89663184</v>
      </c>
      <c r="J325" s="124" t="n">
        <f aca="false">IF(MONTH($A325)=MONTH($A324),SUM(I325-I324),I325)</f>
        <v>0</v>
      </c>
      <c r="K325" s="124" t="n">
        <f aca="false">IF(WEEKDAY(A325,3)&gt;4,0,(IF(A325&lt;K$2,0,IF(A325&lt;=K$3,1,0))))</f>
        <v>0</v>
      </c>
      <c r="L325" s="124" t="n">
        <f aca="false">J325*K325</f>
        <v>0</v>
      </c>
      <c r="M325" s="124" t="n">
        <f aca="false">SUM(J$280:J325)</f>
        <v>3770305.86747257</v>
      </c>
      <c r="N325" s="124" t="n">
        <f aca="false">SUM(J$6:J325)</f>
        <v>26441850.1505022</v>
      </c>
      <c r="P325" s="124" t="n">
        <f aca="false">D325/P$3</f>
        <v>0</v>
      </c>
      <c r="Q325" s="124" t="n">
        <f aca="false">E325/P$3</f>
        <v>0</v>
      </c>
      <c r="R325" s="124" t="n">
        <f aca="false">F325/R$3</f>
        <v>0</v>
      </c>
      <c r="S325" s="126" t="n">
        <f aca="false">J325/$R$3</f>
        <v>0</v>
      </c>
      <c r="T325" s="126" t="n">
        <f aca="false">L325/$R$3</f>
        <v>0</v>
      </c>
      <c r="U325" s="126" t="n">
        <f aca="false">I325/$R$3</f>
        <v>2974.06789663184</v>
      </c>
      <c r="V325" s="126" t="n">
        <f aca="false">M325/$R$3</f>
        <v>3770.30586747257</v>
      </c>
      <c r="W325" s="126" t="n">
        <f aca="false">N325/$R$3</f>
        <v>26441.8501505022</v>
      </c>
    </row>
    <row r="326" customFormat="false" ht="12.75" hidden="false" customHeight="false" outlineLevel="0" collapsed="false">
      <c r="A326" s="120" t="n">
        <f aca="false">A325+1</f>
        <v>37212</v>
      </c>
      <c r="B326" s="131" t="str">
        <f aca="false">INDEX('Master Data'!$A$2:$B$8,MATCH(WEEKDAY('BRA Power'!A326,3),'Master Data'!$A$2:$A$8,0),2)</f>
        <v>Sa</v>
      </c>
      <c r="D326" s="124" t="n">
        <v>0</v>
      </c>
      <c r="E326" s="124" t="n">
        <v>0</v>
      </c>
      <c r="F326" s="124" t="n">
        <v>0</v>
      </c>
      <c r="G326" s="124" t="n">
        <v>0</v>
      </c>
      <c r="I326" s="124" t="n">
        <f aca="false">IF(MONTH($A326)=MONTH($A325),IF(G326=0,I325,G326),G326)</f>
        <v>2974067.89663184</v>
      </c>
      <c r="J326" s="124" t="n">
        <f aca="false">IF(MONTH($A326)=MONTH($A325),SUM(I326-I325),I326)</f>
        <v>0</v>
      </c>
      <c r="K326" s="124" t="n">
        <f aca="false">IF(WEEKDAY(A326,3)&gt;4,0,(IF(A326&lt;K$2,0,IF(A326&lt;=K$3,1,0))))</f>
        <v>0</v>
      </c>
      <c r="L326" s="124" t="n">
        <f aca="false">J326*K326</f>
        <v>0</v>
      </c>
      <c r="M326" s="124" t="n">
        <f aca="false">SUM(J$280:J326)</f>
        <v>3770305.86747257</v>
      </c>
      <c r="N326" s="124" t="n">
        <f aca="false">SUM(J$6:J326)</f>
        <v>26441850.1505022</v>
      </c>
      <c r="P326" s="124" t="n">
        <f aca="false">D326/P$3</f>
        <v>0</v>
      </c>
      <c r="Q326" s="124" t="n">
        <f aca="false">E326/P$3</f>
        <v>0</v>
      </c>
      <c r="R326" s="124" t="n">
        <f aca="false">F326/R$3</f>
        <v>0</v>
      </c>
      <c r="S326" s="126" t="n">
        <f aca="false">J326/$R$3</f>
        <v>0</v>
      </c>
      <c r="T326" s="126" t="n">
        <f aca="false">L326/$R$3</f>
        <v>0</v>
      </c>
      <c r="U326" s="126" t="n">
        <f aca="false">I326/$R$3</f>
        <v>2974.06789663184</v>
      </c>
      <c r="V326" s="126" t="n">
        <f aca="false">M326/$R$3</f>
        <v>3770.30586747257</v>
      </c>
      <c r="W326" s="126" t="n">
        <f aca="false">N326/$R$3</f>
        <v>26441.8501505022</v>
      </c>
    </row>
    <row r="327" customFormat="false" ht="12.75" hidden="false" customHeight="false" outlineLevel="0" collapsed="false">
      <c r="A327" s="120" t="n">
        <f aca="false">A326+1</f>
        <v>37213</v>
      </c>
      <c r="B327" s="131" t="str">
        <f aca="false">INDEX('Master Data'!$A$2:$B$8,MATCH(WEEKDAY('BRA Power'!A327,3),'Master Data'!$A$2:$A$8,0),2)</f>
        <v>Su</v>
      </c>
      <c r="D327" s="124" t="n">
        <v>0</v>
      </c>
      <c r="E327" s="124" t="n">
        <v>0</v>
      </c>
      <c r="F327" s="124" t="n">
        <v>0</v>
      </c>
      <c r="G327" s="124" t="n">
        <v>0</v>
      </c>
      <c r="I327" s="124" t="n">
        <f aca="false">IF(MONTH($A327)=MONTH($A326),IF(G327=0,I326,G327),G327)</f>
        <v>2974067.89663184</v>
      </c>
      <c r="J327" s="124" t="n">
        <f aca="false">IF(MONTH($A327)=MONTH($A326),SUM(I327-I326),I327)</f>
        <v>0</v>
      </c>
      <c r="K327" s="124" t="n">
        <f aca="false">IF(WEEKDAY(A327,3)&gt;4,0,(IF(A327&lt;K$2,0,IF(A327&lt;=K$3,1,0))))</f>
        <v>0</v>
      </c>
      <c r="L327" s="124" t="n">
        <f aca="false">J327*K327</f>
        <v>0</v>
      </c>
      <c r="M327" s="124" t="n">
        <f aca="false">SUM(J$280:J327)</f>
        <v>3770305.86747257</v>
      </c>
      <c r="N327" s="124" t="n">
        <f aca="false">SUM(J$6:J327)</f>
        <v>26441850.1505022</v>
      </c>
      <c r="P327" s="124" t="n">
        <f aca="false">D327/P$3</f>
        <v>0</v>
      </c>
      <c r="Q327" s="124" t="n">
        <f aca="false">E327/P$3</f>
        <v>0</v>
      </c>
      <c r="R327" s="124" t="n">
        <f aca="false">F327/R$3</f>
        <v>0</v>
      </c>
      <c r="S327" s="126" t="n">
        <f aca="false">J327/$R$3</f>
        <v>0</v>
      </c>
      <c r="T327" s="126" t="n">
        <f aca="false">L327/$R$3</f>
        <v>0</v>
      </c>
      <c r="U327" s="126" t="n">
        <f aca="false">I327/$R$3</f>
        <v>2974.06789663184</v>
      </c>
      <c r="V327" s="126" t="n">
        <f aca="false">M327/$R$3</f>
        <v>3770.30586747257</v>
      </c>
      <c r="W327" s="126" t="n">
        <f aca="false">N327/$R$3</f>
        <v>26441.8501505022</v>
      </c>
    </row>
    <row r="328" customFormat="false" ht="12.75" hidden="false" customHeight="false" outlineLevel="0" collapsed="false">
      <c r="A328" s="120" t="n">
        <f aca="false">A327+1</f>
        <v>37214</v>
      </c>
      <c r="B328" s="131" t="str">
        <f aca="false">INDEX('Master Data'!$A$2:$B$8,MATCH(WEEKDAY('BRA Power'!A328,3),'Master Data'!$A$2:$A$8,0),2)</f>
        <v>M</v>
      </c>
      <c r="D328" s="124" t="n">
        <v>0</v>
      </c>
      <c r="E328" s="124" t="n">
        <v>0</v>
      </c>
      <c r="F328" s="124" t="n">
        <v>0</v>
      </c>
      <c r="G328" s="124" t="n">
        <v>0</v>
      </c>
      <c r="I328" s="124" t="n">
        <f aca="false">IF(MONTH($A328)=MONTH($A327),IF(G328=0,I327,G328),G328)</f>
        <v>2974067.89663184</v>
      </c>
      <c r="J328" s="124" t="n">
        <f aca="false">IF(MONTH($A328)=MONTH($A327),SUM(I328-I327),I328)</f>
        <v>0</v>
      </c>
      <c r="K328" s="124" t="n">
        <f aca="false">IF(WEEKDAY(A328,3)&gt;4,0,(IF(A328&lt;K$2,0,IF(A328&lt;=K$3,1,0))))</f>
        <v>0</v>
      </c>
      <c r="L328" s="124" t="n">
        <f aca="false">J328*K328</f>
        <v>0</v>
      </c>
      <c r="M328" s="124" t="n">
        <f aca="false">SUM(J$280:J328)</f>
        <v>3770305.86747257</v>
      </c>
      <c r="N328" s="124" t="n">
        <f aca="false">SUM(J$6:J328)</f>
        <v>26441850.1505022</v>
      </c>
      <c r="P328" s="124" t="n">
        <f aca="false">D328/P$3</f>
        <v>0</v>
      </c>
      <c r="Q328" s="124" t="n">
        <f aca="false">E328/P$3</f>
        <v>0</v>
      </c>
      <c r="R328" s="124" t="n">
        <f aca="false">F328/R$3</f>
        <v>0</v>
      </c>
      <c r="S328" s="126" t="n">
        <f aca="false">J328/$R$3</f>
        <v>0</v>
      </c>
      <c r="T328" s="126" t="n">
        <f aca="false">L328/$R$3</f>
        <v>0</v>
      </c>
      <c r="U328" s="126" t="n">
        <f aca="false">I328/$R$3</f>
        <v>2974.06789663184</v>
      </c>
      <c r="V328" s="126" t="n">
        <f aca="false">M328/$R$3</f>
        <v>3770.30586747257</v>
      </c>
      <c r="W328" s="126" t="n">
        <f aca="false">N328/$R$3</f>
        <v>26441.8501505022</v>
      </c>
    </row>
    <row r="329" customFormat="false" ht="12.75" hidden="false" customHeight="false" outlineLevel="0" collapsed="false">
      <c r="A329" s="120" t="n">
        <f aca="false">A328+1</f>
        <v>37215</v>
      </c>
      <c r="B329" s="131" t="str">
        <f aca="false">INDEX('Master Data'!$A$2:$B$8,MATCH(WEEKDAY('BRA Power'!A329,3),'Master Data'!$A$2:$A$8,0),2)</f>
        <v>T</v>
      </c>
      <c r="D329" s="124" t="n">
        <v>0</v>
      </c>
      <c r="E329" s="124" t="n">
        <v>0</v>
      </c>
      <c r="F329" s="124" t="n">
        <v>0</v>
      </c>
      <c r="G329" s="124" t="n">
        <v>0</v>
      </c>
      <c r="I329" s="124" t="n">
        <f aca="false">IF(MONTH($A329)=MONTH($A328),IF(G329=0,I328,G329),G329)</f>
        <v>2974067.89663184</v>
      </c>
      <c r="J329" s="124" t="n">
        <f aca="false">IF(MONTH($A329)=MONTH($A328),SUM(I329-I328),I329)</f>
        <v>0</v>
      </c>
      <c r="K329" s="124" t="n">
        <f aca="false">IF(WEEKDAY(A329,3)&gt;4,0,(IF(A329&lt;K$2,0,IF(A329&lt;=K$3,1,0))))</f>
        <v>0</v>
      </c>
      <c r="L329" s="124" t="n">
        <f aca="false">J329*K329</f>
        <v>0</v>
      </c>
      <c r="M329" s="124" t="n">
        <f aca="false">SUM(J$280:J329)</f>
        <v>3770305.86747257</v>
      </c>
      <c r="N329" s="124" t="n">
        <f aca="false">SUM(J$6:J329)</f>
        <v>26441850.1505022</v>
      </c>
      <c r="P329" s="124" t="n">
        <f aca="false">D329/P$3</f>
        <v>0</v>
      </c>
      <c r="Q329" s="124" t="n">
        <f aca="false">E329/P$3</f>
        <v>0</v>
      </c>
      <c r="R329" s="124" t="n">
        <f aca="false">F329/R$3</f>
        <v>0</v>
      </c>
      <c r="S329" s="126" t="n">
        <f aca="false">J329/$R$3</f>
        <v>0</v>
      </c>
      <c r="T329" s="126" t="n">
        <f aca="false">L329/$R$3</f>
        <v>0</v>
      </c>
      <c r="U329" s="126" t="n">
        <f aca="false">I329/$R$3</f>
        <v>2974.06789663184</v>
      </c>
      <c r="V329" s="126" t="n">
        <f aca="false">M329/$R$3</f>
        <v>3770.30586747257</v>
      </c>
      <c r="W329" s="126" t="n">
        <f aca="false">N329/$R$3</f>
        <v>26441.8501505022</v>
      </c>
    </row>
    <row r="330" customFormat="false" ht="12.75" hidden="false" customHeight="false" outlineLevel="0" collapsed="false">
      <c r="A330" s="120" t="n">
        <f aca="false">A329+1</f>
        <v>37216</v>
      </c>
      <c r="B330" s="131" t="str">
        <f aca="false">INDEX('Master Data'!$A$2:$B$8,MATCH(WEEKDAY('BRA Power'!A330,3),'Master Data'!$A$2:$A$8,0),2)</f>
        <v>W</v>
      </c>
      <c r="D330" s="124" t="n">
        <v>0</v>
      </c>
      <c r="E330" s="124" t="n">
        <v>0</v>
      </c>
      <c r="F330" s="124" t="n">
        <v>0</v>
      </c>
      <c r="G330" s="124" t="n">
        <v>0</v>
      </c>
      <c r="I330" s="124" t="n">
        <f aca="false">IF(MONTH($A330)=MONTH($A329),IF(G330=0,I329,G330),G330)</f>
        <v>2974067.89663184</v>
      </c>
      <c r="J330" s="124" t="n">
        <f aca="false">IF(MONTH($A330)=MONTH($A329),SUM(I330-I329),I330)</f>
        <v>0</v>
      </c>
      <c r="K330" s="124" t="n">
        <f aca="false">IF(WEEKDAY(A330,3)&gt;4,0,(IF(A330&lt;K$2,0,IF(A330&lt;=K$3,1,0))))</f>
        <v>0</v>
      </c>
      <c r="L330" s="124" t="n">
        <f aca="false">J330*K330</f>
        <v>0</v>
      </c>
      <c r="M330" s="124" t="n">
        <f aca="false">SUM(J$280:J330)</f>
        <v>3770305.86747257</v>
      </c>
      <c r="N330" s="124" t="n">
        <f aca="false">SUM(J$6:J330)</f>
        <v>26441850.1505022</v>
      </c>
      <c r="P330" s="124" t="n">
        <f aca="false">D330/P$3</f>
        <v>0</v>
      </c>
      <c r="Q330" s="124" t="n">
        <f aca="false">E330/P$3</f>
        <v>0</v>
      </c>
      <c r="R330" s="124" t="n">
        <f aca="false">F330/R$3</f>
        <v>0</v>
      </c>
      <c r="S330" s="126" t="n">
        <f aca="false">J330/$R$3</f>
        <v>0</v>
      </c>
      <c r="T330" s="126" t="n">
        <f aca="false">L330/$R$3</f>
        <v>0</v>
      </c>
      <c r="U330" s="126" t="n">
        <f aca="false">I330/$R$3</f>
        <v>2974.06789663184</v>
      </c>
      <c r="V330" s="126" t="n">
        <f aca="false">M330/$R$3</f>
        <v>3770.30586747257</v>
      </c>
      <c r="W330" s="126" t="n">
        <f aca="false">N330/$R$3</f>
        <v>26441.8501505022</v>
      </c>
    </row>
    <row r="331" customFormat="false" ht="12.75" hidden="false" customHeight="false" outlineLevel="0" collapsed="false">
      <c r="A331" s="120" t="n">
        <f aca="false">A330+1</f>
        <v>37217</v>
      </c>
      <c r="B331" s="131" t="str">
        <f aca="false">INDEX('Master Data'!$A$2:$B$8,MATCH(WEEKDAY('BRA Power'!A331,3),'Master Data'!$A$2:$A$8,0),2)</f>
        <v>Th</v>
      </c>
      <c r="D331" s="124" t="n">
        <v>0</v>
      </c>
      <c r="E331" s="124" t="n">
        <v>0</v>
      </c>
      <c r="F331" s="124" t="n">
        <v>0</v>
      </c>
      <c r="G331" s="124" t="n">
        <v>0</v>
      </c>
      <c r="I331" s="124" t="n">
        <f aca="false">IF(MONTH($A331)=MONTH($A330),IF(G331=0,I330,G331),G331)</f>
        <v>2974067.89663184</v>
      </c>
      <c r="J331" s="124" t="n">
        <f aca="false">IF(MONTH($A331)=MONTH($A330),SUM(I331-I330),I331)</f>
        <v>0</v>
      </c>
      <c r="K331" s="124" t="n">
        <f aca="false">IF(WEEKDAY(A331,3)&gt;4,0,(IF(A331&lt;K$2,0,IF(A331&lt;=K$3,1,0))))</f>
        <v>0</v>
      </c>
      <c r="L331" s="124" t="n">
        <f aca="false">J331*K331</f>
        <v>0</v>
      </c>
      <c r="M331" s="124" t="n">
        <f aca="false">SUM(J$280:J331)</f>
        <v>3770305.86747257</v>
      </c>
      <c r="N331" s="124" t="n">
        <f aca="false">SUM(J$6:J331)</f>
        <v>26441850.1505022</v>
      </c>
      <c r="P331" s="124" t="n">
        <f aca="false">D331/P$3</f>
        <v>0</v>
      </c>
      <c r="Q331" s="124" t="n">
        <f aca="false">E331/P$3</f>
        <v>0</v>
      </c>
      <c r="R331" s="124" t="n">
        <f aca="false">F331/R$3</f>
        <v>0</v>
      </c>
      <c r="S331" s="126" t="n">
        <f aca="false">J331/$R$3</f>
        <v>0</v>
      </c>
      <c r="T331" s="126" t="n">
        <f aca="false">L331/$R$3</f>
        <v>0</v>
      </c>
      <c r="U331" s="126" t="n">
        <f aca="false">I331/$R$3</f>
        <v>2974.06789663184</v>
      </c>
      <c r="V331" s="126" t="n">
        <f aca="false">M331/$R$3</f>
        <v>3770.30586747257</v>
      </c>
      <c r="W331" s="126" t="n">
        <f aca="false">N331/$R$3</f>
        <v>26441.8501505022</v>
      </c>
    </row>
    <row r="332" customFormat="false" ht="12.75" hidden="false" customHeight="false" outlineLevel="0" collapsed="false">
      <c r="A332" s="120" t="n">
        <f aca="false">A331+1</f>
        <v>37218</v>
      </c>
      <c r="B332" s="131" t="str">
        <f aca="false">INDEX('Master Data'!$A$2:$B$8,MATCH(WEEKDAY('BRA Power'!A332,3),'Master Data'!$A$2:$A$8,0),2)</f>
        <v>F</v>
      </c>
      <c r="D332" s="124" t="n">
        <v>0</v>
      </c>
      <c r="E332" s="124" t="n">
        <v>0</v>
      </c>
      <c r="F332" s="124" t="n">
        <v>0</v>
      </c>
      <c r="G332" s="124" t="n">
        <v>0</v>
      </c>
      <c r="I332" s="124" t="n">
        <f aca="false">IF(MONTH($A332)=MONTH($A331),IF(G332=0,I331,G332),G332)</f>
        <v>2974067.89663184</v>
      </c>
      <c r="J332" s="124" t="n">
        <f aca="false">IF(MONTH($A332)=MONTH($A331),SUM(I332-I331),I332)</f>
        <v>0</v>
      </c>
      <c r="K332" s="124" t="n">
        <f aca="false">IF(WEEKDAY(A332,3)&gt;4,0,(IF(A332&lt;K$2,0,IF(A332&lt;=K$3,1,0))))</f>
        <v>0</v>
      </c>
      <c r="L332" s="124" t="n">
        <f aca="false">J332*K332</f>
        <v>0</v>
      </c>
      <c r="M332" s="124" t="n">
        <f aca="false">SUM(J$280:J332)</f>
        <v>3770305.86747257</v>
      </c>
      <c r="N332" s="124" t="n">
        <f aca="false">SUM(J$6:J332)</f>
        <v>26441850.1505022</v>
      </c>
      <c r="P332" s="124" t="n">
        <f aca="false">D332/P$3</f>
        <v>0</v>
      </c>
      <c r="Q332" s="124" t="n">
        <f aca="false">E332/P$3</f>
        <v>0</v>
      </c>
      <c r="R332" s="124" t="n">
        <f aca="false">F332/R$3</f>
        <v>0</v>
      </c>
      <c r="S332" s="126" t="n">
        <f aca="false">J332/$R$3</f>
        <v>0</v>
      </c>
      <c r="T332" s="126" t="n">
        <f aca="false">L332/$R$3</f>
        <v>0</v>
      </c>
      <c r="U332" s="126" t="n">
        <f aca="false">I332/$R$3</f>
        <v>2974.06789663184</v>
      </c>
      <c r="V332" s="126" t="n">
        <f aca="false">M332/$R$3</f>
        <v>3770.30586747257</v>
      </c>
      <c r="W332" s="126" t="n">
        <f aca="false">N332/$R$3</f>
        <v>26441.8501505022</v>
      </c>
    </row>
    <row r="333" customFormat="false" ht="12.75" hidden="false" customHeight="false" outlineLevel="0" collapsed="false">
      <c r="A333" s="120" t="n">
        <f aca="false">A332+1</f>
        <v>37219</v>
      </c>
      <c r="B333" s="131" t="str">
        <f aca="false">INDEX('Master Data'!$A$2:$B$8,MATCH(WEEKDAY('BRA Power'!A333,3),'Master Data'!$A$2:$A$8,0),2)</f>
        <v>Sa</v>
      </c>
      <c r="D333" s="124" t="n">
        <v>0</v>
      </c>
      <c r="E333" s="124" t="n">
        <v>0</v>
      </c>
      <c r="F333" s="124" t="n">
        <v>0</v>
      </c>
      <c r="G333" s="124" t="n">
        <v>0</v>
      </c>
      <c r="I333" s="124" t="n">
        <f aca="false">IF(MONTH($A333)=MONTH($A332),IF(G333=0,I332,G333),G333)</f>
        <v>2974067.89663184</v>
      </c>
      <c r="J333" s="124" t="n">
        <f aca="false">IF(MONTH($A333)=MONTH($A332),SUM(I333-I332),I333)</f>
        <v>0</v>
      </c>
      <c r="K333" s="124" t="n">
        <f aca="false">IF(WEEKDAY(A333,3)&gt;4,0,(IF(A333&lt;K$2,0,IF(A333&lt;=K$3,1,0))))</f>
        <v>0</v>
      </c>
      <c r="L333" s="124" t="n">
        <f aca="false">J333*K333</f>
        <v>0</v>
      </c>
      <c r="M333" s="124" t="n">
        <f aca="false">SUM(J$280:J333)</f>
        <v>3770305.86747257</v>
      </c>
      <c r="N333" s="124" t="n">
        <f aca="false">SUM(J$6:J333)</f>
        <v>26441850.1505022</v>
      </c>
      <c r="P333" s="124" t="n">
        <f aca="false">D333/P$3</f>
        <v>0</v>
      </c>
      <c r="Q333" s="124" t="n">
        <f aca="false">E333/P$3</f>
        <v>0</v>
      </c>
      <c r="R333" s="124" t="n">
        <f aca="false">F333/R$3</f>
        <v>0</v>
      </c>
      <c r="S333" s="126" t="n">
        <f aca="false">J333/$R$3</f>
        <v>0</v>
      </c>
      <c r="T333" s="126" t="n">
        <f aca="false">L333/$R$3</f>
        <v>0</v>
      </c>
      <c r="U333" s="126" t="n">
        <f aca="false">I333/$R$3</f>
        <v>2974.06789663184</v>
      </c>
      <c r="V333" s="126" t="n">
        <f aca="false">M333/$R$3</f>
        <v>3770.30586747257</v>
      </c>
      <c r="W333" s="126" t="n">
        <f aca="false">N333/$R$3</f>
        <v>26441.8501505022</v>
      </c>
    </row>
    <row r="334" customFormat="false" ht="12.75" hidden="false" customHeight="false" outlineLevel="0" collapsed="false">
      <c r="A334" s="120" t="n">
        <f aca="false">A333+1</f>
        <v>37220</v>
      </c>
      <c r="B334" s="131" t="str">
        <f aca="false">INDEX('Master Data'!$A$2:$B$8,MATCH(WEEKDAY('BRA Power'!A334,3),'Master Data'!$A$2:$A$8,0),2)</f>
        <v>Su</v>
      </c>
      <c r="D334" s="124" t="n">
        <v>0</v>
      </c>
      <c r="E334" s="124" t="n">
        <v>0</v>
      </c>
      <c r="F334" s="124" t="n">
        <v>0</v>
      </c>
      <c r="G334" s="124" t="n">
        <v>0</v>
      </c>
      <c r="I334" s="124" t="n">
        <f aca="false">IF(MONTH($A334)=MONTH($A333),IF(G334=0,I333,G334),G334)</f>
        <v>2974067.89663184</v>
      </c>
      <c r="J334" s="124" t="n">
        <f aca="false">IF(MONTH($A334)=MONTH($A333),SUM(I334-I333),I334)</f>
        <v>0</v>
      </c>
      <c r="K334" s="124" t="n">
        <f aca="false">IF(WEEKDAY(A334,3)&gt;4,0,(IF(A334&lt;K$2,0,IF(A334&lt;=K$3,1,0))))</f>
        <v>0</v>
      </c>
      <c r="L334" s="124" t="n">
        <f aca="false">J334*K334</f>
        <v>0</v>
      </c>
      <c r="M334" s="124" t="n">
        <f aca="false">SUM(J$280:J334)</f>
        <v>3770305.86747257</v>
      </c>
      <c r="N334" s="124" t="n">
        <f aca="false">SUM(J$6:J334)</f>
        <v>26441850.1505022</v>
      </c>
      <c r="P334" s="124" t="n">
        <f aca="false">D334/P$3</f>
        <v>0</v>
      </c>
      <c r="Q334" s="124" t="n">
        <f aca="false">E334/P$3</f>
        <v>0</v>
      </c>
      <c r="R334" s="124" t="n">
        <f aca="false">F334/R$3</f>
        <v>0</v>
      </c>
      <c r="S334" s="126" t="n">
        <f aca="false">J334/$R$3</f>
        <v>0</v>
      </c>
      <c r="T334" s="126" t="n">
        <f aca="false">L334/$R$3</f>
        <v>0</v>
      </c>
      <c r="U334" s="126" t="n">
        <f aca="false">I334/$R$3</f>
        <v>2974.06789663184</v>
      </c>
      <c r="V334" s="126" t="n">
        <f aca="false">M334/$R$3</f>
        <v>3770.30586747257</v>
      </c>
      <c r="W334" s="126" t="n">
        <f aca="false">N334/$R$3</f>
        <v>26441.8501505022</v>
      </c>
    </row>
    <row r="335" customFormat="false" ht="12.75" hidden="false" customHeight="false" outlineLevel="0" collapsed="false">
      <c r="A335" s="120" t="n">
        <f aca="false">A334+1</f>
        <v>37221</v>
      </c>
      <c r="B335" s="131" t="str">
        <f aca="false">INDEX('Master Data'!$A$2:$B$8,MATCH(WEEKDAY('BRA Power'!A335,3),'Master Data'!$A$2:$A$8,0),2)</f>
        <v>M</v>
      </c>
      <c r="D335" s="124" t="n">
        <v>0</v>
      </c>
      <c r="E335" s="124" t="n">
        <v>0</v>
      </c>
      <c r="F335" s="124" t="n">
        <v>0</v>
      </c>
      <c r="G335" s="124" t="n">
        <v>0</v>
      </c>
      <c r="I335" s="124" t="n">
        <f aca="false">IF(MONTH($A335)=MONTH($A334),IF(G335=0,I334,G335),G335)</f>
        <v>2974067.89663184</v>
      </c>
      <c r="J335" s="124" t="n">
        <f aca="false">IF(MONTH($A335)=MONTH($A334),SUM(I335-I334),I335)</f>
        <v>0</v>
      </c>
      <c r="K335" s="124" t="n">
        <f aca="false">IF(WEEKDAY(A335,3)&gt;4,0,(IF(A335&lt;K$2,0,IF(A335&lt;=K$3,1,0))))</f>
        <v>0</v>
      </c>
      <c r="L335" s="124" t="n">
        <f aca="false">J335*K335</f>
        <v>0</v>
      </c>
      <c r="M335" s="124" t="n">
        <f aca="false">SUM(J$280:J335)</f>
        <v>3770305.86747257</v>
      </c>
      <c r="N335" s="124" t="n">
        <f aca="false">SUM(J$6:J335)</f>
        <v>26441850.1505022</v>
      </c>
      <c r="P335" s="124" t="n">
        <f aca="false">D335/P$3</f>
        <v>0</v>
      </c>
      <c r="Q335" s="124" t="n">
        <f aca="false">E335/P$3</f>
        <v>0</v>
      </c>
      <c r="R335" s="124" t="n">
        <f aca="false">F335/R$3</f>
        <v>0</v>
      </c>
      <c r="S335" s="126" t="n">
        <f aca="false">J335/$R$3</f>
        <v>0</v>
      </c>
      <c r="T335" s="126" t="n">
        <f aca="false">L335/$R$3</f>
        <v>0</v>
      </c>
      <c r="U335" s="126" t="n">
        <f aca="false">I335/$R$3</f>
        <v>2974.06789663184</v>
      </c>
      <c r="V335" s="126" t="n">
        <f aca="false">M335/$R$3</f>
        <v>3770.30586747257</v>
      </c>
      <c r="W335" s="126" t="n">
        <f aca="false">N335/$R$3</f>
        <v>26441.8501505022</v>
      </c>
    </row>
    <row r="336" customFormat="false" ht="12.75" hidden="false" customHeight="false" outlineLevel="0" collapsed="false">
      <c r="A336" s="120" t="n">
        <f aca="false">A335+1</f>
        <v>37222</v>
      </c>
      <c r="B336" s="131" t="str">
        <f aca="false">INDEX('Master Data'!$A$2:$B$8,MATCH(WEEKDAY('BRA Power'!A336,3),'Master Data'!$A$2:$A$8,0),2)</f>
        <v>T</v>
      </c>
      <c r="D336" s="124" t="n">
        <v>0</v>
      </c>
      <c r="E336" s="124" t="n">
        <v>0</v>
      </c>
      <c r="F336" s="124" t="n">
        <v>0</v>
      </c>
      <c r="G336" s="124" t="n">
        <v>0</v>
      </c>
      <c r="I336" s="124" t="n">
        <f aca="false">IF(MONTH($A336)=MONTH($A335),IF(G336=0,I335,G336),G336)</f>
        <v>2974067.89663184</v>
      </c>
      <c r="J336" s="124" t="n">
        <f aca="false">IF(MONTH($A336)=MONTH($A335),SUM(I336-I335),I336)</f>
        <v>0</v>
      </c>
      <c r="K336" s="124" t="n">
        <f aca="false">IF(WEEKDAY(A336,3)&gt;4,0,(IF(A336&lt;K$2,0,IF(A336&lt;=K$3,1,0))))</f>
        <v>0</v>
      </c>
      <c r="L336" s="124" t="n">
        <f aca="false">J336*K336</f>
        <v>0</v>
      </c>
      <c r="M336" s="124" t="n">
        <f aca="false">SUM(J$280:J336)</f>
        <v>3770305.86747257</v>
      </c>
      <c r="N336" s="124" t="n">
        <f aca="false">SUM(J$6:J336)</f>
        <v>26441850.1505022</v>
      </c>
      <c r="P336" s="124" t="n">
        <f aca="false">D336/P$3</f>
        <v>0</v>
      </c>
      <c r="Q336" s="124" t="n">
        <f aca="false">E336/P$3</f>
        <v>0</v>
      </c>
      <c r="R336" s="124" t="n">
        <f aca="false">F336/R$3</f>
        <v>0</v>
      </c>
      <c r="S336" s="126" t="n">
        <f aca="false">J336/$R$3</f>
        <v>0</v>
      </c>
      <c r="T336" s="126" t="n">
        <f aca="false">L336/$R$3</f>
        <v>0</v>
      </c>
      <c r="U336" s="126" t="n">
        <f aca="false">I336/$R$3</f>
        <v>2974.06789663184</v>
      </c>
      <c r="V336" s="126" t="n">
        <f aca="false">M336/$R$3</f>
        <v>3770.30586747257</v>
      </c>
      <c r="W336" s="126" t="n">
        <f aca="false">N336/$R$3</f>
        <v>26441.8501505022</v>
      </c>
    </row>
    <row r="337" customFormat="false" ht="12.75" hidden="false" customHeight="false" outlineLevel="0" collapsed="false">
      <c r="A337" s="120" t="n">
        <f aca="false">A336+1</f>
        <v>37223</v>
      </c>
      <c r="B337" s="131" t="str">
        <f aca="false">INDEX('Master Data'!$A$2:$B$8,MATCH(WEEKDAY('BRA Power'!A337,3),'Master Data'!$A$2:$A$8,0),2)</f>
        <v>W</v>
      </c>
      <c r="D337" s="124" t="n">
        <v>0</v>
      </c>
      <c r="E337" s="124" t="n">
        <v>0</v>
      </c>
      <c r="F337" s="124" t="n">
        <v>0</v>
      </c>
      <c r="G337" s="124" t="n">
        <v>0</v>
      </c>
      <c r="I337" s="124" t="n">
        <f aca="false">IF(MONTH($A337)=MONTH($A336),IF(G337=0,I336,G337),G337)</f>
        <v>2974067.89663184</v>
      </c>
      <c r="J337" s="124" t="n">
        <f aca="false">IF(MONTH($A337)=MONTH($A336),SUM(I337-I336),I337)</f>
        <v>0</v>
      </c>
      <c r="K337" s="124" t="n">
        <f aca="false">IF(WEEKDAY(A337,3)&gt;4,0,(IF(A337&lt;K$2,0,IF(A337&lt;=K$3,1,0))))</f>
        <v>0</v>
      </c>
      <c r="L337" s="124" t="n">
        <f aca="false">J337*K337</f>
        <v>0</v>
      </c>
      <c r="M337" s="124" t="n">
        <f aca="false">SUM(J$280:J337)</f>
        <v>3770305.86747257</v>
      </c>
      <c r="N337" s="124" t="n">
        <f aca="false">SUM(J$6:J337)</f>
        <v>26441850.1505022</v>
      </c>
      <c r="P337" s="124" t="n">
        <f aca="false">D337/P$3</f>
        <v>0</v>
      </c>
      <c r="Q337" s="124" t="n">
        <f aca="false">E337/P$3</f>
        <v>0</v>
      </c>
      <c r="R337" s="124" t="n">
        <f aca="false">F337/R$3</f>
        <v>0</v>
      </c>
      <c r="S337" s="126" t="n">
        <f aca="false">J337/$R$3</f>
        <v>0</v>
      </c>
      <c r="T337" s="126" t="n">
        <f aca="false">L337/$R$3</f>
        <v>0</v>
      </c>
      <c r="U337" s="126" t="n">
        <f aca="false">I337/$R$3</f>
        <v>2974.06789663184</v>
      </c>
      <c r="V337" s="126" t="n">
        <f aca="false">M337/$R$3</f>
        <v>3770.30586747257</v>
      </c>
      <c r="W337" s="126" t="n">
        <f aca="false">N337/$R$3</f>
        <v>26441.8501505022</v>
      </c>
    </row>
    <row r="338" customFormat="false" ht="12.75" hidden="false" customHeight="false" outlineLevel="0" collapsed="false">
      <c r="A338" s="120" t="n">
        <f aca="false">A337+1</f>
        <v>37224</v>
      </c>
      <c r="B338" s="131" t="str">
        <f aca="false">INDEX('Master Data'!$A$2:$B$8,MATCH(WEEKDAY('BRA Power'!A338,3),'Master Data'!$A$2:$A$8,0),2)</f>
        <v>Th</v>
      </c>
      <c r="D338" s="124" t="n">
        <v>0</v>
      </c>
      <c r="E338" s="124" t="n">
        <v>0</v>
      </c>
      <c r="F338" s="124" t="n">
        <v>0</v>
      </c>
      <c r="G338" s="124" t="n">
        <v>0</v>
      </c>
      <c r="I338" s="124" t="n">
        <f aca="false">IF(MONTH($A338)=MONTH($A337),IF(G338=0,I337,G338),G338)</f>
        <v>2974067.89663184</v>
      </c>
      <c r="J338" s="124" t="n">
        <f aca="false">IF(MONTH($A338)=MONTH($A337),SUM(I338-I337),I338)</f>
        <v>0</v>
      </c>
      <c r="K338" s="124" t="n">
        <f aca="false">IF(WEEKDAY(A338,3)&gt;4,0,(IF(A338&lt;K$2,0,IF(A338&lt;=K$3,1,0))))</f>
        <v>0</v>
      </c>
      <c r="L338" s="124" t="n">
        <f aca="false">J338*K338</f>
        <v>0</v>
      </c>
      <c r="M338" s="124" t="n">
        <f aca="false">SUM(J$280:J338)</f>
        <v>3770305.86747257</v>
      </c>
      <c r="N338" s="124" t="n">
        <f aca="false">SUM(J$6:J338)</f>
        <v>26441850.1505022</v>
      </c>
      <c r="P338" s="124" t="n">
        <f aca="false">D338/P$3</f>
        <v>0</v>
      </c>
      <c r="Q338" s="124" t="n">
        <f aca="false">E338/P$3</f>
        <v>0</v>
      </c>
      <c r="R338" s="124" t="n">
        <f aca="false">F338/R$3</f>
        <v>0</v>
      </c>
      <c r="S338" s="126" t="n">
        <f aca="false">J338/$R$3</f>
        <v>0</v>
      </c>
      <c r="T338" s="126" t="n">
        <f aca="false">L338/$R$3</f>
        <v>0</v>
      </c>
      <c r="U338" s="126" t="n">
        <f aca="false">I338/$R$3</f>
        <v>2974.06789663184</v>
      </c>
      <c r="V338" s="126" t="n">
        <f aca="false">M338/$R$3</f>
        <v>3770.30586747257</v>
      </c>
      <c r="W338" s="126" t="n">
        <f aca="false">N338/$R$3</f>
        <v>26441.8501505022</v>
      </c>
    </row>
    <row r="339" customFormat="false" ht="12.75" hidden="false" customHeight="false" outlineLevel="0" collapsed="false">
      <c r="A339" s="120" t="n">
        <f aca="false">A338+1</f>
        <v>37225</v>
      </c>
      <c r="B339" s="131" t="str">
        <f aca="false">INDEX('Master Data'!$A$2:$B$8,MATCH(WEEKDAY('BRA Power'!A339,3),'Master Data'!$A$2:$A$8,0),2)</f>
        <v>F</v>
      </c>
      <c r="D339" s="124" t="n">
        <v>0</v>
      </c>
      <c r="E339" s="124" t="n">
        <v>0</v>
      </c>
      <c r="F339" s="124" t="n">
        <v>0</v>
      </c>
      <c r="G339" s="124" t="n">
        <v>0</v>
      </c>
      <c r="I339" s="124" t="n">
        <f aca="false">IF(MONTH($A339)=MONTH($A338),IF(G339=0,I338,G339),G339)</f>
        <v>2974067.89663184</v>
      </c>
      <c r="J339" s="124" t="n">
        <f aca="false">IF(MONTH($A339)=MONTH($A338),SUM(I339-I338),I339)</f>
        <v>0</v>
      </c>
      <c r="K339" s="124" t="n">
        <f aca="false">IF(WEEKDAY(A339,3)&gt;4,0,(IF(A339&lt;K$2,0,IF(A339&lt;=K$3,1,0))))</f>
        <v>0</v>
      </c>
      <c r="L339" s="124" t="n">
        <f aca="false">J339*K339</f>
        <v>0</v>
      </c>
      <c r="M339" s="124" t="n">
        <f aca="false">SUM(J$280:J339)</f>
        <v>3770305.86747257</v>
      </c>
      <c r="N339" s="124" t="n">
        <f aca="false">SUM(J$6:J339)</f>
        <v>26441850.1505022</v>
      </c>
      <c r="P339" s="124" t="n">
        <f aca="false">D339/P$3</f>
        <v>0</v>
      </c>
      <c r="Q339" s="124" t="n">
        <f aca="false">E339/P$3</f>
        <v>0</v>
      </c>
      <c r="R339" s="124" t="n">
        <f aca="false">F339/R$3</f>
        <v>0</v>
      </c>
      <c r="S339" s="126" t="n">
        <f aca="false">J339/$R$3</f>
        <v>0</v>
      </c>
      <c r="T339" s="126" t="n">
        <f aca="false">L339/$R$3</f>
        <v>0</v>
      </c>
      <c r="U339" s="126" t="n">
        <f aca="false">I339/$R$3</f>
        <v>2974.06789663184</v>
      </c>
      <c r="V339" s="126" t="n">
        <f aca="false">M339/$R$3</f>
        <v>3770.30586747257</v>
      </c>
      <c r="W339" s="126" t="n">
        <f aca="false">N339/$R$3</f>
        <v>26441.8501505022</v>
      </c>
    </row>
    <row r="340" customFormat="false" ht="12.75" hidden="false" customHeight="false" outlineLevel="0" collapsed="false">
      <c r="A340" s="120" t="n">
        <f aca="false">A339+1</f>
        <v>37226</v>
      </c>
      <c r="B340" s="131" t="str">
        <f aca="false">INDEX('Master Data'!$A$2:$B$8,MATCH(WEEKDAY('BRA Power'!A340,3),'Master Data'!$A$2:$A$8,0),2)</f>
        <v>Sa</v>
      </c>
      <c r="D340" s="124" t="n">
        <v>0</v>
      </c>
      <c r="E340" s="124" t="n">
        <v>0</v>
      </c>
      <c r="F340" s="124" t="n">
        <v>0</v>
      </c>
      <c r="G340" s="124" t="n">
        <v>0</v>
      </c>
      <c r="I340" s="124" t="n">
        <f aca="false">IF(MONTH($A340)=MONTH($A339),IF(G340=0,I339,G340),G340)</f>
        <v>0</v>
      </c>
      <c r="J340" s="124" t="n">
        <f aca="false">IF(MONTH($A340)=MONTH($A339),SUM(I340-I339),I340)</f>
        <v>0</v>
      </c>
      <c r="K340" s="124" t="n">
        <f aca="false">IF(WEEKDAY(A340,3)&gt;4,0,(IF(A340&lt;K$2,0,IF(A340&lt;=K$3,1,0))))</f>
        <v>0</v>
      </c>
      <c r="L340" s="124" t="n">
        <f aca="false">J340*K340</f>
        <v>0</v>
      </c>
      <c r="M340" s="124" t="n">
        <f aca="false">SUM(J$280:J340)</f>
        <v>3770305.86747257</v>
      </c>
      <c r="N340" s="124" t="n">
        <f aca="false">SUM(J$6:J340)</f>
        <v>26441850.1505022</v>
      </c>
      <c r="P340" s="124" t="n">
        <f aca="false">D340/P$3</f>
        <v>0</v>
      </c>
      <c r="Q340" s="124" t="n">
        <f aca="false">E340/P$3</f>
        <v>0</v>
      </c>
      <c r="R340" s="124" t="n">
        <f aca="false">F340/R$3</f>
        <v>0</v>
      </c>
      <c r="S340" s="126" t="n">
        <f aca="false">J340/$R$3</f>
        <v>0</v>
      </c>
      <c r="T340" s="126" t="n">
        <f aca="false">L340/$R$3</f>
        <v>0</v>
      </c>
      <c r="U340" s="126" t="n">
        <f aca="false">I340/$R$3</f>
        <v>0</v>
      </c>
      <c r="V340" s="126" t="n">
        <f aca="false">M340/$R$3</f>
        <v>3770.30586747257</v>
      </c>
      <c r="W340" s="126" t="n">
        <f aca="false">N340/$R$3</f>
        <v>26441.8501505022</v>
      </c>
    </row>
    <row r="341" customFormat="false" ht="12.75" hidden="false" customHeight="false" outlineLevel="0" collapsed="false">
      <c r="A341" s="120" t="n">
        <f aca="false">A340+1</f>
        <v>37227</v>
      </c>
      <c r="B341" s="131" t="str">
        <f aca="false">INDEX('Master Data'!$A$2:$B$8,MATCH(WEEKDAY('BRA Power'!A341,3),'Master Data'!$A$2:$A$8,0),2)</f>
        <v>Su</v>
      </c>
      <c r="D341" s="124" t="n">
        <v>0</v>
      </c>
      <c r="E341" s="124" t="n">
        <v>0</v>
      </c>
      <c r="F341" s="124" t="n">
        <v>0</v>
      </c>
      <c r="G341" s="124" t="n">
        <v>0</v>
      </c>
      <c r="I341" s="124" t="n">
        <f aca="false">IF(MONTH($A341)=MONTH($A340),IF(G341=0,I340,G341),G341)</f>
        <v>0</v>
      </c>
      <c r="J341" s="124" t="n">
        <f aca="false">IF(MONTH($A341)=MONTH($A340),SUM(I341-I340),I341)</f>
        <v>0</v>
      </c>
      <c r="K341" s="124" t="n">
        <f aca="false">IF(WEEKDAY(A341,3)&gt;4,0,(IF(A341&lt;K$2,0,IF(A341&lt;=K$3,1,0))))</f>
        <v>0</v>
      </c>
      <c r="L341" s="124" t="n">
        <f aca="false">J341*K341</f>
        <v>0</v>
      </c>
      <c r="M341" s="124" t="n">
        <f aca="false">SUM(J$280:J341)</f>
        <v>3770305.86747257</v>
      </c>
      <c r="N341" s="124" t="n">
        <f aca="false">SUM(J$6:J341)</f>
        <v>26441850.1505022</v>
      </c>
      <c r="P341" s="124" t="n">
        <f aca="false">D341/P$3</f>
        <v>0</v>
      </c>
      <c r="Q341" s="124" t="n">
        <f aca="false">E341/P$3</f>
        <v>0</v>
      </c>
      <c r="R341" s="124" t="n">
        <f aca="false">F341/R$3</f>
        <v>0</v>
      </c>
      <c r="S341" s="126" t="n">
        <f aca="false">J341/$R$3</f>
        <v>0</v>
      </c>
      <c r="T341" s="126" t="n">
        <f aca="false">L341/$R$3</f>
        <v>0</v>
      </c>
      <c r="U341" s="126" t="n">
        <f aca="false">I341/$R$3</f>
        <v>0</v>
      </c>
      <c r="V341" s="126" t="n">
        <f aca="false">M341/$R$3</f>
        <v>3770.30586747257</v>
      </c>
      <c r="W341" s="126" t="n">
        <f aca="false">N341/$R$3</f>
        <v>26441.8501505022</v>
      </c>
    </row>
    <row r="342" customFormat="false" ht="12.75" hidden="false" customHeight="false" outlineLevel="0" collapsed="false">
      <c r="A342" s="120" t="n">
        <f aca="false">A341+1</f>
        <v>37228</v>
      </c>
      <c r="B342" s="131" t="str">
        <f aca="false">INDEX('Master Data'!$A$2:$B$8,MATCH(WEEKDAY('BRA Power'!A342,3),'Master Data'!$A$2:$A$8,0),2)</f>
        <v>M</v>
      </c>
      <c r="D342" s="124" t="n">
        <v>0</v>
      </c>
      <c r="E342" s="124" t="n">
        <v>0</v>
      </c>
      <c r="F342" s="124" t="n">
        <v>0</v>
      </c>
      <c r="G342" s="124" t="n">
        <v>0</v>
      </c>
      <c r="I342" s="124" t="n">
        <f aca="false">IF(MONTH($A342)=MONTH($A341),IF(G342=0,I341,G342),G342)</f>
        <v>0</v>
      </c>
      <c r="J342" s="124" t="n">
        <f aca="false">IF(MONTH($A342)=MONTH($A341),SUM(I342-I341),I342)</f>
        <v>0</v>
      </c>
      <c r="K342" s="124" t="n">
        <f aca="false">IF(WEEKDAY(A342,3)&gt;4,0,(IF(A342&lt;K$2,0,IF(A342&lt;=K$3,1,0))))</f>
        <v>0</v>
      </c>
      <c r="L342" s="124" t="n">
        <f aca="false">J342*K342</f>
        <v>0</v>
      </c>
      <c r="M342" s="124" t="n">
        <f aca="false">SUM(J$280:J342)</f>
        <v>3770305.86747257</v>
      </c>
      <c r="N342" s="124" t="n">
        <f aca="false">SUM(J$6:J342)</f>
        <v>26441850.1505022</v>
      </c>
      <c r="P342" s="124" t="n">
        <f aca="false">D342/P$3</f>
        <v>0</v>
      </c>
      <c r="Q342" s="124" t="n">
        <f aca="false">E342/P$3</f>
        <v>0</v>
      </c>
      <c r="R342" s="124" t="n">
        <f aca="false">F342/R$3</f>
        <v>0</v>
      </c>
      <c r="S342" s="126" t="n">
        <f aca="false">J342/$R$3</f>
        <v>0</v>
      </c>
      <c r="T342" s="126" t="n">
        <f aca="false">L342/$R$3</f>
        <v>0</v>
      </c>
      <c r="U342" s="126" t="n">
        <f aca="false">I342/$R$3</f>
        <v>0</v>
      </c>
      <c r="V342" s="126" t="n">
        <f aca="false">M342/$R$3</f>
        <v>3770.30586747257</v>
      </c>
      <c r="W342" s="126" t="n">
        <f aca="false">N342/$R$3</f>
        <v>26441.8501505022</v>
      </c>
    </row>
    <row r="343" customFormat="false" ht="12.75" hidden="false" customHeight="false" outlineLevel="0" collapsed="false">
      <c r="A343" s="120" t="n">
        <f aca="false">A342+1</f>
        <v>37229</v>
      </c>
      <c r="B343" s="131" t="str">
        <f aca="false">INDEX('Master Data'!$A$2:$B$8,MATCH(WEEKDAY('BRA Power'!A343,3),'Master Data'!$A$2:$A$8,0),2)</f>
        <v>T</v>
      </c>
      <c r="D343" s="124" t="n">
        <v>0</v>
      </c>
      <c r="E343" s="124" t="n">
        <v>0</v>
      </c>
      <c r="F343" s="124" t="n">
        <v>0</v>
      </c>
      <c r="G343" s="124" t="n">
        <v>0</v>
      </c>
      <c r="I343" s="124" t="n">
        <f aca="false">IF(MONTH($A343)=MONTH($A342),IF(G343=0,I342,G343),G343)</f>
        <v>0</v>
      </c>
      <c r="J343" s="124" t="n">
        <f aca="false">IF(MONTH($A343)=MONTH($A342),SUM(I343-I342),I343)</f>
        <v>0</v>
      </c>
      <c r="K343" s="124" t="n">
        <f aca="false">IF(WEEKDAY(A343,3)&gt;4,0,(IF(A343&lt;K$2,0,IF(A343&lt;=K$3,1,0))))</f>
        <v>0</v>
      </c>
      <c r="L343" s="124" t="n">
        <f aca="false">J343*K343</f>
        <v>0</v>
      </c>
      <c r="M343" s="124" t="n">
        <f aca="false">SUM(J$280:J343)</f>
        <v>3770305.86747257</v>
      </c>
      <c r="N343" s="124" t="n">
        <f aca="false">SUM(J$6:J343)</f>
        <v>26441850.1505022</v>
      </c>
      <c r="P343" s="124" t="n">
        <f aca="false">D343/P$3</f>
        <v>0</v>
      </c>
      <c r="Q343" s="124" t="n">
        <f aca="false">E343/P$3</f>
        <v>0</v>
      </c>
      <c r="R343" s="124" t="n">
        <f aca="false">F343/R$3</f>
        <v>0</v>
      </c>
      <c r="S343" s="126" t="n">
        <f aca="false">J343/$R$3</f>
        <v>0</v>
      </c>
      <c r="T343" s="126" t="n">
        <f aca="false">L343/$R$3</f>
        <v>0</v>
      </c>
      <c r="U343" s="126" t="n">
        <f aca="false">I343/$R$3</f>
        <v>0</v>
      </c>
      <c r="V343" s="126" t="n">
        <f aca="false">M343/$R$3</f>
        <v>3770.30586747257</v>
      </c>
      <c r="W343" s="126" t="n">
        <f aca="false">N343/$R$3</f>
        <v>26441.8501505022</v>
      </c>
    </row>
    <row r="344" customFormat="false" ht="12.75" hidden="false" customHeight="false" outlineLevel="0" collapsed="false">
      <c r="A344" s="120" t="n">
        <f aca="false">A343+1</f>
        <v>37230</v>
      </c>
      <c r="B344" s="131" t="str">
        <f aca="false">INDEX('Master Data'!$A$2:$B$8,MATCH(WEEKDAY('BRA Power'!A344,3),'Master Data'!$A$2:$A$8,0),2)</f>
        <v>W</v>
      </c>
      <c r="D344" s="124" t="n">
        <v>0</v>
      </c>
      <c r="E344" s="124" t="n">
        <v>0</v>
      </c>
      <c r="F344" s="124" t="n">
        <v>0</v>
      </c>
      <c r="G344" s="124" t="n">
        <v>0</v>
      </c>
      <c r="I344" s="124" t="n">
        <f aca="false">IF(MONTH($A344)=MONTH($A343),IF(G344=0,I343,G344),G344)</f>
        <v>0</v>
      </c>
      <c r="J344" s="124" t="n">
        <f aca="false">IF(MONTH($A344)=MONTH($A343),SUM(I344-I343),I344)</f>
        <v>0</v>
      </c>
      <c r="K344" s="124" t="n">
        <f aca="false">IF(WEEKDAY(A344,3)&gt;4,0,(IF(A344&lt;K$2,0,IF(A344&lt;=K$3,1,0))))</f>
        <v>0</v>
      </c>
      <c r="L344" s="124" t="n">
        <f aca="false">J344*K344</f>
        <v>0</v>
      </c>
      <c r="M344" s="124" t="n">
        <f aca="false">SUM(J$280:J344)</f>
        <v>3770305.86747257</v>
      </c>
      <c r="N344" s="124" t="n">
        <f aca="false">SUM(J$6:J344)</f>
        <v>26441850.1505022</v>
      </c>
      <c r="P344" s="124" t="n">
        <f aca="false">D344/P$3</f>
        <v>0</v>
      </c>
      <c r="Q344" s="124" t="n">
        <f aca="false">E344/P$3</f>
        <v>0</v>
      </c>
      <c r="R344" s="124" t="n">
        <f aca="false">F344/R$3</f>
        <v>0</v>
      </c>
      <c r="S344" s="126" t="n">
        <f aca="false">J344/$R$3</f>
        <v>0</v>
      </c>
      <c r="T344" s="126" t="n">
        <f aca="false">L344/$R$3</f>
        <v>0</v>
      </c>
      <c r="U344" s="126" t="n">
        <f aca="false">I344/$R$3</f>
        <v>0</v>
      </c>
      <c r="V344" s="126" t="n">
        <f aca="false">M344/$R$3</f>
        <v>3770.30586747257</v>
      </c>
      <c r="W344" s="126" t="n">
        <f aca="false">N344/$R$3</f>
        <v>26441.8501505022</v>
      </c>
    </row>
    <row r="345" customFormat="false" ht="12.75" hidden="false" customHeight="false" outlineLevel="0" collapsed="false">
      <c r="A345" s="120" t="n">
        <f aca="false">A344+1</f>
        <v>37231</v>
      </c>
      <c r="B345" s="131" t="str">
        <f aca="false">INDEX('Master Data'!$A$2:$B$8,MATCH(WEEKDAY('BRA Power'!A345,3),'Master Data'!$A$2:$A$8,0),2)</f>
        <v>Th</v>
      </c>
      <c r="D345" s="124" t="n">
        <v>0</v>
      </c>
      <c r="E345" s="124" t="n">
        <v>0</v>
      </c>
      <c r="F345" s="124" t="n">
        <v>0</v>
      </c>
      <c r="G345" s="124" t="n">
        <v>0</v>
      </c>
      <c r="I345" s="124" t="n">
        <f aca="false">IF(MONTH($A345)=MONTH($A344),IF(G345=0,I344,G345),G345)</f>
        <v>0</v>
      </c>
      <c r="J345" s="124" t="n">
        <f aca="false">IF(MONTH($A345)=MONTH($A344),SUM(I345-I344),I345)</f>
        <v>0</v>
      </c>
      <c r="K345" s="124" t="n">
        <f aca="false">IF(WEEKDAY(A345,3)&gt;4,0,(IF(A345&lt;K$2,0,IF(A345&lt;=K$3,1,0))))</f>
        <v>0</v>
      </c>
      <c r="L345" s="124" t="n">
        <f aca="false">J345*K345</f>
        <v>0</v>
      </c>
      <c r="M345" s="124" t="n">
        <f aca="false">SUM(J$280:J345)</f>
        <v>3770305.86747257</v>
      </c>
      <c r="N345" s="124" t="n">
        <f aca="false">SUM(J$6:J345)</f>
        <v>26441850.1505022</v>
      </c>
      <c r="P345" s="124" t="n">
        <f aca="false">D345/P$3</f>
        <v>0</v>
      </c>
      <c r="Q345" s="124" t="n">
        <f aca="false">E345/P$3</f>
        <v>0</v>
      </c>
      <c r="R345" s="124" t="n">
        <f aca="false">F345/R$3</f>
        <v>0</v>
      </c>
      <c r="S345" s="126" t="n">
        <f aca="false">J345/$R$3</f>
        <v>0</v>
      </c>
      <c r="T345" s="126" t="n">
        <f aca="false">L345/$R$3</f>
        <v>0</v>
      </c>
      <c r="U345" s="126" t="n">
        <f aca="false">I345/$R$3</f>
        <v>0</v>
      </c>
      <c r="V345" s="126" t="n">
        <f aca="false">M345/$R$3</f>
        <v>3770.30586747257</v>
      </c>
      <c r="W345" s="126" t="n">
        <f aca="false">N345/$R$3</f>
        <v>26441.8501505022</v>
      </c>
    </row>
    <row r="346" customFormat="false" ht="12.75" hidden="false" customHeight="false" outlineLevel="0" collapsed="false">
      <c r="A346" s="120" t="n">
        <f aca="false">A345+1</f>
        <v>37232</v>
      </c>
      <c r="B346" s="131" t="str">
        <f aca="false">INDEX('Master Data'!$A$2:$B$8,MATCH(WEEKDAY('BRA Power'!A346,3),'Master Data'!$A$2:$A$8,0),2)</f>
        <v>F</v>
      </c>
      <c r="D346" s="124" t="n">
        <v>0</v>
      </c>
      <c r="E346" s="124" t="n">
        <v>0</v>
      </c>
      <c r="F346" s="124" t="n">
        <v>0</v>
      </c>
      <c r="G346" s="124" t="n">
        <v>0</v>
      </c>
      <c r="I346" s="124" t="n">
        <f aca="false">IF(MONTH($A346)=MONTH($A345),IF(G346=0,I345,G346),G346)</f>
        <v>0</v>
      </c>
      <c r="J346" s="124" t="n">
        <f aca="false">IF(MONTH($A346)=MONTH($A345),SUM(I346-I345),I346)</f>
        <v>0</v>
      </c>
      <c r="K346" s="124" t="n">
        <f aca="false">IF(WEEKDAY(A346,3)&gt;4,0,(IF(A346&lt;K$2,0,IF(A346&lt;=K$3,1,0))))</f>
        <v>0</v>
      </c>
      <c r="L346" s="124" t="n">
        <f aca="false">J346*K346</f>
        <v>0</v>
      </c>
      <c r="M346" s="124" t="n">
        <f aca="false">SUM(J$280:J346)</f>
        <v>3770305.86747257</v>
      </c>
      <c r="N346" s="124" t="n">
        <f aca="false">SUM(J$6:J346)</f>
        <v>26441850.1505022</v>
      </c>
      <c r="P346" s="124" t="n">
        <f aca="false">D346/P$3</f>
        <v>0</v>
      </c>
      <c r="Q346" s="124" t="n">
        <f aca="false">E346/P$3</f>
        <v>0</v>
      </c>
      <c r="R346" s="124" t="n">
        <f aca="false">F346/R$3</f>
        <v>0</v>
      </c>
      <c r="S346" s="126" t="n">
        <f aca="false">J346/$R$3</f>
        <v>0</v>
      </c>
      <c r="T346" s="126" t="n">
        <f aca="false">L346/$R$3</f>
        <v>0</v>
      </c>
      <c r="U346" s="126" t="n">
        <f aca="false">I346/$R$3</f>
        <v>0</v>
      </c>
      <c r="V346" s="126" t="n">
        <f aca="false">M346/$R$3</f>
        <v>3770.30586747257</v>
      </c>
      <c r="W346" s="126" t="n">
        <f aca="false">N346/$R$3</f>
        <v>26441.8501505022</v>
      </c>
    </row>
    <row r="347" customFormat="false" ht="12.75" hidden="false" customHeight="false" outlineLevel="0" collapsed="false">
      <c r="A347" s="120" t="n">
        <f aca="false">A346+1</f>
        <v>37233</v>
      </c>
      <c r="B347" s="131" t="str">
        <f aca="false">INDEX('Master Data'!$A$2:$B$8,MATCH(WEEKDAY('BRA Power'!A347,3),'Master Data'!$A$2:$A$8,0),2)</f>
        <v>Sa</v>
      </c>
      <c r="D347" s="124" t="n">
        <v>0</v>
      </c>
      <c r="E347" s="124" t="n">
        <v>0</v>
      </c>
      <c r="F347" s="124" t="n">
        <v>0</v>
      </c>
      <c r="G347" s="124" t="n">
        <v>0</v>
      </c>
      <c r="I347" s="124" t="n">
        <f aca="false">IF(MONTH($A347)=MONTH($A346),IF(G347=0,I346,G347),G347)</f>
        <v>0</v>
      </c>
      <c r="J347" s="124" t="n">
        <f aca="false">IF(MONTH($A347)=MONTH($A346),SUM(I347-I346),I347)</f>
        <v>0</v>
      </c>
      <c r="K347" s="124" t="n">
        <f aca="false">IF(WEEKDAY(A347,3)&gt;4,0,(IF(A347&lt;K$2,0,IF(A347&lt;=K$3,1,0))))</f>
        <v>0</v>
      </c>
      <c r="L347" s="124" t="n">
        <f aca="false">J347*K347</f>
        <v>0</v>
      </c>
      <c r="M347" s="124" t="n">
        <f aca="false">SUM(J$280:J347)</f>
        <v>3770305.86747257</v>
      </c>
      <c r="N347" s="124" t="n">
        <f aca="false">SUM(J$6:J347)</f>
        <v>26441850.1505022</v>
      </c>
      <c r="P347" s="124" t="n">
        <f aca="false">D347/P$3</f>
        <v>0</v>
      </c>
      <c r="Q347" s="124" t="n">
        <f aca="false">E347/P$3</f>
        <v>0</v>
      </c>
      <c r="R347" s="124" t="n">
        <f aca="false">F347/R$3</f>
        <v>0</v>
      </c>
      <c r="S347" s="126" t="n">
        <f aca="false">J347/$R$3</f>
        <v>0</v>
      </c>
      <c r="T347" s="126" t="n">
        <f aca="false">L347/$R$3</f>
        <v>0</v>
      </c>
      <c r="U347" s="126" t="n">
        <f aca="false">I347/$R$3</f>
        <v>0</v>
      </c>
      <c r="V347" s="126" t="n">
        <f aca="false">M347/$R$3</f>
        <v>3770.30586747257</v>
      </c>
      <c r="W347" s="126" t="n">
        <f aca="false">N347/$R$3</f>
        <v>26441.8501505022</v>
      </c>
    </row>
    <row r="348" customFormat="false" ht="12.75" hidden="false" customHeight="false" outlineLevel="0" collapsed="false">
      <c r="A348" s="120" t="n">
        <f aca="false">A347+1</f>
        <v>37234</v>
      </c>
      <c r="B348" s="131" t="str">
        <f aca="false">INDEX('Master Data'!$A$2:$B$8,MATCH(WEEKDAY('BRA Power'!A348,3),'Master Data'!$A$2:$A$8,0),2)</f>
        <v>Su</v>
      </c>
      <c r="D348" s="124" t="n">
        <v>0</v>
      </c>
      <c r="E348" s="124" t="n">
        <v>0</v>
      </c>
      <c r="F348" s="124" t="n">
        <v>0</v>
      </c>
      <c r="G348" s="124" t="n">
        <v>0</v>
      </c>
      <c r="I348" s="124" t="n">
        <f aca="false">IF(MONTH($A348)=MONTH($A347),IF(G348=0,I347,G348),G348)</f>
        <v>0</v>
      </c>
      <c r="J348" s="124" t="n">
        <f aca="false">IF(MONTH($A348)=MONTH($A347),SUM(I348-I347),I348)</f>
        <v>0</v>
      </c>
      <c r="K348" s="124" t="n">
        <f aca="false">IF(WEEKDAY(A348,3)&gt;4,0,(IF(A348&lt;K$2,0,IF(A348&lt;=K$3,1,0))))</f>
        <v>0</v>
      </c>
      <c r="L348" s="124" t="n">
        <f aca="false">J348*K348</f>
        <v>0</v>
      </c>
      <c r="M348" s="124" t="n">
        <f aca="false">SUM(J$280:J348)</f>
        <v>3770305.86747257</v>
      </c>
      <c r="N348" s="124" t="n">
        <f aca="false">SUM(J$6:J348)</f>
        <v>26441850.1505022</v>
      </c>
      <c r="P348" s="124" t="n">
        <f aca="false">D348/P$3</f>
        <v>0</v>
      </c>
      <c r="Q348" s="124" t="n">
        <f aca="false">E348/P$3</f>
        <v>0</v>
      </c>
      <c r="R348" s="124" t="n">
        <f aca="false">F348/R$3</f>
        <v>0</v>
      </c>
      <c r="S348" s="126" t="n">
        <f aca="false">J348/$R$3</f>
        <v>0</v>
      </c>
      <c r="T348" s="126" t="n">
        <f aca="false">L348/$R$3</f>
        <v>0</v>
      </c>
      <c r="U348" s="126" t="n">
        <f aca="false">I348/$R$3</f>
        <v>0</v>
      </c>
      <c r="V348" s="126" t="n">
        <f aca="false">M348/$R$3</f>
        <v>3770.30586747257</v>
      </c>
      <c r="W348" s="126" t="n">
        <f aca="false">N348/$R$3</f>
        <v>26441.8501505022</v>
      </c>
    </row>
    <row r="349" customFormat="false" ht="12.75" hidden="false" customHeight="false" outlineLevel="0" collapsed="false">
      <c r="A349" s="120" t="n">
        <f aca="false">A348+1</f>
        <v>37235</v>
      </c>
      <c r="B349" s="131" t="str">
        <f aca="false">INDEX('Master Data'!$A$2:$B$8,MATCH(WEEKDAY('BRA Power'!A349,3),'Master Data'!$A$2:$A$8,0),2)</f>
        <v>M</v>
      </c>
      <c r="D349" s="124" t="n">
        <v>0</v>
      </c>
      <c r="E349" s="124" t="n">
        <v>0</v>
      </c>
      <c r="F349" s="124" t="n">
        <v>0</v>
      </c>
      <c r="G349" s="124" t="n">
        <v>0</v>
      </c>
      <c r="I349" s="124" t="n">
        <f aca="false">IF(MONTH($A349)=MONTH($A348),IF(G349=0,I348,G349),G349)</f>
        <v>0</v>
      </c>
      <c r="J349" s="124" t="n">
        <f aca="false">IF(MONTH($A349)=MONTH($A348),SUM(I349-I348),I349)</f>
        <v>0</v>
      </c>
      <c r="K349" s="124" t="n">
        <f aca="false">IF(WEEKDAY(A349,3)&gt;4,0,(IF(A349&lt;K$2,0,IF(A349&lt;=K$3,1,0))))</f>
        <v>0</v>
      </c>
      <c r="L349" s="124" t="n">
        <f aca="false">J349*K349</f>
        <v>0</v>
      </c>
      <c r="M349" s="124" t="n">
        <f aca="false">SUM(J$280:J349)</f>
        <v>3770305.86747257</v>
      </c>
      <c r="N349" s="124" t="n">
        <f aca="false">SUM(J$6:J349)</f>
        <v>26441850.1505022</v>
      </c>
      <c r="P349" s="124" t="n">
        <f aca="false">D349/P$3</f>
        <v>0</v>
      </c>
      <c r="Q349" s="124" t="n">
        <f aca="false">E349/P$3</f>
        <v>0</v>
      </c>
      <c r="R349" s="124" t="n">
        <f aca="false">F349/R$3</f>
        <v>0</v>
      </c>
      <c r="S349" s="126" t="n">
        <f aca="false">J349/$R$3</f>
        <v>0</v>
      </c>
      <c r="T349" s="126" t="n">
        <f aca="false">L349/$R$3</f>
        <v>0</v>
      </c>
      <c r="U349" s="126" t="n">
        <f aca="false">I349/$R$3</f>
        <v>0</v>
      </c>
      <c r="V349" s="126" t="n">
        <f aca="false">M349/$R$3</f>
        <v>3770.30586747257</v>
      </c>
      <c r="W349" s="126" t="n">
        <f aca="false">N349/$R$3</f>
        <v>26441.8501505022</v>
      </c>
    </row>
    <row r="350" customFormat="false" ht="12.75" hidden="false" customHeight="false" outlineLevel="0" collapsed="false">
      <c r="A350" s="120" t="n">
        <f aca="false">A349+1</f>
        <v>37236</v>
      </c>
      <c r="B350" s="131" t="str">
        <f aca="false">INDEX('Master Data'!$A$2:$B$8,MATCH(WEEKDAY('BRA Power'!A350,3),'Master Data'!$A$2:$A$8,0),2)</f>
        <v>T</v>
      </c>
      <c r="D350" s="124" t="n">
        <v>0</v>
      </c>
      <c r="E350" s="124" t="n">
        <v>0</v>
      </c>
      <c r="F350" s="124" t="n">
        <v>0</v>
      </c>
      <c r="G350" s="124" t="n">
        <v>0</v>
      </c>
      <c r="I350" s="124" t="n">
        <f aca="false">IF(MONTH($A350)=MONTH($A349),IF(G350=0,I349,G350),G350)</f>
        <v>0</v>
      </c>
      <c r="J350" s="124" t="n">
        <f aca="false">IF(MONTH($A350)=MONTH($A349),SUM(I350-I349),I350)</f>
        <v>0</v>
      </c>
      <c r="K350" s="124" t="n">
        <f aca="false">IF(WEEKDAY(A350,3)&gt;4,0,(IF(A350&lt;K$2,0,IF(A350&lt;=K$3,1,0))))</f>
        <v>0</v>
      </c>
      <c r="L350" s="124" t="n">
        <f aca="false">J350*K350</f>
        <v>0</v>
      </c>
      <c r="M350" s="124" t="n">
        <f aca="false">SUM(J$280:J350)</f>
        <v>3770305.86747257</v>
      </c>
      <c r="N350" s="124" t="n">
        <f aca="false">SUM(J$6:J350)</f>
        <v>26441850.1505022</v>
      </c>
      <c r="P350" s="124" t="n">
        <f aca="false">D350/P$3</f>
        <v>0</v>
      </c>
      <c r="Q350" s="124" t="n">
        <f aca="false">E350/P$3</f>
        <v>0</v>
      </c>
      <c r="R350" s="124" t="n">
        <f aca="false">F350/R$3</f>
        <v>0</v>
      </c>
      <c r="S350" s="126" t="n">
        <f aca="false">J350/$R$3</f>
        <v>0</v>
      </c>
      <c r="T350" s="126" t="n">
        <f aca="false">L350/$R$3</f>
        <v>0</v>
      </c>
      <c r="U350" s="126" t="n">
        <f aca="false">I350/$R$3</f>
        <v>0</v>
      </c>
      <c r="V350" s="126" t="n">
        <f aca="false">M350/$R$3</f>
        <v>3770.30586747257</v>
      </c>
      <c r="W350" s="126" t="n">
        <f aca="false">N350/$R$3</f>
        <v>26441.8501505022</v>
      </c>
    </row>
    <row r="351" customFormat="false" ht="12.75" hidden="false" customHeight="false" outlineLevel="0" collapsed="false">
      <c r="A351" s="120" t="n">
        <f aca="false">A350+1</f>
        <v>37237</v>
      </c>
      <c r="B351" s="131" t="str">
        <f aca="false">INDEX('Master Data'!$A$2:$B$8,MATCH(WEEKDAY('BRA Power'!A351,3),'Master Data'!$A$2:$A$8,0),2)</f>
        <v>W</v>
      </c>
      <c r="D351" s="124" t="n">
        <v>0</v>
      </c>
      <c r="E351" s="124" t="n">
        <v>0</v>
      </c>
      <c r="F351" s="124" t="n">
        <v>0</v>
      </c>
      <c r="G351" s="124" t="n">
        <v>0</v>
      </c>
      <c r="I351" s="124" t="n">
        <f aca="false">IF(MONTH($A351)=MONTH($A350),IF(G351=0,I350,G351),G351)</f>
        <v>0</v>
      </c>
      <c r="J351" s="124" t="n">
        <f aca="false">IF(MONTH($A351)=MONTH($A350),SUM(I351-I350),I351)</f>
        <v>0</v>
      </c>
      <c r="K351" s="124" t="n">
        <f aca="false">IF(WEEKDAY(A351,3)&gt;4,0,(IF(A351&lt;K$2,0,IF(A351&lt;=K$3,1,0))))</f>
        <v>0</v>
      </c>
      <c r="L351" s="124" t="n">
        <f aca="false">J351*K351</f>
        <v>0</v>
      </c>
      <c r="M351" s="124" t="n">
        <f aca="false">SUM(J$280:J351)</f>
        <v>3770305.86747257</v>
      </c>
      <c r="N351" s="124" t="n">
        <f aca="false">SUM(J$6:J351)</f>
        <v>26441850.1505022</v>
      </c>
      <c r="P351" s="124" t="n">
        <f aca="false">D351/P$3</f>
        <v>0</v>
      </c>
      <c r="Q351" s="124" t="n">
        <f aca="false">E351/P$3</f>
        <v>0</v>
      </c>
      <c r="R351" s="124" t="n">
        <f aca="false">F351/R$3</f>
        <v>0</v>
      </c>
      <c r="S351" s="126" t="n">
        <f aca="false">J351/$R$3</f>
        <v>0</v>
      </c>
      <c r="T351" s="126" t="n">
        <f aca="false">L351/$R$3</f>
        <v>0</v>
      </c>
      <c r="U351" s="126" t="n">
        <f aca="false">I351/$R$3</f>
        <v>0</v>
      </c>
      <c r="V351" s="126" t="n">
        <f aca="false">M351/$R$3</f>
        <v>3770.30586747257</v>
      </c>
      <c r="W351" s="126" t="n">
        <f aca="false">N351/$R$3</f>
        <v>26441.8501505022</v>
      </c>
    </row>
    <row r="352" customFormat="false" ht="12.75" hidden="false" customHeight="false" outlineLevel="0" collapsed="false">
      <c r="A352" s="120" t="n">
        <f aca="false">A351+1</f>
        <v>37238</v>
      </c>
      <c r="B352" s="131" t="str">
        <f aca="false">INDEX('Master Data'!$A$2:$B$8,MATCH(WEEKDAY('BRA Power'!A352,3),'Master Data'!$A$2:$A$8,0),2)</f>
        <v>Th</v>
      </c>
      <c r="D352" s="124" t="n">
        <v>0</v>
      </c>
      <c r="E352" s="124" t="n">
        <v>0</v>
      </c>
      <c r="F352" s="124" t="n">
        <v>0</v>
      </c>
      <c r="G352" s="124" t="n">
        <v>0</v>
      </c>
      <c r="I352" s="124" t="n">
        <f aca="false">IF(MONTH($A352)=MONTH($A351),IF(G352=0,I351,G352),G352)</f>
        <v>0</v>
      </c>
      <c r="J352" s="124" t="n">
        <f aca="false">IF(MONTH($A352)=MONTH($A351),SUM(I352-I351),I352)</f>
        <v>0</v>
      </c>
      <c r="K352" s="124" t="n">
        <f aca="false">IF(WEEKDAY(A352,3)&gt;4,0,(IF(A352&lt;K$2,0,IF(A352&lt;=K$3,1,0))))</f>
        <v>0</v>
      </c>
      <c r="L352" s="124" t="n">
        <f aca="false">J352*K352</f>
        <v>0</v>
      </c>
      <c r="M352" s="124" t="n">
        <f aca="false">SUM(J$280:J352)</f>
        <v>3770305.86747257</v>
      </c>
      <c r="N352" s="124" t="n">
        <f aca="false">SUM(J$6:J352)</f>
        <v>26441850.1505022</v>
      </c>
      <c r="P352" s="124" t="n">
        <f aca="false">D352/P$3</f>
        <v>0</v>
      </c>
      <c r="Q352" s="124" t="n">
        <f aca="false">E352/P$3</f>
        <v>0</v>
      </c>
      <c r="R352" s="124" t="n">
        <f aca="false">F352/R$3</f>
        <v>0</v>
      </c>
      <c r="S352" s="126" t="n">
        <f aca="false">J352/$R$3</f>
        <v>0</v>
      </c>
      <c r="T352" s="126" t="n">
        <f aca="false">L352/$R$3</f>
        <v>0</v>
      </c>
      <c r="U352" s="126" t="n">
        <f aca="false">I352/$R$3</f>
        <v>0</v>
      </c>
      <c r="V352" s="126" t="n">
        <f aca="false">M352/$R$3</f>
        <v>3770.30586747257</v>
      </c>
      <c r="W352" s="126" t="n">
        <f aca="false">N352/$R$3</f>
        <v>26441.8501505022</v>
      </c>
    </row>
    <row r="353" customFormat="false" ht="12.75" hidden="false" customHeight="false" outlineLevel="0" collapsed="false">
      <c r="A353" s="120" t="n">
        <f aca="false">A352+1</f>
        <v>37239</v>
      </c>
      <c r="B353" s="131" t="str">
        <f aca="false">INDEX('Master Data'!$A$2:$B$8,MATCH(WEEKDAY('BRA Power'!A353,3),'Master Data'!$A$2:$A$8,0),2)</f>
        <v>F</v>
      </c>
      <c r="D353" s="124" t="n">
        <v>0</v>
      </c>
      <c r="E353" s="124" t="n">
        <v>0</v>
      </c>
      <c r="F353" s="124" t="n">
        <v>0</v>
      </c>
      <c r="G353" s="124" t="n">
        <v>0</v>
      </c>
      <c r="I353" s="124" t="n">
        <f aca="false">IF(MONTH($A353)=MONTH($A352),IF(G353=0,I352,G353),G353)</f>
        <v>0</v>
      </c>
      <c r="J353" s="124" t="n">
        <f aca="false">IF(MONTH($A353)=MONTH($A352),SUM(I353-I352),I353)</f>
        <v>0</v>
      </c>
      <c r="K353" s="124" t="n">
        <f aca="false">IF(WEEKDAY(A353,3)&gt;4,0,(IF(A353&lt;K$2,0,IF(A353&lt;=K$3,1,0))))</f>
        <v>0</v>
      </c>
      <c r="L353" s="124" t="n">
        <f aca="false">J353*K353</f>
        <v>0</v>
      </c>
      <c r="M353" s="124" t="n">
        <f aca="false">SUM(J$280:J353)</f>
        <v>3770305.86747257</v>
      </c>
      <c r="N353" s="124" t="n">
        <f aca="false">SUM(J$6:J353)</f>
        <v>26441850.1505022</v>
      </c>
      <c r="P353" s="124" t="n">
        <f aca="false">D353/P$3</f>
        <v>0</v>
      </c>
      <c r="Q353" s="124" t="n">
        <f aca="false">E353/P$3</f>
        <v>0</v>
      </c>
      <c r="R353" s="124" t="n">
        <f aca="false">F353/R$3</f>
        <v>0</v>
      </c>
      <c r="S353" s="126" t="n">
        <f aca="false">J353/$R$3</f>
        <v>0</v>
      </c>
      <c r="T353" s="126" t="n">
        <f aca="false">L353/$R$3</f>
        <v>0</v>
      </c>
      <c r="U353" s="126" t="n">
        <f aca="false">I353/$R$3</f>
        <v>0</v>
      </c>
      <c r="V353" s="126" t="n">
        <f aca="false">M353/$R$3</f>
        <v>3770.30586747257</v>
      </c>
      <c r="W353" s="126" t="n">
        <f aca="false">N353/$R$3</f>
        <v>26441.8501505022</v>
      </c>
    </row>
    <row r="354" customFormat="false" ht="12.75" hidden="false" customHeight="false" outlineLevel="0" collapsed="false">
      <c r="A354" s="120" t="n">
        <f aca="false">A353+1</f>
        <v>37240</v>
      </c>
      <c r="B354" s="131" t="str">
        <f aca="false">INDEX('Master Data'!$A$2:$B$8,MATCH(WEEKDAY('BRA Power'!A354,3),'Master Data'!$A$2:$A$8,0),2)</f>
        <v>Sa</v>
      </c>
      <c r="D354" s="124" t="n">
        <v>0</v>
      </c>
      <c r="E354" s="124" t="n">
        <v>0</v>
      </c>
      <c r="F354" s="124" t="n">
        <v>0</v>
      </c>
      <c r="G354" s="124" t="n">
        <v>0</v>
      </c>
      <c r="I354" s="124" t="n">
        <f aca="false">IF(MONTH($A354)=MONTH($A353),IF(G354=0,I353,G354),G354)</f>
        <v>0</v>
      </c>
      <c r="J354" s="124" t="n">
        <f aca="false">IF(MONTH($A354)=MONTH($A353),SUM(I354-I353),I354)</f>
        <v>0</v>
      </c>
      <c r="K354" s="124" t="n">
        <f aca="false">IF(WEEKDAY(A354,3)&gt;4,0,(IF(A354&lt;K$2,0,IF(A354&lt;=K$3,1,0))))</f>
        <v>0</v>
      </c>
      <c r="L354" s="124" t="n">
        <f aca="false">J354*K354</f>
        <v>0</v>
      </c>
      <c r="M354" s="124" t="n">
        <f aca="false">SUM(J$280:J354)</f>
        <v>3770305.86747257</v>
      </c>
      <c r="N354" s="124" t="n">
        <f aca="false">SUM(J$6:J354)</f>
        <v>26441850.1505022</v>
      </c>
      <c r="P354" s="124" t="n">
        <f aca="false">D354/P$3</f>
        <v>0</v>
      </c>
      <c r="Q354" s="124" t="n">
        <f aca="false">E354/P$3</f>
        <v>0</v>
      </c>
      <c r="R354" s="124" t="n">
        <f aca="false">F354/R$3</f>
        <v>0</v>
      </c>
      <c r="S354" s="126" t="n">
        <f aca="false">J354/$R$3</f>
        <v>0</v>
      </c>
      <c r="T354" s="126" t="n">
        <f aca="false">L354/$R$3</f>
        <v>0</v>
      </c>
      <c r="U354" s="126" t="n">
        <f aca="false">I354/$R$3</f>
        <v>0</v>
      </c>
      <c r="V354" s="126" t="n">
        <f aca="false">M354/$R$3</f>
        <v>3770.30586747257</v>
      </c>
      <c r="W354" s="126" t="n">
        <f aca="false">N354/$R$3</f>
        <v>26441.8501505022</v>
      </c>
    </row>
    <row r="355" customFormat="false" ht="12.75" hidden="false" customHeight="false" outlineLevel="0" collapsed="false">
      <c r="A355" s="120" t="n">
        <f aca="false">A354+1</f>
        <v>37241</v>
      </c>
      <c r="B355" s="131" t="str">
        <f aca="false">INDEX('Master Data'!$A$2:$B$8,MATCH(WEEKDAY('BRA Power'!A355,3),'Master Data'!$A$2:$A$8,0),2)</f>
        <v>Su</v>
      </c>
      <c r="D355" s="124" t="n">
        <v>0</v>
      </c>
      <c r="E355" s="124" t="n">
        <v>0</v>
      </c>
      <c r="F355" s="124" t="n">
        <v>0</v>
      </c>
      <c r="G355" s="124" t="n">
        <v>0</v>
      </c>
      <c r="I355" s="124" t="n">
        <f aca="false">IF(MONTH($A355)=MONTH($A354),IF(G355=0,I354,G355),G355)</f>
        <v>0</v>
      </c>
      <c r="J355" s="124" t="n">
        <f aca="false">IF(MONTH($A355)=MONTH($A354),SUM(I355-I354),I355)</f>
        <v>0</v>
      </c>
      <c r="K355" s="124" t="n">
        <f aca="false">IF(WEEKDAY(A355,3)&gt;4,0,(IF(A355&lt;K$2,0,IF(A355&lt;=K$3,1,0))))</f>
        <v>0</v>
      </c>
      <c r="L355" s="124" t="n">
        <f aca="false">J355*K355</f>
        <v>0</v>
      </c>
      <c r="M355" s="124" t="n">
        <f aca="false">SUM(J$280:J355)</f>
        <v>3770305.86747257</v>
      </c>
      <c r="N355" s="124" t="n">
        <f aca="false">SUM(J$6:J355)</f>
        <v>26441850.1505022</v>
      </c>
      <c r="P355" s="124" t="n">
        <f aca="false">D355/P$3</f>
        <v>0</v>
      </c>
      <c r="Q355" s="124" t="n">
        <f aca="false">E355/P$3</f>
        <v>0</v>
      </c>
      <c r="R355" s="124" t="n">
        <f aca="false">F355/R$3</f>
        <v>0</v>
      </c>
      <c r="S355" s="126" t="n">
        <f aca="false">J355/$R$3</f>
        <v>0</v>
      </c>
      <c r="T355" s="126" t="n">
        <f aca="false">L355/$R$3</f>
        <v>0</v>
      </c>
      <c r="U355" s="126" t="n">
        <f aca="false">I355/$R$3</f>
        <v>0</v>
      </c>
      <c r="V355" s="126" t="n">
        <f aca="false">M355/$R$3</f>
        <v>3770.30586747257</v>
      </c>
      <c r="W355" s="126" t="n">
        <f aca="false">N355/$R$3</f>
        <v>26441.8501505022</v>
      </c>
    </row>
    <row r="356" customFormat="false" ht="12.75" hidden="false" customHeight="false" outlineLevel="0" collapsed="false">
      <c r="A356" s="120" t="n">
        <f aca="false">A355+1</f>
        <v>37242</v>
      </c>
      <c r="B356" s="131" t="str">
        <f aca="false">INDEX('Master Data'!$A$2:$B$8,MATCH(WEEKDAY('BRA Power'!A356,3),'Master Data'!$A$2:$A$8,0),2)</f>
        <v>M</v>
      </c>
      <c r="D356" s="124" t="n">
        <v>0</v>
      </c>
      <c r="E356" s="124" t="n">
        <v>0</v>
      </c>
      <c r="F356" s="124" t="n">
        <v>0</v>
      </c>
      <c r="G356" s="124" t="n">
        <v>0</v>
      </c>
      <c r="I356" s="124" t="n">
        <f aca="false">IF(MONTH($A356)=MONTH($A355),IF(G356=0,I355,G356),G356)</f>
        <v>0</v>
      </c>
      <c r="J356" s="124" t="n">
        <f aca="false">IF(MONTH($A356)=MONTH($A355),SUM(I356-I355),I356)</f>
        <v>0</v>
      </c>
      <c r="K356" s="124" t="n">
        <f aca="false">IF(WEEKDAY(A356,3)&gt;4,0,(IF(A356&lt;K$2,0,IF(A356&lt;=K$3,1,0))))</f>
        <v>0</v>
      </c>
      <c r="L356" s="124" t="n">
        <f aca="false">J356*K356</f>
        <v>0</v>
      </c>
      <c r="M356" s="124" t="n">
        <f aca="false">SUM(J$280:J356)</f>
        <v>3770305.86747257</v>
      </c>
      <c r="N356" s="124" t="n">
        <f aca="false">SUM(J$6:J356)</f>
        <v>26441850.1505022</v>
      </c>
      <c r="P356" s="124" t="n">
        <f aca="false">D356/P$3</f>
        <v>0</v>
      </c>
      <c r="Q356" s="124" t="n">
        <f aca="false">E356/P$3</f>
        <v>0</v>
      </c>
      <c r="R356" s="124" t="n">
        <f aca="false">F356/R$3</f>
        <v>0</v>
      </c>
      <c r="S356" s="126" t="n">
        <f aca="false">J356/$R$3</f>
        <v>0</v>
      </c>
      <c r="T356" s="126" t="n">
        <f aca="false">L356/$R$3</f>
        <v>0</v>
      </c>
      <c r="U356" s="126" t="n">
        <f aca="false">I356/$R$3</f>
        <v>0</v>
      </c>
      <c r="V356" s="126" t="n">
        <f aca="false">M356/$R$3</f>
        <v>3770.30586747257</v>
      </c>
      <c r="W356" s="126" t="n">
        <f aca="false">N356/$R$3</f>
        <v>26441.8501505022</v>
      </c>
    </row>
    <row r="357" customFormat="false" ht="12.75" hidden="false" customHeight="false" outlineLevel="0" collapsed="false">
      <c r="A357" s="120" t="n">
        <f aca="false">A356+1</f>
        <v>37243</v>
      </c>
      <c r="B357" s="131" t="str">
        <f aca="false">INDEX('Master Data'!$A$2:$B$8,MATCH(WEEKDAY('BRA Power'!A357,3),'Master Data'!$A$2:$A$8,0),2)</f>
        <v>T</v>
      </c>
      <c r="D357" s="124" t="n">
        <v>0</v>
      </c>
      <c r="E357" s="124" t="n">
        <v>0</v>
      </c>
      <c r="F357" s="124" t="n">
        <v>0</v>
      </c>
      <c r="G357" s="124" t="n">
        <v>0</v>
      </c>
      <c r="I357" s="124" t="n">
        <f aca="false">IF(MONTH($A357)=MONTH($A356),IF(G357=0,I356,G357),G357)</f>
        <v>0</v>
      </c>
      <c r="J357" s="124" t="n">
        <f aca="false">IF(MONTH($A357)=MONTH($A356),SUM(I357-I356),I357)</f>
        <v>0</v>
      </c>
      <c r="K357" s="124" t="n">
        <f aca="false">IF(WEEKDAY(A357,3)&gt;4,0,(IF(A357&lt;K$2,0,IF(A357&lt;=K$3,1,0))))</f>
        <v>0</v>
      </c>
      <c r="L357" s="124" t="n">
        <f aca="false">J357*K357</f>
        <v>0</v>
      </c>
      <c r="M357" s="124" t="n">
        <f aca="false">SUM(J$280:J357)</f>
        <v>3770305.86747257</v>
      </c>
      <c r="N357" s="124" t="n">
        <f aca="false">SUM(J$6:J357)</f>
        <v>26441850.1505022</v>
      </c>
      <c r="P357" s="124" t="n">
        <f aca="false">D357/P$3</f>
        <v>0</v>
      </c>
      <c r="Q357" s="124" t="n">
        <f aca="false">E357/P$3</f>
        <v>0</v>
      </c>
      <c r="R357" s="124" t="n">
        <f aca="false">F357/R$3</f>
        <v>0</v>
      </c>
      <c r="S357" s="126" t="n">
        <f aca="false">J357/$R$3</f>
        <v>0</v>
      </c>
      <c r="T357" s="126" t="n">
        <f aca="false">L357/$R$3</f>
        <v>0</v>
      </c>
      <c r="U357" s="126" t="n">
        <f aca="false">I357/$R$3</f>
        <v>0</v>
      </c>
      <c r="V357" s="126" t="n">
        <f aca="false">M357/$R$3</f>
        <v>3770.30586747257</v>
      </c>
      <c r="W357" s="126" t="n">
        <f aca="false">N357/$R$3</f>
        <v>26441.8501505022</v>
      </c>
    </row>
    <row r="358" customFormat="false" ht="12.75" hidden="false" customHeight="false" outlineLevel="0" collapsed="false">
      <c r="A358" s="120" t="n">
        <f aca="false">A357+1</f>
        <v>37244</v>
      </c>
      <c r="B358" s="131" t="str">
        <f aca="false">INDEX('Master Data'!$A$2:$B$8,MATCH(WEEKDAY('BRA Power'!A358,3),'Master Data'!$A$2:$A$8,0),2)</f>
        <v>W</v>
      </c>
      <c r="D358" s="124" t="n">
        <v>0</v>
      </c>
      <c r="E358" s="124" t="n">
        <v>0</v>
      </c>
      <c r="F358" s="124" t="n">
        <v>0</v>
      </c>
      <c r="G358" s="124" t="n">
        <v>0</v>
      </c>
      <c r="I358" s="124" t="n">
        <f aca="false">IF(MONTH($A358)=MONTH($A357),IF(G358=0,I357,G358),G358)</f>
        <v>0</v>
      </c>
      <c r="J358" s="124" t="n">
        <f aca="false">IF(MONTH($A358)=MONTH($A357),SUM(I358-I357),I358)</f>
        <v>0</v>
      </c>
      <c r="K358" s="124" t="n">
        <f aca="false">IF(WEEKDAY(A358,3)&gt;4,0,(IF(A358&lt;K$2,0,IF(A358&lt;=K$3,1,0))))</f>
        <v>0</v>
      </c>
      <c r="L358" s="124" t="n">
        <f aca="false">J358*K358</f>
        <v>0</v>
      </c>
      <c r="M358" s="124" t="n">
        <f aca="false">SUM(J$280:J358)</f>
        <v>3770305.86747257</v>
      </c>
      <c r="N358" s="124" t="n">
        <f aca="false">SUM(J$6:J358)</f>
        <v>26441850.1505022</v>
      </c>
      <c r="P358" s="124" t="n">
        <f aca="false">D358/P$3</f>
        <v>0</v>
      </c>
      <c r="Q358" s="124" t="n">
        <f aca="false">E358/P$3</f>
        <v>0</v>
      </c>
      <c r="R358" s="124" t="n">
        <f aca="false">F358/R$3</f>
        <v>0</v>
      </c>
      <c r="S358" s="126" t="n">
        <f aca="false">J358/$R$3</f>
        <v>0</v>
      </c>
      <c r="T358" s="126" t="n">
        <f aca="false">L358/$R$3</f>
        <v>0</v>
      </c>
      <c r="U358" s="126" t="n">
        <f aca="false">I358/$R$3</f>
        <v>0</v>
      </c>
      <c r="V358" s="126" t="n">
        <f aca="false">M358/$R$3</f>
        <v>3770.30586747257</v>
      </c>
      <c r="W358" s="126" t="n">
        <f aca="false">N358/$R$3</f>
        <v>26441.8501505022</v>
      </c>
    </row>
    <row r="359" customFormat="false" ht="12.75" hidden="false" customHeight="false" outlineLevel="0" collapsed="false">
      <c r="A359" s="120" t="n">
        <f aca="false">A358+1</f>
        <v>37245</v>
      </c>
      <c r="B359" s="131" t="str">
        <f aca="false">INDEX('Master Data'!$A$2:$B$8,MATCH(WEEKDAY('BRA Power'!A359,3),'Master Data'!$A$2:$A$8,0),2)</f>
        <v>Th</v>
      </c>
      <c r="D359" s="124" t="n">
        <v>0</v>
      </c>
      <c r="E359" s="124" t="n">
        <v>0</v>
      </c>
      <c r="F359" s="124" t="n">
        <v>0</v>
      </c>
      <c r="G359" s="124" t="n">
        <v>0</v>
      </c>
      <c r="I359" s="124" t="n">
        <f aca="false">IF(MONTH($A359)=MONTH($A358),IF(G359=0,I358,G359),G359)</f>
        <v>0</v>
      </c>
      <c r="J359" s="124" t="n">
        <f aca="false">IF(MONTH($A359)=MONTH($A358),SUM(I359-I358),I359)</f>
        <v>0</v>
      </c>
      <c r="K359" s="124" t="n">
        <f aca="false">IF(WEEKDAY(A359,3)&gt;4,0,(IF(A359&lt;K$2,0,IF(A359&lt;=K$3,1,0))))</f>
        <v>0</v>
      </c>
      <c r="L359" s="124" t="n">
        <f aca="false">J359*K359</f>
        <v>0</v>
      </c>
      <c r="M359" s="124" t="n">
        <f aca="false">SUM(J$280:J359)</f>
        <v>3770305.86747257</v>
      </c>
      <c r="N359" s="124" t="n">
        <f aca="false">SUM(J$6:J359)</f>
        <v>26441850.1505022</v>
      </c>
      <c r="P359" s="124" t="n">
        <f aca="false">D359/P$3</f>
        <v>0</v>
      </c>
      <c r="Q359" s="124" t="n">
        <f aca="false">E359/P$3</f>
        <v>0</v>
      </c>
      <c r="R359" s="124" t="n">
        <f aca="false">F359/R$3</f>
        <v>0</v>
      </c>
      <c r="S359" s="126" t="n">
        <f aca="false">J359/$R$3</f>
        <v>0</v>
      </c>
      <c r="T359" s="126" t="n">
        <f aca="false">L359/$R$3</f>
        <v>0</v>
      </c>
      <c r="U359" s="126" t="n">
        <f aca="false">I359/$R$3</f>
        <v>0</v>
      </c>
      <c r="V359" s="126" t="n">
        <f aca="false">M359/$R$3</f>
        <v>3770.30586747257</v>
      </c>
      <c r="W359" s="126" t="n">
        <f aca="false">N359/$R$3</f>
        <v>26441.8501505022</v>
      </c>
    </row>
    <row r="360" customFormat="false" ht="12.75" hidden="false" customHeight="false" outlineLevel="0" collapsed="false">
      <c r="A360" s="120" t="n">
        <f aca="false">A359+1</f>
        <v>37246</v>
      </c>
      <c r="B360" s="131" t="str">
        <f aca="false">INDEX('Master Data'!$A$2:$B$8,MATCH(WEEKDAY('BRA Power'!A360,3),'Master Data'!$A$2:$A$8,0),2)</f>
        <v>F</v>
      </c>
      <c r="D360" s="124" t="n">
        <v>0</v>
      </c>
      <c r="E360" s="124" t="n">
        <v>0</v>
      </c>
      <c r="F360" s="124" t="n">
        <v>0</v>
      </c>
      <c r="G360" s="124" t="n">
        <v>0</v>
      </c>
      <c r="I360" s="124" t="n">
        <f aca="false">IF(MONTH($A360)=MONTH($A359),IF(G360=0,I359,G360),G360)</f>
        <v>0</v>
      </c>
      <c r="J360" s="124" t="n">
        <f aca="false">IF(MONTH($A360)=MONTH($A359),SUM(I360-I359),I360)</f>
        <v>0</v>
      </c>
      <c r="K360" s="124" t="n">
        <f aca="false">IF(WEEKDAY(A360,3)&gt;4,0,(IF(A360&lt;K$2,0,IF(A360&lt;=K$3,1,0))))</f>
        <v>0</v>
      </c>
      <c r="L360" s="124" t="n">
        <f aca="false">J360*K360</f>
        <v>0</v>
      </c>
      <c r="M360" s="124" t="n">
        <f aca="false">SUM(J$280:J360)</f>
        <v>3770305.86747257</v>
      </c>
      <c r="N360" s="124" t="n">
        <f aca="false">SUM(J$6:J360)</f>
        <v>26441850.1505022</v>
      </c>
      <c r="P360" s="124" t="n">
        <f aca="false">D360/P$3</f>
        <v>0</v>
      </c>
      <c r="Q360" s="124" t="n">
        <f aca="false">E360/P$3</f>
        <v>0</v>
      </c>
      <c r="R360" s="124" t="n">
        <f aca="false">F360/R$3</f>
        <v>0</v>
      </c>
      <c r="S360" s="126" t="n">
        <f aca="false">J360/$R$3</f>
        <v>0</v>
      </c>
      <c r="T360" s="126" t="n">
        <f aca="false">L360/$R$3</f>
        <v>0</v>
      </c>
      <c r="U360" s="126" t="n">
        <f aca="false">I360/$R$3</f>
        <v>0</v>
      </c>
      <c r="V360" s="126" t="n">
        <f aca="false">M360/$R$3</f>
        <v>3770.30586747257</v>
      </c>
      <c r="W360" s="126" t="n">
        <f aca="false">N360/$R$3</f>
        <v>26441.8501505022</v>
      </c>
    </row>
    <row r="361" customFormat="false" ht="12.75" hidden="false" customHeight="false" outlineLevel="0" collapsed="false">
      <c r="A361" s="120" t="n">
        <f aca="false">A360+1</f>
        <v>37247</v>
      </c>
      <c r="B361" s="131" t="str">
        <f aca="false">INDEX('Master Data'!$A$2:$B$8,MATCH(WEEKDAY('BRA Power'!A361,3),'Master Data'!$A$2:$A$8,0),2)</f>
        <v>Sa</v>
      </c>
      <c r="D361" s="124" t="n">
        <v>0</v>
      </c>
      <c r="E361" s="124" t="n">
        <v>0</v>
      </c>
      <c r="F361" s="124" t="n">
        <v>0</v>
      </c>
      <c r="G361" s="124" t="n">
        <v>0</v>
      </c>
      <c r="I361" s="124" t="n">
        <f aca="false">IF(MONTH($A361)=MONTH($A360),IF(G361=0,I360,G361),G361)</f>
        <v>0</v>
      </c>
      <c r="J361" s="124" t="n">
        <f aca="false">IF(MONTH($A361)=MONTH($A360),SUM(I361-I360),I361)</f>
        <v>0</v>
      </c>
      <c r="K361" s="124" t="n">
        <f aca="false">IF(WEEKDAY(A361,3)&gt;4,0,(IF(A361&lt;K$2,0,IF(A361&lt;=K$3,1,0))))</f>
        <v>0</v>
      </c>
      <c r="L361" s="124" t="n">
        <f aca="false">J361*K361</f>
        <v>0</v>
      </c>
      <c r="M361" s="124" t="n">
        <f aca="false">SUM(J$280:J361)</f>
        <v>3770305.86747257</v>
      </c>
      <c r="N361" s="124" t="n">
        <f aca="false">SUM(J$6:J361)</f>
        <v>26441850.1505022</v>
      </c>
      <c r="P361" s="124" t="n">
        <f aca="false">D361/P$3</f>
        <v>0</v>
      </c>
      <c r="Q361" s="124" t="n">
        <f aca="false">E361/P$3</f>
        <v>0</v>
      </c>
      <c r="R361" s="124" t="n">
        <f aca="false">F361/R$3</f>
        <v>0</v>
      </c>
      <c r="S361" s="126" t="n">
        <f aca="false">J361/$R$3</f>
        <v>0</v>
      </c>
      <c r="T361" s="126" t="n">
        <f aca="false">L361/$R$3</f>
        <v>0</v>
      </c>
      <c r="U361" s="126" t="n">
        <f aca="false">I361/$R$3</f>
        <v>0</v>
      </c>
      <c r="V361" s="126" t="n">
        <f aca="false">M361/$R$3</f>
        <v>3770.30586747257</v>
      </c>
      <c r="W361" s="126" t="n">
        <f aca="false">N361/$R$3</f>
        <v>26441.8501505022</v>
      </c>
    </row>
    <row r="362" customFormat="false" ht="12.75" hidden="false" customHeight="false" outlineLevel="0" collapsed="false">
      <c r="A362" s="120" t="n">
        <f aca="false">A361+1</f>
        <v>37248</v>
      </c>
      <c r="B362" s="131" t="str">
        <f aca="false">INDEX('Master Data'!$A$2:$B$8,MATCH(WEEKDAY('BRA Power'!A362,3),'Master Data'!$A$2:$A$8,0),2)</f>
        <v>Su</v>
      </c>
      <c r="D362" s="124" t="n">
        <v>0</v>
      </c>
      <c r="E362" s="124" t="n">
        <v>0</v>
      </c>
      <c r="F362" s="124" t="n">
        <v>0</v>
      </c>
      <c r="G362" s="124" t="n">
        <v>0</v>
      </c>
      <c r="I362" s="124" t="n">
        <f aca="false">IF(MONTH($A362)=MONTH($A361),IF(G362=0,I361,G362),G362)</f>
        <v>0</v>
      </c>
      <c r="J362" s="124" t="n">
        <f aca="false">IF(MONTH($A362)=MONTH($A361),SUM(I362-I361),I362)</f>
        <v>0</v>
      </c>
      <c r="K362" s="124" t="n">
        <f aca="false">IF(WEEKDAY(A362,3)&gt;4,0,(IF(A362&lt;K$2,0,IF(A362&lt;=K$3,1,0))))</f>
        <v>0</v>
      </c>
      <c r="L362" s="124" t="n">
        <f aca="false">J362*K362</f>
        <v>0</v>
      </c>
      <c r="M362" s="124" t="n">
        <f aca="false">SUM(J$280:J362)</f>
        <v>3770305.86747257</v>
      </c>
      <c r="N362" s="124" t="n">
        <f aca="false">SUM(J$6:J362)</f>
        <v>26441850.1505022</v>
      </c>
      <c r="P362" s="124" t="n">
        <f aca="false">D362/P$3</f>
        <v>0</v>
      </c>
      <c r="Q362" s="124" t="n">
        <f aca="false">E362/P$3</f>
        <v>0</v>
      </c>
      <c r="R362" s="124" t="n">
        <f aca="false">F362/R$3</f>
        <v>0</v>
      </c>
      <c r="S362" s="126" t="n">
        <f aca="false">J362/$R$3</f>
        <v>0</v>
      </c>
      <c r="T362" s="126" t="n">
        <f aca="false">L362/$R$3</f>
        <v>0</v>
      </c>
      <c r="U362" s="126" t="n">
        <f aca="false">I362/$R$3</f>
        <v>0</v>
      </c>
      <c r="V362" s="126" t="n">
        <f aca="false">M362/$R$3</f>
        <v>3770.30586747257</v>
      </c>
      <c r="W362" s="126" t="n">
        <f aca="false">N362/$R$3</f>
        <v>26441.8501505022</v>
      </c>
    </row>
    <row r="363" customFormat="false" ht="12.75" hidden="false" customHeight="false" outlineLevel="0" collapsed="false">
      <c r="A363" s="120" t="n">
        <f aca="false">A362+1</f>
        <v>37249</v>
      </c>
      <c r="B363" s="131" t="str">
        <f aca="false">INDEX('Master Data'!$A$2:$B$8,MATCH(WEEKDAY('BRA Power'!A363,3),'Master Data'!$A$2:$A$8,0),2)</f>
        <v>M</v>
      </c>
      <c r="D363" s="124" t="n">
        <v>0</v>
      </c>
      <c r="E363" s="124" t="n">
        <v>0</v>
      </c>
      <c r="F363" s="124" t="n">
        <v>0</v>
      </c>
      <c r="G363" s="124" t="n">
        <v>0</v>
      </c>
      <c r="I363" s="124" t="n">
        <f aca="false">IF(MONTH($A363)=MONTH($A362),IF(G363=0,I362,G363),G363)</f>
        <v>0</v>
      </c>
      <c r="J363" s="124" t="n">
        <f aca="false">IF(MONTH($A363)=MONTH($A362),SUM(I363-I362),I363)</f>
        <v>0</v>
      </c>
      <c r="K363" s="124" t="n">
        <f aca="false">IF(WEEKDAY(A363,3)&gt;4,0,(IF(A363&lt;K$2,0,IF(A363&lt;=K$3,1,0))))</f>
        <v>0</v>
      </c>
      <c r="L363" s="124" t="n">
        <f aca="false">J363*K363</f>
        <v>0</v>
      </c>
      <c r="M363" s="124" t="n">
        <f aca="false">SUM(J$280:J363)</f>
        <v>3770305.86747257</v>
      </c>
      <c r="N363" s="124" t="n">
        <f aca="false">SUM(J$6:J363)</f>
        <v>26441850.1505022</v>
      </c>
      <c r="P363" s="124" t="n">
        <f aca="false">D363/P$3</f>
        <v>0</v>
      </c>
      <c r="Q363" s="124" t="n">
        <f aca="false">E363/P$3</f>
        <v>0</v>
      </c>
      <c r="R363" s="124" t="n">
        <f aca="false">F363/R$3</f>
        <v>0</v>
      </c>
      <c r="S363" s="126" t="n">
        <f aca="false">J363/$R$3</f>
        <v>0</v>
      </c>
      <c r="T363" s="126" t="n">
        <f aca="false">L363/$R$3</f>
        <v>0</v>
      </c>
      <c r="U363" s="126" t="n">
        <f aca="false">I363/$R$3</f>
        <v>0</v>
      </c>
      <c r="V363" s="126" t="n">
        <f aca="false">M363/$R$3</f>
        <v>3770.30586747257</v>
      </c>
      <c r="W363" s="126" t="n">
        <f aca="false">N363/$R$3</f>
        <v>26441.8501505022</v>
      </c>
    </row>
    <row r="364" customFormat="false" ht="12.75" hidden="false" customHeight="false" outlineLevel="0" collapsed="false">
      <c r="A364" s="120" t="n">
        <f aca="false">A363+1</f>
        <v>37250</v>
      </c>
      <c r="B364" s="131" t="str">
        <f aca="false">INDEX('Master Data'!$A$2:$B$8,MATCH(WEEKDAY('BRA Power'!A364,3),'Master Data'!$A$2:$A$8,0),2)</f>
        <v>T</v>
      </c>
      <c r="D364" s="124" t="n">
        <v>0</v>
      </c>
      <c r="E364" s="124" t="n">
        <v>0</v>
      </c>
      <c r="F364" s="124" t="n">
        <v>0</v>
      </c>
      <c r="G364" s="124" t="n">
        <v>0</v>
      </c>
      <c r="I364" s="124" t="n">
        <f aca="false">IF(MONTH($A364)=MONTH($A363),IF(G364=0,I363,G364),G364)</f>
        <v>0</v>
      </c>
      <c r="J364" s="124" t="n">
        <f aca="false">IF(MONTH($A364)=MONTH($A363),SUM(I364-I363),I364)</f>
        <v>0</v>
      </c>
      <c r="K364" s="124" t="n">
        <f aca="false">IF(WEEKDAY(A364,3)&gt;4,0,(IF(A364&lt;K$2,0,IF(A364&lt;=K$3,1,0))))</f>
        <v>0</v>
      </c>
      <c r="L364" s="124" t="n">
        <f aca="false">J364*K364</f>
        <v>0</v>
      </c>
      <c r="M364" s="124" t="n">
        <f aca="false">SUM(J$280:J364)</f>
        <v>3770305.86747257</v>
      </c>
      <c r="N364" s="124" t="n">
        <f aca="false">SUM(J$6:J364)</f>
        <v>26441850.1505022</v>
      </c>
      <c r="P364" s="124" t="n">
        <f aca="false">D364/P$3</f>
        <v>0</v>
      </c>
      <c r="Q364" s="124" t="n">
        <f aca="false">E364/P$3</f>
        <v>0</v>
      </c>
      <c r="R364" s="124" t="n">
        <f aca="false">F364/R$3</f>
        <v>0</v>
      </c>
      <c r="S364" s="126" t="n">
        <f aca="false">J364/$R$3</f>
        <v>0</v>
      </c>
      <c r="T364" s="126" t="n">
        <f aca="false">L364/$R$3</f>
        <v>0</v>
      </c>
      <c r="U364" s="126" t="n">
        <f aca="false">I364/$R$3</f>
        <v>0</v>
      </c>
      <c r="V364" s="126" t="n">
        <f aca="false">M364/$R$3</f>
        <v>3770.30586747257</v>
      </c>
      <c r="W364" s="126" t="n">
        <f aca="false">N364/$R$3</f>
        <v>26441.8501505022</v>
      </c>
    </row>
    <row r="365" customFormat="false" ht="12.75" hidden="false" customHeight="false" outlineLevel="0" collapsed="false">
      <c r="A365" s="120" t="n">
        <f aca="false">A364+1</f>
        <v>37251</v>
      </c>
      <c r="B365" s="131" t="str">
        <f aca="false">INDEX('Master Data'!$A$2:$B$8,MATCH(WEEKDAY('BRA Power'!A365,3),'Master Data'!$A$2:$A$8,0),2)</f>
        <v>W</v>
      </c>
      <c r="D365" s="124" t="n">
        <v>0</v>
      </c>
      <c r="E365" s="124" t="n">
        <v>0</v>
      </c>
      <c r="F365" s="124" t="n">
        <v>0</v>
      </c>
      <c r="G365" s="124" t="n">
        <v>0</v>
      </c>
      <c r="I365" s="124" t="n">
        <f aca="false">IF(MONTH($A365)=MONTH($A364),IF(G365=0,I364,G365),G365)</f>
        <v>0</v>
      </c>
      <c r="J365" s="124" t="n">
        <f aca="false">IF(MONTH($A365)=MONTH($A364),SUM(I365-I364),I365)</f>
        <v>0</v>
      </c>
      <c r="K365" s="124" t="n">
        <f aca="false">IF(WEEKDAY(A365,3)&gt;4,0,(IF(A365&lt;K$2,0,IF(A365&lt;=K$3,1,0))))</f>
        <v>0</v>
      </c>
      <c r="L365" s="124" t="n">
        <f aca="false">J365*K365</f>
        <v>0</v>
      </c>
      <c r="M365" s="124" t="n">
        <f aca="false">SUM(J$280:J365)</f>
        <v>3770305.86747257</v>
      </c>
      <c r="N365" s="124" t="n">
        <f aca="false">SUM(J$6:J365)</f>
        <v>26441850.1505022</v>
      </c>
      <c r="P365" s="124" t="n">
        <f aca="false">D365/P$3</f>
        <v>0</v>
      </c>
      <c r="Q365" s="124" t="n">
        <f aca="false">E365/P$3</f>
        <v>0</v>
      </c>
      <c r="R365" s="124" t="n">
        <f aca="false">F365/R$3</f>
        <v>0</v>
      </c>
      <c r="S365" s="126" t="n">
        <f aca="false">J365/$R$3</f>
        <v>0</v>
      </c>
      <c r="T365" s="126" t="n">
        <f aca="false">L365/$R$3</f>
        <v>0</v>
      </c>
      <c r="U365" s="126" t="n">
        <f aca="false">I365/$R$3</f>
        <v>0</v>
      </c>
      <c r="V365" s="126" t="n">
        <f aca="false">M365/$R$3</f>
        <v>3770.30586747257</v>
      </c>
      <c r="W365" s="126" t="n">
        <f aca="false">N365/$R$3</f>
        <v>26441.8501505022</v>
      </c>
    </row>
    <row r="366" customFormat="false" ht="12.75" hidden="false" customHeight="false" outlineLevel="0" collapsed="false">
      <c r="A366" s="120" t="n">
        <f aca="false">A365+1</f>
        <v>37252</v>
      </c>
      <c r="B366" s="131" t="str">
        <f aca="false">INDEX('Master Data'!$A$2:$B$8,MATCH(WEEKDAY('BRA Power'!A366,3),'Master Data'!$A$2:$A$8,0),2)</f>
        <v>Th</v>
      </c>
      <c r="D366" s="124" t="n">
        <v>0</v>
      </c>
      <c r="E366" s="124" t="n">
        <v>0</v>
      </c>
      <c r="F366" s="124" t="n">
        <v>0</v>
      </c>
      <c r="G366" s="124" t="n">
        <v>0</v>
      </c>
      <c r="I366" s="124" t="n">
        <f aca="false">IF(MONTH($A366)=MONTH($A365),IF(G366=0,I365,G366),G366)</f>
        <v>0</v>
      </c>
      <c r="J366" s="124" t="n">
        <f aca="false">IF(MONTH($A366)=MONTH($A365),SUM(I366-I365),I366)</f>
        <v>0</v>
      </c>
      <c r="K366" s="124" t="n">
        <f aca="false">IF(WEEKDAY(A366,3)&gt;4,0,(IF(A366&lt;K$2,0,IF(A366&lt;=K$3,1,0))))</f>
        <v>0</v>
      </c>
      <c r="L366" s="124" t="n">
        <f aca="false">J366*K366</f>
        <v>0</v>
      </c>
      <c r="M366" s="124" t="n">
        <f aca="false">SUM(J$280:J366)</f>
        <v>3770305.86747257</v>
      </c>
      <c r="N366" s="124" t="n">
        <f aca="false">SUM(J$6:J366)</f>
        <v>26441850.1505022</v>
      </c>
      <c r="P366" s="124" t="n">
        <f aca="false">D366/P$3</f>
        <v>0</v>
      </c>
      <c r="Q366" s="124" t="n">
        <f aca="false">E366/P$3</f>
        <v>0</v>
      </c>
      <c r="R366" s="124" t="n">
        <f aca="false">F366/R$3</f>
        <v>0</v>
      </c>
      <c r="S366" s="126" t="n">
        <f aca="false">J366/$R$3</f>
        <v>0</v>
      </c>
      <c r="T366" s="126" t="n">
        <f aca="false">L366/$R$3</f>
        <v>0</v>
      </c>
      <c r="U366" s="126" t="n">
        <f aca="false">I366/$R$3</f>
        <v>0</v>
      </c>
      <c r="V366" s="126" t="n">
        <f aca="false">M366/$R$3</f>
        <v>3770.30586747257</v>
      </c>
      <c r="W366" s="126" t="n">
        <f aca="false">N366/$R$3</f>
        <v>26441.8501505022</v>
      </c>
    </row>
    <row r="367" customFormat="false" ht="12.75" hidden="false" customHeight="false" outlineLevel="0" collapsed="false">
      <c r="A367" s="120" t="n">
        <f aca="false">A366+1</f>
        <v>37253</v>
      </c>
      <c r="B367" s="131" t="str">
        <f aca="false">INDEX('Master Data'!$A$2:$B$8,MATCH(WEEKDAY('BRA Power'!A367,3),'Master Data'!$A$2:$A$8,0),2)</f>
        <v>F</v>
      </c>
      <c r="D367" s="124" t="n">
        <v>0</v>
      </c>
      <c r="E367" s="124" t="n">
        <v>0</v>
      </c>
      <c r="F367" s="124" t="n">
        <v>0</v>
      </c>
      <c r="G367" s="124" t="n">
        <v>0</v>
      </c>
      <c r="I367" s="124" t="n">
        <f aca="false">IF(MONTH($A367)=MONTH($A366),IF(G367=0,I366,G367),G367)</f>
        <v>0</v>
      </c>
      <c r="J367" s="124" t="n">
        <f aca="false">IF(MONTH($A367)=MONTH($A366),SUM(I367-I366),I367)</f>
        <v>0</v>
      </c>
      <c r="K367" s="124" t="n">
        <f aca="false">IF(WEEKDAY(A367,3)&gt;4,0,(IF(A367&lt;K$2,0,IF(A367&lt;=K$3,1,0))))</f>
        <v>0</v>
      </c>
      <c r="L367" s="124" t="n">
        <f aca="false">J367*K367</f>
        <v>0</v>
      </c>
      <c r="M367" s="124" t="n">
        <f aca="false">SUM(J$280:J367)</f>
        <v>3770305.86747257</v>
      </c>
      <c r="N367" s="124" t="n">
        <f aca="false">SUM(J$6:J367)</f>
        <v>26441850.1505022</v>
      </c>
      <c r="P367" s="124" t="n">
        <f aca="false">D367/P$3</f>
        <v>0</v>
      </c>
      <c r="Q367" s="124" t="n">
        <f aca="false">E367/P$3</f>
        <v>0</v>
      </c>
      <c r="R367" s="124" t="n">
        <f aca="false">F367/R$3</f>
        <v>0</v>
      </c>
      <c r="S367" s="126" t="n">
        <f aca="false">J367/$R$3</f>
        <v>0</v>
      </c>
      <c r="T367" s="126" t="n">
        <f aca="false">L367/$R$3</f>
        <v>0</v>
      </c>
      <c r="U367" s="126" t="n">
        <f aca="false">I367/$R$3</f>
        <v>0</v>
      </c>
      <c r="V367" s="126" t="n">
        <f aca="false">M367/$R$3</f>
        <v>3770.30586747257</v>
      </c>
      <c r="W367" s="126" t="n">
        <f aca="false">N367/$R$3</f>
        <v>26441.8501505022</v>
      </c>
    </row>
    <row r="368" customFormat="false" ht="12.75" hidden="false" customHeight="false" outlineLevel="0" collapsed="false">
      <c r="A368" s="120" t="n">
        <f aca="false">A367+1</f>
        <v>37254</v>
      </c>
      <c r="B368" s="131" t="str">
        <f aca="false">INDEX('Master Data'!$A$2:$B$8,MATCH(WEEKDAY('BRA Power'!A368,3),'Master Data'!$A$2:$A$8,0),2)</f>
        <v>Sa</v>
      </c>
      <c r="D368" s="124" t="n">
        <v>0</v>
      </c>
      <c r="E368" s="124" t="n">
        <v>0</v>
      </c>
      <c r="F368" s="124" t="n">
        <v>0</v>
      </c>
      <c r="G368" s="124" t="n">
        <v>0</v>
      </c>
      <c r="I368" s="124" t="n">
        <f aca="false">IF(MONTH($A368)=MONTH($A367),IF(G368=0,I367,G368),G368)</f>
        <v>0</v>
      </c>
      <c r="J368" s="124" t="n">
        <f aca="false">IF(MONTH($A368)=MONTH($A367),SUM(I368-I367),I368)</f>
        <v>0</v>
      </c>
      <c r="K368" s="124" t="n">
        <f aca="false">IF(WEEKDAY(A368,3)&gt;4,0,(IF(A368&lt;K$2,0,IF(A368&lt;=K$3,1,0))))</f>
        <v>0</v>
      </c>
      <c r="L368" s="124" t="n">
        <f aca="false">J368*K368</f>
        <v>0</v>
      </c>
      <c r="M368" s="124" t="n">
        <f aca="false">SUM(J$280:J368)</f>
        <v>3770305.86747257</v>
      </c>
      <c r="N368" s="124" t="n">
        <f aca="false">SUM(J$6:J368)</f>
        <v>26441850.1505022</v>
      </c>
      <c r="P368" s="124" t="n">
        <f aca="false">D368/P$3</f>
        <v>0</v>
      </c>
      <c r="Q368" s="124" t="n">
        <f aca="false">E368/P$3</f>
        <v>0</v>
      </c>
      <c r="R368" s="124" t="n">
        <f aca="false">F368/R$3</f>
        <v>0</v>
      </c>
      <c r="S368" s="126" t="n">
        <f aca="false">J368/$R$3</f>
        <v>0</v>
      </c>
      <c r="T368" s="126" t="n">
        <f aca="false">L368/$R$3</f>
        <v>0</v>
      </c>
      <c r="U368" s="126" t="n">
        <f aca="false">I368/$R$3</f>
        <v>0</v>
      </c>
      <c r="V368" s="126" t="n">
        <f aca="false">M368/$R$3</f>
        <v>3770.30586747257</v>
      </c>
      <c r="W368" s="126" t="n">
        <f aca="false">N368/$R$3</f>
        <v>26441.8501505022</v>
      </c>
    </row>
    <row r="369" customFormat="false" ht="12.75" hidden="false" customHeight="false" outlineLevel="0" collapsed="false">
      <c r="A369" s="120" t="n">
        <f aca="false">A368+1</f>
        <v>37255</v>
      </c>
      <c r="B369" s="131" t="str">
        <f aca="false">INDEX('Master Data'!$A$2:$B$8,MATCH(WEEKDAY('BRA Power'!A369,3),'Master Data'!$A$2:$A$8,0),2)</f>
        <v>Su</v>
      </c>
      <c r="D369" s="124" t="n">
        <v>0</v>
      </c>
      <c r="E369" s="124" t="n">
        <v>0</v>
      </c>
      <c r="F369" s="124" t="n">
        <v>0</v>
      </c>
      <c r="G369" s="124" t="n">
        <v>0</v>
      </c>
      <c r="I369" s="124" t="n">
        <f aca="false">IF(MONTH($A369)=MONTH($A368),IF(G369=0,I368,G369),G369)</f>
        <v>0</v>
      </c>
      <c r="J369" s="124" t="n">
        <f aca="false">IF(MONTH($A369)=MONTH($A368),SUM(I369-I368),I369)</f>
        <v>0</v>
      </c>
      <c r="K369" s="124" t="n">
        <f aca="false">IF(WEEKDAY(A369,3)&gt;4,0,(IF(A369&lt;K$2,0,IF(A369&lt;=K$3,1,0))))</f>
        <v>0</v>
      </c>
      <c r="L369" s="124" t="n">
        <f aca="false">J369*K369</f>
        <v>0</v>
      </c>
      <c r="M369" s="124" t="n">
        <f aca="false">SUM(J$280:J369)</f>
        <v>3770305.86747257</v>
      </c>
      <c r="N369" s="124" t="n">
        <f aca="false">SUM(J$6:J369)</f>
        <v>26441850.1505022</v>
      </c>
      <c r="P369" s="124" t="n">
        <f aca="false">D369/P$3</f>
        <v>0</v>
      </c>
      <c r="Q369" s="124" t="n">
        <f aca="false">E369/P$3</f>
        <v>0</v>
      </c>
      <c r="R369" s="124" t="n">
        <f aca="false">F369/R$3</f>
        <v>0</v>
      </c>
      <c r="S369" s="126" t="n">
        <f aca="false">J369/$R$3</f>
        <v>0</v>
      </c>
      <c r="T369" s="126" t="n">
        <f aca="false">L369/$R$3</f>
        <v>0</v>
      </c>
      <c r="U369" s="126" t="n">
        <f aca="false">I369/$R$3</f>
        <v>0</v>
      </c>
      <c r="V369" s="126" t="n">
        <f aca="false">M369/$R$3</f>
        <v>3770.30586747257</v>
      </c>
      <c r="W369" s="126" t="n">
        <f aca="false">N369/$R$3</f>
        <v>26441.8501505022</v>
      </c>
    </row>
    <row r="370" customFormat="false" ht="12.75" hidden="false" customHeight="false" outlineLevel="0" collapsed="false">
      <c r="A370" s="120" t="n">
        <f aca="false">A369+1</f>
        <v>37256</v>
      </c>
      <c r="B370" s="131" t="str">
        <f aca="false">INDEX('Master Data'!$A$2:$B$8,MATCH(WEEKDAY('BRA Power'!A370,3),'Master Data'!$A$2:$A$8,0),2)</f>
        <v>M</v>
      </c>
      <c r="D370" s="124" t="n">
        <v>0</v>
      </c>
      <c r="E370" s="124" t="n">
        <v>0</v>
      </c>
      <c r="F370" s="124" t="n">
        <v>0</v>
      </c>
      <c r="G370" s="124" t="n">
        <v>0</v>
      </c>
      <c r="I370" s="124" t="n">
        <f aca="false">IF(MONTH($A370)=MONTH($A369),IF(G370=0,I369,G370),G370)</f>
        <v>0</v>
      </c>
      <c r="J370" s="124" t="n">
        <f aca="false">IF(MONTH($A370)=MONTH($A369),SUM(I370-I369),I370)</f>
        <v>0</v>
      </c>
      <c r="K370" s="124" t="n">
        <f aca="false">IF(WEEKDAY(A370,3)&gt;4,0,(IF(A370&lt;K$2,0,IF(A370&lt;=K$3,1,0))))</f>
        <v>0</v>
      </c>
      <c r="L370" s="124" t="n">
        <f aca="false">J370*K370</f>
        <v>0</v>
      </c>
      <c r="M370" s="124" t="n">
        <f aca="false">SUM(J$280:J370)</f>
        <v>3770305.86747257</v>
      </c>
      <c r="N370" s="124" t="n">
        <f aca="false">SUM(J$6:J370)</f>
        <v>26441850.1505022</v>
      </c>
      <c r="P370" s="124" t="n">
        <f aca="false">D370/P$3</f>
        <v>0</v>
      </c>
      <c r="Q370" s="124" t="n">
        <f aca="false">E370/P$3</f>
        <v>0</v>
      </c>
      <c r="R370" s="124" t="n">
        <f aca="false">F370/R$3</f>
        <v>0</v>
      </c>
      <c r="S370" s="126" t="n">
        <f aca="false">J370/$R$3</f>
        <v>0</v>
      </c>
      <c r="T370" s="126" t="n">
        <f aca="false">L370/$R$3</f>
        <v>0</v>
      </c>
      <c r="U370" s="126" t="n">
        <f aca="false">I370/$R$3</f>
        <v>0</v>
      </c>
      <c r="V370" s="126" t="n">
        <f aca="false">M370/$R$3</f>
        <v>3770.30586747257</v>
      </c>
      <c r="W370" s="126" t="n">
        <f aca="false">N370/$R$3</f>
        <v>26441.8501505022</v>
      </c>
    </row>
    <row r="371" customFormat="false" ht="12.75" hidden="false" customHeight="false" outlineLevel="0" collapsed="false">
      <c r="A371" s="120" t="n">
        <f aca="false">A370+1</f>
        <v>37257</v>
      </c>
      <c r="B371" s="131" t="str">
        <f aca="false">INDEX('Master Data'!$A$2:$B$8,MATCH(WEEKDAY('BRA Power'!A371,3),'Master Data'!$A$2:$A$8,0),2)</f>
        <v>T</v>
      </c>
      <c r="D371" s="124" t="n">
        <v>0</v>
      </c>
      <c r="E371" s="124" t="n">
        <v>0</v>
      </c>
      <c r="F371" s="124" t="n">
        <v>0</v>
      </c>
      <c r="G371" s="124" t="n">
        <v>0</v>
      </c>
      <c r="I371" s="124" t="n">
        <f aca="false">IF(MONTH($A371)=MONTH($A370),IF(G371=0,I370,G371),G371)</f>
        <v>0</v>
      </c>
      <c r="J371" s="124" t="n">
        <f aca="false">IF(MONTH($A371)=MONTH($A370),SUM(I371-I370),I371)</f>
        <v>0</v>
      </c>
      <c r="K371" s="124" t="n">
        <f aca="false">IF(WEEKDAY(A371,3)&gt;4,0,(IF(A371&lt;K$2,0,IF(A371&lt;=K$3,1,0))))</f>
        <v>0</v>
      </c>
      <c r="L371" s="124" t="n">
        <f aca="false">J371*K371</f>
        <v>0</v>
      </c>
      <c r="M371" s="124" t="n">
        <f aca="false">SUM(J$280:J371)</f>
        <v>3770305.86747257</v>
      </c>
      <c r="N371" s="124" t="n">
        <f aca="false">SUM(J$6:J371)</f>
        <v>26441850.1505022</v>
      </c>
      <c r="P371" s="124" t="n">
        <f aca="false">D371/P$3</f>
        <v>0</v>
      </c>
      <c r="Q371" s="124" t="n">
        <f aca="false">E371/P$3</f>
        <v>0</v>
      </c>
      <c r="R371" s="124" t="n">
        <f aca="false">F371/R$3</f>
        <v>0</v>
      </c>
      <c r="S371" s="126" t="n">
        <f aca="false">J371/$R$3</f>
        <v>0</v>
      </c>
      <c r="T371" s="126" t="n">
        <f aca="false">L371/$R$3</f>
        <v>0</v>
      </c>
      <c r="U371" s="126" t="n">
        <f aca="false">I371/$R$3</f>
        <v>0</v>
      </c>
      <c r="V371" s="126" t="n">
        <f aca="false">M371/$R$3</f>
        <v>3770.30586747257</v>
      </c>
      <c r="W371" s="126" t="n">
        <f aca="false">N371/$R$3</f>
        <v>26441.8501505022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282" activeCellId="0" sqref="G28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20" width="7.28"/>
    <col collapsed="false" customWidth="true" hidden="false" outlineLevel="0" max="2" min="2" style="121" width="4.14"/>
    <col collapsed="false" customWidth="true" hidden="false" outlineLevel="0" max="3" min="3" style="122" width="2.7"/>
    <col collapsed="false" customWidth="true" hidden="false" outlineLevel="0" max="7" min="4" style="121" width="14.99"/>
    <col collapsed="false" customWidth="true" hidden="false" outlineLevel="0" max="8" min="8" style="122" width="2.7"/>
    <col collapsed="false" customWidth="true" hidden="false" outlineLevel="0" max="9" min="9" style="123" width="13.14"/>
    <col collapsed="false" customWidth="true" hidden="false" outlineLevel="0" max="10" min="10" style="124" width="13.14"/>
    <col collapsed="false" customWidth="true" hidden="false" outlineLevel="0" max="11" min="11" style="124" width="10.99"/>
    <col collapsed="false" customWidth="true" hidden="false" outlineLevel="0" max="14" min="12" style="124" width="13.14"/>
    <col collapsed="false" customWidth="true" hidden="false" outlineLevel="0" max="15" min="15" style="125" width="2.7"/>
    <col collapsed="false" customWidth="true" hidden="false" outlineLevel="0" max="18" min="16" style="121" width="16.13"/>
    <col collapsed="false" customWidth="true" hidden="false" outlineLevel="0" max="23" min="19" style="126" width="12.7"/>
    <col collapsed="false" customWidth="false" hidden="false" outlineLevel="0" max="257" min="24" style="121" width="9.14"/>
  </cols>
  <sheetData>
    <row r="1" customFormat="false" ht="12.75" hidden="false" customHeight="false" outlineLevel="0" collapsed="false">
      <c r="A1" s="127" t="n">
        <v>1</v>
      </c>
      <c r="B1" s="121" t="n">
        <f aca="false">+A1+1</f>
        <v>2</v>
      </c>
      <c r="C1" s="122" t="n">
        <f aca="false">+B1+1</f>
        <v>3</v>
      </c>
      <c r="D1" s="121" t="n">
        <f aca="false">+C1+1</f>
        <v>4</v>
      </c>
      <c r="E1" s="121" t="n">
        <f aca="false">+D1+1</f>
        <v>5</v>
      </c>
      <c r="F1" s="121" t="n">
        <f aca="false">+E1+1</f>
        <v>6</v>
      </c>
      <c r="G1" s="121" t="n">
        <f aca="false">+F1+1</f>
        <v>7</v>
      </c>
      <c r="H1" s="122" t="n">
        <f aca="false">+G1+1</f>
        <v>8</v>
      </c>
      <c r="I1" s="123" t="n">
        <f aca="false">+H1+1</f>
        <v>9</v>
      </c>
      <c r="J1" s="124" t="n">
        <f aca="false">+I1+1</f>
        <v>10</v>
      </c>
      <c r="K1" s="124" t="n">
        <f aca="false">+J1+1</f>
        <v>11</v>
      </c>
      <c r="L1" s="124" t="n">
        <f aca="false">+K1+1</f>
        <v>12</v>
      </c>
      <c r="M1" s="124" t="n">
        <f aca="false">+L1+1</f>
        <v>13</v>
      </c>
      <c r="N1" s="124" t="n">
        <f aca="false">+M1+1</f>
        <v>14</v>
      </c>
      <c r="O1" s="125" t="n">
        <f aca="false">+N1+1</f>
        <v>15</v>
      </c>
      <c r="P1" s="121" t="n">
        <f aca="false">+O1+1</f>
        <v>16</v>
      </c>
      <c r="Q1" s="121" t="n">
        <f aca="false">+P1+1</f>
        <v>17</v>
      </c>
      <c r="R1" s="121" t="n">
        <f aca="false">+Q1+1</f>
        <v>18</v>
      </c>
      <c r="S1" s="121" t="n">
        <f aca="false">+R1+1</f>
        <v>19</v>
      </c>
      <c r="T1" s="121" t="n">
        <f aca="false">+S1+1</f>
        <v>20</v>
      </c>
      <c r="U1" s="121" t="n">
        <f aca="false">+T1+1</f>
        <v>21</v>
      </c>
      <c r="V1" s="121" t="n">
        <f aca="false">+U1+1</f>
        <v>22</v>
      </c>
      <c r="W1" s="121" t="n">
        <f aca="false">+V1+1</f>
        <v>23</v>
      </c>
    </row>
    <row r="2" customFormat="false" ht="12.75" hidden="false" customHeight="false" outlineLevel="0" collapsed="false">
      <c r="G2" s="151"/>
      <c r="K2" s="128" t="n">
        <f aca="false">WORKDAY(K3,-4)</f>
        <v>37190</v>
      </c>
    </row>
    <row r="3" customFormat="false" ht="12.75" hidden="false" customHeight="false" outlineLevel="0" collapsed="false">
      <c r="G3" s="152"/>
      <c r="K3" s="128" t="n">
        <f aca="false">Summary!B8</f>
        <v>37196</v>
      </c>
      <c r="L3" s="129" t="n">
        <f aca="false">SUM(L6:L371)</f>
        <v>0</v>
      </c>
      <c r="P3" s="124" t="n">
        <v>1000000</v>
      </c>
      <c r="Q3" s="124"/>
      <c r="R3" s="124" t="n">
        <v>1000</v>
      </c>
      <c r="S3" s="121"/>
      <c r="T3" s="130" t="n">
        <f aca="false">SUM(T6:T371)</f>
        <v>0</v>
      </c>
    </row>
    <row r="4" customFormat="false" ht="12.75" hidden="false" customHeight="false" outlineLevel="0" collapsed="false">
      <c r="D4" s="131" t="s">
        <v>57</v>
      </c>
      <c r="E4" s="131" t="s">
        <v>57</v>
      </c>
      <c r="F4" s="131" t="s">
        <v>58</v>
      </c>
      <c r="G4" s="131" t="s">
        <v>58</v>
      </c>
      <c r="I4" s="132" t="s">
        <v>58</v>
      </c>
      <c r="J4" s="132"/>
      <c r="K4" s="132"/>
      <c r="L4" s="132"/>
      <c r="M4" s="132"/>
      <c r="N4" s="132"/>
      <c r="O4" s="133"/>
      <c r="P4" s="134" t="s">
        <v>59</v>
      </c>
      <c r="Q4" s="134"/>
      <c r="R4" s="135" t="s">
        <v>60</v>
      </c>
      <c r="S4" s="135"/>
      <c r="T4" s="135"/>
      <c r="U4" s="135"/>
      <c r="V4" s="135"/>
      <c r="W4" s="135"/>
    </row>
    <row r="5" customFormat="false" ht="13.5" hidden="false" customHeight="true" outlineLevel="0" collapsed="false">
      <c r="A5" s="136" t="s">
        <v>61</v>
      </c>
      <c r="B5" s="131" t="s">
        <v>62</v>
      </c>
      <c r="C5" s="137"/>
      <c r="D5" s="138" t="s">
        <v>63</v>
      </c>
      <c r="E5" s="138" t="s">
        <v>64</v>
      </c>
      <c r="F5" s="138" t="s">
        <v>65</v>
      </c>
      <c r="G5" s="138" t="s">
        <v>66</v>
      </c>
      <c r="H5" s="139"/>
      <c r="I5" s="138" t="s">
        <v>67</v>
      </c>
      <c r="J5" s="140" t="s">
        <v>68</v>
      </c>
      <c r="K5" s="140" t="s">
        <v>69</v>
      </c>
      <c r="L5" s="140" t="s">
        <v>70</v>
      </c>
      <c r="M5" s="140" t="s">
        <v>71</v>
      </c>
      <c r="N5" s="140" t="s">
        <v>72</v>
      </c>
      <c r="O5" s="141"/>
      <c r="P5" s="138" t="s">
        <v>63</v>
      </c>
      <c r="Q5" s="138" t="s">
        <v>64</v>
      </c>
      <c r="R5" s="138" t="s">
        <v>65</v>
      </c>
      <c r="S5" s="142" t="s">
        <v>68</v>
      </c>
      <c r="T5" s="140" t="s">
        <v>70</v>
      </c>
      <c r="U5" s="142" t="s">
        <v>66</v>
      </c>
      <c r="V5" s="142" t="s">
        <v>71</v>
      </c>
      <c r="W5" s="142" t="s">
        <v>72</v>
      </c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1"/>
      <c r="AW5" s="131"/>
      <c r="AX5" s="131"/>
      <c r="AY5" s="131"/>
      <c r="AZ5" s="131"/>
      <c r="BA5" s="131"/>
      <c r="BB5" s="131"/>
      <c r="BC5" s="131"/>
      <c r="BD5" s="131"/>
      <c r="BE5" s="131"/>
      <c r="BF5" s="131"/>
      <c r="BG5" s="131"/>
      <c r="BH5" s="131"/>
      <c r="BI5" s="131"/>
      <c r="BJ5" s="131"/>
      <c r="BK5" s="131"/>
      <c r="BL5" s="131"/>
      <c r="BM5" s="131"/>
      <c r="BN5" s="131"/>
      <c r="BO5" s="131"/>
      <c r="BP5" s="131"/>
      <c r="BQ5" s="131"/>
      <c r="BR5" s="131"/>
      <c r="BS5" s="131"/>
      <c r="BT5" s="131"/>
      <c r="BU5" s="131"/>
      <c r="BV5" s="131"/>
      <c r="BW5" s="131"/>
      <c r="BX5" s="131"/>
      <c r="BY5" s="131"/>
      <c r="BZ5" s="131"/>
      <c r="CA5" s="131"/>
      <c r="CB5" s="131"/>
      <c r="CC5" s="131"/>
      <c r="CD5" s="131"/>
      <c r="CE5" s="131"/>
      <c r="CF5" s="131"/>
      <c r="CG5" s="131"/>
      <c r="CH5" s="131"/>
      <c r="CI5" s="131"/>
      <c r="CJ5" s="131"/>
      <c r="CK5" s="131"/>
      <c r="CL5" s="131"/>
      <c r="CM5" s="131"/>
      <c r="CN5" s="131"/>
      <c r="CO5" s="131"/>
      <c r="CP5" s="131"/>
      <c r="CQ5" s="131"/>
      <c r="CR5" s="131"/>
      <c r="CS5" s="131"/>
      <c r="CT5" s="131"/>
      <c r="CU5" s="131"/>
      <c r="CV5" s="131"/>
      <c r="CW5" s="131"/>
      <c r="CX5" s="131"/>
      <c r="CY5" s="131"/>
      <c r="CZ5" s="131"/>
      <c r="DA5" s="131"/>
      <c r="DB5" s="131"/>
      <c r="DC5" s="131"/>
      <c r="DD5" s="131"/>
      <c r="DE5" s="131"/>
      <c r="DF5" s="131"/>
      <c r="DG5" s="131"/>
      <c r="DH5" s="131"/>
      <c r="DI5" s="131"/>
      <c r="DJ5" s="131"/>
      <c r="DK5" s="131"/>
      <c r="DL5" s="131"/>
      <c r="DM5" s="131"/>
      <c r="DN5" s="131"/>
      <c r="DO5" s="131"/>
      <c r="DP5" s="131"/>
      <c r="DQ5" s="131"/>
      <c r="DR5" s="131"/>
      <c r="DS5" s="131"/>
      <c r="DT5" s="131"/>
      <c r="DU5" s="131"/>
      <c r="DV5" s="131"/>
      <c r="DW5" s="131"/>
      <c r="DX5" s="131"/>
      <c r="DY5" s="131"/>
      <c r="DZ5" s="131"/>
      <c r="EA5" s="131"/>
      <c r="EB5" s="131"/>
      <c r="EC5" s="131"/>
      <c r="ED5" s="131"/>
      <c r="EE5" s="131"/>
      <c r="EF5" s="131"/>
      <c r="EG5" s="131"/>
      <c r="EH5" s="131"/>
      <c r="EI5" s="131"/>
      <c r="EJ5" s="131"/>
      <c r="EK5" s="131"/>
      <c r="EL5" s="131"/>
      <c r="EM5" s="131"/>
      <c r="EN5" s="131"/>
      <c r="EO5" s="131"/>
      <c r="EP5" s="131"/>
      <c r="EQ5" s="131"/>
      <c r="ER5" s="131"/>
      <c r="ES5" s="131"/>
      <c r="ET5" s="131"/>
      <c r="EU5" s="131"/>
      <c r="EV5" s="131"/>
      <c r="EW5" s="131"/>
      <c r="EX5" s="131"/>
      <c r="EY5" s="131"/>
      <c r="EZ5" s="131"/>
      <c r="FA5" s="131"/>
      <c r="FB5" s="131"/>
      <c r="FC5" s="131"/>
      <c r="FD5" s="131"/>
      <c r="FE5" s="131"/>
      <c r="FF5" s="131"/>
      <c r="FG5" s="131"/>
      <c r="FH5" s="131"/>
      <c r="FI5" s="131"/>
      <c r="FJ5" s="131"/>
      <c r="FK5" s="131"/>
      <c r="FL5" s="131"/>
      <c r="FM5" s="131"/>
      <c r="FN5" s="131"/>
      <c r="FO5" s="131"/>
      <c r="FP5" s="131"/>
      <c r="FQ5" s="131"/>
      <c r="FR5" s="131"/>
      <c r="FS5" s="131"/>
      <c r="FT5" s="131"/>
      <c r="FU5" s="131"/>
      <c r="FV5" s="131"/>
      <c r="FW5" s="131"/>
      <c r="FX5" s="131"/>
      <c r="FY5" s="131"/>
      <c r="FZ5" s="131"/>
      <c r="GA5" s="131"/>
      <c r="GB5" s="131"/>
      <c r="GC5" s="131"/>
      <c r="GD5" s="131"/>
      <c r="GE5" s="131"/>
      <c r="GF5" s="131"/>
      <c r="GG5" s="131"/>
      <c r="GH5" s="131"/>
      <c r="GI5" s="131"/>
      <c r="GJ5" s="131"/>
      <c r="GK5" s="131"/>
      <c r="GL5" s="131"/>
      <c r="GM5" s="131"/>
      <c r="GN5" s="131"/>
      <c r="GO5" s="131"/>
      <c r="GP5" s="131"/>
      <c r="GQ5" s="131"/>
      <c r="GR5" s="131"/>
      <c r="GS5" s="131"/>
      <c r="GT5" s="131"/>
      <c r="GU5" s="131"/>
      <c r="GV5" s="131"/>
      <c r="GW5" s="131"/>
      <c r="GX5" s="131"/>
      <c r="GY5" s="131"/>
      <c r="GZ5" s="131"/>
      <c r="HA5" s="131"/>
      <c r="HB5" s="131"/>
      <c r="HC5" s="131"/>
      <c r="HD5" s="131"/>
      <c r="HE5" s="131"/>
      <c r="HF5" s="131"/>
      <c r="HG5" s="131"/>
      <c r="HH5" s="131"/>
      <c r="HI5" s="131"/>
      <c r="HJ5" s="131"/>
      <c r="HK5" s="131"/>
      <c r="HL5" s="131"/>
      <c r="HM5" s="131"/>
      <c r="HN5" s="131"/>
      <c r="HO5" s="131"/>
      <c r="HP5" s="131"/>
      <c r="HQ5" s="131"/>
      <c r="HR5" s="131"/>
      <c r="HS5" s="131"/>
      <c r="HT5" s="131"/>
      <c r="HU5" s="131"/>
      <c r="HV5" s="131"/>
      <c r="HW5" s="131"/>
      <c r="HX5" s="131"/>
      <c r="HY5" s="131"/>
      <c r="HZ5" s="131"/>
      <c r="IA5" s="131"/>
      <c r="IB5" s="131"/>
      <c r="IC5" s="131"/>
      <c r="ID5" s="131"/>
      <c r="IE5" s="131"/>
      <c r="IF5" s="131"/>
      <c r="IG5" s="131"/>
      <c r="IH5" s="131"/>
      <c r="II5" s="131"/>
      <c r="IJ5" s="131"/>
      <c r="IK5" s="131"/>
      <c r="IL5" s="131"/>
      <c r="IM5" s="131"/>
      <c r="IN5" s="131"/>
      <c r="IO5" s="131"/>
      <c r="IP5" s="131"/>
      <c r="IQ5" s="131"/>
      <c r="IR5" s="131"/>
      <c r="IS5" s="131"/>
      <c r="IT5" s="131"/>
      <c r="IU5" s="131"/>
      <c r="IV5" s="131"/>
      <c r="IW5" s="131"/>
    </row>
    <row r="6" customFormat="false" ht="12.75" hidden="true" customHeight="false" outlineLevel="0" collapsed="false">
      <c r="A6" s="120" t="n">
        <v>36892</v>
      </c>
      <c r="B6" s="131" t="str">
        <f aca="false">INDEX('Master Data'!$A$2:$B$8,MATCH(WEEKDAY(ELETROBOLT!A6,3),'Master Data'!$A$2:$A$8,0),2)</f>
        <v>M</v>
      </c>
      <c r="D6" s="124" t="n">
        <v>0</v>
      </c>
      <c r="E6" s="124" t="n">
        <v>0</v>
      </c>
      <c r="F6" s="124" t="n">
        <v>0</v>
      </c>
      <c r="G6" s="124" t="n">
        <v>0</v>
      </c>
      <c r="I6" s="124" t="n">
        <f aca="false">G6</f>
        <v>0</v>
      </c>
      <c r="J6" s="124" t="n">
        <f aca="false">I6</f>
        <v>0</v>
      </c>
      <c r="K6" s="124" t="n">
        <f aca="false">IF(WEEKDAY(A6,3)&gt;4,0,(IF(A6&lt;K$2,0,IF(A6&lt;=K$3,1,0))))</f>
        <v>0</v>
      </c>
      <c r="L6" s="124" t="n">
        <f aca="false">J6*K6</f>
        <v>0</v>
      </c>
      <c r="M6" s="124" t="n">
        <f aca="false">SUM(J$6:J6)</f>
        <v>0</v>
      </c>
      <c r="N6" s="124" t="n">
        <f aca="false">SUM(J$6:J6)</f>
        <v>0</v>
      </c>
      <c r="P6" s="124" t="n">
        <f aca="false">D6/P$3</f>
        <v>0</v>
      </c>
      <c r="Q6" s="124" t="n">
        <f aca="false">E6/P$3</f>
        <v>0</v>
      </c>
      <c r="R6" s="124" t="n">
        <f aca="false">F6/R$3</f>
        <v>0</v>
      </c>
      <c r="S6" s="126" t="n">
        <f aca="false">J6/$R$3</f>
        <v>0</v>
      </c>
      <c r="T6" s="126" t="n">
        <f aca="false">L6/$R$3</f>
        <v>0</v>
      </c>
      <c r="U6" s="126" t="n">
        <f aca="false">I6/$R$3</f>
        <v>0</v>
      </c>
      <c r="V6" s="126" t="n">
        <f aca="false">M6/$R$3</f>
        <v>0</v>
      </c>
      <c r="W6" s="126" t="n">
        <f aca="false">N6/$R$3</f>
        <v>0</v>
      </c>
    </row>
    <row r="7" customFormat="false" ht="12.75" hidden="true" customHeight="false" outlineLevel="0" collapsed="false">
      <c r="A7" s="120" t="n">
        <f aca="false">A6+1</f>
        <v>36893</v>
      </c>
      <c r="B7" s="131" t="str">
        <f aca="false">INDEX('Master Data'!$A$2:$B$8,MATCH(WEEKDAY(ELETROBOLT!A7,3),'Master Data'!$A$2:$A$8,0),2)</f>
        <v>T</v>
      </c>
      <c r="D7" s="124" t="n">
        <v>0</v>
      </c>
      <c r="E7" s="124" t="n">
        <v>0</v>
      </c>
      <c r="F7" s="124" t="n">
        <v>0</v>
      </c>
      <c r="G7" s="124" t="n">
        <v>0</v>
      </c>
      <c r="I7" s="124" t="n">
        <f aca="false">IF(MONTH($A7)=MONTH($A6),IF(G7=0,I6,G7),0)</f>
        <v>0</v>
      </c>
      <c r="J7" s="124" t="n">
        <f aca="false">IF(MONTH($A7)=MONTH($A6),SUM(I7-I6),I7)</f>
        <v>0</v>
      </c>
      <c r="K7" s="124" t="n">
        <f aca="false">IF(WEEKDAY(A7,3)&gt;4,0,(IF(A7&lt;K$2,0,IF(A7&lt;=K$3,1,0))))</f>
        <v>0</v>
      </c>
      <c r="L7" s="124" t="n">
        <f aca="false">J7*K7</f>
        <v>0</v>
      </c>
      <c r="M7" s="124" t="n">
        <f aca="false">SUM(J$6:J7)</f>
        <v>0</v>
      </c>
      <c r="N7" s="124" t="n">
        <f aca="false">SUM(J$6:J7)</f>
        <v>0</v>
      </c>
      <c r="P7" s="124" t="n">
        <f aca="false">D7/P$3</f>
        <v>0</v>
      </c>
      <c r="Q7" s="124" t="n">
        <f aca="false">E7/P$3</f>
        <v>0</v>
      </c>
      <c r="R7" s="124" t="n">
        <f aca="false">F7/R$3</f>
        <v>0</v>
      </c>
      <c r="S7" s="126" t="n">
        <f aca="false">J7/$R$3</f>
        <v>0</v>
      </c>
      <c r="T7" s="126" t="n">
        <f aca="false">L7/$R$3</f>
        <v>0</v>
      </c>
      <c r="U7" s="126" t="n">
        <f aca="false">I7/$R$3</f>
        <v>0</v>
      </c>
      <c r="V7" s="126" t="n">
        <f aca="false">M7/$R$3</f>
        <v>0</v>
      </c>
      <c r="W7" s="126" t="n">
        <f aca="false">N7/$R$3</f>
        <v>0</v>
      </c>
    </row>
    <row r="8" customFormat="false" ht="12.75" hidden="true" customHeight="false" outlineLevel="0" collapsed="false">
      <c r="A8" s="120" t="n">
        <f aca="false">A7+1</f>
        <v>36894</v>
      </c>
      <c r="B8" s="131" t="str">
        <f aca="false">INDEX('Master Data'!$A$2:$B$8,MATCH(WEEKDAY(ELETROBOLT!A8,3),'Master Data'!$A$2:$A$8,0),2)</f>
        <v>W</v>
      </c>
      <c r="D8" s="124" t="n">
        <v>0</v>
      </c>
      <c r="E8" s="124" t="n">
        <v>0</v>
      </c>
      <c r="F8" s="124" t="n">
        <v>0</v>
      </c>
      <c r="G8" s="124" t="n">
        <v>0</v>
      </c>
      <c r="I8" s="124" t="n">
        <f aca="false">IF(MONTH($A8)=MONTH($A7),IF(G8=0,I7,G8),0)</f>
        <v>0</v>
      </c>
      <c r="J8" s="124" t="n">
        <f aca="false">IF(MONTH($A8)=MONTH($A7),SUM(I8-I7),I8)</f>
        <v>0</v>
      </c>
      <c r="K8" s="124" t="n">
        <f aca="false">IF(WEEKDAY(A8,3)&gt;4,0,(IF(A8&lt;K$2,0,IF(A8&lt;=K$3,1,0))))</f>
        <v>0</v>
      </c>
      <c r="L8" s="124" t="n">
        <f aca="false">J8*K8</f>
        <v>0</v>
      </c>
      <c r="M8" s="124" t="n">
        <f aca="false">SUM(J$6:J8)</f>
        <v>0</v>
      </c>
      <c r="N8" s="124" t="n">
        <f aca="false">SUM(J$6:J8)</f>
        <v>0</v>
      </c>
      <c r="P8" s="124" t="n">
        <f aca="false">D8/P$3</f>
        <v>0</v>
      </c>
      <c r="Q8" s="124" t="n">
        <f aca="false">E8/P$3</f>
        <v>0</v>
      </c>
      <c r="R8" s="124" t="n">
        <f aca="false">F8/R$3</f>
        <v>0</v>
      </c>
      <c r="S8" s="126" t="n">
        <f aca="false">J8/$R$3</f>
        <v>0</v>
      </c>
      <c r="T8" s="126" t="n">
        <f aca="false">L8/$R$3</f>
        <v>0</v>
      </c>
      <c r="U8" s="126" t="n">
        <f aca="false">I8/$R$3</f>
        <v>0</v>
      </c>
      <c r="V8" s="126" t="n">
        <f aca="false">M8/$R$3</f>
        <v>0</v>
      </c>
      <c r="W8" s="126" t="n">
        <f aca="false">N8/$R$3</f>
        <v>0</v>
      </c>
    </row>
    <row r="9" customFormat="false" ht="12.75" hidden="true" customHeight="false" outlineLevel="0" collapsed="false">
      <c r="A9" s="120" t="n">
        <f aca="false">A8+1</f>
        <v>36895</v>
      </c>
      <c r="B9" s="131" t="str">
        <f aca="false">INDEX('Master Data'!$A$2:$B$8,MATCH(WEEKDAY(ELETROBOLT!A9,3),'Master Data'!$A$2:$A$8,0),2)</f>
        <v>Th</v>
      </c>
      <c r="D9" s="124" t="n">
        <v>0</v>
      </c>
      <c r="E9" s="124" t="n">
        <v>0</v>
      </c>
      <c r="F9" s="124" t="n">
        <v>0</v>
      </c>
      <c r="G9" s="124" t="n">
        <v>0</v>
      </c>
      <c r="I9" s="124" t="n">
        <f aca="false">IF(MONTH($A9)=MONTH($A8),IF(G9=0,I8,G9),0)</f>
        <v>0</v>
      </c>
      <c r="J9" s="124" t="n">
        <f aca="false">IF(MONTH($A9)=MONTH($A8),SUM(I9-I8),I9)</f>
        <v>0</v>
      </c>
      <c r="K9" s="124" t="n">
        <f aca="false">IF(WEEKDAY(A9,3)&gt;4,0,(IF(A9&lt;K$2,0,IF(A9&lt;=K$3,1,0))))</f>
        <v>0</v>
      </c>
      <c r="L9" s="124" t="n">
        <f aca="false">J9*K9</f>
        <v>0</v>
      </c>
      <c r="M9" s="124" t="n">
        <f aca="false">SUM(J$6:J9)</f>
        <v>0</v>
      </c>
      <c r="N9" s="124" t="n">
        <f aca="false">SUM(J$6:J9)</f>
        <v>0</v>
      </c>
      <c r="P9" s="124" t="n">
        <f aca="false">D9/P$3</f>
        <v>0</v>
      </c>
      <c r="Q9" s="124" t="n">
        <f aca="false">E9/P$3</f>
        <v>0</v>
      </c>
      <c r="R9" s="124" t="n">
        <f aca="false">F9/R$3</f>
        <v>0</v>
      </c>
      <c r="S9" s="126" t="n">
        <f aca="false">J9/$R$3</f>
        <v>0</v>
      </c>
      <c r="T9" s="126" t="n">
        <f aca="false">L9/$R$3</f>
        <v>0</v>
      </c>
      <c r="U9" s="126" t="n">
        <f aca="false">I9/$R$3</f>
        <v>0</v>
      </c>
      <c r="V9" s="126" t="n">
        <f aca="false">M9/$R$3</f>
        <v>0</v>
      </c>
      <c r="W9" s="126" t="n">
        <f aca="false">N9/$R$3</f>
        <v>0</v>
      </c>
    </row>
    <row r="10" customFormat="false" ht="12.75" hidden="true" customHeight="false" outlineLevel="0" collapsed="false">
      <c r="A10" s="120" t="n">
        <f aca="false">A9+1</f>
        <v>36896</v>
      </c>
      <c r="B10" s="131" t="str">
        <f aca="false">INDEX('Master Data'!$A$2:$B$8,MATCH(WEEKDAY(ELETROBOLT!A10,3),'Master Data'!$A$2:$A$8,0),2)</f>
        <v>F</v>
      </c>
      <c r="D10" s="124" t="n">
        <v>0</v>
      </c>
      <c r="E10" s="124" t="n">
        <v>0</v>
      </c>
      <c r="F10" s="124" t="n">
        <v>0</v>
      </c>
      <c r="G10" s="124" t="n">
        <v>0</v>
      </c>
      <c r="I10" s="124" t="n">
        <f aca="false">IF(MONTH($A10)=MONTH($A9),IF(G10=0,I9,G10),0)</f>
        <v>0</v>
      </c>
      <c r="J10" s="124" t="n">
        <f aca="false">IF(MONTH($A10)=MONTH($A9),SUM(I10-I9),I10)</f>
        <v>0</v>
      </c>
      <c r="K10" s="124" t="n">
        <f aca="false">IF(WEEKDAY(A10,3)&gt;4,0,(IF(A10&lt;K$2,0,IF(A10&lt;=K$3,1,0))))</f>
        <v>0</v>
      </c>
      <c r="L10" s="124" t="n">
        <f aca="false">J10*K10</f>
        <v>0</v>
      </c>
      <c r="M10" s="124" t="n">
        <f aca="false">SUM(J$6:J10)</f>
        <v>0</v>
      </c>
      <c r="N10" s="124" t="n">
        <f aca="false">SUM(J$6:J10)</f>
        <v>0</v>
      </c>
      <c r="P10" s="124" t="n">
        <f aca="false">D10/P$3</f>
        <v>0</v>
      </c>
      <c r="Q10" s="124" t="n">
        <f aca="false">E10/P$3</f>
        <v>0</v>
      </c>
      <c r="R10" s="124" t="n">
        <f aca="false">F10/R$3</f>
        <v>0</v>
      </c>
      <c r="S10" s="126" t="n">
        <f aca="false">J10/$R$3</f>
        <v>0</v>
      </c>
      <c r="T10" s="126" t="n">
        <f aca="false">L10/$R$3</f>
        <v>0</v>
      </c>
      <c r="U10" s="126" t="n">
        <f aca="false">I10/$R$3</f>
        <v>0</v>
      </c>
      <c r="V10" s="126" t="n">
        <f aca="false">M10/$R$3</f>
        <v>0</v>
      </c>
      <c r="W10" s="126" t="n">
        <f aca="false">N10/$R$3</f>
        <v>0</v>
      </c>
    </row>
    <row r="11" customFormat="false" ht="12.75" hidden="true" customHeight="false" outlineLevel="0" collapsed="false">
      <c r="A11" s="120" t="n">
        <f aca="false">A10+1</f>
        <v>36897</v>
      </c>
      <c r="B11" s="131" t="str">
        <f aca="false">INDEX('Master Data'!$A$2:$B$8,MATCH(WEEKDAY(ELETROBOLT!A11,3),'Master Data'!$A$2:$A$8,0),2)</f>
        <v>Sa</v>
      </c>
      <c r="D11" s="124" t="n">
        <v>0</v>
      </c>
      <c r="E11" s="124" t="n">
        <v>0</v>
      </c>
      <c r="F11" s="124" t="n">
        <v>0</v>
      </c>
      <c r="G11" s="124" t="n">
        <v>0</v>
      </c>
      <c r="I11" s="124" t="n">
        <f aca="false">IF(MONTH($A11)=MONTH($A10),IF(G11=0,I10,G11),0)</f>
        <v>0</v>
      </c>
      <c r="J11" s="124" t="n">
        <f aca="false">IF(MONTH($A11)=MONTH($A10),SUM(I11-I10),I11)</f>
        <v>0</v>
      </c>
      <c r="K11" s="124" t="n">
        <f aca="false">IF(WEEKDAY(A11,3)&gt;4,0,(IF(A11&lt;K$2,0,IF(A11&lt;=K$3,1,0))))</f>
        <v>0</v>
      </c>
      <c r="L11" s="124" t="n">
        <f aca="false">J11*K11</f>
        <v>0</v>
      </c>
      <c r="M11" s="124" t="n">
        <f aca="false">SUM(J$6:J11)</f>
        <v>0</v>
      </c>
      <c r="N11" s="124" t="n">
        <f aca="false">SUM(J$6:J11)</f>
        <v>0</v>
      </c>
      <c r="P11" s="124" t="n">
        <f aca="false">D11/P$3</f>
        <v>0</v>
      </c>
      <c r="Q11" s="124" t="n">
        <f aca="false">E11/P$3</f>
        <v>0</v>
      </c>
      <c r="R11" s="124" t="n">
        <f aca="false">F11/R$3</f>
        <v>0</v>
      </c>
      <c r="S11" s="126" t="n">
        <f aca="false">J11/$R$3</f>
        <v>0</v>
      </c>
      <c r="T11" s="126" t="n">
        <f aca="false">L11/$R$3</f>
        <v>0</v>
      </c>
      <c r="U11" s="126" t="n">
        <f aca="false">I11/$R$3</f>
        <v>0</v>
      </c>
      <c r="V11" s="126" t="n">
        <f aca="false">M11/$R$3</f>
        <v>0</v>
      </c>
      <c r="W11" s="126" t="n">
        <f aca="false">N11/$R$3</f>
        <v>0</v>
      </c>
    </row>
    <row r="12" customFormat="false" ht="12.75" hidden="true" customHeight="false" outlineLevel="0" collapsed="false">
      <c r="A12" s="120" t="n">
        <f aca="false">A11+1</f>
        <v>36898</v>
      </c>
      <c r="B12" s="131" t="str">
        <f aca="false">INDEX('Master Data'!$A$2:$B$8,MATCH(WEEKDAY(ELETROBOLT!A12,3),'Master Data'!$A$2:$A$8,0),2)</f>
        <v>Su</v>
      </c>
      <c r="D12" s="124" t="n">
        <v>0</v>
      </c>
      <c r="E12" s="124" t="n">
        <v>0</v>
      </c>
      <c r="F12" s="124" t="n">
        <v>0</v>
      </c>
      <c r="G12" s="124" t="n">
        <v>0</v>
      </c>
      <c r="I12" s="124" t="n">
        <f aca="false">IF(MONTH($A12)=MONTH($A11),IF(G12=0,I11,G12),0)</f>
        <v>0</v>
      </c>
      <c r="J12" s="124" t="n">
        <f aca="false">IF(MONTH($A12)=MONTH($A11),SUM(I12-I11),I12)</f>
        <v>0</v>
      </c>
      <c r="K12" s="124" t="n">
        <f aca="false">IF(WEEKDAY(A12,3)&gt;4,0,(IF(A12&lt;K$2,0,IF(A12&lt;=K$3,1,0))))</f>
        <v>0</v>
      </c>
      <c r="L12" s="124" t="n">
        <f aca="false">J12*K12</f>
        <v>0</v>
      </c>
      <c r="M12" s="124" t="n">
        <f aca="false">SUM(J$6:J12)</f>
        <v>0</v>
      </c>
      <c r="N12" s="124" t="n">
        <f aca="false">SUM(J$6:J12)</f>
        <v>0</v>
      </c>
      <c r="P12" s="124" t="n">
        <f aca="false">D12/P$3</f>
        <v>0</v>
      </c>
      <c r="Q12" s="124" t="n">
        <f aca="false">E12/P$3</f>
        <v>0</v>
      </c>
      <c r="R12" s="124" t="n">
        <f aca="false">F12/R$3</f>
        <v>0</v>
      </c>
      <c r="S12" s="126" t="n">
        <f aca="false">J12/$R$3</f>
        <v>0</v>
      </c>
      <c r="T12" s="126" t="n">
        <f aca="false">L12/$R$3</f>
        <v>0</v>
      </c>
      <c r="U12" s="126" t="n">
        <f aca="false">I12/$R$3</f>
        <v>0</v>
      </c>
      <c r="V12" s="126" t="n">
        <f aca="false">M12/$R$3</f>
        <v>0</v>
      </c>
      <c r="W12" s="126" t="n">
        <f aca="false">N12/$R$3</f>
        <v>0</v>
      </c>
    </row>
    <row r="13" customFormat="false" ht="12.75" hidden="true" customHeight="false" outlineLevel="0" collapsed="false">
      <c r="A13" s="120" t="n">
        <f aca="false">A12+1</f>
        <v>36899</v>
      </c>
      <c r="B13" s="131" t="str">
        <f aca="false">INDEX('Master Data'!$A$2:$B$8,MATCH(WEEKDAY(ELETROBOLT!A13,3),'Master Data'!$A$2:$A$8,0),2)</f>
        <v>M</v>
      </c>
      <c r="D13" s="124" t="n">
        <v>0</v>
      </c>
      <c r="E13" s="124" t="n">
        <v>0</v>
      </c>
      <c r="F13" s="124" t="n">
        <v>0</v>
      </c>
      <c r="G13" s="124" t="n">
        <v>0</v>
      </c>
      <c r="I13" s="124" t="n">
        <f aca="false">IF(MONTH($A13)=MONTH($A12),IF(G13=0,I12,G13),0)</f>
        <v>0</v>
      </c>
      <c r="J13" s="124" t="n">
        <f aca="false">IF(MONTH($A13)=MONTH($A12),SUM(I13-I12),I13)</f>
        <v>0</v>
      </c>
      <c r="K13" s="124" t="n">
        <f aca="false">IF(WEEKDAY(A13,3)&gt;4,0,(IF(A13&lt;K$2,0,IF(A13&lt;=K$3,1,0))))</f>
        <v>0</v>
      </c>
      <c r="L13" s="124" t="n">
        <f aca="false">J13*K13</f>
        <v>0</v>
      </c>
      <c r="M13" s="124" t="n">
        <f aca="false">SUM(J$6:J13)</f>
        <v>0</v>
      </c>
      <c r="N13" s="124" t="n">
        <f aca="false">SUM(J$6:J13)</f>
        <v>0</v>
      </c>
      <c r="P13" s="124" t="n">
        <f aca="false">D13/P$3</f>
        <v>0</v>
      </c>
      <c r="Q13" s="124" t="n">
        <f aca="false">E13/P$3</f>
        <v>0</v>
      </c>
      <c r="R13" s="124" t="n">
        <f aca="false">F13/R$3</f>
        <v>0</v>
      </c>
      <c r="S13" s="126" t="n">
        <f aca="false">J13/$R$3</f>
        <v>0</v>
      </c>
      <c r="T13" s="126" t="n">
        <f aca="false">L13/$R$3</f>
        <v>0</v>
      </c>
      <c r="U13" s="126" t="n">
        <f aca="false">I13/$R$3</f>
        <v>0</v>
      </c>
      <c r="V13" s="126" t="n">
        <f aca="false">M13/$R$3</f>
        <v>0</v>
      </c>
      <c r="W13" s="126" t="n">
        <f aca="false">N13/$R$3</f>
        <v>0</v>
      </c>
    </row>
    <row r="14" customFormat="false" ht="12.75" hidden="true" customHeight="false" outlineLevel="0" collapsed="false">
      <c r="A14" s="120" t="n">
        <f aca="false">A13+1</f>
        <v>36900</v>
      </c>
      <c r="B14" s="131" t="str">
        <f aca="false">INDEX('Master Data'!$A$2:$B$8,MATCH(WEEKDAY(ELETROBOLT!A14,3),'Master Data'!$A$2:$A$8,0),2)</f>
        <v>T</v>
      </c>
      <c r="D14" s="124" t="n">
        <v>0</v>
      </c>
      <c r="E14" s="124" t="n">
        <v>0</v>
      </c>
      <c r="F14" s="124" t="n">
        <v>0</v>
      </c>
      <c r="G14" s="124" t="n">
        <v>0</v>
      </c>
      <c r="I14" s="124" t="n">
        <f aca="false">IF(MONTH($A14)=MONTH($A13),IF(G14=0,I13,G14),0)</f>
        <v>0</v>
      </c>
      <c r="J14" s="124" t="n">
        <f aca="false">IF(MONTH($A14)=MONTH($A13),SUM(I14-I13),I14)</f>
        <v>0</v>
      </c>
      <c r="K14" s="124" t="n">
        <f aca="false">IF(WEEKDAY(A14,3)&gt;4,0,(IF(A14&lt;K$2,0,IF(A14&lt;=K$3,1,0))))</f>
        <v>0</v>
      </c>
      <c r="L14" s="124" t="n">
        <f aca="false">J14*K14</f>
        <v>0</v>
      </c>
      <c r="M14" s="124" t="n">
        <f aca="false">SUM(J$6:J14)</f>
        <v>0</v>
      </c>
      <c r="N14" s="124" t="n">
        <f aca="false">SUM(J$6:J14)</f>
        <v>0</v>
      </c>
      <c r="P14" s="124" t="n">
        <f aca="false">D14/P$3</f>
        <v>0</v>
      </c>
      <c r="Q14" s="124" t="n">
        <f aca="false">E14/P$3</f>
        <v>0</v>
      </c>
      <c r="R14" s="124" t="n">
        <f aca="false">F14/R$3</f>
        <v>0</v>
      </c>
      <c r="S14" s="126" t="n">
        <f aca="false">J14/$R$3</f>
        <v>0</v>
      </c>
      <c r="T14" s="126" t="n">
        <f aca="false">L14/$R$3</f>
        <v>0</v>
      </c>
      <c r="U14" s="126" t="n">
        <f aca="false">I14/$R$3</f>
        <v>0</v>
      </c>
      <c r="V14" s="126" t="n">
        <f aca="false">M14/$R$3</f>
        <v>0</v>
      </c>
      <c r="W14" s="126" t="n">
        <f aca="false">N14/$R$3</f>
        <v>0</v>
      </c>
    </row>
    <row r="15" customFormat="false" ht="12.75" hidden="true" customHeight="false" outlineLevel="0" collapsed="false">
      <c r="A15" s="120" t="n">
        <f aca="false">A14+1</f>
        <v>36901</v>
      </c>
      <c r="B15" s="131" t="str">
        <f aca="false">INDEX('Master Data'!$A$2:$B$8,MATCH(WEEKDAY(ELETROBOLT!A15,3),'Master Data'!$A$2:$A$8,0),2)</f>
        <v>W</v>
      </c>
      <c r="D15" s="124" t="n">
        <v>0</v>
      </c>
      <c r="E15" s="124" t="n">
        <v>0</v>
      </c>
      <c r="F15" s="124" t="n">
        <v>0</v>
      </c>
      <c r="G15" s="124" t="n">
        <v>0</v>
      </c>
      <c r="I15" s="124" t="n">
        <f aca="false">IF(MONTH($A15)=MONTH($A14),IF(G15=0,I14,G15),0)</f>
        <v>0</v>
      </c>
      <c r="J15" s="124" t="n">
        <f aca="false">IF(MONTH($A15)=MONTH($A14),SUM(I15-I14),I15)</f>
        <v>0</v>
      </c>
      <c r="K15" s="124" t="n">
        <f aca="false">IF(WEEKDAY(A15,3)&gt;4,0,(IF(A15&lt;K$2,0,IF(A15&lt;=K$3,1,0))))</f>
        <v>0</v>
      </c>
      <c r="L15" s="124" t="n">
        <f aca="false">J15*K15</f>
        <v>0</v>
      </c>
      <c r="M15" s="124" t="n">
        <f aca="false">SUM(J$6:J15)</f>
        <v>0</v>
      </c>
      <c r="N15" s="124" t="n">
        <f aca="false">SUM(J$6:J15)</f>
        <v>0</v>
      </c>
      <c r="P15" s="124" t="n">
        <f aca="false">D15/P$3</f>
        <v>0</v>
      </c>
      <c r="Q15" s="124" t="n">
        <f aca="false">E15/P$3</f>
        <v>0</v>
      </c>
      <c r="R15" s="124" t="n">
        <f aca="false">F15/R$3</f>
        <v>0</v>
      </c>
      <c r="S15" s="126" t="n">
        <f aca="false">J15/$R$3</f>
        <v>0</v>
      </c>
      <c r="T15" s="126" t="n">
        <f aca="false">L15/$R$3</f>
        <v>0</v>
      </c>
      <c r="U15" s="126" t="n">
        <f aca="false">I15/$R$3</f>
        <v>0</v>
      </c>
      <c r="V15" s="126" t="n">
        <f aca="false">M15/$R$3</f>
        <v>0</v>
      </c>
      <c r="W15" s="126" t="n">
        <f aca="false">N15/$R$3</f>
        <v>0</v>
      </c>
    </row>
    <row r="16" customFormat="false" ht="12.75" hidden="true" customHeight="false" outlineLevel="0" collapsed="false">
      <c r="A16" s="120" t="n">
        <f aca="false">A15+1</f>
        <v>36902</v>
      </c>
      <c r="B16" s="131" t="str">
        <f aca="false">INDEX('Master Data'!$A$2:$B$8,MATCH(WEEKDAY(ELETROBOLT!A16,3),'Master Data'!$A$2:$A$8,0),2)</f>
        <v>Th</v>
      </c>
      <c r="D16" s="124" t="n">
        <v>0</v>
      </c>
      <c r="E16" s="124" t="n">
        <v>0</v>
      </c>
      <c r="F16" s="124" t="n">
        <v>0</v>
      </c>
      <c r="G16" s="124" t="n">
        <v>0</v>
      </c>
      <c r="I16" s="124" t="n">
        <f aca="false">IF(MONTH($A16)=MONTH($A15),IF(G16=0,I15,G16),0)</f>
        <v>0</v>
      </c>
      <c r="J16" s="124" t="n">
        <f aca="false">IF(MONTH($A16)=MONTH($A15),SUM(I16-I15),I16)</f>
        <v>0</v>
      </c>
      <c r="K16" s="124" t="n">
        <f aca="false">IF(WEEKDAY(A16,3)&gt;4,0,(IF(A16&lt;K$2,0,IF(A16&lt;=K$3,1,0))))</f>
        <v>0</v>
      </c>
      <c r="L16" s="124" t="n">
        <f aca="false">J16*K16</f>
        <v>0</v>
      </c>
      <c r="M16" s="124" t="n">
        <f aca="false">SUM(J$6:J16)</f>
        <v>0</v>
      </c>
      <c r="N16" s="124" t="n">
        <f aca="false">SUM(J$6:J16)</f>
        <v>0</v>
      </c>
      <c r="P16" s="124" t="n">
        <f aca="false">D16/P$3</f>
        <v>0</v>
      </c>
      <c r="Q16" s="124" t="n">
        <f aca="false">E16/P$3</f>
        <v>0</v>
      </c>
      <c r="R16" s="124" t="n">
        <f aca="false">F16/R$3</f>
        <v>0</v>
      </c>
      <c r="S16" s="126" t="n">
        <f aca="false">J16/$R$3</f>
        <v>0</v>
      </c>
      <c r="T16" s="126" t="n">
        <f aca="false">L16/$R$3</f>
        <v>0</v>
      </c>
      <c r="U16" s="126" t="n">
        <f aca="false">I16/$R$3</f>
        <v>0</v>
      </c>
      <c r="V16" s="126" t="n">
        <f aca="false">M16/$R$3</f>
        <v>0</v>
      </c>
      <c r="W16" s="126" t="n">
        <f aca="false">N16/$R$3</f>
        <v>0</v>
      </c>
    </row>
    <row r="17" customFormat="false" ht="12.75" hidden="true" customHeight="false" outlineLevel="0" collapsed="false">
      <c r="A17" s="120" t="n">
        <f aca="false">A16+1</f>
        <v>36903</v>
      </c>
      <c r="B17" s="131" t="str">
        <f aca="false">INDEX('Master Data'!$A$2:$B$8,MATCH(WEEKDAY(ELETROBOLT!A17,3),'Master Data'!$A$2:$A$8,0),2)</f>
        <v>F</v>
      </c>
      <c r="D17" s="124" t="n">
        <v>0</v>
      </c>
      <c r="E17" s="124" t="n">
        <v>0</v>
      </c>
      <c r="F17" s="124" t="n">
        <v>0</v>
      </c>
      <c r="G17" s="124" t="n">
        <v>0</v>
      </c>
      <c r="I17" s="124" t="n">
        <f aca="false">IF(MONTH($A17)=MONTH($A16),IF(G17=0,I16,G17),0)</f>
        <v>0</v>
      </c>
      <c r="J17" s="124" t="n">
        <f aca="false">IF(MONTH($A17)=MONTH($A16),SUM(I17-I16),I17)</f>
        <v>0</v>
      </c>
      <c r="K17" s="124" t="n">
        <f aca="false">IF(WEEKDAY(A17,3)&gt;4,0,(IF(A17&lt;K$2,0,IF(A17&lt;=K$3,1,0))))</f>
        <v>0</v>
      </c>
      <c r="L17" s="124" t="n">
        <f aca="false">J17*K17</f>
        <v>0</v>
      </c>
      <c r="M17" s="124" t="n">
        <f aca="false">SUM(J$6:J17)</f>
        <v>0</v>
      </c>
      <c r="N17" s="124" t="n">
        <f aca="false">SUM(J$6:J17)</f>
        <v>0</v>
      </c>
      <c r="P17" s="124" t="n">
        <f aca="false">D17/P$3</f>
        <v>0</v>
      </c>
      <c r="Q17" s="124" t="n">
        <f aca="false">E17/P$3</f>
        <v>0</v>
      </c>
      <c r="R17" s="124" t="n">
        <f aca="false">F17/R$3</f>
        <v>0</v>
      </c>
      <c r="S17" s="126" t="n">
        <f aca="false">J17/$R$3</f>
        <v>0</v>
      </c>
      <c r="T17" s="126" t="n">
        <f aca="false">L17/$R$3</f>
        <v>0</v>
      </c>
      <c r="U17" s="126" t="n">
        <f aca="false">I17/$R$3</f>
        <v>0</v>
      </c>
      <c r="V17" s="126" t="n">
        <f aca="false">M17/$R$3</f>
        <v>0</v>
      </c>
      <c r="W17" s="126" t="n">
        <f aca="false">N17/$R$3</f>
        <v>0</v>
      </c>
    </row>
    <row r="18" customFormat="false" ht="12.75" hidden="true" customHeight="false" outlineLevel="0" collapsed="false">
      <c r="A18" s="120" t="n">
        <f aca="false">A17+1</f>
        <v>36904</v>
      </c>
      <c r="B18" s="131" t="str">
        <f aca="false">INDEX('Master Data'!$A$2:$B$8,MATCH(WEEKDAY(ELETROBOLT!A18,3),'Master Data'!$A$2:$A$8,0),2)</f>
        <v>Sa</v>
      </c>
      <c r="D18" s="124" t="n">
        <v>0</v>
      </c>
      <c r="E18" s="124" t="n">
        <v>0</v>
      </c>
      <c r="F18" s="124" t="n">
        <v>0</v>
      </c>
      <c r="G18" s="124" t="n">
        <v>0</v>
      </c>
      <c r="I18" s="124" t="n">
        <f aca="false">IF(MONTH($A18)=MONTH($A17),IF(G18=0,I17,G18),0)</f>
        <v>0</v>
      </c>
      <c r="J18" s="124" t="n">
        <f aca="false">IF(MONTH($A18)=MONTH($A17),SUM(I18-I17),I18)</f>
        <v>0</v>
      </c>
      <c r="K18" s="124" t="n">
        <f aca="false">IF(WEEKDAY(A18,3)&gt;4,0,(IF(A18&lt;K$2,0,IF(A18&lt;=K$3,1,0))))</f>
        <v>0</v>
      </c>
      <c r="L18" s="124" t="n">
        <f aca="false">J18*K18</f>
        <v>0</v>
      </c>
      <c r="M18" s="124" t="n">
        <f aca="false">SUM(J$6:J18)</f>
        <v>0</v>
      </c>
      <c r="N18" s="124" t="n">
        <f aca="false">SUM(J$6:J18)</f>
        <v>0</v>
      </c>
      <c r="P18" s="124" t="n">
        <f aca="false">D18/P$3</f>
        <v>0</v>
      </c>
      <c r="Q18" s="124" t="n">
        <f aca="false">E18/P$3</f>
        <v>0</v>
      </c>
      <c r="R18" s="124" t="n">
        <f aca="false">F18/R$3</f>
        <v>0</v>
      </c>
      <c r="S18" s="126" t="n">
        <f aca="false">J18/$R$3</f>
        <v>0</v>
      </c>
      <c r="T18" s="126" t="n">
        <f aca="false">L18/$R$3</f>
        <v>0</v>
      </c>
      <c r="U18" s="126" t="n">
        <f aca="false">I18/$R$3</f>
        <v>0</v>
      </c>
      <c r="V18" s="126" t="n">
        <f aca="false">M18/$R$3</f>
        <v>0</v>
      </c>
      <c r="W18" s="126" t="n">
        <f aca="false">N18/$R$3</f>
        <v>0</v>
      </c>
    </row>
    <row r="19" customFormat="false" ht="12.75" hidden="true" customHeight="false" outlineLevel="0" collapsed="false">
      <c r="A19" s="120" t="n">
        <f aca="false">A18+1</f>
        <v>36905</v>
      </c>
      <c r="B19" s="131" t="str">
        <f aca="false">INDEX('Master Data'!$A$2:$B$8,MATCH(WEEKDAY(ELETROBOLT!A19,3),'Master Data'!$A$2:$A$8,0),2)</f>
        <v>Su</v>
      </c>
      <c r="D19" s="124" t="n">
        <v>0</v>
      </c>
      <c r="E19" s="124" t="n">
        <v>0</v>
      </c>
      <c r="F19" s="124" t="n">
        <v>0</v>
      </c>
      <c r="G19" s="124" t="n">
        <v>0</v>
      </c>
      <c r="I19" s="124" t="n">
        <f aca="false">IF(MONTH($A19)=MONTH($A18),IF(G19=0,I18,G19),0)</f>
        <v>0</v>
      </c>
      <c r="J19" s="124" t="n">
        <f aca="false">IF(MONTH($A19)=MONTH($A18),SUM(I19-I18),I19)</f>
        <v>0</v>
      </c>
      <c r="K19" s="124" t="n">
        <f aca="false">IF(WEEKDAY(A19,3)&gt;4,0,(IF(A19&lt;K$2,0,IF(A19&lt;=K$3,1,0))))</f>
        <v>0</v>
      </c>
      <c r="L19" s="124" t="n">
        <f aca="false">J19*K19</f>
        <v>0</v>
      </c>
      <c r="M19" s="124" t="n">
        <f aca="false">SUM(J$6:J19)</f>
        <v>0</v>
      </c>
      <c r="N19" s="124" t="n">
        <f aca="false">SUM(J$6:J19)</f>
        <v>0</v>
      </c>
      <c r="P19" s="124" t="n">
        <f aca="false">D19/P$3</f>
        <v>0</v>
      </c>
      <c r="Q19" s="124" t="n">
        <f aca="false">E19/P$3</f>
        <v>0</v>
      </c>
      <c r="R19" s="124" t="n">
        <f aca="false">F19/R$3</f>
        <v>0</v>
      </c>
      <c r="S19" s="126" t="n">
        <f aca="false">J19/$R$3</f>
        <v>0</v>
      </c>
      <c r="T19" s="126" t="n">
        <f aca="false">L19/$R$3</f>
        <v>0</v>
      </c>
      <c r="U19" s="126" t="n">
        <f aca="false">I19/$R$3</f>
        <v>0</v>
      </c>
      <c r="V19" s="126" t="n">
        <f aca="false">M19/$R$3</f>
        <v>0</v>
      </c>
      <c r="W19" s="126" t="n">
        <f aca="false">N19/$R$3</f>
        <v>0</v>
      </c>
    </row>
    <row r="20" customFormat="false" ht="12.75" hidden="true" customHeight="false" outlineLevel="0" collapsed="false">
      <c r="A20" s="120" t="n">
        <f aca="false">A19+1</f>
        <v>36906</v>
      </c>
      <c r="B20" s="131" t="str">
        <f aca="false">INDEX('Master Data'!$A$2:$B$8,MATCH(WEEKDAY(ELETROBOLT!A20,3),'Master Data'!$A$2:$A$8,0),2)</f>
        <v>M</v>
      </c>
      <c r="D20" s="124" t="n">
        <v>0</v>
      </c>
      <c r="E20" s="124" t="n">
        <v>0</v>
      </c>
      <c r="F20" s="124" t="n">
        <v>0</v>
      </c>
      <c r="G20" s="124" t="n">
        <v>0</v>
      </c>
      <c r="I20" s="124" t="n">
        <f aca="false">IF(MONTH($A20)=MONTH($A19),IF(G20=0,I19,G20),0)</f>
        <v>0</v>
      </c>
      <c r="J20" s="124" t="n">
        <f aca="false">IF(MONTH($A20)=MONTH($A19),SUM(I20-I19),I20)</f>
        <v>0</v>
      </c>
      <c r="K20" s="124" t="n">
        <f aca="false">IF(WEEKDAY(A20,3)&gt;4,0,(IF(A20&lt;K$2,0,IF(A20&lt;=K$3,1,0))))</f>
        <v>0</v>
      </c>
      <c r="L20" s="124" t="n">
        <f aca="false">J20*K20</f>
        <v>0</v>
      </c>
      <c r="M20" s="124" t="n">
        <f aca="false">SUM(J$6:J20)</f>
        <v>0</v>
      </c>
      <c r="N20" s="124" t="n">
        <f aca="false">SUM(J$6:J20)</f>
        <v>0</v>
      </c>
      <c r="P20" s="124" t="n">
        <f aca="false">D20/P$3</f>
        <v>0</v>
      </c>
      <c r="Q20" s="124" t="n">
        <f aca="false">E20/P$3</f>
        <v>0</v>
      </c>
      <c r="R20" s="124" t="n">
        <f aca="false">F20/R$3</f>
        <v>0</v>
      </c>
      <c r="S20" s="126" t="n">
        <f aca="false">J20/$R$3</f>
        <v>0</v>
      </c>
      <c r="T20" s="126" t="n">
        <f aca="false">L20/$R$3</f>
        <v>0</v>
      </c>
      <c r="U20" s="126" t="n">
        <f aca="false">I20/$R$3</f>
        <v>0</v>
      </c>
      <c r="V20" s="126" t="n">
        <f aca="false">M20/$R$3</f>
        <v>0</v>
      </c>
      <c r="W20" s="126" t="n">
        <f aca="false">N20/$R$3</f>
        <v>0</v>
      </c>
    </row>
    <row r="21" customFormat="false" ht="12.75" hidden="true" customHeight="false" outlineLevel="0" collapsed="false">
      <c r="A21" s="120" t="n">
        <f aca="false">A20+1</f>
        <v>36907</v>
      </c>
      <c r="B21" s="131" t="str">
        <f aca="false">INDEX('Master Data'!$A$2:$B$8,MATCH(WEEKDAY(ELETROBOLT!A21,3),'Master Data'!$A$2:$A$8,0),2)</f>
        <v>T</v>
      </c>
      <c r="D21" s="124" t="n">
        <v>0</v>
      </c>
      <c r="E21" s="124" t="n">
        <v>0</v>
      </c>
      <c r="F21" s="124" t="n">
        <v>0</v>
      </c>
      <c r="G21" s="124" t="n">
        <v>0</v>
      </c>
      <c r="I21" s="124" t="n">
        <f aca="false">IF(MONTH($A21)=MONTH($A20),IF(G21=0,I20,G21),0)</f>
        <v>0</v>
      </c>
      <c r="J21" s="124" t="n">
        <f aca="false">IF(MONTH($A21)=MONTH($A20),SUM(I21-I20),I21)</f>
        <v>0</v>
      </c>
      <c r="K21" s="124" t="n">
        <f aca="false">IF(WEEKDAY(A21,3)&gt;4,0,(IF(A21&lt;K$2,0,IF(A21&lt;=K$3,1,0))))</f>
        <v>0</v>
      </c>
      <c r="L21" s="124" t="n">
        <f aca="false">J21*K21</f>
        <v>0</v>
      </c>
      <c r="M21" s="124" t="n">
        <f aca="false">SUM(J$6:J21)</f>
        <v>0</v>
      </c>
      <c r="N21" s="124" t="n">
        <f aca="false">SUM(J$6:J21)</f>
        <v>0</v>
      </c>
      <c r="P21" s="124" t="n">
        <f aca="false">D21/P$3</f>
        <v>0</v>
      </c>
      <c r="Q21" s="124" t="n">
        <f aca="false">E21/P$3</f>
        <v>0</v>
      </c>
      <c r="R21" s="124" t="n">
        <f aca="false">F21/R$3</f>
        <v>0</v>
      </c>
      <c r="S21" s="126" t="n">
        <f aca="false">J21/$R$3</f>
        <v>0</v>
      </c>
      <c r="T21" s="126" t="n">
        <f aca="false">L21/$R$3</f>
        <v>0</v>
      </c>
      <c r="U21" s="126" t="n">
        <f aca="false">I21/$R$3</f>
        <v>0</v>
      </c>
      <c r="V21" s="126" t="n">
        <f aca="false">M21/$R$3</f>
        <v>0</v>
      </c>
      <c r="W21" s="126" t="n">
        <f aca="false">N21/$R$3</f>
        <v>0</v>
      </c>
    </row>
    <row r="22" customFormat="false" ht="12.75" hidden="true" customHeight="false" outlineLevel="0" collapsed="false">
      <c r="A22" s="120" t="n">
        <f aca="false">A21+1</f>
        <v>36908</v>
      </c>
      <c r="B22" s="131" t="str">
        <f aca="false">INDEX('Master Data'!$A$2:$B$8,MATCH(WEEKDAY(ELETROBOLT!A22,3),'Master Data'!$A$2:$A$8,0),2)</f>
        <v>W</v>
      </c>
      <c r="D22" s="124" t="n">
        <v>0</v>
      </c>
      <c r="E22" s="124" t="n">
        <v>0</v>
      </c>
      <c r="F22" s="124" t="n">
        <v>0</v>
      </c>
      <c r="G22" s="124" t="n">
        <v>0</v>
      </c>
      <c r="I22" s="124" t="n">
        <f aca="false">IF(MONTH($A22)=MONTH($A21),IF(G22=0,I21,G22),0)</f>
        <v>0</v>
      </c>
      <c r="J22" s="124" t="n">
        <f aca="false">IF(MONTH($A22)=MONTH($A21),SUM(I22-I21),I22)</f>
        <v>0</v>
      </c>
      <c r="K22" s="124" t="n">
        <f aca="false">IF(WEEKDAY(A22,3)&gt;4,0,(IF(A22&lt;K$2,0,IF(A22&lt;=K$3,1,0))))</f>
        <v>0</v>
      </c>
      <c r="L22" s="124" t="n">
        <f aca="false">J22*K22</f>
        <v>0</v>
      </c>
      <c r="M22" s="124" t="n">
        <f aca="false">SUM(J$6:J22)</f>
        <v>0</v>
      </c>
      <c r="N22" s="124" t="n">
        <f aca="false">SUM(J$6:J22)</f>
        <v>0</v>
      </c>
      <c r="P22" s="124" t="n">
        <f aca="false">D22/P$3</f>
        <v>0</v>
      </c>
      <c r="Q22" s="124" t="n">
        <f aca="false">E22/P$3</f>
        <v>0</v>
      </c>
      <c r="R22" s="124" t="n">
        <f aca="false">F22/R$3</f>
        <v>0</v>
      </c>
      <c r="S22" s="126" t="n">
        <f aca="false">J22/$R$3</f>
        <v>0</v>
      </c>
      <c r="T22" s="126" t="n">
        <f aca="false">L22/$R$3</f>
        <v>0</v>
      </c>
      <c r="U22" s="126" t="n">
        <f aca="false">I22/$R$3</f>
        <v>0</v>
      </c>
      <c r="V22" s="126" t="n">
        <f aca="false">M22/$R$3</f>
        <v>0</v>
      </c>
      <c r="W22" s="126" t="n">
        <f aca="false">N22/$R$3</f>
        <v>0</v>
      </c>
    </row>
    <row r="23" customFormat="false" ht="12.75" hidden="true" customHeight="false" outlineLevel="0" collapsed="false">
      <c r="A23" s="120" t="n">
        <f aca="false">A22+1</f>
        <v>36909</v>
      </c>
      <c r="B23" s="131" t="str">
        <f aca="false">INDEX('Master Data'!$A$2:$B$8,MATCH(WEEKDAY(ELETROBOLT!A23,3),'Master Data'!$A$2:$A$8,0),2)</f>
        <v>Th</v>
      </c>
      <c r="D23" s="124" t="n">
        <v>0</v>
      </c>
      <c r="E23" s="124" t="n">
        <v>0</v>
      </c>
      <c r="F23" s="124" t="n">
        <v>0</v>
      </c>
      <c r="G23" s="124" t="n">
        <v>0</v>
      </c>
      <c r="I23" s="124" t="n">
        <f aca="false">IF(MONTH($A23)=MONTH($A22),IF(G23=0,I22,G23),0)</f>
        <v>0</v>
      </c>
      <c r="J23" s="124" t="n">
        <f aca="false">IF(MONTH($A23)=MONTH($A22),SUM(I23-I22),I23)</f>
        <v>0</v>
      </c>
      <c r="K23" s="124" t="n">
        <f aca="false">IF(WEEKDAY(A23,3)&gt;4,0,(IF(A23&lt;K$2,0,IF(A23&lt;=K$3,1,0))))</f>
        <v>0</v>
      </c>
      <c r="L23" s="124" t="n">
        <f aca="false">J23*K23</f>
        <v>0</v>
      </c>
      <c r="M23" s="124" t="n">
        <f aca="false">SUM(J$6:J23)</f>
        <v>0</v>
      </c>
      <c r="N23" s="124" t="n">
        <f aca="false">SUM(J$6:J23)</f>
        <v>0</v>
      </c>
      <c r="P23" s="124" t="n">
        <f aca="false">D23/P$3</f>
        <v>0</v>
      </c>
      <c r="Q23" s="124" t="n">
        <f aca="false">E23/P$3</f>
        <v>0</v>
      </c>
      <c r="R23" s="124" t="n">
        <f aca="false">F23/R$3</f>
        <v>0</v>
      </c>
      <c r="S23" s="126" t="n">
        <f aca="false">J23/$R$3</f>
        <v>0</v>
      </c>
      <c r="T23" s="126" t="n">
        <f aca="false">L23/$R$3</f>
        <v>0</v>
      </c>
      <c r="U23" s="126" t="n">
        <f aca="false">I23/$R$3</f>
        <v>0</v>
      </c>
      <c r="V23" s="126" t="n">
        <f aca="false">M23/$R$3</f>
        <v>0</v>
      </c>
      <c r="W23" s="126" t="n">
        <f aca="false">N23/$R$3</f>
        <v>0</v>
      </c>
    </row>
    <row r="24" customFormat="false" ht="12.75" hidden="true" customHeight="false" outlineLevel="0" collapsed="false">
      <c r="A24" s="120" t="n">
        <f aca="false">A23+1</f>
        <v>36910</v>
      </c>
      <c r="B24" s="131" t="str">
        <f aca="false">INDEX('Master Data'!$A$2:$B$8,MATCH(WEEKDAY(ELETROBOLT!A24,3),'Master Data'!$A$2:$A$8,0),2)</f>
        <v>F</v>
      </c>
      <c r="D24" s="124" t="n">
        <v>0</v>
      </c>
      <c r="E24" s="124" t="n">
        <v>0</v>
      </c>
      <c r="F24" s="124" t="n">
        <v>0</v>
      </c>
      <c r="G24" s="124" t="n">
        <v>0</v>
      </c>
      <c r="I24" s="124" t="n">
        <f aca="false">IF(MONTH($A24)=MONTH($A23),IF(G24=0,I23,G24),0)</f>
        <v>0</v>
      </c>
      <c r="J24" s="124" t="n">
        <f aca="false">IF(MONTH($A24)=MONTH($A23),SUM(I24-I23),I24)</f>
        <v>0</v>
      </c>
      <c r="K24" s="124" t="n">
        <f aca="false">IF(WEEKDAY(A24,3)&gt;4,0,(IF(A24&lt;K$2,0,IF(A24&lt;=K$3,1,0))))</f>
        <v>0</v>
      </c>
      <c r="L24" s="124" t="n">
        <f aca="false">J24*K24</f>
        <v>0</v>
      </c>
      <c r="M24" s="124" t="n">
        <f aca="false">SUM(J$6:J24)</f>
        <v>0</v>
      </c>
      <c r="N24" s="124" t="n">
        <f aca="false">SUM(J$6:J24)</f>
        <v>0</v>
      </c>
      <c r="P24" s="124" t="n">
        <f aca="false">D24/P$3</f>
        <v>0</v>
      </c>
      <c r="Q24" s="124" t="n">
        <f aca="false">E24/P$3</f>
        <v>0</v>
      </c>
      <c r="R24" s="124" t="n">
        <f aca="false">F24/R$3</f>
        <v>0</v>
      </c>
      <c r="S24" s="126" t="n">
        <f aca="false">J24/$R$3</f>
        <v>0</v>
      </c>
      <c r="T24" s="126" t="n">
        <f aca="false">L24/$R$3</f>
        <v>0</v>
      </c>
      <c r="U24" s="126" t="n">
        <f aca="false">I24/$R$3</f>
        <v>0</v>
      </c>
      <c r="V24" s="126" t="n">
        <f aca="false">M24/$R$3</f>
        <v>0</v>
      </c>
      <c r="W24" s="126" t="n">
        <f aca="false">N24/$R$3</f>
        <v>0</v>
      </c>
    </row>
    <row r="25" customFormat="false" ht="12.75" hidden="true" customHeight="false" outlineLevel="0" collapsed="false">
      <c r="A25" s="120" t="n">
        <f aca="false">A24+1</f>
        <v>36911</v>
      </c>
      <c r="B25" s="131" t="str">
        <f aca="false">INDEX('Master Data'!$A$2:$B$8,MATCH(WEEKDAY(ELETROBOLT!A25,3),'Master Data'!$A$2:$A$8,0),2)</f>
        <v>Sa</v>
      </c>
      <c r="D25" s="124" t="n">
        <v>0</v>
      </c>
      <c r="E25" s="124" t="n">
        <v>0</v>
      </c>
      <c r="F25" s="124" t="n">
        <v>0</v>
      </c>
      <c r="G25" s="124" t="n">
        <v>0</v>
      </c>
      <c r="I25" s="124" t="n">
        <f aca="false">IF(MONTH($A25)=MONTH($A24),IF(G25=0,I24,G25),0)</f>
        <v>0</v>
      </c>
      <c r="J25" s="124" t="n">
        <f aca="false">IF(MONTH($A25)=MONTH($A24),SUM(I25-I24),I25)</f>
        <v>0</v>
      </c>
      <c r="K25" s="124" t="n">
        <f aca="false">IF(WEEKDAY(A25,3)&gt;4,0,(IF(A25&lt;K$2,0,IF(A25&lt;=K$3,1,0))))</f>
        <v>0</v>
      </c>
      <c r="L25" s="124" t="n">
        <f aca="false">J25*K25</f>
        <v>0</v>
      </c>
      <c r="M25" s="124" t="n">
        <f aca="false">SUM(J$6:J25)</f>
        <v>0</v>
      </c>
      <c r="N25" s="124" t="n">
        <f aca="false">SUM(J$6:J25)</f>
        <v>0</v>
      </c>
      <c r="P25" s="124" t="n">
        <f aca="false">D25/P$3</f>
        <v>0</v>
      </c>
      <c r="Q25" s="124" t="n">
        <f aca="false">E25/P$3</f>
        <v>0</v>
      </c>
      <c r="R25" s="124" t="n">
        <f aca="false">F25/R$3</f>
        <v>0</v>
      </c>
      <c r="S25" s="126" t="n">
        <f aca="false">J25/$R$3</f>
        <v>0</v>
      </c>
      <c r="T25" s="126" t="n">
        <f aca="false">L25/$R$3</f>
        <v>0</v>
      </c>
      <c r="U25" s="126" t="n">
        <f aca="false">I25/$R$3</f>
        <v>0</v>
      </c>
      <c r="V25" s="126" t="n">
        <f aca="false">M25/$R$3</f>
        <v>0</v>
      </c>
      <c r="W25" s="126" t="n">
        <f aca="false">N25/$R$3</f>
        <v>0</v>
      </c>
    </row>
    <row r="26" customFormat="false" ht="12.75" hidden="true" customHeight="false" outlineLevel="0" collapsed="false">
      <c r="A26" s="120" t="n">
        <f aca="false">A25+1</f>
        <v>36912</v>
      </c>
      <c r="B26" s="131" t="str">
        <f aca="false">INDEX('Master Data'!$A$2:$B$8,MATCH(WEEKDAY(ELETROBOLT!A26,3),'Master Data'!$A$2:$A$8,0),2)</f>
        <v>Su</v>
      </c>
      <c r="D26" s="124" t="n">
        <v>0</v>
      </c>
      <c r="E26" s="124" t="n">
        <v>0</v>
      </c>
      <c r="F26" s="124" t="n">
        <v>0</v>
      </c>
      <c r="G26" s="124" t="n">
        <v>0</v>
      </c>
      <c r="I26" s="124" t="n">
        <f aca="false">IF(MONTH($A26)=MONTH($A25),IF(G26=0,I25,G26),0)</f>
        <v>0</v>
      </c>
      <c r="J26" s="124" t="n">
        <f aca="false">IF(MONTH($A26)=MONTH($A25),SUM(I26-I25),I26)</f>
        <v>0</v>
      </c>
      <c r="K26" s="124" t="n">
        <f aca="false">IF(WEEKDAY(A26,3)&gt;4,0,(IF(A26&lt;K$2,0,IF(A26&lt;=K$3,1,0))))</f>
        <v>0</v>
      </c>
      <c r="L26" s="124" t="n">
        <f aca="false">J26*K26</f>
        <v>0</v>
      </c>
      <c r="M26" s="124" t="n">
        <f aca="false">SUM(J$6:J26)</f>
        <v>0</v>
      </c>
      <c r="N26" s="124" t="n">
        <f aca="false">SUM(J$6:J26)</f>
        <v>0</v>
      </c>
      <c r="P26" s="124" t="n">
        <f aca="false">D26/P$3</f>
        <v>0</v>
      </c>
      <c r="Q26" s="124" t="n">
        <f aca="false">E26/P$3</f>
        <v>0</v>
      </c>
      <c r="R26" s="124" t="n">
        <f aca="false">F26/R$3</f>
        <v>0</v>
      </c>
      <c r="S26" s="126" t="n">
        <f aca="false">J26/$R$3</f>
        <v>0</v>
      </c>
      <c r="T26" s="126" t="n">
        <f aca="false">L26/$R$3</f>
        <v>0</v>
      </c>
      <c r="U26" s="126" t="n">
        <f aca="false">I26/$R$3</f>
        <v>0</v>
      </c>
      <c r="V26" s="126" t="n">
        <f aca="false">M26/$R$3</f>
        <v>0</v>
      </c>
      <c r="W26" s="126" t="n">
        <f aca="false">N26/$R$3</f>
        <v>0</v>
      </c>
    </row>
    <row r="27" customFormat="false" ht="12.75" hidden="true" customHeight="false" outlineLevel="0" collapsed="false">
      <c r="A27" s="120" t="n">
        <f aca="false">A26+1</f>
        <v>36913</v>
      </c>
      <c r="B27" s="131" t="str">
        <f aca="false">INDEX('Master Data'!$A$2:$B$8,MATCH(WEEKDAY(ELETROBOLT!A27,3),'Master Data'!$A$2:$A$8,0),2)</f>
        <v>M</v>
      </c>
      <c r="D27" s="124" t="n">
        <v>0</v>
      </c>
      <c r="E27" s="124" t="n">
        <v>0</v>
      </c>
      <c r="F27" s="124" t="n">
        <v>0</v>
      </c>
      <c r="G27" s="124" t="n">
        <v>0</v>
      </c>
      <c r="I27" s="124" t="n">
        <f aca="false">IF(MONTH($A27)=MONTH($A26),IF(G27=0,I26,G27),0)</f>
        <v>0</v>
      </c>
      <c r="J27" s="124" t="n">
        <f aca="false">IF(MONTH($A27)=MONTH($A26),SUM(I27-I26),I27)</f>
        <v>0</v>
      </c>
      <c r="K27" s="124" t="n">
        <f aca="false">IF(WEEKDAY(A27,3)&gt;4,0,(IF(A27&lt;K$2,0,IF(A27&lt;=K$3,1,0))))</f>
        <v>0</v>
      </c>
      <c r="L27" s="124" t="n">
        <f aca="false">J27*K27</f>
        <v>0</v>
      </c>
      <c r="M27" s="124" t="n">
        <f aca="false">SUM(J$6:J27)</f>
        <v>0</v>
      </c>
      <c r="N27" s="124" t="n">
        <f aca="false">SUM(J$6:J27)</f>
        <v>0</v>
      </c>
      <c r="P27" s="124" t="n">
        <f aca="false">D27/P$3</f>
        <v>0</v>
      </c>
      <c r="Q27" s="124" t="n">
        <f aca="false">E27/P$3</f>
        <v>0</v>
      </c>
      <c r="R27" s="124" t="n">
        <f aca="false">F27/R$3</f>
        <v>0</v>
      </c>
      <c r="S27" s="126" t="n">
        <f aca="false">J27/$R$3</f>
        <v>0</v>
      </c>
      <c r="T27" s="126" t="n">
        <f aca="false">L27/$R$3</f>
        <v>0</v>
      </c>
      <c r="U27" s="126" t="n">
        <f aca="false">I27/$R$3</f>
        <v>0</v>
      </c>
      <c r="V27" s="126" t="n">
        <f aca="false">M27/$R$3</f>
        <v>0</v>
      </c>
      <c r="W27" s="126" t="n">
        <f aca="false">N27/$R$3</f>
        <v>0</v>
      </c>
    </row>
    <row r="28" customFormat="false" ht="12.75" hidden="true" customHeight="false" outlineLevel="0" collapsed="false">
      <c r="A28" s="120" t="n">
        <f aca="false">A27+1</f>
        <v>36914</v>
      </c>
      <c r="B28" s="131" t="str">
        <f aca="false">INDEX('Master Data'!$A$2:$B$8,MATCH(WEEKDAY(ELETROBOLT!A28,3),'Master Data'!$A$2:$A$8,0),2)</f>
        <v>T</v>
      </c>
      <c r="D28" s="124" t="n">
        <v>0</v>
      </c>
      <c r="E28" s="124" t="n">
        <v>0</v>
      </c>
      <c r="F28" s="124" t="n">
        <v>0</v>
      </c>
      <c r="G28" s="124" t="n">
        <v>0</v>
      </c>
      <c r="I28" s="124" t="n">
        <f aca="false">IF(MONTH($A28)=MONTH($A27),IF(G28=0,I27,G28),0)</f>
        <v>0</v>
      </c>
      <c r="J28" s="124" t="n">
        <f aca="false">IF(MONTH($A28)=MONTH($A27),SUM(I28-I27),I28)</f>
        <v>0</v>
      </c>
      <c r="K28" s="124" t="n">
        <f aca="false">IF(WEEKDAY(A28,3)&gt;4,0,(IF(A28&lt;K$2,0,IF(A28&lt;=K$3,1,0))))</f>
        <v>0</v>
      </c>
      <c r="L28" s="124" t="n">
        <f aca="false">J28*K28</f>
        <v>0</v>
      </c>
      <c r="M28" s="124" t="n">
        <f aca="false">SUM(J$6:J28)</f>
        <v>0</v>
      </c>
      <c r="N28" s="124" t="n">
        <f aca="false">SUM(J$6:J28)</f>
        <v>0</v>
      </c>
      <c r="P28" s="124" t="n">
        <f aca="false">D28/P$3</f>
        <v>0</v>
      </c>
      <c r="Q28" s="124" t="n">
        <f aca="false">E28/P$3</f>
        <v>0</v>
      </c>
      <c r="R28" s="124" t="n">
        <f aca="false">F28/R$3</f>
        <v>0</v>
      </c>
      <c r="S28" s="126" t="n">
        <f aca="false">J28/$R$3</f>
        <v>0</v>
      </c>
      <c r="T28" s="126" t="n">
        <f aca="false">L28/$R$3</f>
        <v>0</v>
      </c>
      <c r="U28" s="126" t="n">
        <f aca="false">I28/$R$3</f>
        <v>0</v>
      </c>
      <c r="V28" s="126" t="n">
        <f aca="false">M28/$R$3</f>
        <v>0</v>
      </c>
      <c r="W28" s="126" t="n">
        <f aca="false">N28/$R$3</f>
        <v>0</v>
      </c>
    </row>
    <row r="29" customFormat="false" ht="12.75" hidden="true" customHeight="false" outlineLevel="0" collapsed="false">
      <c r="A29" s="120" t="n">
        <f aca="false">A28+1</f>
        <v>36915</v>
      </c>
      <c r="B29" s="131" t="str">
        <f aca="false">INDEX('Master Data'!$A$2:$B$8,MATCH(WEEKDAY(ELETROBOLT!A29,3),'Master Data'!$A$2:$A$8,0),2)</f>
        <v>W</v>
      </c>
      <c r="D29" s="124" t="n">
        <v>0</v>
      </c>
      <c r="E29" s="124" t="n">
        <v>0</v>
      </c>
      <c r="F29" s="124" t="n">
        <v>0</v>
      </c>
      <c r="G29" s="124" t="n">
        <v>0</v>
      </c>
      <c r="I29" s="124" t="n">
        <f aca="false">IF(MONTH($A29)=MONTH($A28),IF(G29=0,I28,G29),0)</f>
        <v>0</v>
      </c>
      <c r="J29" s="124" t="n">
        <f aca="false">IF(MONTH($A29)=MONTH($A28),SUM(I29-I28),I29)</f>
        <v>0</v>
      </c>
      <c r="K29" s="124" t="n">
        <f aca="false">IF(WEEKDAY(A29,3)&gt;4,0,(IF(A29&lt;K$2,0,IF(A29&lt;=K$3,1,0))))</f>
        <v>0</v>
      </c>
      <c r="L29" s="124" t="n">
        <f aca="false">J29*K29</f>
        <v>0</v>
      </c>
      <c r="M29" s="124" t="n">
        <f aca="false">SUM(J$6:J29)</f>
        <v>0</v>
      </c>
      <c r="N29" s="124" t="n">
        <f aca="false">SUM(J$6:J29)</f>
        <v>0</v>
      </c>
      <c r="P29" s="124" t="n">
        <f aca="false">D29/P$3</f>
        <v>0</v>
      </c>
      <c r="Q29" s="124" t="n">
        <f aca="false">E29/P$3</f>
        <v>0</v>
      </c>
      <c r="R29" s="124" t="n">
        <f aca="false">F29/R$3</f>
        <v>0</v>
      </c>
      <c r="S29" s="126" t="n">
        <f aca="false">J29/$R$3</f>
        <v>0</v>
      </c>
      <c r="T29" s="126" t="n">
        <f aca="false">L29/$R$3</f>
        <v>0</v>
      </c>
      <c r="U29" s="126" t="n">
        <f aca="false">I29/$R$3</f>
        <v>0</v>
      </c>
      <c r="V29" s="126" t="n">
        <f aca="false">M29/$R$3</f>
        <v>0</v>
      </c>
      <c r="W29" s="126" t="n">
        <f aca="false">N29/$R$3</f>
        <v>0</v>
      </c>
    </row>
    <row r="30" customFormat="false" ht="12.75" hidden="true" customHeight="false" outlineLevel="0" collapsed="false">
      <c r="A30" s="120" t="n">
        <f aca="false">A29+1</f>
        <v>36916</v>
      </c>
      <c r="B30" s="131" t="str">
        <f aca="false">INDEX('Master Data'!$A$2:$B$8,MATCH(WEEKDAY(ELETROBOLT!A30,3),'Master Data'!$A$2:$A$8,0),2)</f>
        <v>Th</v>
      </c>
      <c r="D30" s="124" t="n">
        <v>0</v>
      </c>
      <c r="E30" s="124" t="n">
        <v>0</v>
      </c>
      <c r="F30" s="124" t="n">
        <v>0</v>
      </c>
      <c r="G30" s="124" t="n">
        <v>0</v>
      </c>
      <c r="I30" s="124" t="n">
        <f aca="false">IF(MONTH($A30)=MONTH($A29),IF(G30=0,I29,G30),0)</f>
        <v>0</v>
      </c>
      <c r="J30" s="124" t="n">
        <f aca="false">IF(MONTH($A30)=MONTH($A29),SUM(I30-I29),I30)</f>
        <v>0</v>
      </c>
      <c r="K30" s="124" t="n">
        <f aca="false">IF(WEEKDAY(A30,3)&gt;4,0,(IF(A30&lt;K$2,0,IF(A30&lt;=K$3,1,0))))</f>
        <v>0</v>
      </c>
      <c r="L30" s="124" t="n">
        <f aca="false">J30*K30</f>
        <v>0</v>
      </c>
      <c r="M30" s="124" t="n">
        <f aca="false">SUM(J$6:J30)</f>
        <v>0</v>
      </c>
      <c r="N30" s="124" t="n">
        <f aca="false">SUM(J$6:J30)</f>
        <v>0</v>
      </c>
      <c r="P30" s="124" t="n">
        <f aca="false">D30/P$3</f>
        <v>0</v>
      </c>
      <c r="Q30" s="124" t="n">
        <f aca="false">E30/P$3</f>
        <v>0</v>
      </c>
      <c r="R30" s="124" t="n">
        <f aca="false">F30/R$3</f>
        <v>0</v>
      </c>
      <c r="S30" s="126" t="n">
        <f aca="false">J30/$R$3</f>
        <v>0</v>
      </c>
      <c r="T30" s="126" t="n">
        <f aca="false">L30/$R$3</f>
        <v>0</v>
      </c>
      <c r="U30" s="126" t="n">
        <f aca="false">I30/$R$3</f>
        <v>0</v>
      </c>
      <c r="V30" s="126" t="n">
        <f aca="false">M30/$R$3</f>
        <v>0</v>
      </c>
      <c r="W30" s="126" t="n">
        <f aca="false">N30/$R$3</f>
        <v>0</v>
      </c>
    </row>
    <row r="31" customFormat="false" ht="12.75" hidden="true" customHeight="false" outlineLevel="0" collapsed="false">
      <c r="A31" s="120" t="n">
        <f aca="false">A30+1</f>
        <v>36917</v>
      </c>
      <c r="B31" s="131" t="str">
        <f aca="false">INDEX('Master Data'!$A$2:$B$8,MATCH(WEEKDAY(ELETROBOLT!A31,3),'Master Data'!$A$2:$A$8,0),2)</f>
        <v>F</v>
      </c>
      <c r="D31" s="124" t="n">
        <v>0</v>
      </c>
      <c r="E31" s="124" t="n">
        <v>0</v>
      </c>
      <c r="F31" s="124" t="n">
        <v>0</v>
      </c>
      <c r="G31" s="124" t="n">
        <v>0</v>
      </c>
      <c r="I31" s="124" t="n">
        <f aca="false">IF(MONTH($A31)=MONTH($A30),IF(G31=0,I30,G31),0)</f>
        <v>0</v>
      </c>
      <c r="J31" s="124" t="n">
        <f aca="false">IF(MONTH($A31)=MONTH($A30),SUM(I31-I30),I31)</f>
        <v>0</v>
      </c>
      <c r="K31" s="124" t="n">
        <f aca="false">IF(WEEKDAY(A31,3)&gt;4,0,(IF(A31&lt;K$2,0,IF(A31&lt;=K$3,1,0))))</f>
        <v>0</v>
      </c>
      <c r="L31" s="124" t="n">
        <f aca="false">J31*K31</f>
        <v>0</v>
      </c>
      <c r="M31" s="124" t="n">
        <f aca="false">SUM(J$6:J31)</f>
        <v>0</v>
      </c>
      <c r="N31" s="124" t="n">
        <f aca="false">SUM(J$6:J31)</f>
        <v>0</v>
      </c>
      <c r="P31" s="124" t="n">
        <f aca="false">D31/P$3</f>
        <v>0</v>
      </c>
      <c r="Q31" s="124" t="n">
        <f aca="false">E31/P$3</f>
        <v>0</v>
      </c>
      <c r="R31" s="124" t="n">
        <f aca="false">F31/R$3</f>
        <v>0</v>
      </c>
      <c r="S31" s="126" t="n">
        <f aca="false">J31/$R$3</f>
        <v>0</v>
      </c>
      <c r="T31" s="126" t="n">
        <f aca="false">L31/$R$3</f>
        <v>0</v>
      </c>
      <c r="U31" s="126" t="n">
        <f aca="false">I31/$R$3</f>
        <v>0</v>
      </c>
      <c r="V31" s="126" t="n">
        <f aca="false">M31/$R$3</f>
        <v>0</v>
      </c>
      <c r="W31" s="126" t="n">
        <f aca="false">N31/$R$3</f>
        <v>0</v>
      </c>
    </row>
    <row r="32" customFormat="false" ht="12.75" hidden="true" customHeight="false" outlineLevel="0" collapsed="false">
      <c r="A32" s="120" t="n">
        <f aca="false">A31+1</f>
        <v>36918</v>
      </c>
      <c r="B32" s="131" t="str">
        <f aca="false">INDEX('Master Data'!$A$2:$B$8,MATCH(WEEKDAY(ELETROBOLT!A32,3),'Master Data'!$A$2:$A$8,0),2)</f>
        <v>Sa</v>
      </c>
      <c r="D32" s="124" t="n">
        <v>0</v>
      </c>
      <c r="E32" s="124" t="n">
        <v>0</v>
      </c>
      <c r="F32" s="124" t="n">
        <v>0</v>
      </c>
      <c r="G32" s="124" t="n">
        <v>0</v>
      </c>
      <c r="I32" s="124" t="n">
        <f aca="false">IF(MONTH($A32)=MONTH($A31),IF(G32=0,I31,G32),0)</f>
        <v>0</v>
      </c>
      <c r="J32" s="124" t="n">
        <f aca="false">IF(MONTH($A32)=MONTH($A31),SUM(I32-I31),I32)</f>
        <v>0</v>
      </c>
      <c r="K32" s="124" t="n">
        <f aca="false">IF(WEEKDAY(A32,3)&gt;4,0,(IF(A32&lt;K$2,0,IF(A32&lt;=K$3,1,0))))</f>
        <v>0</v>
      </c>
      <c r="L32" s="124" t="n">
        <f aca="false">J32*K32</f>
        <v>0</v>
      </c>
      <c r="M32" s="124" t="n">
        <f aca="false">SUM(J$6:J32)</f>
        <v>0</v>
      </c>
      <c r="N32" s="124" t="n">
        <f aca="false">SUM(J$6:J32)</f>
        <v>0</v>
      </c>
      <c r="P32" s="124" t="n">
        <f aca="false">D32/P$3</f>
        <v>0</v>
      </c>
      <c r="Q32" s="124" t="n">
        <f aca="false">E32/P$3</f>
        <v>0</v>
      </c>
      <c r="R32" s="124" t="n">
        <f aca="false">F32/R$3</f>
        <v>0</v>
      </c>
      <c r="S32" s="126" t="n">
        <f aca="false">J32/$R$3</f>
        <v>0</v>
      </c>
      <c r="T32" s="126" t="n">
        <f aca="false">L32/$R$3</f>
        <v>0</v>
      </c>
      <c r="U32" s="126" t="n">
        <f aca="false">I32/$R$3</f>
        <v>0</v>
      </c>
      <c r="V32" s="126" t="n">
        <f aca="false">M32/$R$3</f>
        <v>0</v>
      </c>
      <c r="W32" s="126" t="n">
        <f aca="false">N32/$R$3</f>
        <v>0</v>
      </c>
    </row>
    <row r="33" customFormat="false" ht="12.75" hidden="true" customHeight="false" outlineLevel="0" collapsed="false">
      <c r="A33" s="120" t="n">
        <f aca="false">A32+1</f>
        <v>36919</v>
      </c>
      <c r="B33" s="131" t="str">
        <f aca="false">INDEX('Master Data'!$A$2:$B$8,MATCH(WEEKDAY(ELETROBOLT!A33,3),'Master Data'!$A$2:$A$8,0),2)</f>
        <v>Su</v>
      </c>
      <c r="D33" s="124" t="n">
        <v>0</v>
      </c>
      <c r="E33" s="124" t="n">
        <v>0</v>
      </c>
      <c r="F33" s="124" t="n">
        <v>0</v>
      </c>
      <c r="G33" s="124" t="n">
        <v>0</v>
      </c>
      <c r="I33" s="124" t="n">
        <f aca="false">IF(MONTH($A33)=MONTH($A32),IF(G33=0,I32,G33),0)</f>
        <v>0</v>
      </c>
      <c r="J33" s="124" t="n">
        <f aca="false">IF(MONTH($A33)=MONTH($A32),SUM(I33-I32),I33)</f>
        <v>0</v>
      </c>
      <c r="K33" s="124" t="n">
        <f aca="false">IF(WEEKDAY(A33,3)&gt;4,0,(IF(A33&lt;K$2,0,IF(A33&lt;=K$3,1,0))))</f>
        <v>0</v>
      </c>
      <c r="L33" s="124" t="n">
        <f aca="false">J33*K33</f>
        <v>0</v>
      </c>
      <c r="M33" s="124" t="n">
        <f aca="false">SUM(J$6:J33)</f>
        <v>0</v>
      </c>
      <c r="N33" s="124" t="n">
        <f aca="false">SUM(J$6:J33)</f>
        <v>0</v>
      </c>
      <c r="P33" s="124" t="n">
        <f aca="false">D33/P$3</f>
        <v>0</v>
      </c>
      <c r="Q33" s="124" t="n">
        <f aca="false">E33/P$3</f>
        <v>0</v>
      </c>
      <c r="R33" s="124" t="n">
        <f aca="false">F33/R$3</f>
        <v>0</v>
      </c>
      <c r="S33" s="126" t="n">
        <f aca="false">J33/$R$3</f>
        <v>0</v>
      </c>
      <c r="T33" s="126" t="n">
        <f aca="false">L33/$R$3</f>
        <v>0</v>
      </c>
      <c r="U33" s="126" t="n">
        <f aca="false">I33/$R$3</f>
        <v>0</v>
      </c>
      <c r="V33" s="126" t="n">
        <f aca="false">M33/$R$3</f>
        <v>0</v>
      </c>
      <c r="W33" s="126" t="n">
        <f aca="false">N33/$R$3</f>
        <v>0</v>
      </c>
    </row>
    <row r="34" customFormat="false" ht="12.75" hidden="true" customHeight="false" outlineLevel="0" collapsed="false">
      <c r="A34" s="120" t="n">
        <f aca="false">A33+1</f>
        <v>36920</v>
      </c>
      <c r="B34" s="131" t="str">
        <f aca="false">INDEX('Master Data'!$A$2:$B$8,MATCH(WEEKDAY(ELETROBOLT!A34,3),'Master Data'!$A$2:$A$8,0),2)</f>
        <v>M</v>
      </c>
      <c r="D34" s="124" t="n">
        <v>0</v>
      </c>
      <c r="E34" s="124" t="n">
        <v>0</v>
      </c>
      <c r="F34" s="124" t="n">
        <v>0</v>
      </c>
      <c r="G34" s="124" t="n">
        <v>0</v>
      </c>
      <c r="I34" s="124" t="n">
        <f aca="false">IF(MONTH($A34)=MONTH($A33),IF(G34=0,I33,G34),0)</f>
        <v>0</v>
      </c>
      <c r="J34" s="124" t="n">
        <f aca="false">IF(MONTH($A34)=MONTH($A33),SUM(I34-I33),I34)</f>
        <v>0</v>
      </c>
      <c r="K34" s="124" t="n">
        <f aca="false">IF(WEEKDAY(A34,3)&gt;4,0,(IF(A34&lt;K$2,0,IF(A34&lt;=K$3,1,0))))</f>
        <v>0</v>
      </c>
      <c r="L34" s="124" t="n">
        <f aca="false">J34*K34</f>
        <v>0</v>
      </c>
      <c r="M34" s="124" t="n">
        <f aca="false">SUM(J$6:J34)</f>
        <v>0</v>
      </c>
      <c r="N34" s="124" t="n">
        <f aca="false">SUM(J$6:J34)</f>
        <v>0</v>
      </c>
      <c r="P34" s="124" t="n">
        <f aca="false">D34/P$3</f>
        <v>0</v>
      </c>
      <c r="Q34" s="124" t="n">
        <f aca="false">E34/P$3</f>
        <v>0</v>
      </c>
      <c r="R34" s="124" t="n">
        <f aca="false">F34/R$3</f>
        <v>0</v>
      </c>
      <c r="S34" s="126" t="n">
        <f aca="false">J34/$R$3</f>
        <v>0</v>
      </c>
      <c r="T34" s="126" t="n">
        <f aca="false">L34/$R$3</f>
        <v>0</v>
      </c>
      <c r="U34" s="126" t="n">
        <f aca="false">I34/$R$3</f>
        <v>0</v>
      </c>
      <c r="V34" s="126" t="n">
        <f aca="false">M34/$R$3</f>
        <v>0</v>
      </c>
      <c r="W34" s="126" t="n">
        <f aca="false">N34/$R$3</f>
        <v>0</v>
      </c>
    </row>
    <row r="35" customFormat="false" ht="12.75" hidden="true" customHeight="false" outlineLevel="0" collapsed="false">
      <c r="A35" s="120" t="n">
        <f aca="false">A34+1</f>
        <v>36921</v>
      </c>
      <c r="B35" s="131" t="str">
        <f aca="false">INDEX('Master Data'!$A$2:$B$8,MATCH(WEEKDAY(ELETROBOLT!A35,3),'Master Data'!$A$2:$A$8,0),2)</f>
        <v>T</v>
      </c>
      <c r="D35" s="124" t="n">
        <v>0</v>
      </c>
      <c r="E35" s="124" t="n">
        <v>0</v>
      </c>
      <c r="F35" s="124" t="n">
        <v>0</v>
      </c>
      <c r="G35" s="124" t="n">
        <v>0</v>
      </c>
      <c r="I35" s="124" t="n">
        <f aca="false">IF(MONTH($A35)=MONTH($A34),IF(G35=0,I34,G35),0)</f>
        <v>0</v>
      </c>
      <c r="J35" s="124" t="n">
        <f aca="false">IF(MONTH($A35)=MONTH($A34),SUM(I35-I34),I35)</f>
        <v>0</v>
      </c>
      <c r="K35" s="124" t="n">
        <f aca="false">IF(WEEKDAY(A35,3)&gt;4,0,(IF(A35&lt;K$2,0,IF(A35&lt;=K$3,1,0))))</f>
        <v>0</v>
      </c>
      <c r="L35" s="124" t="n">
        <f aca="false">J35*K35</f>
        <v>0</v>
      </c>
      <c r="M35" s="124" t="n">
        <f aca="false">SUM(J$6:J35)</f>
        <v>0</v>
      </c>
      <c r="N35" s="124" t="n">
        <f aca="false">SUM(J$6:J35)</f>
        <v>0</v>
      </c>
      <c r="P35" s="124" t="n">
        <f aca="false">D35/P$3</f>
        <v>0</v>
      </c>
      <c r="Q35" s="124" t="n">
        <f aca="false">E35/P$3</f>
        <v>0</v>
      </c>
      <c r="R35" s="124" t="n">
        <f aca="false">F35/R$3</f>
        <v>0</v>
      </c>
      <c r="S35" s="126" t="n">
        <f aca="false">J35/$R$3</f>
        <v>0</v>
      </c>
      <c r="T35" s="126" t="n">
        <f aca="false">L35/$R$3</f>
        <v>0</v>
      </c>
      <c r="U35" s="126" t="n">
        <f aca="false">I35/$R$3</f>
        <v>0</v>
      </c>
      <c r="V35" s="126" t="n">
        <f aca="false">M35/$R$3</f>
        <v>0</v>
      </c>
      <c r="W35" s="126" t="n">
        <f aca="false">N35/$R$3</f>
        <v>0</v>
      </c>
    </row>
    <row r="36" customFormat="false" ht="12.75" hidden="true" customHeight="false" outlineLevel="0" collapsed="false">
      <c r="A36" s="120" t="n">
        <f aca="false">A35+1</f>
        <v>36922</v>
      </c>
      <c r="B36" s="131" t="str">
        <f aca="false">INDEX('Master Data'!$A$2:$B$8,MATCH(WEEKDAY(ELETROBOLT!A36,3),'Master Data'!$A$2:$A$8,0),2)</f>
        <v>W</v>
      </c>
      <c r="D36" s="124" t="n">
        <v>0</v>
      </c>
      <c r="E36" s="124" t="n">
        <v>0</v>
      </c>
      <c r="F36" s="124" t="n">
        <v>0</v>
      </c>
      <c r="G36" s="124" t="n">
        <v>0</v>
      </c>
      <c r="I36" s="124" t="n">
        <f aca="false">IF(MONTH($A36)=MONTH($A35),IF(G36=0,I35,G36),0)</f>
        <v>0</v>
      </c>
      <c r="J36" s="124" t="n">
        <f aca="false">IF(MONTH($A36)=MONTH($A35),SUM(I36-I35),I36)</f>
        <v>0</v>
      </c>
      <c r="K36" s="124" t="n">
        <f aca="false">IF(WEEKDAY(A36,3)&gt;4,0,(IF(A36&lt;K$2,0,IF(A36&lt;=K$3,1,0))))</f>
        <v>0</v>
      </c>
      <c r="L36" s="124" t="n">
        <f aca="false">J36*K36</f>
        <v>0</v>
      </c>
      <c r="M36" s="124" t="n">
        <f aca="false">SUM(J$6:J36)</f>
        <v>0</v>
      </c>
      <c r="N36" s="124" t="n">
        <f aca="false">SUM(J$6:J36)</f>
        <v>0</v>
      </c>
      <c r="P36" s="124" t="n">
        <f aca="false">D36/P$3</f>
        <v>0</v>
      </c>
      <c r="Q36" s="124" t="n">
        <f aca="false">E36/P$3</f>
        <v>0</v>
      </c>
      <c r="R36" s="124" t="n">
        <f aca="false">F36/R$3</f>
        <v>0</v>
      </c>
      <c r="S36" s="126" t="n">
        <f aca="false">J36/$R$3</f>
        <v>0</v>
      </c>
      <c r="T36" s="126" t="n">
        <f aca="false">L36/$R$3</f>
        <v>0</v>
      </c>
      <c r="U36" s="126" t="n">
        <f aca="false">I36/$R$3</f>
        <v>0</v>
      </c>
      <c r="V36" s="126" t="n">
        <f aca="false">M36/$R$3</f>
        <v>0</v>
      </c>
      <c r="W36" s="126" t="n">
        <f aca="false">N36/$R$3</f>
        <v>0</v>
      </c>
    </row>
    <row r="37" customFormat="false" ht="12.75" hidden="true" customHeight="false" outlineLevel="0" collapsed="false">
      <c r="A37" s="120" t="n">
        <f aca="false">A36+1</f>
        <v>36923</v>
      </c>
      <c r="B37" s="131" t="str">
        <f aca="false">INDEX('Master Data'!$A$2:$B$8,MATCH(WEEKDAY(ELETROBOLT!A37,3),'Master Data'!$A$2:$A$8,0),2)</f>
        <v>Th</v>
      </c>
      <c r="D37" s="124" t="n">
        <v>0</v>
      </c>
      <c r="E37" s="124" t="n">
        <v>0</v>
      </c>
      <c r="F37" s="124" t="n">
        <v>0</v>
      </c>
      <c r="G37" s="124" t="n">
        <v>0</v>
      </c>
      <c r="I37" s="124" t="n">
        <f aca="false">IF(MONTH($A37)=MONTH($A36),IF(G37=0,I36,G37),G37)</f>
        <v>0</v>
      </c>
      <c r="J37" s="124" t="n">
        <f aca="false">IF(MONTH($A37)=MONTH($A36),SUM(I37-I36),I37)</f>
        <v>0</v>
      </c>
      <c r="K37" s="124" t="n">
        <f aca="false">IF(WEEKDAY(A37,3)&gt;4,0,(IF(A37&lt;K$2,0,IF(A37&lt;=K$3,1,0))))</f>
        <v>0</v>
      </c>
      <c r="L37" s="124" t="n">
        <f aca="false">J37*K37</f>
        <v>0</v>
      </c>
      <c r="M37" s="124" t="n">
        <f aca="false">SUM(J$6:J37)</f>
        <v>0</v>
      </c>
      <c r="N37" s="124" t="n">
        <f aca="false">SUM(J$6:J37)</f>
        <v>0</v>
      </c>
      <c r="P37" s="124" t="n">
        <f aca="false">D37/P$3</f>
        <v>0</v>
      </c>
      <c r="Q37" s="124" t="n">
        <f aca="false">E37/P$3</f>
        <v>0</v>
      </c>
      <c r="R37" s="124" t="n">
        <f aca="false">F37/R$3</f>
        <v>0</v>
      </c>
      <c r="S37" s="126" t="n">
        <f aca="false">J37/$R$3</f>
        <v>0</v>
      </c>
      <c r="T37" s="126" t="n">
        <f aca="false">L37/$R$3</f>
        <v>0</v>
      </c>
      <c r="U37" s="126" t="n">
        <f aca="false">I37/$R$3</f>
        <v>0</v>
      </c>
      <c r="V37" s="126" t="n">
        <f aca="false">M37/$R$3</f>
        <v>0</v>
      </c>
      <c r="W37" s="126" t="n">
        <f aca="false">N37/$R$3</f>
        <v>0</v>
      </c>
    </row>
    <row r="38" customFormat="false" ht="12.75" hidden="true" customHeight="false" outlineLevel="0" collapsed="false">
      <c r="A38" s="120" t="n">
        <f aca="false">A37+1</f>
        <v>36924</v>
      </c>
      <c r="B38" s="131" t="str">
        <f aca="false">INDEX('Master Data'!$A$2:$B$8,MATCH(WEEKDAY(ELETROBOLT!A38,3),'Master Data'!$A$2:$A$8,0),2)</f>
        <v>F</v>
      </c>
      <c r="D38" s="124" t="n">
        <v>0</v>
      </c>
      <c r="E38" s="124" t="n">
        <v>0</v>
      </c>
      <c r="F38" s="124" t="n">
        <v>0</v>
      </c>
      <c r="G38" s="124" t="n">
        <v>0</v>
      </c>
      <c r="I38" s="124" t="n">
        <f aca="false">IF(MONTH($A38)=MONTH($A37),IF(G38=0,I37,G38),G38)</f>
        <v>0</v>
      </c>
      <c r="J38" s="124" t="n">
        <f aca="false">IF(MONTH($A38)=MONTH($A37),SUM(I38-I37),I38)</f>
        <v>0</v>
      </c>
      <c r="K38" s="124" t="n">
        <f aca="false">IF(WEEKDAY(A38,3)&gt;4,0,(IF(A38&lt;K$2,0,IF(A38&lt;=K$3,1,0))))</f>
        <v>0</v>
      </c>
      <c r="L38" s="124" t="n">
        <f aca="false">J38*K38</f>
        <v>0</v>
      </c>
      <c r="M38" s="124" t="n">
        <f aca="false">SUM(J$6:J38)</f>
        <v>0</v>
      </c>
      <c r="N38" s="124" t="n">
        <f aca="false">SUM(J$6:J38)</f>
        <v>0</v>
      </c>
      <c r="P38" s="124" t="n">
        <f aca="false">D38/P$3</f>
        <v>0</v>
      </c>
      <c r="Q38" s="124" t="n">
        <f aca="false">E38/P$3</f>
        <v>0</v>
      </c>
      <c r="R38" s="124" t="n">
        <f aca="false">F38/R$3</f>
        <v>0</v>
      </c>
      <c r="S38" s="126" t="n">
        <f aca="false">J38/$R$3</f>
        <v>0</v>
      </c>
      <c r="T38" s="126" t="n">
        <f aca="false">L38/$R$3</f>
        <v>0</v>
      </c>
      <c r="U38" s="126" t="n">
        <f aca="false">I38/$R$3</f>
        <v>0</v>
      </c>
      <c r="V38" s="126" t="n">
        <f aca="false">M38/$R$3</f>
        <v>0</v>
      </c>
      <c r="W38" s="126" t="n">
        <f aca="false">N38/$R$3</f>
        <v>0</v>
      </c>
    </row>
    <row r="39" customFormat="false" ht="12.75" hidden="true" customHeight="false" outlineLevel="0" collapsed="false">
      <c r="A39" s="120" t="n">
        <f aca="false">A38+1</f>
        <v>36925</v>
      </c>
      <c r="B39" s="131" t="str">
        <f aca="false">INDEX('Master Data'!$A$2:$B$8,MATCH(WEEKDAY(ELETROBOLT!A39,3),'Master Data'!$A$2:$A$8,0),2)</f>
        <v>Sa</v>
      </c>
      <c r="D39" s="124" t="n">
        <v>0</v>
      </c>
      <c r="E39" s="124" t="n">
        <v>0</v>
      </c>
      <c r="F39" s="124" t="n">
        <v>0</v>
      </c>
      <c r="G39" s="124" t="n">
        <v>0</v>
      </c>
      <c r="I39" s="124" t="n">
        <f aca="false">IF(MONTH($A39)=MONTH($A38),IF(G39=0,I38,G39),G39)</f>
        <v>0</v>
      </c>
      <c r="J39" s="124" t="n">
        <f aca="false">IF(MONTH($A39)=MONTH($A38),SUM(I39-I38),I39)</f>
        <v>0</v>
      </c>
      <c r="K39" s="124" t="n">
        <f aca="false">IF(WEEKDAY(A39,3)&gt;4,0,(IF(A39&lt;K$2,0,IF(A39&lt;=K$3,1,0))))</f>
        <v>0</v>
      </c>
      <c r="L39" s="124" t="n">
        <f aca="false">J39*K39</f>
        <v>0</v>
      </c>
      <c r="M39" s="124" t="n">
        <f aca="false">SUM(J$6:J39)</f>
        <v>0</v>
      </c>
      <c r="N39" s="124" t="n">
        <f aca="false">SUM(J$6:J39)</f>
        <v>0</v>
      </c>
      <c r="P39" s="124" t="n">
        <f aca="false">D39/P$3</f>
        <v>0</v>
      </c>
      <c r="Q39" s="124" t="n">
        <f aca="false">E39/P$3</f>
        <v>0</v>
      </c>
      <c r="R39" s="124" t="n">
        <f aca="false">F39/R$3</f>
        <v>0</v>
      </c>
      <c r="S39" s="126" t="n">
        <f aca="false">J39/$R$3</f>
        <v>0</v>
      </c>
      <c r="T39" s="126" t="n">
        <f aca="false">L39/$R$3</f>
        <v>0</v>
      </c>
      <c r="U39" s="126" t="n">
        <f aca="false">I39/$R$3</f>
        <v>0</v>
      </c>
      <c r="V39" s="126" t="n">
        <f aca="false">M39/$R$3</f>
        <v>0</v>
      </c>
      <c r="W39" s="126" t="n">
        <f aca="false">N39/$R$3</f>
        <v>0</v>
      </c>
    </row>
    <row r="40" customFormat="false" ht="12.75" hidden="true" customHeight="false" outlineLevel="0" collapsed="false">
      <c r="A40" s="120" t="n">
        <f aca="false">A39+1</f>
        <v>36926</v>
      </c>
      <c r="B40" s="131" t="str">
        <f aca="false">INDEX('Master Data'!$A$2:$B$8,MATCH(WEEKDAY(ELETROBOLT!A40,3),'Master Data'!$A$2:$A$8,0),2)</f>
        <v>Su</v>
      </c>
      <c r="D40" s="124" t="n">
        <v>0</v>
      </c>
      <c r="E40" s="124" t="n">
        <v>0</v>
      </c>
      <c r="F40" s="124" t="n">
        <v>0</v>
      </c>
      <c r="G40" s="124" t="n">
        <v>0</v>
      </c>
      <c r="I40" s="124" t="n">
        <f aca="false">IF(MONTH($A40)=MONTH($A39),IF(G40=0,I39,G40),G40)</f>
        <v>0</v>
      </c>
      <c r="J40" s="124" t="n">
        <f aca="false">IF(MONTH($A40)=MONTH($A39),SUM(I40-I39),I40)</f>
        <v>0</v>
      </c>
      <c r="K40" s="124" t="n">
        <f aca="false">IF(WEEKDAY(A40,3)&gt;4,0,(IF(A40&lt;K$2,0,IF(A40&lt;=K$3,1,0))))</f>
        <v>0</v>
      </c>
      <c r="L40" s="124" t="n">
        <f aca="false">J40*K40</f>
        <v>0</v>
      </c>
      <c r="M40" s="124" t="n">
        <f aca="false">SUM(J$6:J40)</f>
        <v>0</v>
      </c>
      <c r="N40" s="124" t="n">
        <f aca="false">SUM(J$6:J40)</f>
        <v>0</v>
      </c>
      <c r="P40" s="124" t="n">
        <f aca="false">D40/P$3</f>
        <v>0</v>
      </c>
      <c r="Q40" s="124" t="n">
        <f aca="false">E40/P$3</f>
        <v>0</v>
      </c>
      <c r="R40" s="124" t="n">
        <f aca="false">F40/R$3</f>
        <v>0</v>
      </c>
      <c r="S40" s="126" t="n">
        <f aca="false">J40/$R$3</f>
        <v>0</v>
      </c>
      <c r="T40" s="126" t="n">
        <f aca="false">L40/$R$3</f>
        <v>0</v>
      </c>
      <c r="U40" s="126" t="n">
        <f aca="false">I40/$R$3</f>
        <v>0</v>
      </c>
      <c r="V40" s="126" t="n">
        <f aca="false">M40/$R$3</f>
        <v>0</v>
      </c>
      <c r="W40" s="126" t="n">
        <f aca="false">N40/$R$3</f>
        <v>0</v>
      </c>
    </row>
    <row r="41" customFormat="false" ht="12.75" hidden="true" customHeight="false" outlineLevel="0" collapsed="false">
      <c r="A41" s="120" t="n">
        <f aca="false">A40+1</f>
        <v>36927</v>
      </c>
      <c r="B41" s="131" t="str">
        <f aca="false">INDEX('Master Data'!$A$2:$B$8,MATCH(WEEKDAY(ELETROBOLT!A41,3),'Master Data'!$A$2:$A$8,0),2)</f>
        <v>M</v>
      </c>
      <c r="D41" s="124" t="n">
        <v>0</v>
      </c>
      <c r="E41" s="124" t="n">
        <v>0</v>
      </c>
      <c r="F41" s="124" t="n">
        <v>0</v>
      </c>
      <c r="G41" s="124" t="n">
        <v>0</v>
      </c>
      <c r="I41" s="124" t="n">
        <f aca="false">IF(MONTH($A41)=MONTH($A40),IF(G41=0,I40,G41),G41)</f>
        <v>0</v>
      </c>
      <c r="J41" s="124" t="n">
        <f aca="false">IF(MONTH($A41)=MONTH($A40),SUM(I41-I40),I41)</f>
        <v>0</v>
      </c>
      <c r="K41" s="124" t="n">
        <f aca="false">IF(WEEKDAY(A41,3)&gt;4,0,(IF(A41&lt;K$2,0,IF(A41&lt;=K$3,1,0))))</f>
        <v>0</v>
      </c>
      <c r="L41" s="124" t="n">
        <f aca="false">J41*K41</f>
        <v>0</v>
      </c>
      <c r="M41" s="124" t="n">
        <f aca="false">SUM(J$6:J41)</f>
        <v>0</v>
      </c>
      <c r="N41" s="124" t="n">
        <f aca="false">SUM(J$6:J41)</f>
        <v>0</v>
      </c>
      <c r="P41" s="124" t="n">
        <f aca="false">D41/P$3</f>
        <v>0</v>
      </c>
      <c r="Q41" s="124" t="n">
        <f aca="false">E41/P$3</f>
        <v>0</v>
      </c>
      <c r="R41" s="124" t="n">
        <f aca="false">F41/R$3</f>
        <v>0</v>
      </c>
      <c r="S41" s="126" t="n">
        <f aca="false">J41/$R$3</f>
        <v>0</v>
      </c>
      <c r="T41" s="126" t="n">
        <f aca="false">L41/$R$3</f>
        <v>0</v>
      </c>
      <c r="U41" s="126" t="n">
        <f aca="false">I41/$R$3</f>
        <v>0</v>
      </c>
      <c r="V41" s="126" t="n">
        <f aca="false">M41/$R$3</f>
        <v>0</v>
      </c>
      <c r="W41" s="126" t="n">
        <f aca="false">N41/$R$3</f>
        <v>0</v>
      </c>
    </row>
    <row r="42" customFormat="false" ht="12.75" hidden="true" customHeight="false" outlineLevel="0" collapsed="false">
      <c r="A42" s="120" t="n">
        <f aca="false">A41+1</f>
        <v>36928</v>
      </c>
      <c r="B42" s="131" t="str">
        <f aca="false">INDEX('Master Data'!$A$2:$B$8,MATCH(WEEKDAY(ELETROBOLT!A42,3),'Master Data'!$A$2:$A$8,0),2)</f>
        <v>T</v>
      </c>
      <c r="D42" s="124" t="n">
        <v>0</v>
      </c>
      <c r="E42" s="124" t="n">
        <v>0</v>
      </c>
      <c r="F42" s="124" t="n">
        <v>0</v>
      </c>
      <c r="G42" s="124" t="n">
        <v>0</v>
      </c>
      <c r="I42" s="124" t="n">
        <f aca="false">IF(MONTH($A42)=MONTH($A41),IF(G42=0,I41,G42),G42)</f>
        <v>0</v>
      </c>
      <c r="J42" s="124" t="n">
        <f aca="false">IF(MONTH($A42)=MONTH($A41),SUM(I42-I41),I42)</f>
        <v>0</v>
      </c>
      <c r="K42" s="124" t="n">
        <f aca="false">IF(WEEKDAY(A42,3)&gt;4,0,(IF(A42&lt;K$2,0,IF(A42&lt;=K$3,1,0))))</f>
        <v>0</v>
      </c>
      <c r="L42" s="124" t="n">
        <f aca="false">J42*K42</f>
        <v>0</v>
      </c>
      <c r="M42" s="124" t="n">
        <f aca="false">SUM(J$6:J42)</f>
        <v>0</v>
      </c>
      <c r="N42" s="124" t="n">
        <f aca="false">SUM(J$6:J42)</f>
        <v>0</v>
      </c>
      <c r="P42" s="124" t="n">
        <f aca="false">D42/P$3</f>
        <v>0</v>
      </c>
      <c r="Q42" s="124" t="n">
        <f aca="false">E42/P$3</f>
        <v>0</v>
      </c>
      <c r="R42" s="124" t="n">
        <f aca="false">F42/R$3</f>
        <v>0</v>
      </c>
      <c r="S42" s="126" t="n">
        <f aca="false">J42/$R$3</f>
        <v>0</v>
      </c>
      <c r="T42" s="126" t="n">
        <f aca="false">L42/$R$3</f>
        <v>0</v>
      </c>
      <c r="U42" s="126" t="n">
        <f aca="false">I42/$R$3</f>
        <v>0</v>
      </c>
      <c r="V42" s="126" t="n">
        <f aca="false">M42/$R$3</f>
        <v>0</v>
      </c>
      <c r="W42" s="126" t="n">
        <f aca="false">N42/$R$3</f>
        <v>0</v>
      </c>
    </row>
    <row r="43" customFormat="false" ht="12.75" hidden="true" customHeight="false" outlineLevel="0" collapsed="false">
      <c r="A43" s="120" t="n">
        <f aca="false">A42+1</f>
        <v>36929</v>
      </c>
      <c r="B43" s="131" t="str">
        <f aca="false">INDEX('Master Data'!$A$2:$B$8,MATCH(WEEKDAY(ELETROBOLT!A43,3),'Master Data'!$A$2:$A$8,0),2)</f>
        <v>W</v>
      </c>
      <c r="D43" s="124" t="n">
        <v>0</v>
      </c>
      <c r="E43" s="124" t="n">
        <v>0</v>
      </c>
      <c r="F43" s="124" t="n">
        <v>0</v>
      </c>
      <c r="G43" s="124" t="n">
        <v>0</v>
      </c>
      <c r="I43" s="124" t="n">
        <f aca="false">IF(MONTH($A43)=MONTH($A42),IF(G43=0,I42,G43),G43)</f>
        <v>0</v>
      </c>
      <c r="J43" s="124" t="n">
        <f aca="false">IF(MONTH($A43)=MONTH($A42),SUM(I43-I42),I43)</f>
        <v>0</v>
      </c>
      <c r="K43" s="124" t="n">
        <f aca="false">IF(WEEKDAY(A43,3)&gt;4,0,(IF(A43&lt;K$2,0,IF(A43&lt;=K$3,1,0))))</f>
        <v>0</v>
      </c>
      <c r="L43" s="124" t="n">
        <f aca="false">J43*K43</f>
        <v>0</v>
      </c>
      <c r="M43" s="124" t="n">
        <f aca="false">SUM(J$6:J43)</f>
        <v>0</v>
      </c>
      <c r="N43" s="124" t="n">
        <f aca="false">SUM(J$6:J43)</f>
        <v>0</v>
      </c>
      <c r="P43" s="124" t="n">
        <f aca="false">D43/P$3</f>
        <v>0</v>
      </c>
      <c r="Q43" s="124" t="n">
        <f aca="false">E43/P$3</f>
        <v>0</v>
      </c>
      <c r="R43" s="124" t="n">
        <f aca="false">F43/R$3</f>
        <v>0</v>
      </c>
      <c r="S43" s="126" t="n">
        <f aca="false">J43/$R$3</f>
        <v>0</v>
      </c>
      <c r="T43" s="126" t="n">
        <f aca="false">L43/$R$3</f>
        <v>0</v>
      </c>
      <c r="U43" s="126" t="n">
        <f aca="false">I43/$R$3</f>
        <v>0</v>
      </c>
      <c r="V43" s="126" t="n">
        <f aca="false">M43/$R$3</f>
        <v>0</v>
      </c>
      <c r="W43" s="126" t="n">
        <f aca="false">N43/$R$3</f>
        <v>0</v>
      </c>
    </row>
    <row r="44" customFormat="false" ht="12.75" hidden="true" customHeight="false" outlineLevel="0" collapsed="false">
      <c r="A44" s="120" t="n">
        <f aca="false">A43+1</f>
        <v>36930</v>
      </c>
      <c r="B44" s="131" t="str">
        <f aca="false">INDEX('Master Data'!$A$2:$B$8,MATCH(WEEKDAY(ELETROBOLT!A44,3),'Master Data'!$A$2:$A$8,0),2)</f>
        <v>Th</v>
      </c>
      <c r="D44" s="124" t="n">
        <v>0</v>
      </c>
      <c r="E44" s="124" t="n">
        <v>0</v>
      </c>
      <c r="F44" s="124" t="n">
        <v>0</v>
      </c>
      <c r="G44" s="124" t="n">
        <v>0</v>
      </c>
      <c r="I44" s="124" t="n">
        <f aca="false">IF(MONTH($A44)=MONTH($A43),IF(G44=0,I43,G44),G44)</f>
        <v>0</v>
      </c>
      <c r="J44" s="124" t="n">
        <f aca="false">IF(MONTH($A44)=MONTH($A43),SUM(I44-I43),I44)</f>
        <v>0</v>
      </c>
      <c r="K44" s="124" t="n">
        <f aca="false">IF(WEEKDAY(A44,3)&gt;4,0,(IF(A44&lt;K$2,0,IF(A44&lt;=K$3,1,0))))</f>
        <v>0</v>
      </c>
      <c r="L44" s="124" t="n">
        <f aca="false">J44*K44</f>
        <v>0</v>
      </c>
      <c r="M44" s="124" t="n">
        <f aca="false">SUM(J$6:J44)</f>
        <v>0</v>
      </c>
      <c r="N44" s="124" t="n">
        <f aca="false">SUM(J$6:J44)</f>
        <v>0</v>
      </c>
      <c r="P44" s="124" t="n">
        <f aca="false">D44/P$3</f>
        <v>0</v>
      </c>
      <c r="Q44" s="124" t="n">
        <f aca="false">E44/P$3</f>
        <v>0</v>
      </c>
      <c r="R44" s="124" t="n">
        <f aca="false">F44/R$3</f>
        <v>0</v>
      </c>
      <c r="S44" s="126" t="n">
        <f aca="false">J44/$R$3</f>
        <v>0</v>
      </c>
      <c r="T44" s="126" t="n">
        <f aca="false">L44/$R$3</f>
        <v>0</v>
      </c>
      <c r="U44" s="126" t="n">
        <f aca="false">I44/$R$3</f>
        <v>0</v>
      </c>
      <c r="V44" s="126" t="n">
        <f aca="false">M44/$R$3</f>
        <v>0</v>
      </c>
      <c r="W44" s="126" t="n">
        <f aca="false">N44/$R$3</f>
        <v>0</v>
      </c>
    </row>
    <row r="45" customFormat="false" ht="12.75" hidden="true" customHeight="false" outlineLevel="0" collapsed="false">
      <c r="A45" s="120" t="n">
        <f aca="false">A44+1</f>
        <v>36931</v>
      </c>
      <c r="B45" s="131" t="str">
        <f aca="false">INDEX('Master Data'!$A$2:$B$8,MATCH(WEEKDAY(ELETROBOLT!A45,3),'Master Data'!$A$2:$A$8,0),2)</f>
        <v>F</v>
      </c>
      <c r="D45" s="124" t="n">
        <v>0</v>
      </c>
      <c r="E45" s="124" t="n">
        <v>0</v>
      </c>
      <c r="F45" s="124" t="n">
        <v>0</v>
      </c>
      <c r="G45" s="124" t="n">
        <v>0</v>
      </c>
      <c r="I45" s="124" t="n">
        <f aca="false">IF(MONTH($A45)=MONTH($A44),IF(G45=0,I44,G45),G45)</f>
        <v>0</v>
      </c>
      <c r="J45" s="124" t="n">
        <f aca="false">IF(MONTH($A45)=MONTH($A44),SUM(I45-I44),I45)</f>
        <v>0</v>
      </c>
      <c r="K45" s="124" t="n">
        <f aca="false">IF(WEEKDAY(A45,3)&gt;4,0,(IF(A45&lt;K$2,0,IF(A45&lt;=K$3,1,0))))</f>
        <v>0</v>
      </c>
      <c r="L45" s="124" t="n">
        <f aca="false">J45*K45</f>
        <v>0</v>
      </c>
      <c r="M45" s="124" t="n">
        <f aca="false">SUM(J$6:J45)</f>
        <v>0</v>
      </c>
      <c r="N45" s="124" t="n">
        <f aca="false">SUM(J$6:J45)</f>
        <v>0</v>
      </c>
      <c r="P45" s="124" t="n">
        <f aca="false">D45/P$3</f>
        <v>0</v>
      </c>
      <c r="Q45" s="124" t="n">
        <f aca="false">E45/P$3</f>
        <v>0</v>
      </c>
      <c r="R45" s="124" t="n">
        <f aca="false">F45/R$3</f>
        <v>0</v>
      </c>
      <c r="S45" s="126" t="n">
        <f aca="false">J45/$R$3</f>
        <v>0</v>
      </c>
      <c r="T45" s="126" t="n">
        <f aca="false">L45/$R$3</f>
        <v>0</v>
      </c>
      <c r="U45" s="126" t="n">
        <f aca="false">I45/$R$3</f>
        <v>0</v>
      </c>
      <c r="V45" s="126" t="n">
        <f aca="false">M45/$R$3</f>
        <v>0</v>
      </c>
      <c r="W45" s="126" t="n">
        <f aca="false">N45/$R$3</f>
        <v>0</v>
      </c>
    </row>
    <row r="46" customFormat="false" ht="12.75" hidden="true" customHeight="false" outlineLevel="0" collapsed="false">
      <c r="A46" s="120" t="n">
        <f aca="false">A45+1</f>
        <v>36932</v>
      </c>
      <c r="B46" s="131" t="str">
        <f aca="false">INDEX('Master Data'!$A$2:$B$8,MATCH(WEEKDAY(ELETROBOLT!A46,3),'Master Data'!$A$2:$A$8,0),2)</f>
        <v>Sa</v>
      </c>
      <c r="D46" s="124" t="n">
        <v>0</v>
      </c>
      <c r="E46" s="124" t="n">
        <v>0</v>
      </c>
      <c r="F46" s="124" t="n">
        <v>0</v>
      </c>
      <c r="G46" s="124" t="n">
        <v>0</v>
      </c>
      <c r="I46" s="124" t="n">
        <f aca="false">IF(MONTH($A46)=MONTH($A45),IF(G46=0,I45,G46),G46)</f>
        <v>0</v>
      </c>
      <c r="J46" s="124" t="n">
        <f aca="false">IF(MONTH($A46)=MONTH($A45),SUM(I46-I45),I46)</f>
        <v>0</v>
      </c>
      <c r="K46" s="124" t="n">
        <f aca="false">IF(WEEKDAY(A46,3)&gt;4,0,(IF(A46&lt;K$2,0,IF(A46&lt;=K$3,1,0))))</f>
        <v>0</v>
      </c>
      <c r="L46" s="124" t="n">
        <f aca="false">J46*K46</f>
        <v>0</v>
      </c>
      <c r="M46" s="124" t="n">
        <f aca="false">SUM(J$6:J46)</f>
        <v>0</v>
      </c>
      <c r="N46" s="124" t="n">
        <f aca="false">SUM(J$6:J46)</f>
        <v>0</v>
      </c>
      <c r="P46" s="124" t="n">
        <f aca="false">D46/P$3</f>
        <v>0</v>
      </c>
      <c r="Q46" s="124" t="n">
        <f aca="false">E46/P$3</f>
        <v>0</v>
      </c>
      <c r="R46" s="124" t="n">
        <f aca="false">F46/R$3</f>
        <v>0</v>
      </c>
      <c r="S46" s="126" t="n">
        <f aca="false">J46/$R$3</f>
        <v>0</v>
      </c>
      <c r="T46" s="126" t="n">
        <f aca="false">L46/$R$3</f>
        <v>0</v>
      </c>
      <c r="U46" s="126" t="n">
        <f aca="false">I46/$R$3</f>
        <v>0</v>
      </c>
      <c r="V46" s="126" t="n">
        <f aca="false">M46/$R$3</f>
        <v>0</v>
      </c>
      <c r="W46" s="126" t="n">
        <f aca="false">N46/$R$3</f>
        <v>0</v>
      </c>
    </row>
    <row r="47" customFormat="false" ht="12.75" hidden="true" customHeight="false" outlineLevel="0" collapsed="false">
      <c r="A47" s="120" t="n">
        <f aca="false">A46+1</f>
        <v>36933</v>
      </c>
      <c r="B47" s="131" t="str">
        <f aca="false">INDEX('Master Data'!$A$2:$B$8,MATCH(WEEKDAY(ELETROBOLT!A47,3),'Master Data'!$A$2:$A$8,0),2)</f>
        <v>Su</v>
      </c>
      <c r="D47" s="124" t="n">
        <v>0</v>
      </c>
      <c r="E47" s="124" t="n">
        <v>0</v>
      </c>
      <c r="F47" s="124" t="n">
        <v>0</v>
      </c>
      <c r="G47" s="124" t="n">
        <v>0</v>
      </c>
      <c r="I47" s="124" t="n">
        <f aca="false">IF(MONTH($A47)=MONTH($A46),IF(G47=0,I46,G47),G47)</f>
        <v>0</v>
      </c>
      <c r="J47" s="124" t="n">
        <f aca="false">IF(MONTH($A47)=MONTH($A46),SUM(I47-I46),I47)</f>
        <v>0</v>
      </c>
      <c r="K47" s="124" t="n">
        <f aca="false">IF(WEEKDAY(A47,3)&gt;4,0,(IF(A47&lt;K$2,0,IF(A47&lt;=K$3,1,0))))</f>
        <v>0</v>
      </c>
      <c r="L47" s="124" t="n">
        <f aca="false">J47*K47</f>
        <v>0</v>
      </c>
      <c r="M47" s="124" t="n">
        <f aca="false">SUM(J$6:J47)</f>
        <v>0</v>
      </c>
      <c r="N47" s="124" t="n">
        <f aca="false">SUM(J$6:J47)</f>
        <v>0</v>
      </c>
      <c r="P47" s="124" t="n">
        <f aca="false">D47/P$3</f>
        <v>0</v>
      </c>
      <c r="Q47" s="124" t="n">
        <f aca="false">E47/P$3</f>
        <v>0</v>
      </c>
      <c r="R47" s="124" t="n">
        <f aca="false">F47/R$3</f>
        <v>0</v>
      </c>
      <c r="S47" s="126" t="n">
        <f aca="false">J47/$R$3</f>
        <v>0</v>
      </c>
      <c r="T47" s="126" t="n">
        <f aca="false">L47/$R$3</f>
        <v>0</v>
      </c>
      <c r="U47" s="126" t="n">
        <f aca="false">I47/$R$3</f>
        <v>0</v>
      </c>
      <c r="V47" s="126" t="n">
        <f aca="false">M47/$R$3</f>
        <v>0</v>
      </c>
      <c r="W47" s="126" t="n">
        <f aca="false">N47/$R$3</f>
        <v>0</v>
      </c>
    </row>
    <row r="48" customFormat="false" ht="12.75" hidden="true" customHeight="false" outlineLevel="0" collapsed="false">
      <c r="A48" s="120" t="n">
        <f aca="false">A47+1</f>
        <v>36934</v>
      </c>
      <c r="B48" s="131" t="str">
        <f aca="false">INDEX('Master Data'!$A$2:$B$8,MATCH(WEEKDAY(ELETROBOLT!A48,3),'Master Data'!$A$2:$A$8,0),2)</f>
        <v>M</v>
      </c>
      <c r="D48" s="124" t="n">
        <v>0</v>
      </c>
      <c r="E48" s="124" t="n">
        <v>0</v>
      </c>
      <c r="F48" s="124" t="n">
        <v>0</v>
      </c>
      <c r="G48" s="124" t="n">
        <v>0</v>
      </c>
      <c r="I48" s="124" t="n">
        <f aca="false">IF(MONTH($A48)=MONTH($A47),IF(G48=0,I47,G48),G48)</f>
        <v>0</v>
      </c>
      <c r="J48" s="124" t="n">
        <f aca="false">IF(MONTH($A48)=MONTH($A47),SUM(I48-I47),I48)</f>
        <v>0</v>
      </c>
      <c r="K48" s="124" t="n">
        <f aca="false">IF(WEEKDAY(A48,3)&gt;4,0,(IF(A48&lt;K$2,0,IF(A48&lt;=K$3,1,0))))</f>
        <v>0</v>
      </c>
      <c r="L48" s="124" t="n">
        <f aca="false">J48*K48</f>
        <v>0</v>
      </c>
      <c r="M48" s="124" t="n">
        <f aca="false">SUM(J$6:J48)</f>
        <v>0</v>
      </c>
      <c r="N48" s="124" t="n">
        <f aca="false">SUM(J$6:J48)</f>
        <v>0</v>
      </c>
      <c r="P48" s="124" t="n">
        <f aca="false">D48/P$3</f>
        <v>0</v>
      </c>
      <c r="Q48" s="124" t="n">
        <f aca="false">E48/P$3</f>
        <v>0</v>
      </c>
      <c r="R48" s="124" t="n">
        <f aca="false">F48/R$3</f>
        <v>0</v>
      </c>
      <c r="S48" s="126" t="n">
        <f aca="false">J48/$R$3</f>
        <v>0</v>
      </c>
      <c r="T48" s="126" t="n">
        <f aca="false">L48/$R$3</f>
        <v>0</v>
      </c>
      <c r="U48" s="126" t="n">
        <f aca="false">I48/$R$3</f>
        <v>0</v>
      </c>
      <c r="V48" s="126" t="n">
        <f aca="false">M48/$R$3</f>
        <v>0</v>
      </c>
      <c r="W48" s="126" t="n">
        <f aca="false">N48/$R$3</f>
        <v>0</v>
      </c>
    </row>
    <row r="49" customFormat="false" ht="12.75" hidden="true" customHeight="false" outlineLevel="0" collapsed="false">
      <c r="A49" s="120" t="n">
        <f aca="false">A48+1</f>
        <v>36935</v>
      </c>
      <c r="B49" s="131" t="str">
        <f aca="false">INDEX('Master Data'!$A$2:$B$8,MATCH(WEEKDAY(ELETROBOLT!A49,3),'Master Data'!$A$2:$A$8,0),2)</f>
        <v>T</v>
      </c>
      <c r="D49" s="124" t="n">
        <v>0</v>
      </c>
      <c r="E49" s="124" t="n">
        <v>0</v>
      </c>
      <c r="F49" s="124" t="n">
        <v>0</v>
      </c>
      <c r="G49" s="124" t="n">
        <v>0</v>
      </c>
      <c r="I49" s="124" t="n">
        <f aca="false">IF(MONTH($A49)=MONTH($A48),IF(G49=0,I48,G49),G49)</f>
        <v>0</v>
      </c>
      <c r="J49" s="124" t="n">
        <f aca="false">IF(MONTH($A49)=MONTH($A48),SUM(I49-I48),I49)</f>
        <v>0</v>
      </c>
      <c r="K49" s="124" t="n">
        <f aca="false">IF(WEEKDAY(A49,3)&gt;4,0,(IF(A49&lt;K$2,0,IF(A49&lt;=K$3,1,0))))</f>
        <v>0</v>
      </c>
      <c r="L49" s="124" t="n">
        <f aca="false">J49*K49</f>
        <v>0</v>
      </c>
      <c r="M49" s="124" t="n">
        <f aca="false">SUM(J$6:J49)</f>
        <v>0</v>
      </c>
      <c r="N49" s="124" t="n">
        <f aca="false">SUM(J$6:J49)</f>
        <v>0</v>
      </c>
      <c r="P49" s="124" t="n">
        <f aca="false">D49/P$3</f>
        <v>0</v>
      </c>
      <c r="Q49" s="124" t="n">
        <f aca="false">E49/P$3</f>
        <v>0</v>
      </c>
      <c r="R49" s="124" t="n">
        <f aca="false">F49/R$3</f>
        <v>0</v>
      </c>
      <c r="S49" s="126" t="n">
        <f aca="false">J49/$R$3</f>
        <v>0</v>
      </c>
      <c r="T49" s="126" t="n">
        <f aca="false">L49/$R$3</f>
        <v>0</v>
      </c>
      <c r="U49" s="126" t="n">
        <f aca="false">I49/$R$3</f>
        <v>0</v>
      </c>
      <c r="V49" s="126" t="n">
        <f aca="false">M49/$R$3</f>
        <v>0</v>
      </c>
      <c r="W49" s="126" t="n">
        <f aca="false">N49/$R$3</f>
        <v>0</v>
      </c>
    </row>
    <row r="50" customFormat="false" ht="12.75" hidden="true" customHeight="false" outlineLevel="0" collapsed="false">
      <c r="A50" s="120" t="n">
        <f aca="false">A49+1</f>
        <v>36936</v>
      </c>
      <c r="B50" s="131" t="str">
        <f aca="false">INDEX('Master Data'!$A$2:$B$8,MATCH(WEEKDAY(ELETROBOLT!A50,3),'Master Data'!$A$2:$A$8,0),2)</f>
        <v>W</v>
      </c>
      <c r="D50" s="124" t="n">
        <v>0</v>
      </c>
      <c r="E50" s="124" t="n">
        <v>0</v>
      </c>
      <c r="F50" s="124" t="n">
        <v>0</v>
      </c>
      <c r="G50" s="124" t="n">
        <v>0</v>
      </c>
      <c r="I50" s="124" t="n">
        <f aca="false">IF(MONTH($A50)=MONTH($A49),IF(G50=0,I49,G50),G50)</f>
        <v>0</v>
      </c>
      <c r="J50" s="124" t="n">
        <f aca="false">IF(MONTH($A50)=MONTH($A49),SUM(I50-I49),I50)</f>
        <v>0</v>
      </c>
      <c r="K50" s="124" t="n">
        <f aca="false">IF(WEEKDAY(A50,3)&gt;4,0,(IF(A50&lt;K$2,0,IF(A50&lt;=K$3,1,0))))</f>
        <v>0</v>
      </c>
      <c r="L50" s="124" t="n">
        <f aca="false">J50*K50</f>
        <v>0</v>
      </c>
      <c r="M50" s="124" t="n">
        <f aca="false">SUM(J$6:J50)</f>
        <v>0</v>
      </c>
      <c r="N50" s="124" t="n">
        <f aca="false">SUM(J$6:J50)</f>
        <v>0</v>
      </c>
      <c r="P50" s="124" t="n">
        <f aca="false">D50/P$3</f>
        <v>0</v>
      </c>
      <c r="Q50" s="124" t="n">
        <f aca="false">E50/P$3</f>
        <v>0</v>
      </c>
      <c r="R50" s="124" t="n">
        <f aca="false">F50/R$3</f>
        <v>0</v>
      </c>
      <c r="S50" s="126" t="n">
        <f aca="false">J50/$R$3</f>
        <v>0</v>
      </c>
      <c r="T50" s="126" t="n">
        <f aca="false">L50/$R$3</f>
        <v>0</v>
      </c>
      <c r="U50" s="126" t="n">
        <f aca="false">I50/$R$3</f>
        <v>0</v>
      </c>
      <c r="V50" s="126" t="n">
        <f aca="false">M50/$R$3</f>
        <v>0</v>
      </c>
      <c r="W50" s="126" t="n">
        <f aca="false">N50/$R$3</f>
        <v>0</v>
      </c>
    </row>
    <row r="51" customFormat="false" ht="12.75" hidden="true" customHeight="false" outlineLevel="0" collapsed="false">
      <c r="A51" s="120" t="n">
        <f aca="false">A50+1</f>
        <v>36937</v>
      </c>
      <c r="B51" s="131" t="str">
        <f aca="false">INDEX('Master Data'!$A$2:$B$8,MATCH(WEEKDAY(ELETROBOLT!A51,3),'Master Data'!$A$2:$A$8,0),2)</f>
        <v>Th</v>
      </c>
      <c r="D51" s="124" t="n">
        <v>0</v>
      </c>
      <c r="E51" s="124" t="n">
        <v>0</v>
      </c>
      <c r="F51" s="124" t="n">
        <v>0</v>
      </c>
      <c r="G51" s="124" t="n">
        <v>0</v>
      </c>
      <c r="I51" s="124" t="n">
        <f aca="false">IF(MONTH($A51)=MONTH($A50),IF(G51=0,I50,G51),G51)</f>
        <v>0</v>
      </c>
      <c r="J51" s="124" t="n">
        <f aca="false">IF(MONTH($A51)=MONTH($A50),SUM(I51-I50),I51)</f>
        <v>0</v>
      </c>
      <c r="K51" s="124" t="n">
        <f aca="false">IF(WEEKDAY(A51,3)&gt;4,0,(IF(A51&lt;K$2,0,IF(A51&lt;=K$3,1,0))))</f>
        <v>0</v>
      </c>
      <c r="L51" s="124" t="n">
        <f aca="false">J51*K51</f>
        <v>0</v>
      </c>
      <c r="M51" s="124" t="n">
        <f aca="false">SUM(J$6:J51)</f>
        <v>0</v>
      </c>
      <c r="N51" s="124" t="n">
        <f aca="false">SUM(J$6:J51)</f>
        <v>0</v>
      </c>
      <c r="P51" s="124" t="n">
        <f aca="false">D51/P$3</f>
        <v>0</v>
      </c>
      <c r="Q51" s="124" t="n">
        <f aca="false">E51/P$3</f>
        <v>0</v>
      </c>
      <c r="R51" s="124" t="n">
        <f aca="false">F51/R$3</f>
        <v>0</v>
      </c>
      <c r="S51" s="126" t="n">
        <f aca="false">J51/$R$3</f>
        <v>0</v>
      </c>
      <c r="T51" s="126" t="n">
        <f aca="false">L51/$R$3</f>
        <v>0</v>
      </c>
      <c r="U51" s="126" t="n">
        <f aca="false">I51/$R$3</f>
        <v>0</v>
      </c>
      <c r="V51" s="126" t="n">
        <f aca="false">M51/$R$3</f>
        <v>0</v>
      </c>
      <c r="W51" s="126" t="n">
        <f aca="false">N51/$R$3</f>
        <v>0</v>
      </c>
    </row>
    <row r="52" customFormat="false" ht="12.75" hidden="true" customHeight="false" outlineLevel="0" collapsed="false">
      <c r="A52" s="120" t="n">
        <f aca="false">A51+1</f>
        <v>36938</v>
      </c>
      <c r="B52" s="131" t="str">
        <f aca="false">INDEX('Master Data'!$A$2:$B$8,MATCH(WEEKDAY(ELETROBOLT!A52,3),'Master Data'!$A$2:$A$8,0),2)</f>
        <v>F</v>
      </c>
      <c r="D52" s="124" t="n">
        <v>0</v>
      </c>
      <c r="E52" s="124" t="n">
        <v>0</v>
      </c>
      <c r="F52" s="124" t="n">
        <v>0</v>
      </c>
      <c r="G52" s="124" t="n">
        <v>0</v>
      </c>
      <c r="I52" s="124" t="n">
        <f aca="false">IF(MONTH($A52)=MONTH($A51),IF(G52=0,I51,G52),G52)</f>
        <v>0</v>
      </c>
      <c r="J52" s="124" t="n">
        <f aca="false">IF(MONTH($A52)=MONTH($A51),SUM(I52-I51),I52)</f>
        <v>0</v>
      </c>
      <c r="K52" s="124" t="n">
        <f aca="false">IF(WEEKDAY(A52,3)&gt;4,0,(IF(A52&lt;K$2,0,IF(A52&lt;=K$3,1,0))))</f>
        <v>0</v>
      </c>
      <c r="L52" s="124" t="n">
        <f aca="false">J52*K52</f>
        <v>0</v>
      </c>
      <c r="M52" s="124" t="n">
        <f aca="false">SUM(J$6:J52)</f>
        <v>0</v>
      </c>
      <c r="N52" s="124" t="n">
        <f aca="false">SUM(J$6:J52)</f>
        <v>0</v>
      </c>
      <c r="P52" s="124" t="n">
        <f aca="false">D52/P$3</f>
        <v>0</v>
      </c>
      <c r="Q52" s="124" t="n">
        <f aca="false">E52/P$3</f>
        <v>0</v>
      </c>
      <c r="R52" s="124" t="n">
        <f aca="false">F52/R$3</f>
        <v>0</v>
      </c>
      <c r="S52" s="126" t="n">
        <f aca="false">J52/$R$3</f>
        <v>0</v>
      </c>
      <c r="T52" s="126" t="n">
        <f aca="false">L52/$R$3</f>
        <v>0</v>
      </c>
      <c r="U52" s="126" t="n">
        <f aca="false">I52/$R$3</f>
        <v>0</v>
      </c>
      <c r="V52" s="126" t="n">
        <f aca="false">M52/$R$3</f>
        <v>0</v>
      </c>
      <c r="W52" s="126" t="n">
        <f aca="false">N52/$R$3</f>
        <v>0</v>
      </c>
    </row>
    <row r="53" customFormat="false" ht="12.75" hidden="true" customHeight="false" outlineLevel="0" collapsed="false">
      <c r="A53" s="120" t="n">
        <f aca="false">A52+1</f>
        <v>36939</v>
      </c>
      <c r="B53" s="131" t="str">
        <f aca="false">INDEX('Master Data'!$A$2:$B$8,MATCH(WEEKDAY(ELETROBOLT!A53,3),'Master Data'!$A$2:$A$8,0),2)</f>
        <v>Sa</v>
      </c>
      <c r="D53" s="124" t="n">
        <v>0</v>
      </c>
      <c r="E53" s="124" t="n">
        <v>0</v>
      </c>
      <c r="F53" s="124" t="n">
        <v>0</v>
      </c>
      <c r="G53" s="124" t="n">
        <v>0</v>
      </c>
      <c r="I53" s="124" t="n">
        <f aca="false">IF(MONTH($A53)=MONTH($A52),IF(G53=0,I52,G53),G53)</f>
        <v>0</v>
      </c>
      <c r="J53" s="124" t="n">
        <f aca="false">IF(MONTH($A53)=MONTH($A52),SUM(I53-I52),I53)</f>
        <v>0</v>
      </c>
      <c r="K53" s="124" t="n">
        <f aca="false">IF(WEEKDAY(A53,3)&gt;4,0,(IF(A53&lt;K$2,0,IF(A53&lt;=K$3,1,0))))</f>
        <v>0</v>
      </c>
      <c r="L53" s="124" t="n">
        <f aca="false">J53*K53</f>
        <v>0</v>
      </c>
      <c r="M53" s="124" t="n">
        <f aca="false">SUM(J$6:J53)</f>
        <v>0</v>
      </c>
      <c r="N53" s="124" t="n">
        <f aca="false">SUM(J$6:J53)</f>
        <v>0</v>
      </c>
      <c r="P53" s="124" t="n">
        <f aca="false">D53/P$3</f>
        <v>0</v>
      </c>
      <c r="Q53" s="124" t="n">
        <f aca="false">E53/P$3</f>
        <v>0</v>
      </c>
      <c r="R53" s="124" t="n">
        <f aca="false">F53/R$3</f>
        <v>0</v>
      </c>
      <c r="S53" s="126" t="n">
        <f aca="false">J53/$R$3</f>
        <v>0</v>
      </c>
      <c r="T53" s="126" t="n">
        <f aca="false">L53/$R$3</f>
        <v>0</v>
      </c>
      <c r="U53" s="126" t="n">
        <f aca="false">I53/$R$3</f>
        <v>0</v>
      </c>
      <c r="V53" s="126" t="n">
        <f aca="false">M53/$R$3</f>
        <v>0</v>
      </c>
      <c r="W53" s="126" t="n">
        <f aca="false">N53/$R$3</f>
        <v>0</v>
      </c>
    </row>
    <row r="54" customFormat="false" ht="12.75" hidden="true" customHeight="false" outlineLevel="0" collapsed="false">
      <c r="A54" s="120" t="n">
        <f aca="false">A53+1</f>
        <v>36940</v>
      </c>
      <c r="B54" s="131" t="str">
        <f aca="false">INDEX('Master Data'!$A$2:$B$8,MATCH(WEEKDAY(ELETROBOLT!A54,3),'Master Data'!$A$2:$A$8,0),2)</f>
        <v>Su</v>
      </c>
      <c r="D54" s="124" t="n">
        <v>0</v>
      </c>
      <c r="E54" s="124" t="n">
        <v>0</v>
      </c>
      <c r="F54" s="124" t="n">
        <v>0</v>
      </c>
      <c r="G54" s="124" t="n">
        <v>0</v>
      </c>
      <c r="I54" s="124" t="n">
        <f aca="false">IF(MONTH($A54)=MONTH($A53),IF(G54=0,I53,G54),G54)</f>
        <v>0</v>
      </c>
      <c r="J54" s="124" t="n">
        <f aca="false">IF(MONTH($A54)=MONTH($A53),SUM(I54-I53),I54)</f>
        <v>0</v>
      </c>
      <c r="K54" s="124" t="n">
        <f aca="false">IF(WEEKDAY(A54,3)&gt;4,0,(IF(A54&lt;K$2,0,IF(A54&lt;=K$3,1,0))))</f>
        <v>0</v>
      </c>
      <c r="L54" s="124" t="n">
        <f aca="false">J54*K54</f>
        <v>0</v>
      </c>
      <c r="M54" s="124" t="n">
        <f aca="false">SUM(J$6:J54)</f>
        <v>0</v>
      </c>
      <c r="N54" s="124" t="n">
        <f aca="false">SUM(J$6:J54)</f>
        <v>0</v>
      </c>
      <c r="P54" s="124" t="n">
        <f aca="false">D54/P$3</f>
        <v>0</v>
      </c>
      <c r="Q54" s="124" t="n">
        <f aca="false">E54/P$3</f>
        <v>0</v>
      </c>
      <c r="R54" s="124" t="n">
        <f aca="false">F54/R$3</f>
        <v>0</v>
      </c>
      <c r="S54" s="126" t="n">
        <f aca="false">J54/$R$3</f>
        <v>0</v>
      </c>
      <c r="T54" s="126" t="n">
        <f aca="false">L54/$R$3</f>
        <v>0</v>
      </c>
      <c r="U54" s="126" t="n">
        <f aca="false">I54/$R$3</f>
        <v>0</v>
      </c>
      <c r="V54" s="126" t="n">
        <f aca="false">M54/$R$3</f>
        <v>0</v>
      </c>
      <c r="W54" s="126" t="n">
        <f aca="false">N54/$R$3</f>
        <v>0</v>
      </c>
    </row>
    <row r="55" customFormat="false" ht="12.75" hidden="true" customHeight="false" outlineLevel="0" collapsed="false">
      <c r="A55" s="120" t="n">
        <f aca="false">A54+1</f>
        <v>36941</v>
      </c>
      <c r="B55" s="131" t="str">
        <f aca="false">INDEX('Master Data'!$A$2:$B$8,MATCH(WEEKDAY(ELETROBOLT!A55,3),'Master Data'!$A$2:$A$8,0),2)</f>
        <v>M</v>
      </c>
      <c r="D55" s="124" t="n">
        <v>0</v>
      </c>
      <c r="E55" s="124" t="n">
        <v>0</v>
      </c>
      <c r="F55" s="124" t="n">
        <v>0</v>
      </c>
      <c r="G55" s="124" t="n">
        <v>0</v>
      </c>
      <c r="I55" s="124" t="n">
        <f aca="false">IF(MONTH($A55)=MONTH($A54),IF(G55=0,I54,G55),G55)</f>
        <v>0</v>
      </c>
      <c r="J55" s="124" t="n">
        <f aca="false">IF(MONTH($A55)=MONTH($A54),SUM(I55-I54),I55)</f>
        <v>0</v>
      </c>
      <c r="K55" s="124" t="n">
        <f aca="false">IF(WEEKDAY(A55,3)&gt;4,0,(IF(A55&lt;K$2,0,IF(A55&lt;=K$3,1,0))))</f>
        <v>0</v>
      </c>
      <c r="L55" s="124" t="n">
        <f aca="false">J55*K55</f>
        <v>0</v>
      </c>
      <c r="M55" s="124" t="n">
        <f aca="false">SUM(J$6:J55)</f>
        <v>0</v>
      </c>
      <c r="N55" s="124" t="n">
        <f aca="false">SUM(J$6:J55)</f>
        <v>0</v>
      </c>
      <c r="P55" s="124" t="n">
        <f aca="false">D55/P$3</f>
        <v>0</v>
      </c>
      <c r="Q55" s="124" t="n">
        <f aca="false">E55/P$3</f>
        <v>0</v>
      </c>
      <c r="R55" s="124" t="n">
        <f aca="false">F55/R$3</f>
        <v>0</v>
      </c>
      <c r="S55" s="126" t="n">
        <f aca="false">J55/$R$3</f>
        <v>0</v>
      </c>
      <c r="T55" s="126" t="n">
        <f aca="false">L55/$R$3</f>
        <v>0</v>
      </c>
      <c r="U55" s="126" t="n">
        <f aca="false">I55/$R$3</f>
        <v>0</v>
      </c>
      <c r="V55" s="126" t="n">
        <f aca="false">M55/$R$3</f>
        <v>0</v>
      </c>
      <c r="W55" s="126" t="n">
        <f aca="false">N55/$R$3</f>
        <v>0</v>
      </c>
    </row>
    <row r="56" customFormat="false" ht="12.75" hidden="true" customHeight="false" outlineLevel="0" collapsed="false">
      <c r="A56" s="120" t="n">
        <f aca="false">A55+1</f>
        <v>36942</v>
      </c>
      <c r="B56" s="131" t="str">
        <f aca="false">INDEX('Master Data'!$A$2:$B$8,MATCH(WEEKDAY(ELETROBOLT!A56,3),'Master Data'!$A$2:$A$8,0),2)</f>
        <v>T</v>
      </c>
      <c r="D56" s="124" t="n">
        <v>0</v>
      </c>
      <c r="E56" s="124" t="n">
        <v>0</v>
      </c>
      <c r="F56" s="124" t="n">
        <v>0</v>
      </c>
      <c r="G56" s="124" t="n">
        <v>0</v>
      </c>
      <c r="I56" s="124" t="n">
        <f aca="false">IF(MONTH($A56)=MONTH($A55),IF(G56=0,I55,G56),G56)</f>
        <v>0</v>
      </c>
      <c r="J56" s="124" t="n">
        <f aca="false">IF(MONTH($A56)=MONTH($A55),SUM(I56-I55),I56)</f>
        <v>0</v>
      </c>
      <c r="K56" s="124" t="n">
        <f aca="false">IF(WEEKDAY(A56,3)&gt;4,0,(IF(A56&lt;K$2,0,IF(A56&lt;=K$3,1,0))))</f>
        <v>0</v>
      </c>
      <c r="L56" s="124" t="n">
        <f aca="false">J56*K56</f>
        <v>0</v>
      </c>
      <c r="M56" s="124" t="n">
        <f aca="false">SUM(J$6:J56)</f>
        <v>0</v>
      </c>
      <c r="N56" s="124" t="n">
        <f aca="false">SUM(J$6:J56)</f>
        <v>0</v>
      </c>
      <c r="P56" s="124" t="n">
        <f aca="false">D56/P$3</f>
        <v>0</v>
      </c>
      <c r="Q56" s="124" t="n">
        <f aca="false">E56/P$3</f>
        <v>0</v>
      </c>
      <c r="R56" s="124" t="n">
        <f aca="false">F56/R$3</f>
        <v>0</v>
      </c>
      <c r="S56" s="126" t="n">
        <f aca="false">J56/$R$3</f>
        <v>0</v>
      </c>
      <c r="T56" s="126" t="n">
        <f aca="false">L56/$R$3</f>
        <v>0</v>
      </c>
      <c r="U56" s="126" t="n">
        <f aca="false">I56/$R$3</f>
        <v>0</v>
      </c>
      <c r="V56" s="126" t="n">
        <f aca="false">M56/$R$3</f>
        <v>0</v>
      </c>
      <c r="W56" s="126" t="n">
        <f aca="false">N56/$R$3</f>
        <v>0</v>
      </c>
    </row>
    <row r="57" customFormat="false" ht="12.75" hidden="true" customHeight="false" outlineLevel="0" collapsed="false">
      <c r="A57" s="120" t="n">
        <f aca="false">A56+1</f>
        <v>36943</v>
      </c>
      <c r="B57" s="131" t="str">
        <f aca="false">INDEX('Master Data'!$A$2:$B$8,MATCH(WEEKDAY(ELETROBOLT!A57,3),'Master Data'!$A$2:$A$8,0),2)</f>
        <v>W</v>
      </c>
      <c r="D57" s="124" t="n">
        <v>0</v>
      </c>
      <c r="E57" s="124" t="n">
        <v>0</v>
      </c>
      <c r="F57" s="124" t="n">
        <v>0</v>
      </c>
      <c r="G57" s="124" t="n">
        <v>0</v>
      </c>
      <c r="I57" s="124" t="n">
        <f aca="false">IF(MONTH($A57)=MONTH($A56),IF(G57=0,I56,G57),G57)</f>
        <v>0</v>
      </c>
      <c r="J57" s="124" t="n">
        <f aca="false">IF(MONTH($A57)=MONTH($A56),SUM(I57-I56),I57)</f>
        <v>0</v>
      </c>
      <c r="K57" s="124" t="n">
        <f aca="false">IF(WEEKDAY(A57,3)&gt;4,0,(IF(A57&lt;K$2,0,IF(A57&lt;=K$3,1,0))))</f>
        <v>0</v>
      </c>
      <c r="L57" s="124" t="n">
        <f aca="false">J57*K57</f>
        <v>0</v>
      </c>
      <c r="M57" s="124" t="n">
        <f aca="false">SUM(J$6:J57)</f>
        <v>0</v>
      </c>
      <c r="N57" s="124" t="n">
        <f aca="false">SUM(J$6:J57)</f>
        <v>0</v>
      </c>
      <c r="P57" s="124" t="n">
        <f aca="false">D57/P$3</f>
        <v>0</v>
      </c>
      <c r="Q57" s="124" t="n">
        <f aca="false">E57/P$3</f>
        <v>0</v>
      </c>
      <c r="R57" s="124" t="n">
        <f aca="false">F57/R$3</f>
        <v>0</v>
      </c>
      <c r="S57" s="126" t="n">
        <f aca="false">J57/$R$3</f>
        <v>0</v>
      </c>
      <c r="T57" s="126" t="n">
        <f aca="false">L57/$R$3</f>
        <v>0</v>
      </c>
      <c r="U57" s="126" t="n">
        <f aca="false">I57/$R$3</f>
        <v>0</v>
      </c>
      <c r="V57" s="126" t="n">
        <f aca="false">M57/$R$3</f>
        <v>0</v>
      </c>
      <c r="W57" s="126" t="n">
        <f aca="false">N57/$R$3</f>
        <v>0</v>
      </c>
    </row>
    <row r="58" customFormat="false" ht="12.75" hidden="true" customHeight="false" outlineLevel="0" collapsed="false">
      <c r="A58" s="120" t="n">
        <f aca="false">A57+1</f>
        <v>36944</v>
      </c>
      <c r="B58" s="131" t="str">
        <f aca="false">INDEX('Master Data'!$A$2:$B$8,MATCH(WEEKDAY(ELETROBOLT!A58,3),'Master Data'!$A$2:$A$8,0),2)</f>
        <v>Th</v>
      </c>
      <c r="D58" s="124" t="n">
        <v>0</v>
      </c>
      <c r="E58" s="124" t="n">
        <v>0</v>
      </c>
      <c r="F58" s="124" t="n">
        <v>0</v>
      </c>
      <c r="G58" s="124" t="n">
        <v>0</v>
      </c>
      <c r="I58" s="124" t="n">
        <f aca="false">IF(MONTH($A58)=MONTH($A57),IF(G58=0,I57,G58),G58)</f>
        <v>0</v>
      </c>
      <c r="J58" s="124" t="n">
        <f aca="false">IF(MONTH($A58)=MONTH($A57),SUM(I58-I57),I58)</f>
        <v>0</v>
      </c>
      <c r="K58" s="124" t="n">
        <f aca="false">IF(WEEKDAY(A58,3)&gt;4,0,(IF(A58&lt;K$2,0,IF(A58&lt;=K$3,1,0))))</f>
        <v>0</v>
      </c>
      <c r="L58" s="124" t="n">
        <f aca="false">J58*K58</f>
        <v>0</v>
      </c>
      <c r="M58" s="124" t="n">
        <f aca="false">SUM(J$6:J58)</f>
        <v>0</v>
      </c>
      <c r="N58" s="124" t="n">
        <f aca="false">SUM(J$6:J58)</f>
        <v>0</v>
      </c>
      <c r="P58" s="124" t="n">
        <f aca="false">D58/P$3</f>
        <v>0</v>
      </c>
      <c r="Q58" s="124" t="n">
        <f aca="false">E58/P$3</f>
        <v>0</v>
      </c>
      <c r="R58" s="124" t="n">
        <f aca="false">F58/R$3</f>
        <v>0</v>
      </c>
      <c r="S58" s="126" t="n">
        <f aca="false">J58/$R$3</f>
        <v>0</v>
      </c>
      <c r="T58" s="126" t="n">
        <f aca="false">L58/$R$3</f>
        <v>0</v>
      </c>
      <c r="U58" s="126" t="n">
        <f aca="false">I58/$R$3</f>
        <v>0</v>
      </c>
      <c r="V58" s="126" t="n">
        <f aca="false">M58/$R$3</f>
        <v>0</v>
      </c>
      <c r="W58" s="126" t="n">
        <f aca="false">N58/$R$3</f>
        <v>0</v>
      </c>
    </row>
    <row r="59" customFormat="false" ht="12.75" hidden="true" customHeight="false" outlineLevel="0" collapsed="false">
      <c r="A59" s="120" t="n">
        <f aca="false">A58+1</f>
        <v>36945</v>
      </c>
      <c r="B59" s="131" t="str">
        <f aca="false">INDEX('Master Data'!$A$2:$B$8,MATCH(WEEKDAY(ELETROBOLT!A59,3),'Master Data'!$A$2:$A$8,0),2)</f>
        <v>F</v>
      </c>
      <c r="D59" s="124" t="n">
        <v>0</v>
      </c>
      <c r="E59" s="124" t="n">
        <v>0</v>
      </c>
      <c r="F59" s="124" t="n">
        <v>0</v>
      </c>
      <c r="G59" s="124" t="n">
        <v>0</v>
      </c>
      <c r="I59" s="124" t="n">
        <f aca="false">IF(MONTH($A59)=MONTH($A58),IF(G59=0,I58,G59),G59)</f>
        <v>0</v>
      </c>
      <c r="J59" s="124" t="n">
        <f aca="false">IF(MONTH($A59)=MONTH($A58),SUM(I59-I58),I59)</f>
        <v>0</v>
      </c>
      <c r="K59" s="124" t="n">
        <f aca="false">IF(WEEKDAY(A59,3)&gt;4,0,(IF(A59&lt;K$2,0,IF(A59&lt;=K$3,1,0))))</f>
        <v>0</v>
      </c>
      <c r="L59" s="124" t="n">
        <f aca="false">J59*K59</f>
        <v>0</v>
      </c>
      <c r="M59" s="124" t="n">
        <f aca="false">SUM(J$6:J59)</f>
        <v>0</v>
      </c>
      <c r="N59" s="124" t="n">
        <f aca="false">SUM(J$6:J59)</f>
        <v>0</v>
      </c>
      <c r="P59" s="124" t="n">
        <f aca="false">D59/P$3</f>
        <v>0</v>
      </c>
      <c r="Q59" s="124" t="n">
        <f aca="false">E59/P$3</f>
        <v>0</v>
      </c>
      <c r="R59" s="124" t="n">
        <f aca="false">F59/R$3</f>
        <v>0</v>
      </c>
      <c r="S59" s="126" t="n">
        <f aca="false">J59/$R$3</f>
        <v>0</v>
      </c>
      <c r="T59" s="126" t="n">
        <f aca="false">L59/$R$3</f>
        <v>0</v>
      </c>
      <c r="U59" s="126" t="n">
        <f aca="false">I59/$R$3</f>
        <v>0</v>
      </c>
      <c r="V59" s="126" t="n">
        <f aca="false">M59/$R$3</f>
        <v>0</v>
      </c>
      <c r="W59" s="126" t="n">
        <f aca="false">N59/$R$3</f>
        <v>0</v>
      </c>
    </row>
    <row r="60" customFormat="false" ht="12.75" hidden="true" customHeight="false" outlineLevel="0" collapsed="false">
      <c r="A60" s="120" t="n">
        <f aca="false">A59+1</f>
        <v>36946</v>
      </c>
      <c r="B60" s="131" t="str">
        <f aca="false">INDEX('Master Data'!$A$2:$B$8,MATCH(WEEKDAY(ELETROBOLT!A60,3),'Master Data'!$A$2:$A$8,0),2)</f>
        <v>Sa</v>
      </c>
      <c r="D60" s="124" t="n">
        <v>0</v>
      </c>
      <c r="E60" s="124" t="n">
        <v>0</v>
      </c>
      <c r="F60" s="124" t="n">
        <v>0</v>
      </c>
      <c r="G60" s="124" t="n">
        <v>0</v>
      </c>
      <c r="I60" s="124" t="n">
        <f aca="false">IF(MONTH($A60)=MONTH($A59),IF(G60=0,I59,G60),G60)</f>
        <v>0</v>
      </c>
      <c r="J60" s="124" t="n">
        <f aca="false">IF(MONTH($A60)=MONTH($A59),SUM(I60-I59),I60)</f>
        <v>0</v>
      </c>
      <c r="K60" s="124" t="n">
        <f aca="false">IF(WEEKDAY(A60,3)&gt;4,0,(IF(A60&lt;K$2,0,IF(A60&lt;=K$3,1,0))))</f>
        <v>0</v>
      </c>
      <c r="L60" s="124" t="n">
        <f aca="false">J60*K60</f>
        <v>0</v>
      </c>
      <c r="M60" s="124" t="n">
        <f aca="false">SUM(J$6:J60)</f>
        <v>0</v>
      </c>
      <c r="N60" s="124" t="n">
        <f aca="false">SUM(J$6:J60)</f>
        <v>0</v>
      </c>
      <c r="P60" s="124" t="n">
        <f aca="false">D60/P$3</f>
        <v>0</v>
      </c>
      <c r="Q60" s="124" t="n">
        <f aca="false">E60/P$3</f>
        <v>0</v>
      </c>
      <c r="R60" s="124" t="n">
        <f aca="false">F60/R$3</f>
        <v>0</v>
      </c>
      <c r="S60" s="126" t="n">
        <f aca="false">J60/$R$3</f>
        <v>0</v>
      </c>
      <c r="T60" s="126" t="n">
        <f aca="false">L60/$R$3</f>
        <v>0</v>
      </c>
      <c r="U60" s="126" t="n">
        <f aca="false">I60/$R$3</f>
        <v>0</v>
      </c>
      <c r="V60" s="126" t="n">
        <f aca="false">M60/$R$3</f>
        <v>0</v>
      </c>
      <c r="W60" s="126" t="n">
        <f aca="false">N60/$R$3</f>
        <v>0</v>
      </c>
    </row>
    <row r="61" customFormat="false" ht="12.75" hidden="true" customHeight="false" outlineLevel="0" collapsed="false">
      <c r="A61" s="120" t="n">
        <f aca="false">A60+1</f>
        <v>36947</v>
      </c>
      <c r="B61" s="131" t="str">
        <f aca="false">INDEX('Master Data'!$A$2:$B$8,MATCH(WEEKDAY(ELETROBOLT!A61,3),'Master Data'!$A$2:$A$8,0),2)</f>
        <v>Su</v>
      </c>
      <c r="D61" s="124" t="n">
        <v>0</v>
      </c>
      <c r="E61" s="124" t="n">
        <v>0</v>
      </c>
      <c r="F61" s="124" t="n">
        <v>0</v>
      </c>
      <c r="G61" s="124" t="n">
        <v>0</v>
      </c>
      <c r="I61" s="124" t="n">
        <f aca="false">IF(MONTH($A61)=MONTH($A60),IF(G61=0,I60,G61),G61)</f>
        <v>0</v>
      </c>
      <c r="J61" s="124" t="n">
        <f aca="false">IF(MONTH($A61)=MONTH($A60),SUM(I61-I60),I61)</f>
        <v>0</v>
      </c>
      <c r="K61" s="124" t="n">
        <f aca="false">IF(WEEKDAY(A61,3)&gt;4,0,(IF(A61&lt;K$2,0,IF(A61&lt;=K$3,1,0))))</f>
        <v>0</v>
      </c>
      <c r="L61" s="124" t="n">
        <f aca="false">J61*K61</f>
        <v>0</v>
      </c>
      <c r="M61" s="124" t="n">
        <f aca="false">SUM(J$6:J61)</f>
        <v>0</v>
      </c>
      <c r="N61" s="124" t="n">
        <f aca="false">SUM(J$6:J61)</f>
        <v>0</v>
      </c>
      <c r="P61" s="124" t="n">
        <f aca="false">D61/P$3</f>
        <v>0</v>
      </c>
      <c r="Q61" s="124" t="n">
        <f aca="false">E61/P$3</f>
        <v>0</v>
      </c>
      <c r="R61" s="124" t="n">
        <f aca="false">F61/R$3</f>
        <v>0</v>
      </c>
      <c r="S61" s="126" t="n">
        <f aca="false">J61/$R$3</f>
        <v>0</v>
      </c>
      <c r="T61" s="126" t="n">
        <f aca="false">L61/$R$3</f>
        <v>0</v>
      </c>
      <c r="U61" s="126" t="n">
        <f aca="false">I61/$R$3</f>
        <v>0</v>
      </c>
      <c r="V61" s="126" t="n">
        <f aca="false">M61/$R$3</f>
        <v>0</v>
      </c>
      <c r="W61" s="126" t="n">
        <f aca="false">N61/$R$3</f>
        <v>0</v>
      </c>
    </row>
    <row r="62" customFormat="false" ht="12.75" hidden="true" customHeight="false" outlineLevel="0" collapsed="false">
      <c r="A62" s="120" t="n">
        <f aca="false">A61+1</f>
        <v>36948</v>
      </c>
      <c r="B62" s="131" t="str">
        <f aca="false">INDEX('Master Data'!$A$2:$B$8,MATCH(WEEKDAY(ELETROBOLT!A62,3),'Master Data'!$A$2:$A$8,0),2)</f>
        <v>M</v>
      </c>
      <c r="D62" s="124" t="n">
        <v>0</v>
      </c>
      <c r="E62" s="124" t="n">
        <v>0</v>
      </c>
      <c r="F62" s="124" t="n">
        <v>0</v>
      </c>
      <c r="G62" s="124" t="n">
        <v>0</v>
      </c>
      <c r="I62" s="124" t="n">
        <f aca="false">IF(MONTH($A62)=MONTH($A61),IF(G62=0,I61,G62),G62)</f>
        <v>0</v>
      </c>
      <c r="J62" s="124" t="n">
        <f aca="false">IF(MONTH($A62)=MONTH($A61),SUM(I62-I61),I62)</f>
        <v>0</v>
      </c>
      <c r="K62" s="124" t="n">
        <f aca="false">IF(WEEKDAY(A62,3)&gt;4,0,(IF(A62&lt;K$2,0,IF(A62&lt;=K$3,1,0))))</f>
        <v>0</v>
      </c>
      <c r="L62" s="124" t="n">
        <f aca="false">J62*K62</f>
        <v>0</v>
      </c>
      <c r="M62" s="124" t="n">
        <f aca="false">SUM(J$6:J62)</f>
        <v>0</v>
      </c>
      <c r="N62" s="124" t="n">
        <f aca="false">SUM(J$6:J62)</f>
        <v>0</v>
      </c>
      <c r="P62" s="124" t="n">
        <f aca="false">D62/P$3</f>
        <v>0</v>
      </c>
      <c r="Q62" s="124" t="n">
        <f aca="false">E62/P$3</f>
        <v>0</v>
      </c>
      <c r="R62" s="124" t="n">
        <f aca="false">F62/R$3</f>
        <v>0</v>
      </c>
      <c r="S62" s="126" t="n">
        <f aca="false">J62/$R$3</f>
        <v>0</v>
      </c>
      <c r="T62" s="126" t="n">
        <f aca="false">L62/$R$3</f>
        <v>0</v>
      </c>
      <c r="U62" s="126" t="n">
        <f aca="false">I62/$R$3</f>
        <v>0</v>
      </c>
      <c r="V62" s="126" t="n">
        <f aca="false">M62/$R$3</f>
        <v>0</v>
      </c>
      <c r="W62" s="126" t="n">
        <f aca="false">N62/$R$3</f>
        <v>0</v>
      </c>
    </row>
    <row r="63" customFormat="false" ht="12.75" hidden="true" customHeight="false" outlineLevel="0" collapsed="false">
      <c r="A63" s="120" t="n">
        <f aca="false">A62+1</f>
        <v>36949</v>
      </c>
      <c r="B63" s="131" t="str">
        <f aca="false">INDEX('Master Data'!$A$2:$B$8,MATCH(WEEKDAY(ELETROBOLT!A63,3),'Master Data'!$A$2:$A$8,0),2)</f>
        <v>T</v>
      </c>
      <c r="D63" s="124" t="n">
        <v>0</v>
      </c>
      <c r="E63" s="124" t="n">
        <v>0</v>
      </c>
      <c r="F63" s="124" t="n">
        <v>0</v>
      </c>
      <c r="G63" s="124" t="n">
        <v>0</v>
      </c>
      <c r="I63" s="124" t="n">
        <f aca="false">IF(MONTH($A63)=MONTH($A62),IF(G63=0,I62,G63),G63)</f>
        <v>0</v>
      </c>
      <c r="J63" s="124" t="n">
        <f aca="false">IF(MONTH($A63)=MONTH($A62),SUM(I63-I62),I63)</f>
        <v>0</v>
      </c>
      <c r="K63" s="124" t="n">
        <f aca="false">IF(WEEKDAY(A63,3)&gt;4,0,(IF(A63&lt;K$2,0,IF(A63&lt;=K$3,1,0))))</f>
        <v>0</v>
      </c>
      <c r="L63" s="124" t="n">
        <f aca="false">J63*K63</f>
        <v>0</v>
      </c>
      <c r="M63" s="124" t="n">
        <f aca="false">SUM(J$6:J63)</f>
        <v>0</v>
      </c>
      <c r="N63" s="124" t="n">
        <f aca="false">SUM(J$6:J63)</f>
        <v>0</v>
      </c>
      <c r="P63" s="124" t="n">
        <f aca="false">D63/P$3</f>
        <v>0</v>
      </c>
      <c r="Q63" s="124" t="n">
        <f aca="false">E63/P$3</f>
        <v>0</v>
      </c>
      <c r="R63" s="124" t="n">
        <f aca="false">F63/R$3</f>
        <v>0</v>
      </c>
      <c r="S63" s="126" t="n">
        <f aca="false">J63/$R$3</f>
        <v>0</v>
      </c>
      <c r="T63" s="126" t="n">
        <f aca="false">L63/$R$3</f>
        <v>0</v>
      </c>
      <c r="U63" s="126" t="n">
        <f aca="false">I63/$R$3</f>
        <v>0</v>
      </c>
      <c r="V63" s="126" t="n">
        <f aca="false">M63/$R$3</f>
        <v>0</v>
      </c>
      <c r="W63" s="126" t="n">
        <f aca="false">N63/$R$3</f>
        <v>0</v>
      </c>
    </row>
    <row r="64" customFormat="false" ht="12.75" hidden="true" customHeight="false" outlineLevel="0" collapsed="false">
      <c r="A64" s="120" t="n">
        <f aca="false">A63+1</f>
        <v>36950</v>
      </c>
      <c r="B64" s="131" t="str">
        <f aca="false">INDEX('Master Data'!$A$2:$B$8,MATCH(WEEKDAY(ELETROBOLT!A64,3),'Master Data'!$A$2:$A$8,0),2)</f>
        <v>W</v>
      </c>
      <c r="D64" s="124" t="n">
        <v>0</v>
      </c>
      <c r="E64" s="124" t="n">
        <v>0</v>
      </c>
      <c r="F64" s="124" t="n">
        <v>0</v>
      </c>
      <c r="G64" s="124" t="n">
        <v>0</v>
      </c>
      <c r="I64" s="124" t="n">
        <f aca="false">IF(MONTH($A64)=MONTH($A63),IF(G64=0,I63,G64),G64)</f>
        <v>0</v>
      </c>
      <c r="J64" s="124" t="n">
        <f aca="false">IF(MONTH($A64)=MONTH($A63),SUM(I64-I63),I64)</f>
        <v>0</v>
      </c>
      <c r="K64" s="124" t="n">
        <f aca="false">IF(WEEKDAY(A64,3)&gt;4,0,(IF(A64&lt;K$2,0,IF(A64&lt;=K$3,1,0))))</f>
        <v>0</v>
      </c>
      <c r="L64" s="124" t="n">
        <f aca="false">J64*K64</f>
        <v>0</v>
      </c>
      <c r="M64" s="124" t="n">
        <f aca="false">SUM(J$6:J64)</f>
        <v>0</v>
      </c>
      <c r="N64" s="124" t="n">
        <f aca="false">SUM(J$6:J64)</f>
        <v>0</v>
      </c>
      <c r="P64" s="124" t="n">
        <f aca="false">D64/P$3</f>
        <v>0</v>
      </c>
      <c r="Q64" s="124" t="n">
        <f aca="false">E64/P$3</f>
        <v>0</v>
      </c>
      <c r="R64" s="124" t="n">
        <f aca="false">F64/R$3</f>
        <v>0</v>
      </c>
      <c r="S64" s="126" t="n">
        <f aca="false">J64/$R$3</f>
        <v>0</v>
      </c>
      <c r="T64" s="126" t="n">
        <f aca="false">L64/$R$3</f>
        <v>0</v>
      </c>
      <c r="U64" s="126" t="n">
        <f aca="false">I64/$R$3</f>
        <v>0</v>
      </c>
      <c r="V64" s="126" t="n">
        <f aca="false">M64/$R$3</f>
        <v>0</v>
      </c>
      <c r="W64" s="126" t="n">
        <f aca="false">N64/$R$3</f>
        <v>0</v>
      </c>
    </row>
    <row r="65" customFormat="false" ht="12.75" hidden="true" customHeight="false" outlineLevel="0" collapsed="false">
      <c r="A65" s="120" t="n">
        <f aca="false">A64+1</f>
        <v>36951</v>
      </c>
      <c r="B65" s="131" t="str">
        <f aca="false">INDEX('Master Data'!$A$2:$B$8,MATCH(WEEKDAY(ELETROBOLT!A65,3),'Master Data'!$A$2:$A$8,0),2)</f>
        <v>Th</v>
      </c>
      <c r="D65" s="124" t="n">
        <v>0</v>
      </c>
      <c r="E65" s="124" t="n">
        <v>0</v>
      </c>
      <c r="F65" s="124" t="n">
        <v>0</v>
      </c>
      <c r="G65" s="124" t="n">
        <v>0</v>
      </c>
      <c r="I65" s="124" t="n">
        <f aca="false">IF(MONTH($A65)=MONTH($A64),IF(G65=0,I64,G65),G65)</f>
        <v>0</v>
      </c>
      <c r="J65" s="124" t="n">
        <f aca="false">IF(MONTH($A65)=MONTH($A64),SUM(I65-I64),I65)</f>
        <v>0</v>
      </c>
      <c r="K65" s="124" t="n">
        <f aca="false">IF(WEEKDAY(A65,3)&gt;4,0,(IF(A65&lt;K$2,0,IF(A65&lt;=K$3,1,0))))</f>
        <v>0</v>
      </c>
      <c r="L65" s="124" t="n">
        <f aca="false">J65*K65</f>
        <v>0</v>
      </c>
      <c r="M65" s="124" t="n">
        <f aca="false">SUM(J$6:J65)</f>
        <v>0</v>
      </c>
      <c r="N65" s="124" t="n">
        <f aca="false">SUM(J$6:J65)</f>
        <v>0</v>
      </c>
      <c r="P65" s="124" t="n">
        <f aca="false">D65/P$3</f>
        <v>0</v>
      </c>
      <c r="Q65" s="124" t="n">
        <f aca="false">E65/P$3</f>
        <v>0</v>
      </c>
      <c r="R65" s="124" t="n">
        <f aca="false">F65/R$3</f>
        <v>0</v>
      </c>
      <c r="S65" s="126" t="n">
        <f aca="false">J65/$R$3</f>
        <v>0</v>
      </c>
      <c r="T65" s="126" t="n">
        <f aca="false">L65/$R$3</f>
        <v>0</v>
      </c>
      <c r="U65" s="126" t="n">
        <f aca="false">I65/$R$3</f>
        <v>0</v>
      </c>
      <c r="V65" s="126" t="n">
        <f aca="false">M65/$R$3</f>
        <v>0</v>
      </c>
      <c r="W65" s="126" t="n">
        <f aca="false">N65/$R$3</f>
        <v>0</v>
      </c>
    </row>
    <row r="66" customFormat="false" ht="12.75" hidden="true" customHeight="false" outlineLevel="0" collapsed="false">
      <c r="A66" s="120" t="n">
        <f aca="false">A65+1</f>
        <v>36952</v>
      </c>
      <c r="B66" s="131" t="str">
        <f aca="false">INDEX('Master Data'!$A$2:$B$8,MATCH(WEEKDAY(ELETROBOLT!A66,3),'Master Data'!$A$2:$A$8,0),2)</f>
        <v>F</v>
      </c>
      <c r="D66" s="124" t="n">
        <v>0</v>
      </c>
      <c r="E66" s="124" t="n">
        <v>0</v>
      </c>
      <c r="F66" s="124" t="n">
        <v>0</v>
      </c>
      <c r="G66" s="124" t="n">
        <v>0</v>
      </c>
      <c r="I66" s="124" t="n">
        <f aca="false">IF(MONTH($A66)=MONTH($A65),IF(G66=0,I65,G66),G66)</f>
        <v>0</v>
      </c>
      <c r="J66" s="124" t="n">
        <f aca="false">IF(MONTH($A66)=MONTH($A65),SUM(I66-I65),I66)</f>
        <v>0</v>
      </c>
      <c r="K66" s="124" t="n">
        <f aca="false">IF(WEEKDAY(A66,3)&gt;4,0,(IF(A66&lt;K$2,0,IF(A66&lt;=K$3,1,0))))</f>
        <v>0</v>
      </c>
      <c r="L66" s="124" t="n">
        <f aca="false">J66*K66</f>
        <v>0</v>
      </c>
      <c r="M66" s="124" t="n">
        <f aca="false">SUM(J$6:J66)</f>
        <v>0</v>
      </c>
      <c r="N66" s="124" t="n">
        <f aca="false">SUM(J$6:J66)</f>
        <v>0</v>
      </c>
      <c r="P66" s="124" t="n">
        <f aca="false">D66/P$3</f>
        <v>0</v>
      </c>
      <c r="Q66" s="124" t="n">
        <f aca="false">E66/P$3</f>
        <v>0</v>
      </c>
      <c r="R66" s="124" t="n">
        <f aca="false">F66/R$3</f>
        <v>0</v>
      </c>
      <c r="S66" s="126" t="n">
        <f aca="false">J66/$R$3</f>
        <v>0</v>
      </c>
      <c r="T66" s="126" t="n">
        <f aca="false">L66/$R$3</f>
        <v>0</v>
      </c>
      <c r="U66" s="126" t="n">
        <f aca="false">I66/$R$3</f>
        <v>0</v>
      </c>
      <c r="V66" s="126" t="n">
        <f aca="false">M66/$R$3</f>
        <v>0</v>
      </c>
      <c r="W66" s="126" t="n">
        <f aca="false">N66/$R$3</f>
        <v>0</v>
      </c>
    </row>
    <row r="67" customFormat="false" ht="12.75" hidden="true" customHeight="false" outlineLevel="0" collapsed="false">
      <c r="A67" s="120" t="n">
        <f aca="false">A66+1</f>
        <v>36953</v>
      </c>
      <c r="B67" s="131" t="str">
        <f aca="false">INDEX('Master Data'!$A$2:$B$8,MATCH(WEEKDAY(ELETROBOLT!A67,3),'Master Data'!$A$2:$A$8,0),2)</f>
        <v>Sa</v>
      </c>
      <c r="D67" s="124" t="n">
        <v>0</v>
      </c>
      <c r="E67" s="124" t="n">
        <v>0</v>
      </c>
      <c r="F67" s="124" t="n">
        <v>0</v>
      </c>
      <c r="G67" s="124" t="n">
        <v>0</v>
      </c>
      <c r="I67" s="124" t="n">
        <f aca="false">IF(MONTH($A67)=MONTH($A66),IF(G67=0,I66,G67),G67)</f>
        <v>0</v>
      </c>
      <c r="J67" s="124" t="n">
        <f aca="false">IF(MONTH($A67)=MONTH($A66),SUM(I67-I66),I67)</f>
        <v>0</v>
      </c>
      <c r="K67" s="124" t="n">
        <f aca="false">IF(WEEKDAY(A67,3)&gt;4,0,(IF(A67&lt;K$2,0,IF(A67&lt;=K$3,1,0))))</f>
        <v>0</v>
      </c>
      <c r="L67" s="124" t="n">
        <f aca="false">J67*K67</f>
        <v>0</v>
      </c>
      <c r="M67" s="124" t="n">
        <f aca="false">SUM(J$6:J67)</f>
        <v>0</v>
      </c>
      <c r="N67" s="124" t="n">
        <f aca="false">SUM(J$6:J67)</f>
        <v>0</v>
      </c>
      <c r="P67" s="124" t="n">
        <f aca="false">D67/P$3</f>
        <v>0</v>
      </c>
      <c r="Q67" s="124" t="n">
        <f aca="false">E67/P$3</f>
        <v>0</v>
      </c>
      <c r="R67" s="124" t="n">
        <f aca="false">F67/R$3</f>
        <v>0</v>
      </c>
      <c r="S67" s="126" t="n">
        <f aca="false">J67/$R$3</f>
        <v>0</v>
      </c>
      <c r="T67" s="126" t="n">
        <f aca="false">L67/$R$3</f>
        <v>0</v>
      </c>
      <c r="U67" s="126" t="n">
        <f aca="false">I67/$R$3</f>
        <v>0</v>
      </c>
      <c r="V67" s="126" t="n">
        <f aca="false">M67/$R$3</f>
        <v>0</v>
      </c>
      <c r="W67" s="126" t="n">
        <f aca="false">N67/$R$3</f>
        <v>0</v>
      </c>
    </row>
    <row r="68" customFormat="false" ht="12.75" hidden="true" customHeight="false" outlineLevel="0" collapsed="false">
      <c r="A68" s="120" t="n">
        <f aca="false">A67+1</f>
        <v>36954</v>
      </c>
      <c r="B68" s="131" t="str">
        <f aca="false">INDEX('Master Data'!$A$2:$B$8,MATCH(WEEKDAY(ELETROBOLT!A68,3),'Master Data'!$A$2:$A$8,0),2)</f>
        <v>Su</v>
      </c>
      <c r="D68" s="124" t="n">
        <v>0</v>
      </c>
      <c r="E68" s="124" t="n">
        <v>0</v>
      </c>
      <c r="F68" s="124" t="n">
        <v>0</v>
      </c>
      <c r="G68" s="124" t="n">
        <v>0</v>
      </c>
      <c r="I68" s="124" t="n">
        <f aca="false">IF(MONTH($A68)=MONTH($A67),IF(G68=0,I67,G68),G68)</f>
        <v>0</v>
      </c>
      <c r="J68" s="124" t="n">
        <f aca="false">IF(MONTH($A68)=MONTH($A67),SUM(I68-I67),I68)</f>
        <v>0</v>
      </c>
      <c r="K68" s="124" t="n">
        <f aca="false">IF(WEEKDAY(A68,3)&gt;4,0,(IF(A68&lt;K$2,0,IF(A68&lt;=K$3,1,0))))</f>
        <v>0</v>
      </c>
      <c r="L68" s="124" t="n">
        <f aca="false">J68*K68</f>
        <v>0</v>
      </c>
      <c r="M68" s="124" t="n">
        <f aca="false">SUM(J$6:J68)</f>
        <v>0</v>
      </c>
      <c r="N68" s="124" t="n">
        <f aca="false">SUM(J$6:J68)</f>
        <v>0</v>
      </c>
      <c r="P68" s="124" t="n">
        <f aca="false">D68/P$3</f>
        <v>0</v>
      </c>
      <c r="Q68" s="124" t="n">
        <f aca="false">E68/P$3</f>
        <v>0</v>
      </c>
      <c r="R68" s="124" t="n">
        <f aca="false">F68/R$3</f>
        <v>0</v>
      </c>
      <c r="S68" s="126" t="n">
        <f aca="false">J68/$R$3</f>
        <v>0</v>
      </c>
      <c r="T68" s="126" t="n">
        <f aca="false">L68/$R$3</f>
        <v>0</v>
      </c>
      <c r="U68" s="126" t="n">
        <f aca="false">I68/$R$3</f>
        <v>0</v>
      </c>
      <c r="V68" s="126" t="n">
        <f aca="false">M68/$R$3</f>
        <v>0</v>
      </c>
      <c r="W68" s="126" t="n">
        <f aca="false">N68/$R$3</f>
        <v>0</v>
      </c>
    </row>
    <row r="69" customFormat="false" ht="12.75" hidden="true" customHeight="false" outlineLevel="0" collapsed="false">
      <c r="A69" s="120" t="n">
        <f aca="false">A68+1</f>
        <v>36955</v>
      </c>
      <c r="B69" s="131" t="str">
        <f aca="false">INDEX('Master Data'!$A$2:$B$8,MATCH(WEEKDAY(ELETROBOLT!A69,3),'Master Data'!$A$2:$A$8,0),2)</f>
        <v>M</v>
      </c>
      <c r="D69" s="124" t="n">
        <v>0</v>
      </c>
      <c r="E69" s="124" t="n">
        <v>0</v>
      </c>
      <c r="F69" s="124" t="n">
        <v>0</v>
      </c>
      <c r="G69" s="124" t="n">
        <v>0</v>
      </c>
      <c r="I69" s="124" t="n">
        <f aca="false">IF(MONTH($A69)=MONTH($A68),IF(G69=0,I68,G69),G69)</f>
        <v>0</v>
      </c>
      <c r="J69" s="124" t="n">
        <f aca="false">IF(MONTH($A69)=MONTH($A68),SUM(I69-I68),I69)</f>
        <v>0</v>
      </c>
      <c r="K69" s="124" t="n">
        <f aca="false">IF(WEEKDAY(A69,3)&gt;4,0,(IF(A69&lt;K$2,0,IF(A69&lt;=K$3,1,0))))</f>
        <v>0</v>
      </c>
      <c r="L69" s="124" t="n">
        <f aca="false">J69*K69</f>
        <v>0</v>
      </c>
      <c r="M69" s="124" t="n">
        <f aca="false">SUM(J$6:J69)</f>
        <v>0</v>
      </c>
      <c r="N69" s="124" t="n">
        <f aca="false">SUM(J$6:J69)</f>
        <v>0</v>
      </c>
      <c r="P69" s="124" t="n">
        <f aca="false">D69/P$3</f>
        <v>0</v>
      </c>
      <c r="Q69" s="124" t="n">
        <f aca="false">E69/P$3</f>
        <v>0</v>
      </c>
      <c r="R69" s="124" t="n">
        <f aca="false">F69/R$3</f>
        <v>0</v>
      </c>
      <c r="S69" s="126" t="n">
        <f aca="false">J69/$R$3</f>
        <v>0</v>
      </c>
      <c r="T69" s="126" t="n">
        <f aca="false">L69/$R$3</f>
        <v>0</v>
      </c>
      <c r="U69" s="126" t="n">
        <f aca="false">I69/$R$3</f>
        <v>0</v>
      </c>
      <c r="V69" s="126" t="n">
        <f aca="false">M69/$R$3</f>
        <v>0</v>
      </c>
      <c r="W69" s="126" t="n">
        <f aca="false">N69/$R$3</f>
        <v>0</v>
      </c>
    </row>
    <row r="70" customFormat="false" ht="12.75" hidden="true" customHeight="false" outlineLevel="0" collapsed="false">
      <c r="A70" s="120" t="n">
        <f aca="false">A69+1</f>
        <v>36956</v>
      </c>
      <c r="B70" s="131" t="str">
        <f aca="false">INDEX('Master Data'!$A$2:$B$8,MATCH(WEEKDAY(ELETROBOLT!A70,3),'Master Data'!$A$2:$A$8,0),2)</f>
        <v>T</v>
      </c>
      <c r="D70" s="124" t="n">
        <v>0</v>
      </c>
      <c r="E70" s="124" t="n">
        <v>0</v>
      </c>
      <c r="F70" s="124" t="n">
        <v>0</v>
      </c>
      <c r="G70" s="124" t="n">
        <v>0</v>
      </c>
      <c r="I70" s="124" t="n">
        <f aca="false">IF(MONTH($A70)=MONTH($A69),IF(G70=0,I69,G70),G70)</f>
        <v>0</v>
      </c>
      <c r="J70" s="124" t="n">
        <f aca="false">IF(MONTH($A70)=MONTH($A69),SUM(I70-I69),I70)</f>
        <v>0</v>
      </c>
      <c r="K70" s="124" t="n">
        <f aca="false">IF(WEEKDAY(A70,3)&gt;4,0,(IF(A70&lt;K$2,0,IF(A70&lt;=K$3,1,0))))</f>
        <v>0</v>
      </c>
      <c r="L70" s="124" t="n">
        <f aca="false">J70*K70</f>
        <v>0</v>
      </c>
      <c r="M70" s="124" t="n">
        <f aca="false">SUM(J$6:J70)</f>
        <v>0</v>
      </c>
      <c r="N70" s="124" t="n">
        <f aca="false">SUM(J$6:J70)</f>
        <v>0</v>
      </c>
      <c r="P70" s="124" t="n">
        <f aca="false">D70/P$3</f>
        <v>0</v>
      </c>
      <c r="Q70" s="124" t="n">
        <f aca="false">E70/P$3</f>
        <v>0</v>
      </c>
      <c r="R70" s="124" t="n">
        <f aca="false">F70/R$3</f>
        <v>0</v>
      </c>
      <c r="S70" s="126" t="n">
        <f aca="false">J70/$R$3</f>
        <v>0</v>
      </c>
      <c r="T70" s="126" t="n">
        <f aca="false">L70/$R$3</f>
        <v>0</v>
      </c>
      <c r="U70" s="126" t="n">
        <f aca="false">I70/$R$3</f>
        <v>0</v>
      </c>
      <c r="V70" s="126" t="n">
        <f aca="false">M70/$R$3</f>
        <v>0</v>
      </c>
      <c r="W70" s="126" t="n">
        <f aca="false">N70/$R$3</f>
        <v>0</v>
      </c>
    </row>
    <row r="71" customFormat="false" ht="12.75" hidden="true" customHeight="false" outlineLevel="0" collapsed="false">
      <c r="A71" s="120" t="n">
        <f aca="false">A70+1</f>
        <v>36957</v>
      </c>
      <c r="B71" s="131" t="str">
        <f aca="false">INDEX('Master Data'!$A$2:$B$8,MATCH(WEEKDAY(ELETROBOLT!A71,3),'Master Data'!$A$2:$A$8,0),2)</f>
        <v>W</v>
      </c>
      <c r="D71" s="124" t="n">
        <v>0</v>
      </c>
      <c r="E71" s="124" t="n">
        <v>0</v>
      </c>
      <c r="F71" s="124" t="n">
        <v>0</v>
      </c>
      <c r="G71" s="124" t="n">
        <v>0</v>
      </c>
      <c r="I71" s="124" t="n">
        <f aca="false">IF(MONTH($A71)=MONTH($A70),IF(G71=0,I70,G71),G71)</f>
        <v>0</v>
      </c>
      <c r="J71" s="124" t="n">
        <f aca="false">IF(MONTH($A71)=MONTH($A70),SUM(I71-I70),I71)</f>
        <v>0</v>
      </c>
      <c r="K71" s="124" t="n">
        <f aca="false">IF(WEEKDAY(A71,3)&gt;4,0,(IF(A71&lt;K$2,0,IF(A71&lt;=K$3,1,0))))</f>
        <v>0</v>
      </c>
      <c r="L71" s="124" t="n">
        <f aca="false">J71*K71</f>
        <v>0</v>
      </c>
      <c r="M71" s="124" t="n">
        <f aca="false">SUM(J$6:J71)</f>
        <v>0</v>
      </c>
      <c r="N71" s="124" t="n">
        <f aca="false">SUM(J$6:J71)</f>
        <v>0</v>
      </c>
      <c r="P71" s="124" t="n">
        <f aca="false">D71/P$3</f>
        <v>0</v>
      </c>
      <c r="Q71" s="124" t="n">
        <f aca="false">E71/P$3</f>
        <v>0</v>
      </c>
      <c r="R71" s="124" t="n">
        <f aca="false">F71/R$3</f>
        <v>0</v>
      </c>
      <c r="S71" s="126" t="n">
        <f aca="false">J71/$R$3</f>
        <v>0</v>
      </c>
      <c r="T71" s="126" t="n">
        <f aca="false">L71/$R$3</f>
        <v>0</v>
      </c>
      <c r="U71" s="126" t="n">
        <f aca="false">I71/$R$3</f>
        <v>0</v>
      </c>
      <c r="V71" s="126" t="n">
        <f aca="false">M71/$R$3</f>
        <v>0</v>
      </c>
      <c r="W71" s="126" t="n">
        <f aca="false">N71/$R$3</f>
        <v>0</v>
      </c>
    </row>
    <row r="72" customFormat="false" ht="12.75" hidden="true" customHeight="false" outlineLevel="0" collapsed="false">
      <c r="A72" s="120" t="n">
        <f aca="false">A71+1</f>
        <v>36958</v>
      </c>
      <c r="B72" s="131" t="str">
        <f aca="false">INDEX('Master Data'!$A$2:$B$8,MATCH(WEEKDAY(ELETROBOLT!A72,3),'Master Data'!$A$2:$A$8,0),2)</f>
        <v>Th</v>
      </c>
      <c r="D72" s="124" t="n">
        <v>0</v>
      </c>
      <c r="E72" s="124" t="n">
        <v>0</v>
      </c>
      <c r="F72" s="124" t="n">
        <v>0</v>
      </c>
      <c r="G72" s="124" t="n">
        <v>0</v>
      </c>
      <c r="I72" s="124" t="n">
        <f aca="false">IF(MONTH($A72)=MONTH($A71),IF(G72=0,I71,G72),G72)</f>
        <v>0</v>
      </c>
      <c r="J72" s="124" t="n">
        <f aca="false">IF(MONTH($A72)=MONTH($A71),SUM(I72-I71),I72)</f>
        <v>0</v>
      </c>
      <c r="K72" s="124" t="n">
        <f aca="false">IF(WEEKDAY(A72,3)&gt;4,0,(IF(A72&lt;K$2,0,IF(A72&lt;=K$3,1,0))))</f>
        <v>0</v>
      </c>
      <c r="L72" s="124" t="n">
        <f aca="false">J72*K72</f>
        <v>0</v>
      </c>
      <c r="M72" s="124" t="n">
        <f aca="false">SUM(J$6:J72)</f>
        <v>0</v>
      </c>
      <c r="N72" s="124" t="n">
        <f aca="false">SUM(J$6:J72)</f>
        <v>0</v>
      </c>
      <c r="P72" s="124" t="n">
        <f aca="false">D72/P$3</f>
        <v>0</v>
      </c>
      <c r="Q72" s="124" t="n">
        <f aca="false">E72/P$3</f>
        <v>0</v>
      </c>
      <c r="R72" s="124" t="n">
        <f aca="false">F72/R$3</f>
        <v>0</v>
      </c>
      <c r="S72" s="126" t="n">
        <f aca="false">J72/$R$3</f>
        <v>0</v>
      </c>
      <c r="T72" s="126" t="n">
        <f aca="false">L72/$R$3</f>
        <v>0</v>
      </c>
      <c r="U72" s="126" t="n">
        <f aca="false">I72/$R$3</f>
        <v>0</v>
      </c>
      <c r="V72" s="126" t="n">
        <f aca="false">M72/$R$3</f>
        <v>0</v>
      </c>
      <c r="W72" s="126" t="n">
        <f aca="false">N72/$R$3</f>
        <v>0</v>
      </c>
    </row>
    <row r="73" customFormat="false" ht="12.75" hidden="true" customHeight="false" outlineLevel="0" collapsed="false">
      <c r="A73" s="120" t="n">
        <f aca="false">A72+1</f>
        <v>36959</v>
      </c>
      <c r="B73" s="131" t="str">
        <f aca="false">INDEX('Master Data'!$A$2:$B$8,MATCH(WEEKDAY(ELETROBOLT!A73,3),'Master Data'!$A$2:$A$8,0),2)</f>
        <v>F</v>
      </c>
      <c r="D73" s="124" t="n">
        <v>0</v>
      </c>
      <c r="E73" s="124" t="n">
        <v>0</v>
      </c>
      <c r="F73" s="124" t="n">
        <v>0</v>
      </c>
      <c r="G73" s="124" t="n">
        <v>0</v>
      </c>
      <c r="I73" s="124" t="n">
        <f aca="false">IF(MONTH($A73)=MONTH($A72),IF(G73=0,I72,G73),G73)</f>
        <v>0</v>
      </c>
      <c r="J73" s="124" t="n">
        <f aca="false">IF(MONTH($A73)=MONTH($A72),SUM(I73-I72),I73)</f>
        <v>0</v>
      </c>
      <c r="K73" s="124" t="n">
        <f aca="false">IF(WEEKDAY(A73,3)&gt;4,0,(IF(A73&lt;K$2,0,IF(A73&lt;=K$3,1,0))))</f>
        <v>0</v>
      </c>
      <c r="L73" s="124" t="n">
        <f aca="false">J73*K73</f>
        <v>0</v>
      </c>
      <c r="M73" s="124" t="n">
        <f aca="false">SUM(J$6:J73)</f>
        <v>0</v>
      </c>
      <c r="N73" s="124" t="n">
        <f aca="false">SUM(J$6:J73)</f>
        <v>0</v>
      </c>
      <c r="P73" s="124" t="n">
        <f aca="false">D73/P$3</f>
        <v>0</v>
      </c>
      <c r="Q73" s="124" t="n">
        <f aca="false">E73/P$3</f>
        <v>0</v>
      </c>
      <c r="R73" s="124" t="n">
        <f aca="false">F73/R$3</f>
        <v>0</v>
      </c>
      <c r="S73" s="126" t="n">
        <f aca="false">J73/$R$3</f>
        <v>0</v>
      </c>
      <c r="T73" s="126" t="n">
        <f aca="false">L73/$R$3</f>
        <v>0</v>
      </c>
      <c r="U73" s="126" t="n">
        <f aca="false">I73/$R$3</f>
        <v>0</v>
      </c>
      <c r="V73" s="126" t="n">
        <f aca="false">M73/$R$3</f>
        <v>0</v>
      </c>
      <c r="W73" s="126" t="n">
        <f aca="false">N73/$R$3</f>
        <v>0</v>
      </c>
    </row>
    <row r="74" customFormat="false" ht="12.75" hidden="true" customHeight="false" outlineLevel="0" collapsed="false">
      <c r="A74" s="120" t="n">
        <f aca="false">A73+1</f>
        <v>36960</v>
      </c>
      <c r="B74" s="131" t="str">
        <f aca="false">INDEX('Master Data'!$A$2:$B$8,MATCH(WEEKDAY(ELETROBOLT!A74,3),'Master Data'!$A$2:$A$8,0),2)</f>
        <v>Sa</v>
      </c>
      <c r="D74" s="124" t="n">
        <v>0</v>
      </c>
      <c r="E74" s="124" t="n">
        <v>0</v>
      </c>
      <c r="F74" s="124" t="n">
        <v>0</v>
      </c>
      <c r="G74" s="124" t="n">
        <v>0</v>
      </c>
      <c r="I74" s="124" t="n">
        <f aca="false">IF(MONTH($A74)=MONTH($A73),IF(G74=0,I73,G74),G74)</f>
        <v>0</v>
      </c>
      <c r="J74" s="124" t="n">
        <f aca="false">IF(MONTH($A74)=MONTH($A73),SUM(I74-I73),I74)</f>
        <v>0</v>
      </c>
      <c r="K74" s="124" t="n">
        <f aca="false">IF(WEEKDAY(A74,3)&gt;4,0,(IF(A74&lt;K$2,0,IF(A74&lt;=K$3,1,0))))</f>
        <v>0</v>
      </c>
      <c r="L74" s="124" t="n">
        <f aca="false">J74*K74</f>
        <v>0</v>
      </c>
      <c r="M74" s="124" t="n">
        <f aca="false">SUM(J$6:J74)</f>
        <v>0</v>
      </c>
      <c r="N74" s="124" t="n">
        <f aca="false">SUM(J$6:J74)</f>
        <v>0</v>
      </c>
      <c r="P74" s="124" t="n">
        <f aca="false">D74/P$3</f>
        <v>0</v>
      </c>
      <c r="Q74" s="124" t="n">
        <f aca="false">E74/P$3</f>
        <v>0</v>
      </c>
      <c r="R74" s="124" t="n">
        <f aca="false">F74/R$3</f>
        <v>0</v>
      </c>
      <c r="S74" s="126" t="n">
        <f aca="false">J74/$R$3</f>
        <v>0</v>
      </c>
      <c r="T74" s="126" t="n">
        <f aca="false">L74/$R$3</f>
        <v>0</v>
      </c>
      <c r="U74" s="126" t="n">
        <f aca="false">I74/$R$3</f>
        <v>0</v>
      </c>
      <c r="V74" s="126" t="n">
        <f aca="false">M74/$R$3</f>
        <v>0</v>
      </c>
      <c r="W74" s="126" t="n">
        <f aca="false">N74/$R$3</f>
        <v>0</v>
      </c>
    </row>
    <row r="75" customFormat="false" ht="12.75" hidden="true" customHeight="false" outlineLevel="0" collapsed="false">
      <c r="A75" s="120" t="n">
        <f aca="false">A74+1</f>
        <v>36961</v>
      </c>
      <c r="B75" s="131" t="str">
        <f aca="false">INDEX('Master Data'!$A$2:$B$8,MATCH(WEEKDAY(ELETROBOLT!A75,3),'Master Data'!$A$2:$A$8,0),2)</f>
        <v>Su</v>
      </c>
      <c r="D75" s="124" t="n">
        <v>0</v>
      </c>
      <c r="E75" s="124" t="n">
        <v>0</v>
      </c>
      <c r="F75" s="124" t="n">
        <v>0</v>
      </c>
      <c r="G75" s="124" t="n">
        <v>0</v>
      </c>
      <c r="I75" s="124" t="n">
        <f aca="false">IF(MONTH($A75)=MONTH($A74),IF(G75=0,I74,G75),G75)</f>
        <v>0</v>
      </c>
      <c r="J75" s="124" t="n">
        <f aca="false">IF(MONTH($A75)=MONTH($A74),SUM(I75-I74),I75)</f>
        <v>0</v>
      </c>
      <c r="K75" s="124" t="n">
        <f aca="false">IF(WEEKDAY(A75,3)&gt;4,0,(IF(A75&lt;K$2,0,IF(A75&lt;=K$3,1,0))))</f>
        <v>0</v>
      </c>
      <c r="L75" s="124" t="n">
        <f aca="false">J75*K75</f>
        <v>0</v>
      </c>
      <c r="M75" s="124" t="n">
        <f aca="false">SUM(J$6:J75)</f>
        <v>0</v>
      </c>
      <c r="N75" s="124" t="n">
        <f aca="false">SUM(J$6:J75)</f>
        <v>0</v>
      </c>
      <c r="P75" s="124" t="n">
        <f aca="false">D75/P$3</f>
        <v>0</v>
      </c>
      <c r="Q75" s="124" t="n">
        <f aca="false">E75/P$3</f>
        <v>0</v>
      </c>
      <c r="R75" s="124" t="n">
        <f aca="false">F75/R$3</f>
        <v>0</v>
      </c>
      <c r="S75" s="126" t="n">
        <f aca="false">J75/$R$3</f>
        <v>0</v>
      </c>
      <c r="T75" s="126" t="n">
        <f aca="false">L75/$R$3</f>
        <v>0</v>
      </c>
      <c r="U75" s="126" t="n">
        <f aca="false">I75/$R$3</f>
        <v>0</v>
      </c>
      <c r="V75" s="126" t="n">
        <f aca="false">M75/$R$3</f>
        <v>0</v>
      </c>
      <c r="W75" s="126" t="n">
        <f aca="false">N75/$R$3</f>
        <v>0</v>
      </c>
    </row>
    <row r="76" customFormat="false" ht="12.75" hidden="true" customHeight="false" outlineLevel="0" collapsed="false">
      <c r="A76" s="120" t="n">
        <f aca="false">A75+1</f>
        <v>36962</v>
      </c>
      <c r="B76" s="131" t="str">
        <f aca="false">INDEX('Master Data'!$A$2:$B$8,MATCH(WEEKDAY(ELETROBOLT!A76,3),'Master Data'!$A$2:$A$8,0),2)</f>
        <v>M</v>
      </c>
      <c r="D76" s="124" t="n">
        <v>0</v>
      </c>
      <c r="E76" s="124" t="n">
        <v>0</v>
      </c>
      <c r="F76" s="124" t="n">
        <v>0</v>
      </c>
      <c r="G76" s="124" t="n">
        <v>0</v>
      </c>
      <c r="I76" s="124" t="n">
        <f aca="false">IF(MONTH($A76)=MONTH($A75),IF(G76=0,I75,G76),G76)</f>
        <v>0</v>
      </c>
      <c r="J76" s="124" t="n">
        <f aca="false">IF(MONTH($A76)=MONTH($A75),SUM(I76-I75),I76)</f>
        <v>0</v>
      </c>
      <c r="K76" s="124" t="n">
        <f aca="false">IF(WEEKDAY(A76,3)&gt;4,0,(IF(A76&lt;K$2,0,IF(A76&lt;=K$3,1,0))))</f>
        <v>0</v>
      </c>
      <c r="L76" s="124" t="n">
        <f aca="false">J76*K76</f>
        <v>0</v>
      </c>
      <c r="M76" s="124" t="n">
        <f aca="false">SUM(J$6:J76)</f>
        <v>0</v>
      </c>
      <c r="N76" s="124" t="n">
        <f aca="false">SUM(J$6:J76)</f>
        <v>0</v>
      </c>
      <c r="P76" s="124" t="n">
        <f aca="false">D76/P$3</f>
        <v>0</v>
      </c>
      <c r="Q76" s="124" t="n">
        <f aca="false">E76/P$3</f>
        <v>0</v>
      </c>
      <c r="R76" s="124" t="n">
        <f aca="false">F76/R$3</f>
        <v>0</v>
      </c>
      <c r="S76" s="126" t="n">
        <f aca="false">J76/$R$3</f>
        <v>0</v>
      </c>
      <c r="T76" s="126" t="n">
        <f aca="false">L76/$R$3</f>
        <v>0</v>
      </c>
      <c r="U76" s="126" t="n">
        <f aca="false">I76/$R$3</f>
        <v>0</v>
      </c>
      <c r="V76" s="126" t="n">
        <f aca="false">M76/$R$3</f>
        <v>0</v>
      </c>
      <c r="W76" s="126" t="n">
        <f aca="false">N76/$R$3</f>
        <v>0</v>
      </c>
    </row>
    <row r="77" customFormat="false" ht="12.75" hidden="true" customHeight="false" outlineLevel="0" collapsed="false">
      <c r="A77" s="120" t="n">
        <f aca="false">A76+1</f>
        <v>36963</v>
      </c>
      <c r="B77" s="131" t="str">
        <f aca="false">INDEX('Master Data'!$A$2:$B$8,MATCH(WEEKDAY(ELETROBOLT!A77,3),'Master Data'!$A$2:$A$8,0),2)</f>
        <v>T</v>
      </c>
      <c r="D77" s="124" t="n">
        <v>0</v>
      </c>
      <c r="E77" s="124" t="n">
        <v>0</v>
      </c>
      <c r="F77" s="124" t="n">
        <v>0</v>
      </c>
      <c r="G77" s="124" t="n">
        <v>0</v>
      </c>
      <c r="I77" s="124" t="n">
        <f aca="false">IF(MONTH($A77)=MONTH($A76),IF(G77=0,I76,G77),G77)</f>
        <v>0</v>
      </c>
      <c r="J77" s="124" t="n">
        <f aca="false">IF(MONTH($A77)=MONTH($A76),SUM(I77-I76),I77)</f>
        <v>0</v>
      </c>
      <c r="K77" s="124" t="n">
        <f aca="false">IF(WEEKDAY(A77,3)&gt;4,0,(IF(A77&lt;K$2,0,IF(A77&lt;=K$3,1,0))))</f>
        <v>0</v>
      </c>
      <c r="L77" s="124" t="n">
        <f aca="false">J77*K77</f>
        <v>0</v>
      </c>
      <c r="M77" s="124" t="n">
        <f aca="false">SUM(J$6:J77)</f>
        <v>0</v>
      </c>
      <c r="N77" s="124" t="n">
        <f aca="false">SUM(J$6:J77)</f>
        <v>0</v>
      </c>
      <c r="P77" s="124" t="n">
        <f aca="false">D77/P$3</f>
        <v>0</v>
      </c>
      <c r="Q77" s="124" t="n">
        <f aca="false">E77/P$3</f>
        <v>0</v>
      </c>
      <c r="R77" s="124" t="n">
        <f aca="false">F77/R$3</f>
        <v>0</v>
      </c>
      <c r="S77" s="126" t="n">
        <f aca="false">J77/$R$3</f>
        <v>0</v>
      </c>
      <c r="T77" s="126" t="n">
        <f aca="false">L77/$R$3</f>
        <v>0</v>
      </c>
      <c r="U77" s="126" t="n">
        <f aca="false">I77/$R$3</f>
        <v>0</v>
      </c>
      <c r="V77" s="126" t="n">
        <f aca="false">M77/$R$3</f>
        <v>0</v>
      </c>
      <c r="W77" s="126" t="n">
        <f aca="false">N77/$R$3</f>
        <v>0</v>
      </c>
    </row>
    <row r="78" customFormat="false" ht="12.75" hidden="true" customHeight="false" outlineLevel="0" collapsed="false">
      <c r="A78" s="120" t="n">
        <f aca="false">A77+1</f>
        <v>36964</v>
      </c>
      <c r="B78" s="131" t="str">
        <f aca="false">INDEX('Master Data'!$A$2:$B$8,MATCH(WEEKDAY(ELETROBOLT!A78,3),'Master Data'!$A$2:$A$8,0),2)</f>
        <v>W</v>
      </c>
      <c r="D78" s="124" t="n">
        <v>0</v>
      </c>
      <c r="E78" s="124" t="n">
        <v>0</v>
      </c>
      <c r="F78" s="124" t="n">
        <v>0</v>
      </c>
      <c r="G78" s="124" t="n">
        <v>0</v>
      </c>
      <c r="I78" s="124" t="n">
        <f aca="false">IF(MONTH($A78)=MONTH($A77),IF(G78=0,I77,G78),G78)</f>
        <v>0</v>
      </c>
      <c r="J78" s="124" t="n">
        <f aca="false">IF(MONTH($A78)=MONTH($A77),SUM(I78-I77),I78)</f>
        <v>0</v>
      </c>
      <c r="K78" s="124" t="n">
        <f aca="false">IF(WEEKDAY(A78,3)&gt;4,0,(IF(A78&lt;K$2,0,IF(A78&lt;=K$3,1,0))))</f>
        <v>0</v>
      </c>
      <c r="L78" s="124" t="n">
        <f aca="false">J78*K78</f>
        <v>0</v>
      </c>
      <c r="M78" s="124" t="n">
        <f aca="false">SUM(J$6:J78)</f>
        <v>0</v>
      </c>
      <c r="N78" s="124" t="n">
        <f aca="false">SUM(J$6:J78)</f>
        <v>0</v>
      </c>
      <c r="P78" s="124" t="n">
        <f aca="false">D78/P$3</f>
        <v>0</v>
      </c>
      <c r="Q78" s="124" t="n">
        <f aca="false">E78/P$3</f>
        <v>0</v>
      </c>
      <c r="R78" s="124" t="n">
        <f aca="false">F78/R$3</f>
        <v>0</v>
      </c>
      <c r="S78" s="126" t="n">
        <f aca="false">J78/$R$3</f>
        <v>0</v>
      </c>
      <c r="T78" s="126" t="n">
        <f aca="false">L78/$R$3</f>
        <v>0</v>
      </c>
      <c r="U78" s="126" t="n">
        <f aca="false">I78/$R$3</f>
        <v>0</v>
      </c>
      <c r="V78" s="126" t="n">
        <f aca="false">M78/$R$3</f>
        <v>0</v>
      </c>
      <c r="W78" s="126" t="n">
        <f aca="false">N78/$R$3</f>
        <v>0</v>
      </c>
    </row>
    <row r="79" customFormat="false" ht="12.75" hidden="true" customHeight="false" outlineLevel="0" collapsed="false">
      <c r="A79" s="120" t="n">
        <f aca="false">A78+1</f>
        <v>36965</v>
      </c>
      <c r="B79" s="131" t="str">
        <f aca="false">INDEX('Master Data'!$A$2:$B$8,MATCH(WEEKDAY(ELETROBOLT!A79,3),'Master Data'!$A$2:$A$8,0),2)</f>
        <v>Th</v>
      </c>
      <c r="D79" s="124" t="n">
        <v>0</v>
      </c>
      <c r="E79" s="124" t="n">
        <v>0</v>
      </c>
      <c r="F79" s="124" t="n">
        <v>0</v>
      </c>
      <c r="G79" s="124" t="n">
        <v>0</v>
      </c>
      <c r="I79" s="124" t="n">
        <f aca="false">IF(MONTH($A79)=MONTH($A78),IF(G79=0,I78,G79),G79)</f>
        <v>0</v>
      </c>
      <c r="J79" s="124" t="n">
        <f aca="false">IF(MONTH($A79)=MONTH($A78),SUM(I79-I78),I79)</f>
        <v>0</v>
      </c>
      <c r="K79" s="124" t="n">
        <f aca="false">IF(WEEKDAY(A79,3)&gt;4,0,(IF(A79&lt;K$2,0,IF(A79&lt;=K$3,1,0))))</f>
        <v>0</v>
      </c>
      <c r="L79" s="124" t="n">
        <f aca="false">J79*K79</f>
        <v>0</v>
      </c>
      <c r="M79" s="124" t="n">
        <f aca="false">SUM(J$6:J79)</f>
        <v>0</v>
      </c>
      <c r="N79" s="124" t="n">
        <f aca="false">SUM(J$6:J79)</f>
        <v>0</v>
      </c>
      <c r="P79" s="124" t="n">
        <f aca="false">D79/P$3</f>
        <v>0</v>
      </c>
      <c r="Q79" s="124" t="n">
        <f aca="false">E79/P$3</f>
        <v>0</v>
      </c>
      <c r="R79" s="124" t="n">
        <f aca="false">F79/R$3</f>
        <v>0</v>
      </c>
      <c r="S79" s="126" t="n">
        <f aca="false">J79/$R$3</f>
        <v>0</v>
      </c>
      <c r="T79" s="126" t="n">
        <f aca="false">L79/$R$3</f>
        <v>0</v>
      </c>
      <c r="U79" s="126" t="n">
        <f aca="false">I79/$R$3</f>
        <v>0</v>
      </c>
      <c r="V79" s="126" t="n">
        <f aca="false">M79/$R$3</f>
        <v>0</v>
      </c>
      <c r="W79" s="126" t="n">
        <f aca="false">N79/$R$3</f>
        <v>0</v>
      </c>
    </row>
    <row r="80" customFormat="false" ht="12.75" hidden="true" customHeight="false" outlineLevel="0" collapsed="false">
      <c r="A80" s="120" t="n">
        <f aca="false">A79+1</f>
        <v>36966</v>
      </c>
      <c r="B80" s="131" t="str">
        <f aca="false">INDEX('Master Data'!$A$2:$B$8,MATCH(WEEKDAY(ELETROBOLT!A80,3),'Master Data'!$A$2:$A$8,0),2)</f>
        <v>F</v>
      </c>
      <c r="D80" s="124" t="n">
        <v>0</v>
      </c>
      <c r="E80" s="124" t="n">
        <v>0</v>
      </c>
      <c r="F80" s="124" t="n">
        <v>0</v>
      </c>
      <c r="G80" s="124" t="n">
        <v>0</v>
      </c>
      <c r="I80" s="124" t="n">
        <f aca="false">IF(MONTH($A80)=MONTH($A79),IF(G80=0,I79,G80),G80)</f>
        <v>0</v>
      </c>
      <c r="J80" s="124" t="n">
        <f aca="false">IF(MONTH($A80)=MONTH($A79),SUM(I80-I79),I80)</f>
        <v>0</v>
      </c>
      <c r="K80" s="124" t="n">
        <f aca="false">IF(WEEKDAY(A80,3)&gt;4,0,(IF(A80&lt;K$2,0,IF(A80&lt;=K$3,1,0))))</f>
        <v>0</v>
      </c>
      <c r="L80" s="124" t="n">
        <f aca="false">J80*K80</f>
        <v>0</v>
      </c>
      <c r="M80" s="124" t="n">
        <f aca="false">SUM(J$6:J80)</f>
        <v>0</v>
      </c>
      <c r="N80" s="124" t="n">
        <f aca="false">SUM(J$6:J80)</f>
        <v>0</v>
      </c>
      <c r="P80" s="124" t="n">
        <f aca="false">D80/P$3</f>
        <v>0</v>
      </c>
      <c r="Q80" s="124" t="n">
        <f aca="false">E80/P$3</f>
        <v>0</v>
      </c>
      <c r="R80" s="124" t="n">
        <f aca="false">F80/R$3</f>
        <v>0</v>
      </c>
      <c r="S80" s="126" t="n">
        <f aca="false">J80/$R$3</f>
        <v>0</v>
      </c>
      <c r="T80" s="126" t="n">
        <f aca="false">L80/$R$3</f>
        <v>0</v>
      </c>
      <c r="U80" s="126" t="n">
        <f aca="false">I80/$R$3</f>
        <v>0</v>
      </c>
      <c r="V80" s="126" t="n">
        <f aca="false">M80/$R$3</f>
        <v>0</v>
      </c>
      <c r="W80" s="126" t="n">
        <f aca="false">N80/$R$3</f>
        <v>0</v>
      </c>
    </row>
    <row r="81" customFormat="false" ht="12.75" hidden="true" customHeight="false" outlineLevel="0" collapsed="false">
      <c r="A81" s="120" t="n">
        <f aca="false">A80+1</f>
        <v>36967</v>
      </c>
      <c r="B81" s="131" t="str">
        <f aca="false">INDEX('Master Data'!$A$2:$B$8,MATCH(WEEKDAY(ELETROBOLT!A81,3),'Master Data'!$A$2:$A$8,0),2)</f>
        <v>Sa</v>
      </c>
      <c r="D81" s="124" t="n">
        <v>0</v>
      </c>
      <c r="E81" s="124" t="n">
        <v>0</v>
      </c>
      <c r="F81" s="124" t="n">
        <v>0</v>
      </c>
      <c r="G81" s="124" t="n">
        <v>0</v>
      </c>
      <c r="I81" s="124" t="n">
        <f aca="false">IF(MONTH($A81)=MONTH($A80),IF(G81=0,I80,G81),G81)</f>
        <v>0</v>
      </c>
      <c r="J81" s="124" t="n">
        <f aca="false">IF(MONTH($A81)=MONTH($A80),SUM(I81-I80),I81)</f>
        <v>0</v>
      </c>
      <c r="K81" s="124" t="n">
        <f aca="false">IF(WEEKDAY(A81,3)&gt;4,0,(IF(A81&lt;K$2,0,IF(A81&lt;=K$3,1,0))))</f>
        <v>0</v>
      </c>
      <c r="L81" s="124" t="n">
        <f aca="false">J81*K81</f>
        <v>0</v>
      </c>
      <c r="M81" s="124" t="n">
        <f aca="false">SUM(J$6:J81)</f>
        <v>0</v>
      </c>
      <c r="N81" s="124" t="n">
        <f aca="false">SUM(J$6:J81)</f>
        <v>0</v>
      </c>
      <c r="P81" s="124" t="n">
        <f aca="false">D81/P$3</f>
        <v>0</v>
      </c>
      <c r="Q81" s="124" t="n">
        <f aca="false">E81/P$3</f>
        <v>0</v>
      </c>
      <c r="R81" s="124" t="n">
        <f aca="false">F81/R$3</f>
        <v>0</v>
      </c>
      <c r="S81" s="126" t="n">
        <f aca="false">J81/$R$3</f>
        <v>0</v>
      </c>
      <c r="T81" s="126" t="n">
        <f aca="false">L81/$R$3</f>
        <v>0</v>
      </c>
      <c r="U81" s="126" t="n">
        <f aca="false">I81/$R$3</f>
        <v>0</v>
      </c>
      <c r="V81" s="126" t="n">
        <f aca="false">M81/$R$3</f>
        <v>0</v>
      </c>
      <c r="W81" s="126" t="n">
        <f aca="false">N81/$R$3</f>
        <v>0</v>
      </c>
    </row>
    <row r="82" customFormat="false" ht="12.75" hidden="true" customHeight="false" outlineLevel="0" collapsed="false">
      <c r="A82" s="120" t="n">
        <f aca="false">A81+1</f>
        <v>36968</v>
      </c>
      <c r="B82" s="131" t="str">
        <f aca="false">INDEX('Master Data'!$A$2:$B$8,MATCH(WEEKDAY(ELETROBOLT!A82,3),'Master Data'!$A$2:$A$8,0),2)</f>
        <v>Su</v>
      </c>
      <c r="D82" s="124" t="n">
        <v>0</v>
      </c>
      <c r="E82" s="124" t="n">
        <v>0</v>
      </c>
      <c r="F82" s="124" t="n">
        <v>0</v>
      </c>
      <c r="G82" s="124" t="n">
        <v>0</v>
      </c>
      <c r="I82" s="124" t="n">
        <f aca="false">IF(MONTH($A82)=MONTH($A81),IF(G82=0,I81,G82),G82)</f>
        <v>0</v>
      </c>
      <c r="J82" s="124" t="n">
        <f aca="false">IF(MONTH($A82)=MONTH($A81),SUM(I82-I81),I82)</f>
        <v>0</v>
      </c>
      <c r="K82" s="124" t="n">
        <f aca="false">IF(WEEKDAY(A82,3)&gt;4,0,(IF(A82&lt;K$2,0,IF(A82&lt;=K$3,1,0))))</f>
        <v>0</v>
      </c>
      <c r="L82" s="124" t="n">
        <f aca="false">J82*K82</f>
        <v>0</v>
      </c>
      <c r="M82" s="124" t="n">
        <f aca="false">SUM(J$6:J82)</f>
        <v>0</v>
      </c>
      <c r="N82" s="124" t="n">
        <f aca="false">SUM(J$6:J82)</f>
        <v>0</v>
      </c>
      <c r="P82" s="124" t="n">
        <f aca="false">D82/P$3</f>
        <v>0</v>
      </c>
      <c r="Q82" s="124" t="n">
        <f aca="false">E82/P$3</f>
        <v>0</v>
      </c>
      <c r="R82" s="124" t="n">
        <f aca="false">F82/R$3</f>
        <v>0</v>
      </c>
      <c r="S82" s="126" t="n">
        <f aca="false">J82/$R$3</f>
        <v>0</v>
      </c>
      <c r="T82" s="126" t="n">
        <f aca="false">L82/$R$3</f>
        <v>0</v>
      </c>
      <c r="U82" s="126" t="n">
        <f aca="false">I82/$R$3</f>
        <v>0</v>
      </c>
      <c r="V82" s="126" t="n">
        <f aca="false">M82/$R$3</f>
        <v>0</v>
      </c>
      <c r="W82" s="126" t="n">
        <f aca="false">N82/$R$3</f>
        <v>0</v>
      </c>
    </row>
    <row r="83" customFormat="false" ht="12.75" hidden="true" customHeight="false" outlineLevel="0" collapsed="false">
      <c r="A83" s="120" t="n">
        <f aca="false">A82+1</f>
        <v>36969</v>
      </c>
      <c r="B83" s="131" t="str">
        <f aca="false">INDEX('Master Data'!$A$2:$B$8,MATCH(WEEKDAY(ELETROBOLT!A83,3),'Master Data'!$A$2:$A$8,0),2)</f>
        <v>M</v>
      </c>
      <c r="D83" s="124" t="n">
        <v>0</v>
      </c>
      <c r="E83" s="124" t="n">
        <v>0</v>
      </c>
      <c r="F83" s="124" t="n">
        <v>0</v>
      </c>
      <c r="G83" s="124" t="n">
        <v>0</v>
      </c>
      <c r="I83" s="124" t="n">
        <f aca="false">IF(MONTH($A83)=MONTH($A82),IF(G83=0,I82,G83),G83)</f>
        <v>0</v>
      </c>
      <c r="J83" s="124" t="n">
        <f aca="false">IF(MONTH($A83)=MONTH($A82),SUM(I83-I82),I83)</f>
        <v>0</v>
      </c>
      <c r="K83" s="124" t="n">
        <f aca="false">IF(WEEKDAY(A83,3)&gt;4,0,(IF(A83&lt;K$2,0,IF(A83&lt;=K$3,1,0))))</f>
        <v>0</v>
      </c>
      <c r="L83" s="124" t="n">
        <f aca="false">J83*K83</f>
        <v>0</v>
      </c>
      <c r="M83" s="124" t="n">
        <f aca="false">SUM(J$6:J83)</f>
        <v>0</v>
      </c>
      <c r="N83" s="124" t="n">
        <f aca="false">SUM(J$6:J83)</f>
        <v>0</v>
      </c>
      <c r="P83" s="124" t="n">
        <f aca="false">D83/P$3</f>
        <v>0</v>
      </c>
      <c r="Q83" s="124" t="n">
        <f aca="false">E83/P$3</f>
        <v>0</v>
      </c>
      <c r="R83" s="124" t="n">
        <f aca="false">F83/R$3</f>
        <v>0</v>
      </c>
      <c r="S83" s="126" t="n">
        <f aca="false">J83/$R$3</f>
        <v>0</v>
      </c>
      <c r="T83" s="126" t="n">
        <f aca="false">L83/$R$3</f>
        <v>0</v>
      </c>
      <c r="U83" s="126" t="n">
        <f aca="false">I83/$R$3</f>
        <v>0</v>
      </c>
      <c r="V83" s="126" t="n">
        <f aca="false">M83/$R$3</f>
        <v>0</v>
      </c>
      <c r="W83" s="126" t="n">
        <f aca="false">N83/$R$3</f>
        <v>0</v>
      </c>
    </row>
    <row r="84" customFormat="false" ht="12.75" hidden="true" customHeight="false" outlineLevel="0" collapsed="false">
      <c r="A84" s="120" t="n">
        <f aca="false">A83+1</f>
        <v>36970</v>
      </c>
      <c r="B84" s="131" t="str">
        <f aca="false">INDEX('Master Data'!$A$2:$B$8,MATCH(WEEKDAY(ELETROBOLT!A84,3),'Master Data'!$A$2:$A$8,0),2)</f>
        <v>T</v>
      </c>
      <c r="D84" s="124" t="n">
        <v>0</v>
      </c>
      <c r="E84" s="124" t="n">
        <v>0</v>
      </c>
      <c r="F84" s="124" t="n">
        <v>0</v>
      </c>
      <c r="G84" s="124" t="n">
        <v>0</v>
      </c>
      <c r="I84" s="124" t="n">
        <f aca="false">IF(MONTH($A84)=MONTH($A83),IF(G84=0,I83,G84),G84)</f>
        <v>0</v>
      </c>
      <c r="J84" s="124" t="n">
        <f aca="false">IF(MONTH($A84)=MONTH($A83),SUM(I84-I83),I84)</f>
        <v>0</v>
      </c>
      <c r="K84" s="124" t="n">
        <f aca="false">IF(WEEKDAY(A84,3)&gt;4,0,(IF(A84&lt;K$2,0,IF(A84&lt;=K$3,1,0))))</f>
        <v>0</v>
      </c>
      <c r="L84" s="124" t="n">
        <f aca="false">J84*K84</f>
        <v>0</v>
      </c>
      <c r="M84" s="124" t="n">
        <f aca="false">SUM(J$6:J84)</f>
        <v>0</v>
      </c>
      <c r="N84" s="124" t="n">
        <f aca="false">SUM(J$6:J84)</f>
        <v>0</v>
      </c>
      <c r="P84" s="124" t="n">
        <f aca="false">D84/P$3</f>
        <v>0</v>
      </c>
      <c r="Q84" s="124" t="n">
        <f aca="false">E84/P$3</f>
        <v>0</v>
      </c>
      <c r="R84" s="124" t="n">
        <f aca="false">F84/R$3</f>
        <v>0</v>
      </c>
      <c r="S84" s="126" t="n">
        <f aca="false">J84/$R$3</f>
        <v>0</v>
      </c>
      <c r="T84" s="126" t="n">
        <f aca="false">L84/$R$3</f>
        <v>0</v>
      </c>
      <c r="U84" s="126" t="n">
        <f aca="false">I84/$R$3</f>
        <v>0</v>
      </c>
      <c r="V84" s="126" t="n">
        <f aca="false">M84/$R$3</f>
        <v>0</v>
      </c>
      <c r="W84" s="126" t="n">
        <f aca="false">N84/$R$3</f>
        <v>0</v>
      </c>
    </row>
    <row r="85" customFormat="false" ht="12.75" hidden="true" customHeight="false" outlineLevel="0" collapsed="false">
      <c r="A85" s="120" t="n">
        <f aca="false">A84+1</f>
        <v>36971</v>
      </c>
      <c r="B85" s="131" t="str">
        <f aca="false">INDEX('Master Data'!$A$2:$B$8,MATCH(WEEKDAY(ELETROBOLT!A85,3),'Master Data'!$A$2:$A$8,0),2)</f>
        <v>W</v>
      </c>
      <c r="D85" s="124" t="n">
        <v>0</v>
      </c>
      <c r="E85" s="124" t="n">
        <v>0</v>
      </c>
      <c r="F85" s="124" t="n">
        <v>0</v>
      </c>
      <c r="G85" s="124" t="n">
        <v>0</v>
      </c>
      <c r="I85" s="124" t="n">
        <f aca="false">IF(MONTH($A85)=MONTH($A84),IF(G85=0,I84,G85),G85)</f>
        <v>0</v>
      </c>
      <c r="J85" s="124" t="n">
        <f aca="false">IF(MONTH($A85)=MONTH($A84),SUM(I85-I84),I85)</f>
        <v>0</v>
      </c>
      <c r="K85" s="124" t="n">
        <f aca="false">IF(WEEKDAY(A85,3)&gt;4,0,(IF(A85&lt;K$2,0,IF(A85&lt;=K$3,1,0))))</f>
        <v>0</v>
      </c>
      <c r="L85" s="124" t="n">
        <f aca="false">J85*K85</f>
        <v>0</v>
      </c>
      <c r="M85" s="124" t="n">
        <f aca="false">SUM(J$6:J85)</f>
        <v>0</v>
      </c>
      <c r="N85" s="124" t="n">
        <f aca="false">SUM(J$6:J85)</f>
        <v>0</v>
      </c>
      <c r="P85" s="124" t="n">
        <f aca="false">D85/P$3</f>
        <v>0</v>
      </c>
      <c r="Q85" s="124" t="n">
        <f aca="false">E85/P$3</f>
        <v>0</v>
      </c>
      <c r="R85" s="124" t="n">
        <f aca="false">F85/R$3</f>
        <v>0</v>
      </c>
      <c r="S85" s="126" t="n">
        <f aca="false">J85/$R$3</f>
        <v>0</v>
      </c>
      <c r="T85" s="126" t="n">
        <f aca="false">L85/$R$3</f>
        <v>0</v>
      </c>
      <c r="U85" s="126" t="n">
        <f aca="false">I85/$R$3</f>
        <v>0</v>
      </c>
      <c r="V85" s="126" t="n">
        <f aca="false">M85/$R$3</f>
        <v>0</v>
      </c>
      <c r="W85" s="126" t="n">
        <f aca="false">N85/$R$3</f>
        <v>0</v>
      </c>
    </row>
    <row r="86" customFormat="false" ht="12.75" hidden="true" customHeight="false" outlineLevel="0" collapsed="false">
      <c r="A86" s="120" t="n">
        <f aca="false">A85+1</f>
        <v>36972</v>
      </c>
      <c r="B86" s="131" t="str">
        <f aca="false">INDEX('Master Data'!$A$2:$B$8,MATCH(WEEKDAY(ELETROBOLT!A86,3),'Master Data'!$A$2:$A$8,0),2)</f>
        <v>Th</v>
      </c>
      <c r="D86" s="124" t="n">
        <v>0</v>
      </c>
      <c r="E86" s="124" t="n">
        <v>0</v>
      </c>
      <c r="F86" s="124" t="n">
        <v>0</v>
      </c>
      <c r="G86" s="124" t="n">
        <v>0</v>
      </c>
      <c r="I86" s="124" t="n">
        <f aca="false">IF(MONTH($A86)=MONTH($A85),IF(G86=0,I85,G86),G86)</f>
        <v>0</v>
      </c>
      <c r="J86" s="124" t="n">
        <f aca="false">IF(MONTH($A86)=MONTH($A85),SUM(I86-I85),I86)</f>
        <v>0</v>
      </c>
      <c r="K86" s="124" t="n">
        <f aca="false">IF(WEEKDAY(A86,3)&gt;4,0,(IF(A86&lt;K$2,0,IF(A86&lt;=K$3,1,0))))</f>
        <v>0</v>
      </c>
      <c r="L86" s="124" t="n">
        <f aca="false">J86*K86</f>
        <v>0</v>
      </c>
      <c r="M86" s="124" t="n">
        <f aca="false">SUM(J$6:J86)</f>
        <v>0</v>
      </c>
      <c r="N86" s="124" t="n">
        <f aca="false">SUM(J$6:J86)</f>
        <v>0</v>
      </c>
      <c r="P86" s="124" t="n">
        <f aca="false">D86/P$3</f>
        <v>0</v>
      </c>
      <c r="Q86" s="124" t="n">
        <f aca="false">E86/P$3</f>
        <v>0</v>
      </c>
      <c r="R86" s="124" t="n">
        <f aca="false">F86/R$3</f>
        <v>0</v>
      </c>
      <c r="S86" s="126" t="n">
        <f aca="false">J86/$R$3</f>
        <v>0</v>
      </c>
      <c r="T86" s="126" t="n">
        <f aca="false">L86/$R$3</f>
        <v>0</v>
      </c>
      <c r="U86" s="126" t="n">
        <f aca="false">I86/$R$3</f>
        <v>0</v>
      </c>
      <c r="V86" s="126" t="n">
        <f aca="false">M86/$R$3</f>
        <v>0</v>
      </c>
      <c r="W86" s="126" t="n">
        <f aca="false">N86/$R$3</f>
        <v>0</v>
      </c>
    </row>
    <row r="87" customFormat="false" ht="12.75" hidden="true" customHeight="false" outlineLevel="0" collapsed="false">
      <c r="A87" s="120" t="n">
        <f aca="false">A86+1</f>
        <v>36973</v>
      </c>
      <c r="B87" s="131" t="str">
        <f aca="false">INDEX('Master Data'!$A$2:$B$8,MATCH(WEEKDAY(ELETROBOLT!A87,3),'Master Data'!$A$2:$A$8,0),2)</f>
        <v>F</v>
      </c>
      <c r="D87" s="124" t="n">
        <v>0</v>
      </c>
      <c r="E87" s="124" t="n">
        <v>0</v>
      </c>
      <c r="F87" s="124" t="n">
        <v>0</v>
      </c>
      <c r="G87" s="124" t="n">
        <v>0</v>
      </c>
      <c r="I87" s="124" t="n">
        <f aca="false">IF(MONTH($A87)=MONTH($A86),IF(G87=0,I86,G87),G87)</f>
        <v>0</v>
      </c>
      <c r="J87" s="124" t="n">
        <f aca="false">IF(MONTH($A87)=MONTH($A86),SUM(I87-I86),I87)</f>
        <v>0</v>
      </c>
      <c r="K87" s="124" t="n">
        <f aca="false">IF(WEEKDAY(A87,3)&gt;4,0,(IF(A87&lt;K$2,0,IF(A87&lt;=K$3,1,0))))</f>
        <v>0</v>
      </c>
      <c r="L87" s="124" t="n">
        <f aca="false">J87*K87</f>
        <v>0</v>
      </c>
      <c r="M87" s="124" t="n">
        <f aca="false">SUM(J$6:J87)</f>
        <v>0</v>
      </c>
      <c r="N87" s="124" t="n">
        <f aca="false">SUM(J$6:J87)</f>
        <v>0</v>
      </c>
      <c r="P87" s="124" t="n">
        <f aca="false">D87/P$3</f>
        <v>0</v>
      </c>
      <c r="Q87" s="124" t="n">
        <f aca="false">E87/P$3</f>
        <v>0</v>
      </c>
      <c r="R87" s="124" t="n">
        <f aca="false">F87/R$3</f>
        <v>0</v>
      </c>
      <c r="S87" s="126" t="n">
        <f aca="false">J87/$R$3</f>
        <v>0</v>
      </c>
      <c r="T87" s="126" t="n">
        <f aca="false">L87/$R$3</f>
        <v>0</v>
      </c>
      <c r="U87" s="126" t="n">
        <f aca="false">I87/$R$3</f>
        <v>0</v>
      </c>
      <c r="V87" s="126" t="n">
        <f aca="false">M87/$R$3</f>
        <v>0</v>
      </c>
      <c r="W87" s="126" t="n">
        <f aca="false">N87/$R$3</f>
        <v>0</v>
      </c>
    </row>
    <row r="88" customFormat="false" ht="12.75" hidden="true" customHeight="false" outlineLevel="0" collapsed="false">
      <c r="A88" s="120" t="n">
        <f aca="false">A87+1</f>
        <v>36974</v>
      </c>
      <c r="B88" s="131" t="str">
        <f aca="false">INDEX('Master Data'!$A$2:$B$8,MATCH(WEEKDAY(ELETROBOLT!A88,3),'Master Data'!$A$2:$A$8,0),2)</f>
        <v>Sa</v>
      </c>
      <c r="D88" s="124" t="n">
        <v>0</v>
      </c>
      <c r="E88" s="124" t="n">
        <v>0</v>
      </c>
      <c r="F88" s="124" t="n">
        <v>0</v>
      </c>
      <c r="G88" s="124" t="n">
        <v>0</v>
      </c>
      <c r="I88" s="124" t="n">
        <f aca="false">IF(MONTH($A88)=MONTH($A87),IF(G88=0,I87,G88),G88)</f>
        <v>0</v>
      </c>
      <c r="J88" s="124" t="n">
        <f aca="false">IF(MONTH($A88)=MONTH($A87),SUM(I88-I87),I88)</f>
        <v>0</v>
      </c>
      <c r="K88" s="124" t="n">
        <f aca="false">IF(WEEKDAY(A88,3)&gt;4,0,(IF(A88&lt;K$2,0,IF(A88&lt;=K$3,1,0))))</f>
        <v>0</v>
      </c>
      <c r="L88" s="124" t="n">
        <f aca="false">J88*K88</f>
        <v>0</v>
      </c>
      <c r="M88" s="124" t="n">
        <f aca="false">SUM(J$6:J88)</f>
        <v>0</v>
      </c>
      <c r="N88" s="124" t="n">
        <f aca="false">SUM(J$6:J88)</f>
        <v>0</v>
      </c>
      <c r="P88" s="124" t="n">
        <f aca="false">D88/P$3</f>
        <v>0</v>
      </c>
      <c r="Q88" s="124" t="n">
        <f aca="false">E88/P$3</f>
        <v>0</v>
      </c>
      <c r="R88" s="124" t="n">
        <f aca="false">F88/R$3</f>
        <v>0</v>
      </c>
      <c r="S88" s="126" t="n">
        <f aca="false">J88/$R$3</f>
        <v>0</v>
      </c>
      <c r="T88" s="126" t="n">
        <f aca="false">L88/$R$3</f>
        <v>0</v>
      </c>
      <c r="U88" s="126" t="n">
        <f aca="false">I88/$R$3</f>
        <v>0</v>
      </c>
      <c r="V88" s="126" t="n">
        <f aca="false">M88/$R$3</f>
        <v>0</v>
      </c>
      <c r="W88" s="126" t="n">
        <f aca="false">N88/$R$3</f>
        <v>0</v>
      </c>
    </row>
    <row r="89" customFormat="false" ht="12.75" hidden="true" customHeight="false" outlineLevel="0" collapsed="false">
      <c r="A89" s="120" t="n">
        <f aca="false">A88+1</f>
        <v>36975</v>
      </c>
      <c r="B89" s="131" t="str">
        <f aca="false">INDEX('Master Data'!$A$2:$B$8,MATCH(WEEKDAY(ELETROBOLT!A89,3),'Master Data'!$A$2:$A$8,0),2)</f>
        <v>Su</v>
      </c>
      <c r="D89" s="124" t="n">
        <v>0</v>
      </c>
      <c r="E89" s="124" t="n">
        <v>0</v>
      </c>
      <c r="F89" s="124" t="n">
        <v>0</v>
      </c>
      <c r="G89" s="124" t="n">
        <v>0</v>
      </c>
      <c r="I89" s="124" t="n">
        <f aca="false">IF(MONTH($A89)=MONTH($A88),IF(G89=0,I88,G89),G89)</f>
        <v>0</v>
      </c>
      <c r="J89" s="124" t="n">
        <f aca="false">IF(MONTH($A89)=MONTH($A88),SUM(I89-I88),I89)</f>
        <v>0</v>
      </c>
      <c r="K89" s="124" t="n">
        <f aca="false">IF(WEEKDAY(A89,3)&gt;4,0,(IF(A89&lt;K$2,0,IF(A89&lt;=K$3,1,0))))</f>
        <v>0</v>
      </c>
      <c r="L89" s="124" t="n">
        <f aca="false">J89*K89</f>
        <v>0</v>
      </c>
      <c r="M89" s="124" t="n">
        <f aca="false">SUM(J$6:J89)</f>
        <v>0</v>
      </c>
      <c r="N89" s="124" t="n">
        <f aca="false">SUM(J$6:J89)</f>
        <v>0</v>
      </c>
      <c r="P89" s="124" t="n">
        <f aca="false">D89/P$3</f>
        <v>0</v>
      </c>
      <c r="Q89" s="124" t="n">
        <f aca="false">E89/P$3</f>
        <v>0</v>
      </c>
      <c r="R89" s="124" t="n">
        <f aca="false">F89/R$3</f>
        <v>0</v>
      </c>
      <c r="S89" s="126" t="n">
        <f aca="false">J89/$R$3</f>
        <v>0</v>
      </c>
      <c r="T89" s="126" t="n">
        <f aca="false">L89/$R$3</f>
        <v>0</v>
      </c>
      <c r="U89" s="126" t="n">
        <f aca="false">I89/$R$3</f>
        <v>0</v>
      </c>
      <c r="V89" s="126" t="n">
        <f aca="false">M89/$R$3</f>
        <v>0</v>
      </c>
      <c r="W89" s="126" t="n">
        <f aca="false">N89/$R$3</f>
        <v>0</v>
      </c>
    </row>
    <row r="90" customFormat="false" ht="12.75" hidden="true" customHeight="false" outlineLevel="0" collapsed="false">
      <c r="A90" s="120" t="n">
        <f aca="false">A89+1</f>
        <v>36976</v>
      </c>
      <c r="B90" s="131" t="str">
        <f aca="false">INDEX('Master Data'!$A$2:$B$8,MATCH(WEEKDAY(ELETROBOLT!A90,3),'Master Data'!$A$2:$A$8,0),2)</f>
        <v>M</v>
      </c>
      <c r="D90" s="124" t="n">
        <v>0</v>
      </c>
      <c r="E90" s="124" t="n">
        <v>0</v>
      </c>
      <c r="F90" s="124" t="n">
        <v>0</v>
      </c>
      <c r="G90" s="124" t="n">
        <v>0</v>
      </c>
      <c r="I90" s="124" t="n">
        <f aca="false">IF(MONTH($A90)=MONTH($A89),IF(G90=0,I89,G90),G90)</f>
        <v>0</v>
      </c>
      <c r="J90" s="124" t="n">
        <f aca="false">IF(MONTH($A90)=MONTH($A89),SUM(I90-I89),I90)</f>
        <v>0</v>
      </c>
      <c r="K90" s="124" t="n">
        <f aca="false">IF(WEEKDAY(A90,3)&gt;4,0,(IF(A90&lt;K$2,0,IF(A90&lt;=K$3,1,0))))</f>
        <v>0</v>
      </c>
      <c r="L90" s="124" t="n">
        <f aca="false">J90*K90</f>
        <v>0</v>
      </c>
      <c r="M90" s="124" t="n">
        <f aca="false">SUM(J$6:J90)</f>
        <v>0</v>
      </c>
      <c r="N90" s="124" t="n">
        <f aca="false">SUM(J$6:J90)</f>
        <v>0</v>
      </c>
      <c r="P90" s="124" t="n">
        <f aca="false">D90/P$3</f>
        <v>0</v>
      </c>
      <c r="Q90" s="124" t="n">
        <f aca="false">E90/P$3</f>
        <v>0</v>
      </c>
      <c r="R90" s="124" t="n">
        <f aca="false">F90/R$3</f>
        <v>0</v>
      </c>
      <c r="S90" s="126" t="n">
        <f aca="false">J90/$R$3</f>
        <v>0</v>
      </c>
      <c r="T90" s="126" t="n">
        <f aca="false">L90/$R$3</f>
        <v>0</v>
      </c>
      <c r="U90" s="126" t="n">
        <f aca="false">I90/$R$3</f>
        <v>0</v>
      </c>
      <c r="V90" s="126" t="n">
        <f aca="false">M90/$R$3</f>
        <v>0</v>
      </c>
      <c r="W90" s="126" t="n">
        <f aca="false">N90/$R$3</f>
        <v>0</v>
      </c>
    </row>
    <row r="91" customFormat="false" ht="12.75" hidden="true" customHeight="false" outlineLevel="0" collapsed="false">
      <c r="A91" s="120" t="n">
        <f aca="false">A90+1</f>
        <v>36977</v>
      </c>
      <c r="B91" s="131" t="str">
        <f aca="false">INDEX('Master Data'!$A$2:$B$8,MATCH(WEEKDAY(ELETROBOLT!A91,3),'Master Data'!$A$2:$A$8,0),2)</f>
        <v>T</v>
      </c>
      <c r="D91" s="124" t="n">
        <v>0</v>
      </c>
      <c r="E91" s="124" t="n">
        <v>0</v>
      </c>
      <c r="F91" s="124" t="n">
        <v>0</v>
      </c>
      <c r="G91" s="124" t="n">
        <v>0</v>
      </c>
      <c r="I91" s="124" t="n">
        <f aca="false">IF(MONTH($A91)=MONTH($A90),IF(G91=0,I90,G91),G91)</f>
        <v>0</v>
      </c>
      <c r="J91" s="124" t="n">
        <f aca="false">IF(MONTH($A91)=MONTH($A90),SUM(I91-I90),I91)</f>
        <v>0</v>
      </c>
      <c r="K91" s="124" t="n">
        <f aca="false">IF(WEEKDAY(A91,3)&gt;4,0,(IF(A91&lt;K$2,0,IF(A91&lt;=K$3,1,0))))</f>
        <v>0</v>
      </c>
      <c r="L91" s="124" t="n">
        <f aca="false">J91*K91</f>
        <v>0</v>
      </c>
      <c r="M91" s="124" t="n">
        <f aca="false">SUM(J$6:J91)</f>
        <v>0</v>
      </c>
      <c r="N91" s="124" t="n">
        <f aca="false">SUM(J$6:J91)</f>
        <v>0</v>
      </c>
      <c r="P91" s="124" t="n">
        <f aca="false">D91/P$3</f>
        <v>0</v>
      </c>
      <c r="Q91" s="124" t="n">
        <f aca="false">E91/P$3</f>
        <v>0</v>
      </c>
      <c r="R91" s="124" t="n">
        <f aca="false">F91/R$3</f>
        <v>0</v>
      </c>
      <c r="S91" s="126" t="n">
        <f aca="false">J91/$R$3</f>
        <v>0</v>
      </c>
      <c r="T91" s="126" t="n">
        <f aca="false">L91/$R$3</f>
        <v>0</v>
      </c>
      <c r="U91" s="126" t="n">
        <f aca="false">I91/$R$3</f>
        <v>0</v>
      </c>
      <c r="V91" s="126" t="n">
        <f aca="false">M91/$R$3</f>
        <v>0</v>
      </c>
      <c r="W91" s="126" t="n">
        <f aca="false">N91/$R$3</f>
        <v>0</v>
      </c>
    </row>
    <row r="92" customFormat="false" ht="12.75" hidden="true" customHeight="false" outlineLevel="0" collapsed="false">
      <c r="A92" s="120" t="n">
        <f aca="false">A91+1</f>
        <v>36978</v>
      </c>
      <c r="B92" s="131" t="str">
        <f aca="false">INDEX('Master Data'!$A$2:$B$8,MATCH(WEEKDAY(ELETROBOLT!A92,3),'Master Data'!$A$2:$A$8,0),2)</f>
        <v>W</v>
      </c>
      <c r="D92" s="124" t="n">
        <v>0</v>
      </c>
      <c r="E92" s="124" t="n">
        <v>0</v>
      </c>
      <c r="F92" s="124" t="n">
        <v>0</v>
      </c>
      <c r="G92" s="124" t="n">
        <v>0</v>
      </c>
      <c r="I92" s="124" t="n">
        <f aca="false">IF(MONTH($A92)=MONTH($A91),IF(G92=0,I91,G92),G92)</f>
        <v>0</v>
      </c>
      <c r="J92" s="124" t="n">
        <f aca="false">IF(MONTH($A92)=MONTH($A91),SUM(I92-I91),I92)</f>
        <v>0</v>
      </c>
      <c r="K92" s="124" t="n">
        <f aca="false">IF(WEEKDAY(A92,3)&gt;4,0,(IF(A92&lt;K$2,0,IF(A92&lt;=K$3,1,0))))</f>
        <v>0</v>
      </c>
      <c r="L92" s="124" t="n">
        <f aca="false">J92*K92</f>
        <v>0</v>
      </c>
      <c r="M92" s="124" t="n">
        <f aca="false">SUM(J$6:J92)</f>
        <v>0</v>
      </c>
      <c r="N92" s="124" t="n">
        <f aca="false">SUM(J$6:J92)</f>
        <v>0</v>
      </c>
      <c r="P92" s="124" t="n">
        <f aca="false">D92/P$3</f>
        <v>0</v>
      </c>
      <c r="Q92" s="124" t="n">
        <f aca="false">E92/P$3</f>
        <v>0</v>
      </c>
      <c r="R92" s="124" t="n">
        <f aca="false">F92/R$3</f>
        <v>0</v>
      </c>
      <c r="S92" s="126" t="n">
        <f aca="false">J92/$R$3</f>
        <v>0</v>
      </c>
      <c r="T92" s="126" t="n">
        <f aca="false">L92/$R$3</f>
        <v>0</v>
      </c>
      <c r="U92" s="126" t="n">
        <f aca="false">I92/$R$3</f>
        <v>0</v>
      </c>
      <c r="V92" s="126" t="n">
        <f aca="false">M92/$R$3</f>
        <v>0</v>
      </c>
      <c r="W92" s="126" t="n">
        <f aca="false">N92/$R$3</f>
        <v>0</v>
      </c>
    </row>
    <row r="93" customFormat="false" ht="12.75" hidden="true" customHeight="false" outlineLevel="0" collapsed="false">
      <c r="A93" s="120" t="n">
        <f aca="false">A92+1</f>
        <v>36979</v>
      </c>
      <c r="B93" s="131" t="str">
        <f aca="false">INDEX('Master Data'!$A$2:$B$8,MATCH(WEEKDAY(ELETROBOLT!A93,3),'Master Data'!$A$2:$A$8,0),2)</f>
        <v>Th</v>
      </c>
      <c r="D93" s="124" t="n">
        <v>0</v>
      </c>
      <c r="E93" s="124" t="n">
        <v>0</v>
      </c>
      <c r="F93" s="124" t="n">
        <v>0</v>
      </c>
      <c r="G93" s="124" t="n">
        <v>0</v>
      </c>
      <c r="I93" s="124" t="n">
        <f aca="false">IF(MONTH($A93)=MONTH($A92),IF(G93=0,I92,G93),G93)</f>
        <v>0</v>
      </c>
      <c r="J93" s="124" t="n">
        <f aca="false">IF(MONTH($A93)=MONTH($A92),SUM(I93-I92),I93)</f>
        <v>0</v>
      </c>
      <c r="K93" s="124" t="n">
        <f aca="false">IF(WEEKDAY(A93,3)&gt;4,0,(IF(A93&lt;K$2,0,IF(A93&lt;=K$3,1,0))))</f>
        <v>0</v>
      </c>
      <c r="L93" s="124" t="n">
        <f aca="false">J93*K93</f>
        <v>0</v>
      </c>
      <c r="M93" s="124" t="n">
        <f aca="false">SUM(J$6:J93)</f>
        <v>0</v>
      </c>
      <c r="N93" s="124" t="n">
        <f aca="false">SUM(J$6:J93)</f>
        <v>0</v>
      </c>
      <c r="P93" s="124" t="n">
        <f aca="false">D93/P$3</f>
        <v>0</v>
      </c>
      <c r="Q93" s="124" t="n">
        <f aca="false">E93/P$3</f>
        <v>0</v>
      </c>
      <c r="R93" s="124" t="n">
        <f aca="false">F93/R$3</f>
        <v>0</v>
      </c>
      <c r="S93" s="126" t="n">
        <f aca="false">J93/$R$3</f>
        <v>0</v>
      </c>
      <c r="T93" s="126" t="n">
        <f aca="false">L93/$R$3</f>
        <v>0</v>
      </c>
      <c r="U93" s="126" t="n">
        <f aca="false">I93/$R$3</f>
        <v>0</v>
      </c>
      <c r="V93" s="126" t="n">
        <f aca="false">M93/$R$3</f>
        <v>0</v>
      </c>
      <c r="W93" s="126" t="n">
        <f aca="false">N93/$R$3</f>
        <v>0</v>
      </c>
    </row>
    <row r="94" customFormat="false" ht="12.75" hidden="true" customHeight="false" outlineLevel="0" collapsed="false">
      <c r="A94" s="120" t="n">
        <f aca="false">A93+1</f>
        <v>36980</v>
      </c>
      <c r="B94" s="131" t="str">
        <f aca="false">INDEX('Master Data'!$A$2:$B$8,MATCH(WEEKDAY(ELETROBOLT!A94,3),'Master Data'!$A$2:$A$8,0),2)</f>
        <v>F</v>
      </c>
      <c r="D94" s="124" t="n">
        <v>0</v>
      </c>
      <c r="E94" s="124" t="n">
        <v>0</v>
      </c>
      <c r="F94" s="124" t="n">
        <v>0</v>
      </c>
      <c r="G94" s="124" t="n">
        <v>0</v>
      </c>
      <c r="I94" s="124" t="n">
        <f aca="false">IF(MONTH($A94)=MONTH($A93),IF(G94=0,I93,G94),G94)</f>
        <v>0</v>
      </c>
      <c r="J94" s="124" t="n">
        <f aca="false">IF(MONTH($A94)=MONTH($A93),SUM(I94-I93),I94)</f>
        <v>0</v>
      </c>
      <c r="K94" s="124" t="n">
        <f aca="false">IF(WEEKDAY(A94,3)&gt;4,0,(IF(A94&lt;K$2,0,IF(A94&lt;=K$3,1,0))))</f>
        <v>0</v>
      </c>
      <c r="L94" s="124" t="n">
        <f aca="false">J94*K94</f>
        <v>0</v>
      </c>
      <c r="M94" s="124" t="n">
        <f aca="false">SUM(J$6:J94)</f>
        <v>0</v>
      </c>
      <c r="N94" s="124" t="n">
        <f aca="false">SUM(J$6:J94)</f>
        <v>0</v>
      </c>
      <c r="P94" s="124" t="n">
        <f aca="false">D94/P$3</f>
        <v>0</v>
      </c>
      <c r="Q94" s="124" t="n">
        <f aca="false">E94/P$3</f>
        <v>0</v>
      </c>
      <c r="R94" s="124" t="n">
        <f aca="false">F94/R$3</f>
        <v>0</v>
      </c>
      <c r="S94" s="126" t="n">
        <f aca="false">J94/$R$3</f>
        <v>0</v>
      </c>
      <c r="T94" s="126" t="n">
        <f aca="false">L94/$R$3</f>
        <v>0</v>
      </c>
      <c r="U94" s="126" t="n">
        <f aca="false">I94/$R$3</f>
        <v>0</v>
      </c>
      <c r="V94" s="126" t="n">
        <f aca="false">M94/$R$3</f>
        <v>0</v>
      </c>
      <c r="W94" s="126" t="n">
        <f aca="false">N94/$R$3</f>
        <v>0</v>
      </c>
    </row>
    <row r="95" customFormat="false" ht="12.75" hidden="true" customHeight="false" outlineLevel="0" collapsed="false">
      <c r="A95" s="120" t="n">
        <f aca="false">A94+1</f>
        <v>36981</v>
      </c>
      <c r="B95" s="131" t="str">
        <f aca="false">INDEX('Master Data'!$A$2:$B$8,MATCH(WEEKDAY(ELETROBOLT!A95,3),'Master Data'!$A$2:$A$8,0),2)</f>
        <v>Sa</v>
      </c>
      <c r="D95" s="124" t="n">
        <v>0</v>
      </c>
      <c r="E95" s="124" t="n">
        <v>0</v>
      </c>
      <c r="F95" s="124" t="n">
        <v>0</v>
      </c>
      <c r="G95" s="124" t="n">
        <v>0</v>
      </c>
      <c r="I95" s="124" t="n">
        <f aca="false">IF(MONTH($A95)=MONTH($A94),IF(G95=0,I94,G95),G95)</f>
        <v>0</v>
      </c>
      <c r="J95" s="124" t="n">
        <f aca="false">IF(MONTH($A95)=MONTH($A94),SUM(I95-I94),I95)</f>
        <v>0</v>
      </c>
      <c r="K95" s="124" t="n">
        <f aca="false">IF(WEEKDAY(A95,3)&gt;4,0,(IF(A95&lt;K$2,0,IF(A95&lt;=K$3,1,0))))</f>
        <v>0</v>
      </c>
      <c r="L95" s="124" t="n">
        <f aca="false">J95*K95</f>
        <v>0</v>
      </c>
      <c r="M95" s="124" t="n">
        <f aca="false">SUM(J$6:J95)</f>
        <v>0</v>
      </c>
      <c r="N95" s="124" t="n">
        <f aca="false">SUM(J$6:J95)</f>
        <v>0</v>
      </c>
      <c r="P95" s="124" t="n">
        <f aca="false">D95/P$3</f>
        <v>0</v>
      </c>
      <c r="Q95" s="124" t="n">
        <f aca="false">E95/P$3</f>
        <v>0</v>
      </c>
      <c r="R95" s="124" t="n">
        <f aca="false">F95/R$3</f>
        <v>0</v>
      </c>
      <c r="S95" s="126" t="n">
        <f aca="false">J95/$R$3</f>
        <v>0</v>
      </c>
      <c r="T95" s="126" t="n">
        <f aca="false">L95/$R$3</f>
        <v>0</v>
      </c>
      <c r="U95" s="126" t="n">
        <f aca="false">I95/$R$3</f>
        <v>0</v>
      </c>
      <c r="V95" s="126" t="n">
        <f aca="false">M95/$R$3</f>
        <v>0</v>
      </c>
      <c r="W95" s="126" t="n">
        <f aca="false">N95/$R$3</f>
        <v>0</v>
      </c>
    </row>
    <row r="96" customFormat="false" ht="12.75" hidden="true" customHeight="false" outlineLevel="0" collapsed="false">
      <c r="A96" s="120" t="n">
        <f aca="false">A95+1</f>
        <v>36982</v>
      </c>
      <c r="B96" s="131" t="str">
        <f aca="false">INDEX('Master Data'!$A$2:$B$8,MATCH(WEEKDAY(ELETROBOLT!A96,3),'Master Data'!$A$2:$A$8,0),2)</f>
        <v>Su</v>
      </c>
      <c r="D96" s="124" t="n">
        <v>0</v>
      </c>
      <c r="E96" s="124" t="n">
        <v>0</v>
      </c>
      <c r="F96" s="124" t="n">
        <v>0</v>
      </c>
      <c r="G96" s="124" t="n">
        <v>0</v>
      </c>
      <c r="I96" s="124" t="n">
        <f aca="false">IF(MONTH($A96)=MONTH($A95),IF(G96=0,I95,G96),G96)</f>
        <v>0</v>
      </c>
      <c r="J96" s="124" t="n">
        <f aca="false">IF(MONTH($A96)=MONTH($A95),SUM(I96-I95),I96)</f>
        <v>0</v>
      </c>
      <c r="K96" s="124" t="n">
        <f aca="false">IF(WEEKDAY(A96,3)&gt;4,0,(IF(A96&lt;K$2,0,IF(A96&lt;=K$3,1,0))))</f>
        <v>0</v>
      </c>
      <c r="L96" s="124" t="n">
        <f aca="false">J96*K96</f>
        <v>0</v>
      </c>
      <c r="M96" s="124" t="n">
        <f aca="false">SUM(J$6:J96)</f>
        <v>0</v>
      </c>
      <c r="N96" s="124" t="n">
        <f aca="false">SUM(J$6:J96)</f>
        <v>0</v>
      </c>
      <c r="P96" s="124" t="n">
        <f aca="false">D96/P$3</f>
        <v>0</v>
      </c>
      <c r="Q96" s="124" t="n">
        <f aca="false">E96/P$3</f>
        <v>0</v>
      </c>
      <c r="R96" s="124" t="n">
        <f aca="false">F96/R$3</f>
        <v>0</v>
      </c>
      <c r="S96" s="126" t="n">
        <f aca="false">J96/$R$3</f>
        <v>0</v>
      </c>
      <c r="T96" s="126" t="n">
        <f aca="false">L96/$R$3</f>
        <v>0</v>
      </c>
      <c r="U96" s="126" t="n">
        <f aca="false">I96/$R$3</f>
        <v>0</v>
      </c>
      <c r="V96" s="126" t="n">
        <f aca="false">M96/$R$3</f>
        <v>0</v>
      </c>
      <c r="W96" s="126" t="n">
        <f aca="false">N96/$R$3</f>
        <v>0</v>
      </c>
    </row>
    <row r="97" customFormat="false" ht="12.75" hidden="true" customHeight="false" outlineLevel="0" collapsed="false">
      <c r="A97" s="120" t="n">
        <f aca="false">A96+1</f>
        <v>36983</v>
      </c>
      <c r="B97" s="131" t="str">
        <f aca="false">INDEX('Master Data'!$A$2:$B$8,MATCH(WEEKDAY(ELETROBOLT!A97,3),'Master Data'!$A$2:$A$8,0),2)</f>
        <v>M</v>
      </c>
      <c r="D97" s="124" t="n">
        <v>0</v>
      </c>
      <c r="E97" s="124" t="n">
        <v>0</v>
      </c>
      <c r="F97" s="124" t="n">
        <v>0</v>
      </c>
      <c r="G97" s="124" t="n">
        <v>0</v>
      </c>
      <c r="I97" s="124" t="n">
        <f aca="false">IF(MONTH($A97)=MONTH($A96),IF(G97=0,I96,G97),G97)</f>
        <v>0</v>
      </c>
      <c r="J97" s="124" t="n">
        <f aca="false">IF(MONTH($A97)=MONTH($A96),SUM(I97-I96),I97)</f>
        <v>0</v>
      </c>
      <c r="K97" s="124" t="n">
        <f aca="false">IF(WEEKDAY(A97,3)&gt;4,0,(IF(A97&lt;K$2,0,IF(A97&lt;=K$3,1,0))))</f>
        <v>0</v>
      </c>
      <c r="L97" s="124" t="n">
        <f aca="false">J97*K97</f>
        <v>0</v>
      </c>
      <c r="M97" s="124" t="n">
        <f aca="false">SUM(J$97:J97)</f>
        <v>0</v>
      </c>
      <c r="N97" s="124" t="n">
        <f aca="false">SUM(J$6:J97)</f>
        <v>0</v>
      </c>
      <c r="P97" s="124" t="n">
        <f aca="false">D97/P$3</f>
        <v>0</v>
      </c>
      <c r="Q97" s="124" t="n">
        <f aca="false">E97/P$3</f>
        <v>0</v>
      </c>
      <c r="R97" s="124" t="n">
        <f aca="false">F97/R$3</f>
        <v>0</v>
      </c>
      <c r="S97" s="126" t="n">
        <f aca="false">J97/$R$3</f>
        <v>0</v>
      </c>
      <c r="T97" s="126" t="n">
        <f aca="false">L97/$R$3</f>
        <v>0</v>
      </c>
      <c r="U97" s="126" t="n">
        <f aca="false">I97/$R$3</f>
        <v>0</v>
      </c>
      <c r="V97" s="126" t="n">
        <f aca="false">M97/$R$3</f>
        <v>0</v>
      </c>
      <c r="W97" s="126" t="n">
        <f aca="false">N97/$R$3</f>
        <v>0</v>
      </c>
    </row>
    <row r="98" customFormat="false" ht="12.75" hidden="true" customHeight="false" outlineLevel="0" collapsed="false">
      <c r="A98" s="120" t="n">
        <f aca="false">A97+1</f>
        <v>36984</v>
      </c>
      <c r="B98" s="131" t="str">
        <f aca="false">INDEX('Master Data'!$A$2:$B$8,MATCH(WEEKDAY(ELETROBOLT!A98,3),'Master Data'!$A$2:$A$8,0),2)</f>
        <v>T</v>
      </c>
      <c r="D98" s="124" t="n">
        <v>0</v>
      </c>
      <c r="E98" s="124" t="n">
        <v>0</v>
      </c>
      <c r="F98" s="124" t="n">
        <v>0</v>
      </c>
      <c r="G98" s="124" t="n">
        <v>0</v>
      </c>
      <c r="I98" s="124" t="n">
        <f aca="false">IF(MONTH($A98)=MONTH($A97),IF(G98=0,I97,G98),G98)</f>
        <v>0</v>
      </c>
      <c r="J98" s="124" t="n">
        <f aca="false">IF(MONTH($A98)=MONTH($A97),SUM(I98-I97),I98)</f>
        <v>0</v>
      </c>
      <c r="K98" s="124" t="n">
        <f aca="false">IF(WEEKDAY(A98,3)&gt;4,0,(IF(A98&lt;K$2,0,IF(A98&lt;=K$3,1,0))))</f>
        <v>0</v>
      </c>
      <c r="L98" s="124" t="n">
        <f aca="false">J98*K98</f>
        <v>0</v>
      </c>
      <c r="M98" s="124" t="n">
        <f aca="false">SUM(J$97:J98)</f>
        <v>0</v>
      </c>
      <c r="N98" s="124" t="n">
        <f aca="false">SUM(J$6:J98)</f>
        <v>0</v>
      </c>
      <c r="P98" s="124" t="n">
        <f aca="false">D98/P$3</f>
        <v>0</v>
      </c>
      <c r="Q98" s="124" t="n">
        <f aca="false">E98/P$3</f>
        <v>0</v>
      </c>
      <c r="R98" s="124" t="n">
        <f aca="false">F98/R$3</f>
        <v>0</v>
      </c>
      <c r="S98" s="126" t="n">
        <f aca="false">J98/$R$3</f>
        <v>0</v>
      </c>
      <c r="T98" s="126" t="n">
        <f aca="false">L98/$R$3</f>
        <v>0</v>
      </c>
      <c r="U98" s="126" t="n">
        <f aca="false">I98/$R$3</f>
        <v>0</v>
      </c>
      <c r="V98" s="126" t="n">
        <f aca="false">M98/$R$3</f>
        <v>0</v>
      </c>
      <c r="W98" s="126" t="n">
        <f aca="false">N98/$R$3</f>
        <v>0</v>
      </c>
    </row>
    <row r="99" customFormat="false" ht="12.75" hidden="true" customHeight="false" outlineLevel="0" collapsed="false">
      <c r="A99" s="120" t="n">
        <f aca="false">A98+1</f>
        <v>36985</v>
      </c>
      <c r="B99" s="131" t="str">
        <f aca="false">INDEX('Master Data'!$A$2:$B$8,MATCH(WEEKDAY(ELETROBOLT!A99,3),'Master Data'!$A$2:$A$8,0),2)</f>
        <v>W</v>
      </c>
      <c r="D99" s="124" t="n">
        <v>0</v>
      </c>
      <c r="E99" s="124" t="n">
        <v>0</v>
      </c>
      <c r="F99" s="124" t="n">
        <v>0</v>
      </c>
      <c r="G99" s="124" t="n">
        <v>0</v>
      </c>
      <c r="I99" s="124" t="n">
        <f aca="false">IF(MONTH($A99)=MONTH($A98),IF(G99=0,I98,G99),G99)</f>
        <v>0</v>
      </c>
      <c r="J99" s="124" t="n">
        <f aca="false">IF(MONTH($A99)=MONTH($A98),SUM(I99-I98),I99)</f>
        <v>0</v>
      </c>
      <c r="K99" s="124" t="n">
        <f aca="false">IF(WEEKDAY(A99,3)&gt;4,0,(IF(A99&lt;K$2,0,IF(A99&lt;=K$3,1,0))))</f>
        <v>0</v>
      </c>
      <c r="L99" s="124" t="n">
        <f aca="false">J99*K99</f>
        <v>0</v>
      </c>
      <c r="M99" s="124" t="n">
        <f aca="false">SUM(J$97:J99)</f>
        <v>0</v>
      </c>
      <c r="N99" s="124" t="n">
        <f aca="false">SUM(J$6:J99)</f>
        <v>0</v>
      </c>
      <c r="P99" s="124" t="n">
        <f aca="false">D99/P$3</f>
        <v>0</v>
      </c>
      <c r="Q99" s="124" t="n">
        <f aca="false">E99/P$3</f>
        <v>0</v>
      </c>
      <c r="R99" s="124" t="n">
        <f aca="false">F99/R$3</f>
        <v>0</v>
      </c>
      <c r="S99" s="126" t="n">
        <f aca="false">J99/$R$3</f>
        <v>0</v>
      </c>
      <c r="T99" s="126" t="n">
        <f aca="false">L99/$R$3</f>
        <v>0</v>
      </c>
      <c r="U99" s="126" t="n">
        <f aca="false">I99/$R$3</f>
        <v>0</v>
      </c>
      <c r="V99" s="126" t="n">
        <f aca="false">M99/$R$3</f>
        <v>0</v>
      </c>
      <c r="W99" s="126" t="n">
        <f aca="false">N99/$R$3</f>
        <v>0</v>
      </c>
    </row>
    <row r="100" customFormat="false" ht="12.75" hidden="true" customHeight="false" outlineLevel="0" collapsed="false">
      <c r="A100" s="120" t="n">
        <f aca="false">A99+1</f>
        <v>36986</v>
      </c>
      <c r="B100" s="131" t="str">
        <f aca="false">INDEX('Master Data'!$A$2:$B$8,MATCH(WEEKDAY(ELETROBOLT!A100,3),'Master Data'!$A$2:$A$8,0),2)</f>
        <v>Th</v>
      </c>
      <c r="D100" s="124" t="n">
        <v>0</v>
      </c>
      <c r="E100" s="124" t="n">
        <v>0</v>
      </c>
      <c r="F100" s="124" t="n">
        <v>0</v>
      </c>
      <c r="G100" s="124" t="n">
        <v>0</v>
      </c>
      <c r="I100" s="124" t="n">
        <f aca="false">IF(MONTH($A100)=MONTH($A99),IF(G100=0,I99,G100),G100)</f>
        <v>0</v>
      </c>
      <c r="J100" s="124" t="n">
        <f aca="false">IF(MONTH($A100)=MONTH($A99),SUM(I100-I99),I100)</f>
        <v>0</v>
      </c>
      <c r="K100" s="124" t="n">
        <f aca="false">IF(WEEKDAY(A100,3)&gt;4,0,(IF(A100&lt;K$2,0,IF(A100&lt;=K$3,1,0))))</f>
        <v>0</v>
      </c>
      <c r="L100" s="124" t="n">
        <f aca="false">J100*K100</f>
        <v>0</v>
      </c>
      <c r="M100" s="124" t="n">
        <f aca="false">SUM(J$97:J100)</f>
        <v>0</v>
      </c>
      <c r="N100" s="124" t="n">
        <f aca="false">SUM(J$6:J100)</f>
        <v>0</v>
      </c>
      <c r="P100" s="124" t="n">
        <f aca="false">D100/P$3</f>
        <v>0</v>
      </c>
      <c r="Q100" s="124" t="n">
        <f aca="false">E100/P$3</f>
        <v>0</v>
      </c>
      <c r="R100" s="124" t="n">
        <f aca="false">F100/R$3</f>
        <v>0</v>
      </c>
      <c r="S100" s="126" t="n">
        <f aca="false">J100/$R$3</f>
        <v>0</v>
      </c>
      <c r="T100" s="126" t="n">
        <f aca="false">L100/$R$3</f>
        <v>0</v>
      </c>
      <c r="U100" s="126" t="n">
        <f aca="false">I100/$R$3</f>
        <v>0</v>
      </c>
      <c r="V100" s="126" t="n">
        <f aca="false">M100/$R$3</f>
        <v>0</v>
      </c>
      <c r="W100" s="126" t="n">
        <f aca="false">N100/$R$3</f>
        <v>0</v>
      </c>
    </row>
    <row r="101" customFormat="false" ht="12.75" hidden="true" customHeight="false" outlineLevel="0" collapsed="false">
      <c r="A101" s="120" t="n">
        <f aca="false">A100+1</f>
        <v>36987</v>
      </c>
      <c r="B101" s="131" t="str">
        <f aca="false">INDEX('Master Data'!$A$2:$B$8,MATCH(WEEKDAY(ELETROBOLT!A101,3),'Master Data'!$A$2:$A$8,0),2)</f>
        <v>F</v>
      </c>
      <c r="D101" s="124" t="n">
        <v>0</v>
      </c>
      <c r="E101" s="124" t="n">
        <v>0</v>
      </c>
      <c r="F101" s="124" t="n">
        <v>0</v>
      </c>
      <c r="G101" s="124" t="n">
        <v>0</v>
      </c>
      <c r="I101" s="124" t="n">
        <f aca="false">IF(MONTH($A101)=MONTH($A100),IF(G101=0,I100,G101),G101)</f>
        <v>0</v>
      </c>
      <c r="J101" s="124" t="n">
        <f aca="false">IF(MONTH($A101)=MONTH($A100),SUM(I101-I100),I101)</f>
        <v>0</v>
      </c>
      <c r="K101" s="124" t="n">
        <f aca="false">IF(WEEKDAY(A101,3)&gt;4,0,(IF(A101&lt;K$2,0,IF(A101&lt;=K$3,1,0))))</f>
        <v>0</v>
      </c>
      <c r="L101" s="124" t="n">
        <f aca="false">J101*K101</f>
        <v>0</v>
      </c>
      <c r="M101" s="124" t="n">
        <f aca="false">SUM(J$97:J101)</f>
        <v>0</v>
      </c>
      <c r="N101" s="124" t="n">
        <f aca="false">SUM(J$6:J101)</f>
        <v>0</v>
      </c>
      <c r="P101" s="124" t="n">
        <f aca="false">D101/P$3</f>
        <v>0</v>
      </c>
      <c r="Q101" s="124" t="n">
        <f aca="false">E101/P$3</f>
        <v>0</v>
      </c>
      <c r="R101" s="124" t="n">
        <f aca="false">F101/R$3</f>
        <v>0</v>
      </c>
      <c r="S101" s="126" t="n">
        <f aca="false">J101/$R$3</f>
        <v>0</v>
      </c>
      <c r="T101" s="126" t="n">
        <f aca="false">L101/$R$3</f>
        <v>0</v>
      </c>
      <c r="U101" s="126" t="n">
        <f aca="false">I101/$R$3</f>
        <v>0</v>
      </c>
      <c r="V101" s="126" t="n">
        <f aca="false">M101/$R$3</f>
        <v>0</v>
      </c>
      <c r="W101" s="126" t="n">
        <f aca="false">N101/$R$3</f>
        <v>0</v>
      </c>
    </row>
    <row r="102" customFormat="false" ht="12.75" hidden="true" customHeight="false" outlineLevel="0" collapsed="false">
      <c r="A102" s="120" t="n">
        <f aca="false">A101+1</f>
        <v>36988</v>
      </c>
      <c r="B102" s="131" t="str">
        <f aca="false">INDEX('Master Data'!$A$2:$B$8,MATCH(WEEKDAY(ELETROBOLT!A102,3),'Master Data'!$A$2:$A$8,0),2)</f>
        <v>Sa</v>
      </c>
      <c r="D102" s="124" t="n">
        <v>0</v>
      </c>
      <c r="E102" s="124" t="n">
        <v>0</v>
      </c>
      <c r="F102" s="124" t="n">
        <v>0</v>
      </c>
      <c r="G102" s="124" t="n">
        <v>0</v>
      </c>
      <c r="I102" s="124" t="n">
        <f aca="false">IF(MONTH($A102)=MONTH($A101),IF(G102=0,I101,G102),G102)</f>
        <v>0</v>
      </c>
      <c r="J102" s="124" t="n">
        <f aca="false">IF(MONTH($A102)=MONTH($A101),SUM(I102-I101),I102)</f>
        <v>0</v>
      </c>
      <c r="K102" s="124" t="n">
        <f aca="false">IF(WEEKDAY(A102,3)&gt;4,0,(IF(A102&lt;K$2,0,IF(A102&lt;=K$3,1,0))))</f>
        <v>0</v>
      </c>
      <c r="L102" s="124" t="n">
        <f aca="false">J102*K102</f>
        <v>0</v>
      </c>
      <c r="M102" s="124" t="n">
        <f aca="false">SUM(J$97:J102)</f>
        <v>0</v>
      </c>
      <c r="N102" s="124" t="n">
        <f aca="false">SUM(J$6:J102)</f>
        <v>0</v>
      </c>
      <c r="P102" s="124" t="n">
        <f aca="false">D102/P$3</f>
        <v>0</v>
      </c>
      <c r="Q102" s="124" t="n">
        <f aca="false">E102/P$3</f>
        <v>0</v>
      </c>
      <c r="R102" s="124" t="n">
        <f aca="false">F102/R$3</f>
        <v>0</v>
      </c>
      <c r="S102" s="126" t="n">
        <f aca="false">J102/$R$3</f>
        <v>0</v>
      </c>
      <c r="T102" s="126" t="n">
        <f aca="false">L102/$R$3</f>
        <v>0</v>
      </c>
      <c r="U102" s="126" t="n">
        <f aca="false">I102/$R$3</f>
        <v>0</v>
      </c>
      <c r="V102" s="126" t="n">
        <f aca="false">M102/$R$3</f>
        <v>0</v>
      </c>
      <c r="W102" s="126" t="n">
        <f aca="false">N102/$R$3</f>
        <v>0</v>
      </c>
    </row>
    <row r="103" customFormat="false" ht="12.75" hidden="true" customHeight="false" outlineLevel="0" collapsed="false">
      <c r="A103" s="120" t="n">
        <f aca="false">A102+1</f>
        <v>36989</v>
      </c>
      <c r="B103" s="131" t="str">
        <f aca="false">INDEX('Master Data'!$A$2:$B$8,MATCH(WEEKDAY(ELETROBOLT!A103,3),'Master Data'!$A$2:$A$8,0),2)</f>
        <v>Su</v>
      </c>
      <c r="D103" s="124" t="n">
        <v>0</v>
      </c>
      <c r="E103" s="124" t="n">
        <v>0</v>
      </c>
      <c r="F103" s="124" t="n">
        <v>0</v>
      </c>
      <c r="G103" s="124" t="n">
        <v>0</v>
      </c>
      <c r="I103" s="124" t="n">
        <f aca="false">IF(MONTH($A103)=MONTH($A102),IF(G103=0,I102,G103),G103)</f>
        <v>0</v>
      </c>
      <c r="J103" s="124" t="n">
        <f aca="false">IF(MONTH($A103)=MONTH($A102),SUM(I103-I102),I103)</f>
        <v>0</v>
      </c>
      <c r="K103" s="124" t="n">
        <f aca="false">IF(WEEKDAY(A103,3)&gt;4,0,(IF(A103&lt;K$2,0,IF(A103&lt;=K$3,1,0))))</f>
        <v>0</v>
      </c>
      <c r="L103" s="124" t="n">
        <f aca="false">J103*K103</f>
        <v>0</v>
      </c>
      <c r="M103" s="124" t="n">
        <f aca="false">SUM(J$97:J103)</f>
        <v>0</v>
      </c>
      <c r="N103" s="124" t="n">
        <f aca="false">SUM(J$6:J103)</f>
        <v>0</v>
      </c>
      <c r="P103" s="124" t="n">
        <f aca="false">D103/P$3</f>
        <v>0</v>
      </c>
      <c r="Q103" s="124" t="n">
        <f aca="false">E103/P$3</f>
        <v>0</v>
      </c>
      <c r="R103" s="124" t="n">
        <f aca="false">F103/R$3</f>
        <v>0</v>
      </c>
      <c r="S103" s="126" t="n">
        <f aca="false">J103/$R$3</f>
        <v>0</v>
      </c>
      <c r="T103" s="126" t="n">
        <f aca="false">L103/$R$3</f>
        <v>0</v>
      </c>
      <c r="U103" s="126" t="n">
        <f aca="false">I103/$R$3</f>
        <v>0</v>
      </c>
      <c r="V103" s="126" t="n">
        <f aca="false">M103/$R$3</f>
        <v>0</v>
      </c>
      <c r="W103" s="126" t="n">
        <f aca="false">N103/$R$3</f>
        <v>0</v>
      </c>
    </row>
    <row r="104" customFormat="false" ht="12.75" hidden="true" customHeight="false" outlineLevel="0" collapsed="false">
      <c r="A104" s="120" t="n">
        <f aca="false">A103+1</f>
        <v>36990</v>
      </c>
      <c r="B104" s="131" t="str">
        <f aca="false">INDEX('Master Data'!$A$2:$B$8,MATCH(WEEKDAY(ELETROBOLT!A104,3),'Master Data'!$A$2:$A$8,0),2)</f>
        <v>M</v>
      </c>
      <c r="D104" s="124" t="n">
        <v>0</v>
      </c>
      <c r="E104" s="124" t="n">
        <v>0</v>
      </c>
      <c r="F104" s="124" t="n">
        <v>0</v>
      </c>
      <c r="G104" s="124" t="n">
        <v>0</v>
      </c>
      <c r="I104" s="124" t="n">
        <f aca="false">IF(MONTH($A104)=MONTH($A103),IF(G104=0,I103,G104),G104)</f>
        <v>0</v>
      </c>
      <c r="J104" s="124" t="n">
        <f aca="false">IF(MONTH($A104)=MONTH($A103),SUM(I104-I103),I104)</f>
        <v>0</v>
      </c>
      <c r="K104" s="124" t="n">
        <f aca="false">IF(WEEKDAY(A104,3)&gt;4,0,(IF(A104&lt;K$2,0,IF(A104&lt;=K$3,1,0))))</f>
        <v>0</v>
      </c>
      <c r="L104" s="124" t="n">
        <f aca="false">J104*K104</f>
        <v>0</v>
      </c>
      <c r="M104" s="124" t="n">
        <f aca="false">SUM(J$97:J104)</f>
        <v>0</v>
      </c>
      <c r="N104" s="124" t="n">
        <f aca="false">SUM(J$6:J104)</f>
        <v>0</v>
      </c>
      <c r="P104" s="124" t="n">
        <f aca="false">D104/P$3</f>
        <v>0</v>
      </c>
      <c r="Q104" s="124" t="n">
        <f aca="false">E104/P$3</f>
        <v>0</v>
      </c>
      <c r="R104" s="124" t="n">
        <f aca="false">F104/R$3</f>
        <v>0</v>
      </c>
      <c r="S104" s="126" t="n">
        <f aca="false">J104/$R$3</f>
        <v>0</v>
      </c>
      <c r="T104" s="126" t="n">
        <f aca="false">L104/$R$3</f>
        <v>0</v>
      </c>
      <c r="U104" s="126" t="n">
        <f aca="false">I104/$R$3</f>
        <v>0</v>
      </c>
      <c r="V104" s="126" t="n">
        <f aca="false">M104/$R$3</f>
        <v>0</v>
      </c>
      <c r="W104" s="126" t="n">
        <f aca="false">N104/$R$3</f>
        <v>0</v>
      </c>
    </row>
    <row r="105" customFormat="false" ht="12.75" hidden="true" customHeight="false" outlineLevel="0" collapsed="false">
      <c r="A105" s="120" t="n">
        <f aca="false">A104+1</f>
        <v>36991</v>
      </c>
      <c r="B105" s="131" t="str">
        <f aca="false">INDEX('Master Data'!$A$2:$B$8,MATCH(WEEKDAY(ELETROBOLT!A105,3),'Master Data'!$A$2:$A$8,0),2)</f>
        <v>T</v>
      </c>
      <c r="D105" s="124" t="n">
        <v>0</v>
      </c>
      <c r="E105" s="124" t="n">
        <v>0</v>
      </c>
      <c r="F105" s="124" t="n">
        <v>0</v>
      </c>
      <c r="G105" s="124" t="n">
        <v>0</v>
      </c>
      <c r="I105" s="124" t="n">
        <f aca="false">IF(MONTH($A105)=MONTH($A104),IF(G105=0,I104,G105),G105)</f>
        <v>0</v>
      </c>
      <c r="J105" s="124" t="n">
        <f aca="false">IF(MONTH($A105)=MONTH($A104),SUM(I105-I104),I105)</f>
        <v>0</v>
      </c>
      <c r="K105" s="124" t="n">
        <f aca="false">IF(WEEKDAY(A105,3)&gt;4,0,(IF(A105&lt;K$2,0,IF(A105&lt;=K$3,1,0))))</f>
        <v>0</v>
      </c>
      <c r="L105" s="124" t="n">
        <f aca="false">J105*K105</f>
        <v>0</v>
      </c>
      <c r="M105" s="124" t="n">
        <f aca="false">SUM(J$97:J105)</f>
        <v>0</v>
      </c>
      <c r="N105" s="124" t="n">
        <f aca="false">SUM(J$6:J105)</f>
        <v>0</v>
      </c>
      <c r="P105" s="124" t="n">
        <f aca="false">D105/P$3</f>
        <v>0</v>
      </c>
      <c r="Q105" s="124" t="n">
        <f aca="false">E105/P$3</f>
        <v>0</v>
      </c>
      <c r="R105" s="124" t="n">
        <f aca="false">F105/R$3</f>
        <v>0</v>
      </c>
      <c r="S105" s="126" t="n">
        <f aca="false">J105/$R$3</f>
        <v>0</v>
      </c>
      <c r="T105" s="126" t="n">
        <f aca="false">L105/$R$3</f>
        <v>0</v>
      </c>
      <c r="U105" s="126" t="n">
        <f aca="false">I105/$R$3</f>
        <v>0</v>
      </c>
      <c r="V105" s="126" t="n">
        <f aca="false">M105/$R$3</f>
        <v>0</v>
      </c>
      <c r="W105" s="126" t="n">
        <f aca="false">N105/$R$3</f>
        <v>0</v>
      </c>
    </row>
    <row r="106" customFormat="false" ht="12.75" hidden="true" customHeight="false" outlineLevel="0" collapsed="false">
      <c r="A106" s="120" t="n">
        <f aca="false">A105+1</f>
        <v>36992</v>
      </c>
      <c r="B106" s="131" t="str">
        <f aca="false">INDEX('Master Data'!$A$2:$B$8,MATCH(WEEKDAY(ELETROBOLT!A106,3),'Master Data'!$A$2:$A$8,0),2)</f>
        <v>W</v>
      </c>
      <c r="D106" s="124" t="n">
        <v>0</v>
      </c>
      <c r="E106" s="124" t="n">
        <v>0</v>
      </c>
      <c r="F106" s="124" t="n">
        <v>0</v>
      </c>
      <c r="G106" s="124" t="n">
        <v>0</v>
      </c>
      <c r="I106" s="124" t="n">
        <f aca="false">IF(MONTH($A106)=MONTH($A105),IF(G106=0,I105,G106),G106)</f>
        <v>0</v>
      </c>
      <c r="J106" s="124" t="n">
        <f aca="false">IF(MONTH($A106)=MONTH($A105),SUM(I106-I105),I106)</f>
        <v>0</v>
      </c>
      <c r="K106" s="124" t="n">
        <f aca="false">IF(WEEKDAY(A106,3)&gt;4,0,(IF(A106&lt;K$2,0,IF(A106&lt;=K$3,1,0))))</f>
        <v>0</v>
      </c>
      <c r="L106" s="124" t="n">
        <f aca="false">J106*K106</f>
        <v>0</v>
      </c>
      <c r="M106" s="124" t="n">
        <f aca="false">SUM(J$97:J106)</f>
        <v>0</v>
      </c>
      <c r="N106" s="124" t="n">
        <f aca="false">SUM(J$6:J106)</f>
        <v>0</v>
      </c>
      <c r="P106" s="124" t="n">
        <f aca="false">D106/P$3</f>
        <v>0</v>
      </c>
      <c r="Q106" s="124" t="n">
        <f aca="false">E106/P$3</f>
        <v>0</v>
      </c>
      <c r="R106" s="124" t="n">
        <f aca="false">F106/R$3</f>
        <v>0</v>
      </c>
      <c r="S106" s="126" t="n">
        <f aca="false">J106/$R$3</f>
        <v>0</v>
      </c>
      <c r="T106" s="126" t="n">
        <f aca="false">L106/$R$3</f>
        <v>0</v>
      </c>
      <c r="U106" s="126" t="n">
        <f aca="false">I106/$R$3</f>
        <v>0</v>
      </c>
      <c r="V106" s="126" t="n">
        <f aca="false">M106/$R$3</f>
        <v>0</v>
      </c>
      <c r="W106" s="126" t="n">
        <f aca="false">N106/$R$3</f>
        <v>0</v>
      </c>
    </row>
    <row r="107" customFormat="false" ht="12.75" hidden="true" customHeight="false" outlineLevel="0" collapsed="false">
      <c r="A107" s="120" t="n">
        <f aca="false">A106+1</f>
        <v>36993</v>
      </c>
      <c r="B107" s="131" t="str">
        <f aca="false">INDEX('Master Data'!$A$2:$B$8,MATCH(WEEKDAY(ELETROBOLT!A107,3),'Master Data'!$A$2:$A$8,0),2)</f>
        <v>Th</v>
      </c>
      <c r="D107" s="124" t="n">
        <v>0</v>
      </c>
      <c r="E107" s="124" t="n">
        <v>0</v>
      </c>
      <c r="F107" s="124" t="n">
        <v>0</v>
      </c>
      <c r="G107" s="124" t="n">
        <v>0</v>
      </c>
      <c r="I107" s="124" t="n">
        <f aca="false">IF(MONTH($A107)=MONTH($A106),IF(G107=0,I106,G107),G107)</f>
        <v>0</v>
      </c>
      <c r="J107" s="124" t="n">
        <f aca="false">IF(MONTH($A107)=MONTH($A106),SUM(I107-I106),I107)</f>
        <v>0</v>
      </c>
      <c r="K107" s="124" t="n">
        <f aca="false">IF(WEEKDAY(A107,3)&gt;4,0,(IF(A107&lt;K$2,0,IF(A107&lt;=K$3,1,0))))</f>
        <v>0</v>
      </c>
      <c r="L107" s="124" t="n">
        <f aca="false">J107*K107</f>
        <v>0</v>
      </c>
      <c r="M107" s="124" t="n">
        <f aca="false">SUM(J$97:J107)</f>
        <v>0</v>
      </c>
      <c r="N107" s="124" t="n">
        <f aca="false">SUM(J$6:J107)</f>
        <v>0</v>
      </c>
      <c r="P107" s="124" t="n">
        <f aca="false">D107/P$3</f>
        <v>0</v>
      </c>
      <c r="Q107" s="124" t="n">
        <f aca="false">E107/P$3</f>
        <v>0</v>
      </c>
      <c r="R107" s="124" t="n">
        <f aca="false">F107/R$3</f>
        <v>0</v>
      </c>
      <c r="S107" s="126" t="n">
        <f aca="false">J107/$R$3</f>
        <v>0</v>
      </c>
      <c r="T107" s="126" t="n">
        <f aca="false">L107/$R$3</f>
        <v>0</v>
      </c>
      <c r="U107" s="126" t="n">
        <f aca="false">I107/$R$3</f>
        <v>0</v>
      </c>
      <c r="V107" s="126" t="n">
        <f aca="false">M107/$R$3</f>
        <v>0</v>
      </c>
      <c r="W107" s="126" t="n">
        <f aca="false">N107/$R$3</f>
        <v>0</v>
      </c>
    </row>
    <row r="108" customFormat="false" ht="12.75" hidden="true" customHeight="false" outlineLevel="0" collapsed="false">
      <c r="A108" s="120" t="n">
        <f aca="false">A107+1</f>
        <v>36994</v>
      </c>
      <c r="B108" s="131" t="str">
        <f aca="false">INDEX('Master Data'!$A$2:$B$8,MATCH(WEEKDAY(ELETROBOLT!A108,3),'Master Data'!$A$2:$A$8,0),2)</f>
        <v>F</v>
      </c>
      <c r="D108" s="124" t="n">
        <v>0</v>
      </c>
      <c r="E108" s="124" t="n">
        <v>0</v>
      </c>
      <c r="F108" s="124" t="n">
        <v>0</v>
      </c>
      <c r="G108" s="124" t="n">
        <v>0</v>
      </c>
      <c r="I108" s="124" t="n">
        <f aca="false">IF(MONTH($A108)=MONTH($A107),IF(G108=0,I107,G108),G108)</f>
        <v>0</v>
      </c>
      <c r="J108" s="124" t="n">
        <f aca="false">IF(MONTH($A108)=MONTH($A107),SUM(I108-I107),I108)</f>
        <v>0</v>
      </c>
      <c r="K108" s="124" t="n">
        <f aca="false">IF(WEEKDAY(A108,3)&gt;4,0,(IF(A108&lt;K$2,0,IF(A108&lt;=K$3,1,0))))</f>
        <v>0</v>
      </c>
      <c r="L108" s="124" t="n">
        <f aca="false">J108*K108</f>
        <v>0</v>
      </c>
      <c r="M108" s="124" t="n">
        <f aca="false">SUM(J$97:J108)</f>
        <v>0</v>
      </c>
      <c r="N108" s="124" t="n">
        <f aca="false">SUM(J$6:J108)</f>
        <v>0</v>
      </c>
      <c r="P108" s="124" t="n">
        <f aca="false">D108/P$3</f>
        <v>0</v>
      </c>
      <c r="Q108" s="124" t="n">
        <f aca="false">E108/P$3</f>
        <v>0</v>
      </c>
      <c r="R108" s="124" t="n">
        <f aca="false">F108/R$3</f>
        <v>0</v>
      </c>
      <c r="S108" s="126" t="n">
        <f aca="false">J108/$R$3</f>
        <v>0</v>
      </c>
      <c r="T108" s="126" t="n">
        <f aca="false">L108/$R$3</f>
        <v>0</v>
      </c>
      <c r="U108" s="126" t="n">
        <f aca="false">I108/$R$3</f>
        <v>0</v>
      </c>
      <c r="V108" s="126" t="n">
        <f aca="false">M108/$R$3</f>
        <v>0</v>
      </c>
      <c r="W108" s="126" t="n">
        <f aca="false">N108/$R$3</f>
        <v>0</v>
      </c>
    </row>
    <row r="109" customFormat="false" ht="12.75" hidden="true" customHeight="false" outlineLevel="0" collapsed="false">
      <c r="A109" s="120" t="n">
        <f aca="false">A108+1</f>
        <v>36995</v>
      </c>
      <c r="B109" s="131" t="str">
        <f aca="false">INDEX('Master Data'!$A$2:$B$8,MATCH(WEEKDAY(ELETROBOLT!A109,3),'Master Data'!$A$2:$A$8,0),2)</f>
        <v>Sa</v>
      </c>
      <c r="D109" s="124" t="n">
        <v>0</v>
      </c>
      <c r="E109" s="124" t="n">
        <v>0</v>
      </c>
      <c r="F109" s="124" t="n">
        <v>0</v>
      </c>
      <c r="G109" s="124" t="n">
        <v>0</v>
      </c>
      <c r="I109" s="124" t="n">
        <f aca="false">IF(MONTH($A109)=MONTH($A108),IF(G109=0,I108,G109),G109)</f>
        <v>0</v>
      </c>
      <c r="J109" s="124" t="n">
        <f aca="false">IF(MONTH($A109)=MONTH($A108),SUM(I109-I108),I109)</f>
        <v>0</v>
      </c>
      <c r="K109" s="124" t="n">
        <f aca="false">IF(WEEKDAY(A109,3)&gt;4,0,(IF(A109&lt;K$2,0,IF(A109&lt;=K$3,1,0))))</f>
        <v>0</v>
      </c>
      <c r="L109" s="124" t="n">
        <f aca="false">J109*K109</f>
        <v>0</v>
      </c>
      <c r="M109" s="124" t="n">
        <f aca="false">SUM(J$97:J109)</f>
        <v>0</v>
      </c>
      <c r="N109" s="124" t="n">
        <f aca="false">SUM(J$6:J109)</f>
        <v>0</v>
      </c>
      <c r="P109" s="124" t="n">
        <f aca="false">D109/P$3</f>
        <v>0</v>
      </c>
      <c r="Q109" s="124" t="n">
        <f aca="false">E109/P$3</f>
        <v>0</v>
      </c>
      <c r="R109" s="124" t="n">
        <f aca="false">F109/R$3</f>
        <v>0</v>
      </c>
      <c r="S109" s="126" t="n">
        <f aca="false">J109/$R$3</f>
        <v>0</v>
      </c>
      <c r="T109" s="126" t="n">
        <f aca="false">L109/$R$3</f>
        <v>0</v>
      </c>
      <c r="U109" s="126" t="n">
        <f aca="false">I109/$R$3</f>
        <v>0</v>
      </c>
      <c r="V109" s="126" t="n">
        <f aca="false">M109/$R$3</f>
        <v>0</v>
      </c>
      <c r="W109" s="126" t="n">
        <f aca="false">N109/$R$3</f>
        <v>0</v>
      </c>
    </row>
    <row r="110" customFormat="false" ht="12.75" hidden="true" customHeight="false" outlineLevel="0" collapsed="false">
      <c r="A110" s="120" t="n">
        <f aca="false">A109+1</f>
        <v>36996</v>
      </c>
      <c r="B110" s="131" t="str">
        <f aca="false">INDEX('Master Data'!$A$2:$B$8,MATCH(WEEKDAY(ELETROBOLT!A110,3),'Master Data'!$A$2:$A$8,0),2)</f>
        <v>Su</v>
      </c>
      <c r="D110" s="124" t="n">
        <v>0</v>
      </c>
      <c r="E110" s="124" t="n">
        <v>0</v>
      </c>
      <c r="F110" s="124" t="n">
        <v>0</v>
      </c>
      <c r="G110" s="124" t="n">
        <v>0</v>
      </c>
      <c r="I110" s="124" t="n">
        <f aca="false">IF(MONTH($A110)=MONTH($A109),IF(G110=0,I109,G110),G110)</f>
        <v>0</v>
      </c>
      <c r="J110" s="124" t="n">
        <f aca="false">IF(MONTH($A110)=MONTH($A109),SUM(I110-I109),I110)</f>
        <v>0</v>
      </c>
      <c r="K110" s="124" t="n">
        <f aca="false">IF(WEEKDAY(A110,3)&gt;4,0,(IF(A110&lt;K$2,0,IF(A110&lt;=K$3,1,0))))</f>
        <v>0</v>
      </c>
      <c r="L110" s="124" t="n">
        <f aca="false">J110*K110</f>
        <v>0</v>
      </c>
      <c r="M110" s="124" t="n">
        <f aca="false">SUM(J$97:J110)</f>
        <v>0</v>
      </c>
      <c r="N110" s="124" t="n">
        <f aca="false">SUM(J$6:J110)</f>
        <v>0</v>
      </c>
      <c r="P110" s="124" t="n">
        <f aca="false">D110/P$3</f>
        <v>0</v>
      </c>
      <c r="Q110" s="124" t="n">
        <f aca="false">E110/P$3</f>
        <v>0</v>
      </c>
      <c r="R110" s="124" t="n">
        <f aca="false">F110/R$3</f>
        <v>0</v>
      </c>
      <c r="S110" s="126" t="n">
        <f aca="false">J110/$R$3</f>
        <v>0</v>
      </c>
      <c r="T110" s="126" t="n">
        <f aca="false">L110/$R$3</f>
        <v>0</v>
      </c>
      <c r="U110" s="126" t="n">
        <f aca="false">I110/$R$3</f>
        <v>0</v>
      </c>
      <c r="V110" s="126" t="n">
        <f aca="false">M110/$R$3</f>
        <v>0</v>
      </c>
      <c r="W110" s="126" t="n">
        <f aca="false">N110/$R$3</f>
        <v>0</v>
      </c>
    </row>
    <row r="111" customFormat="false" ht="12.75" hidden="true" customHeight="false" outlineLevel="0" collapsed="false">
      <c r="A111" s="120" t="n">
        <f aca="false">A110+1</f>
        <v>36997</v>
      </c>
      <c r="B111" s="131" t="str">
        <f aca="false">INDEX('Master Data'!$A$2:$B$8,MATCH(WEEKDAY(ELETROBOLT!A111,3),'Master Data'!$A$2:$A$8,0),2)</f>
        <v>M</v>
      </c>
      <c r="D111" s="124" t="n">
        <v>0</v>
      </c>
      <c r="E111" s="124" t="n">
        <v>0</v>
      </c>
      <c r="F111" s="124" t="n">
        <v>0</v>
      </c>
      <c r="G111" s="124" t="n">
        <v>0</v>
      </c>
      <c r="I111" s="124" t="n">
        <f aca="false">IF(MONTH($A111)=MONTH($A110),IF(G111=0,I110,G111),G111)</f>
        <v>0</v>
      </c>
      <c r="J111" s="124" t="n">
        <f aca="false">IF(MONTH($A111)=MONTH($A110),SUM(I111-I110),I111)</f>
        <v>0</v>
      </c>
      <c r="K111" s="124" t="n">
        <f aca="false">IF(WEEKDAY(A111,3)&gt;4,0,(IF(A111&lt;K$2,0,IF(A111&lt;=K$3,1,0))))</f>
        <v>0</v>
      </c>
      <c r="L111" s="124" t="n">
        <f aca="false">J111*K111</f>
        <v>0</v>
      </c>
      <c r="M111" s="124" t="n">
        <f aca="false">SUM(J$97:J111)</f>
        <v>0</v>
      </c>
      <c r="N111" s="124" t="n">
        <f aca="false">SUM(J$6:J111)</f>
        <v>0</v>
      </c>
      <c r="P111" s="124" t="n">
        <f aca="false">D111/P$3</f>
        <v>0</v>
      </c>
      <c r="Q111" s="124" t="n">
        <f aca="false">E111/P$3</f>
        <v>0</v>
      </c>
      <c r="R111" s="124" t="n">
        <f aca="false">F111/R$3</f>
        <v>0</v>
      </c>
      <c r="S111" s="126" t="n">
        <f aca="false">J111/$R$3</f>
        <v>0</v>
      </c>
      <c r="T111" s="126" t="n">
        <f aca="false">L111/$R$3</f>
        <v>0</v>
      </c>
      <c r="U111" s="126" t="n">
        <f aca="false">I111/$R$3</f>
        <v>0</v>
      </c>
      <c r="V111" s="126" t="n">
        <f aca="false">M111/$R$3</f>
        <v>0</v>
      </c>
      <c r="W111" s="126" t="n">
        <f aca="false">N111/$R$3</f>
        <v>0</v>
      </c>
    </row>
    <row r="112" customFormat="false" ht="12.75" hidden="true" customHeight="false" outlineLevel="0" collapsed="false">
      <c r="A112" s="120" t="n">
        <f aca="false">A111+1</f>
        <v>36998</v>
      </c>
      <c r="B112" s="131" t="str">
        <f aca="false">INDEX('Master Data'!$A$2:$B$8,MATCH(WEEKDAY(ELETROBOLT!A112,3),'Master Data'!$A$2:$A$8,0),2)</f>
        <v>T</v>
      </c>
      <c r="D112" s="124" t="n">
        <v>0</v>
      </c>
      <c r="E112" s="124" t="n">
        <v>0</v>
      </c>
      <c r="F112" s="124" t="n">
        <v>0</v>
      </c>
      <c r="G112" s="124" t="n">
        <v>0</v>
      </c>
      <c r="I112" s="124" t="n">
        <f aca="false">IF(MONTH($A112)=MONTH($A111),IF(G112=0,I111,G112),G112)</f>
        <v>0</v>
      </c>
      <c r="J112" s="124" t="n">
        <f aca="false">IF(MONTH($A112)=MONTH($A111),SUM(I112-I111),I112)</f>
        <v>0</v>
      </c>
      <c r="K112" s="124" t="n">
        <f aca="false">IF(WEEKDAY(A112,3)&gt;4,0,(IF(A112&lt;K$2,0,IF(A112&lt;=K$3,1,0))))</f>
        <v>0</v>
      </c>
      <c r="L112" s="124" t="n">
        <f aca="false">J112*K112</f>
        <v>0</v>
      </c>
      <c r="M112" s="124" t="n">
        <f aca="false">SUM(J$97:J112)</f>
        <v>0</v>
      </c>
      <c r="N112" s="124" t="n">
        <f aca="false">SUM(J$6:J112)</f>
        <v>0</v>
      </c>
      <c r="P112" s="124" t="n">
        <f aca="false">D112/P$3</f>
        <v>0</v>
      </c>
      <c r="Q112" s="124" t="n">
        <f aca="false">E112/P$3</f>
        <v>0</v>
      </c>
      <c r="R112" s="124" t="n">
        <f aca="false">F112/R$3</f>
        <v>0</v>
      </c>
      <c r="S112" s="126" t="n">
        <f aca="false">J112/$R$3</f>
        <v>0</v>
      </c>
      <c r="T112" s="126" t="n">
        <f aca="false">L112/$R$3</f>
        <v>0</v>
      </c>
      <c r="U112" s="126" t="n">
        <f aca="false">I112/$R$3</f>
        <v>0</v>
      </c>
      <c r="V112" s="126" t="n">
        <f aca="false">M112/$R$3</f>
        <v>0</v>
      </c>
      <c r="W112" s="126" t="n">
        <f aca="false">N112/$R$3</f>
        <v>0</v>
      </c>
    </row>
    <row r="113" customFormat="false" ht="12.75" hidden="true" customHeight="false" outlineLevel="0" collapsed="false">
      <c r="A113" s="120" t="n">
        <f aca="false">A112+1</f>
        <v>36999</v>
      </c>
      <c r="B113" s="131" t="str">
        <f aca="false">INDEX('Master Data'!$A$2:$B$8,MATCH(WEEKDAY(ELETROBOLT!A113,3),'Master Data'!$A$2:$A$8,0),2)</f>
        <v>W</v>
      </c>
      <c r="D113" s="124" t="n">
        <v>0</v>
      </c>
      <c r="E113" s="124" t="n">
        <v>0</v>
      </c>
      <c r="F113" s="124" t="n">
        <v>0</v>
      </c>
      <c r="G113" s="124" t="n">
        <v>0</v>
      </c>
      <c r="I113" s="124" t="n">
        <f aca="false">IF(MONTH($A113)=MONTH($A112),IF(G113=0,I112,G113),G113)</f>
        <v>0</v>
      </c>
      <c r="J113" s="124" t="n">
        <f aca="false">IF(MONTH($A113)=MONTH($A112),SUM(I113-I112),I113)</f>
        <v>0</v>
      </c>
      <c r="K113" s="124" t="n">
        <f aca="false">IF(WEEKDAY(A113,3)&gt;4,0,(IF(A113&lt;K$2,0,IF(A113&lt;=K$3,1,0))))</f>
        <v>0</v>
      </c>
      <c r="L113" s="124" t="n">
        <f aca="false">J113*K113</f>
        <v>0</v>
      </c>
      <c r="M113" s="124" t="n">
        <f aca="false">SUM(J$97:J113)</f>
        <v>0</v>
      </c>
      <c r="N113" s="124" t="n">
        <f aca="false">SUM(J$6:J113)</f>
        <v>0</v>
      </c>
      <c r="P113" s="124" t="n">
        <f aca="false">D113/P$3</f>
        <v>0</v>
      </c>
      <c r="Q113" s="124" t="n">
        <f aca="false">E113/P$3</f>
        <v>0</v>
      </c>
      <c r="R113" s="124" t="n">
        <f aca="false">F113/R$3</f>
        <v>0</v>
      </c>
      <c r="S113" s="126" t="n">
        <f aca="false">J113/$R$3</f>
        <v>0</v>
      </c>
      <c r="T113" s="126" t="n">
        <f aca="false">L113/$R$3</f>
        <v>0</v>
      </c>
      <c r="U113" s="126" t="n">
        <f aca="false">I113/$R$3</f>
        <v>0</v>
      </c>
      <c r="V113" s="126" t="n">
        <f aca="false">M113/$R$3</f>
        <v>0</v>
      </c>
      <c r="W113" s="126" t="n">
        <f aca="false">N113/$R$3</f>
        <v>0</v>
      </c>
    </row>
    <row r="114" customFormat="false" ht="12.75" hidden="true" customHeight="false" outlineLevel="0" collapsed="false">
      <c r="A114" s="120" t="n">
        <f aca="false">A113+1</f>
        <v>37000</v>
      </c>
      <c r="B114" s="131" t="str">
        <f aca="false">INDEX('Master Data'!$A$2:$B$8,MATCH(WEEKDAY(ELETROBOLT!A114,3),'Master Data'!$A$2:$A$8,0),2)</f>
        <v>Th</v>
      </c>
      <c r="D114" s="124" t="n">
        <v>0</v>
      </c>
      <c r="E114" s="124" t="n">
        <v>0</v>
      </c>
      <c r="F114" s="124" t="n">
        <v>0</v>
      </c>
      <c r="G114" s="124" t="n">
        <v>0</v>
      </c>
      <c r="I114" s="124" t="n">
        <f aca="false">IF(MONTH($A114)=MONTH($A113),IF(G114=0,I113,G114),G114)</f>
        <v>0</v>
      </c>
      <c r="J114" s="124" t="n">
        <f aca="false">IF(MONTH($A114)=MONTH($A113),SUM(I114-I113),I114)</f>
        <v>0</v>
      </c>
      <c r="K114" s="124" t="n">
        <f aca="false">IF(WEEKDAY(A114,3)&gt;4,0,(IF(A114&lt;K$2,0,IF(A114&lt;=K$3,1,0))))</f>
        <v>0</v>
      </c>
      <c r="L114" s="124" t="n">
        <f aca="false">J114*K114</f>
        <v>0</v>
      </c>
      <c r="M114" s="124" t="n">
        <f aca="false">SUM(J$97:J114)</f>
        <v>0</v>
      </c>
      <c r="N114" s="124" t="n">
        <f aca="false">SUM(J$6:J114)</f>
        <v>0</v>
      </c>
      <c r="P114" s="124" t="n">
        <f aca="false">D114/P$3</f>
        <v>0</v>
      </c>
      <c r="Q114" s="124" t="n">
        <f aca="false">E114/P$3</f>
        <v>0</v>
      </c>
      <c r="R114" s="124" t="n">
        <f aca="false">F114/R$3</f>
        <v>0</v>
      </c>
      <c r="S114" s="126" t="n">
        <f aca="false">J114/$R$3</f>
        <v>0</v>
      </c>
      <c r="T114" s="126" t="n">
        <f aca="false">L114/$R$3</f>
        <v>0</v>
      </c>
      <c r="U114" s="126" t="n">
        <f aca="false">I114/$R$3</f>
        <v>0</v>
      </c>
      <c r="V114" s="126" t="n">
        <f aca="false">M114/$R$3</f>
        <v>0</v>
      </c>
      <c r="W114" s="126" t="n">
        <f aca="false">N114/$R$3</f>
        <v>0</v>
      </c>
    </row>
    <row r="115" customFormat="false" ht="12.75" hidden="true" customHeight="false" outlineLevel="0" collapsed="false">
      <c r="A115" s="120" t="n">
        <f aca="false">A114+1</f>
        <v>37001</v>
      </c>
      <c r="B115" s="131" t="str">
        <f aca="false">INDEX('Master Data'!$A$2:$B$8,MATCH(WEEKDAY(ELETROBOLT!A115,3),'Master Data'!$A$2:$A$8,0),2)</f>
        <v>F</v>
      </c>
      <c r="D115" s="124" t="n">
        <v>0</v>
      </c>
      <c r="E115" s="124" t="n">
        <v>0</v>
      </c>
      <c r="F115" s="124" t="n">
        <v>0</v>
      </c>
      <c r="G115" s="124" t="n">
        <v>0</v>
      </c>
      <c r="I115" s="124" t="n">
        <f aca="false">IF(MONTH($A115)=MONTH($A114),IF(G115=0,I114,G115),G115)</f>
        <v>0</v>
      </c>
      <c r="J115" s="124" t="n">
        <f aca="false">IF(MONTH($A115)=MONTH($A114),SUM(I115-I114),I115)</f>
        <v>0</v>
      </c>
      <c r="K115" s="124" t="n">
        <f aca="false">IF(WEEKDAY(A115,3)&gt;4,0,(IF(A115&lt;K$2,0,IF(A115&lt;=K$3,1,0))))</f>
        <v>0</v>
      </c>
      <c r="L115" s="124" t="n">
        <f aca="false">J115*K115</f>
        <v>0</v>
      </c>
      <c r="M115" s="124" t="n">
        <f aca="false">SUM(J$97:J115)</f>
        <v>0</v>
      </c>
      <c r="N115" s="124" t="n">
        <f aca="false">SUM(J$6:J115)</f>
        <v>0</v>
      </c>
      <c r="P115" s="124" t="n">
        <f aca="false">D115/P$3</f>
        <v>0</v>
      </c>
      <c r="Q115" s="124" t="n">
        <f aca="false">E115/P$3</f>
        <v>0</v>
      </c>
      <c r="R115" s="124" t="n">
        <f aca="false">F115/R$3</f>
        <v>0</v>
      </c>
      <c r="S115" s="126" t="n">
        <f aca="false">J115/$R$3</f>
        <v>0</v>
      </c>
      <c r="T115" s="126" t="n">
        <f aca="false">L115/$R$3</f>
        <v>0</v>
      </c>
      <c r="U115" s="126" t="n">
        <f aca="false">I115/$R$3</f>
        <v>0</v>
      </c>
      <c r="V115" s="126" t="n">
        <f aca="false">M115/$R$3</f>
        <v>0</v>
      </c>
      <c r="W115" s="126" t="n">
        <f aca="false">N115/$R$3</f>
        <v>0</v>
      </c>
    </row>
    <row r="116" customFormat="false" ht="12.75" hidden="true" customHeight="false" outlineLevel="0" collapsed="false">
      <c r="A116" s="120" t="n">
        <f aca="false">A115+1</f>
        <v>37002</v>
      </c>
      <c r="B116" s="131" t="str">
        <f aca="false">INDEX('Master Data'!$A$2:$B$8,MATCH(WEEKDAY(ELETROBOLT!A116,3),'Master Data'!$A$2:$A$8,0),2)</f>
        <v>Sa</v>
      </c>
      <c r="D116" s="124" t="n">
        <v>0</v>
      </c>
      <c r="E116" s="124" t="n">
        <v>0</v>
      </c>
      <c r="F116" s="124" t="n">
        <v>0</v>
      </c>
      <c r="G116" s="124" t="n">
        <v>0</v>
      </c>
      <c r="I116" s="124" t="n">
        <f aca="false">IF(MONTH($A116)=MONTH($A115),IF(G116=0,I115,G116),G116)</f>
        <v>0</v>
      </c>
      <c r="J116" s="124" t="n">
        <f aca="false">IF(MONTH($A116)=MONTH($A115),SUM(I116-I115),I116)</f>
        <v>0</v>
      </c>
      <c r="K116" s="124" t="n">
        <f aca="false">IF(WEEKDAY(A116,3)&gt;4,0,(IF(A116&lt;K$2,0,IF(A116&lt;=K$3,1,0))))</f>
        <v>0</v>
      </c>
      <c r="L116" s="124" t="n">
        <f aca="false">J116*K116</f>
        <v>0</v>
      </c>
      <c r="M116" s="124" t="n">
        <f aca="false">SUM(J$97:J116)</f>
        <v>0</v>
      </c>
      <c r="N116" s="124" t="n">
        <f aca="false">SUM(J$6:J116)</f>
        <v>0</v>
      </c>
      <c r="P116" s="124" t="n">
        <f aca="false">D116/P$3</f>
        <v>0</v>
      </c>
      <c r="Q116" s="124" t="n">
        <f aca="false">E116/P$3</f>
        <v>0</v>
      </c>
      <c r="R116" s="124" t="n">
        <f aca="false">F116/R$3</f>
        <v>0</v>
      </c>
      <c r="S116" s="126" t="n">
        <f aca="false">J116/$R$3</f>
        <v>0</v>
      </c>
      <c r="T116" s="126" t="n">
        <f aca="false">L116/$R$3</f>
        <v>0</v>
      </c>
      <c r="U116" s="126" t="n">
        <f aca="false">I116/$R$3</f>
        <v>0</v>
      </c>
      <c r="V116" s="126" t="n">
        <f aca="false">M116/$R$3</f>
        <v>0</v>
      </c>
      <c r="W116" s="126" t="n">
        <f aca="false">N116/$R$3</f>
        <v>0</v>
      </c>
    </row>
    <row r="117" customFormat="false" ht="12.75" hidden="true" customHeight="false" outlineLevel="0" collapsed="false">
      <c r="A117" s="120" t="n">
        <f aca="false">A116+1</f>
        <v>37003</v>
      </c>
      <c r="B117" s="131" t="str">
        <f aca="false">INDEX('Master Data'!$A$2:$B$8,MATCH(WEEKDAY(ELETROBOLT!A117,3),'Master Data'!$A$2:$A$8,0),2)</f>
        <v>Su</v>
      </c>
      <c r="D117" s="124" t="n">
        <v>0</v>
      </c>
      <c r="E117" s="124" t="n">
        <v>0</v>
      </c>
      <c r="F117" s="124" t="n">
        <v>0</v>
      </c>
      <c r="G117" s="124" t="n">
        <v>0</v>
      </c>
      <c r="I117" s="124" t="n">
        <f aca="false">IF(MONTH($A117)=MONTH($A116),IF(G117=0,I116,G117),G117)</f>
        <v>0</v>
      </c>
      <c r="J117" s="124" t="n">
        <f aca="false">IF(MONTH($A117)=MONTH($A116),SUM(I117-I116),I117)</f>
        <v>0</v>
      </c>
      <c r="K117" s="124" t="n">
        <f aca="false">IF(WEEKDAY(A117,3)&gt;4,0,(IF(A117&lt;K$2,0,IF(A117&lt;=K$3,1,0))))</f>
        <v>0</v>
      </c>
      <c r="L117" s="124" t="n">
        <f aca="false">J117*K117</f>
        <v>0</v>
      </c>
      <c r="M117" s="124" t="n">
        <f aca="false">SUM(J$97:J117)</f>
        <v>0</v>
      </c>
      <c r="N117" s="124" t="n">
        <f aca="false">SUM(J$6:J117)</f>
        <v>0</v>
      </c>
      <c r="P117" s="124" t="n">
        <f aca="false">D117/P$3</f>
        <v>0</v>
      </c>
      <c r="Q117" s="124" t="n">
        <f aca="false">E117/P$3</f>
        <v>0</v>
      </c>
      <c r="R117" s="124" t="n">
        <f aca="false">F117/R$3</f>
        <v>0</v>
      </c>
      <c r="S117" s="126" t="n">
        <f aca="false">J117/$R$3</f>
        <v>0</v>
      </c>
      <c r="T117" s="126" t="n">
        <f aca="false">L117/$R$3</f>
        <v>0</v>
      </c>
      <c r="U117" s="126" t="n">
        <f aca="false">I117/$R$3</f>
        <v>0</v>
      </c>
      <c r="V117" s="126" t="n">
        <f aca="false">M117/$R$3</f>
        <v>0</v>
      </c>
      <c r="W117" s="126" t="n">
        <f aca="false">N117/$R$3</f>
        <v>0</v>
      </c>
    </row>
    <row r="118" customFormat="false" ht="12.75" hidden="true" customHeight="false" outlineLevel="0" collapsed="false">
      <c r="A118" s="120" t="n">
        <f aca="false">A117+1</f>
        <v>37004</v>
      </c>
      <c r="B118" s="131" t="str">
        <f aca="false">INDEX('Master Data'!$A$2:$B$8,MATCH(WEEKDAY(ELETROBOLT!A118,3),'Master Data'!$A$2:$A$8,0),2)</f>
        <v>M</v>
      </c>
      <c r="D118" s="124" t="n">
        <v>0</v>
      </c>
      <c r="E118" s="124" t="n">
        <v>0</v>
      </c>
      <c r="F118" s="124" t="n">
        <v>0</v>
      </c>
      <c r="G118" s="124" t="n">
        <v>0</v>
      </c>
      <c r="I118" s="124" t="n">
        <f aca="false">IF(MONTH($A118)=MONTH($A117),IF(G118=0,I117,G118),G118)</f>
        <v>0</v>
      </c>
      <c r="J118" s="124" t="n">
        <f aca="false">IF(MONTH($A118)=MONTH($A117),SUM(I118-I117),I118)</f>
        <v>0</v>
      </c>
      <c r="K118" s="124" t="n">
        <f aca="false">IF(WEEKDAY(A118,3)&gt;4,0,(IF(A118&lt;K$2,0,IF(A118&lt;=K$3,1,0))))</f>
        <v>0</v>
      </c>
      <c r="L118" s="124" t="n">
        <f aca="false">J118*K118</f>
        <v>0</v>
      </c>
      <c r="M118" s="124" t="n">
        <f aca="false">SUM(J$97:J118)</f>
        <v>0</v>
      </c>
      <c r="N118" s="124" t="n">
        <f aca="false">SUM(J$6:J118)</f>
        <v>0</v>
      </c>
      <c r="P118" s="124" t="n">
        <f aca="false">D118/P$3</f>
        <v>0</v>
      </c>
      <c r="Q118" s="124" t="n">
        <f aca="false">E118/P$3</f>
        <v>0</v>
      </c>
      <c r="R118" s="124" t="n">
        <f aca="false">F118/R$3</f>
        <v>0</v>
      </c>
      <c r="S118" s="126" t="n">
        <f aca="false">J118/$R$3</f>
        <v>0</v>
      </c>
      <c r="T118" s="126" t="n">
        <f aca="false">L118/$R$3</f>
        <v>0</v>
      </c>
      <c r="U118" s="126" t="n">
        <f aca="false">I118/$R$3</f>
        <v>0</v>
      </c>
      <c r="V118" s="126" t="n">
        <f aca="false">M118/$R$3</f>
        <v>0</v>
      </c>
      <c r="W118" s="126" t="n">
        <f aca="false">N118/$R$3</f>
        <v>0</v>
      </c>
    </row>
    <row r="119" customFormat="false" ht="12.75" hidden="true" customHeight="false" outlineLevel="0" collapsed="false">
      <c r="A119" s="120" t="n">
        <f aca="false">A118+1</f>
        <v>37005</v>
      </c>
      <c r="B119" s="131" t="str">
        <f aca="false">INDEX('Master Data'!$A$2:$B$8,MATCH(WEEKDAY(ELETROBOLT!A119,3),'Master Data'!$A$2:$A$8,0),2)</f>
        <v>T</v>
      </c>
      <c r="D119" s="124" t="n">
        <v>0</v>
      </c>
      <c r="E119" s="124" t="n">
        <v>0</v>
      </c>
      <c r="F119" s="124" t="n">
        <v>0</v>
      </c>
      <c r="G119" s="124" t="n">
        <v>0</v>
      </c>
      <c r="I119" s="124" t="n">
        <f aca="false">IF(MONTH($A119)=MONTH($A118),IF(G119=0,I118,G119),G119)</f>
        <v>0</v>
      </c>
      <c r="J119" s="124" t="n">
        <f aca="false">IF(MONTH($A119)=MONTH($A118),SUM(I119-I118),I119)</f>
        <v>0</v>
      </c>
      <c r="K119" s="124" t="n">
        <f aca="false">IF(WEEKDAY(A119,3)&gt;4,0,(IF(A119&lt;K$2,0,IF(A119&lt;=K$3,1,0))))</f>
        <v>0</v>
      </c>
      <c r="L119" s="124" t="n">
        <f aca="false">J119*K119</f>
        <v>0</v>
      </c>
      <c r="M119" s="124" t="n">
        <f aca="false">SUM(J$97:J119)</f>
        <v>0</v>
      </c>
      <c r="N119" s="124" t="n">
        <f aca="false">SUM(J$6:J119)</f>
        <v>0</v>
      </c>
      <c r="P119" s="124" t="n">
        <f aca="false">D119/P$3</f>
        <v>0</v>
      </c>
      <c r="Q119" s="124" t="n">
        <f aca="false">E119/P$3</f>
        <v>0</v>
      </c>
      <c r="R119" s="124" t="n">
        <f aca="false">F119/R$3</f>
        <v>0</v>
      </c>
      <c r="S119" s="126" t="n">
        <f aca="false">J119/$R$3</f>
        <v>0</v>
      </c>
      <c r="T119" s="126" t="n">
        <f aca="false">L119/$R$3</f>
        <v>0</v>
      </c>
      <c r="U119" s="126" t="n">
        <f aca="false">I119/$R$3</f>
        <v>0</v>
      </c>
      <c r="V119" s="126" t="n">
        <f aca="false">M119/$R$3</f>
        <v>0</v>
      </c>
      <c r="W119" s="126" t="n">
        <f aca="false">N119/$R$3</f>
        <v>0</v>
      </c>
    </row>
    <row r="120" customFormat="false" ht="12.75" hidden="true" customHeight="false" outlineLevel="0" collapsed="false">
      <c r="A120" s="120" t="n">
        <f aca="false">A119+1</f>
        <v>37006</v>
      </c>
      <c r="B120" s="131" t="str">
        <f aca="false">INDEX('Master Data'!$A$2:$B$8,MATCH(WEEKDAY(ELETROBOLT!A120,3),'Master Data'!$A$2:$A$8,0),2)</f>
        <v>W</v>
      </c>
      <c r="D120" s="124" t="n">
        <v>0</v>
      </c>
      <c r="E120" s="124" t="n">
        <v>0</v>
      </c>
      <c r="F120" s="124" t="n">
        <v>0</v>
      </c>
      <c r="G120" s="124" t="n">
        <v>0</v>
      </c>
      <c r="I120" s="124" t="n">
        <f aca="false">IF(MONTH($A120)=MONTH($A119),IF(G120=0,I119,G120),G120)</f>
        <v>0</v>
      </c>
      <c r="J120" s="124" t="n">
        <f aca="false">IF(MONTH($A120)=MONTH($A119),SUM(I120-I119),I120)</f>
        <v>0</v>
      </c>
      <c r="K120" s="124" t="n">
        <f aca="false">IF(WEEKDAY(A120,3)&gt;4,0,(IF(A120&lt;K$2,0,IF(A120&lt;=K$3,1,0))))</f>
        <v>0</v>
      </c>
      <c r="L120" s="124" t="n">
        <f aca="false">J120*K120</f>
        <v>0</v>
      </c>
      <c r="M120" s="124" t="n">
        <f aca="false">SUM(J$97:J120)</f>
        <v>0</v>
      </c>
      <c r="N120" s="124" t="n">
        <f aca="false">SUM(J$6:J120)</f>
        <v>0</v>
      </c>
      <c r="P120" s="124" t="n">
        <f aca="false">D120/P$3</f>
        <v>0</v>
      </c>
      <c r="Q120" s="124" t="n">
        <f aca="false">E120/P$3</f>
        <v>0</v>
      </c>
      <c r="R120" s="124" t="n">
        <f aca="false">F120/R$3</f>
        <v>0</v>
      </c>
      <c r="S120" s="126" t="n">
        <f aca="false">J120/$R$3</f>
        <v>0</v>
      </c>
      <c r="T120" s="126" t="n">
        <f aca="false">L120/$R$3</f>
        <v>0</v>
      </c>
      <c r="U120" s="126" t="n">
        <f aca="false">I120/$R$3</f>
        <v>0</v>
      </c>
      <c r="V120" s="126" t="n">
        <f aca="false">M120/$R$3</f>
        <v>0</v>
      </c>
      <c r="W120" s="126" t="n">
        <f aca="false">N120/$R$3</f>
        <v>0</v>
      </c>
    </row>
    <row r="121" customFormat="false" ht="12.75" hidden="true" customHeight="false" outlineLevel="0" collapsed="false">
      <c r="A121" s="120" t="n">
        <f aca="false">A120+1</f>
        <v>37007</v>
      </c>
      <c r="B121" s="131" t="str">
        <f aca="false">INDEX('Master Data'!$A$2:$B$8,MATCH(WEEKDAY(ELETROBOLT!A121,3),'Master Data'!$A$2:$A$8,0),2)</f>
        <v>Th</v>
      </c>
      <c r="D121" s="124" t="n">
        <v>0</v>
      </c>
      <c r="E121" s="124" t="n">
        <v>0</v>
      </c>
      <c r="F121" s="124" t="n">
        <v>0</v>
      </c>
      <c r="G121" s="124" t="n">
        <v>0</v>
      </c>
      <c r="I121" s="124" t="n">
        <f aca="false">IF(MONTH($A121)=MONTH($A120),IF(G121=0,I120,G121),G121)</f>
        <v>0</v>
      </c>
      <c r="J121" s="124" t="n">
        <f aca="false">IF(MONTH($A121)=MONTH($A120),SUM(I121-I120),I121)</f>
        <v>0</v>
      </c>
      <c r="K121" s="124" t="n">
        <f aca="false">IF(WEEKDAY(A121,3)&gt;4,0,(IF(A121&lt;K$2,0,IF(A121&lt;=K$3,1,0))))</f>
        <v>0</v>
      </c>
      <c r="L121" s="124" t="n">
        <f aca="false">J121*K121</f>
        <v>0</v>
      </c>
      <c r="M121" s="124" t="n">
        <f aca="false">SUM(J$97:J121)</f>
        <v>0</v>
      </c>
      <c r="N121" s="124" t="n">
        <f aca="false">SUM(J$6:J121)</f>
        <v>0</v>
      </c>
      <c r="P121" s="124" t="n">
        <f aca="false">D121/P$3</f>
        <v>0</v>
      </c>
      <c r="Q121" s="124" t="n">
        <f aca="false">E121/P$3</f>
        <v>0</v>
      </c>
      <c r="R121" s="124" t="n">
        <f aca="false">F121/R$3</f>
        <v>0</v>
      </c>
      <c r="S121" s="126" t="n">
        <f aca="false">J121/$R$3</f>
        <v>0</v>
      </c>
      <c r="T121" s="126" t="n">
        <f aca="false">L121/$R$3</f>
        <v>0</v>
      </c>
      <c r="U121" s="126" t="n">
        <f aca="false">I121/$R$3</f>
        <v>0</v>
      </c>
      <c r="V121" s="126" t="n">
        <f aca="false">M121/$R$3</f>
        <v>0</v>
      </c>
      <c r="W121" s="126" t="n">
        <f aca="false">N121/$R$3</f>
        <v>0</v>
      </c>
    </row>
    <row r="122" customFormat="false" ht="12.75" hidden="true" customHeight="false" outlineLevel="0" collapsed="false">
      <c r="A122" s="120" t="n">
        <f aca="false">A121+1</f>
        <v>37008</v>
      </c>
      <c r="B122" s="131" t="str">
        <f aca="false">INDEX('Master Data'!$A$2:$B$8,MATCH(WEEKDAY(ELETROBOLT!A122,3),'Master Data'!$A$2:$A$8,0),2)</f>
        <v>F</v>
      </c>
      <c r="D122" s="124" t="n">
        <v>0</v>
      </c>
      <c r="E122" s="124" t="n">
        <v>0</v>
      </c>
      <c r="F122" s="124" t="n">
        <v>0</v>
      </c>
      <c r="G122" s="124" t="n">
        <v>0</v>
      </c>
      <c r="I122" s="124" t="n">
        <f aca="false">IF(MONTH($A122)=MONTH($A121),IF(G122=0,I121,G122),G122)</f>
        <v>0</v>
      </c>
      <c r="J122" s="124" t="n">
        <f aca="false">IF(MONTH($A122)=MONTH($A121),SUM(I122-I121),I122)</f>
        <v>0</v>
      </c>
      <c r="K122" s="124" t="n">
        <f aca="false">IF(WEEKDAY(A122,3)&gt;4,0,(IF(A122&lt;K$2,0,IF(A122&lt;=K$3,1,0))))</f>
        <v>0</v>
      </c>
      <c r="L122" s="124" t="n">
        <f aca="false">J122*K122</f>
        <v>0</v>
      </c>
      <c r="M122" s="124" t="n">
        <f aca="false">SUM(J$97:J122)</f>
        <v>0</v>
      </c>
      <c r="N122" s="124" t="n">
        <f aca="false">SUM(J$6:J122)</f>
        <v>0</v>
      </c>
      <c r="P122" s="124" t="n">
        <f aca="false">D122/P$3</f>
        <v>0</v>
      </c>
      <c r="Q122" s="124" t="n">
        <f aca="false">E122/P$3</f>
        <v>0</v>
      </c>
      <c r="R122" s="124" t="n">
        <f aca="false">F122/R$3</f>
        <v>0</v>
      </c>
      <c r="S122" s="126" t="n">
        <f aca="false">J122/$R$3</f>
        <v>0</v>
      </c>
      <c r="T122" s="126" t="n">
        <f aca="false">L122/$R$3</f>
        <v>0</v>
      </c>
      <c r="U122" s="126" t="n">
        <f aca="false">I122/$R$3</f>
        <v>0</v>
      </c>
      <c r="V122" s="126" t="n">
        <f aca="false">M122/$R$3</f>
        <v>0</v>
      </c>
      <c r="W122" s="126" t="n">
        <f aca="false">N122/$R$3</f>
        <v>0</v>
      </c>
    </row>
    <row r="123" customFormat="false" ht="12.75" hidden="true" customHeight="false" outlineLevel="0" collapsed="false">
      <c r="A123" s="120" t="n">
        <f aca="false">A122+1</f>
        <v>37009</v>
      </c>
      <c r="B123" s="131" t="str">
        <f aca="false">INDEX('Master Data'!$A$2:$B$8,MATCH(WEEKDAY(ELETROBOLT!A123,3),'Master Data'!$A$2:$A$8,0),2)</f>
        <v>Sa</v>
      </c>
      <c r="D123" s="124" t="n">
        <v>0</v>
      </c>
      <c r="E123" s="124" t="n">
        <v>0</v>
      </c>
      <c r="F123" s="124" t="n">
        <v>0</v>
      </c>
      <c r="G123" s="124" t="n">
        <v>0</v>
      </c>
      <c r="I123" s="124" t="n">
        <f aca="false">IF(MONTH($A123)=MONTH($A122),IF(G123=0,I122,G123),G123)</f>
        <v>0</v>
      </c>
      <c r="J123" s="124" t="n">
        <f aca="false">IF(MONTH($A123)=MONTH($A122),SUM(I123-I122),I123)</f>
        <v>0</v>
      </c>
      <c r="K123" s="124" t="n">
        <f aca="false">IF(WEEKDAY(A123,3)&gt;4,0,(IF(A123&lt;K$2,0,IF(A123&lt;=K$3,1,0))))</f>
        <v>0</v>
      </c>
      <c r="L123" s="124" t="n">
        <f aca="false">J123*K123</f>
        <v>0</v>
      </c>
      <c r="M123" s="124" t="n">
        <f aca="false">SUM(J$97:J123)</f>
        <v>0</v>
      </c>
      <c r="N123" s="124" t="n">
        <f aca="false">SUM(J$6:J123)</f>
        <v>0</v>
      </c>
      <c r="P123" s="124" t="n">
        <f aca="false">D123/P$3</f>
        <v>0</v>
      </c>
      <c r="Q123" s="124" t="n">
        <f aca="false">E123/P$3</f>
        <v>0</v>
      </c>
      <c r="R123" s="124" t="n">
        <f aca="false">F123/R$3</f>
        <v>0</v>
      </c>
      <c r="S123" s="126" t="n">
        <f aca="false">J123/$R$3</f>
        <v>0</v>
      </c>
      <c r="T123" s="126" t="n">
        <f aca="false">L123/$R$3</f>
        <v>0</v>
      </c>
      <c r="U123" s="126" t="n">
        <f aca="false">I123/$R$3</f>
        <v>0</v>
      </c>
      <c r="V123" s="126" t="n">
        <f aca="false">M123/$R$3</f>
        <v>0</v>
      </c>
      <c r="W123" s="126" t="n">
        <f aca="false">N123/$R$3</f>
        <v>0</v>
      </c>
    </row>
    <row r="124" customFormat="false" ht="12.75" hidden="true" customHeight="false" outlineLevel="0" collapsed="false">
      <c r="A124" s="120" t="n">
        <f aca="false">A123+1</f>
        <v>37010</v>
      </c>
      <c r="B124" s="131" t="str">
        <f aca="false">INDEX('Master Data'!$A$2:$B$8,MATCH(WEEKDAY(ELETROBOLT!A124,3),'Master Data'!$A$2:$A$8,0),2)</f>
        <v>Su</v>
      </c>
      <c r="D124" s="124" t="n">
        <v>0</v>
      </c>
      <c r="E124" s="124" t="n">
        <v>0</v>
      </c>
      <c r="F124" s="124" t="n">
        <v>0</v>
      </c>
      <c r="G124" s="124" t="n">
        <v>0</v>
      </c>
      <c r="I124" s="124" t="n">
        <f aca="false">IF(MONTH($A124)=MONTH($A123),IF(G124=0,I123,G124),G124)</f>
        <v>0</v>
      </c>
      <c r="J124" s="124" t="n">
        <f aca="false">IF(MONTH($A124)=MONTH($A123),SUM(I124-I123),I124)</f>
        <v>0</v>
      </c>
      <c r="K124" s="124" t="n">
        <f aca="false">IF(WEEKDAY(A124,3)&gt;4,0,(IF(A124&lt;K$2,0,IF(A124&lt;=K$3,1,0))))</f>
        <v>0</v>
      </c>
      <c r="L124" s="124" t="n">
        <f aca="false">J124*K124</f>
        <v>0</v>
      </c>
      <c r="M124" s="124" t="n">
        <f aca="false">SUM(J$97:J124)</f>
        <v>0</v>
      </c>
      <c r="N124" s="124" t="n">
        <f aca="false">SUM(J$6:J124)</f>
        <v>0</v>
      </c>
      <c r="P124" s="124" t="n">
        <f aca="false">D124/P$3</f>
        <v>0</v>
      </c>
      <c r="Q124" s="124" t="n">
        <f aca="false">E124/P$3</f>
        <v>0</v>
      </c>
      <c r="R124" s="124" t="n">
        <f aca="false">F124/R$3</f>
        <v>0</v>
      </c>
      <c r="S124" s="126" t="n">
        <f aca="false">J124/$R$3</f>
        <v>0</v>
      </c>
      <c r="T124" s="126" t="n">
        <f aca="false">L124/$R$3</f>
        <v>0</v>
      </c>
      <c r="U124" s="126" t="n">
        <f aca="false">I124/$R$3</f>
        <v>0</v>
      </c>
      <c r="V124" s="126" t="n">
        <f aca="false">M124/$R$3</f>
        <v>0</v>
      </c>
      <c r="W124" s="126" t="n">
        <f aca="false">N124/$R$3</f>
        <v>0</v>
      </c>
    </row>
    <row r="125" customFormat="false" ht="12.75" hidden="true" customHeight="false" outlineLevel="0" collapsed="false">
      <c r="A125" s="120" t="n">
        <f aca="false">A124+1</f>
        <v>37011</v>
      </c>
      <c r="B125" s="131" t="str">
        <f aca="false">INDEX('Master Data'!$A$2:$B$8,MATCH(WEEKDAY(ELETROBOLT!A125,3),'Master Data'!$A$2:$A$8,0),2)</f>
        <v>M</v>
      </c>
      <c r="D125" s="124" t="n">
        <v>0</v>
      </c>
      <c r="E125" s="124" t="n">
        <v>0</v>
      </c>
      <c r="F125" s="124" t="n">
        <v>0</v>
      </c>
      <c r="G125" s="124" t="n">
        <v>0</v>
      </c>
      <c r="I125" s="124" t="n">
        <f aca="false">IF(MONTH($A125)=MONTH($A124),IF(G125=0,I124,G125),G125)</f>
        <v>0</v>
      </c>
      <c r="J125" s="124" t="n">
        <f aca="false">IF(MONTH($A125)=MONTH($A124),SUM(I125-I124),I125)</f>
        <v>0</v>
      </c>
      <c r="K125" s="124" t="n">
        <f aca="false">IF(WEEKDAY(A125,3)&gt;4,0,(IF(A125&lt;K$2,0,IF(A125&lt;=K$3,1,0))))</f>
        <v>0</v>
      </c>
      <c r="L125" s="124" t="n">
        <f aca="false">J125*K125</f>
        <v>0</v>
      </c>
      <c r="M125" s="124" t="n">
        <f aca="false">SUM(J$97:J125)</f>
        <v>0</v>
      </c>
      <c r="N125" s="124" t="n">
        <f aca="false">SUM(J$6:J125)</f>
        <v>0</v>
      </c>
      <c r="P125" s="124" t="n">
        <f aca="false">D125/P$3</f>
        <v>0</v>
      </c>
      <c r="Q125" s="124" t="n">
        <f aca="false">E125/P$3</f>
        <v>0</v>
      </c>
      <c r="R125" s="124" t="n">
        <f aca="false">F125/R$3</f>
        <v>0</v>
      </c>
      <c r="S125" s="126" t="n">
        <f aca="false">J125/$R$3</f>
        <v>0</v>
      </c>
      <c r="T125" s="126" t="n">
        <f aca="false">L125/$R$3</f>
        <v>0</v>
      </c>
      <c r="U125" s="126" t="n">
        <f aca="false">I125/$R$3</f>
        <v>0</v>
      </c>
      <c r="V125" s="126" t="n">
        <f aca="false">M125/$R$3</f>
        <v>0</v>
      </c>
      <c r="W125" s="126" t="n">
        <f aca="false">N125/$R$3</f>
        <v>0</v>
      </c>
    </row>
    <row r="126" customFormat="false" ht="12.75" hidden="true" customHeight="false" outlineLevel="0" collapsed="false">
      <c r="A126" s="120" t="n">
        <f aca="false">A125+1</f>
        <v>37012</v>
      </c>
      <c r="B126" s="131" t="str">
        <f aca="false">INDEX('Master Data'!$A$2:$B$8,MATCH(WEEKDAY(ELETROBOLT!A126,3),'Master Data'!$A$2:$A$8,0),2)</f>
        <v>T</v>
      </c>
      <c r="D126" s="124" t="n">
        <v>0</v>
      </c>
      <c r="E126" s="124" t="n">
        <v>0</v>
      </c>
      <c r="F126" s="124" t="n">
        <v>0</v>
      </c>
      <c r="G126" s="124" t="n">
        <v>0</v>
      </c>
      <c r="I126" s="124" t="n">
        <f aca="false">IF(MONTH($A126)=MONTH($A125),IF(G126=0,I125,G126),G126)</f>
        <v>0</v>
      </c>
      <c r="J126" s="124" t="n">
        <f aca="false">IF(MONTH($A126)=MONTH($A125),SUM(I126-I125),I126)</f>
        <v>0</v>
      </c>
      <c r="K126" s="124" t="n">
        <f aca="false">IF(WEEKDAY(A126,3)&gt;4,0,(IF(A126&lt;K$2,0,IF(A126&lt;=K$3,1,0))))</f>
        <v>0</v>
      </c>
      <c r="L126" s="124" t="n">
        <f aca="false">J126*K126</f>
        <v>0</v>
      </c>
      <c r="M126" s="124" t="n">
        <f aca="false">SUM(J$97:J126)</f>
        <v>0</v>
      </c>
      <c r="N126" s="124" t="n">
        <f aca="false">SUM(J$6:J126)</f>
        <v>0</v>
      </c>
      <c r="P126" s="124" t="n">
        <f aca="false">D126/P$3</f>
        <v>0</v>
      </c>
      <c r="Q126" s="124" t="n">
        <f aca="false">E126/P$3</f>
        <v>0</v>
      </c>
      <c r="R126" s="124" t="n">
        <f aca="false">F126/R$3</f>
        <v>0</v>
      </c>
      <c r="S126" s="126" t="n">
        <f aca="false">J126/$R$3</f>
        <v>0</v>
      </c>
      <c r="T126" s="126" t="n">
        <f aca="false">L126/$R$3</f>
        <v>0</v>
      </c>
      <c r="U126" s="126" t="n">
        <f aca="false">I126/$R$3</f>
        <v>0</v>
      </c>
      <c r="V126" s="126" t="n">
        <f aca="false">M126/$R$3</f>
        <v>0</v>
      </c>
      <c r="W126" s="126" t="n">
        <f aca="false">N126/$R$3</f>
        <v>0</v>
      </c>
    </row>
    <row r="127" customFormat="false" ht="12.75" hidden="true" customHeight="false" outlineLevel="0" collapsed="false">
      <c r="A127" s="120" t="n">
        <f aca="false">A126+1</f>
        <v>37013</v>
      </c>
      <c r="B127" s="131" t="str">
        <f aca="false">INDEX('Master Data'!$A$2:$B$8,MATCH(WEEKDAY(ELETROBOLT!A127,3),'Master Data'!$A$2:$A$8,0),2)</f>
        <v>W</v>
      </c>
      <c r="D127" s="124" t="n">
        <v>0</v>
      </c>
      <c r="E127" s="124" t="n">
        <v>0</v>
      </c>
      <c r="F127" s="124" t="n">
        <v>0</v>
      </c>
      <c r="G127" s="124" t="n">
        <v>0</v>
      </c>
      <c r="I127" s="124" t="n">
        <f aca="false">IF(MONTH($A127)=MONTH($A126),IF(G127=0,I126,G127),G127)</f>
        <v>0</v>
      </c>
      <c r="J127" s="124" t="n">
        <f aca="false">IF(MONTH($A127)=MONTH($A126),SUM(I127-I126),I127)</f>
        <v>0</v>
      </c>
      <c r="K127" s="124" t="n">
        <f aca="false">IF(WEEKDAY(A127,3)&gt;4,0,(IF(A127&lt;K$2,0,IF(A127&lt;=K$3,1,0))))</f>
        <v>0</v>
      </c>
      <c r="L127" s="124" t="n">
        <f aca="false">J127*K127</f>
        <v>0</v>
      </c>
      <c r="M127" s="124" t="n">
        <f aca="false">SUM(J$97:J127)</f>
        <v>0</v>
      </c>
      <c r="N127" s="124" t="n">
        <f aca="false">SUM(J$6:J127)</f>
        <v>0</v>
      </c>
      <c r="P127" s="124" t="n">
        <f aca="false">D127/P$3</f>
        <v>0</v>
      </c>
      <c r="Q127" s="124" t="n">
        <f aca="false">E127/P$3</f>
        <v>0</v>
      </c>
      <c r="R127" s="124" t="n">
        <f aca="false">F127/R$3</f>
        <v>0</v>
      </c>
      <c r="S127" s="126" t="n">
        <f aca="false">J127/$R$3</f>
        <v>0</v>
      </c>
      <c r="T127" s="126" t="n">
        <f aca="false">L127/$R$3</f>
        <v>0</v>
      </c>
      <c r="U127" s="126" t="n">
        <f aca="false">I127/$R$3</f>
        <v>0</v>
      </c>
      <c r="V127" s="126" t="n">
        <f aca="false">M127/$R$3</f>
        <v>0</v>
      </c>
      <c r="W127" s="126" t="n">
        <f aca="false">N127/$R$3</f>
        <v>0</v>
      </c>
    </row>
    <row r="128" customFormat="false" ht="12.75" hidden="true" customHeight="false" outlineLevel="0" collapsed="false">
      <c r="A128" s="120" t="n">
        <f aca="false">A127+1</f>
        <v>37014</v>
      </c>
      <c r="B128" s="131" t="str">
        <f aca="false">INDEX('Master Data'!$A$2:$B$8,MATCH(WEEKDAY(ELETROBOLT!A128,3),'Master Data'!$A$2:$A$8,0),2)</f>
        <v>Th</v>
      </c>
      <c r="D128" s="124" t="n">
        <v>0</v>
      </c>
      <c r="E128" s="124" t="n">
        <v>0</v>
      </c>
      <c r="F128" s="124" t="n">
        <v>0</v>
      </c>
      <c r="G128" s="124" t="n">
        <v>0</v>
      </c>
      <c r="I128" s="124" t="n">
        <f aca="false">IF(MONTH($A128)=MONTH($A127),IF(G128=0,I127,G128),G128)</f>
        <v>0</v>
      </c>
      <c r="J128" s="124" t="n">
        <f aca="false">IF(MONTH($A128)=MONTH($A127),SUM(I128-I127),I128)</f>
        <v>0</v>
      </c>
      <c r="K128" s="124" t="n">
        <f aca="false">IF(WEEKDAY(A128,3)&gt;4,0,(IF(A128&lt;K$2,0,IF(A128&lt;=K$3,1,0))))</f>
        <v>0</v>
      </c>
      <c r="L128" s="124" t="n">
        <f aca="false">J128*K128</f>
        <v>0</v>
      </c>
      <c r="M128" s="124" t="n">
        <f aca="false">SUM(J$97:J128)</f>
        <v>0</v>
      </c>
      <c r="N128" s="124" t="n">
        <f aca="false">SUM(J$6:J128)</f>
        <v>0</v>
      </c>
      <c r="P128" s="124" t="n">
        <f aca="false">D128/P$3</f>
        <v>0</v>
      </c>
      <c r="Q128" s="124" t="n">
        <f aca="false">E128/P$3</f>
        <v>0</v>
      </c>
      <c r="R128" s="124" t="n">
        <f aca="false">F128/R$3</f>
        <v>0</v>
      </c>
      <c r="S128" s="126" t="n">
        <f aca="false">J128/$R$3</f>
        <v>0</v>
      </c>
      <c r="T128" s="126" t="n">
        <f aca="false">L128/$R$3</f>
        <v>0</v>
      </c>
      <c r="U128" s="126" t="n">
        <f aca="false">I128/$R$3</f>
        <v>0</v>
      </c>
      <c r="V128" s="126" t="n">
        <f aca="false">M128/$R$3</f>
        <v>0</v>
      </c>
      <c r="W128" s="126" t="n">
        <f aca="false">N128/$R$3</f>
        <v>0</v>
      </c>
    </row>
    <row r="129" customFormat="false" ht="12.75" hidden="true" customHeight="false" outlineLevel="0" collapsed="false">
      <c r="A129" s="120" t="n">
        <f aca="false">A128+1</f>
        <v>37015</v>
      </c>
      <c r="B129" s="131" t="str">
        <f aca="false">INDEX('Master Data'!$A$2:$B$8,MATCH(WEEKDAY(ELETROBOLT!A129,3),'Master Data'!$A$2:$A$8,0),2)</f>
        <v>F</v>
      </c>
      <c r="D129" s="124" t="n">
        <v>0</v>
      </c>
      <c r="E129" s="124" t="n">
        <v>0</v>
      </c>
      <c r="F129" s="124" t="n">
        <v>0</v>
      </c>
      <c r="G129" s="124" t="n">
        <v>0</v>
      </c>
      <c r="I129" s="124" t="n">
        <f aca="false">IF(MONTH($A129)=MONTH($A128),IF(G129=0,I128,G129),G129)</f>
        <v>0</v>
      </c>
      <c r="J129" s="124" t="n">
        <f aca="false">IF(MONTH($A129)=MONTH($A128),SUM(I129-I128),I129)</f>
        <v>0</v>
      </c>
      <c r="K129" s="124" t="n">
        <f aca="false">IF(WEEKDAY(A129,3)&gt;4,0,(IF(A129&lt;K$2,0,IF(A129&lt;=K$3,1,0))))</f>
        <v>0</v>
      </c>
      <c r="L129" s="124" t="n">
        <f aca="false">J129*K129</f>
        <v>0</v>
      </c>
      <c r="M129" s="124" t="n">
        <f aca="false">SUM(J$97:J129)</f>
        <v>0</v>
      </c>
      <c r="N129" s="124" t="n">
        <f aca="false">SUM(J$6:J129)</f>
        <v>0</v>
      </c>
      <c r="P129" s="124" t="n">
        <f aca="false">D129/P$3</f>
        <v>0</v>
      </c>
      <c r="Q129" s="124" t="n">
        <f aca="false">E129/P$3</f>
        <v>0</v>
      </c>
      <c r="R129" s="124" t="n">
        <f aca="false">F129/R$3</f>
        <v>0</v>
      </c>
      <c r="S129" s="126" t="n">
        <f aca="false">J129/$R$3</f>
        <v>0</v>
      </c>
      <c r="T129" s="126" t="n">
        <f aca="false">L129/$R$3</f>
        <v>0</v>
      </c>
      <c r="U129" s="126" t="n">
        <f aca="false">I129/$R$3</f>
        <v>0</v>
      </c>
      <c r="V129" s="126" t="n">
        <f aca="false">M129/$R$3</f>
        <v>0</v>
      </c>
      <c r="W129" s="126" t="n">
        <f aca="false">N129/$R$3</f>
        <v>0</v>
      </c>
    </row>
    <row r="130" customFormat="false" ht="12.75" hidden="true" customHeight="false" outlineLevel="0" collapsed="false">
      <c r="A130" s="120" t="n">
        <f aca="false">A129+1</f>
        <v>37016</v>
      </c>
      <c r="B130" s="131" t="str">
        <f aca="false">INDEX('Master Data'!$A$2:$B$8,MATCH(WEEKDAY(ELETROBOLT!A130,3),'Master Data'!$A$2:$A$8,0),2)</f>
        <v>Sa</v>
      </c>
      <c r="D130" s="124" t="n">
        <v>0</v>
      </c>
      <c r="E130" s="124" t="n">
        <v>0</v>
      </c>
      <c r="F130" s="124" t="n">
        <v>0</v>
      </c>
      <c r="G130" s="124" t="n">
        <v>0</v>
      </c>
      <c r="I130" s="124" t="n">
        <f aca="false">IF(MONTH($A130)=MONTH($A129),IF(G130=0,I129,G130),G130)</f>
        <v>0</v>
      </c>
      <c r="J130" s="124" t="n">
        <f aca="false">IF(MONTH($A130)=MONTH($A129),SUM(I130-I129),I130)</f>
        <v>0</v>
      </c>
      <c r="K130" s="124" t="n">
        <f aca="false">IF(WEEKDAY(A130,3)&gt;4,0,(IF(A130&lt;K$2,0,IF(A130&lt;=K$3,1,0))))</f>
        <v>0</v>
      </c>
      <c r="L130" s="124" t="n">
        <f aca="false">J130*K130</f>
        <v>0</v>
      </c>
      <c r="M130" s="124" t="n">
        <f aca="false">SUM(J$97:J130)</f>
        <v>0</v>
      </c>
      <c r="N130" s="124" t="n">
        <f aca="false">SUM(J$6:J130)</f>
        <v>0</v>
      </c>
      <c r="P130" s="124" t="n">
        <f aca="false">D130/P$3</f>
        <v>0</v>
      </c>
      <c r="Q130" s="124" t="n">
        <f aca="false">E130/P$3</f>
        <v>0</v>
      </c>
      <c r="R130" s="124" t="n">
        <f aca="false">F130/R$3</f>
        <v>0</v>
      </c>
      <c r="S130" s="126" t="n">
        <f aca="false">J130/$R$3</f>
        <v>0</v>
      </c>
      <c r="T130" s="126" t="n">
        <f aca="false">L130/$R$3</f>
        <v>0</v>
      </c>
      <c r="U130" s="126" t="n">
        <f aca="false">I130/$R$3</f>
        <v>0</v>
      </c>
      <c r="V130" s="126" t="n">
        <f aca="false">M130/$R$3</f>
        <v>0</v>
      </c>
      <c r="W130" s="126" t="n">
        <f aca="false">N130/$R$3</f>
        <v>0</v>
      </c>
    </row>
    <row r="131" customFormat="false" ht="12.75" hidden="true" customHeight="false" outlineLevel="0" collapsed="false">
      <c r="A131" s="120" t="n">
        <f aca="false">A130+1</f>
        <v>37017</v>
      </c>
      <c r="B131" s="131" t="str">
        <f aca="false">INDEX('Master Data'!$A$2:$B$8,MATCH(WEEKDAY(ELETROBOLT!A131,3),'Master Data'!$A$2:$A$8,0),2)</f>
        <v>Su</v>
      </c>
      <c r="D131" s="124" t="n">
        <v>0</v>
      </c>
      <c r="E131" s="124" t="n">
        <v>0</v>
      </c>
      <c r="F131" s="124" t="n">
        <v>0</v>
      </c>
      <c r="G131" s="124" t="n">
        <v>0</v>
      </c>
      <c r="I131" s="124" t="n">
        <f aca="false">IF(MONTH($A131)=MONTH($A130),IF(G131=0,I130,G131),G131)</f>
        <v>0</v>
      </c>
      <c r="J131" s="124" t="n">
        <f aca="false">IF(MONTH($A131)=MONTH($A130),SUM(I131-I130),I131)</f>
        <v>0</v>
      </c>
      <c r="K131" s="124" t="n">
        <f aca="false">IF(WEEKDAY(A131,3)&gt;4,0,(IF(A131&lt;K$2,0,IF(A131&lt;=K$3,1,0))))</f>
        <v>0</v>
      </c>
      <c r="L131" s="124" t="n">
        <f aca="false">J131*K131</f>
        <v>0</v>
      </c>
      <c r="M131" s="124" t="n">
        <f aca="false">SUM(J$97:J131)</f>
        <v>0</v>
      </c>
      <c r="N131" s="124" t="n">
        <f aca="false">SUM(J$6:J131)</f>
        <v>0</v>
      </c>
      <c r="P131" s="124" t="n">
        <f aca="false">D131/P$3</f>
        <v>0</v>
      </c>
      <c r="Q131" s="124" t="n">
        <f aca="false">E131/P$3</f>
        <v>0</v>
      </c>
      <c r="R131" s="124" t="n">
        <f aca="false">F131/R$3</f>
        <v>0</v>
      </c>
      <c r="S131" s="126" t="n">
        <f aca="false">J131/$R$3</f>
        <v>0</v>
      </c>
      <c r="T131" s="126" t="n">
        <f aca="false">L131/$R$3</f>
        <v>0</v>
      </c>
      <c r="U131" s="126" t="n">
        <f aca="false">I131/$R$3</f>
        <v>0</v>
      </c>
      <c r="V131" s="126" t="n">
        <f aca="false">M131/$R$3</f>
        <v>0</v>
      </c>
      <c r="W131" s="126" t="n">
        <f aca="false">N131/$R$3</f>
        <v>0</v>
      </c>
    </row>
    <row r="132" customFormat="false" ht="12.75" hidden="true" customHeight="false" outlineLevel="0" collapsed="false">
      <c r="A132" s="120" t="n">
        <f aca="false">A131+1</f>
        <v>37018</v>
      </c>
      <c r="B132" s="131" t="str">
        <f aca="false">INDEX('Master Data'!$A$2:$B$8,MATCH(WEEKDAY(ELETROBOLT!A132,3),'Master Data'!$A$2:$A$8,0),2)</f>
        <v>M</v>
      </c>
      <c r="D132" s="124" t="n">
        <v>0</v>
      </c>
      <c r="E132" s="124" t="n">
        <v>0</v>
      </c>
      <c r="F132" s="124" t="n">
        <v>0</v>
      </c>
      <c r="G132" s="124" t="n">
        <v>0</v>
      </c>
      <c r="I132" s="124" t="n">
        <f aca="false">IF(MONTH($A132)=MONTH($A131),IF(G132=0,I131,G132),G132)</f>
        <v>0</v>
      </c>
      <c r="J132" s="124" t="n">
        <f aca="false">IF(MONTH($A132)=MONTH($A131),SUM(I132-I131),I132)</f>
        <v>0</v>
      </c>
      <c r="K132" s="124" t="n">
        <f aca="false">IF(WEEKDAY(A132,3)&gt;4,0,(IF(A132&lt;K$2,0,IF(A132&lt;=K$3,1,0))))</f>
        <v>0</v>
      </c>
      <c r="L132" s="124" t="n">
        <f aca="false">J132*K132</f>
        <v>0</v>
      </c>
      <c r="M132" s="124" t="n">
        <f aca="false">SUM(J$97:J132)</f>
        <v>0</v>
      </c>
      <c r="N132" s="124" t="n">
        <f aca="false">SUM(J$6:J132)</f>
        <v>0</v>
      </c>
      <c r="P132" s="124" t="n">
        <f aca="false">D132/P$3</f>
        <v>0</v>
      </c>
      <c r="Q132" s="124" t="n">
        <f aca="false">E132/P$3</f>
        <v>0</v>
      </c>
      <c r="R132" s="124" t="n">
        <f aca="false">F132/R$3</f>
        <v>0</v>
      </c>
      <c r="S132" s="126" t="n">
        <f aca="false">J132/$R$3</f>
        <v>0</v>
      </c>
      <c r="T132" s="126" t="n">
        <f aca="false">L132/$R$3</f>
        <v>0</v>
      </c>
      <c r="U132" s="126" t="n">
        <f aca="false">I132/$R$3</f>
        <v>0</v>
      </c>
      <c r="V132" s="126" t="n">
        <f aca="false">M132/$R$3</f>
        <v>0</v>
      </c>
      <c r="W132" s="126" t="n">
        <f aca="false">N132/$R$3</f>
        <v>0</v>
      </c>
    </row>
    <row r="133" customFormat="false" ht="12.75" hidden="true" customHeight="false" outlineLevel="0" collapsed="false">
      <c r="A133" s="120" t="n">
        <f aca="false">A132+1</f>
        <v>37019</v>
      </c>
      <c r="B133" s="131" t="str">
        <f aca="false">INDEX('Master Data'!$A$2:$B$8,MATCH(WEEKDAY(ELETROBOLT!A133,3),'Master Data'!$A$2:$A$8,0),2)</f>
        <v>T</v>
      </c>
      <c r="D133" s="124" t="n">
        <v>0</v>
      </c>
      <c r="E133" s="124" t="n">
        <v>0</v>
      </c>
      <c r="F133" s="124" t="n">
        <v>0</v>
      </c>
      <c r="G133" s="124" t="n">
        <v>0</v>
      </c>
      <c r="I133" s="124" t="n">
        <f aca="false">IF(MONTH($A133)=MONTH($A132),IF(G133=0,I132,G133),G133)</f>
        <v>0</v>
      </c>
      <c r="J133" s="124" t="n">
        <f aca="false">IF(MONTH($A133)=MONTH($A132),SUM(I133-I132),I133)</f>
        <v>0</v>
      </c>
      <c r="K133" s="124" t="n">
        <f aca="false">IF(WEEKDAY(A133,3)&gt;4,0,(IF(A133&lt;K$2,0,IF(A133&lt;=K$3,1,0))))</f>
        <v>0</v>
      </c>
      <c r="L133" s="124" t="n">
        <f aca="false">J133*K133</f>
        <v>0</v>
      </c>
      <c r="M133" s="124" t="n">
        <f aca="false">SUM(J$97:J133)</f>
        <v>0</v>
      </c>
      <c r="N133" s="124" t="n">
        <f aca="false">SUM(J$6:J133)</f>
        <v>0</v>
      </c>
      <c r="P133" s="124" t="n">
        <f aca="false">D133/P$3</f>
        <v>0</v>
      </c>
      <c r="Q133" s="124" t="n">
        <f aca="false">E133/P$3</f>
        <v>0</v>
      </c>
      <c r="R133" s="124" t="n">
        <f aca="false">F133/R$3</f>
        <v>0</v>
      </c>
      <c r="S133" s="126" t="n">
        <f aca="false">J133/$R$3</f>
        <v>0</v>
      </c>
      <c r="T133" s="126" t="n">
        <f aca="false">L133/$R$3</f>
        <v>0</v>
      </c>
      <c r="U133" s="126" t="n">
        <f aca="false">I133/$R$3</f>
        <v>0</v>
      </c>
      <c r="V133" s="126" t="n">
        <f aca="false">M133/$R$3</f>
        <v>0</v>
      </c>
      <c r="W133" s="126" t="n">
        <f aca="false">N133/$R$3</f>
        <v>0</v>
      </c>
    </row>
    <row r="134" customFormat="false" ht="12.75" hidden="true" customHeight="false" outlineLevel="0" collapsed="false">
      <c r="A134" s="120" t="n">
        <f aca="false">A133+1</f>
        <v>37020</v>
      </c>
      <c r="B134" s="131" t="str">
        <f aca="false">INDEX('Master Data'!$A$2:$B$8,MATCH(WEEKDAY(ELETROBOLT!A134,3),'Master Data'!$A$2:$A$8,0),2)</f>
        <v>W</v>
      </c>
      <c r="D134" s="124" t="n">
        <v>0</v>
      </c>
      <c r="E134" s="124" t="n">
        <v>0</v>
      </c>
      <c r="F134" s="124" t="n">
        <v>0</v>
      </c>
      <c r="G134" s="124" t="n">
        <v>0</v>
      </c>
      <c r="I134" s="124" t="n">
        <f aca="false">IF(MONTH($A134)=MONTH($A133),IF(G134=0,I133,G134),G134)</f>
        <v>0</v>
      </c>
      <c r="J134" s="124" t="n">
        <f aca="false">IF(MONTH($A134)=MONTH($A133),SUM(I134-I133),I134)</f>
        <v>0</v>
      </c>
      <c r="K134" s="124" t="n">
        <f aca="false">IF(WEEKDAY(A134,3)&gt;4,0,(IF(A134&lt;K$2,0,IF(A134&lt;=K$3,1,0))))</f>
        <v>0</v>
      </c>
      <c r="L134" s="124" t="n">
        <f aca="false">J134*K134</f>
        <v>0</v>
      </c>
      <c r="M134" s="124" t="n">
        <f aca="false">SUM(J$97:J134)</f>
        <v>0</v>
      </c>
      <c r="N134" s="124" t="n">
        <f aca="false">SUM(J$6:J134)</f>
        <v>0</v>
      </c>
      <c r="P134" s="124" t="n">
        <f aca="false">D134/P$3</f>
        <v>0</v>
      </c>
      <c r="Q134" s="124" t="n">
        <f aca="false">E134/P$3</f>
        <v>0</v>
      </c>
      <c r="R134" s="124" t="n">
        <f aca="false">F134/R$3</f>
        <v>0</v>
      </c>
      <c r="S134" s="126" t="n">
        <f aca="false">J134/$R$3</f>
        <v>0</v>
      </c>
      <c r="T134" s="126" t="n">
        <f aca="false">L134/$R$3</f>
        <v>0</v>
      </c>
      <c r="U134" s="126" t="n">
        <f aca="false">I134/$R$3</f>
        <v>0</v>
      </c>
      <c r="V134" s="126" t="n">
        <f aca="false">M134/$R$3</f>
        <v>0</v>
      </c>
      <c r="W134" s="126" t="n">
        <f aca="false">N134/$R$3</f>
        <v>0</v>
      </c>
    </row>
    <row r="135" customFormat="false" ht="12.75" hidden="true" customHeight="false" outlineLevel="0" collapsed="false">
      <c r="A135" s="120" t="n">
        <f aca="false">A134+1</f>
        <v>37021</v>
      </c>
      <c r="B135" s="131" t="str">
        <f aca="false">INDEX('Master Data'!$A$2:$B$8,MATCH(WEEKDAY(ELETROBOLT!A135,3),'Master Data'!$A$2:$A$8,0),2)</f>
        <v>Th</v>
      </c>
      <c r="D135" s="124" t="n">
        <v>0</v>
      </c>
      <c r="E135" s="124" t="n">
        <v>0</v>
      </c>
      <c r="F135" s="124" t="n">
        <v>0</v>
      </c>
      <c r="G135" s="124" t="n">
        <v>0</v>
      </c>
      <c r="I135" s="124" t="n">
        <f aca="false">IF(MONTH($A135)=MONTH($A134),IF(G135=0,I134,G135),G135)</f>
        <v>0</v>
      </c>
      <c r="J135" s="124" t="n">
        <f aca="false">IF(MONTH($A135)=MONTH($A134),SUM(I135-I134),I135)</f>
        <v>0</v>
      </c>
      <c r="K135" s="124" t="n">
        <f aca="false">IF(WEEKDAY(A135,3)&gt;4,0,(IF(A135&lt;K$2,0,IF(A135&lt;=K$3,1,0))))</f>
        <v>0</v>
      </c>
      <c r="L135" s="124" t="n">
        <f aca="false">J135*K135</f>
        <v>0</v>
      </c>
      <c r="M135" s="124" t="n">
        <f aca="false">SUM(J$97:J135)</f>
        <v>0</v>
      </c>
      <c r="N135" s="124" t="n">
        <f aca="false">SUM(J$6:J135)</f>
        <v>0</v>
      </c>
      <c r="P135" s="124" t="n">
        <f aca="false">D135/P$3</f>
        <v>0</v>
      </c>
      <c r="Q135" s="124" t="n">
        <f aca="false">E135/P$3</f>
        <v>0</v>
      </c>
      <c r="R135" s="124" t="n">
        <f aca="false">F135/R$3</f>
        <v>0</v>
      </c>
      <c r="S135" s="126" t="n">
        <f aca="false">J135/$R$3</f>
        <v>0</v>
      </c>
      <c r="T135" s="126" t="n">
        <f aca="false">L135/$R$3</f>
        <v>0</v>
      </c>
      <c r="U135" s="126" t="n">
        <f aca="false">I135/$R$3</f>
        <v>0</v>
      </c>
      <c r="V135" s="126" t="n">
        <f aca="false">M135/$R$3</f>
        <v>0</v>
      </c>
      <c r="W135" s="126" t="n">
        <f aca="false">N135/$R$3</f>
        <v>0</v>
      </c>
    </row>
    <row r="136" customFormat="false" ht="12.75" hidden="true" customHeight="false" outlineLevel="0" collapsed="false">
      <c r="A136" s="120" t="n">
        <f aca="false">A135+1</f>
        <v>37022</v>
      </c>
      <c r="B136" s="131" t="str">
        <f aca="false">INDEX('Master Data'!$A$2:$B$8,MATCH(WEEKDAY(ELETROBOLT!A136,3),'Master Data'!$A$2:$A$8,0),2)</f>
        <v>F</v>
      </c>
      <c r="D136" s="124" t="n">
        <v>0</v>
      </c>
      <c r="E136" s="124" t="n">
        <v>0</v>
      </c>
      <c r="F136" s="124" t="n">
        <v>0</v>
      </c>
      <c r="G136" s="124" t="n">
        <v>0</v>
      </c>
      <c r="I136" s="124" t="n">
        <f aca="false">IF(MONTH($A136)=MONTH($A135),IF(G136=0,I135,G136),G136)</f>
        <v>0</v>
      </c>
      <c r="J136" s="124" t="n">
        <f aca="false">IF(MONTH($A136)=MONTH($A135),SUM(I136-I135),I136)</f>
        <v>0</v>
      </c>
      <c r="K136" s="124" t="n">
        <f aca="false">IF(WEEKDAY(A136,3)&gt;4,0,(IF(A136&lt;K$2,0,IF(A136&lt;=K$3,1,0))))</f>
        <v>0</v>
      </c>
      <c r="L136" s="124" t="n">
        <f aca="false">J136*K136</f>
        <v>0</v>
      </c>
      <c r="M136" s="124" t="n">
        <f aca="false">SUM(J$97:J136)</f>
        <v>0</v>
      </c>
      <c r="N136" s="124" t="n">
        <f aca="false">SUM(J$6:J136)</f>
        <v>0</v>
      </c>
      <c r="P136" s="124" t="n">
        <f aca="false">D136/P$3</f>
        <v>0</v>
      </c>
      <c r="Q136" s="124" t="n">
        <f aca="false">E136/P$3</f>
        <v>0</v>
      </c>
      <c r="R136" s="124" t="n">
        <f aca="false">F136/R$3</f>
        <v>0</v>
      </c>
      <c r="S136" s="126" t="n">
        <f aca="false">J136/$R$3</f>
        <v>0</v>
      </c>
      <c r="T136" s="126" t="n">
        <f aca="false">L136/$R$3</f>
        <v>0</v>
      </c>
      <c r="U136" s="126" t="n">
        <f aca="false">I136/$R$3</f>
        <v>0</v>
      </c>
      <c r="V136" s="126" t="n">
        <f aca="false">M136/$R$3</f>
        <v>0</v>
      </c>
      <c r="W136" s="126" t="n">
        <f aca="false">N136/$R$3</f>
        <v>0</v>
      </c>
    </row>
    <row r="137" customFormat="false" ht="12.75" hidden="true" customHeight="false" outlineLevel="0" collapsed="false">
      <c r="A137" s="120" t="n">
        <f aca="false">A136+1</f>
        <v>37023</v>
      </c>
      <c r="B137" s="131" t="str">
        <f aca="false">INDEX('Master Data'!$A$2:$B$8,MATCH(WEEKDAY(ELETROBOLT!A137,3),'Master Data'!$A$2:$A$8,0),2)</f>
        <v>Sa</v>
      </c>
      <c r="D137" s="124" t="n">
        <v>0</v>
      </c>
      <c r="E137" s="124" t="n">
        <v>0</v>
      </c>
      <c r="F137" s="124" t="n">
        <v>0</v>
      </c>
      <c r="G137" s="124" t="n">
        <v>0</v>
      </c>
      <c r="I137" s="124" t="n">
        <f aca="false">IF(MONTH($A137)=MONTH($A136),IF(G137=0,I136,G137),G137)</f>
        <v>0</v>
      </c>
      <c r="J137" s="124" t="n">
        <f aca="false">IF(MONTH($A137)=MONTH($A136),SUM(I137-I136),I137)</f>
        <v>0</v>
      </c>
      <c r="K137" s="124" t="n">
        <f aca="false">IF(WEEKDAY(A137,3)&gt;4,0,(IF(A137&lt;K$2,0,IF(A137&lt;=K$3,1,0))))</f>
        <v>0</v>
      </c>
      <c r="L137" s="124" t="n">
        <f aca="false">J137*K137</f>
        <v>0</v>
      </c>
      <c r="M137" s="124" t="n">
        <f aca="false">SUM(J$97:J137)</f>
        <v>0</v>
      </c>
      <c r="N137" s="124" t="n">
        <f aca="false">SUM(J$6:J137)</f>
        <v>0</v>
      </c>
      <c r="P137" s="124" t="n">
        <f aca="false">D137/P$3</f>
        <v>0</v>
      </c>
      <c r="Q137" s="124" t="n">
        <f aca="false">E137/P$3</f>
        <v>0</v>
      </c>
      <c r="R137" s="124" t="n">
        <f aca="false">F137/R$3</f>
        <v>0</v>
      </c>
      <c r="S137" s="126" t="n">
        <f aca="false">J137/$R$3</f>
        <v>0</v>
      </c>
      <c r="T137" s="126" t="n">
        <f aca="false">L137/$R$3</f>
        <v>0</v>
      </c>
      <c r="U137" s="126" t="n">
        <f aca="false">I137/$R$3</f>
        <v>0</v>
      </c>
      <c r="V137" s="126" t="n">
        <f aca="false">M137/$R$3</f>
        <v>0</v>
      </c>
      <c r="W137" s="126" t="n">
        <f aca="false">N137/$R$3</f>
        <v>0</v>
      </c>
    </row>
    <row r="138" customFormat="false" ht="12.75" hidden="true" customHeight="false" outlineLevel="0" collapsed="false">
      <c r="A138" s="120" t="n">
        <f aca="false">A137+1</f>
        <v>37024</v>
      </c>
      <c r="B138" s="131" t="str">
        <f aca="false">INDEX('Master Data'!$A$2:$B$8,MATCH(WEEKDAY(ELETROBOLT!A138,3),'Master Data'!$A$2:$A$8,0),2)</f>
        <v>Su</v>
      </c>
      <c r="D138" s="124" t="n">
        <v>0</v>
      </c>
      <c r="E138" s="124" t="n">
        <v>0</v>
      </c>
      <c r="F138" s="124" t="n">
        <v>0</v>
      </c>
      <c r="G138" s="124" t="n">
        <v>0</v>
      </c>
      <c r="I138" s="124" t="n">
        <f aca="false">IF(MONTH($A138)=MONTH($A137),IF(G138=0,I137,G138),G138)</f>
        <v>0</v>
      </c>
      <c r="J138" s="124" t="n">
        <f aca="false">IF(MONTH($A138)=MONTH($A137),SUM(I138-I137),I138)</f>
        <v>0</v>
      </c>
      <c r="K138" s="124" t="n">
        <f aca="false">IF(WEEKDAY(A138,3)&gt;4,0,(IF(A138&lt;K$2,0,IF(A138&lt;=K$3,1,0))))</f>
        <v>0</v>
      </c>
      <c r="L138" s="124" t="n">
        <f aca="false">J138*K138</f>
        <v>0</v>
      </c>
      <c r="M138" s="124" t="n">
        <f aca="false">SUM(J$97:J138)</f>
        <v>0</v>
      </c>
      <c r="N138" s="124" t="n">
        <f aca="false">SUM(J$6:J138)</f>
        <v>0</v>
      </c>
      <c r="P138" s="124" t="n">
        <f aca="false">D138/P$3</f>
        <v>0</v>
      </c>
      <c r="Q138" s="124" t="n">
        <f aca="false">E138/P$3</f>
        <v>0</v>
      </c>
      <c r="R138" s="124" t="n">
        <f aca="false">F138/R$3</f>
        <v>0</v>
      </c>
      <c r="S138" s="126" t="n">
        <f aca="false">J138/$R$3</f>
        <v>0</v>
      </c>
      <c r="T138" s="126" t="n">
        <f aca="false">L138/$R$3</f>
        <v>0</v>
      </c>
      <c r="U138" s="126" t="n">
        <f aca="false">I138/$R$3</f>
        <v>0</v>
      </c>
      <c r="V138" s="126" t="n">
        <f aca="false">M138/$R$3</f>
        <v>0</v>
      </c>
      <c r="W138" s="126" t="n">
        <f aca="false">N138/$R$3</f>
        <v>0</v>
      </c>
    </row>
    <row r="139" customFormat="false" ht="12.75" hidden="true" customHeight="false" outlineLevel="0" collapsed="false">
      <c r="A139" s="120" t="n">
        <f aca="false">A138+1</f>
        <v>37025</v>
      </c>
      <c r="B139" s="131" t="str">
        <f aca="false">INDEX('Master Data'!$A$2:$B$8,MATCH(WEEKDAY(ELETROBOLT!A139,3),'Master Data'!$A$2:$A$8,0),2)</f>
        <v>M</v>
      </c>
      <c r="D139" s="124" t="n">
        <v>0</v>
      </c>
      <c r="E139" s="124" t="n">
        <v>0</v>
      </c>
      <c r="F139" s="124" t="n">
        <v>0</v>
      </c>
      <c r="G139" s="124" t="n">
        <v>0</v>
      </c>
      <c r="I139" s="124" t="n">
        <f aca="false">IF(MONTH($A139)=MONTH($A138),IF(G139=0,I138,G139),G139)</f>
        <v>0</v>
      </c>
      <c r="J139" s="124" t="n">
        <f aca="false">IF(MONTH($A139)=MONTH($A138),SUM(I139-I138),I139)</f>
        <v>0</v>
      </c>
      <c r="K139" s="124" t="n">
        <f aca="false">IF(WEEKDAY(A139,3)&gt;4,0,(IF(A139&lt;K$2,0,IF(A139&lt;=K$3,1,0))))</f>
        <v>0</v>
      </c>
      <c r="L139" s="124" t="n">
        <f aca="false">J139*K139</f>
        <v>0</v>
      </c>
      <c r="M139" s="124" t="n">
        <f aca="false">SUM(J$97:J139)</f>
        <v>0</v>
      </c>
      <c r="N139" s="124" t="n">
        <f aca="false">SUM(J$6:J139)</f>
        <v>0</v>
      </c>
      <c r="P139" s="124" t="n">
        <f aca="false">D139/P$3</f>
        <v>0</v>
      </c>
      <c r="Q139" s="124" t="n">
        <f aca="false">E139/P$3</f>
        <v>0</v>
      </c>
      <c r="R139" s="124" t="n">
        <f aca="false">F139/R$3</f>
        <v>0</v>
      </c>
      <c r="S139" s="126" t="n">
        <f aca="false">J139/$R$3</f>
        <v>0</v>
      </c>
      <c r="T139" s="126" t="n">
        <f aca="false">L139/$R$3</f>
        <v>0</v>
      </c>
      <c r="U139" s="126" t="n">
        <f aca="false">I139/$R$3</f>
        <v>0</v>
      </c>
      <c r="V139" s="126" t="n">
        <f aca="false">M139/$R$3</f>
        <v>0</v>
      </c>
      <c r="W139" s="126" t="n">
        <f aca="false">N139/$R$3</f>
        <v>0</v>
      </c>
    </row>
    <row r="140" customFormat="false" ht="12.75" hidden="true" customHeight="false" outlineLevel="0" collapsed="false">
      <c r="A140" s="120" t="n">
        <f aca="false">A139+1</f>
        <v>37026</v>
      </c>
      <c r="B140" s="131" t="str">
        <f aca="false">INDEX('Master Data'!$A$2:$B$8,MATCH(WEEKDAY(ELETROBOLT!A140,3),'Master Data'!$A$2:$A$8,0),2)</f>
        <v>T</v>
      </c>
      <c r="D140" s="124" t="n">
        <v>0</v>
      </c>
      <c r="E140" s="124" t="n">
        <v>0</v>
      </c>
      <c r="F140" s="124" t="n">
        <v>0</v>
      </c>
      <c r="G140" s="124" t="n">
        <v>0</v>
      </c>
      <c r="I140" s="124" t="n">
        <f aca="false">IF(MONTH($A140)=MONTH($A139),IF(G140=0,I139,G140),G140)</f>
        <v>0</v>
      </c>
      <c r="J140" s="124" t="n">
        <f aca="false">IF(MONTH($A140)=MONTH($A139),SUM(I140-I139),I140)</f>
        <v>0</v>
      </c>
      <c r="K140" s="124" t="n">
        <f aca="false">IF(WEEKDAY(A140,3)&gt;4,0,(IF(A140&lt;K$2,0,IF(A140&lt;=K$3,1,0))))</f>
        <v>0</v>
      </c>
      <c r="L140" s="124" t="n">
        <f aca="false">J140*K140</f>
        <v>0</v>
      </c>
      <c r="M140" s="124" t="n">
        <f aca="false">SUM(J$97:J140)</f>
        <v>0</v>
      </c>
      <c r="N140" s="124" t="n">
        <f aca="false">SUM(J$6:J140)</f>
        <v>0</v>
      </c>
      <c r="P140" s="124" t="n">
        <f aca="false">D140/P$3</f>
        <v>0</v>
      </c>
      <c r="Q140" s="124" t="n">
        <f aca="false">E140/P$3</f>
        <v>0</v>
      </c>
      <c r="R140" s="124" t="n">
        <f aca="false">F140/R$3</f>
        <v>0</v>
      </c>
      <c r="S140" s="126" t="n">
        <f aca="false">J140/$R$3</f>
        <v>0</v>
      </c>
      <c r="T140" s="126" t="n">
        <f aca="false">L140/$R$3</f>
        <v>0</v>
      </c>
      <c r="U140" s="126" t="n">
        <f aca="false">I140/$R$3</f>
        <v>0</v>
      </c>
      <c r="V140" s="126" t="n">
        <f aca="false">M140/$R$3</f>
        <v>0</v>
      </c>
      <c r="W140" s="126" t="n">
        <f aca="false">N140/$R$3</f>
        <v>0</v>
      </c>
    </row>
    <row r="141" customFormat="false" ht="12.75" hidden="true" customHeight="false" outlineLevel="0" collapsed="false">
      <c r="A141" s="120" t="n">
        <f aca="false">A140+1</f>
        <v>37027</v>
      </c>
      <c r="B141" s="131" t="str">
        <f aca="false">INDEX('Master Data'!$A$2:$B$8,MATCH(WEEKDAY(ELETROBOLT!A141,3),'Master Data'!$A$2:$A$8,0),2)</f>
        <v>W</v>
      </c>
      <c r="D141" s="124" t="n">
        <v>0</v>
      </c>
      <c r="E141" s="124" t="n">
        <v>0</v>
      </c>
      <c r="F141" s="124" t="n">
        <v>0</v>
      </c>
      <c r="G141" s="124" t="n">
        <v>0</v>
      </c>
      <c r="I141" s="124" t="n">
        <f aca="false">IF(MONTH($A141)=MONTH($A140),IF(G141=0,I140,G141),G141)</f>
        <v>0</v>
      </c>
      <c r="J141" s="124" t="n">
        <f aca="false">IF(MONTH($A141)=MONTH($A140),SUM(I141-I140),I141)</f>
        <v>0</v>
      </c>
      <c r="K141" s="124" t="n">
        <f aca="false">IF(WEEKDAY(A141,3)&gt;4,0,(IF(A141&lt;K$2,0,IF(A141&lt;=K$3,1,0))))</f>
        <v>0</v>
      </c>
      <c r="L141" s="124" t="n">
        <f aca="false">J141*K141</f>
        <v>0</v>
      </c>
      <c r="M141" s="124" t="n">
        <f aca="false">SUM(J$97:J141)</f>
        <v>0</v>
      </c>
      <c r="N141" s="124" t="n">
        <f aca="false">SUM(J$6:J141)</f>
        <v>0</v>
      </c>
      <c r="P141" s="124" t="n">
        <f aca="false">D141/P$3</f>
        <v>0</v>
      </c>
      <c r="Q141" s="124" t="n">
        <f aca="false">E141/P$3</f>
        <v>0</v>
      </c>
      <c r="R141" s="124" t="n">
        <f aca="false">F141/R$3</f>
        <v>0</v>
      </c>
      <c r="S141" s="126" t="n">
        <f aca="false">J141/$R$3</f>
        <v>0</v>
      </c>
      <c r="T141" s="126" t="n">
        <f aca="false">L141/$R$3</f>
        <v>0</v>
      </c>
      <c r="U141" s="126" t="n">
        <f aca="false">I141/$R$3</f>
        <v>0</v>
      </c>
      <c r="V141" s="126" t="n">
        <f aca="false">M141/$R$3</f>
        <v>0</v>
      </c>
      <c r="W141" s="126" t="n">
        <f aca="false">N141/$R$3</f>
        <v>0</v>
      </c>
    </row>
    <row r="142" customFormat="false" ht="12.75" hidden="true" customHeight="false" outlineLevel="0" collapsed="false">
      <c r="A142" s="120" t="n">
        <f aca="false">A141+1</f>
        <v>37028</v>
      </c>
      <c r="B142" s="131" t="str">
        <f aca="false">INDEX('Master Data'!$A$2:$B$8,MATCH(WEEKDAY(ELETROBOLT!A142,3),'Master Data'!$A$2:$A$8,0),2)</f>
        <v>Th</v>
      </c>
      <c r="D142" s="124" t="n">
        <v>0</v>
      </c>
      <c r="E142" s="124" t="n">
        <v>0</v>
      </c>
      <c r="F142" s="124" t="n">
        <v>0</v>
      </c>
      <c r="G142" s="124" t="n">
        <v>0</v>
      </c>
      <c r="I142" s="124" t="n">
        <f aca="false">IF(MONTH($A142)=MONTH($A141),IF(G142=0,I141,G142),G142)</f>
        <v>0</v>
      </c>
      <c r="J142" s="124" t="n">
        <f aca="false">IF(MONTH($A142)=MONTH($A141),SUM(I142-I141),I142)</f>
        <v>0</v>
      </c>
      <c r="K142" s="124" t="n">
        <f aca="false">IF(WEEKDAY(A142,3)&gt;4,0,(IF(A142&lt;K$2,0,IF(A142&lt;=K$3,1,0))))</f>
        <v>0</v>
      </c>
      <c r="L142" s="124" t="n">
        <f aca="false">J142*K142</f>
        <v>0</v>
      </c>
      <c r="M142" s="124" t="n">
        <f aca="false">SUM(J$97:J142)</f>
        <v>0</v>
      </c>
      <c r="N142" s="124" t="n">
        <f aca="false">SUM(J$6:J142)</f>
        <v>0</v>
      </c>
      <c r="P142" s="124" t="n">
        <f aca="false">D142/P$3</f>
        <v>0</v>
      </c>
      <c r="Q142" s="124" t="n">
        <f aca="false">E142/P$3</f>
        <v>0</v>
      </c>
      <c r="R142" s="124" t="n">
        <f aca="false">F142/R$3</f>
        <v>0</v>
      </c>
      <c r="S142" s="126" t="n">
        <f aca="false">J142/$R$3</f>
        <v>0</v>
      </c>
      <c r="T142" s="126" t="n">
        <f aca="false">L142/$R$3</f>
        <v>0</v>
      </c>
      <c r="U142" s="126" t="n">
        <f aca="false">I142/$R$3</f>
        <v>0</v>
      </c>
      <c r="V142" s="126" t="n">
        <f aca="false">M142/$R$3</f>
        <v>0</v>
      </c>
      <c r="W142" s="126" t="n">
        <f aca="false">N142/$R$3</f>
        <v>0</v>
      </c>
    </row>
    <row r="143" customFormat="false" ht="12.75" hidden="true" customHeight="false" outlineLevel="0" collapsed="false">
      <c r="A143" s="120" t="n">
        <f aca="false">A142+1</f>
        <v>37029</v>
      </c>
      <c r="B143" s="131" t="str">
        <f aca="false">INDEX('Master Data'!$A$2:$B$8,MATCH(WEEKDAY(ELETROBOLT!A143,3),'Master Data'!$A$2:$A$8,0),2)</f>
        <v>F</v>
      </c>
      <c r="D143" s="124" t="n">
        <v>0</v>
      </c>
      <c r="E143" s="124" t="n">
        <v>0</v>
      </c>
      <c r="F143" s="124" t="n">
        <v>0</v>
      </c>
      <c r="G143" s="124" t="n">
        <v>0</v>
      </c>
      <c r="I143" s="124" t="n">
        <f aca="false">IF(MONTH($A143)=MONTH($A142),IF(G143=0,I142,G143),G143)</f>
        <v>0</v>
      </c>
      <c r="J143" s="124" t="n">
        <f aca="false">IF(MONTH($A143)=MONTH($A142),SUM(I143-I142),I143)</f>
        <v>0</v>
      </c>
      <c r="K143" s="124" t="n">
        <f aca="false">IF(WEEKDAY(A143,3)&gt;4,0,(IF(A143&lt;K$2,0,IF(A143&lt;=K$3,1,0))))</f>
        <v>0</v>
      </c>
      <c r="L143" s="124" t="n">
        <f aca="false">J143*K143</f>
        <v>0</v>
      </c>
      <c r="M143" s="124" t="n">
        <f aca="false">SUM(J$97:J143)</f>
        <v>0</v>
      </c>
      <c r="N143" s="124" t="n">
        <f aca="false">SUM(J$6:J143)</f>
        <v>0</v>
      </c>
      <c r="P143" s="124" t="n">
        <f aca="false">D143/P$3</f>
        <v>0</v>
      </c>
      <c r="Q143" s="124" t="n">
        <f aca="false">E143/P$3</f>
        <v>0</v>
      </c>
      <c r="R143" s="124" t="n">
        <f aca="false">F143/R$3</f>
        <v>0</v>
      </c>
      <c r="S143" s="126" t="n">
        <f aca="false">J143/$R$3</f>
        <v>0</v>
      </c>
      <c r="T143" s="126" t="n">
        <f aca="false">L143/$R$3</f>
        <v>0</v>
      </c>
      <c r="U143" s="126" t="n">
        <f aca="false">I143/$R$3</f>
        <v>0</v>
      </c>
      <c r="V143" s="126" t="n">
        <f aca="false">M143/$R$3</f>
        <v>0</v>
      </c>
      <c r="W143" s="126" t="n">
        <f aca="false">N143/$R$3</f>
        <v>0</v>
      </c>
    </row>
    <row r="144" customFormat="false" ht="12.75" hidden="true" customHeight="false" outlineLevel="0" collapsed="false">
      <c r="A144" s="120" t="n">
        <f aca="false">A143+1</f>
        <v>37030</v>
      </c>
      <c r="B144" s="131" t="str">
        <f aca="false">INDEX('Master Data'!$A$2:$B$8,MATCH(WEEKDAY(ELETROBOLT!A144,3),'Master Data'!$A$2:$A$8,0),2)</f>
        <v>Sa</v>
      </c>
      <c r="D144" s="124" t="n">
        <v>0</v>
      </c>
      <c r="E144" s="124" t="n">
        <v>0</v>
      </c>
      <c r="F144" s="124" t="n">
        <v>0</v>
      </c>
      <c r="G144" s="124" t="n">
        <v>0</v>
      </c>
      <c r="I144" s="124" t="n">
        <f aca="false">IF(MONTH($A144)=MONTH($A143),IF(G144=0,I143,G144),G144)</f>
        <v>0</v>
      </c>
      <c r="J144" s="124" t="n">
        <f aca="false">IF(MONTH($A144)=MONTH($A143),SUM(I144-I143),I144)</f>
        <v>0</v>
      </c>
      <c r="K144" s="124" t="n">
        <f aca="false">IF(WEEKDAY(A144,3)&gt;4,0,(IF(A144&lt;K$2,0,IF(A144&lt;=K$3,1,0))))</f>
        <v>0</v>
      </c>
      <c r="L144" s="124" t="n">
        <f aca="false">J144*K144</f>
        <v>0</v>
      </c>
      <c r="M144" s="124" t="n">
        <f aca="false">SUM(J$97:J144)</f>
        <v>0</v>
      </c>
      <c r="N144" s="124" t="n">
        <f aca="false">SUM(J$6:J144)</f>
        <v>0</v>
      </c>
      <c r="P144" s="124" t="n">
        <f aca="false">D144/P$3</f>
        <v>0</v>
      </c>
      <c r="Q144" s="124" t="n">
        <f aca="false">E144/P$3</f>
        <v>0</v>
      </c>
      <c r="R144" s="124" t="n">
        <f aca="false">F144/R$3</f>
        <v>0</v>
      </c>
      <c r="S144" s="126" t="n">
        <f aca="false">J144/$R$3</f>
        <v>0</v>
      </c>
      <c r="T144" s="126" t="n">
        <f aca="false">L144/$R$3</f>
        <v>0</v>
      </c>
      <c r="U144" s="126" t="n">
        <f aca="false">I144/$R$3</f>
        <v>0</v>
      </c>
      <c r="V144" s="126" t="n">
        <f aca="false">M144/$R$3</f>
        <v>0</v>
      </c>
      <c r="W144" s="126" t="n">
        <f aca="false">N144/$R$3</f>
        <v>0</v>
      </c>
    </row>
    <row r="145" customFormat="false" ht="12.75" hidden="true" customHeight="false" outlineLevel="0" collapsed="false">
      <c r="A145" s="120" t="n">
        <f aca="false">A144+1</f>
        <v>37031</v>
      </c>
      <c r="B145" s="131" t="str">
        <f aca="false">INDEX('Master Data'!$A$2:$B$8,MATCH(WEEKDAY(ELETROBOLT!A145,3),'Master Data'!$A$2:$A$8,0),2)</f>
        <v>Su</v>
      </c>
      <c r="D145" s="124" t="n">
        <v>0</v>
      </c>
      <c r="E145" s="124" t="n">
        <v>0</v>
      </c>
      <c r="F145" s="124" t="n">
        <v>0</v>
      </c>
      <c r="G145" s="124" t="n">
        <v>0</v>
      </c>
      <c r="I145" s="124" t="n">
        <f aca="false">IF(MONTH($A145)=MONTH($A144),IF(G145=0,I144,G145),G145)</f>
        <v>0</v>
      </c>
      <c r="J145" s="124" t="n">
        <f aca="false">IF(MONTH($A145)=MONTH($A144),SUM(I145-I144),I145)</f>
        <v>0</v>
      </c>
      <c r="K145" s="124" t="n">
        <f aca="false">IF(WEEKDAY(A145,3)&gt;4,0,(IF(A145&lt;K$2,0,IF(A145&lt;=K$3,1,0))))</f>
        <v>0</v>
      </c>
      <c r="L145" s="124" t="n">
        <f aca="false">J145*K145</f>
        <v>0</v>
      </c>
      <c r="M145" s="124" t="n">
        <f aca="false">SUM(J$97:J145)</f>
        <v>0</v>
      </c>
      <c r="N145" s="124" t="n">
        <f aca="false">SUM(J$6:J145)</f>
        <v>0</v>
      </c>
      <c r="P145" s="124" t="n">
        <f aca="false">D145/P$3</f>
        <v>0</v>
      </c>
      <c r="Q145" s="124" t="n">
        <f aca="false">E145/P$3</f>
        <v>0</v>
      </c>
      <c r="R145" s="124" t="n">
        <f aca="false">F145/R$3</f>
        <v>0</v>
      </c>
      <c r="S145" s="126" t="n">
        <f aca="false">J145/$R$3</f>
        <v>0</v>
      </c>
      <c r="T145" s="126" t="n">
        <f aca="false">L145/$R$3</f>
        <v>0</v>
      </c>
      <c r="U145" s="126" t="n">
        <f aca="false">I145/$R$3</f>
        <v>0</v>
      </c>
      <c r="V145" s="126" t="n">
        <f aca="false">M145/$R$3</f>
        <v>0</v>
      </c>
      <c r="W145" s="126" t="n">
        <f aca="false">N145/$R$3</f>
        <v>0</v>
      </c>
    </row>
    <row r="146" customFormat="false" ht="12.75" hidden="true" customHeight="false" outlineLevel="0" collapsed="false">
      <c r="A146" s="120" t="n">
        <f aca="false">A145+1</f>
        <v>37032</v>
      </c>
      <c r="B146" s="131" t="str">
        <f aca="false">INDEX('Master Data'!$A$2:$B$8,MATCH(WEEKDAY(ELETROBOLT!A146,3),'Master Data'!$A$2:$A$8,0),2)</f>
        <v>M</v>
      </c>
      <c r="D146" s="124" t="n">
        <v>0</v>
      </c>
      <c r="E146" s="124" t="n">
        <v>0</v>
      </c>
      <c r="F146" s="124" t="n">
        <v>0</v>
      </c>
      <c r="G146" s="124" t="n">
        <v>0</v>
      </c>
      <c r="I146" s="124" t="n">
        <f aca="false">IF(MONTH($A146)=MONTH($A145),IF(G146=0,I145,G146),G146)</f>
        <v>0</v>
      </c>
      <c r="J146" s="124" t="n">
        <f aca="false">IF(MONTH($A146)=MONTH($A145),SUM(I146-I145),I146)</f>
        <v>0</v>
      </c>
      <c r="K146" s="124" t="n">
        <f aca="false">IF(WEEKDAY(A146,3)&gt;4,0,(IF(A146&lt;K$2,0,IF(A146&lt;=K$3,1,0))))</f>
        <v>0</v>
      </c>
      <c r="L146" s="124" t="n">
        <f aca="false">J146*K146</f>
        <v>0</v>
      </c>
      <c r="M146" s="124" t="n">
        <f aca="false">SUM(J$97:J146)</f>
        <v>0</v>
      </c>
      <c r="N146" s="124" t="n">
        <f aca="false">SUM(J$6:J146)</f>
        <v>0</v>
      </c>
      <c r="P146" s="124" t="n">
        <f aca="false">D146/P$3</f>
        <v>0</v>
      </c>
      <c r="Q146" s="124" t="n">
        <f aca="false">E146/P$3</f>
        <v>0</v>
      </c>
      <c r="R146" s="124" t="n">
        <f aca="false">F146/R$3</f>
        <v>0</v>
      </c>
      <c r="S146" s="126" t="n">
        <f aca="false">J146/$R$3</f>
        <v>0</v>
      </c>
      <c r="T146" s="126" t="n">
        <f aca="false">L146/$R$3</f>
        <v>0</v>
      </c>
      <c r="U146" s="126" t="n">
        <f aca="false">I146/$R$3</f>
        <v>0</v>
      </c>
      <c r="V146" s="126" t="n">
        <f aca="false">M146/$R$3</f>
        <v>0</v>
      </c>
      <c r="W146" s="126" t="n">
        <f aca="false">N146/$R$3</f>
        <v>0</v>
      </c>
    </row>
    <row r="147" customFormat="false" ht="12.75" hidden="true" customHeight="false" outlineLevel="0" collapsed="false">
      <c r="A147" s="120" t="n">
        <f aca="false">A146+1</f>
        <v>37033</v>
      </c>
      <c r="B147" s="131" t="str">
        <f aca="false">INDEX('Master Data'!$A$2:$B$8,MATCH(WEEKDAY(ELETROBOLT!A147,3),'Master Data'!$A$2:$A$8,0),2)</f>
        <v>T</v>
      </c>
      <c r="D147" s="124" t="n">
        <v>0</v>
      </c>
      <c r="E147" s="124" t="n">
        <v>0</v>
      </c>
      <c r="F147" s="124" t="n">
        <v>0</v>
      </c>
      <c r="G147" s="124" t="n">
        <v>0</v>
      </c>
      <c r="I147" s="124" t="n">
        <f aca="false">IF(MONTH($A147)=MONTH($A146),IF(G147=0,I146,G147),G147)</f>
        <v>0</v>
      </c>
      <c r="J147" s="124" t="n">
        <f aca="false">IF(MONTH($A147)=MONTH($A146),SUM(I147-I146),I147)</f>
        <v>0</v>
      </c>
      <c r="K147" s="124" t="n">
        <f aca="false">IF(WEEKDAY(A147,3)&gt;4,0,(IF(A147&lt;K$2,0,IF(A147&lt;=K$3,1,0))))</f>
        <v>0</v>
      </c>
      <c r="L147" s="124" t="n">
        <f aca="false">J147*K147</f>
        <v>0</v>
      </c>
      <c r="M147" s="124" t="n">
        <f aca="false">SUM(J$97:J147)</f>
        <v>0</v>
      </c>
      <c r="N147" s="124" t="n">
        <f aca="false">SUM(J$6:J147)</f>
        <v>0</v>
      </c>
      <c r="P147" s="124" t="n">
        <f aca="false">D147/P$3</f>
        <v>0</v>
      </c>
      <c r="Q147" s="124" t="n">
        <f aca="false">E147/P$3</f>
        <v>0</v>
      </c>
      <c r="R147" s="124" t="n">
        <f aca="false">F147/R$3</f>
        <v>0</v>
      </c>
      <c r="S147" s="126" t="n">
        <f aca="false">J147/$R$3</f>
        <v>0</v>
      </c>
      <c r="T147" s="126" t="n">
        <f aca="false">L147/$R$3</f>
        <v>0</v>
      </c>
      <c r="U147" s="126" t="n">
        <f aca="false">I147/$R$3</f>
        <v>0</v>
      </c>
      <c r="V147" s="126" t="n">
        <f aca="false">M147/$R$3</f>
        <v>0</v>
      </c>
      <c r="W147" s="126" t="n">
        <f aca="false">N147/$R$3</f>
        <v>0</v>
      </c>
    </row>
    <row r="148" customFormat="false" ht="12.75" hidden="true" customHeight="false" outlineLevel="0" collapsed="false">
      <c r="A148" s="120" t="n">
        <f aca="false">A147+1</f>
        <v>37034</v>
      </c>
      <c r="B148" s="131" t="str">
        <f aca="false">INDEX('Master Data'!$A$2:$B$8,MATCH(WEEKDAY(ELETROBOLT!A148,3),'Master Data'!$A$2:$A$8,0),2)</f>
        <v>W</v>
      </c>
      <c r="D148" s="124" t="n">
        <v>0</v>
      </c>
      <c r="E148" s="124" t="n">
        <v>0</v>
      </c>
      <c r="F148" s="124" t="n">
        <v>0</v>
      </c>
      <c r="G148" s="124" t="n">
        <v>0</v>
      </c>
      <c r="I148" s="124" t="n">
        <f aca="false">IF(MONTH($A148)=MONTH($A147),IF(G148=0,I147,G148),G148)</f>
        <v>0</v>
      </c>
      <c r="J148" s="124" t="n">
        <f aca="false">IF(MONTH($A148)=MONTH($A147),SUM(I148-I147),I148)</f>
        <v>0</v>
      </c>
      <c r="K148" s="124" t="n">
        <f aca="false">IF(WEEKDAY(A148,3)&gt;4,0,(IF(A148&lt;K$2,0,IF(A148&lt;=K$3,1,0))))</f>
        <v>0</v>
      </c>
      <c r="L148" s="124" t="n">
        <f aca="false">J148*K148</f>
        <v>0</v>
      </c>
      <c r="M148" s="124" t="n">
        <f aca="false">SUM(J$97:J148)</f>
        <v>0</v>
      </c>
      <c r="N148" s="124" t="n">
        <f aca="false">SUM(J$6:J148)</f>
        <v>0</v>
      </c>
      <c r="P148" s="124" t="n">
        <f aca="false">D148/P$3</f>
        <v>0</v>
      </c>
      <c r="Q148" s="124" t="n">
        <f aca="false">E148/P$3</f>
        <v>0</v>
      </c>
      <c r="R148" s="124" t="n">
        <f aca="false">F148/R$3</f>
        <v>0</v>
      </c>
      <c r="S148" s="126" t="n">
        <f aca="false">J148/$R$3</f>
        <v>0</v>
      </c>
      <c r="T148" s="126" t="n">
        <f aca="false">L148/$R$3</f>
        <v>0</v>
      </c>
      <c r="U148" s="126" t="n">
        <f aca="false">I148/$R$3</f>
        <v>0</v>
      </c>
      <c r="V148" s="126" t="n">
        <f aca="false">M148/$R$3</f>
        <v>0</v>
      </c>
      <c r="W148" s="126" t="n">
        <f aca="false">N148/$R$3</f>
        <v>0</v>
      </c>
    </row>
    <row r="149" customFormat="false" ht="12.75" hidden="true" customHeight="false" outlineLevel="0" collapsed="false">
      <c r="A149" s="120" t="n">
        <f aca="false">A148+1</f>
        <v>37035</v>
      </c>
      <c r="B149" s="131" t="str">
        <f aca="false">INDEX('Master Data'!$A$2:$B$8,MATCH(WEEKDAY(ELETROBOLT!A149,3),'Master Data'!$A$2:$A$8,0),2)</f>
        <v>Th</v>
      </c>
      <c r="D149" s="124" t="n">
        <v>0</v>
      </c>
      <c r="E149" s="124" t="n">
        <v>0</v>
      </c>
      <c r="F149" s="124" t="n">
        <v>0</v>
      </c>
      <c r="G149" s="124" t="n">
        <v>0</v>
      </c>
      <c r="I149" s="124" t="n">
        <f aca="false">IF(MONTH($A149)=MONTH($A148),IF(G149=0,I148,G149),G149)</f>
        <v>0</v>
      </c>
      <c r="J149" s="124" t="n">
        <f aca="false">IF(MONTH($A149)=MONTH($A148),SUM(I149-I148),I149)</f>
        <v>0</v>
      </c>
      <c r="K149" s="124" t="n">
        <f aca="false">IF(WEEKDAY(A149,3)&gt;4,0,(IF(A149&lt;K$2,0,IF(A149&lt;=K$3,1,0))))</f>
        <v>0</v>
      </c>
      <c r="L149" s="124" t="n">
        <f aca="false">J149*K149</f>
        <v>0</v>
      </c>
      <c r="M149" s="124" t="n">
        <f aca="false">SUM(J$97:J149)</f>
        <v>0</v>
      </c>
      <c r="N149" s="124" t="n">
        <f aca="false">SUM(J$6:J149)</f>
        <v>0</v>
      </c>
      <c r="P149" s="124" t="n">
        <f aca="false">D149/P$3</f>
        <v>0</v>
      </c>
      <c r="Q149" s="124" t="n">
        <f aca="false">E149/P$3</f>
        <v>0</v>
      </c>
      <c r="R149" s="124" t="n">
        <f aca="false">F149/R$3</f>
        <v>0</v>
      </c>
      <c r="S149" s="126" t="n">
        <f aca="false">J149/$R$3</f>
        <v>0</v>
      </c>
      <c r="T149" s="126" t="n">
        <f aca="false">L149/$R$3</f>
        <v>0</v>
      </c>
      <c r="U149" s="126" t="n">
        <f aca="false">I149/$R$3</f>
        <v>0</v>
      </c>
      <c r="V149" s="126" t="n">
        <f aca="false">M149/$R$3</f>
        <v>0</v>
      </c>
      <c r="W149" s="126" t="n">
        <f aca="false">N149/$R$3</f>
        <v>0</v>
      </c>
    </row>
    <row r="150" customFormat="false" ht="12.75" hidden="true" customHeight="false" outlineLevel="0" collapsed="false">
      <c r="A150" s="120" t="n">
        <f aca="false">A149+1</f>
        <v>37036</v>
      </c>
      <c r="B150" s="131" t="str">
        <f aca="false">INDEX('Master Data'!$A$2:$B$8,MATCH(WEEKDAY(ELETROBOLT!A150,3),'Master Data'!$A$2:$A$8,0),2)</f>
        <v>F</v>
      </c>
      <c r="D150" s="124" t="n">
        <v>0</v>
      </c>
      <c r="E150" s="124" t="n">
        <v>0</v>
      </c>
      <c r="F150" s="124" t="n">
        <v>0</v>
      </c>
      <c r="G150" s="124" t="n">
        <v>0</v>
      </c>
      <c r="I150" s="124" t="n">
        <f aca="false">IF(MONTH($A150)=MONTH($A149),IF(G150=0,I149,G150),G150)</f>
        <v>0</v>
      </c>
      <c r="J150" s="124" t="n">
        <f aca="false">IF(MONTH($A150)=MONTH($A149),SUM(I150-I149),I150)</f>
        <v>0</v>
      </c>
      <c r="K150" s="124" t="n">
        <f aca="false">IF(WEEKDAY(A150,3)&gt;4,0,(IF(A150&lt;K$2,0,IF(A150&lt;=K$3,1,0))))</f>
        <v>0</v>
      </c>
      <c r="L150" s="124" t="n">
        <f aca="false">J150*K150</f>
        <v>0</v>
      </c>
      <c r="M150" s="124" t="n">
        <f aca="false">SUM(J$97:J150)</f>
        <v>0</v>
      </c>
      <c r="N150" s="124" t="n">
        <f aca="false">SUM(J$6:J150)</f>
        <v>0</v>
      </c>
      <c r="P150" s="124" t="n">
        <f aca="false">D150/P$3</f>
        <v>0</v>
      </c>
      <c r="Q150" s="124" t="n">
        <f aca="false">E150/P$3</f>
        <v>0</v>
      </c>
      <c r="R150" s="124" t="n">
        <f aca="false">F150/R$3</f>
        <v>0</v>
      </c>
      <c r="S150" s="126" t="n">
        <f aca="false">J150/$R$3</f>
        <v>0</v>
      </c>
      <c r="T150" s="126" t="n">
        <f aca="false">L150/$R$3</f>
        <v>0</v>
      </c>
      <c r="U150" s="126" t="n">
        <f aca="false">I150/$R$3</f>
        <v>0</v>
      </c>
      <c r="V150" s="126" t="n">
        <f aca="false">M150/$R$3</f>
        <v>0</v>
      </c>
      <c r="W150" s="126" t="n">
        <f aca="false">N150/$R$3</f>
        <v>0</v>
      </c>
    </row>
    <row r="151" customFormat="false" ht="12.75" hidden="true" customHeight="false" outlineLevel="0" collapsed="false">
      <c r="A151" s="120" t="n">
        <f aca="false">A150+1</f>
        <v>37037</v>
      </c>
      <c r="B151" s="131" t="str">
        <f aca="false">INDEX('Master Data'!$A$2:$B$8,MATCH(WEEKDAY(ELETROBOLT!A151,3),'Master Data'!$A$2:$A$8,0),2)</f>
        <v>Sa</v>
      </c>
      <c r="D151" s="124" t="n">
        <v>0</v>
      </c>
      <c r="E151" s="124" t="n">
        <v>0</v>
      </c>
      <c r="F151" s="124" t="n">
        <v>0</v>
      </c>
      <c r="G151" s="124" t="n">
        <v>0</v>
      </c>
      <c r="I151" s="124" t="n">
        <f aca="false">IF(MONTH($A151)=MONTH($A150),IF(G151=0,I150,G151),G151)</f>
        <v>0</v>
      </c>
      <c r="J151" s="124" t="n">
        <f aca="false">IF(MONTH($A151)=MONTH($A150),SUM(I151-I150),I151)</f>
        <v>0</v>
      </c>
      <c r="K151" s="124" t="n">
        <f aca="false">IF(WEEKDAY(A151,3)&gt;4,0,(IF(A151&lt;K$2,0,IF(A151&lt;=K$3,1,0))))</f>
        <v>0</v>
      </c>
      <c r="L151" s="124" t="n">
        <f aca="false">J151*K151</f>
        <v>0</v>
      </c>
      <c r="M151" s="124" t="n">
        <f aca="false">SUM(J$97:J151)</f>
        <v>0</v>
      </c>
      <c r="N151" s="124" t="n">
        <f aca="false">SUM(J$6:J151)</f>
        <v>0</v>
      </c>
      <c r="P151" s="124" t="n">
        <f aca="false">D151/P$3</f>
        <v>0</v>
      </c>
      <c r="Q151" s="124" t="n">
        <f aca="false">E151/P$3</f>
        <v>0</v>
      </c>
      <c r="R151" s="124" t="n">
        <f aca="false">F151/R$3</f>
        <v>0</v>
      </c>
      <c r="S151" s="126" t="n">
        <f aca="false">J151/$R$3</f>
        <v>0</v>
      </c>
      <c r="T151" s="126" t="n">
        <f aca="false">L151/$R$3</f>
        <v>0</v>
      </c>
      <c r="U151" s="126" t="n">
        <f aca="false">I151/$R$3</f>
        <v>0</v>
      </c>
      <c r="V151" s="126" t="n">
        <f aca="false">M151/$R$3</f>
        <v>0</v>
      </c>
      <c r="W151" s="126" t="n">
        <f aca="false">N151/$R$3</f>
        <v>0</v>
      </c>
    </row>
    <row r="152" customFormat="false" ht="12.75" hidden="true" customHeight="false" outlineLevel="0" collapsed="false">
      <c r="A152" s="120" t="n">
        <f aca="false">A151+1</f>
        <v>37038</v>
      </c>
      <c r="B152" s="131" t="str">
        <f aca="false">INDEX('Master Data'!$A$2:$B$8,MATCH(WEEKDAY(ELETROBOLT!A152,3),'Master Data'!$A$2:$A$8,0),2)</f>
        <v>Su</v>
      </c>
      <c r="D152" s="124" t="n">
        <v>0</v>
      </c>
      <c r="E152" s="124" t="n">
        <v>0</v>
      </c>
      <c r="F152" s="124" t="n">
        <v>0</v>
      </c>
      <c r="G152" s="124" t="n">
        <v>0</v>
      </c>
      <c r="I152" s="124" t="n">
        <f aca="false">IF(MONTH($A152)=MONTH($A151),IF(G152=0,I151,G152),G152)</f>
        <v>0</v>
      </c>
      <c r="J152" s="124" t="n">
        <f aca="false">IF(MONTH($A152)=MONTH($A151),SUM(I152-I151),I152)</f>
        <v>0</v>
      </c>
      <c r="K152" s="124" t="n">
        <f aca="false">IF(WEEKDAY(A152,3)&gt;4,0,(IF(A152&lt;K$2,0,IF(A152&lt;=K$3,1,0))))</f>
        <v>0</v>
      </c>
      <c r="L152" s="124" t="n">
        <f aca="false">J152*K152</f>
        <v>0</v>
      </c>
      <c r="M152" s="124" t="n">
        <f aca="false">SUM(J$97:J152)</f>
        <v>0</v>
      </c>
      <c r="N152" s="124" t="n">
        <f aca="false">SUM(J$6:J152)</f>
        <v>0</v>
      </c>
      <c r="P152" s="124" t="n">
        <f aca="false">D152/P$3</f>
        <v>0</v>
      </c>
      <c r="Q152" s="124" t="n">
        <f aca="false">E152/P$3</f>
        <v>0</v>
      </c>
      <c r="R152" s="124" t="n">
        <f aca="false">F152/R$3</f>
        <v>0</v>
      </c>
      <c r="S152" s="126" t="n">
        <f aca="false">J152/$R$3</f>
        <v>0</v>
      </c>
      <c r="T152" s="126" t="n">
        <f aca="false">L152/$R$3</f>
        <v>0</v>
      </c>
      <c r="U152" s="126" t="n">
        <f aca="false">I152/$R$3</f>
        <v>0</v>
      </c>
      <c r="V152" s="126" t="n">
        <f aca="false">M152/$R$3</f>
        <v>0</v>
      </c>
      <c r="W152" s="126" t="n">
        <f aca="false">N152/$R$3</f>
        <v>0</v>
      </c>
    </row>
    <row r="153" customFormat="false" ht="12.75" hidden="true" customHeight="false" outlineLevel="0" collapsed="false">
      <c r="A153" s="120" t="n">
        <f aca="false">A152+1</f>
        <v>37039</v>
      </c>
      <c r="B153" s="131" t="str">
        <f aca="false">INDEX('Master Data'!$A$2:$B$8,MATCH(WEEKDAY(ELETROBOLT!A153,3),'Master Data'!$A$2:$A$8,0),2)</f>
        <v>M</v>
      </c>
      <c r="D153" s="124" t="n">
        <v>0</v>
      </c>
      <c r="E153" s="124" t="n">
        <v>0</v>
      </c>
      <c r="F153" s="124" t="n">
        <v>0</v>
      </c>
      <c r="G153" s="124" t="n">
        <v>0</v>
      </c>
      <c r="I153" s="124" t="n">
        <f aca="false">IF(MONTH($A153)=MONTH($A152),IF(G153=0,I152,G153),G153)</f>
        <v>0</v>
      </c>
      <c r="J153" s="124" t="n">
        <f aca="false">IF(MONTH($A153)=MONTH($A152),SUM(I153-I152),I153)</f>
        <v>0</v>
      </c>
      <c r="K153" s="124" t="n">
        <f aca="false">IF(WEEKDAY(A153,3)&gt;4,0,(IF(A153&lt;K$2,0,IF(A153&lt;=K$3,1,0))))</f>
        <v>0</v>
      </c>
      <c r="L153" s="124" t="n">
        <f aca="false">J153*K153</f>
        <v>0</v>
      </c>
      <c r="M153" s="124" t="n">
        <f aca="false">SUM(J$97:J153)</f>
        <v>0</v>
      </c>
      <c r="N153" s="124" t="n">
        <f aca="false">SUM(J$6:J153)</f>
        <v>0</v>
      </c>
      <c r="P153" s="124" t="n">
        <f aca="false">D153/P$3</f>
        <v>0</v>
      </c>
      <c r="Q153" s="124" t="n">
        <f aca="false">E153/P$3</f>
        <v>0</v>
      </c>
      <c r="R153" s="124" t="n">
        <f aca="false">F153/R$3</f>
        <v>0</v>
      </c>
      <c r="S153" s="126" t="n">
        <f aca="false">J153/$R$3</f>
        <v>0</v>
      </c>
      <c r="T153" s="126" t="n">
        <f aca="false">L153/$R$3</f>
        <v>0</v>
      </c>
      <c r="U153" s="126" t="n">
        <f aca="false">I153/$R$3</f>
        <v>0</v>
      </c>
      <c r="V153" s="126" t="n">
        <f aca="false">M153/$R$3</f>
        <v>0</v>
      </c>
      <c r="W153" s="126" t="n">
        <f aca="false">N153/$R$3</f>
        <v>0</v>
      </c>
    </row>
    <row r="154" customFormat="false" ht="12.75" hidden="true" customHeight="false" outlineLevel="0" collapsed="false">
      <c r="A154" s="120" t="n">
        <f aca="false">A153+1</f>
        <v>37040</v>
      </c>
      <c r="B154" s="131" t="str">
        <f aca="false">INDEX('Master Data'!$A$2:$B$8,MATCH(WEEKDAY(ELETROBOLT!A154,3),'Master Data'!$A$2:$A$8,0),2)</f>
        <v>T</v>
      </c>
      <c r="D154" s="124" t="n">
        <v>0</v>
      </c>
      <c r="E154" s="124" t="n">
        <v>0</v>
      </c>
      <c r="F154" s="124" t="n">
        <v>0</v>
      </c>
      <c r="G154" s="124" t="n">
        <v>0</v>
      </c>
      <c r="I154" s="124" t="n">
        <f aca="false">IF(MONTH($A154)=MONTH($A153),IF(G154=0,I153,G154),G154)</f>
        <v>0</v>
      </c>
      <c r="J154" s="124" t="n">
        <f aca="false">IF(MONTH($A154)=MONTH($A153),SUM(I154-I153),I154)</f>
        <v>0</v>
      </c>
      <c r="K154" s="124" t="n">
        <f aca="false">IF(WEEKDAY(A154,3)&gt;4,0,(IF(A154&lt;K$2,0,IF(A154&lt;=K$3,1,0))))</f>
        <v>0</v>
      </c>
      <c r="L154" s="124" t="n">
        <f aca="false">J154*K154</f>
        <v>0</v>
      </c>
      <c r="M154" s="124" t="n">
        <f aca="false">SUM(J$97:J154)</f>
        <v>0</v>
      </c>
      <c r="N154" s="124" t="n">
        <f aca="false">SUM(J$6:J154)</f>
        <v>0</v>
      </c>
      <c r="P154" s="124" t="n">
        <f aca="false">D154/P$3</f>
        <v>0</v>
      </c>
      <c r="Q154" s="124" t="n">
        <f aca="false">E154/P$3</f>
        <v>0</v>
      </c>
      <c r="R154" s="124" t="n">
        <f aca="false">F154/R$3</f>
        <v>0</v>
      </c>
      <c r="S154" s="126" t="n">
        <f aca="false">J154/$R$3</f>
        <v>0</v>
      </c>
      <c r="T154" s="126" t="n">
        <f aca="false">L154/$R$3</f>
        <v>0</v>
      </c>
      <c r="U154" s="126" t="n">
        <f aca="false">I154/$R$3</f>
        <v>0</v>
      </c>
      <c r="V154" s="126" t="n">
        <f aca="false">M154/$R$3</f>
        <v>0</v>
      </c>
      <c r="W154" s="126" t="n">
        <f aca="false">N154/$R$3</f>
        <v>0</v>
      </c>
    </row>
    <row r="155" customFormat="false" ht="12.75" hidden="true" customHeight="false" outlineLevel="0" collapsed="false">
      <c r="A155" s="120" t="n">
        <f aca="false">A154+1</f>
        <v>37041</v>
      </c>
      <c r="B155" s="131" t="str">
        <f aca="false">INDEX('Master Data'!$A$2:$B$8,MATCH(WEEKDAY(ELETROBOLT!A155,3),'Master Data'!$A$2:$A$8,0),2)</f>
        <v>W</v>
      </c>
      <c r="D155" s="124" t="n">
        <v>0</v>
      </c>
      <c r="E155" s="124" t="n">
        <v>0</v>
      </c>
      <c r="F155" s="124" t="n">
        <v>0</v>
      </c>
      <c r="G155" s="124" t="n">
        <v>0</v>
      </c>
      <c r="I155" s="124" t="n">
        <f aca="false">IF(MONTH($A155)=MONTH($A154),IF(G155=0,I154,G155),G155)</f>
        <v>0</v>
      </c>
      <c r="J155" s="124" t="n">
        <f aca="false">IF(MONTH($A155)=MONTH($A154),SUM(I155-I154),I155)</f>
        <v>0</v>
      </c>
      <c r="K155" s="124" t="n">
        <f aca="false">IF(WEEKDAY(A155,3)&gt;4,0,(IF(A155&lt;K$2,0,IF(A155&lt;=K$3,1,0))))</f>
        <v>0</v>
      </c>
      <c r="L155" s="124" t="n">
        <f aca="false">J155*K155</f>
        <v>0</v>
      </c>
      <c r="M155" s="124" t="n">
        <f aca="false">SUM(J$97:J155)</f>
        <v>0</v>
      </c>
      <c r="N155" s="124" t="n">
        <f aca="false">SUM(J$6:J155)</f>
        <v>0</v>
      </c>
      <c r="P155" s="124" t="n">
        <f aca="false">D155/P$3</f>
        <v>0</v>
      </c>
      <c r="Q155" s="124" t="n">
        <f aca="false">E155/P$3</f>
        <v>0</v>
      </c>
      <c r="R155" s="124" t="n">
        <f aca="false">F155/R$3</f>
        <v>0</v>
      </c>
      <c r="S155" s="126" t="n">
        <f aca="false">J155/$R$3</f>
        <v>0</v>
      </c>
      <c r="T155" s="126" t="n">
        <f aca="false">L155/$R$3</f>
        <v>0</v>
      </c>
      <c r="U155" s="126" t="n">
        <f aca="false">I155/$R$3</f>
        <v>0</v>
      </c>
      <c r="V155" s="126" t="n">
        <f aca="false">M155/$R$3</f>
        <v>0</v>
      </c>
      <c r="W155" s="126" t="n">
        <f aca="false">N155/$R$3</f>
        <v>0</v>
      </c>
    </row>
    <row r="156" customFormat="false" ht="12.75" hidden="true" customHeight="false" outlineLevel="0" collapsed="false">
      <c r="A156" s="120" t="n">
        <f aca="false">A155+1</f>
        <v>37042</v>
      </c>
      <c r="B156" s="131" t="str">
        <f aca="false">INDEX('Master Data'!$A$2:$B$8,MATCH(WEEKDAY(ELETROBOLT!A156,3),'Master Data'!$A$2:$A$8,0),2)</f>
        <v>Th</v>
      </c>
      <c r="D156" s="124" t="n">
        <v>0</v>
      </c>
      <c r="E156" s="124" t="n">
        <v>0</v>
      </c>
      <c r="F156" s="124" t="n">
        <v>0</v>
      </c>
      <c r="G156" s="124" t="n">
        <v>0</v>
      </c>
      <c r="I156" s="124" t="n">
        <f aca="false">IF(MONTH($A156)=MONTH($A155),IF(G156=0,I155,G156),G156)</f>
        <v>0</v>
      </c>
      <c r="J156" s="124" t="n">
        <f aca="false">IF(MONTH($A156)=MONTH($A155),SUM(I156-I155),I156)</f>
        <v>0</v>
      </c>
      <c r="K156" s="124" t="n">
        <f aca="false">IF(WEEKDAY(A156,3)&gt;4,0,(IF(A156&lt;K$2,0,IF(A156&lt;=K$3,1,0))))</f>
        <v>0</v>
      </c>
      <c r="L156" s="124" t="n">
        <f aca="false">J156*K156</f>
        <v>0</v>
      </c>
      <c r="M156" s="124" t="n">
        <f aca="false">SUM(J$97:J156)</f>
        <v>0</v>
      </c>
      <c r="N156" s="124" t="n">
        <f aca="false">SUM(J$6:J156)</f>
        <v>0</v>
      </c>
      <c r="P156" s="124" t="n">
        <f aca="false">D156/P$3</f>
        <v>0</v>
      </c>
      <c r="Q156" s="124" t="n">
        <f aca="false">E156/P$3</f>
        <v>0</v>
      </c>
      <c r="R156" s="124" t="n">
        <f aca="false">F156/R$3</f>
        <v>0</v>
      </c>
      <c r="S156" s="126" t="n">
        <f aca="false">J156/$R$3</f>
        <v>0</v>
      </c>
      <c r="T156" s="126" t="n">
        <f aca="false">L156/$R$3</f>
        <v>0</v>
      </c>
      <c r="U156" s="126" t="n">
        <f aca="false">I156/$R$3</f>
        <v>0</v>
      </c>
      <c r="V156" s="126" t="n">
        <f aca="false">M156/$R$3</f>
        <v>0</v>
      </c>
      <c r="W156" s="126" t="n">
        <f aca="false">N156/$R$3</f>
        <v>0</v>
      </c>
    </row>
    <row r="157" customFormat="false" ht="12.75" hidden="true" customHeight="false" outlineLevel="0" collapsed="false">
      <c r="A157" s="120" t="n">
        <f aca="false">A156+1</f>
        <v>37043</v>
      </c>
      <c r="B157" s="131" t="str">
        <f aca="false">INDEX('Master Data'!$A$2:$B$8,MATCH(WEEKDAY(ELETROBOLT!A157,3),'Master Data'!$A$2:$A$8,0),2)</f>
        <v>F</v>
      </c>
      <c r="D157" s="124" t="n">
        <v>0</v>
      </c>
      <c r="E157" s="124" t="n">
        <v>0</v>
      </c>
      <c r="F157" s="124" t="n">
        <v>0</v>
      </c>
      <c r="G157" s="124" t="n">
        <v>0</v>
      </c>
      <c r="I157" s="124" t="n">
        <f aca="false">IF(MONTH($A157)=MONTH($A156),IF(G157=0,I156,G157),G157)</f>
        <v>0</v>
      </c>
      <c r="J157" s="124" t="n">
        <f aca="false">IF(MONTH($A157)=MONTH($A156),SUM(I157-I156),I157)</f>
        <v>0</v>
      </c>
      <c r="K157" s="124" t="n">
        <f aca="false">IF(WEEKDAY(A157,3)&gt;4,0,(IF(A157&lt;K$2,0,IF(A157&lt;=K$3,1,0))))</f>
        <v>0</v>
      </c>
      <c r="L157" s="124" t="n">
        <f aca="false">J157*K157</f>
        <v>0</v>
      </c>
      <c r="M157" s="124" t="n">
        <f aca="false">SUM(J$97:J157)</f>
        <v>0</v>
      </c>
      <c r="N157" s="124" t="n">
        <f aca="false">SUM(J$6:J157)</f>
        <v>0</v>
      </c>
      <c r="P157" s="124" t="n">
        <f aca="false">D157/P$3</f>
        <v>0</v>
      </c>
      <c r="Q157" s="124" t="n">
        <f aca="false">E157/P$3</f>
        <v>0</v>
      </c>
      <c r="R157" s="124" t="n">
        <f aca="false">F157/R$3</f>
        <v>0</v>
      </c>
      <c r="S157" s="126" t="n">
        <f aca="false">J157/$R$3</f>
        <v>0</v>
      </c>
      <c r="T157" s="126" t="n">
        <f aca="false">L157/$R$3</f>
        <v>0</v>
      </c>
      <c r="U157" s="126" t="n">
        <f aca="false">I157/$R$3</f>
        <v>0</v>
      </c>
      <c r="V157" s="126" t="n">
        <f aca="false">M157/$R$3</f>
        <v>0</v>
      </c>
      <c r="W157" s="126" t="n">
        <f aca="false">N157/$R$3</f>
        <v>0</v>
      </c>
    </row>
    <row r="158" customFormat="false" ht="12.75" hidden="true" customHeight="false" outlineLevel="0" collapsed="false">
      <c r="A158" s="120" t="n">
        <f aca="false">A157+1</f>
        <v>37044</v>
      </c>
      <c r="B158" s="131" t="str">
        <f aca="false">INDEX('Master Data'!$A$2:$B$8,MATCH(WEEKDAY(ELETROBOLT!A158,3),'Master Data'!$A$2:$A$8,0),2)</f>
        <v>Sa</v>
      </c>
      <c r="D158" s="124" t="n">
        <v>0</v>
      </c>
      <c r="E158" s="124" t="n">
        <v>0</v>
      </c>
      <c r="F158" s="124" t="n">
        <v>0</v>
      </c>
      <c r="G158" s="124" t="n">
        <v>0</v>
      </c>
      <c r="I158" s="124" t="n">
        <f aca="false">IF(MONTH($A158)=MONTH($A157),IF(G158=0,I157,G158),G158)</f>
        <v>0</v>
      </c>
      <c r="J158" s="124" t="n">
        <f aca="false">IF(MONTH($A158)=MONTH($A157),SUM(I158-I157),I158)</f>
        <v>0</v>
      </c>
      <c r="K158" s="124" t="n">
        <f aca="false">IF(WEEKDAY(A158,3)&gt;4,0,(IF(A158&lt;K$2,0,IF(A158&lt;=K$3,1,0))))</f>
        <v>0</v>
      </c>
      <c r="L158" s="124" t="n">
        <f aca="false">J158*K158</f>
        <v>0</v>
      </c>
      <c r="M158" s="124" t="n">
        <f aca="false">SUM(J$97:J158)</f>
        <v>0</v>
      </c>
      <c r="N158" s="124" t="n">
        <f aca="false">SUM(J$6:J158)</f>
        <v>0</v>
      </c>
      <c r="P158" s="124" t="n">
        <f aca="false">D158/P$3</f>
        <v>0</v>
      </c>
      <c r="Q158" s="124" t="n">
        <f aca="false">E158/P$3</f>
        <v>0</v>
      </c>
      <c r="R158" s="124" t="n">
        <f aca="false">F158/R$3</f>
        <v>0</v>
      </c>
      <c r="S158" s="126" t="n">
        <f aca="false">J158/$R$3</f>
        <v>0</v>
      </c>
      <c r="T158" s="126" t="n">
        <f aca="false">L158/$R$3</f>
        <v>0</v>
      </c>
      <c r="U158" s="126" t="n">
        <f aca="false">I158/$R$3</f>
        <v>0</v>
      </c>
      <c r="V158" s="126" t="n">
        <f aca="false">M158/$R$3</f>
        <v>0</v>
      </c>
      <c r="W158" s="126" t="n">
        <f aca="false">N158/$R$3</f>
        <v>0</v>
      </c>
    </row>
    <row r="159" customFormat="false" ht="12.75" hidden="true" customHeight="false" outlineLevel="0" collapsed="false">
      <c r="A159" s="120" t="n">
        <f aca="false">A158+1</f>
        <v>37045</v>
      </c>
      <c r="B159" s="131" t="str">
        <f aca="false">INDEX('Master Data'!$A$2:$B$8,MATCH(WEEKDAY(ELETROBOLT!A159,3),'Master Data'!$A$2:$A$8,0),2)</f>
        <v>Su</v>
      </c>
      <c r="D159" s="124" t="n">
        <v>0</v>
      </c>
      <c r="E159" s="124" t="n">
        <v>0</v>
      </c>
      <c r="F159" s="124" t="n">
        <v>0</v>
      </c>
      <c r="G159" s="124" t="n">
        <v>0</v>
      </c>
      <c r="I159" s="124" t="n">
        <f aca="false">IF(MONTH($A159)=MONTH($A158),IF(G159=0,I158,G159),G159)</f>
        <v>0</v>
      </c>
      <c r="J159" s="124" t="n">
        <f aca="false">IF(MONTH($A159)=MONTH($A158),SUM(I159-I158),I159)</f>
        <v>0</v>
      </c>
      <c r="K159" s="124" t="n">
        <f aca="false">IF(WEEKDAY(A159,3)&gt;4,0,(IF(A159&lt;K$2,0,IF(A159&lt;=K$3,1,0))))</f>
        <v>0</v>
      </c>
      <c r="L159" s="124" t="n">
        <f aca="false">J159*K159</f>
        <v>0</v>
      </c>
      <c r="M159" s="124" t="n">
        <f aca="false">SUM(J$97:J159)</f>
        <v>0</v>
      </c>
      <c r="N159" s="124" t="n">
        <f aca="false">SUM(J$6:J159)</f>
        <v>0</v>
      </c>
      <c r="P159" s="124" t="n">
        <f aca="false">D159/P$3</f>
        <v>0</v>
      </c>
      <c r="Q159" s="124" t="n">
        <f aca="false">E159/P$3</f>
        <v>0</v>
      </c>
      <c r="R159" s="124" t="n">
        <f aca="false">F159/R$3</f>
        <v>0</v>
      </c>
      <c r="S159" s="126" t="n">
        <f aca="false">J159/$R$3</f>
        <v>0</v>
      </c>
      <c r="T159" s="126" t="n">
        <f aca="false">L159/$R$3</f>
        <v>0</v>
      </c>
      <c r="U159" s="126" t="n">
        <f aca="false">I159/$R$3</f>
        <v>0</v>
      </c>
      <c r="V159" s="126" t="n">
        <f aca="false">M159/$R$3</f>
        <v>0</v>
      </c>
      <c r="W159" s="126" t="n">
        <f aca="false">N159/$R$3</f>
        <v>0</v>
      </c>
    </row>
    <row r="160" customFormat="false" ht="12.75" hidden="true" customHeight="false" outlineLevel="0" collapsed="false">
      <c r="A160" s="120" t="n">
        <f aca="false">A159+1</f>
        <v>37046</v>
      </c>
      <c r="B160" s="131" t="str">
        <f aca="false">INDEX('Master Data'!$A$2:$B$8,MATCH(WEEKDAY(ELETROBOLT!A160,3),'Master Data'!$A$2:$A$8,0),2)</f>
        <v>M</v>
      </c>
      <c r="D160" s="124" t="n">
        <v>0</v>
      </c>
      <c r="E160" s="124" t="n">
        <v>0</v>
      </c>
      <c r="F160" s="124" t="n">
        <v>0</v>
      </c>
      <c r="G160" s="124" t="n">
        <v>0</v>
      </c>
      <c r="I160" s="124" t="n">
        <f aca="false">IF(MONTH($A160)=MONTH($A159),IF(G160=0,I159,G160),G160)</f>
        <v>0</v>
      </c>
      <c r="J160" s="124" t="n">
        <f aca="false">IF(MONTH($A160)=MONTH($A159),SUM(I160-I159),I160)</f>
        <v>0</v>
      </c>
      <c r="K160" s="124" t="n">
        <f aca="false">IF(WEEKDAY(A160,3)&gt;4,0,(IF(A160&lt;K$2,0,IF(A160&lt;=K$3,1,0))))</f>
        <v>0</v>
      </c>
      <c r="L160" s="124" t="n">
        <f aca="false">J160*K160</f>
        <v>0</v>
      </c>
      <c r="M160" s="124" t="n">
        <f aca="false">SUM(J$97:J160)</f>
        <v>0</v>
      </c>
      <c r="N160" s="124" t="n">
        <f aca="false">SUM(J$6:J160)</f>
        <v>0</v>
      </c>
      <c r="P160" s="124" t="n">
        <f aca="false">D160/P$3</f>
        <v>0</v>
      </c>
      <c r="Q160" s="124" t="n">
        <f aca="false">E160/P$3</f>
        <v>0</v>
      </c>
      <c r="R160" s="124" t="n">
        <f aca="false">F160/R$3</f>
        <v>0</v>
      </c>
      <c r="S160" s="126" t="n">
        <f aca="false">J160/$R$3</f>
        <v>0</v>
      </c>
      <c r="T160" s="126" t="n">
        <f aca="false">L160/$R$3</f>
        <v>0</v>
      </c>
      <c r="U160" s="126" t="n">
        <f aca="false">I160/$R$3</f>
        <v>0</v>
      </c>
      <c r="V160" s="126" t="n">
        <f aca="false">M160/$R$3</f>
        <v>0</v>
      </c>
      <c r="W160" s="126" t="n">
        <f aca="false">N160/$R$3</f>
        <v>0</v>
      </c>
    </row>
    <row r="161" customFormat="false" ht="12.75" hidden="true" customHeight="false" outlineLevel="0" collapsed="false">
      <c r="A161" s="120" t="n">
        <f aca="false">A160+1</f>
        <v>37047</v>
      </c>
      <c r="B161" s="131" t="str">
        <f aca="false">INDEX('Master Data'!$A$2:$B$8,MATCH(WEEKDAY(ELETROBOLT!A161,3),'Master Data'!$A$2:$A$8,0),2)</f>
        <v>T</v>
      </c>
      <c r="D161" s="124" t="n">
        <v>0</v>
      </c>
      <c r="E161" s="124" t="n">
        <v>0</v>
      </c>
      <c r="F161" s="124" t="n">
        <v>0</v>
      </c>
      <c r="G161" s="124" t="n">
        <v>0</v>
      </c>
      <c r="I161" s="124" t="n">
        <f aca="false">IF(MONTH($A161)=MONTH($A160),IF(G161=0,I160,G161),G161)</f>
        <v>0</v>
      </c>
      <c r="J161" s="124" t="n">
        <f aca="false">IF(MONTH($A161)=MONTH($A160),SUM(I161-I160),I161)</f>
        <v>0</v>
      </c>
      <c r="K161" s="124" t="n">
        <f aca="false">IF(WEEKDAY(A161,3)&gt;4,0,(IF(A161&lt;K$2,0,IF(A161&lt;=K$3,1,0))))</f>
        <v>0</v>
      </c>
      <c r="L161" s="124" t="n">
        <f aca="false">J161*K161</f>
        <v>0</v>
      </c>
      <c r="M161" s="124" t="n">
        <f aca="false">SUM(J$97:J161)</f>
        <v>0</v>
      </c>
      <c r="N161" s="124" t="n">
        <f aca="false">SUM(J$6:J161)</f>
        <v>0</v>
      </c>
      <c r="P161" s="124" t="n">
        <f aca="false">D161/P$3</f>
        <v>0</v>
      </c>
      <c r="Q161" s="124" t="n">
        <f aca="false">E161/P$3</f>
        <v>0</v>
      </c>
      <c r="R161" s="124" t="n">
        <f aca="false">F161/R$3</f>
        <v>0</v>
      </c>
      <c r="S161" s="126" t="n">
        <f aca="false">J161/$R$3</f>
        <v>0</v>
      </c>
      <c r="T161" s="126" t="n">
        <f aca="false">L161/$R$3</f>
        <v>0</v>
      </c>
      <c r="U161" s="126" t="n">
        <f aca="false">I161/$R$3</f>
        <v>0</v>
      </c>
      <c r="V161" s="126" t="n">
        <f aca="false">M161/$R$3</f>
        <v>0</v>
      </c>
      <c r="W161" s="126" t="n">
        <f aca="false">N161/$R$3</f>
        <v>0</v>
      </c>
    </row>
    <row r="162" customFormat="false" ht="12.75" hidden="true" customHeight="false" outlineLevel="0" collapsed="false">
      <c r="A162" s="120" t="n">
        <f aca="false">A161+1</f>
        <v>37048</v>
      </c>
      <c r="B162" s="131" t="str">
        <f aca="false">INDEX('Master Data'!$A$2:$B$8,MATCH(WEEKDAY(ELETROBOLT!A162,3),'Master Data'!$A$2:$A$8,0),2)</f>
        <v>W</v>
      </c>
      <c r="D162" s="124" t="n">
        <v>0</v>
      </c>
      <c r="E162" s="124" t="n">
        <v>0</v>
      </c>
      <c r="F162" s="124" t="n">
        <v>0</v>
      </c>
      <c r="G162" s="124" t="n">
        <v>0</v>
      </c>
      <c r="I162" s="124" t="n">
        <f aca="false">IF(MONTH($A162)=MONTH($A161),IF(G162=0,I161,G162),G162)</f>
        <v>0</v>
      </c>
      <c r="J162" s="124" t="n">
        <f aca="false">IF(MONTH($A162)=MONTH($A161),SUM(I162-I161),I162)</f>
        <v>0</v>
      </c>
      <c r="K162" s="124" t="n">
        <f aca="false">IF(WEEKDAY(A162,3)&gt;4,0,(IF(A162&lt;K$2,0,IF(A162&lt;=K$3,1,0))))</f>
        <v>0</v>
      </c>
      <c r="L162" s="124" t="n">
        <f aca="false">J162*K162</f>
        <v>0</v>
      </c>
      <c r="M162" s="124" t="n">
        <f aca="false">SUM(J$97:J162)</f>
        <v>0</v>
      </c>
      <c r="N162" s="124" t="n">
        <f aca="false">SUM(J$6:J162)</f>
        <v>0</v>
      </c>
      <c r="P162" s="124" t="n">
        <f aca="false">D162/P$3</f>
        <v>0</v>
      </c>
      <c r="Q162" s="124" t="n">
        <f aca="false">E162/P$3</f>
        <v>0</v>
      </c>
      <c r="R162" s="124" t="n">
        <f aca="false">F162/R$3</f>
        <v>0</v>
      </c>
      <c r="S162" s="126" t="n">
        <f aca="false">J162/$R$3</f>
        <v>0</v>
      </c>
      <c r="T162" s="126" t="n">
        <f aca="false">L162/$R$3</f>
        <v>0</v>
      </c>
      <c r="U162" s="126" t="n">
        <f aca="false">I162/$R$3</f>
        <v>0</v>
      </c>
      <c r="V162" s="126" t="n">
        <f aca="false">M162/$R$3</f>
        <v>0</v>
      </c>
      <c r="W162" s="126" t="n">
        <f aca="false">N162/$R$3</f>
        <v>0</v>
      </c>
    </row>
    <row r="163" customFormat="false" ht="12.75" hidden="true" customHeight="false" outlineLevel="0" collapsed="false">
      <c r="A163" s="120" t="n">
        <f aca="false">A162+1</f>
        <v>37049</v>
      </c>
      <c r="B163" s="131" t="str">
        <f aca="false">INDEX('Master Data'!$A$2:$B$8,MATCH(WEEKDAY(ELETROBOLT!A163,3),'Master Data'!$A$2:$A$8,0),2)</f>
        <v>Th</v>
      </c>
      <c r="D163" s="124" t="n">
        <v>0</v>
      </c>
      <c r="E163" s="124" t="n">
        <v>0</v>
      </c>
      <c r="F163" s="124" t="n">
        <v>0</v>
      </c>
      <c r="G163" s="124" t="n">
        <v>0</v>
      </c>
      <c r="I163" s="124" t="n">
        <f aca="false">IF(MONTH($A163)=MONTH($A162),IF(G163=0,I162,G163),G163)</f>
        <v>0</v>
      </c>
      <c r="J163" s="124" t="n">
        <f aca="false">IF(MONTH($A163)=MONTH($A162),SUM(I163-I162),I163)</f>
        <v>0</v>
      </c>
      <c r="K163" s="124" t="n">
        <f aca="false">IF(WEEKDAY(A163,3)&gt;4,0,(IF(A163&lt;K$2,0,IF(A163&lt;=K$3,1,0))))</f>
        <v>0</v>
      </c>
      <c r="L163" s="124" t="n">
        <f aca="false">J163*K163</f>
        <v>0</v>
      </c>
      <c r="M163" s="124" t="n">
        <f aca="false">SUM(J$97:J163)</f>
        <v>0</v>
      </c>
      <c r="N163" s="124" t="n">
        <f aca="false">SUM(J$6:J163)</f>
        <v>0</v>
      </c>
      <c r="P163" s="124" t="n">
        <f aca="false">D163/P$3</f>
        <v>0</v>
      </c>
      <c r="Q163" s="124" t="n">
        <f aca="false">E163/P$3</f>
        <v>0</v>
      </c>
      <c r="R163" s="124" t="n">
        <f aca="false">F163/R$3</f>
        <v>0</v>
      </c>
      <c r="S163" s="126" t="n">
        <f aca="false">J163/$R$3</f>
        <v>0</v>
      </c>
      <c r="T163" s="126" t="n">
        <f aca="false">L163/$R$3</f>
        <v>0</v>
      </c>
      <c r="U163" s="126" t="n">
        <f aca="false">I163/$R$3</f>
        <v>0</v>
      </c>
      <c r="V163" s="126" t="n">
        <f aca="false">M163/$R$3</f>
        <v>0</v>
      </c>
      <c r="W163" s="126" t="n">
        <f aca="false">N163/$R$3</f>
        <v>0</v>
      </c>
    </row>
    <row r="164" customFormat="false" ht="12.75" hidden="true" customHeight="false" outlineLevel="0" collapsed="false">
      <c r="A164" s="120" t="n">
        <f aca="false">A163+1</f>
        <v>37050</v>
      </c>
      <c r="B164" s="131" t="str">
        <f aca="false">INDEX('Master Data'!$A$2:$B$8,MATCH(WEEKDAY(ELETROBOLT!A164,3),'Master Data'!$A$2:$A$8,0),2)</f>
        <v>F</v>
      </c>
      <c r="D164" s="124" t="n">
        <v>0</v>
      </c>
      <c r="E164" s="124" t="n">
        <v>0</v>
      </c>
      <c r="F164" s="124" t="n">
        <v>0</v>
      </c>
      <c r="G164" s="124" t="n">
        <v>0</v>
      </c>
      <c r="I164" s="124" t="n">
        <f aca="false">IF(MONTH($A164)=MONTH($A163),IF(G164=0,I163,G164),G164)</f>
        <v>0</v>
      </c>
      <c r="J164" s="124" t="n">
        <f aca="false">IF(MONTH($A164)=MONTH($A163),SUM(I164-I163),I164)</f>
        <v>0</v>
      </c>
      <c r="K164" s="124" t="n">
        <f aca="false">IF(WEEKDAY(A164,3)&gt;4,0,(IF(A164&lt;K$2,0,IF(A164&lt;=K$3,1,0))))</f>
        <v>0</v>
      </c>
      <c r="L164" s="124" t="n">
        <f aca="false">J164*K164</f>
        <v>0</v>
      </c>
      <c r="M164" s="124" t="n">
        <f aca="false">SUM(J$97:J164)</f>
        <v>0</v>
      </c>
      <c r="N164" s="124" t="n">
        <f aca="false">SUM(J$6:J164)</f>
        <v>0</v>
      </c>
      <c r="P164" s="124" t="n">
        <f aca="false">D164/P$3</f>
        <v>0</v>
      </c>
      <c r="Q164" s="124" t="n">
        <f aca="false">E164/P$3</f>
        <v>0</v>
      </c>
      <c r="R164" s="124" t="n">
        <f aca="false">F164/R$3</f>
        <v>0</v>
      </c>
      <c r="S164" s="126" t="n">
        <f aca="false">J164/$R$3</f>
        <v>0</v>
      </c>
      <c r="T164" s="126" t="n">
        <f aca="false">L164/$R$3</f>
        <v>0</v>
      </c>
      <c r="U164" s="126" t="n">
        <f aca="false">I164/$R$3</f>
        <v>0</v>
      </c>
      <c r="V164" s="126" t="n">
        <f aca="false">M164/$R$3</f>
        <v>0</v>
      </c>
      <c r="W164" s="126" t="n">
        <f aca="false">N164/$R$3</f>
        <v>0</v>
      </c>
    </row>
    <row r="165" customFormat="false" ht="12.75" hidden="true" customHeight="false" outlineLevel="0" collapsed="false">
      <c r="A165" s="120" t="n">
        <f aca="false">A164+1</f>
        <v>37051</v>
      </c>
      <c r="B165" s="131" t="str">
        <f aca="false">INDEX('Master Data'!$A$2:$B$8,MATCH(WEEKDAY(ELETROBOLT!A165,3),'Master Data'!$A$2:$A$8,0),2)</f>
        <v>Sa</v>
      </c>
      <c r="D165" s="124" t="n">
        <v>0</v>
      </c>
      <c r="E165" s="124" t="n">
        <v>0</v>
      </c>
      <c r="F165" s="124" t="n">
        <v>0</v>
      </c>
      <c r="G165" s="124" t="n">
        <v>0</v>
      </c>
      <c r="I165" s="124" t="n">
        <f aca="false">IF(MONTH($A165)=MONTH($A164),IF(G165=0,I164,G165),G165)</f>
        <v>0</v>
      </c>
      <c r="J165" s="124" t="n">
        <f aca="false">IF(MONTH($A165)=MONTH($A164),SUM(I165-I164),I165)</f>
        <v>0</v>
      </c>
      <c r="K165" s="124" t="n">
        <f aca="false">IF(WEEKDAY(A165,3)&gt;4,0,(IF(A165&lt;K$2,0,IF(A165&lt;=K$3,1,0))))</f>
        <v>0</v>
      </c>
      <c r="L165" s="124" t="n">
        <f aca="false">J165*K165</f>
        <v>0</v>
      </c>
      <c r="M165" s="124" t="n">
        <f aca="false">SUM(J$97:J165)</f>
        <v>0</v>
      </c>
      <c r="N165" s="124" t="n">
        <f aca="false">SUM(J$6:J165)</f>
        <v>0</v>
      </c>
      <c r="P165" s="124" t="n">
        <f aca="false">D165/P$3</f>
        <v>0</v>
      </c>
      <c r="Q165" s="124" t="n">
        <f aca="false">E165/P$3</f>
        <v>0</v>
      </c>
      <c r="R165" s="124" t="n">
        <f aca="false">F165/R$3</f>
        <v>0</v>
      </c>
      <c r="S165" s="126" t="n">
        <f aca="false">J165/$R$3</f>
        <v>0</v>
      </c>
      <c r="T165" s="126" t="n">
        <f aca="false">L165/$R$3</f>
        <v>0</v>
      </c>
      <c r="U165" s="126" t="n">
        <f aca="false">I165/$R$3</f>
        <v>0</v>
      </c>
      <c r="V165" s="126" t="n">
        <f aca="false">M165/$R$3</f>
        <v>0</v>
      </c>
      <c r="W165" s="126" t="n">
        <f aca="false">N165/$R$3</f>
        <v>0</v>
      </c>
    </row>
    <row r="166" customFormat="false" ht="12.75" hidden="true" customHeight="false" outlineLevel="0" collapsed="false">
      <c r="A166" s="120" t="n">
        <f aca="false">A165+1</f>
        <v>37052</v>
      </c>
      <c r="B166" s="131" t="str">
        <f aca="false">INDEX('Master Data'!$A$2:$B$8,MATCH(WEEKDAY(ELETROBOLT!A166,3),'Master Data'!$A$2:$A$8,0),2)</f>
        <v>Su</v>
      </c>
      <c r="D166" s="124" t="n">
        <v>0</v>
      </c>
      <c r="E166" s="124" t="n">
        <v>0</v>
      </c>
      <c r="F166" s="124" t="n">
        <v>0</v>
      </c>
      <c r="G166" s="124" t="n">
        <v>0</v>
      </c>
      <c r="I166" s="124" t="n">
        <f aca="false">IF(MONTH($A166)=MONTH($A165),IF(G166=0,I165,G166),G166)</f>
        <v>0</v>
      </c>
      <c r="J166" s="124" t="n">
        <f aca="false">IF(MONTH($A166)=MONTH($A165),SUM(I166-I165),I166)</f>
        <v>0</v>
      </c>
      <c r="K166" s="124" t="n">
        <f aca="false">IF(WEEKDAY(A166,3)&gt;4,0,(IF(A166&lt;K$2,0,IF(A166&lt;=K$3,1,0))))</f>
        <v>0</v>
      </c>
      <c r="L166" s="124" t="n">
        <f aca="false">J166*K166</f>
        <v>0</v>
      </c>
      <c r="M166" s="124" t="n">
        <f aca="false">SUM(J$97:J166)</f>
        <v>0</v>
      </c>
      <c r="N166" s="124" t="n">
        <f aca="false">SUM(J$6:J166)</f>
        <v>0</v>
      </c>
      <c r="P166" s="124" t="n">
        <f aca="false">D166/P$3</f>
        <v>0</v>
      </c>
      <c r="Q166" s="124" t="n">
        <f aca="false">E166/P$3</f>
        <v>0</v>
      </c>
      <c r="R166" s="124" t="n">
        <f aca="false">F166/R$3</f>
        <v>0</v>
      </c>
      <c r="S166" s="126" t="n">
        <f aca="false">J166/$R$3</f>
        <v>0</v>
      </c>
      <c r="T166" s="126" t="n">
        <f aca="false">L166/$R$3</f>
        <v>0</v>
      </c>
      <c r="U166" s="126" t="n">
        <f aca="false">I166/$R$3</f>
        <v>0</v>
      </c>
      <c r="V166" s="126" t="n">
        <f aca="false">M166/$R$3</f>
        <v>0</v>
      </c>
      <c r="W166" s="126" t="n">
        <f aca="false">N166/$R$3</f>
        <v>0</v>
      </c>
    </row>
    <row r="167" customFormat="false" ht="12.75" hidden="true" customHeight="false" outlineLevel="0" collapsed="false">
      <c r="A167" s="120" t="n">
        <f aca="false">A166+1</f>
        <v>37053</v>
      </c>
      <c r="B167" s="131" t="str">
        <f aca="false">INDEX('Master Data'!$A$2:$B$8,MATCH(WEEKDAY(ELETROBOLT!A167,3),'Master Data'!$A$2:$A$8,0),2)</f>
        <v>M</v>
      </c>
      <c r="D167" s="124" t="n">
        <v>0</v>
      </c>
      <c r="E167" s="124" t="n">
        <v>0</v>
      </c>
      <c r="F167" s="124" t="n">
        <v>0</v>
      </c>
      <c r="G167" s="124" t="n">
        <v>0</v>
      </c>
      <c r="I167" s="124" t="n">
        <f aca="false">IF(MONTH($A167)=MONTH($A166),IF(G167=0,I166,G167),G167)</f>
        <v>0</v>
      </c>
      <c r="J167" s="124" t="n">
        <f aca="false">IF(MONTH($A167)=MONTH($A166),SUM(I167-I166),I167)</f>
        <v>0</v>
      </c>
      <c r="K167" s="124" t="n">
        <f aca="false">IF(WEEKDAY(A167,3)&gt;4,0,(IF(A167&lt;K$2,0,IF(A167&lt;=K$3,1,0))))</f>
        <v>0</v>
      </c>
      <c r="L167" s="124" t="n">
        <f aca="false">J167*K167</f>
        <v>0</v>
      </c>
      <c r="M167" s="124" t="n">
        <f aca="false">SUM(J$97:J167)</f>
        <v>0</v>
      </c>
      <c r="N167" s="124" t="n">
        <f aca="false">SUM(J$6:J167)</f>
        <v>0</v>
      </c>
      <c r="P167" s="124" t="n">
        <f aca="false">D167/P$3</f>
        <v>0</v>
      </c>
      <c r="Q167" s="124" t="n">
        <f aca="false">E167/P$3</f>
        <v>0</v>
      </c>
      <c r="R167" s="124" t="n">
        <f aca="false">F167/R$3</f>
        <v>0</v>
      </c>
      <c r="S167" s="126" t="n">
        <f aca="false">J167/$R$3</f>
        <v>0</v>
      </c>
      <c r="T167" s="126" t="n">
        <f aca="false">L167/$R$3</f>
        <v>0</v>
      </c>
      <c r="U167" s="126" t="n">
        <f aca="false">I167/$R$3</f>
        <v>0</v>
      </c>
      <c r="V167" s="126" t="n">
        <f aca="false">M167/$R$3</f>
        <v>0</v>
      </c>
      <c r="W167" s="126" t="n">
        <f aca="false">N167/$R$3</f>
        <v>0</v>
      </c>
    </row>
    <row r="168" customFormat="false" ht="12.75" hidden="true" customHeight="false" outlineLevel="0" collapsed="false">
      <c r="A168" s="120" t="n">
        <f aca="false">A167+1</f>
        <v>37054</v>
      </c>
      <c r="B168" s="131" t="str">
        <f aca="false">INDEX('Master Data'!$A$2:$B$8,MATCH(WEEKDAY(ELETROBOLT!A168,3),'Master Data'!$A$2:$A$8,0),2)</f>
        <v>T</v>
      </c>
      <c r="D168" s="124" t="n">
        <v>0</v>
      </c>
      <c r="E168" s="124" t="n">
        <v>0</v>
      </c>
      <c r="F168" s="124" t="n">
        <v>0</v>
      </c>
      <c r="G168" s="124" t="n">
        <v>0</v>
      </c>
      <c r="I168" s="124" t="n">
        <f aca="false">IF(MONTH($A168)=MONTH($A167),IF(G168=0,I167,G168),G168)</f>
        <v>0</v>
      </c>
      <c r="J168" s="124" t="n">
        <f aca="false">IF(MONTH($A168)=MONTH($A167),SUM(I168-I167),I168)</f>
        <v>0</v>
      </c>
      <c r="K168" s="124" t="n">
        <f aca="false">IF(WEEKDAY(A168,3)&gt;4,0,(IF(A168&lt;K$2,0,IF(A168&lt;=K$3,1,0))))</f>
        <v>0</v>
      </c>
      <c r="L168" s="124" t="n">
        <f aca="false">J168*K168</f>
        <v>0</v>
      </c>
      <c r="M168" s="124" t="n">
        <f aca="false">SUM(J$97:J168)</f>
        <v>0</v>
      </c>
      <c r="N168" s="124" t="n">
        <f aca="false">SUM(J$6:J168)</f>
        <v>0</v>
      </c>
      <c r="P168" s="124" t="n">
        <f aca="false">D168/P$3</f>
        <v>0</v>
      </c>
      <c r="Q168" s="124" t="n">
        <f aca="false">E168/P$3</f>
        <v>0</v>
      </c>
      <c r="R168" s="124" t="n">
        <f aca="false">F168/R$3</f>
        <v>0</v>
      </c>
      <c r="S168" s="126" t="n">
        <f aca="false">J168/$R$3</f>
        <v>0</v>
      </c>
      <c r="T168" s="126" t="n">
        <f aca="false">L168/$R$3</f>
        <v>0</v>
      </c>
      <c r="U168" s="126" t="n">
        <f aca="false">I168/$R$3</f>
        <v>0</v>
      </c>
      <c r="V168" s="126" t="n">
        <f aca="false">M168/$R$3</f>
        <v>0</v>
      </c>
      <c r="W168" s="126" t="n">
        <f aca="false">N168/$R$3</f>
        <v>0</v>
      </c>
    </row>
    <row r="169" customFormat="false" ht="12.75" hidden="true" customHeight="false" outlineLevel="0" collapsed="false">
      <c r="A169" s="120" t="n">
        <f aca="false">A168+1</f>
        <v>37055</v>
      </c>
      <c r="B169" s="131" t="str">
        <f aca="false">INDEX('Master Data'!$A$2:$B$8,MATCH(WEEKDAY(ELETROBOLT!A169,3),'Master Data'!$A$2:$A$8,0),2)</f>
        <v>W</v>
      </c>
      <c r="D169" s="124" t="n">
        <v>0</v>
      </c>
      <c r="E169" s="124" t="n">
        <v>0</v>
      </c>
      <c r="F169" s="124" t="n">
        <v>0</v>
      </c>
      <c r="G169" s="124" t="n">
        <v>0</v>
      </c>
      <c r="I169" s="124" t="n">
        <f aca="false">IF(MONTH($A169)=MONTH($A168),IF(G169=0,I168,G169),G169)</f>
        <v>0</v>
      </c>
      <c r="J169" s="124" t="n">
        <f aca="false">IF(MONTH($A169)=MONTH($A168),SUM(I169-I168),I169)</f>
        <v>0</v>
      </c>
      <c r="K169" s="124" t="n">
        <f aca="false">IF(WEEKDAY(A169,3)&gt;4,0,(IF(A169&lt;K$2,0,IF(A169&lt;=K$3,1,0))))</f>
        <v>0</v>
      </c>
      <c r="L169" s="124" t="n">
        <f aca="false">J169*K169</f>
        <v>0</v>
      </c>
      <c r="M169" s="124" t="n">
        <f aca="false">SUM(J$97:J169)</f>
        <v>0</v>
      </c>
      <c r="N169" s="124" t="n">
        <f aca="false">SUM(J$6:J169)</f>
        <v>0</v>
      </c>
      <c r="P169" s="124" t="n">
        <f aca="false">D169/P$3</f>
        <v>0</v>
      </c>
      <c r="Q169" s="124" t="n">
        <f aca="false">E169/P$3</f>
        <v>0</v>
      </c>
      <c r="R169" s="124" t="n">
        <f aca="false">F169/R$3</f>
        <v>0</v>
      </c>
      <c r="S169" s="126" t="n">
        <f aca="false">J169/$R$3</f>
        <v>0</v>
      </c>
      <c r="T169" s="126" t="n">
        <f aca="false">L169/$R$3</f>
        <v>0</v>
      </c>
      <c r="U169" s="126" t="n">
        <f aca="false">I169/$R$3</f>
        <v>0</v>
      </c>
      <c r="V169" s="126" t="n">
        <f aca="false">M169/$R$3</f>
        <v>0</v>
      </c>
      <c r="W169" s="126" t="n">
        <f aca="false">N169/$R$3</f>
        <v>0</v>
      </c>
    </row>
    <row r="170" customFormat="false" ht="12.75" hidden="true" customHeight="false" outlineLevel="0" collapsed="false">
      <c r="A170" s="120" t="n">
        <f aca="false">A169+1</f>
        <v>37056</v>
      </c>
      <c r="B170" s="131" t="str">
        <f aca="false">INDEX('Master Data'!$A$2:$B$8,MATCH(WEEKDAY(ELETROBOLT!A170,3),'Master Data'!$A$2:$A$8,0),2)</f>
        <v>Th</v>
      </c>
      <c r="D170" s="124" t="n">
        <v>0</v>
      </c>
      <c r="E170" s="124" t="n">
        <v>0</v>
      </c>
      <c r="F170" s="124" t="n">
        <v>0</v>
      </c>
      <c r="G170" s="124" t="n">
        <v>0</v>
      </c>
      <c r="I170" s="124" t="n">
        <f aca="false">IF(MONTH($A170)=MONTH($A169),IF(G170=0,I169,G170),G170)</f>
        <v>0</v>
      </c>
      <c r="J170" s="124" t="n">
        <f aca="false">IF(MONTH($A170)=MONTH($A169),SUM(I170-I169),I170)</f>
        <v>0</v>
      </c>
      <c r="K170" s="124" t="n">
        <f aca="false">IF(WEEKDAY(A170,3)&gt;4,0,(IF(A170&lt;K$2,0,IF(A170&lt;=K$3,1,0))))</f>
        <v>0</v>
      </c>
      <c r="L170" s="124" t="n">
        <f aca="false">J170*K170</f>
        <v>0</v>
      </c>
      <c r="M170" s="124" t="n">
        <f aca="false">SUM(J$97:J170)</f>
        <v>0</v>
      </c>
      <c r="N170" s="124" t="n">
        <f aca="false">SUM(J$6:J170)</f>
        <v>0</v>
      </c>
      <c r="P170" s="124" t="n">
        <f aca="false">D170/P$3</f>
        <v>0</v>
      </c>
      <c r="Q170" s="124" t="n">
        <f aca="false">E170/P$3</f>
        <v>0</v>
      </c>
      <c r="R170" s="124" t="n">
        <f aca="false">F170/R$3</f>
        <v>0</v>
      </c>
      <c r="S170" s="126" t="n">
        <f aca="false">J170/$R$3</f>
        <v>0</v>
      </c>
      <c r="T170" s="126" t="n">
        <f aca="false">L170/$R$3</f>
        <v>0</v>
      </c>
      <c r="U170" s="126" t="n">
        <f aca="false">I170/$R$3</f>
        <v>0</v>
      </c>
      <c r="V170" s="126" t="n">
        <f aca="false">M170/$R$3</f>
        <v>0</v>
      </c>
      <c r="W170" s="126" t="n">
        <f aca="false">N170/$R$3</f>
        <v>0</v>
      </c>
    </row>
    <row r="171" customFormat="false" ht="12.75" hidden="true" customHeight="false" outlineLevel="0" collapsed="false">
      <c r="A171" s="120" t="n">
        <f aca="false">A170+1</f>
        <v>37057</v>
      </c>
      <c r="B171" s="131" t="str">
        <f aca="false">INDEX('Master Data'!$A$2:$B$8,MATCH(WEEKDAY(ELETROBOLT!A171,3),'Master Data'!$A$2:$A$8,0),2)</f>
        <v>F</v>
      </c>
      <c r="D171" s="124" t="n">
        <v>0</v>
      </c>
      <c r="E171" s="124" t="n">
        <v>0</v>
      </c>
      <c r="F171" s="124" t="n">
        <v>0</v>
      </c>
      <c r="G171" s="124" t="n">
        <v>0</v>
      </c>
      <c r="I171" s="124" t="n">
        <f aca="false">IF(MONTH($A171)=MONTH($A170),IF(G171=0,I170,G171),G171)</f>
        <v>0</v>
      </c>
      <c r="J171" s="124" t="n">
        <f aca="false">IF(MONTH($A171)=MONTH($A170),SUM(I171-I170),I171)</f>
        <v>0</v>
      </c>
      <c r="K171" s="124" t="n">
        <f aca="false">IF(WEEKDAY(A171,3)&gt;4,0,(IF(A171&lt;K$2,0,IF(A171&lt;=K$3,1,0))))</f>
        <v>0</v>
      </c>
      <c r="L171" s="124" t="n">
        <f aca="false">J171*K171</f>
        <v>0</v>
      </c>
      <c r="M171" s="124" t="n">
        <f aca="false">SUM(J$97:J171)</f>
        <v>0</v>
      </c>
      <c r="N171" s="124" t="n">
        <f aca="false">SUM(J$6:J171)</f>
        <v>0</v>
      </c>
      <c r="P171" s="124" t="n">
        <f aca="false">D171/P$3</f>
        <v>0</v>
      </c>
      <c r="Q171" s="124" t="n">
        <f aca="false">E171/P$3</f>
        <v>0</v>
      </c>
      <c r="R171" s="124" t="n">
        <f aca="false">F171/R$3</f>
        <v>0</v>
      </c>
      <c r="S171" s="126" t="n">
        <f aca="false">J171/$R$3</f>
        <v>0</v>
      </c>
      <c r="T171" s="126" t="n">
        <f aca="false">L171/$R$3</f>
        <v>0</v>
      </c>
      <c r="U171" s="126" t="n">
        <f aca="false">I171/$R$3</f>
        <v>0</v>
      </c>
      <c r="V171" s="126" t="n">
        <f aca="false">M171/$R$3</f>
        <v>0</v>
      </c>
      <c r="W171" s="126" t="n">
        <f aca="false">N171/$R$3</f>
        <v>0</v>
      </c>
    </row>
    <row r="172" customFormat="false" ht="12.75" hidden="true" customHeight="false" outlineLevel="0" collapsed="false">
      <c r="A172" s="120" t="n">
        <f aca="false">A171+1</f>
        <v>37058</v>
      </c>
      <c r="B172" s="131" t="str">
        <f aca="false">INDEX('Master Data'!$A$2:$B$8,MATCH(WEEKDAY(ELETROBOLT!A172,3),'Master Data'!$A$2:$A$8,0),2)</f>
        <v>Sa</v>
      </c>
      <c r="D172" s="124" t="n">
        <v>0</v>
      </c>
      <c r="E172" s="124" t="n">
        <v>0</v>
      </c>
      <c r="F172" s="124" t="n">
        <v>0</v>
      </c>
      <c r="G172" s="124" t="n">
        <v>0</v>
      </c>
      <c r="I172" s="124" t="n">
        <f aca="false">IF(MONTH($A172)=MONTH($A171),IF(G172=0,I171,G172),G172)</f>
        <v>0</v>
      </c>
      <c r="J172" s="124" t="n">
        <f aca="false">IF(MONTH($A172)=MONTH($A171),SUM(I172-I171),I172)</f>
        <v>0</v>
      </c>
      <c r="K172" s="124" t="n">
        <f aca="false">IF(WEEKDAY(A172,3)&gt;4,0,(IF(A172&lt;K$2,0,IF(A172&lt;=K$3,1,0))))</f>
        <v>0</v>
      </c>
      <c r="L172" s="124" t="n">
        <f aca="false">J172*K172</f>
        <v>0</v>
      </c>
      <c r="M172" s="124" t="n">
        <f aca="false">SUM(J$97:J172)</f>
        <v>0</v>
      </c>
      <c r="N172" s="124" t="n">
        <f aca="false">SUM(J$6:J172)</f>
        <v>0</v>
      </c>
      <c r="P172" s="124" t="n">
        <f aca="false">D172/P$3</f>
        <v>0</v>
      </c>
      <c r="Q172" s="124" t="n">
        <f aca="false">E172/P$3</f>
        <v>0</v>
      </c>
      <c r="R172" s="124" t="n">
        <f aca="false">F172/R$3</f>
        <v>0</v>
      </c>
      <c r="S172" s="126" t="n">
        <f aca="false">J172/$R$3</f>
        <v>0</v>
      </c>
      <c r="T172" s="126" t="n">
        <f aca="false">L172/$R$3</f>
        <v>0</v>
      </c>
      <c r="U172" s="126" t="n">
        <f aca="false">I172/$R$3</f>
        <v>0</v>
      </c>
      <c r="V172" s="126" t="n">
        <f aca="false">M172/$R$3</f>
        <v>0</v>
      </c>
      <c r="W172" s="126" t="n">
        <f aca="false">N172/$R$3</f>
        <v>0</v>
      </c>
    </row>
    <row r="173" customFormat="false" ht="12.75" hidden="true" customHeight="false" outlineLevel="0" collapsed="false">
      <c r="A173" s="120" t="n">
        <f aca="false">A172+1</f>
        <v>37059</v>
      </c>
      <c r="B173" s="131" t="str">
        <f aca="false">INDEX('Master Data'!$A$2:$B$8,MATCH(WEEKDAY(ELETROBOLT!A173,3),'Master Data'!$A$2:$A$8,0),2)</f>
        <v>Su</v>
      </c>
      <c r="D173" s="124" t="n">
        <v>0</v>
      </c>
      <c r="E173" s="124" t="n">
        <v>0</v>
      </c>
      <c r="F173" s="124" t="n">
        <v>0</v>
      </c>
      <c r="G173" s="124" t="n">
        <v>0</v>
      </c>
      <c r="I173" s="124" t="n">
        <f aca="false">IF(MONTH($A173)=MONTH($A172),IF(G173=0,I172,G173),G173)</f>
        <v>0</v>
      </c>
      <c r="J173" s="124" t="n">
        <f aca="false">IF(MONTH($A173)=MONTH($A172),SUM(I173-I172),I173)</f>
        <v>0</v>
      </c>
      <c r="K173" s="124" t="n">
        <f aca="false">IF(WEEKDAY(A173,3)&gt;4,0,(IF(A173&lt;K$2,0,IF(A173&lt;=K$3,1,0))))</f>
        <v>0</v>
      </c>
      <c r="L173" s="124" t="n">
        <f aca="false">J173*K173</f>
        <v>0</v>
      </c>
      <c r="M173" s="124" t="n">
        <f aca="false">SUM(J$97:J173)</f>
        <v>0</v>
      </c>
      <c r="N173" s="124" t="n">
        <f aca="false">SUM(J$6:J173)</f>
        <v>0</v>
      </c>
      <c r="P173" s="124" t="n">
        <f aca="false">D173/P$3</f>
        <v>0</v>
      </c>
      <c r="Q173" s="124" t="n">
        <f aca="false">E173/P$3</f>
        <v>0</v>
      </c>
      <c r="R173" s="124" t="n">
        <f aca="false">F173/R$3</f>
        <v>0</v>
      </c>
      <c r="S173" s="126" t="n">
        <f aca="false">J173/$R$3</f>
        <v>0</v>
      </c>
      <c r="T173" s="126" t="n">
        <f aca="false">L173/$R$3</f>
        <v>0</v>
      </c>
      <c r="U173" s="126" t="n">
        <f aca="false">I173/$R$3</f>
        <v>0</v>
      </c>
      <c r="V173" s="126" t="n">
        <f aca="false">M173/$R$3</f>
        <v>0</v>
      </c>
      <c r="W173" s="126" t="n">
        <f aca="false">N173/$R$3</f>
        <v>0</v>
      </c>
    </row>
    <row r="174" customFormat="false" ht="12.75" hidden="true" customHeight="false" outlineLevel="0" collapsed="false">
      <c r="A174" s="120" t="n">
        <f aca="false">A173+1</f>
        <v>37060</v>
      </c>
      <c r="B174" s="131" t="str">
        <f aca="false">INDEX('Master Data'!$A$2:$B$8,MATCH(WEEKDAY(ELETROBOLT!A174,3),'Master Data'!$A$2:$A$8,0),2)</f>
        <v>M</v>
      </c>
      <c r="D174" s="124" t="n">
        <v>0</v>
      </c>
      <c r="E174" s="124" t="n">
        <v>0</v>
      </c>
      <c r="F174" s="124" t="n">
        <v>0</v>
      </c>
      <c r="G174" s="124" t="n">
        <v>0</v>
      </c>
      <c r="I174" s="124" t="n">
        <f aca="false">IF(MONTH($A174)=MONTH($A173),IF(G174=0,I173,G174),G174)</f>
        <v>0</v>
      </c>
      <c r="J174" s="124" t="n">
        <f aca="false">IF(MONTH($A174)=MONTH($A173),SUM(I174-I173),I174)</f>
        <v>0</v>
      </c>
      <c r="K174" s="124" t="n">
        <f aca="false">IF(WEEKDAY(A174,3)&gt;4,0,(IF(A174&lt;K$2,0,IF(A174&lt;=K$3,1,0))))</f>
        <v>0</v>
      </c>
      <c r="L174" s="124" t="n">
        <f aca="false">J174*K174</f>
        <v>0</v>
      </c>
      <c r="M174" s="124" t="n">
        <f aca="false">SUM(J$97:J174)</f>
        <v>0</v>
      </c>
      <c r="N174" s="124" t="n">
        <f aca="false">SUM(J$6:J174)</f>
        <v>0</v>
      </c>
      <c r="P174" s="124" t="n">
        <f aca="false">D174/P$3</f>
        <v>0</v>
      </c>
      <c r="Q174" s="124" t="n">
        <f aca="false">E174/P$3</f>
        <v>0</v>
      </c>
      <c r="R174" s="124" t="n">
        <f aca="false">F174/R$3</f>
        <v>0</v>
      </c>
      <c r="S174" s="126" t="n">
        <f aca="false">J174/$R$3</f>
        <v>0</v>
      </c>
      <c r="T174" s="126" t="n">
        <f aca="false">L174/$R$3</f>
        <v>0</v>
      </c>
      <c r="U174" s="126" t="n">
        <f aca="false">I174/$R$3</f>
        <v>0</v>
      </c>
      <c r="V174" s="126" t="n">
        <f aca="false">M174/$R$3</f>
        <v>0</v>
      </c>
      <c r="W174" s="126" t="n">
        <f aca="false">N174/$R$3</f>
        <v>0</v>
      </c>
    </row>
    <row r="175" customFormat="false" ht="12.75" hidden="true" customHeight="false" outlineLevel="0" collapsed="false">
      <c r="A175" s="120" t="n">
        <f aca="false">A174+1</f>
        <v>37061</v>
      </c>
      <c r="B175" s="131" t="str">
        <f aca="false">INDEX('Master Data'!$A$2:$B$8,MATCH(WEEKDAY(ELETROBOLT!A175,3),'Master Data'!$A$2:$A$8,0),2)</f>
        <v>T</v>
      </c>
      <c r="D175" s="124" t="n">
        <v>0</v>
      </c>
      <c r="E175" s="124" t="n">
        <v>0</v>
      </c>
      <c r="F175" s="124" t="n">
        <v>0</v>
      </c>
      <c r="G175" s="124" t="n">
        <v>0</v>
      </c>
      <c r="I175" s="124" t="n">
        <f aca="false">IF(MONTH($A175)=MONTH($A174),IF(G175=0,I174,G175),G175)</f>
        <v>0</v>
      </c>
      <c r="J175" s="124" t="n">
        <f aca="false">IF(MONTH($A175)=MONTH($A174),SUM(I175-I174),I175)</f>
        <v>0</v>
      </c>
      <c r="K175" s="124" t="n">
        <f aca="false">IF(WEEKDAY(A175,3)&gt;4,0,(IF(A175&lt;K$2,0,IF(A175&lt;=K$3,1,0))))</f>
        <v>0</v>
      </c>
      <c r="L175" s="124" t="n">
        <f aca="false">J175*K175</f>
        <v>0</v>
      </c>
      <c r="M175" s="124" t="n">
        <f aca="false">SUM(J$97:J175)</f>
        <v>0</v>
      </c>
      <c r="N175" s="124" t="n">
        <f aca="false">SUM(J$6:J175)</f>
        <v>0</v>
      </c>
      <c r="P175" s="124" t="n">
        <f aca="false">D175/P$3</f>
        <v>0</v>
      </c>
      <c r="Q175" s="124" t="n">
        <f aca="false">E175/P$3</f>
        <v>0</v>
      </c>
      <c r="R175" s="124" t="n">
        <f aca="false">F175/R$3</f>
        <v>0</v>
      </c>
      <c r="S175" s="126" t="n">
        <f aca="false">J175/$R$3</f>
        <v>0</v>
      </c>
      <c r="T175" s="126" t="n">
        <f aca="false">L175/$R$3</f>
        <v>0</v>
      </c>
      <c r="U175" s="126" t="n">
        <f aca="false">I175/$R$3</f>
        <v>0</v>
      </c>
      <c r="V175" s="126" t="n">
        <f aca="false">M175/$R$3</f>
        <v>0</v>
      </c>
      <c r="W175" s="126" t="n">
        <f aca="false">N175/$R$3</f>
        <v>0</v>
      </c>
    </row>
    <row r="176" customFormat="false" ht="12.75" hidden="true" customHeight="false" outlineLevel="0" collapsed="false">
      <c r="A176" s="120" t="n">
        <f aca="false">A175+1</f>
        <v>37062</v>
      </c>
      <c r="B176" s="131" t="str">
        <f aca="false">INDEX('Master Data'!$A$2:$B$8,MATCH(WEEKDAY(ELETROBOLT!A176,3),'Master Data'!$A$2:$A$8,0),2)</f>
        <v>W</v>
      </c>
      <c r="D176" s="124" t="n">
        <v>0</v>
      </c>
      <c r="E176" s="124" t="n">
        <v>0</v>
      </c>
      <c r="F176" s="124" t="n">
        <v>0</v>
      </c>
      <c r="G176" s="124" t="n">
        <v>0</v>
      </c>
      <c r="I176" s="124" t="n">
        <f aca="false">IF(MONTH($A176)=MONTH($A175),IF(G176=0,I175,G176),G176)</f>
        <v>0</v>
      </c>
      <c r="J176" s="124" t="n">
        <f aca="false">IF(MONTH($A176)=MONTH($A175),SUM(I176-I175),I176)</f>
        <v>0</v>
      </c>
      <c r="K176" s="124" t="n">
        <f aca="false">IF(WEEKDAY(A176,3)&gt;4,0,(IF(A176&lt;K$2,0,IF(A176&lt;=K$3,1,0))))</f>
        <v>0</v>
      </c>
      <c r="L176" s="124" t="n">
        <f aca="false">J176*K176</f>
        <v>0</v>
      </c>
      <c r="M176" s="124" t="n">
        <f aca="false">SUM(J$97:J176)</f>
        <v>0</v>
      </c>
      <c r="N176" s="124" t="n">
        <f aca="false">SUM(J$6:J176)</f>
        <v>0</v>
      </c>
      <c r="P176" s="124" t="n">
        <f aca="false">D176/P$3</f>
        <v>0</v>
      </c>
      <c r="Q176" s="124" t="n">
        <f aca="false">E176/P$3</f>
        <v>0</v>
      </c>
      <c r="R176" s="124" t="n">
        <f aca="false">F176/R$3</f>
        <v>0</v>
      </c>
      <c r="S176" s="126" t="n">
        <f aca="false">J176/$R$3</f>
        <v>0</v>
      </c>
      <c r="T176" s="126" t="n">
        <f aca="false">L176/$R$3</f>
        <v>0</v>
      </c>
      <c r="U176" s="126" t="n">
        <f aca="false">I176/$R$3</f>
        <v>0</v>
      </c>
      <c r="V176" s="126" t="n">
        <f aca="false">M176/$R$3</f>
        <v>0</v>
      </c>
      <c r="W176" s="126" t="n">
        <f aca="false">N176/$R$3</f>
        <v>0</v>
      </c>
    </row>
    <row r="177" customFormat="false" ht="12.75" hidden="true" customHeight="false" outlineLevel="0" collapsed="false">
      <c r="A177" s="120" t="n">
        <f aca="false">A176+1</f>
        <v>37063</v>
      </c>
      <c r="B177" s="131" t="str">
        <f aca="false">INDEX('Master Data'!$A$2:$B$8,MATCH(WEEKDAY(ELETROBOLT!A177,3),'Master Data'!$A$2:$A$8,0),2)</f>
        <v>Th</v>
      </c>
      <c r="D177" s="124" t="n">
        <v>0</v>
      </c>
      <c r="E177" s="124" t="n">
        <v>0</v>
      </c>
      <c r="F177" s="124" t="n">
        <v>0</v>
      </c>
      <c r="G177" s="124" t="n">
        <v>0</v>
      </c>
      <c r="I177" s="124" t="n">
        <f aca="false">IF(MONTH($A177)=MONTH($A176),IF(G177=0,I176,G177),G177)</f>
        <v>0</v>
      </c>
      <c r="J177" s="124" t="n">
        <f aca="false">IF(MONTH($A177)=MONTH($A176),SUM(I177-I176),I177)</f>
        <v>0</v>
      </c>
      <c r="K177" s="124" t="n">
        <f aca="false">IF(WEEKDAY(A177,3)&gt;4,0,(IF(A177&lt;K$2,0,IF(A177&lt;=K$3,1,0))))</f>
        <v>0</v>
      </c>
      <c r="L177" s="124" t="n">
        <f aca="false">J177*K177</f>
        <v>0</v>
      </c>
      <c r="M177" s="124" t="n">
        <f aca="false">SUM(J$97:J177)</f>
        <v>0</v>
      </c>
      <c r="N177" s="124" t="n">
        <f aca="false">SUM(J$6:J177)</f>
        <v>0</v>
      </c>
      <c r="P177" s="124" t="n">
        <f aca="false">D177/P$3</f>
        <v>0</v>
      </c>
      <c r="Q177" s="124" t="n">
        <f aca="false">E177/P$3</f>
        <v>0</v>
      </c>
      <c r="R177" s="124" t="n">
        <f aca="false">F177/R$3</f>
        <v>0</v>
      </c>
      <c r="S177" s="126" t="n">
        <f aca="false">J177/$R$3</f>
        <v>0</v>
      </c>
      <c r="T177" s="126" t="n">
        <f aca="false">L177/$R$3</f>
        <v>0</v>
      </c>
      <c r="U177" s="126" t="n">
        <f aca="false">I177/$R$3</f>
        <v>0</v>
      </c>
      <c r="V177" s="126" t="n">
        <f aca="false">M177/$R$3</f>
        <v>0</v>
      </c>
      <c r="W177" s="126" t="n">
        <f aca="false">N177/$R$3</f>
        <v>0</v>
      </c>
    </row>
    <row r="178" customFormat="false" ht="12.75" hidden="true" customHeight="false" outlineLevel="0" collapsed="false">
      <c r="A178" s="120" t="n">
        <f aca="false">A177+1</f>
        <v>37064</v>
      </c>
      <c r="B178" s="131" t="str">
        <f aca="false">INDEX('Master Data'!$A$2:$B$8,MATCH(WEEKDAY(ELETROBOLT!A178,3),'Master Data'!$A$2:$A$8,0),2)</f>
        <v>F</v>
      </c>
      <c r="D178" s="124" t="n">
        <v>0</v>
      </c>
      <c r="E178" s="124" t="n">
        <v>0</v>
      </c>
      <c r="F178" s="124" t="n">
        <v>0</v>
      </c>
      <c r="G178" s="124" t="n">
        <v>0</v>
      </c>
      <c r="I178" s="124" t="n">
        <f aca="false">IF(MONTH($A178)=MONTH($A177),IF(G178=0,I177,G178),G178)</f>
        <v>0</v>
      </c>
      <c r="J178" s="124" t="n">
        <f aca="false">IF(MONTH($A178)=MONTH($A177),SUM(I178-I177),I178)</f>
        <v>0</v>
      </c>
      <c r="K178" s="124" t="n">
        <f aca="false">IF(WEEKDAY(A178,3)&gt;4,0,(IF(A178&lt;K$2,0,IF(A178&lt;=K$3,1,0))))</f>
        <v>0</v>
      </c>
      <c r="L178" s="124" t="n">
        <f aca="false">J178*K178</f>
        <v>0</v>
      </c>
      <c r="M178" s="124" t="n">
        <f aca="false">SUM(J$97:J178)</f>
        <v>0</v>
      </c>
      <c r="N178" s="124" t="n">
        <f aca="false">SUM(J$6:J178)</f>
        <v>0</v>
      </c>
      <c r="P178" s="124" t="n">
        <f aca="false">D178/P$3</f>
        <v>0</v>
      </c>
      <c r="Q178" s="124" t="n">
        <f aca="false">E178/P$3</f>
        <v>0</v>
      </c>
      <c r="R178" s="124" t="n">
        <f aca="false">F178/R$3</f>
        <v>0</v>
      </c>
      <c r="S178" s="126" t="n">
        <f aca="false">J178/$R$3</f>
        <v>0</v>
      </c>
      <c r="T178" s="126" t="n">
        <f aca="false">L178/$R$3</f>
        <v>0</v>
      </c>
      <c r="U178" s="126" t="n">
        <f aca="false">I178/$R$3</f>
        <v>0</v>
      </c>
      <c r="V178" s="126" t="n">
        <f aca="false">M178/$R$3</f>
        <v>0</v>
      </c>
      <c r="W178" s="126" t="n">
        <f aca="false">N178/$R$3</f>
        <v>0</v>
      </c>
    </row>
    <row r="179" customFormat="false" ht="12.75" hidden="true" customHeight="false" outlineLevel="0" collapsed="false">
      <c r="A179" s="120" t="n">
        <f aca="false">A178+1</f>
        <v>37065</v>
      </c>
      <c r="B179" s="131" t="str">
        <f aca="false">INDEX('Master Data'!$A$2:$B$8,MATCH(WEEKDAY(ELETROBOLT!A179,3),'Master Data'!$A$2:$A$8,0),2)</f>
        <v>Sa</v>
      </c>
      <c r="D179" s="124" t="n">
        <v>0</v>
      </c>
      <c r="E179" s="124" t="n">
        <v>0</v>
      </c>
      <c r="F179" s="124" t="n">
        <v>0</v>
      </c>
      <c r="G179" s="124" t="n">
        <v>0</v>
      </c>
      <c r="I179" s="124" t="n">
        <f aca="false">IF(MONTH($A179)=MONTH($A178),IF(G179=0,I178,G179),G179)</f>
        <v>0</v>
      </c>
      <c r="J179" s="124" t="n">
        <f aca="false">IF(MONTH($A179)=MONTH($A178),SUM(I179-I178),I179)</f>
        <v>0</v>
      </c>
      <c r="K179" s="124" t="n">
        <f aca="false">IF(WEEKDAY(A179,3)&gt;4,0,(IF(A179&lt;K$2,0,IF(A179&lt;=K$3,1,0))))</f>
        <v>0</v>
      </c>
      <c r="L179" s="124" t="n">
        <f aca="false">J179*K179</f>
        <v>0</v>
      </c>
      <c r="M179" s="124" t="n">
        <f aca="false">SUM(J$97:J179)</f>
        <v>0</v>
      </c>
      <c r="N179" s="124" t="n">
        <f aca="false">SUM(J$6:J179)</f>
        <v>0</v>
      </c>
      <c r="P179" s="124" t="n">
        <f aca="false">D179/P$3</f>
        <v>0</v>
      </c>
      <c r="Q179" s="124" t="n">
        <f aca="false">E179/P$3</f>
        <v>0</v>
      </c>
      <c r="R179" s="124" t="n">
        <f aca="false">F179/R$3</f>
        <v>0</v>
      </c>
      <c r="S179" s="126" t="n">
        <f aca="false">J179/$R$3</f>
        <v>0</v>
      </c>
      <c r="T179" s="126" t="n">
        <f aca="false">L179/$R$3</f>
        <v>0</v>
      </c>
      <c r="U179" s="126" t="n">
        <f aca="false">I179/$R$3</f>
        <v>0</v>
      </c>
      <c r="V179" s="126" t="n">
        <f aca="false">M179/$R$3</f>
        <v>0</v>
      </c>
      <c r="W179" s="126" t="n">
        <f aca="false">N179/$R$3</f>
        <v>0</v>
      </c>
    </row>
    <row r="180" customFormat="false" ht="12.75" hidden="true" customHeight="false" outlineLevel="0" collapsed="false">
      <c r="A180" s="120" t="n">
        <f aca="false">A179+1</f>
        <v>37066</v>
      </c>
      <c r="B180" s="131" t="str">
        <f aca="false">INDEX('Master Data'!$A$2:$B$8,MATCH(WEEKDAY(ELETROBOLT!A180,3),'Master Data'!$A$2:$A$8,0),2)</f>
        <v>Su</v>
      </c>
      <c r="D180" s="124" t="n">
        <v>0</v>
      </c>
      <c r="E180" s="124" t="n">
        <v>0</v>
      </c>
      <c r="F180" s="124" t="n">
        <v>0</v>
      </c>
      <c r="G180" s="124" t="n">
        <v>0</v>
      </c>
      <c r="I180" s="124" t="n">
        <f aca="false">IF(MONTH($A180)=MONTH($A179),IF(G180=0,I179,G180),G180)</f>
        <v>0</v>
      </c>
      <c r="J180" s="124" t="n">
        <f aca="false">IF(MONTH($A180)=MONTH($A179),SUM(I180-I179),I180)</f>
        <v>0</v>
      </c>
      <c r="K180" s="124" t="n">
        <f aca="false">IF(WEEKDAY(A180,3)&gt;4,0,(IF(A180&lt;K$2,0,IF(A180&lt;=K$3,1,0))))</f>
        <v>0</v>
      </c>
      <c r="L180" s="124" t="n">
        <f aca="false">J180*K180</f>
        <v>0</v>
      </c>
      <c r="M180" s="124" t="n">
        <f aca="false">SUM(J$97:J180)</f>
        <v>0</v>
      </c>
      <c r="N180" s="124" t="n">
        <f aca="false">SUM(J$6:J180)</f>
        <v>0</v>
      </c>
      <c r="P180" s="124" t="n">
        <f aca="false">D180/P$3</f>
        <v>0</v>
      </c>
      <c r="Q180" s="124" t="n">
        <f aca="false">E180/P$3</f>
        <v>0</v>
      </c>
      <c r="R180" s="124" t="n">
        <f aca="false">F180/R$3</f>
        <v>0</v>
      </c>
      <c r="S180" s="126" t="n">
        <f aca="false">J180/$R$3</f>
        <v>0</v>
      </c>
      <c r="T180" s="126" t="n">
        <f aca="false">L180/$R$3</f>
        <v>0</v>
      </c>
      <c r="U180" s="126" t="n">
        <f aca="false">I180/$R$3</f>
        <v>0</v>
      </c>
      <c r="V180" s="126" t="n">
        <f aca="false">M180/$R$3</f>
        <v>0</v>
      </c>
      <c r="W180" s="126" t="n">
        <f aca="false">N180/$R$3</f>
        <v>0</v>
      </c>
    </row>
    <row r="181" customFormat="false" ht="12.75" hidden="true" customHeight="false" outlineLevel="0" collapsed="false">
      <c r="A181" s="120" t="n">
        <f aca="false">A180+1</f>
        <v>37067</v>
      </c>
      <c r="B181" s="131" t="str">
        <f aca="false">INDEX('Master Data'!$A$2:$B$8,MATCH(WEEKDAY(ELETROBOLT!A181,3),'Master Data'!$A$2:$A$8,0),2)</f>
        <v>M</v>
      </c>
      <c r="D181" s="124" t="n">
        <v>0</v>
      </c>
      <c r="E181" s="124" t="n">
        <v>0</v>
      </c>
      <c r="F181" s="124" t="n">
        <v>0</v>
      </c>
      <c r="G181" s="124" t="n">
        <v>0</v>
      </c>
      <c r="I181" s="124" t="n">
        <f aca="false">IF(MONTH($A181)=MONTH($A180),IF(G181=0,I180,G181),G181)</f>
        <v>0</v>
      </c>
      <c r="J181" s="124" t="n">
        <f aca="false">IF(MONTH($A181)=MONTH($A180),SUM(I181-I180),I181)</f>
        <v>0</v>
      </c>
      <c r="K181" s="124" t="n">
        <f aca="false">IF(WEEKDAY(A181,3)&gt;4,0,(IF(A181&lt;K$2,0,IF(A181&lt;=K$3,1,0))))</f>
        <v>0</v>
      </c>
      <c r="L181" s="124" t="n">
        <f aca="false">J181*K181</f>
        <v>0</v>
      </c>
      <c r="M181" s="124" t="n">
        <f aca="false">SUM(J$97:J181)</f>
        <v>0</v>
      </c>
      <c r="N181" s="124" t="n">
        <f aca="false">SUM(J$6:J181)</f>
        <v>0</v>
      </c>
      <c r="P181" s="124" t="n">
        <f aca="false">D181/P$3</f>
        <v>0</v>
      </c>
      <c r="Q181" s="124" t="n">
        <f aca="false">E181/P$3</f>
        <v>0</v>
      </c>
      <c r="R181" s="124" t="n">
        <f aca="false">F181/R$3</f>
        <v>0</v>
      </c>
      <c r="S181" s="126" t="n">
        <f aca="false">J181/$R$3</f>
        <v>0</v>
      </c>
      <c r="T181" s="126" t="n">
        <f aca="false">L181/$R$3</f>
        <v>0</v>
      </c>
      <c r="U181" s="126" t="n">
        <f aca="false">I181/$R$3</f>
        <v>0</v>
      </c>
      <c r="V181" s="126" t="n">
        <f aca="false">M181/$R$3</f>
        <v>0</v>
      </c>
      <c r="W181" s="126" t="n">
        <f aca="false">N181/$R$3</f>
        <v>0</v>
      </c>
    </row>
    <row r="182" customFormat="false" ht="12.75" hidden="true" customHeight="false" outlineLevel="0" collapsed="false">
      <c r="A182" s="120" t="n">
        <f aca="false">A181+1</f>
        <v>37068</v>
      </c>
      <c r="B182" s="131" t="str">
        <f aca="false">INDEX('Master Data'!$A$2:$B$8,MATCH(WEEKDAY(ELETROBOLT!A182,3),'Master Data'!$A$2:$A$8,0),2)</f>
        <v>T</v>
      </c>
      <c r="D182" s="124" t="n">
        <v>0</v>
      </c>
      <c r="E182" s="124" t="n">
        <v>0</v>
      </c>
      <c r="F182" s="124" t="n">
        <v>0</v>
      </c>
      <c r="G182" s="124" t="n">
        <v>0</v>
      </c>
      <c r="I182" s="124" t="n">
        <f aca="false">IF(MONTH($A182)=MONTH($A181),IF(G182=0,I181,G182),G182)</f>
        <v>0</v>
      </c>
      <c r="J182" s="124" t="n">
        <f aca="false">IF(MONTH($A182)=MONTH($A181),SUM(I182-I181),I182)</f>
        <v>0</v>
      </c>
      <c r="K182" s="124" t="n">
        <f aca="false">IF(WEEKDAY(A182,3)&gt;4,0,(IF(A182&lt;K$2,0,IF(A182&lt;=K$3,1,0))))</f>
        <v>0</v>
      </c>
      <c r="L182" s="124" t="n">
        <f aca="false">J182*K182</f>
        <v>0</v>
      </c>
      <c r="M182" s="124" t="n">
        <f aca="false">SUM(J$97:J182)</f>
        <v>0</v>
      </c>
      <c r="N182" s="124" t="n">
        <f aca="false">SUM(J$6:J182)</f>
        <v>0</v>
      </c>
      <c r="P182" s="124" t="n">
        <f aca="false">D182/P$3</f>
        <v>0</v>
      </c>
      <c r="Q182" s="124" t="n">
        <f aca="false">E182/P$3</f>
        <v>0</v>
      </c>
      <c r="R182" s="124" t="n">
        <f aca="false">F182/R$3</f>
        <v>0</v>
      </c>
      <c r="S182" s="126" t="n">
        <f aca="false">J182/$R$3</f>
        <v>0</v>
      </c>
      <c r="T182" s="126" t="n">
        <f aca="false">L182/$R$3</f>
        <v>0</v>
      </c>
      <c r="U182" s="126" t="n">
        <f aca="false">I182/$R$3</f>
        <v>0</v>
      </c>
      <c r="V182" s="126" t="n">
        <f aca="false">M182/$R$3</f>
        <v>0</v>
      </c>
      <c r="W182" s="126" t="n">
        <f aca="false">N182/$R$3</f>
        <v>0</v>
      </c>
    </row>
    <row r="183" customFormat="false" ht="12.75" hidden="true" customHeight="false" outlineLevel="0" collapsed="false">
      <c r="A183" s="120" t="n">
        <f aca="false">A182+1</f>
        <v>37069</v>
      </c>
      <c r="B183" s="131" t="str">
        <f aca="false">INDEX('Master Data'!$A$2:$B$8,MATCH(WEEKDAY(ELETROBOLT!A183,3),'Master Data'!$A$2:$A$8,0),2)</f>
        <v>W</v>
      </c>
      <c r="D183" s="124" t="n">
        <v>0</v>
      </c>
      <c r="E183" s="124" t="n">
        <v>0</v>
      </c>
      <c r="F183" s="124" t="n">
        <v>0</v>
      </c>
      <c r="G183" s="124" t="n">
        <v>0</v>
      </c>
      <c r="I183" s="124" t="n">
        <f aca="false">IF(MONTH($A183)=MONTH($A182),IF(G183=0,I182,G183),G183)</f>
        <v>0</v>
      </c>
      <c r="J183" s="124" t="n">
        <f aca="false">IF(MONTH($A183)=MONTH($A182),SUM(I183-I182),I183)</f>
        <v>0</v>
      </c>
      <c r="K183" s="124" t="n">
        <f aca="false">IF(WEEKDAY(A183,3)&gt;4,0,(IF(A183&lt;K$2,0,IF(A183&lt;=K$3,1,0))))</f>
        <v>0</v>
      </c>
      <c r="L183" s="124" t="n">
        <f aca="false">J183*K183</f>
        <v>0</v>
      </c>
      <c r="M183" s="124" t="n">
        <f aca="false">SUM(J$97:J183)</f>
        <v>0</v>
      </c>
      <c r="N183" s="124" t="n">
        <f aca="false">SUM(J$6:J183)</f>
        <v>0</v>
      </c>
      <c r="P183" s="124" t="n">
        <f aca="false">D183/P$3</f>
        <v>0</v>
      </c>
      <c r="Q183" s="126" t="n">
        <f aca="false">E183/P$3</f>
        <v>0</v>
      </c>
      <c r="R183" s="124" t="n">
        <f aca="false">F183/R$3</f>
        <v>0</v>
      </c>
      <c r="S183" s="126" t="n">
        <f aca="false">J183/$R$3</f>
        <v>0</v>
      </c>
      <c r="T183" s="126" t="n">
        <f aca="false">L183/$R$3</f>
        <v>0</v>
      </c>
      <c r="U183" s="126" t="n">
        <f aca="false">I183/$R$3</f>
        <v>0</v>
      </c>
      <c r="V183" s="126" t="n">
        <f aca="false">M183/$R$3</f>
        <v>0</v>
      </c>
      <c r="W183" s="126" t="n">
        <f aca="false">N183/$R$3</f>
        <v>0</v>
      </c>
    </row>
    <row r="184" customFormat="false" ht="12.75" hidden="true" customHeight="false" outlineLevel="0" collapsed="false">
      <c r="A184" s="120" t="n">
        <f aca="false">A183+1</f>
        <v>37070</v>
      </c>
      <c r="B184" s="131" t="str">
        <f aca="false">INDEX('Master Data'!$A$2:$B$8,MATCH(WEEKDAY(ELETROBOLT!A184,3),'Master Data'!$A$2:$A$8,0),2)</f>
        <v>Th</v>
      </c>
      <c r="D184" s="124" t="n">
        <v>0</v>
      </c>
      <c r="E184" s="124" t="n">
        <v>0</v>
      </c>
      <c r="F184" s="124" t="n">
        <v>0</v>
      </c>
      <c r="G184" s="124" t="n">
        <v>0</v>
      </c>
      <c r="I184" s="124" t="n">
        <f aca="false">IF(MONTH($A184)=MONTH($A183),IF(G184=0,I183,G184),G184)</f>
        <v>0</v>
      </c>
      <c r="J184" s="124" t="n">
        <f aca="false">IF(MONTH($A184)=MONTH($A183),SUM(I184-I183),I184)</f>
        <v>0</v>
      </c>
      <c r="K184" s="124" t="n">
        <f aca="false">IF(WEEKDAY(A184,3)&gt;4,0,(IF(A184&lt;K$2,0,IF(A184&lt;=K$3,1,0))))</f>
        <v>0</v>
      </c>
      <c r="L184" s="124" t="n">
        <f aca="false">J184*K184</f>
        <v>0</v>
      </c>
      <c r="M184" s="124" t="n">
        <f aca="false">SUM(J$97:J184)</f>
        <v>0</v>
      </c>
      <c r="N184" s="124" t="n">
        <f aca="false">SUM(J$6:J184)</f>
        <v>0</v>
      </c>
      <c r="P184" s="124" t="n">
        <f aca="false">D184/P$3</f>
        <v>0</v>
      </c>
      <c r="Q184" s="124" t="n">
        <f aca="false">E184/P$3</f>
        <v>0</v>
      </c>
      <c r="R184" s="124" t="n">
        <f aca="false">F184/R$3</f>
        <v>0</v>
      </c>
      <c r="S184" s="126" t="n">
        <f aca="false">J184/$R$3</f>
        <v>0</v>
      </c>
      <c r="T184" s="126" t="n">
        <f aca="false">L184/$R$3</f>
        <v>0</v>
      </c>
      <c r="U184" s="126" t="n">
        <f aca="false">I184/$R$3</f>
        <v>0</v>
      </c>
      <c r="V184" s="126" t="n">
        <f aca="false">M184/$R$3</f>
        <v>0</v>
      </c>
      <c r="W184" s="126" t="n">
        <f aca="false">N184/$R$3</f>
        <v>0</v>
      </c>
    </row>
    <row r="185" customFormat="false" ht="12.75" hidden="true" customHeight="false" outlineLevel="0" collapsed="false">
      <c r="A185" s="120" t="n">
        <f aca="false">A184+1</f>
        <v>37071</v>
      </c>
      <c r="B185" s="131" t="str">
        <f aca="false">INDEX('Master Data'!$A$2:$B$8,MATCH(WEEKDAY(ELETROBOLT!A185,3),'Master Data'!$A$2:$A$8,0),2)</f>
        <v>F</v>
      </c>
      <c r="D185" s="124" t="n">
        <v>0</v>
      </c>
      <c r="E185" s="124" t="n">
        <v>0</v>
      </c>
      <c r="F185" s="124" t="n">
        <v>0</v>
      </c>
      <c r="G185" s="124" t="n">
        <v>0</v>
      </c>
      <c r="I185" s="124" t="n">
        <f aca="false">IF(MONTH($A185)=MONTH($A184),IF(G185=0,I184,G185),G185)</f>
        <v>0</v>
      </c>
      <c r="J185" s="124" t="n">
        <f aca="false">IF(MONTH($A185)=MONTH($A184),SUM(I185-I184),I185)</f>
        <v>0</v>
      </c>
      <c r="K185" s="124" t="n">
        <f aca="false">IF(WEEKDAY(A185,3)&gt;4,0,(IF(A185&lt;K$2,0,IF(A185&lt;=K$3,1,0))))</f>
        <v>0</v>
      </c>
      <c r="L185" s="124" t="n">
        <f aca="false">J185*K185</f>
        <v>0</v>
      </c>
      <c r="M185" s="124" t="n">
        <f aca="false">SUM(J$97:J185)</f>
        <v>0</v>
      </c>
      <c r="N185" s="124" t="n">
        <f aca="false">SUM(J$6:J185)</f>
        <v>0</v>
      </c>
      <c r="P185" s="124" t="n">
        <f aca="false">D185/P$3</f>
        <v>0</v>
      </c>
      <c r="Q185" s="124" t="n">
        <f aca="false">E185/P$3</f>
        <v>0</v>
      </c>
      <c r="R185" s="124" t="n">
        <f aca="false">F185/R$3</f>
        <v>0</v>
      </c>
      <c r="S185" s="126" t="n">
        <f aca="false">J185/$R$3</f>
        <v>0</v>
      </c>
      <c r="T185" s="126" t="n">
        <f aca="false">L185/$R$3</f>
        <v>0</v>
      </c>
      <c r="U185" s="126" t="n">
        <f aca="false">I185/$R$3</f>
        <v>0</v>
      </c>
      <c r="V185" s="126" t="n">
        <f aca="false">M185/$R$3</f>
        <v>0</v>
      </c>
      <c r="W185" s="126" t="n">
        <f aca="false">N185/$R$3</f>
        <v>0</v>
      </c>
    </row>
    <row r="186" customFormat="false" ht="12.75" hidden="true" customHeight="false" outlineLevel="0" collapsed="false">
      <c r="A186" s="120" t="n">
        <f aca="false">A185+1</f>
        <v>37072</v>
      </c>
      <c r="B186" s="131" t="str">
        <f aca="false">INDEX('Master Data'!$A$2:$B$8,MATCH(WEEKDAY(ELETROBOLT!A186,3),'Master Data'!$A$2:$A$8,0),2)</f>
        <v>Sa</v>
      </c>
      <c r="D186" s="124" t="n">
        <v>0</v>
      </c>
      <c r="E186" s="124" t="n">
        <v>0</v>
      </c>
      <c r="F186" s="124" t="n">
        <v>0</v>
      </c>
      <c r="G186" s="124" t="n">
        <v>0</v>
      </c>
      <c r="I186" s="124" t="n">
        <f aca="false">IF(MONTH($A186)=MONTH($A185),IF(G186=0,I185,G186),G186)</f>
        <v>0</v>
      </c>
      <c r="J186" s="124" t="n">
        <f aca="false">IF(MONTH($A186)=MONTH($A185),SUM(I186-I185),I186)</f>
        <v>0</v>
      </c>
      <c r="K186" s="124" t="n">
        <f aca="false">IF(WEEKDAY(A186,3)&gt;4,0,(IF(A186&lt;K$2,0,IF(A186&lt;=K$3,1,0))))</f>
        <v>0</v>
      </c>
      <c r="L186" s="124" t="n">
        <f aca="false">J186*K186</f>
        <v>0</v>
      </c>
      <c r="M186" s="124" t="n">
        <f aca="false">SUM(J$97:J186)</f>
        <v>0</v>
      </c>
      <c r="N186" s="124" t="n">
        <f aca="false">SUM(J$6:J186)</f>
        <v>0</v>
      </c>
      <c r="P186" s="124" t="n">
        <f aca="false">D186/P$3</f>
        <v>0</v>
      </c>
      <c r="Q186" s="124" t="n">
        <f aca="false">E186/P$3</f>
        <v>0</v>
      </c>
      <c r="R186" s="124" t="n">
        <f aca="false">F186/R$3</f>
        <v>0</v>
      </c>
      <c r="S186" s="126" t="n">
        <f aca="false">J186/$R$3</f>
        <v>0</v>
      </c>
      <c r="T186" s="126" t="n">
        <f aca="false">L186/$R$3</f>
        <v>0</v>
      </c>
      <c r="U186" s="126" t="n">
        <f aca="false">I186/$R$3</f>
        <v>0</v>
      </c>
      <c r="V186" s="126" t="n">
        <f aca="false">M186/$R$3</f>
        <v>0</v>
      </c>
      <c r="W186" s="126" t="n">
        <f aca="false">N186/$R$3</f>
        <v>0</v>
      </c>
    </row>
    <row r="187" customFormat="false" ht="12.75" hidden="true" customHeight="false" outlineLevel="0" collapsed="false">
      <c r="A187" s="120" t="n">
        <f aca="false">A186+1</f>
        <v>37073</v>
      </c>
      <c r="B187" s="131" t="str">
        <f aca="false">INDEX('Master Data'!$A$2:$B$8,MATCH(WEEKDAY(ELETROBOLT!A187,3),'Master Data'!$A$2:$A$8,0),2)</f>
        <v>Su</v>
      </c>
      <c r="D187" s="124" t="n">
        <v>0</v>
      </c>
      <c r="E187" s="124" t="n">
        <v>0</v>
      </c>
      <c r="F187" s="124" t="n">
        <v>0</v>
      </c>
      <c r="G187" s="124" t="n">
        <v>0</v>
      </c>
      <c r="I187" s="124" t="n">
        <f aca="false">IF(MONTH($A187)=MONTH($A186),IF(G187=0,I186,G187),G187)</f>
        <v>0</v>
      </c>
      <c r="J187" s="124" t="n">
        <f aca="false">IF(MONTH($A187)=MONTH($A186),SUM(I187-I186),I187)</f>
        <v>0</v>
      </c>
      <c r="K187" s="124" t="n">
        <f aca="false">IF(WEEKDAY(A187,3)&gt;4,0,(IF(A187&lt;K$2,0,IF(A187&lt;=K$3,1,0))))</f>
        <v>0</v>
      </c>
      <c r="L187" s="124" t="n">
        <f aca="false">J187*K187</f>
        <v>0</v>
      </c>
      <c r="M187" s="124" t="n">
        <f aca="false">SUM(J$97:J187)</f>
        <v>0</v>
      </c>
      <c r="N187" s="124" t="n">
        <f aca="false">SUM(J$6:J187)</f>
        <v>0</v>
      </c>
      <c r="P187" s="124" t="n">
        <f aca="false">D187/P$3</f>
        <v>0</v>
      </c>
      <c r="Q187" s="124" t="n">
        <f aca="false">E187/P$3</f>
        <v>0</v>
      </c>
      <c r="R187" s="124" t="n">
        <f aca="false">F187/R$3</f>
        <v>0</v>
      </c>
      <c r="S187" s="126" t="n">
        <f aca="false">J187/$R$3</f>
        <v>0</v>
      </c>
      <c r="T187" s="126" t="n">
        <f aca="false">L187/$R$3</f>
        <v>0</v>
      </c>
      <c r="U187" s="126" t="n">
        <f aca="false">I187/$R$3</f>
        <v>0</v>
      </c>
      <c r="V187" s="126" t="n">
        <f aca="false">M187/$R$3</f>
        <v>0</v>
      </c>
      <c r="W187" s="126" t="n">
        <f aca="false">N187/$R$3</f>
        <v>0</v>
      </c>
    </row>
    <row r="188" customFormat="false" ht="12.75" hidden="true" customHeight="false" outlineLevel="0" collapsed="false">
      <c r="A188" s="120" t="n">
        <f aca="false">A187+1</f>
        <v>37074</v>
      </c>
      <c r="B188" s="131" t="str">
        <f aca="false">INDEX('Master Data'!$A$2:$B$8,MATCH(WEEKDAY(ELETROBOLT!A188,3),'Master Data'!$A$2:$A$8,0),2)</f>
        <v>M</v>
      </c>
      <c r="D188" s="124" t="n">
        <v>0</v>
      </c>
      <c r="E188" s="124" t="n">
        <v>0</v>
      </c>
      <c r="F188" s="124" t="n">
        <v>0</v>
      </c>
      <c r="G188" s="124" t="n">
        <v>0</v>
      </c>
      <c r="I188" s="124" t="n">
        <f aca="false">IF(MONTH($A188)=MONTH($A187),IF(G188=0,I187,G188),G188)</f>
        <v>0</v>
      </c>
      <c r="J188" s="124" t="n">
        <f aca="false">IF(MONTH($A188)=MONTH($A187),SUM(I188-I187),I188)</f>
        <v>0</v>
      </c>
      <c r="K188" s="124" t="n">
        <f aca="false">IF(WEEKDAY(A188,3)&gt;4,0,(IF(A188&lt;K$2,0,IF(A188&lt;=K$3,1,0))))</f>
        <v>0</v>
      </c>
      <c r="L188" s="124" t="n">
        <f aca="false">J188*K188</f>
        <v>0</v>
      </c>
      <c r="M188" s="124" t="n">
        <f aca="false">SUM(J$188:J188)</f>
        <v>0</v>
      </c>
      <c r="N188" s="124" t="n">
        <f aca="false">SUM(J$6:J188)</f>
        <v>0</v>
      </c>
      <c r="P188" s="124" t="n">
        <f aca="false">D188/P$3</f>
        <v>0</v>
      </c>
      <c r="Q188" s="124" t="n">
        <f aca="false">E188/P$3</f>
        <v>0</v>
      </c>
      <c r="R188" s="124" t="n">
        <f aca="false">F188/R$3</f>
        <v>0</v>
      </c>
      <c r="S188" s="126" t="n">
        <f aca="false">J188/$R$3</f>
        <v>0</v>
      </c>
      <c r="T188" s="126" t="n">
        <f aca="false">L188/$R$3</f>
        <v>0</v>
      </c>
      <c r="U188" s="126" t="n">
        <f aca="false">I188/$R$3</f>
        <v>0</v>
      </c>
      <c r="V188" s="126" t="n">
        <f aca="false">M188/$R$3</f>
        <v>0</v>
      </c>
      <c r="W188" s="126" t="n">
        <f aca="false">N188/$R$3</f>
        <v>0</v>
      </c>
    </row>
    <row r="189" customFormat="false" ht="12.75" hidden="true" customHeight="false" outlineLevel="0" collapsed="false">
      <c r="A189" s="120" t="n">
        <f aca="false">A188+1</f>
        <v>37075</v>
      </c>
      <c r="B189" s="131" t="str">
        <f aca="false">INDEX('Master Data'!$A$2:$B$8,MATCH(WEEKDAY(ELETROBOLT!A189,3),'Master Data'!$A$2:$A$8,0),2)</f>
        <v>T</v>
      </c>
      <c r="D189" s="124" t="n">
        <v>0</v>
      </c>
      <c r="E189" s="124" t="n">
        <v>0</v>
      </c>
      <c r="F189" s="124" t="n">
        <v>0</v>
      </c>
      <c r="G189" s="124" t="n">
        <v>0</v>
      </c>
      <c r="I189" s="124" t="n">
        <f aca="false">IF(MONTH($A189)=MONTH($A188),IF(G189=0,I188,G189),G189)</f>
        <v>0</v>
      </c>
      <c r="J189" s="124" t="n">
        <f aca="false">IF(MONTH($A189)=MONTH($A188),SUM(I189-I188),I189)</f>
        <v>0</v>
      </c>
      <c r="K189" s="124" t="n">
        <f aca="false">IF(WEEKDAY(A189,3)&gt;4,0,(IF(A189&lt;K$2,0,IF(A189&lt;=K$3,1,0))))</f>
        <v>0</v>
      </c>
      <c r="L189" s="124" t="n">
        <f aca="false">J189*K189</f>
        <v>0</v>
      </c>
      <c r="M189" s="124" t="n">
        <f aca="false">SUM(J$188:J189)</f>
        <v>0</v>
      </c>
      <c r="N189" s="124" t="n">
        <f aca="false">SUM(J$6:J189)</f>
        <v>0</v>
      </c>
      <c r="P189" s="124" t="n">
        <f aca="false">D189/P$3</f>
        <v>0</v>
      </c>
      <c r="Q189" s="124" t="n">
        <f aca="false">E189/P$3</f>
        <v>0</v>
      </c>
      <c r="R189" s="124" t="n">
        <f aca="false">F189/R$3</f>
        <v>0</v>
      </c>
      <c r="S189" s="126" t="n">
        <f aca="false">J189/$R$3</f>
        <v>0</v>
      </c>
      <c r="T189" s="126" t="n">
        <f aca="false">L189/$R$3</f>
        <v>0</v>
      </c>
      <c r="U189" s="126" t="n">
        <f aca="false">I189/$R$3</f>
        <v>0</v>
      </c>
      <c r="V189" s="126" t="n">
        <f aca="false">M189/$R$3</f>
        <v>0</v>
      </c>
      <c r="W189" s="126" t="n">
        <f aca="false">N189/$R$3</f>
        <v>0</v>
      </c>
    </row>
    <row r="190" customFormat="false" ht="12.75" hidden="true" customHeight="false" outlineLevel="0" collapsed="false">
      <c r="A190" s="120" t="n">
        <f aca="false">A189+1</f>
        <v>37076</v>
      </c>
      <c r="B190" s="131" t="str">
        <f aca="false">INDEX('Master Data'!$A$2:$B$8,MATCH(WEEKDAY(ELETROBOLT!A190,3),'Master Data'!$A$2:$A$8,0),2)</f>
        <v>W</v>
      </c>
      <c r="D190" s="124" t="n">
        <v>0</v>
      </c>
      <c r="E190" s="124" t="n">
        <v>0</v>
      </c>
      <c r="F190" s="124" t="n">
        <v>0</v>
      </c>
      <c r="G190" s="124" t="n">
        <v>0</v>
      </c>
      <c r="I190" s="124" t="n">
        <f aca="false">IF(MONTH($A190)=MONTH($A189),IF(G190=0,I189,G190),G190)</f>
        <v>0</v>
      </c>
      <c r="J190" s="124" t="n">
        <f aca="false">IF(MONTH($A190)=MONTH($A189),SUM(I190-I189),I190)</f>
        <v>0</v>
      </c>
      <c r="K190" s="124" t="n">
        <f aca="false">IF(WEEKDAY(A190,3)&gt;4,0,(IF(A190&lt;K$2,0,IF(A190&lt;=K$3,1,0))))</f>
        <v>0</v>
      </c>
      <c r="L190" s="124" t="n">
        <f aca="false">J190*K190</f>
        <v>0</v>
      </c>
      <c r="M190" s="124" t="n">
        <f aca="false">SUM(J$188:J190)</f>
        <v>0</v>
      </c>
      <c r="N190" s="124" t="n">
        <f aca="false">SUM(J$6:J190)</f>
        <v>0</v>
      </c>
      <c r="P190" s="124" t="n">
        <f aca="false">D190/P$3</f>
        <v>0</v>
      </c>
      <c r="Q190" s="124" t="n">
        <f aca="false">E190/P$3</f>
        <v>0</v>
      </c>
      <c r="R190" s="124" t="n">
        <f aca="false">F190/R$3</f>
        <v>0</v>
      </c>
      <c r="S190" s="126" t="n">
        <f aca="false">J190/$R$3</f>
        <v>0</v>
      </c>
      <c r="T190" s="126" t="n">
        <f aca="false">L190/$R$3</f>
        <v>0</v>
      </c>
      <c r="U190" s="126" t="n">
        <f aca="false">I190/$R$3</f>
        <v>0</v>
      </c>
      <c r="V190" s="126" t="n">
        <f aca="false">M190/$R$3</f>
        <v>0</v>
      </c>
      <c r="W190" s="126" t="n">
        <f aca="false">N190/$R$3</f>
        <v>0</v>
      </c>
    </row>
    <row r="191" customFormat="false" ht="12.75" hidden="true" customHeight="false" outlineLevel="0" collapsed="false">
      <c r="A191" s="120" t="n">
        <f aca="false">A190+1</f>
        <v>37077</v>
      </c>
      <c r="B191" s="131" t="str">
        <f aca="false">INDEX('Master Data'!$A$2:$B$8,MATCH(WEEKDAY(ELETROBOLT!A191,3),'Master Data'!$A$2:$A$8,0),2)</f>
        <v>Th</v>
      </c>
      <c r="D191" s="124" t="n">
        <v>0</v>
      </c>
      <c r="E191" s="124" t="n">
        <v>0</v>
      </c>
      <c r="F191" s="124" t="n">
        <v>0</v>
      </c>
      <c r="G191" s="124" t="n">
        <v>0</v>
      </c>
      <c r="I191" s="124" t="n">
        <f aca="false">IF(MONTH($A191)=MONTH($A190),IF(G191=0,I190,G191),G191)</f>
        <v>0</v>
      </c>
      <c r="J191" s="124" t="n">
        <f aca="false">IF(MONTH($A191)=MONTH($A190),SUM(I191-I190),I191)</f>
        <v>0</v>
      </c>
      <c r="K191" s="124" t="n">
        <f aca="false">IF(WEEKDAY(A191,3)&gt;4,0,(IF(A191&lt;K$2,0,IF(A191&lt;=K$3,1,0))))</f>
        <v>0</v>
      </c>
      <c r="L191" s="124" t="n">
        <f aca="false">J191*K191</f>
        <v>0</v>
      </c>
      <c r="M191" s="124" t="n">
        <f aca="false">SUM(J$188:J191)</f>
        <v>0</v>
      </c>
      <c r="N191" s="124" t="n">
        <f aca="false">SUM(J$6:J191)</f>
        <v>0</v>
      </c>
      <c r="P191" s="124" t="n">
        <f aca="false">D191/P$3</f>
        <v>0</v>
      </c>
      <c r="Q191" s="124" t="n">
        <f aca="false">E191/P$3</f>
        <v>0</v>
      </c>
      <c r="R191" s="124" t="n">
        <f aca="false">F191/R$3</f>
        <v>0</v>
      </c>
      <c r="S191" s="126" t="n">
        <f aca="false">J191/$R$3</f>
        <v>0</v>
      </c>
      <c r="T191" s="126" t="n">
        <f aca="false">L191/$R$3</f>
        <v>0</v>
      </c>
      <c r="U191" s="126" t="n">
        <f aca="false">I191/$R$3</f>
        <v>0</v>
      </c>
      <c r="V191" s="126" t="n">
        <f aca="false">M191/$R$3</f>
        <v>0</v>
      </c>
      <c r="W191" s="126" t="n">
        <f aca="false">N191/$R$3</f>
        <v>0</v>
      </c>
    </row>
    <row r="192" customFormat="false" ht="12.75" hidden="true" customHeight="false" outlineLevel="0" collapsed="false">
      <c r="A192" s="120" t="n">
        <f aca="false">A191+1</f>
        <v>37078</v>
      </c>
      <c r="B192" s="131" t="str">
        <f aca="false">INDEX('Master Data'!$A$2:$B$8,MATCH(WEEKDAY(ELETROBOLT!A192,3),'Master Data'!$A$2:$A$8,0),2)</f>
        <v>F</v>
      </c>
      <c r="D192" s="124" t="n">
        <v>0</v>
      </c>
      <c r="E192" s="124" t="n">
        <v>0</v>
      </c>
      <c r="F192" s="124" t="n">
        <v>0</v>
      </c>
      <c r="G192" s="124" t="n">
        <v>0</v>
      </c>
      <c r="I192" s="124" t="n">
        <f aca="false">IF(MONTH($A192)=MONTH($A191),IF(G192=0,I191,G192),G192)</f>
        <v>0</v>
      </c>
      <c r="J192" s="124" t="n">
        <f aca="false">IF(MONTH($A192)=MONTH($A191),SUM(I192-I191),I192)</f>
        <v>0</v>
      </c>
      <c r="K192" s="124" t="n">
        <f aca="false">IF(WEEKDAY(A192,3)&gt;4,0,(IF(A192&lt;K$2,0,IF(A192&lt;=K$3,1,0))))</f>
        <v>0</v>
      </c>
      <c r="L192" s="124" t="n">
        <f aca="false">J192*K192</f>
        <v>0</v>
      </c>
      <c r="M192" s="124" t="n">
        <f aca="false">SUM(J$188:J192)</f>
        <v>0</v>
      </c>
      <c r="N192" s="124" t="n">
        <f aca="false">SUM(J$6:J192)</f>
        <v>0</v>
      </c>
      <c r="P192" s="124" t="n">
        <f aca="false">D192/P$3</f>
        <v>0</v>
      </c>
      <c r="Q192" s="124" t="n">
        <f aca="false">E192/P$3</f>
        <v>0</v>
      </c>
      <c r="R192" s="124" t="n">
        <f aca="false">F192/R$3</f>
        <v>0</v>
      </c>
      <c r="S192" s="126" t="n">
        <f aca="false">J192/$R$3</f>
        <v>0</v>
      </c>
      <c r="T192" s="126" t="n">
        <f aca="false">L192/$R$3</f>
        <v>0</v>
      </c>
      <c r="U192" s="126" t="n">
        <f aca="false">I192/$R$3</f>
        <v>0</v>
      </c>
      <c r="V192" s="126" t="n">
        <f aca="false">M192/$R$3</f>
        <v>0</v>
      </c>
      <c r="W192" s="126" t="n">
        <f aca="false">N192/$R$3</f>
        <v>0</v>
      </c>
    </row>
    <row r="193" customFormat="false" ht="12.75" hidden="true" customHeight="false" outlineLevel="0" collapsed="false">
      <c r="A193" s="120" t="n">
        <f aca="false">A192+1</f>
        <v>37079</v>
      </c>
      <c r="B193" s="131" t="str">
        <f aca="false">INDEX('Master Data'!$A$2:$B$8,MATCH(WEEKDAY(ELETROBOLT!A193,3),'Master Data'!$A$2:$A$8,0),2)</f>
        <v>Sa</v>
      </c>
      <c r="D193" s="124" t="n">
        <v>0</v>
      </c>
      <c r="E193" s="124" t="n">
        <v>0</v>
      </c>
      <c r="F193" s="124" t="n">
        <v>0</v>
      </c>
      <c r="G193" s="124" t="n">
        <v>0</v>
      </c>
      <c r="I193" s="124" t="n">
        <f aca="false">IF(MONTH($A193)=MONTH($A192),IF(G193=0,I192,G193),G193)</f>
        <v>0</v>
      </c>
      <c r="J193" s="124" t="n">
        <f aca="false">IF(MONTH($A193)=MONTH($A192),SUM(I193-I192),I193)</f>
        <v>0</v>
      </c>
      <c r="K193" s="124" t="n">
        <f aca="false">IF(WEEKDAY(A193,3)&gt;4,0,(IF(A193&lt;K$2,0,IF(A193&lt;=K$3,1,0))))</f>
        <v>0</v>
      </c>
      <c r="L193" s="124" t="n">
        <f aca="false">J193*K193</f>
        <v>0</v>
      </c>
      <c r="M193" s="124" t="n">
        <f aca="false">SUM(J$188:J193)</f>
        <v>0</v>
      </c>
      <c r="N193" s="124" t="n">
        <f aca="false">SUM(J$6:J193)</f>
        <v>0</v>
      </c>
      <c r="P193" s="124" t="n">
        <f aca="false">D193/P$3</f>
        <v>0</v>
      </c>
      <c r="Q193" s="124" t="n">
        <f aca="false">E193/P$3</f>
        <v>0</v>
      </c>
      <c r="R193" s="124" t="n">
        <f aca="false">F193/R$3</f>
        <v>0</v>
      </c>
      <c r="S193" s="126" t="n">
        <f aca="false">J193/$R$3</f>
        <v>0</v>
      </c>
      <c r="T193" s="126" t="n">
        <f aca="false">L193/$R$3</f>
        <v>0</v>
      </c>
      <c r="U193" s="126" t="n">
        <f aca="false">I193/$R$3</f>
        <v>0</v>
      </c>
      <c r="V193" s="126" t="n">
        <f aca="false">M193/$R$3</f>
        <v>0</v>
      </c>
      <c r="W193" s="126" t="n">
        <f aca="false">N193/$R$3</f>
        <v>0</v>
      </c>
    </row>
    <row r="194" customFormat="false" ht="12.75" hidden="true" customHeight="false" outlineLevel="0" collapsed="false">
      <c r="A194" s="120" t="n">
        <f aca="false">A193+1</f>
        <v>37080</v>
      </c>
      <c r="B194" s="131" t="str">
        <f aca="false">INDEX('Master Data'!$A$2:$B$8,MATCH(WEEKDAY(ELETROBOLT!A194,3),'Master Data'!$A$2:$A$8,0),2)</f>
        <v>Su</v>
      </c>
      <c r="D194" s="124" t="n">
        <v>0</v>
      </c>
      <c r="E194" s="124" t="n">
        <v>0</v>
      </c>
      <c r="F194" s="124" t="n">
        <v>0</v>
      </c>
      <c r="G194" s="124" t="n">
        <v>0</v>
      </c>
      <c r="I194" s="124" t="n">
        <f aca="false">IF(MONTH($A194)=MONTH($A193),IF(G194=0,I193,G194),G194)</f>
        <v>0</v>
      </c>
      <c r="J194" s="124" t="n">
        <f aca="false">IF(MONTH($A194)=MONTH($A193),SUM(I194-I193),I194)</f>
        <v>0</v>
      </c>
      <c r="K194" s="124" t="n">
        <f aca="false">IF(WEEKDAY(A194,3)&gt;4,0,(IF(A194&lt;K$2,0,IF(A194&lt;=K$3,1,0))))</f>
        <v>0</v>
      </c>
      <c r="L194" s="124" t="n">
        <f aca="false">J194*K194</f>
        <v>0</v>
      </c>
      <c r="M194" s="124" t="n">
        <f aca="false">SUM(J$188:J194)</f>
        <v>0</v>
      </c>
      <c r="N194" s="124" t="n">
        <f aca="false">SUM(J$6:J194)</f>
        <v>0</v>
      </c>
      <c r="P194" s="124" t="n">
        <f aca="false">D194/P$3</f>
        <v>0</v>
      </c>
      <c r="Q194" s="124" t="n">
        <f aca="false">E194/P$3</f>
        <v>0</v>
      </c>
      <c r="R194" s="124" t="n">
        <f aca="false">F194/R$3</f>
        <v>0</v>
      </c>
      <c r="S194" s="126" t="n">
        <f aca="false">J194/$R$3</f>
        <v>0</v>
      </c>
      <c r="T194" s="126" t="n">
        <f aca="false">L194/$R$3</f>
        <v>0</v>
      </c>
      <c r="U194" s="126" t="n">
        <f aca="false">I194/$R$3</f>
        <v>0</v>
      </c>
      <c r="V194" s="126" t="n">
        <f aca="false">M194/$R$3</f>
        <v>0</v>
      </c>
      <c r="W194" s="126" t="n">
        <f aca="false">N194/$R$3</f>
        <v>0</v>
      </c>
    </row>
    <row r="195" customFormat="false" ht="12.75" hidden="true" customHeight="false" outlineLevel="0" collapsed="false">
      <c r="A195" s="120" t="n">
        <f aca="false">A194+1</f>
        <v>37081</v>
      </c>
      <c r="B195" s="131" t="str">
        <f aca="false">INDEX('Master Data'!$A$2:$B$8,MATCH(WEEKDAY(ELETROBOLT!A195,3),'Master Data'!$A$2:$A$8,0),2)</f>
        <v>M</v>
      </c>
      <c r="D195" s="124" t="n">
        <v>0</v>
      </c>
      <c r="E195" s="124" t="n">
        <v>0</v>
      </c>
      <c r="F195" s="124" t="n">
        <v>0</v>
      </c>
      <c r="G195" s="124" t="n">
        <v>0</v>
      </c>
      <c r="I195" s="124" t="n">
        <f aca="false">IF(MONTH($A195)=MONTH($A194),IF(G195=0,I194,G195),G195)</f>
        <v>0</v>
      </c>
      <c r="J195" s="124" t="n">
        <f aca="false">IF(MONTH($A195)=MONTH($A194),SUM(I195-I194),I195)</f>
        <v>0</v>
      </c>
      <c r="K195" s="124" t="n">
        <f aca="false">IF(WEEKDAY(A195,3)&gt;4,0,(IF(A195&lt;K$2,0,IF(A195&lt;=K$3,1,0))))</f>
        <v>0</v>
      </c>
      <c r="L195" s="124" t="n">
        <f aca="false">J195*K195</f>
        <v>0</v>
      </c>
      <c r="M195" s="124" t="n">
        <f aca="false">SUM(J$188:J195)</f>
        <v>0</v>
      </c>
      <c r="N195" s="124" t="n">
        <f aca="false">SUM(J$6:J195)</f>
        <v>0</v>
      </c>
      <c r="P195" s="124" t="n">
        <f aca="false">D195/P$3</f>
        <v>0</v>
      </c>
      <c r="Q195" s="124" t="n">
        <f aca="false">E195/P$3</f>
        <v>0</v>
      </c>
      <c r="R195" s="124" t="n">
        <f aca="false">F195/R$3</f>
        <v>0</v>
      </c>
      <c r="S195" s="126" t="n">
        <f aca="false">J195/$R$3</f>
        <v>0</v>
      </c>
      <c r="T195" s="126" t="n">
        <f aca="false">L195/$R$3</f>
        <v>0</v>
      </c>
      <c r="U195" s="126" t="n">
        <f aca="false">I195/$R$3</f>
        <v>0</v>
      </c>
      <c r="V195" s="126" t="n">
        <f aca="false">M195/$R$3</f>
        <v>0</v>
      </c>
      <c r="W195" s="126" t="n">
        <f aca="false">N195/$R$3</f>
        <v>0</v>
      </c>
    </row>
    <row r="196" customFormat="false" ht="12.75" hidden="true" customHeight="false" outlineLevel="0" collapsed="false">
      <c r="A196" s="120" t="n">
        <f aca="false">A195+1</f>
        <v>37082</v>
      </c>
      <c r="B196" s="131" t="str">
        <f aca="false">INDEX('Master Data'!$A$2:$B$8,MATCH(WEEKDAY(ELETROBOLT!A196,3),'Master Data'!$A$2:$A$8,0),2)</f>
        <v>T</v>
      </c>
      <c r="D196" s="124" t="n">
        <v>0</v>
      </c>
      <c r="E196" s="124" t="n">
        <v>0</v>
      </c>
      <c r="F196" s="124" t="n">
        <v>0</v>
      </c>
      <c r="G196" s="124" t="n">
        <v>0</v>
      </c>
      <c r="I196" s="124" t="n">
        <f aca="false">IF(MONTH($A196)=MONTH($A195),IF(G196=0,I195,G196),G196)</f>
        <v>0</v>
      </c>
      <c r="J196" s="124" t="n">
        <f aca="false">IF(MONTH($A196)=MONTH($A195),SUM(I196-I195),I196)</f>
        <v>0</v>
      </c>
      <c r="K196" s="124" t="n">
        <f aca="false">IF(WEEKDAY(A196,3)&gt;4,0,(IF(A196&lt;K$2,0,IF(A196&lt;=K$3,1,0))))</f>
        <v>0</v>
      </c>
      <c r="L196" s="124" t="n">
        <f aca="false">J196*K196</f>
        <v>0</v>
      </c>
      <c r="M196" s="124" t="n">
        <f aca="false">SUM(J$188:J196)</f>
        <v>0</v>
      </c>
      <c r="N196" s="124" t="n">
        <f aca="false">SUM(J$6:J196)</f>
        <v>0</v>
      </c>
      <c r="P196" s="124" t="n">
        <f aca="false">D196/P$3</f>
        <v>0</v>
      </c>
      <c r="Q196" s="124" t="n">
        <f aca="false">E196/P$3</f>
        <v>0</v>
      </c>
      <c r="R196" s="124" t="n">
        <f aca="false">F196/R$3</f>
        <v>0</v>
      </c>
      <c r="S196" s="126" t="n">
        <f aca="false">J196/$R$3</f>
        <v>0</v>
      </c>
      <c r="T196" s="126" t="n">
        <f aca="false">L196/$R$3</f>
        <v>0</v>
      </c>
      <c r="U196" s="126" t="n">
        <f aca="false">I196/$R$3</f>
        <v>0</v>
      </c>
      <c r="V196" s="126" t="n">
        <f aca="false">M196/$R$3</f>
        <v>0</v>
      </c>
      <c r="W196" s="126" t="n">
        <f aca="false">N196/$R$3</f>
        <v>0</v>
      </c>
    </row>
    <row r="197" customFormat="false" ht="12.75" hidden="true" customHeight="false" outlineLevel="0" collapsed="false">
      <c r="A197" s="120" t="n">
        <f aca="false">A196+1</f>
        <v>37083</v>
      </c>
      <c r="B197" s="131" t="str">
        <f aca="false">INDEX('Master Data'!$A$2:$B$8,MATCH(WEEKDAY(ELETROBOLT!A197,3),'Master Data'!$A$2:$A$8,0),2)</f>
        <v>W</v>
      </c>
      <c r="D197" s="124" t="n">
        <v>0</v>
      </c>
      <c r="E197" s="124" t="n">
        <v>0</v>
      </c>
      <c r="F197" s="124" t="n">
        <v>0</v>
      </c>
      <c r="G197" s="124" t="n">
        <v>0</v>
      </c>
      <c r="I197" s="124" t="n">
        <f aca="false">IF(MONTH($A197)=MONTH($A196),IF(G197=0,I196,G197),G197)</f>
        <v>0</v>
      </c>
      <c r="J197" s="124" t="n">
        <f aca="false">IF(MONTH($A197)=MONTH($A196),SUM(I197-I196),I197)</f>
        <v>0</v>
      </c>
      <c r="K197" s="124" t="n">
        <f aca="false">IF(WEEKDAY(A197,3)&gt;4,0,(IF(A197&lt;K$2,0,IF(A197&lt;=K$3,1,0))))</f>
        <v>0</v>
      </c>
      <c r="L197" s="124" t="n">
        <f aca="false">J197*K197</f>
        <v>0</v>
      </c>
      <c r="M197" s="124" t="n">
        <f aca="false">SUM(J$188:J197)</f>
        <v>0</v>
      </c>
      <c r="N197" s="124" t="n">
        <f aca="false">SUM(J$6:J197)</f>
        <v>0</v>
      </c>
      <c r="P197" s="124" t="n">
        <f aca="false">D197/P$3</f>
        <v>0</v>
      </c>
      <c r="Q197" s="124" t="n">
        <f aca="false">E197/P$3</f>
        <v>0</v>
      </c>
      <c r="R197" s="124" t="n">
        <f aca="false">F197/R$3</f>
        <v>0</v>
      </c>
      <c r="S197" s="126" t="n">
        <f aca="false">J197/$R$3</f>
        <v>0</v>
      </c>
      <c r="T197" s="126" t="n">
        <f aca="false">L197/$R$3</f>
        <v>0</v>
      </c>
      <c r="U197" s="126" t="n">
        <f aca="false">I197/$R$3</f>
        <v>0</v>
      </c>
      <c r="V197" s="126" t="n">
        <f aca="false">M197/$R$3</f>
        <v>0</v>
      </c>
      <c r="W197" s="126" t="n">
        <f aca="false">N197/$R$3</f>
        <v>0</v>
      </c>
    </row>
    <row r="198" customFormat="false" ht="12.75" hidden="true" customHeight="false" outlineLevel="0" collapsed="false">
      <c r="A198" s="120" t="n">
        <f aca="false">A197+1</f>
        <v>37084</v>
      </c>
      <c r="B198" s="131" t="str">
        <f aca="false">INDEX('Master Data'!$A$2:$B$8,MATCH(WEEKDAY(ELETROBOLT!A198,3),'Master Data'!$A$2:$A$8,0),2)</f>
        <v>Th</v>
      </c>
      <c r="D198" s="124" t="n">
        <v>0</v>
      </c>
      <c r="E198" s="124" t="n">
        <v>0</v>
      </c>
      <c r="F198" s="124" t="n">
        <v>0</v>
      </c>
      <c r="G198" s="124" t="n">
        <v>0</v>
      </c>
      <c r="I198" s="124" t="n">
        <f aca="false">IF(MONTH($A198)=MONTH($A197),IF(G198=0,I197,G198),G198)</f>
        <v>0</v>
      </c>
      <c r="J198" s="124" t="n">
        <f aca="false">IF(MONTH($A198)=MONTH($A197),SUM(I198-I197),I198)</f>
        <v>0</v>
      </c>
      <c r="K198" s="124" t="n">
        <f aca="false">IF(WEEKDAY(A198,3)&gt;4,0,(IF(A198&lt;K$2,0,IF(A198&lt;=K$3,1,0))))</f>
        <v>0</v>
      </c>
      <c r="L198" s="124" t="n">
        <f aca="false">J198*K198</f>
        <v>0</v>
      </c>
      <c r="M198" s="124" t="n">
        <f aca="false">SUM(J$188:J198)</f>
        <v>0</v>
      </c>
      <c r="N198" s="124" t="n">
        <f aca="false">SUM(J$6:J198)</f>
        <v>0</v>
      </c>
      <c r="P198" s="124" t="n">
        <f aca="false">D198/P$3</f>
        <v>0</v>
      </c>
      <c r="Q198" s="124" t="n">
        <f aca="false">E198/P$3</f>
        <v>0</v>
      </c>
      <c r="R198" s="124" t="n">
        <f aca="false">F198/R$3</f>
        <v>0</v>
      </c>
      <c r="S198" s="126" t="n">
        <f aca="false">J198/$R$3</f>
        <v>0</v>
      </c>
      <c r="T198" s="126" t="n">
        <f aca="false">L198/$R$3</f>
        <v>0</v>
      </c>
      <c r="U198" s="126" t="n">
        <f aca="false">I198/$R$3</f>
        <v>0</v>
      </c>
      <c r="V198" s="126" t="n">
        <f aca="false">M198/$R$3</f>
        <v>0</v>
      </c>
      <c r="W198" s="126" t="n">
        <f aca="false">N198/$R$3</f>
        <v>0</v>
      </c>
    </row>
    <row r="199" customFormat="false" ht="12.75" hidden="true" customHeight="false" outlineLevel="0" collapsed="false">
      <c r="A199" s="120" t="n">
        <f aca="false">A198+1</f>
        <v>37085</v>
      </c>
      <c r="B199" s="131" t="str">
        <f aca="false">INDEX('Master Data'!$A$2:$B$8,MATCH(WEEKDAY(ELETROBOLT!A199,3),'Master Data'!$A$2:$A$8,0),2)</f>
        <v>F</v>
      </c>
      <c r="D199" s="124" t="n">
        <v>0</v>
      </c>
      <c r="E199" s="124" t="n">
        <v>0</v>
      </c>
      <c r="F199" s="124" t="n">
        <v>0</v>
      </c>
      <c r="G199" s="124" t="n">
        <v>0</v>
      </c>
      <c r="I199" s="124" t="n">
        <f aca="false">IF(MONTH($A199)=MONTH($A198),IF(G199=0,I198,G199),G199)</f>
        <v>0</v>
      </c>
      <c r="J199" s="124" t="n">
        <f aca="false">IF(MONTH($A199)=MONTH($A198),SUM(I199-I198),I199)</f>
        <v>0</v>
      </c>
      <c r="K199" s="124" t="n">
        <f aca="false">IF(WEEKDAY(A199,3)&gt;4,0,(IF(A199&lt;K$2,0,IF(A199&lt;=K$3,1,0))))</f>
        <v>0</v>
      </c>
      <c r="L199" s="124" t="n">
        <f aca="false">J199*K199</f>
        <v>0</v>
      </c>
      <c r="M199" s="124" t="n">
        <f aca="false">SUM(J$188:J199)</f>
        <v>0</v>
      </c>
      <c r="N199" s="124" t="n">
        <f aca="false">SUM(J$6:J199)</f>
        <v>0</v>
      </c>
      <c r="P199" s="124" t="n">
        <f aca="false">D199/P$3</f>
        <v>0</v>
      </c>
      <c r="Q199" s="124" t="n">
        <f aca="false">E199/P$3</f>
        <v>0</v>
      </c>
      <c r="R199" s="124" t="n">
        <f aca="false">F199/R$3</f>
        <v>0</v>
      </c>
      <c r="S199" s="126" t="n">
        <f aca="false">J199/$R$3</f>
        <v>0</v>
      </c>
      <c r="T199" s="126" t="n">
        <f aca="false">L199/$R$3</f>
        <v>0</v>
      </c>
      <c r="U199" s="126" t="n">
        <f aca="false">I199/$R$3</f>
        <v>0</v>
      </c>
      <c r="V199" s="126" t="n">
        <f aca="false">M199/$R$3</f>
        <v>0</v>
      </c>
      <c r="W199" s="126" t="n">
        <f aca="false">N199/$R$3</f>
        <v>0</v>
      </c>
    </row>
    <row r="200" customFormat="false" ht="12.75" hidden="true" customHeight="false" outlineLevel="0" collapsed="false">
      <c r="A200" s="120" t="n">
        <f aca="false">A199+1</f>
        <v>37086</v>
      </c>
      <c r="B200" s="131" t="str">
        <f aca="false">INDEX('Master Data'!$A$2:$B$8,MATCH(WEEKDAY(ELETROBOLT!A200,3),'Master Data'!$A$2:$A$8,0),2)</f>
        <v>Sa</v>
      </c>
      <c r="D200" s="124" t="n">
        <v>0</v>
      </c>
      <c r="E200" s="124" t="n">
        <v>0</v>
      </c>
      <c r="F200" s="124" t="n">
        <v>0</v>
      </c>
      <c r="G200" s="124" t="n">
        <v>0</v>
      </c>
      <c r="I200" s="124" t="n">
        <f aca="false">IF(MONTH($A200)=MONTH($A199),IF(G200=0,I199,G200),G200)</f>
        <v>0</v>
      </c>
      <c r="J200" s="124" t="n">
        <f aca="false">IF(MONTH($A200)=MONTH($A199),SUM(I200-I199),I200)</f>
        <v>0</v>
      </c>
      <c r="K200" s="124" t="n">
        <f aca="false">IF(WEEKDAY(A200,3)&gt;4,0,(IF(A200&lt;K$2,0,IF(A200&lt;=K$3,1,0))))</f>
        <v>0</v>
      </c>
      <c r="L200" s="124" t="n">
        <f aca="false">J200*K200</f>
        <v>0</v>
      </c>
      <c r="M200" s="124" t="n">
        <f aca="false">SUM(J$188:J200)</f>
        <v>0</v>
      </c>
      <c r="N200" s="124" t="n">
        <f aca="false">SUM(J$6:J200)</f>
        <v>0</v>
      </c>
      <c r="P200" s="124" t="n">
        <f aca="false">D200/P$3</f>
        <v>0</v>
      </c>
      <c r="Q200" s="124" t="n">
        <f aca="false">E200/P$3</f>
        <v>0</v>
      </c>
      <c r="R200" s="124" t="n">
        <f aca="false">F200/R$3</f>
        <v>0</v>
      </c>
      <c r="S200" s="126" t="n">
        <f aca="false">J200/$R$3</f>
        <v>0</v>
      </c>
      <c r="T200" s="126" t="n">
        <f aca="false">L200/$R$3</f>
        <v>0</v>
      </c>
      <c r="U200" s="126" t="n">
        <f aca="false">I200/$R$3</f>
        <v>0</v>
      </c>
      <c r="V200" s="126" t="n">
        <f aca="false">M200/$R$3</f>
        <v>0</v>
      </c>
      <c r="W200" s="126" t="n">
        <f aca="false">N200/$R$3</f>
        <v>0</v>
      </c>
    </row>
    <row r="201" customFormat="false" ht="12.75" hidden="true" customHeight="false" outlineLevel="0" collapsed="false">
      <c r="A201" s="120" t="n">
        <f aca="false">A200+1</f>
        <v>37087</v>
      </c>
      <c r="B201" s="131" t="str">
        <f aca="false">INDEX('Master Data'!$A$2:$B$8,MATCH(WEEKDAY(ELETROBOLT!A201,3),'Master Data'!$A$2:$A$8,0),2)</f>
        <v>Su</v>
      </c>
      <c r="D201" s="124" t="n">
        <v>0</v>
      </c>
      <c r="E201" s="124" t="n">
        <v>0</v>
      </c>
      <c r="F201" s="124" t="n">
        <v>0</v>
      </c>
      <c r="G201" s="124" t="n">
        <v>0</v>
      </c>
      <c r="I201" s="124" t="n">
        <f aca="false">IF(MONTH($A201)=MONTH($A200),IF(G201=0,I200,G201),G201)</f>
        <v>0</v>
      </c>
      <c r="J201" s="124" t="n">
        <f aca="false">IF(MONTH($A201)=MONTH($A200),SUM(I201-I200),I201)</f>
        <v>0</v>
      </c>
      <c r="K201" s="124" t="n">
        <f aca="false">IF(WEEKDAY(A201,3)&gt;4,0,(IF(A201&lt;K$2,0,IF(A201&lt;=K$3,1,0))))</f>
        <v>0</v>
      </c>
      <c r="L201" s="124" t="n">
        <f aca="false">J201*K201</f>
        <v>0</v>
      </c>
      <c r="M201" s="124" t="n">
        <f aca="false">SUM(J$188:J201)</f>
        <v>0</v>
      </c>
      <c r="N201" s="124" t="n">
        <f aca="false">SUM(J$6:J201)</f>
        <v>0</v>
      </c>
      <c r="P201" s="124" t="n">
        <f aca="false">D201/P$3</f>
        <v>0</v>
      </c>
      <c r="Q201" s="124" t="n">
        <f aca="false">E201/P$3</f>
        <v>0</v>
      </c>
      <c r="R201" s="124" t="n">
        <f aca="false">F201/R$3</f>
        <v>0</v>
      </c>
      <c r="S201" s="126" t="n">
        <f aca="false">J201/$R$3</f>
        <v>0</v>
      </c>
      <c r="T201" s="126" t="n">
        <f aca="false">L201/$R$3</f>
        <v>0</v>
      </c>
      <c r="U201" s="126" t="n">
        <f aca="false">I201/$R$3</f>
        <v>0</v>
      </c>
      <c r="V201" s="126" t="n">
        <f aca="false">M201/$R$3</f>
        <v>0</v>
      </c>
      <c r="W201" s="126" t="n">
        <f aca="false">N201/$R$3</f>
        <v>0</v>
      </c>
    </row>
    <row r="202" customFormat="false" ht="12.75" hidden="true" customHeight="false" outlineLevel="0" collapsed="false">
      <c r="A202" s="120" t="n">
        <f aca="false">A201+1</f>
        <v>37088</v>
      </c>
      <c r="B202" s="131" t="str">
        <f aca="false">INDEX('Master Data'!$A$2:$B$8,MATCH(WEEKDAY(ELETROBOLT!A202,3),'Master Data'!$A$2:$A$8,0),2)</f>
        <v>M</v>
      </c>
      <c r="D202" s="124" t="n">
        <v>0</v>
      </c>
      <c r="E202" s="124" t="n">
        <v>0</v>
      </c>
      <c r="F202" s="124" t="n">
        <v>0</v>
      </c>
      <c r="G202" s="124" t="n">
        <v>0</v>
      </c>
      <c r="I202" s="124" t="n">
        <f aca="false">IF(MONTH($A202)=MONTH($A201),IF(G202=0,I201,G202),G202)</f>
        <v>0</v>
      </c>
      <c r="J202" s="124" t="n">
        <f aca="false">IF(MONTH($A202)=MONTH($A201),SUM(I202-I201),I202)</f>
        <v>0</v>
      </c>
      <c r="K202" s="124" t="n">
        <f aca="false">IF(WEEKDAY(A202,3)&gt;4,0,(IF(A202&lt;K$2,0,IF(A202&lt;=K$3,1,0))))</f>
        <v>0</v>
      </c>
      <c r="L202" s="124" t="n">
        <f aca="false">J202*K202</f>
        <v>0</v>
      </c>
      <c r="M202" s="124" t="n">
        <f aca="false">SUM(J$188:J202)</f>
        <v>0</v>
      </c>
      <c r="N202" s="124" t="n">
        <f aca="false">SUM(J$6:J202)</f>
        <v>0</v>
      </c>
      <c r="P202" s="124" t="n">
        <f aca="false">D202/P$3</f>
        <v>0</v>
      </c>
      <c r="Q202" s="124" t="n">
        <f aca="false">E202/P$3</f>
        <v>0</v>
      </c>
      <c r="R202" s="124" t="n">
        <f aca="false">F202/R$3</f>
        <v>0</v>
      </c>
      <c r="S202" s="126" t="n">
        <f aca="false">J202/$R$3</f>
        <v>0</v>
      </c>
      <c r="T202" s="126" t="n">
        <f aca="false">L202/$R$3</f>
        <v>0</v>
      </c>
      <c r="U202" s="126" t="n">
        <f aca="false">I202/$R$3</f>
        <v>0</v>
      </c>
      <c r="V202" s="126" t="n">
        <f aca="false">M202/$R$3</f>
        <v>0</v>
      </c>
      <c r="W202" s="126" t="n">
        <f aca="false">N202/$R$3</f>
        <v>0</v>
      </c>
    </row>
    <row r="203" customFormat="false" ht="12.75" hidden="true" customHeight="false" outlineLevel="0" collapsed="false">
      <c r="A203" s="120" t="n">
        <f aca="false">A202+1</f>
        <v>37089</v>
      </c>
      <c r="B203" s="131" t="str">
        <f aca="false">INDEX('Master Data'!$A$2:$B$8,MATCH(WEEKDAY(ELETROBOLT!A203,3),'Master Data'!$A$2:$A$8,0),2)</f>
        <v>T</v>
      </c>
      <c r="D203" s="124" t="n">
        <v>0</v>
      </c>
      <c r="E203" s="124" t="n">
        <v>0</v>
      </c>
      <c r="F203" s="124" t="n">
        <v>0</v>
      </c>
      <c r="G203" s="124" t="n">
        <v>0</v>
      </c>
      <c r="I203" s="124" t="n">
        <f aca="false">IF(MONTH($A203)=MONTH($A202),IF(G203=0,I202,G203),G203)</f>
        <v>0</v>
      </c>
      <c r="J203" s="124" t="n">
        <f aca="false">IF(MONTH($A203)=MONTH($A202),SUM(I203-I202),I203)</f>
        <v>0</v>
      </c>
      <c r="K203" s="124" t="n">
        <f aca="false">IF(WEEKDAY(A203,3)&gt;4,0,(IF(A203&lt;K$2,0,IF(A203&lt;=K$3,1,0))))</f>
        <v>0</v>
      </c>
      <c r="L203" s="124" t="n">
        <f aca="false">J203*K203</f>
        <v>0</v>
      </c>
      <c r="M203" s="124" t="n">
        <f aca="false">SUM(J$188:J203)</f>
        <v>0</v>
      </c>
      <c r="N203" s="124" t="n">
        <f aca="false">SUM(J$6:J203)</f>
        <v>0</v>
      </c>
      <c r="P203" s="124" t="n">
        <f aca="false">D203/P$3</f>
        <v>0</v>
      </c>
      <c r="Q203" s="124" t="n">
        <f aca="false">E203/P$3</f>
        <v>0</v>
      </c>
      <c r="R203" s="124" t="n">
        <f aca="false">F203/R$3</f>
        <v>0</v>
      </c>
      <c r="S203" s="126" t="n">
        <f aca="false">J203/$R$3</f>
        <v>0</v>
      </c>
      <c r="T203" s="126" t="n">
        <f aca="false">L203/$R$3</f>
        <v>0</v>
      </c>
      <c r="U203" s="126" t="n">
        <f aca="false">I203/$R$3</f>
        <v>0</v>
      </c>
      <c r="V203" s="126" t="n">
        <f aca="false">M203/$R$3</f>
        <v>0</v>
      </c>
      <c r="W203" s="126" t="n">
        <f aca="false">N203/$R$3</f>
        <v>0</v>
      </c>
    </row>
    <row r="204" customFormat="false" ht="12.75" hidden="true" customHeight="false" outlineLevel="0" collapsed="false">
      <c r="A204" s="120" t="n">
        <f aca="false">A203+1</f>
        <v>37090</v>
      </c>
      <c r="B204" s="131" t="str">
        <f aca="false">INDEX('Master Data'!$A$2:$B$8,MATCH(WEEKDAY(ELETROBOLT!A204,3),'Master Data'!$A$2:$A$8,0),2)</f>
        <v>W</v>
      </c>
      <c r="D204" s="124" t="n">
        <v>0</v>
      </c>
      <c r="E204" s="124" t="n">
        <v>0</v>
      </c>
      <c r="F204" s="124" t="n">
        <v>0</v>
      </c>
      <c r="G204" s="124" t="n">
        <v>0</v>
      </c>
      <c r="I204" s="124" t="n">
        <f aca="false">IF(MONTH($A204)=MONTH($A203),IF(G204=0,I203,G204),G204)</f>
        <v>0</v>
      </c>
      <c r="J204" s="124" t="n">
        <f aca="false">IF(MONTH($A204)=MONTH($A203),SUM(I204-I203),I204)</f>
        <v>0</v>
      </c>
      <c r="K204" s="124" t="n">
        <f aca="false">IF(WEEKDAY(A204,3)&gt;4,0,(IF(A204&lt;K$2,0,IF(A204&lt;=K$3,1,0))))</f>
        <v>0</v>
      </c>
      <c r="L204" s="124" t="n">
        <f aca="false">J204*K204</f>
        <v>0</v>
      </c>
      <c r="M204" s="124" t="n">
        <f aca="false">SUM(J$188:J204)</f>
        <v>0</v>
      </c>
      <c r="N204" s="124" t="n">
        <f aca="false">SUM(J$6:J204)</f>
        <v>0</v>
      </c>
      <c r="P204" s="124" t="n">
        <f aca="false">D204/P$3</f>
        <v>0</v>
      </c>
      <c r="Q204" s="124" t="n">
        <f aca="false">E204/P$3</f>
        <v>0</v>
      </c>
      <c r="R204" s="124" t="n">
        <f aca="false">F204/R$3</f>
        <v>0</v>
      </c>
      <c r="S204" s="126" t="n">
        <f aca="false">J204/$R$3</f>
        <v>0</v>
      </c>
      <c r="T204" s="126" t="n">
        <f aca="false">L204/$R$3</f>
        <v>0</v>
      </c>
      <c r="U204" s="126" t="n">
        <f aca="false">I204/$R$3</f>
        <v>0</v>
      </c>
      <c r="V204" s="126" t="n">
        <f aca="false">M204/$R$3</f>
        <v>0</v>
      </c>
      <c r="W204" s="126" t="n">
        <f aca="false">N204/$R$3</f>
        <v>0</v>
      </c>
    </row>
    <row r="205" customFormat="false" ht="12.75" hidden="true" customHeight="false" outlineLevel="0" collapsed="false">
      <c r="A205" s="120" t="n">
        <f aca="false">A204+1</f>
        <v>37091</v>
      </c>
      <c r="B205" s="131" t="str">
        <f aca="false">INDEX('Master Data'!$A$2:$B$8,MATCH(WEEKDAY(ELETROBOLT!A205,3),'Master Data'!$A$2:$A$8,0),2)</f>
        <v>Th</v>
      </c>
      <c r="D205" s="124" t="n">
        <v>0</v>
      </c>
      <c r="E205" s="124" t="n">
        <v>0</v>
      </c>
      <c r="F205" s="124" t="n">
        <v>0</v>
      </c>
      <c r="G205" s="124" t="n">
        <v>0</v>
      </c>
      <c r="I205" s="124" t="n">
        <f aca="false">IF(MONTH($A205)=MONTH($A204),IF(G205=0,I204,G205),G205)</f>
        <v>0</v>
      </c>
      <c r="J205" s="124" t="n">
        <f aca="false">IF(MONTH($A205)=MONTH($A204),SUM(I205-I204),I205)</f>
        <v>0</v>
      </c>
      <c r="K205" s="124" t="n">
        <f aca="false">IF(WEEKDAY(A205,3)&gt;4,0,(IF(A205&lt;K$2,0,IF(A205&lt;=K$3,1,0))))</f>
        <v>0</v>
      </c>
      <c r="L205" s="124" t="n">
        <f aca="false">J205*K205</f>
        <v>0</v>
      </c>
      <c r="M205" s="124" t="n">
        <f aca="false">SUM(J$188:J205)</f>
        <v>0</v>
      </c>
      <c r="N205" s="124" t="n">
        <f aca="false">SUM(J$6:J205)</f>
        <v>0</v>
      </c>
      <c r="P205" s="124" t="n">
        <f aca="false">D205/P$3</f>
        <v>0</v>
      </c>
      <c r="Q205" s="124" t="n">
        <f aca="false">E205/P$3</f>
        <v>0</v>
      </c>
      <c r="R205" s="124" t="n">
        <f aca="false">F205/R$3</f>
        <v>0</v>
      </c>
      <c r="S205" s="126" t="n">
        <f aca="false">J205/$R$3</f>
        <v>0</v>
      </c>
      <c r="T205" s="126" t="n">
        <f aca="false">L205/$R$3</f>
        <v>0</v>
      </c>
      <c r="U205" s="126" t="n">
        <f aca="false">I205/$R$3</f>
        <v>0</v>
      </c>
      <c r="V205" s="126" t="n">
        <f aca="false">M205/$R$3</f>
        <v>0</v>
      </c>
      <c r="W205" s="126" t="n">
        <f aca="false">N205/$R$3</f>
        <v>0</v>
      </c>
    </row>
    <row r="206" customFormat="false" ht="12.75" hidden="true" customHeight="false" outlineLevel="0" collapsed="false">
      <c r="A206" s="120" t="n">
        <f aca="false">A205+1</f>
        <v>37092</v>
      </c>
      <c r="B206" s="131" t="str">
        <f aca="false">INDEX('Master Data'!$A$2:$B$8,MATCH(WEEKDAY(ELETROBOLT!A206,3),'Master Data'!$A$2:$A$8,0),2)</f>
        <v>F</v>
      </c>
      <c r="D206" s="124" t="n">
        <v>0</v>
      </c>
      <c r="E206" s="124" t="n">
        <v>0</v>
      </c>
      <c r="F206" s="124" t="n">
        <v>0</v>
      </c>
      <c r="G206" s="124" t="n">
        <v>0</v>
      </c>
      <c r="I206" s="124" t="n">
        <f aca="false">IF(MONTH($A206)=MONTH($A205),IF(G206=0,I205,G206),G206)</f>
        <v>0</v>
      </c>
      <c r="J206" s="124" t="n">
        <f aca="false">IF(MONTH($A206)=MONTH($A205),SUM(I206-I205),I206)</f>
        <v>0</v>
      </c>
      <c r="K206" s="124" t="n">
        <f aca="false">IF(WEEKDAY(A206,3)&gt;4,0,(IF(A206&lt;K$2,0,IF(A206&lt;=K$3,1,0))))</f>
        <v>0</v>
      </c>
      <c r="L206" s="124" t="n">
        <f aca="false">J206*K206</f>
        <v>0</v>
      </c>
      <c r="M206" s="124" t="n">
        <f aca="false">SUM(J$188:J206)</f>
        <v>0</v>
      </c>
      <c r="N206" s="124" t="n">
        <f aca="false">SUM(J$6:J206)</f>
        <v>0</v>
      </c>
      <c r="P206" s="124" t="n">
        <f aca="false">D206/P$3</f>
        <v>0</v>
      </c>
      <c r="Q206" s="124" t="n">
        <f aca="false">E206/P$3</f>
        <v>0</v>
      </c>
      <c r="R206" s="124" t="n">
        <f aca="false">F206/R$3</f>
        <v>0</v>
      </c>
      <c r="S206" s="126" t="n">
        <f aca="false">J206/$R$3</f>
        <v>0</v>
      </c>
      <c r="T206" s="126" t="n">
        <f aca="false">L206/$R$3</f>
        <v>0</v>
      </c>
      <c r="U206" s="126" t="n">
        <f aca="false">I206/$R$3</f>
        <v>0</v>
      </c>
      <c r="V206" s="126" t="n">
        <f aca="false">M206/$R$3</f>
        <v>0</v>
      </c>
      <c r="W206" s="126" t="n">
        <f aca="false">N206/$R$3</f>
        <v>0</v>
      </c>
    </row>
    <row r="207" customFormat="false" ht="12.75" hidden="true" customHeight="false" outlineLevel="0" collapsed="false">
      <c r="A207" s="120" t="n">
        <f aca="false">A206+1</f>
        <v>37093</v>
      </c>
      <c r="B207" s="131" t="str">
        <f aca="false">INDEX('Master Data'!$A$2:$B$8,MATCH(WEEKDAY(ELETROBOLT!A207,3),'Master Data'!$A$2:$A$8,0),2)</f>
        <v>Sa</v>
      </c>
      <c r="D207" s="124" t="n">
        <v>0</v>
      </c>
      <c r="E207" s="124" t="n">
        <v>0</v>
      </c>
      <c r="F207" s="124" t="n">
        <v>0</v>
      </c>
      <c r="G207" s="124" t="n">
        <v>0</v>
      </c>
      <c r="I207" s="124" t="n">
        <f aca="false">IF(MONTH($A207)=MONTH($A206),IF(G207=0,I206,G207),G207)</f>
        <v>0</v>
      </c>
      <c r="J207" s="124" t="n">
        <f aca="false">IF(MONTH($A207)=MONTH($A206),SUM(I207-I206),I207)</f>
        <v>0</v>
      </c>
      <c r="K207" s="124" t="n">
        <f aca="false">IF(WEEKDAY(A207,3)&gt;4,0,(IF(A207&lt;K$2,0,IF(A207&lt;=K$3,1,0))))</f>
        <v>0</v>
      </c>
      <c r="L207" s="124" t="n">
        <f aca="false">J207*K207</f>
        <v>0</v>
      </c>
      <c r="M207" s="124" t="n">
        <f aca="false">SUM(J$188:J207)</f>
        <v>0</v>
      </c>
      <c r="N207" s="124" t="n">
        <f aca="false">SUM(J$6:J207)</f>
        <v>0</v>
      </c>
      <c r="P207" s="124" t="n">
        <f aca="false">D207/P$3</f>
        <v>0</v>
      </c>
      <c r="Q207" s="124" t="n">
        <f aca="false">E207/P$3</f>
        <v>0</v>
      </c>
      <c r="R207" s="124" t="n">
        <f aca="false">F207/R$3</f>
        <v>0</v>
      </c>
      <c r="S207" s="126" t="n">
        <f aca="false">J207/$R$3</f>
        <v>0</v>
      </c>
      <c r="T207" s="126" t="n">
        <f aca="false">L207/$R$3</f>
        <v>0</v>
      </c>
      <c r="U207" s="126" t="n">
        <f aca="false">I207/$R$3</f>
        <v>0</v>
      </c>
      <c r="V207" s="126" t="n">
        <f aca="false">M207/$R$3</f>
        <v>0</v>
      </c>
      <c r="W207" s="126" t="n">
        <f aca="false">N207/$R$3</f>
        <v>0</v>
      </c>
    </row>
    <row r="208" customFormat="false" ht="12.75" hidden="true" customHeight="false" outlineLevel="0" collapsed="false">
      <c r="A208" s="120" t="n">
        <f aca="false">A207+1</f>
        <v>37094</v>
      </c>
      <c r="B208" s="131" t="str">
        <f aca="false">INDEX('Master Data'!$A$2:$B$8,MATCH(WEEKDAY(ELETROBOLT!A208,3),'Master Data'!$A$2:$A$8,0),2)</f>
        <v>Su</v>
      </c>
      <c r="D208" s="124" t="n">
        <v>0</v>
      </c>
      <c r="E208" s="124" t="n">
        <v>0</v>
      </c>
      <c r="F208" s="124" t="n">
        <v>0</v>
      </c>
      <c r="G208" s="124" t="n">
        <v>0</v>
      </c>
      <c r="I208" s="124" t="n">
        <f aca="false">IF(MONTH($A208)=MONTH($A207),IF(G208=0,I207,G208),G208)</f>
        <v>0</v>
      </c>
      <c r="J208" s="124" t="n">
        <f aca="false">IF(MONTH($A208)=MONTH($A207),SUM(I208-I207),I208)</f>
        <v>0</v>
      </c>
      <c r="K208" s="124" t="n">
        <f aca="false">IF(WEEKDAY(A208,3)&gt;4,0,(IF(A208&lt;K$2,0,IF(A208&lt;=K$3,1,0))))</f>
        <v>0</v>
      </c>
      <c r="L208" s="124" t="n">
        <f aca="false">J208*K208</f>
        <v>0</v>
      </c>
      <c r="M208" s="124" t="n">
        <f aca="false">SUM(J$188:J208)</f>
        <v>0</v>
      </c>
      <c r="N208" s="124" t="n">
        <f aca="false">SUM(J$6:J208)</f>
        <v>0</v>
      </c>
      <c r="P208" s="124" t="n">
        <f aca="false">D208/P$3</f>
        <v>0</v>
      </c>
      <c r="Q208" s="124" t="n">
        <f aca="false">E208/P$3</f>
        <v>0</v>
      </c>
      <c r="R208" s="124" t="n">
        <f aca="false">F208/R$3</f>
        <v>0</v>
      </c>
      <c r="S208" s="126" t="n">
        <f aca="false">J208/$R$3</f>
        <v>0</v>
      </c>
      <c r="T208" s="126" t="n">
        <f aca="false">L208/$R$3</f>
        <v>0</v>
      </c>
      <c r="U208" s="126" t="n">
        <f aca="false">I208/$R$3</f>
        <v>0</v>
      </c>
      <c r="V208" s="126" t="n">
        <f aca="false">M208/$R$3</f>
        <v>0</v>
      </c>
      <c r="W208" s="126" t="n">
        <f aca="false">N208/$R$3</f>
        <v>0</v>
      </c>
    </row>
    <row r="209" customFormat="false" ht="12.75" hidden="true" customHeight="false" outlineLevel="0" collapsed="false">
      <c r="A209" s="120" t="n">
        <f aca="false">A208+1</f>
        <v>37095</v>
      </c>
      <c r="B209" s="131" t="str">
        <f aca="false">INDEX('Master Data'!$A$2:$B$8,MATCH(WEEKDAY(ELETROBOLT!A209,3),'Master Data'!$A$2:$A$8,0),2)</f>
        <v>M</v>
      </c>
      <c r="D209" s="124" t="n">
        <v>0</v>
      </c>
      <c r="E209" s="124" t="n">
        <v>0</v>
      </c>
      <c r="F209" s="124" t="n">
        <v>0</v>
      </c>
      <c r="G209" s="124" t="n">
        <v>0</v>
      </c>
      <c r="I209" s="124" t="n">
        <f aca="false">IF(MONTH($A209)=MONTH($A208),IF(G209=0,I208,G209),G209)</f>
        <v>0</v>
      </c>
      <c r="J209" s="124" t="n">
        <f aca="false">IF(MONTH($A209)=MONTH($A208),SUM(I209-I208),I209)</f>
        <v>0</v>
      </c>
      <c r="K209" s="124" t="n">
        <f aca="false">IF(WEEKDAY(A209,3)&gt;4,0,(IF(A209&lt;K$2,0,IF(A209&lt;=K$3,1,0))))</f>
        <v>0</v>
      </c>
      <c r="L209" s="124" t="n">
        <f aca="false">J209*K209</f>
        <v>0</v>
      </c>
      <c r="M209" s="124" t="n">
        <f aca="false">SUM(J$188:J209)</f>
        <v>0</v>
      </c>
      <c r="N209" s="124" t="n">
        <f aca="false">SUM(J$6:J209)</f>
        <v>0</v>
      </c>
      <c r="P209" s="124" t="n">
        <f aca="false">D209/P$3</f>
        <v>0</v>
      </c>
      <c r="Q209" s="124" t="n">
        <f aca="false">E209/P$3</f>
        <v>0</v>
      </c>
      <c r="R209" s="124" t="n">
        <f aca="false">F209/R$3</f>
        <v>0</v>
      </c>
      <c r="S209" s="126" t="n">
        <f aca="false">J209/$R$3</f>
        <v>0</v>
      </c>
      <c r="T209" s="126" t="n">
        <f aca="false">L209/$R$3</f>
        <v>0</v>
      </c>
      <c r="U209" s="126" t="n">
        <f aca="false">I209/$R$3</f>
        <v>0</v>
      </c>
      <c r="V209" s="126" t="n">
        <f aca="false">M209/$R$3</f>
        <v>0</v>
      </c>
      <c r="W209" s="126" t="n">
        <f aca="false">N209/$R$3</f>
        <v>0</v>
      </c>
    </row>
    <row r="210" customFormat="false" ht="12.75" hidden="true" customHeight="false" outlineLevel="0" collapsed="false">
      <c r="A210" s="120" t="n">
        <f aca="false">A209+1</f>
        <v>37096</v>
      </c>
      <c r="B210" s="131" t="str">
        <f aca="false">INDEX('Master Data'!$A$2:$B$8,MATCH(WEEKDAY(ELETROBOLT!A210,3),'Master Data'!$A$2:$A$8,0),2)</f>
        <v>T</v>
      </c>
      <c r="D210" s="124" t="n">
        <v>0</v>
      </c>
      <c r="E210" s="124" t="n">
        <v>0</v>
      </c>
      <c r="F210" s="124" t="n">
        <v>0</v>
      </c>
      <c r="G210" s="124" t="n">
        <v>0</v>
      </c>
      <c r="I210" s="124" t="n">
        <f aca="false">IF(MONTH($A210)=MONTH($A209),IF(G210=0,I209,G210),G210)</f>
        <v>0</v>
      </c>
      <c r="J210" s="124" t="n">
        <f aca="false">IF(MONTH($A210)=MONTH($A209),SUM(I210-I209),I210)</f>
        <v>0</v>
      </c>
      <c r="K210" s="124" t="n">
        <f aca="false">IF(WEEKDAY(A210,3)&gt;4,0,(IF(A210&lt;K$2,0,IF(A210&lt;=K$3,1,0))))</f>
        <v>0</v>
      </c>
      <c r="L210" s="124" t="n">
        <f aca="false">J210*K210</f>
        <v>0</v>
      </c>
      <c r="M210" s="124" t="n">
        <f aca="false">SUM(J$188:J210)</f>
        <v>0</v>
      </c>
      <c r="N210" s="124" t="n">
        <f aca="false">SUM(J$6:J210)</f>
        <v>0</v>
      </c>
      <c r="P210" s="124" t="n">
        <f aca="false">D210/P$3</f>
        <v>0</v>
      </c>
      <c r="Q210" s="124" t="n">
        <f aca="false">E210/P$3</f>
        <v>0</v>
      </c>
      <c r="R210" s="124" t="n">
        <f aca="false">F210/R$3</f>
        <v>0</v>
      </c>
      <c r="S210" s="126" t="n">
        <f aca="false">J210/$R$3</f>
        <v>0</v>
      </c>
      <c r="T210" s="126" t="n">
        <f aca="false">L210/$R$3</f>
        <v>0</v>
      </c>
      <c r="U210" s="126" t="n">
        <f aca="false">I210/$R$3</f>
        <v>0</v>
      </c>
      <c r="V210" s="126" t="n">
        <f aca="false">M210/$R$3</f>
        <v>0</v>
      </c>
      <c r="W210" s="126" t="n">
        <f aca="false">N210/$R$3</f>
        <v>0</v>
      </c>
    </row>
    <row r="211" customFormat="false" ht="12.75" hidden="true" customHeight="false" outlineLevel="0" collapsed="false">
      <c r="A211" s="120" t="n">
        <f aca="false">A210+1</f>
        <v>37097</v>
      </c>
      <c r="B211" s="131" t="str">
        <f aca="false">INDEX('Master Data'!$A$2:$B$8,MATCH(WEEKDAY(ELETROBOLT!A211,3),'Master Data'!$A$2:$A$8,0),2)</f>
        <v>W</v>
      </c>
      <c r="D211" s="124" t="n">
        <v>0</v>
      </c>
      <c r="E211" s="124" t="n">
        <v>0</v>
      </c>
      <c r="F211" s="124" t="n">
        <v>0</v>
      </c>
      <c r="G211" s="124" t="n">
        <v>0</v>
      </c>
      <c r="I211" s="124" t="n">
        <f aca="false">IF(MONTH($A211)=MONTH($A210),IF(G211=0,I210,G211),G211)</f>
        <v>0</v>
      </c>
      <c r="J211" s="124" t="n">
        <f aca="false">IF(MONTH($A211)=MONTH($A210),SUM(I211-I210),I211)</f>
        <v>0</v>
      </c>
      <c r="K211" s="124" t="n">
        <f aca="false">IF(WEEKDAY(A211,3)&gt;4,0,(IF(A211&lt;K$2,0,IF(A211&lt;=K$3,1,0))))</f>
        <v>0</v>
      </c>
      <c r="L211" s="124" t="n">
        <f aca="false">J211*K211</f>
        <v>0</v>
      </c>
      <c r="M211" s="124" t="n">
        <f aca="false">SUM(J$188:J211)</f>
        <v>0</v>
      </c>
      <c r="N211" s="124" t="n">
        <f aca="false">SUM(J$6:J211)</f>
        <v>0</v>
      </c>
      <c r="P211" s="124" t="n">
        <f aca="false">D211/P$3</f>
        <v>0</v>
      </c>
      <c r="Q211" s="124" t="n">
        <f aca="false">E211/P$3</f>
        <v>0</v>
      </c>
      <c r="R211" s="124" t="n">
        <f aca="false">F211/R$3</f>
        <v>0</v>
      </c>
      <c r="S211" s="126" t="n">
        <f aca="false">J211/$R$3</f>
        <v>0</v>
      </c>
      <c r="T211" s="126" t="n">
        <f aca="false">L211/$R$3</f>
        <v>0</v>
      </c>
      <c r="U211" s="126" t="n">
        <f aca="false">I211/$R$3</f>
        <v>0</v>
      </c>
      <c r="V211" s="126" t="n">
        <f aca="false">M211/$R$3</f>
        <v>0</v>
      </c>
      <c r="W211" s="126" t="n">
        <f aca="false">N211/$R$3</f>
        <v>0</v>
      </c>
    </row>
    <row r="212" customFormat="false" ht="12.75" hidden="true" customHeight="false" outlineLevel="0" collapsed="false">
      <c r="A212" s="120" t="n">
        <f aca="false">A211+1</f>
        <v>37098</v>
      </c>
      <c r="B212" s="131" t="str">
        <f aca="false">INDEX('Master Data'!$A$2:$B$8,MATCH(WEEKDAY(ELETROBOLT!A212,3),'Master Data'!$A$2:$A$8,0),2)</f>
        <v>Th</v>
      </c>
      <c r="D212" s="124" t="n">
        <v>0</v>
      </c>
      <c r="E212" s="124" t="n">
        <v>0</v>
      </c>
      <c r="F212" s="124" t="n">
        <v>0</v>
      </c>
      <c r="G212" s="124" t="n">
        <v>0</v>
      </c>
      <c r="I212" s="124" t="n">
        <f aca="false">IF(MONTH($A212)=MONTH($A211),IF(G212=0,I211,G212),G212)</f>
        <v>0</v>
      </c>
      <c r="J212" s="124" t="n">
        <f aca="false">IF(MONTH($A212)=MONTH($A211),SUM(I212-I211),I212)</f>
        <v>0</v>
      </c>
      <c r="K212" s="124" t="n">
        <f aca="false">IF(WEEKDAY(A212,3)&gt;4,0,(IF(A212&lt;K$2,0,IF(A212&lt;=K$3,1,0))))</f>
        <v>0</v>
      </c>
      <c r="L212" s="124" t="n">
        <f aca="false">J212*K212</f>
        <v>0</v>
      </c>
      <c r="M212" s="124" t="n">
        <f aca="false">SUM(J$188:J212)</f>
        <v>0</v>
      </c>
      <c r="N212" s="124" t="n">
        <f aca="false">SUM(J$6:J212)</f>
        <v>0</v>
      </c>
      <c r="P212" s="124" t="n">
        <f aca="false">D212/P$3</f>
        <v>0</v>
      </c>
      <c r="Q212" s="124" t="n">
        <f aca="false">E212/P$3</f>
        <v>0</v>
      </c>
      <c r="R212" s="124" t="n">
        <f aca="false">F212/R$3</f>
        <v>0</v>
      </c>
      <c r="S212" s="126" t="n">
        <f aca="false">J212/$R$3</f>
        <v>0</v>
      </c>
      <c r="T212" s="126" t="n">
        <f aca="false">L212/$R$3</f>
        <v>0</v>
      </c>
      <c r="U212" s="126" t="n">
        <f aca="false">I212/$R$3</f>
        <v>0</v>
      </c>
      <c r="V212" s="126" t="n">
        <f aca="false">M212/$R$3</f>
        <v>0</v>
      </c>
      <c r="W212" s="126" t="n">
        <f aca="false">N212/$R$3</f>
        <v>0</v>
      </c>
    </row>
    <row r="213" customFormat="false" ht="12.75" hidden="true" customHeight="false" outlineLevel="0" collapsed="false">
      <c r="A213" s="120" t="n">
        <f aca="false">A212+1</f>
        <v>37099</v>
      </c>
      <c r="B213" s="131" t="str">
        <f aca="false">INDEX('Master Data'!$A$2:$B$8,MATCH(WEEKDAY(ELETROBOLT!A213,3),'Master Data'!$A$2:$A$8,0),2)</f>
        <v>F</v>
      </c>
      <c r="D213" s="124" t="n">
        <v>0</v>
      </c>
      <c r="E213" s="124" t="n">
        <v>0</v>
      </c>
      <c r="F213" s="124" t="n">
        <v>0</v>
      </c>
      <c r="G213" s="124" t="n">
        <v>0</v>
      </c>
      <c r="I213" s="124" t="n">
        <f aca="false">IF(MONTH($A213)=MONTH($A212),IF(G213=0,I212,G213),G213)</f>
        <v>0</v>
      </c>
      <c r="J213" s="124" t="n">
        <f aca="false">IF(MONTH($A213)=MONTH($A212),SUM(I213-I212),I213)</f>
        <v>0</v>
      </c>
      <c r="K213" s="124" t="n">
        <f aca="false">IF(WEEKDAY(A213,3)&gt;4,0,(IF(A213&lt;K$2,0,IF(A213&lt;=K$3,1,0))))</f>
        <v>0</v>
      </c>
      <c r="L213" s="124" t="n">
        <f aca="false">J213*K213</f>
        <v>0</v>
      </c>
      <c r="M213" s="124" t="n">
        <f aca="false">SUM(J$188:J213)</f>
        <v>0</v>
      </c>
      <c r="N213" s="124" t="n">
        <f aca="false">SUM(J$6:J213)</f>
        <v>0</v>
      </c>
      <c r="P213" s="124" t="n">
        <f aca="false">D213/P$3</f>
        <v>0</v>
      </c>
      <c r="Q213" s="124" t="n">
        <f aca="false">E213/P$3</f>
        <v>0</v>
      </c>
      <c r="R213" s="124" t="n">
        <f aca="false">F213/R$3</f>
        <v>0</v>
      </c>
      <c r="S213" s="126" t="n">
        <f aca="false">J213/$R$3</f>
        <v>0</v>
      </c>
      <c r="T213" s="126" t="n">
        <f aca="false">L213/$R$3</f>
        <v>0</v>
      </c>
      <c r="U213" s="126" t="n">
        <f aca="false">I213/$R$3</f>
        <v>0</v>
      </c>
      <c r="V213" s="126" t="n">
        <f aca="false">M213/$R$3</f>
        <v>0</v>
      </c>
      <c r="W213" s="126" t="n">
        <f aca="false">N213/$R$3</f>
        <v>0</v>
      </c>
    </row>
    <row r="214" customFormat="false" ht="12.75" hidden="true" customHeight="false" outlineLevel="0" collapsed="false">
      <c r="A214" s="120" t="n">
        <f aca="false">A213+1</f>
        <v>37100</v>
      </c>
      <c r="B214" s="131" t="str">
        <f aca="false">INDEX('Master Data'!$A$2:$B$8,MATCH(WEEKDAY(ELETROBOLT!A214,3),'Master Data'!$A$2:$A$8,0),2)</f>
        <v>Sa</v>
      </c>
      <c r="D214" s="124" t="n">
        <v>0</v>
      </c>
      <c r="E214" s="124" t="n">
        <v>0</v>
      </c>
      <c r="F214" s="124" t="n">
        <v>0</v>
      </c>
      <c r="G214" s="124" t="n">
        <v>0</v>
      </c>
      <c r="I214" s="124" t="n">
        <f aca="false">IF(MONTH($A214)=MONTH($A213),IF(G214=0,I213,G214),G214)</f>
        <v>0</v>
      </c>
      <c r="J214" s="124" t="n">
        <f aca="false">IF(MONTH($A214)=MONTH($A213),SUM(I214-I213),I214)</f>
        <v>0</v>
      </c>
      <c r="K214" s="124" t="n">
        <f aca="false">IF(WEEKDAY(A214,3)&gt;4,0,(IF(A214&lt;K$2,0,IF(A214&lt;=K$3,1,0))))</f>
        <v>0</v>
      </c>
      <c r="L214" s="124" t="n">
        <f aca="false">J214*K214</f>
        <v>0</v>
      </c>
      <c r="M214" s="124" t="n">
        <f aca="false">SUM(J$188:J214)</f>
        <v>0</v>
      </c>
      <c r="N214" s="124" t="n">
        <f aca="false">SUM(J$6:J214)</f>
        <v>0</v>
      </c>
      <c r="P214" s="124" t="n">
        <f aca="false">D214/P$3</f>
        <v>0</v>
      </c>
      <c r="Q214" s="124" t="n">
        <f aca="false">E214/P$3</f>
        <v>0</v>
      </c>
      <c r="R214" s="124" t="n">
        <f aca="false">F214/R$3</f>
        <v>0</v>
      </c>
      <c r="S214" s="126" t="n">
        <f aca="false">J214/$R$3</f>
        <v>0</v>
      </c>
      <c r="T214" s="126" t="n">
        <f aca="false">L214/$R$3</f>
        <v>0</v>
      </c>
      <c r="U214" s="126" t="n">
        <f aca="false">I214/$R$3</f>
        <v>0</v>
      </c>
      <c r="V214" s="126" t="n">
        <f aca="false">M214/$R$3</f>
        <v>0</v>
      </c>
      <c r="W214" s="126" t="n">
        <f aca="false">N214/$R$3</f>
        <v>0</v>
      </c>
    </row>
    <row r="215" customFormat="false" ht="12.75" hidden="true" customHeight="false" outlineLevel="0" collapsed="false">
      <c r="A215" s="120" t="n">
        <f aca="false">A214+1</f>
        <v>37101</v>
      </c>
      <c r="B215" s="131" t="str">
        <f aca="false">INDEX('Master Data'!$A$2:$B$8,MATCH(WEEKDAY(ELETROBOLT!A215,3),'Master Data'!$A$2:$A$8,0),2)</f>
        <v>Su</v>
      </c>
      <c r="D215" s="124" t="n">
        <v>0</v>
      </c>
      <c r="E215" s="124" t="n">
        <v>0</v>
      </c>
      <c r="F215" s="124" t="n">
        <v>0</v>
      </c>
      <c r="G215" s="124" t="n">
        <v>0</v>
      </c>
      <c r="I215" s="124" t="n">
        <f aca="false">IF(MONTH($A215)=MONTH($A214),IF(G215=0,I214,G215),G215)</f>
        <v>0</v>
      </c>
      <c r="J215" s="124" t="n">
        <f aca="false">IF(MONTH($A215)=MONTH($A214),SUM(I215-I214),I215)</f>
        <v>0</v>
      </c>
      <c r="K215" s="124" t="n">
        <f aca="false">IF(WEEKDAY(A215,3)&gt;4,0,(IF(A215&lt;K$2,0,IF(A215&lt;=K$3,1,0))))</f>
        <v>0</v>
      </c>
      <c r="L215" s="124" t="n">
        <f aca="false">J215*K215</f>
        <v>0</v>
      </c>
      <c r="M215" s="124" t="n">
        <f aca="false">SUM(J$188:J215)</f>
        <v>0</v>
      </c>
      <c r="N215" s="124" t="n">
        <f aca="false">SUM(J$6:J215)</f>
        <v>0</v>
      </c>
      <c r="P215" s="124" t="n">
        <f aca="false">D215/P$3</f>
        <v>0</v>
      </c>
      <c r="Q215" s="124" t="n">
        <f aca="false">E215/P$3</f>
        <v>0</v>
      </c>
      <c r="R215" s="124" t="n">
        <f aca="false">F215/R$3</f>
        <v>0</v>
      </c>
      <c r="S215" s="126" t="n">
        <f aca="false">J215/$R$3</f>
        <v>0</v>
      </c>
      <c r="T215" s="126" t="n">
        <f aca="false">L215/$R$3</f>
        <v>0</v>
      </c>
      <c r="U215" s="126" t="n">
        <f aca="false">I215/$R$3</f>
        <v>0</v>
      </c>
      <c r="V215" s="126" t="n">
        <f aca="false">M215/$R$3</f>
        <v>0</v>
      </c>
      <c r="W215" s="126" t="n">
        <f aca="false">N215/$R$3</f>
        <v>0</v>
      </c>
    </row>
    <row r="216" customFormat="false" ht="12.75" hidden="true" customHeight="false" outlineLevel="0" collapsed="false">
      <c r="A216" s="120" t="n">
        <f aca="false">A215+1</f>
        <v>37102</v>
      </c>
      <c r="B216" s="131" t="str">
        <f aca="false">INDEX('Master Data'!$A$2:$B$8,MATCH(WEEKDAY(ELETROBOLT!A216,3),'Master Data'!$A$2:$A$8,0),2)</f>
        <v>M</v>
      </c>
      <c r="D216" s="124" t="n">
        <v>0</v>
      </c>
      <c r="E216" s="124" t="n">
        <v>0</v>
      </c>
      <c r="F216" s="124" t="n">
        <v>0</v>
      </c>
      <c r="G216" s="124" t="n">
        <v>0</v>
      </c>
      <c r="I216" s="124" t="n">
        <f aca="false">IF(MONTH($A216)=MONTH($A215),IF(G216=0,I215,G216),G216)</f>
        <v>0</v>
      </c>
      <c r="J216" s="124" t="n">
        <f aca="false">IF(MONTH($A216)=MONTH($A215),SUM(I216-I215),I216)</f>
        <v>0</v>
      </c>
      <c r="K216" s="124" t="n">
        <f aca="false">IF(WEEKDAY(A216,3)&gt;4,0,(IF(A216&lt;K$2,0,IF(A216&lt;=K$3,1,0))))</f>
        <v>0</v>
      </c>
      <c r="L216" s="124" t="n">
        <f aca="false">J216*K216</f>
        <v>0</v>
      </c>
      <c r="M216" s="124" t="n">
        <f aca="false">SUM(J$188:J216)</f>
        <v>0</v>
      </c>
      <c r="N216" s="124" t="n">
        <f aca="false">SUM(J$6:J216)</f>
        <v>0</v>
      </c>
      <c r="P216" s="124" t="n">
        <f aca="false">D216/P$3</f>
        <v>0</v>
      </c>
      <c r="Q216" s="124" t="n">
        <f aca="false">E216/P$3</f>
        <v>0</v>
      </c>
      <c r="R216" s="124" t="n">
        <f aca="false">F216/R$3</f>
        <v>0</v>
      </c>
      <c r="S216" s="126" t="n">
        <f aca="false">J216/$R$3</f>
        <v>0</v>
      </c>
      <c r="T216" s="126" t="n">
        <f aca="false">L216/$R$3</f>
        <v>0</v>
      </c>
      <c r="U216" s="126" t="n">
        <f aca="false">I216/$R$3</f>
        <v>0</v>
      </c>
      <c r="V216" s="126" t="n">
        <f aca="false">M216/$R$3</f>
        <v>0</v>
      </c>
      <c r="W216" s="126" t="n">
        <f aca="false">N216/$R$3</f>
        <v>0</v>
      </c>
    </row>
    <row r="217" customFormat="false" ht="12.75" hidden="true" customHeight="false" outlineLevel="0" collapsed="false">
      <c r="A217" s="120" t="n">
        <f aca="false">A216+1</f>
        <v>37103</v>
      </c>
      <c r="B217" s="131" t="str">
        <f aca="false">INDEX('Master Data'!$A$2:$B$8,MATCH(WEEKDAY(ELETROBOLT!A217,3),'Master Data'!$A$2:$A$8,0),2)</f>
        <v>T</v>
      </c>
      <c r="D217" s="124" t="n">
        <v>0</v>
      </c>
      <c r="E217" s="124" t="n">
        <v>0</v>
      </c>
      <c r="F217" s="124" t="n">
        <v>0</v>
      </c>
      <c r="G217" s="124" t="n">
        <v>0</v>
      </c>
      <c r="I217" s="124" t="n">
        <f aca="false">IF(MONTH($A217)=MONTH($A216),IF(G217=0,I216,G217),G217)</f>
        <v>0</v>
      </c>
      <c r="J217" s="124" t="n">
        <f aca="false">IF(MONTH($A217)=MONTH($A216),SUM(I217-I216),I217)</f>
        <v>0</v>
      </c>
      <c r="K217" s="124" t="n">
        <f aca="false">IF(WEEKDAY(A217,3)&gt;4,0,(IF(A217&lt;K$2,0,IF(A217&lt;=K$3,1,0))))</f>
        <v>0</v>
      </c>
      <c r="L217" s="124" t="n">
        <f aca="false">J217*K217</f>
        <v>0</v>
      </c>
      <c r="M217" s="124" t="n">
        <f aca="false">SUM(J$188:J217)</f>
        <v>0</v>
      </c>
      <c r="N217" s="124" t="n">
        <f aca="false">SUM(J$6:J217)</f>
        <v>0</v>
      </c>
      <c r="P217" s="124" t="n">
        <f aca="false">D217/P$3</f>
        <v>0</v>
      </c>
      <c r="Q217" s="124" t="n">
        <f aca="false">E217/P$3</f>
        <v>0</v>
      </c>
      <c r="R217" s="124" t="n">
        <f aca="false">F217/R$3</f>
        <v>0</v>
      </c>
      <c r="S217" s="126" t="n">
        <f aca="false">J217/$R$3</f>
        <v>0</v>
      </c>
      <c r="T217" s="126" t="n">
        <f aca="false">L217/$R$3</f>
        <v>0</v>
      </c>
      <c r="U217" s="126" t="n">
        <f aca="false">I217/$R$3</f>
        <v>0</v>
      </c>
      <c r="V217" s="126" t="n">
        <f aca="false">M217/$R$3</f>
        <v>0</v>
      </c>
      <c r="W217" s="126" t="n">
        <f aca="false">N217/$R$3</f>
        <v>0</v>
      </c>
    </row>
    <row r="218" customFormat="false" ht="12.75" hidden="true" customHeight="false" outlineLevel="0" collapsed="false">
      <c r="A218" s="120" t="n">
        <f aca="false">A217+1</f>
        <v>37104</v>
      </c>
      <c r="B218" s="131" t="str">
        <f aca="false">INDEX('Master Data'!$A$2:$B$8,MATCH(WEEKDAY(ELETROBOLT!A218,3),'Master Data'!$A$2:$A$8,0),2)</f>
        <v>W</v>
      </c>
      <c r="D218" s="124" t="n">
        <v>0</v>
      </c>
      <c r="E218" s="124" t="n">
        <v>0</v>
      </c>
      <c r="F218" s="124" t="n">
        <v>0</v>
      </c>
      <c r="G218" s="124" t="n">
        <v>0</v>
      </c>
      <c r="I218" s="124" t="n">
        <f aca="false">IF(MONTH($A218)=MONTH($A217),IF(G218=0,I217,G218),G218)</f>
        <v>0</v>
      </c>
      <c r="J218" s="124" t="n">
        <f aca="false">IF(MONTH($A218)=MONTH($A217),SUM(I218-I217),I218)</f>
        <v>0</v>
      </c>
      <c r="K218" s="124" t="n">
        <f aca="false">IF(WEEKDAY(A218,3)&gt;4,0,(IF(A218&lt;K$2,0,IF(A218&lt;=K$3,1,0))))</f>
        <v>0</v>
      </c>
      <c r="L218" s="124" t="n">
        <f aca="false">J218*K218</f>
        <v>0</v>
      </c>
      <c r="M218" s="124" t="n">
        <f aca="false">SUM(J$188:J218)</f>
        <v>0</v>
      </c>
      <c r="N218" s="124" t="n">
        <f aca="false">SUM(J$6:J218)</f>
        <v>0</v>
      </c>
      <c r="P218" s="124" t="n">
        <f aca="false">D218/P$3</f>
        <v>0</v>
      </c>
      <c r="Q218" s="124" t="n">
        <f aca="false">E218/P$3</f>
        <v>0</v>
      </c>
      <c r="R218" s="124" t="n">
        <f aca="false">F218/R$3</f>
        <v>0</v>
      </c>
      <c r="S218" s="126" t="n">
        <f aca="false">J218/$R$3</f>
        <v>0</v>
      </c>
      <c r="T218" s="126" t="n">
        <f aca="false">L218/$R$3</f>
        <v>0</v>
      </c>
      <c r="U218" s="126" t="n">
        <f aca="false">I218/$R$3</f>
        <v>0</v>
      </c>
      <c r="V218" s="126" t="n">
        <f aca="false">M218/$R$3</f>
        <v>0</v>
      </c>
      <c r="W218" s="126" t="n">
        <f aca="false">N218/$R$3</f>
        <v>0</v>
      </c>
    </row>
    <row r="219" customFormat="false" ht="12.75" hidden="true" customHeight="false" outlineLevel="0" collapsed="false">
      <c r="A219" s="120" t="n">
        <f aca="false">A218+1</f>
        <v>37105</v>
      </c>
      <c r="B219" s="131" t="str">
        <f aca="false">INDEX('Master Data'!$A$2:$B$8,MATCH(WEEKDAY(ELETROBOLT!A219,3),'Master Data'!$A$2:$A$8,0),2)</f>
        <v>Th</v>
      </c>
      <c r="D219" s="124" t="n">
        <v>0</v>
      </c>
      <c r="E219" s="124" t="n">
        <v>0</v>
      </c>
      <c r="F219" s="124" t="n">
        <v>0</v>
      </c>
      <c r="G219" s="124" t="n">
        <v>0</v>
      </c>
      <c r="I219" s="124" t="n">
        <f aca="false">IF(MONTH($A219)=MONTH($A218),IF(G219=0,I218,G219),G219)</f>
        <v>0</v>
      </c>
      <c r="J219" s="124" t="n">
        <f aca="false">IF(MONTH($A219)=MONTH($A218),SUM(I219-I218),I219)</f>
        <v>0</v>
      </c>
      <c r="K219" s="124" t="n">
        <f aca="false">IF(WEEKDAY(A219,3)&gt;4,0,(IF(A219&lt;K$2,0,IF(A219&lt;=K$3,1,0))))</f>
        <v>0</v>
      </c>
      <c r="L219" s="124" t="n">
        <f aca="false">J219*K219</f>
        <v>0</v>
      </c>
      <c r="M219" s="124" t="n">
        <f aca="false">SUM(J$188:J219)</f>
        <v>0</v>
      </c>
      <c r="N219" s="124" t="n">
        <f aca="false">SUM(J$6:J219)</f>
        <v>0</v>
      </c>
      <c r="P219" s="124" t="n">
        <f aca="false">D219/P$3</f>
        <v>0</v>
      </c>
      <c r="Q219" s="124" t="n">
        <f aca="false">E219/P$3</f>
        <v>0</v>
      </c>
      <c r="R219" s="124" t="n">
        <f aca="false">F219/R$3</f>
        <v>0</v>
      </c>
      <c r="S219" s="126" t="n">
        <f aca="false">J219/$R$3</f>
        <v>0</v>
      </c>
      <c r="T219" s="126" t="n">
        <f aca="false">L219/$R$3</f>
        <v>0</v>
      </c>
      <c r="U219" s="126" t="n">
        <f aca="false">I219/$R$3</f>
        <v>0</v>
      </c>
      <c r="V219" s="126" t="n">
        <f aca="false">M219/$R$3</f>
        <v>0</v>
      </c>
      <c r="W219" s="126" t="n">
        <f aca="false">N219/$R$3</f>
        <v>0</v>
      </c>
    </row>
    <row r="220" customFormat="false" ht="12.75" hidden="true" customHeight="false" outlineLevel="0" collapsed="false">
      <c r="A220" s="120" t="n">
        <f aca="false">A219+1</f>
        <v>37106</v>
      </c>
      <c r="B220" s="131" t="str">
        <f aca="false">INDEX('Master Data'!$A$2:$B$8,MATCH(WEEKDAY(ELETROBOLT!A220,3),'Master Data'!$A$2:$A$8,0),2)</f>
        <v>F</v>
      </c>
      <c r="D220" s="124" t="n">
        <v>0</v>
      </c>
      <c r="E220" s="124" t="n">
        <v>0</v>
      </c>
      <c r="F220" s="124" t="n">
        <v>0</v>
      </c>
      <c r="G220" s="124" t="n">
        <v>0</v>
      </c>
      <c r="I220" s="124" t="n">
        <f aca="false">IF(MONTH($A220)=MONTH($A219),IF(G220=0,I219,G220),G220)</f>
        <v>0</v>
      </c>
      <c r="J220" s="124" t="n">
        <f aca="false">IF(MONTH($A220)=MONTH($A219),SUM(I220-I219),I220)</f>
        <v>0</v>
      </c>
      <c r="K220" s="124" t="n">
        <f aca="false">IF(WEEKDAY(A220,3)&gt;4,0,(IF(A220&lt;K$2,0,IF(A220&lt;=K$3,1,0))))</f>
        <v>0</v>
      </c>
      <c r="L220" s="124" t="n">
        <f aca="false">J220*K220</f>
        <v>0</v>
      </c>
      <c r="M220" s="124" t="n">
        <f aca="false">SUM(J$188:J220)</f>
        <v>0</v>
      </c>
      <c r="N220" s="124" t="n">
        <f aca="false">SUM(J$6:J220)</f>
        <v>0</v>
      </c>
      <c r="P220" s="124" t="n">
        <f aca="false">D220/P$3</f>
        <v>0</v>
      </c>
      <c r="Q220" s="124" t="n">
        <f aca="false">E220/P$3</f>
        <v>0</v>
      </c>
      <c r="R220" s="124" t="n">
        <f aca="false">F220/R$3</f>
        <v>0</v>
      </c>
      <c r="S220" s="126" t="n">
        <f aca="false">J220/$R$3</f>
        <v>0</v>
      </c>
      <c r="T220" s="126" t="n">
        <f aca="false">L220/$R$3</f>
        <v>0</v>
      </c>
      <c r="U220" s="126" t="n">
        <f aca="false">I220/$R$3</f>
        <v>0</v>
      </c>
      <c r="V220" s="126" t="n">
        <f aca="false">M220/$R$3</f>
        <v>0</v>
      </c>
      <c r="W220" s="126" t="n">
        <f aca="false">N220/$R$3</f>
        <v>0</v>
      </c>
    </row>
    <row r="221" customFormat="false" ht="12.75" hidden="true" customHeight="false" outlineLevel="0" collapsed="false">
      <c r="A221" s="120" t="n">
        <f aca="false">A220+1</f>
        <v>37107</v>
      </c>
      <c r="B221" s="131" t="str">
        <f aca="false">INDEX('Master Data'!$A$2:$B$8,MATCH(WEEKDAY(ELETROBOLT!A221,3),'Master Data'!$A$2:$A$8,0),2)</f>
        <v>Sa</v>
      </c>
      <c r="D221" s="124" t="n">
        <v>0</v>
      </c>
      <c r="E221" s="124" t="n">
        <v>0</v>
      </c>
      <c r="F221" s="124" t="n">
        <v>0</v>
      </c>
      <c r="G221" s="124" t="n">
        <v>0</v>
      </c>
      <c r="I221" s="124" t="n">
        <f aca="false">IF(MONTH($A221)=MONTH($A220),IF(G221=0,I220,G221),G221)</f>
        <v>0</v>
      </c>
      <c r="J221" s="124" t="n">
        <f aca="false">IF(MONTH($A221)=MONTH($A220),SUM(I221-I220),I221)</f>
        <v>0</v>
      </c>
      <c r="K221" s="124" t="n">
        <f aca="false">IF(WEEKDAY(A221,3)&gt;4,0,(IF(A221&lt;K$2,0,IF(A221&lt;=K$3,1,0))))</f>
        <v>0</v>
      </c>
      <c r="L221" s="124" t="n">
        <f aca="false">J221*K221</f>
        <v>0</v>
      </c>
      <c r="M221" s="124" t="n">
        <f aca="false">SUM(J$188:J221)</f>
        <v>0</v>
      </c>
      <c r="N221" s="124" t="n">
        <f aca="false">SUM(J$6:J221)</f>
        <v>0</v>
      </c>
      <c r="P221" s="124" t="n">
        <f aca="false">D221/P$3</f>
        <v>0</v>
      </c>
      <c r="Q221" s="124" t="n">
        <f aca="false">E221/P$3</f>
        <v>0</v>
      </c>
      <c r="R221" s="124" t="n">
        <f aca="false">F221/R$3</f>
        <v>0</v>
      </c>
      <c r="S221" s="126" t="n">
        <f aca="false">J221/$R$3</f>
        <v>0</v>
      </c>
      <c r="T221" s="126" t="n">
        <f aca="false">L221/$R$3</f>
        <v>0</v>
      </c>
      <c r="U221" s="126" t="n">
        <f aca="false">I221/$R$3</f>
        <v>0</v>
      </c>
      <c r="V221" s="126" t="n">
        <f aca="false">M221/$R$3</f>
        <v>0</v>
      </c>
      <c r="W221" s="126" t="n">
        <f aca="false">N221/$R$3</f>
        <v>0</v>
      </c>
    </row>
    <row r="222" customFormat="false" ht="12.75" hidden="true" customHeight="false" outlineLevel="0" collapsed="false">
      <c r="A222" s="120" t="n">
        <f aca="false">A221+1</f>
        <v>37108</v>
      </c>
      <c r="B222" s="131" t="str">
        <f aca="false">INDEX('Master Data'!$A$2:$B$8,MATCH(WEEKDAY(ELETROBOLT!A222,3),'Master Data'!$A$2:$A$8,0),2)</f>
        <v>Su</v>
      </c>
      <c r="D222" s="124" t="n">
        <v>0</v>
      </c>
      <c r="E222" s="124" t="n">
        <v>0</v>
      </c>
      <c r="F222" s="124" t="n">
        <v>0</v>
      </c>
      <c r="G222" s="124" t="n">
        <v>0</v>
      </c>
      <c r="I222" s="124" t="n">
        <f aca="false">IF(MONTH($A222)=MONTH($A221),IF(G222=0,I221,G222),G222)</f>
        <v>0</v>
      </c>
      <c r="J222" s="124" t="n">
        <f aca="false">IF(MONTH($A222)=MONTH($A221),SUM(I222-I221),I222)</f>
        <v>0</v>
      </c>
      <c r="K222" s="124" t="n">
        <f aca="false">IF(WEEKDAY(A222,3)&gt;4,0,(IF(A222&lt;K$2,0,IF(A222&lt;=K$3,1,0))))</f>
        <v>0</v>
      </c>
      <c r="L222" s="124" t="n">
        <f aca="false">J222*K222</f>
        <v>0</v>
      </c>
      <c r="M222" s="124" t="n">
        <f aca="false">SUM(J$188:J222)</f>
        <v>0</v>
      </c>
      <c r="N222" s="124" t="n">
        <f aca="false">SUM(J$6:J222)</f>
        <v>0</v>
      </c>
      <c r="P222" s="124" t="n">
        <f aca="false">D222/P$3</f>
        <v>0</v>
      </c>
      <c r="Q222" s="124" t="n">
        <f aca="false">E222/P$3</f>
        <v>0</v>
      </c>
      <c r="R222" s="124" t="n">
        <f aca="false">F222/R$3</f>
        <v>0</v>
      </c>
      <c r="S222" s="126" t="n">
        <f aca="false">J222/$R$3</f>
        <v>0</v>
      </c>
      <c r="T222" s="126" t="n">
        <f aca="false">L222/$R$3</f>
        <v>0</v>
      </c>
      <c r="U222" s="126" t="n">
        <f aca="false">I222/$R$3</f>
        <v>0</v>
      </c>
      <c r="V222" s="126" t="n">
        <f aca="false">M222/$R$3</f>
        <v>0</v>
      </c>
      <c r="W222" s="126" t="n">
        <f aca="false">N222/$R$3</f>
        <v>0</v>
      </c>
    </row>
    <row r="223" customFormat="false" ht="12.75" hidden="true" customHeight="false" outlineLevel="0" collapsed="false">
      <c r="A223" s="120" t="n">
        <f aca="false">A222+1</f>
        <v>37109</v>
      </c>
      <c r="B223" s="131" t="str">
        <f aca="false">INDEX('Master Data'!$A$2:$B$8,MATCH(WEEKDAY(ELETROBOLT!A223,3),'Master Data'!$A$2:$A$8,0),2)</f>
        <v>M</v>
      </c>
      <c r="D223" s="124" t="n">
        <v>0</v>
      </c>
      <c r="E223" s="124" t="n">
        <v>0</v>
      </c>
      <c r="F223" s="124" t="n">
        <v>0</v>
      </c>
      <c r="G223" s="124" t="n">
        <v>0</v>
      </c>
      <c r="I223" s="124" t="n">
        <f aca="false">IF(MONTH($A223)=MONTH($A222),IF(G223=0,I222,G223),G223)</f>
        <v>0</v>
      </c>
      <c r="J223" s="124" t="n">
        <f aca="false">IF(MONTH($A223)=MONTH($A222),SUM(I223-I222),I223)</f>
        <v>0</v>
      </c>
      <c r="K223" s="124" t="n">
        <f aca="false">IF(WEEKDAY(A223,3)&gt;4,0,(IF(A223&lt;K$2,0,IF(A223&lt;=K$3,1,0))))</f>
        <v>0</v>
      </c>
      <c r="L223" s="124" t="n">
        <f aca="false">J223*K223</f>
        <v>0</v>
      </c>
      <c r="M223" s="124" t="n">
        <f aca="false">SUM(J$188:J223)</f>
        <v>0</v>
      </c>
      <c r="N223" s="124" t="n">
        <f aca="false">SUM(J$6:J223)</f>
        <v>0</v>
      </c>
      <c r="P223" s="124" t="n">
        <f aca="false">D223/P$3</f>
        <v>0</v>
      </c>
      <c r="Q223" s="124" t="n">
        <f aca="false">E223/P$3</f>
        <v>0</v>
      </c>
      <c r="R223" s="124" t="n">
        <f aca="false">F223/R$3</f>
        <v>0</v>
      </c>
      <c r="S223" s="126" t="n">
        <f aca="false">J223/$R$3</f>
        <v>0</v>
      </c>
      <c r="T223" s="126" t="n">
        <f aca="false">L223/$R$3</f>
        <v>0</v>
      </c>
      <c r="U223" s="126" t="n">
        <f aca="false">I223/$R$3</f>
        <v>0</v>
      </c>
      <c r="V223" s="126" t="n">
        <f aca="false">M223/$R$3</f>
        <v>0</v>
      </c>
      <c r="W223" s="126" t="n">
        <f aca="false">N223/$R$3</f>
        <v>0</v>
      </c>
    </row>
    <row r="224" customFormat="false" ht="12.75" hidden="true" customHeight="false" outlineLevel="0" collapsed="false">
      <c r="A224" s="120" t="n">
        <f aca="false">A223+1</f>
        <v>37110</v>
      </c>
      <c r="B224" s="131" t="str">
        <f aca="false">INDEX('Master Data'!$A$2:$B$8,MATCH(WEEKDAY(ELETROBOLT!A224,3),'Master Data'!$A$2:$A$8,0),2)</f>
        <v>T</v>
      </c>
      <c r="D224" s="124" t="n">
        <v>0</v>
      </c>
      <c r="E224" s="124" t="n">
        <v>0</v>
      </c>
      <c r="F224" s="124" t="n">
        <v>0</v>
      </c>
      <c r="G224" s="124" t="n">
        <v>0</v>
      </c>
      <c r="I224" s="124" t="n">
        <f aca="false">IF(MONTH($A224)=MONTH($A223),IF(G224=0,I223,G224),G224)</f>
        <v>0</v>
      </c>
      <c r="J224" s="124" t="n">
        <f aca="false">IF(MONTH($A224)=MONTH($A223),SUM(I224-I223),I224)</f>
        <v>0</v>
      </c>
      <c r="K224" s="124" t="n">
        <f aca="false">IF(WEEKDAY(A224,3)&gt;4,0,(IF(A224&lt;K$2,0,IF(A224&lt;=K$3,1,0))))</f>
        <v>0</v>
      </c>
      <c r="L224" s="124" t="n">
        <f aca="false">J224*K224</f>
        <v>0</v>
      </c>
      <c r="M224" s="124" t="n">
        <f aca="false">SUM(J$188:J224)</f>
        <v>0</v>
      </c>
      <c r="N224" s="124" t="n">
        <f aca="false">SUM(J$6:J224)</f>
        <v>0</v>
      </c>
      <c r="P224" s="124" t="n">
        <f aca="false">D224/P$3</f>
        <v>0</v>
      </c>
      <c r="Q224" s="124" t="n">
        <f aca="false">E224/P$3</f>
        <v>0</v>
      </c>
      <c r="R224" s="124" t="n">
        <f aca="false">F224/R$3</f>
        <v>0</v>
      </c>
      <c r="S224" s="126" t="n">
        <f aca="false">J224/$R$3</f>
        <v>0</v>
      </c>
      <c r="T224" s="126" t="n">
        <f aca="false">L224/$R$3</f>
        <v>0</v>
      </c>
      <c r="U224" s="126" t="n">
        <f aca="false">I224/$R$3</f>
        <v>0</v>
      </c>
      <c r="V224" s="126" t="n">
        <f aca="false">M224/$R$3</f>
        <v>0</v>
      </c>
      <c r="W224" s="126" t="n">
        <f aca="false">N224/$R$3</f>
        <v>0</v>
      </c>
    </row>
    <row r="225" customFormat="false" ht="12.75" hidden="true" customHeight="false" outlineLevel="0" collapsed="false">
      <c r="A225" s="120" t="n">
        <f aca="false">A224+1</f>
        <v>37111</v>
      </c>
      <c r="B225" s="131" t="str">
        <f aca="false">INDEX('Master Data'!$A$2:$B$8,MATCH(WEEKDAY(ELETROBOLT!A225,3),'Master Data'!$A$2:$A$8,0),2)</f>
        <v>W</v>
      </c>
      <c r="D225" s="124" t="n">
        <v>0</v>
      </c>
      <c r="E225" s="124" t="n">
        <v>0</v>
      </c>
      <c r="F225" s="124" t="n">
        <v>0</v>
      </c>
      <c r="G225" s="124" t="n">
        <v>0</v>
      </c>
      <c r="I225" s="124" t="n">
        <f aca="false">IF(MONTH($A225)=MONTH($A224),IF(G225=0,I224,G225),G225)</f>
        <v>0</v>
      </c>
      <c r="J225" s="124" t="n">
        <f aca="false">IF(MONTH($A225)=MONTH($A224),SUM(I225-I224),I225)</f>
        <v>0</v>
      </c>
      <c r="K225" s="124" t="n">
        <f aca="false">IF(WEEKDAY(A225,3)&gt;4,0,(IF(A225&lt;K$2,0,IF(A225&lt;=K$3,1,0))))</f>
        <v>0</v>
      </c>
      <c r="L225" s="124" t="n">
        <f aca="false">J225*K225</f>
        <v>0</v>
      </c>
      <c r="M225" s="124" t="n">
        <f aca="false">SUM(J$188:J225)</f>
        <v>0</v>
      </c>
      <c r="N225" s="124" t="n">
        <f aca="false">SUM(J$6:J225)</f>
        <v>0</v>
      </c>
      <c r="P225" s="124" t="n">
        <f aca="false">D225/P$3</f>
        <v>0</v>
      </c>
      <c r="Q225" s="124" t="n">
        <f aca="false">E225/P$3</f>
        <v>0</v>
      </c>
      <c r="R225" s="124" t="n">
        <f aca="false">F225/R$3</f>
        <v>0</v>
      </c>
      <c r="S225" s="126" t="n">
        <f aca="false">J225/$R$3</f>
        <v>0</v>
      </c>
      <c r="T225" s="126" t="n">
        <f aca="false">L225/$R$3</f>
        <v>0</v>
      </c>
      <c r="U225" s="126" t="n">
        <f aca="false">I225/$R$3</f>
        <v>0</v>
      </c>
      <c r="V225" s="126" t="n">
        <f aca="false">M225/$R$3</f>
        <v>0</v>
      </c>
      <c r="W225" s="126" t="n">
        <f aca="false">N225/$R$3</f>
        <v>0</v>
      </c>
    </row>
    <row r="226" customFormat="false" ht="12.75" hidden="true" customHeight="false" outlineLevel="0" collapsed="false">
      <c r="A226" s="120" t="n">
        <f aca="false">A225+1</f>
        <v>37112</v>
      </c>
      <c r="B226" s="131" t="str">
        <f aca="false">INDEX('Master Data'!$A$2:$B$8,MATCH(WEEKDAY(ELETROBOLT!A226,3),'Master Data'!$A$2:$A$8,0),2)</f>
        <v>Th</v>
      </c>
      <c r="D226" s="124" t="n">
        <v>0</v>
      </c>
      <c r="E226" s="124" t="n">
        <v>0</v>
      </c>
      <c r="F226" s="124" t="n">
        <v>0</v>
      </c>
      <c r="G226" s="124" t="n">
        <v>0</v>
      </c>
      <c r="I226" s="124" t="n">
        <f aca="false">IF(MONTH($A226)=MONTH($A225),IF(G226=0,I225,G226),G226)</f>
        <v>0</v>
      </c>
      <c r="J226" s="124" t="n">
        <f aca="false">IF(MONTH($A226)=MONTH($A225),SUM(I226-I225),I226)</f>
        <v>0</v>
      </c>
      <c r="K226" s="124" t="n">
        <f aca="false">IF(WEEKDAY(A226,3)&gt;4,0,(IF(A226&lt;K$2,0,IF(A226&lt;=K$3,1,0))))</f>
        <v>0</v>
      </c>
      <c r="L226" s="124" t="n">
        <f aca="false">J226*K226</f>
        <v>0</v>
      </c>
      <c r="M226" s="124" t="n">
        <f aca="false">SUM(J$188:J226)</f>
        <v>0</v>
      </c>
      <c r="N226" s="124" t="n">
        <f aca="false">SUM(J$6:J226)</f>
        <v>0</v>
      </c>
      <c r="P226" s="124" t="n">
        <f aca="false">D226/P$3</f>
        <v>0</v>
      </c>
      <c r="Q226" s="124" t="n">
        <f aca="false">E226/P$3</f>
        <v>0</v>
      </c>
      <c r="R226" s="124" t="n">
        <f aca="false">F226/R$3</f>
        <v>0</v>
      </c>
      <c r="S226" s="126" t="n">
        <f aca="false">J226/$R$3</f>
        <v>0</v>
      </c>
      <c r="T226" s="126" t="n">
        <f aca="false">L226/$R$3</f>
        <v>0</v>
      </c>
      <c r="U226" s="126" t="n">
        <f aca="false">I226/$R$3</f>
        <v>0</v>
      </c>
      <c r="V226" s="126" t="n">
        <f aca="false">M226/$R$3</f>
        <v>0</v>
      </c>
      <c r="W226" s="126" t="n">
        <f aca="false">N226/$R$3</f>
        <v>0</v>
      </c>
    </row>
    <row r="227" customFormat="false" ht="12.75" hidden="true" customHeight="false" outlineLevel="0" collapsed="false">
      <c r="A227" s="120" t="n">
        <f aca="false">A226+1</f>
        <v>37113</v>
      </c>
      <c r="B227" s="131" t="str">
        <f aca="false">INDEX('Master Data'!$A$2:$B$8,MATCH(WEEKDAY(ELETROBOLT!A227,3),'Master Data'!$A$2:$A$8,0),2)</f>
        <v>F</v>
      </c>
      <c r="D227" s="124" t="n">
        <v>0</v>
      </c>
      <c r="E227" s="124" t="n">
        <v>0</v>
      </c>
      <c r="F227" s="124" t="n">
        <v>0</v>
      </c>
      <c r="G227" s="124" t="n">
        <v>0</v>
      </c>
      <c r="I227" s="124" t="n">
        <f aca="false">IF(MONTH($A227)=MONTH($A226),IF(G227=0,I226,G227),G227)</f>
        <v>0</v>
      </c>
      <c r="J227" s="124" t="n">
        <f aca="false">IF(MONTH($A227)=MONTH($A226),SUM(I227-I226),I227)</f>
        <v>0</v>
      </c>
      <c r="K227" s="124" t="n">
        <f aca="false">IF(WEEKDAY(A227,3)&gt;4,0,(IF(A227&lt;K$2,0,IF(A227&lt;=K$3,1,0))))</f>
        <v>0</v>
      </c>
      <c r="L227" s="124" t="n">
        <f aca="false">J227*K227</f>
        <v>0</v>
      </c>
      <c r="M227" s="124" t="n">
        <f aca="false">SUM(J$188:J227)</f>
        <v>0</v>
      </c>
      <c r="N227" s="124" t="n">
        <f aca="false">SUM(J$6:J227)</f>
        <v>0</v>
      </c>
      <c r="P227" s="124" t="n">
        <f aca="false">D227/P$3</f>
        <v>0</v>
      </c>
      <c r="Q227" s="124" t="n">
        <f aca="false">E227/P$3</f>
        <v>0</v>
      </c>
      <c r="R227" s="124" t="n">
        <f aca="false">F227/R$3</f>
        <v>0</v>
      </c>
      <c r="S227" s="126" t="n">
        <f aca="false">J227/$R$3</f>
        <v>0</v>
      </c>
      <c r="T227" s="126" t="n">
        <f aca="false">L227/$R$3</f>
        <v>0</v>
      </c>
      <c r="U227" s="126" t="n">
        <f aca="false">I227/$R$3</f>
        <v>0</v>
      </c>
      <c r="V227" s="126" t="n">
        <f aca="false">M227/$R$3</f>
        <v>0</v>
      </c>
      <c r="W227" s="126" t="n">
        <f aca="false">N227/$R$3</f>
        <v>0</v>
      </c>
    </row>
    <row r="228" customFormat="false" ht="12.75" hidden="true" customHeight="false" outlineLevel="0" collapsed="false">
      <c r="A228" s="120" t="n">
        <f aca="false">A227+1</f>
        <v>37114</v>
      </c>
      <c r="B228" s="131" t="str">
        <f aca="false">INDEX('Master Data'!$A$2:$B$8,MATCH(WEEKDAY(ELETROBOLT!A228,3),'Master Data'!$A$2:$A$8,0),2)</f>
        <v>Sa</v>
      </c>
      <c r="D228" s="124" t="n">
        <v>0</v>
      </c>
      <c r="E228" s="124" t="n">
        <v>0</v>
      </c>
      <c r="F228" s="124" t="n">
        <v>0</v>
      </c>
      <c r="G228" s="124" t="n">
        <v>0</v>
      </c>
      <c r="I228" s="124" t="n">
        <f aca="false">IF(MONTH($A228)=MONTH($A227),IF(G228=0,I227,G228),G228)</f>
        <v>0</v>
      </c>
      <c r="J228" s="124" t="n">
        <f aca="false">IF(MONTH($A228)=MONTH($A227),SUM(I228-I227),I228)</f>
        <v>0</v>
      </c>
      <c r="K228" s="124" t="n">
        <f aca="false">IF(WEEKDAY(A228,3)&gt;4,0,(IF(A228&lt;K$2,0,IF(A228&lt;=K$3,1,0))))</f>
        <v>0</v>
      </c>
      <c r="L228" s="124" t="n">
        <f aca="false">J228*K228</f>
        <v>0</v>
      </c>
      <c r="M228" s="124" t="n">
        <f aca="false">SUM(J$188:J228)</f>
        <v>0</v>
      </c>
      <c r="N228" s="124" t="n">
        <f aca="false">SUM(J$6:J228)</f>
        <v>0</v>
      </c>
      <c r="P228" s="124" t="n">
        <f aca="false">D228/P$3</f>
        <v>0</v>
      </c>
      <c r="Q228" s="124" t="n">
        <f aca="false">E228/P$3</f>
        <v>0</v>
      </c>
      <c r="R228" s="124" t="n">
        <f aca="false">F228/R$3</f>
        <v>0</v>
      </c>
      <c r="S228" s="126" t="n">
        <f aca="false">J228/$R$3</f>
        <v>0</v>
      </c>
      <c r="T228" s="126" t="n">
        <f aca="false">L228/$R$3</f>
        <v>0</v>
      </c>
      <c r="U228" s="126" t="n">
        <f aca="false">I228/$R$3</f>
        <v>0</v>
      </c>
      <c r="V228" s="126" t="n">
        <f aca="false">M228/$R$3</f>
        <v>0</v>
      </c>
      <c r="W228" s="126" t="n">
        <f aca="false">N228/$R$3</f>
        <v>0</v>
      </c>
    </row>
    <row r="229" customFormat="false" ht="12.75" hidden="true" customHeight="false" outlineLevel="0" collapsed="false">
      <c r="A229" s="120" t="n">
        <f aca="false">A228+1</f>
        <v>37115</v>
      </c>
      <c r="B229" s="131" t="str">
        <f aca="false">INDEX('Master Data'!$A$2:$B$8,MATCH(WEEKDAY(ELETROBOLT!A229,3),'Master Data'!$A$2:$A$8,0),2)</f>
        <v>Su</v>
      </c>
      <c r="D229" s="124" t="n">
        <v>0</v>
      </c>
      <c r="E229" s="124" t="n">
        <v>0</v>
      </c>
      <c r="F229" s="124" t="n">
        <v>0</v>
      </c>
      <c r="G229" s="124" t="n">
        <v>0</v>
      </c>
      <c r="I229" s="124" t="n">
        <f aca="false">IF(MONTH($A229)=MONTH($A228),IF(G229=0,I228,G229),G229)</f>
        <v>0</v>
      </c>
      <c r="J229" s="124" t="n">
        <f aca="false">IF(MONTH($A229)=MONTH($A228),SUM(I229-I228),I229)</f>
        <v>0</v>
      </c>
      <c r="K229" s="124" t="n">
        <f aca="false">IF(WEEKDAY(A229,3)&gt;4,0,(IF(A229&lt;K$2,0,IF(A229&lt;=K$3,1,0))))</f>
        <v>0</v>
      </c>
      <c r="L229" s="124" t="n">
        <f aca="false">J229*K229</f>
        <v>0</v>
      </c>
      <c r="M229" s="124" t="n">
        <f aca="false">SUM(J$188:J229)</f>
        <v>0</v>
      </c>
      <c r="N229" s="124" t="n">
        <f aca="false">SUM(J$6:J229)</f>
        <v>0</v>
      </c>
      <c r="P229" s="124" t="n">
        <f aca="false">D229/P$3</f>
        <v>0</v>
      </c>
      <c r="Q229" s="124" t="n">
        <f aca="false">E229/P$3</f>
        <v>0</v>
      </c>
      <c r="R229" s="124" t="n">
        <f aca="false">F229/R$3</f>
        <v>0</v>
      </c>
      <c r="S229" s="126" t="n">
        <f aca="false">J229/$R$3</f>
        <v>0</v>
      </c>
      <c r="T229" s="126" t="n">
        <f aca="false">L229/$R$3</f>
        <v>0</v>
      </c>
      <c r="U229" s="126" t="n">
        <f aca="false">I229/$R$3</f>
        <v>0</v>
      </c>
      <c r="V229" s="126" t="n">
        <f aca="false">M229/$R$3</f>
        <v>0</v>
      </c>
      <c r="W229" s="126" t="n">
        <f aca="false">N229/$R$3</f>
        <v>0</v>
      </c>
    </row>
    <row r="230" customFormat="false" ht="12.75" hidden="true" customHeight="false" outlineLevel="0" collapsed="false">
      <c r="A230" s="120" t="n">
        <f aca="false">A229+1</f>
        <v>37116</v>
      </c>
      <c r="B230" s="131" t="str">
        <f aca="false">INDEX('Master Data'!$A$2:$B$8,MATCH(WEEKDAY(ELETROBOLT!A230,3),'Master Data'!$A$2:$A$8,0),2)</f>
        <v>M</v>
      </c>
      <c r="D230" s="124" t="n">
        <v>0</v>
      </c>
      <c r="E230" s="124" t="n">
        <v>0</v>
      </c>
      <c r="F230" s="124" t="n">
        <v>0</v>
      </c>
      <c r="G230" s="124" t="n">
        <v>0</v>
      </c>
      <c r="I230" s="124" t="n">
        <f aca="false">IF(MONTH($A230)=MONTH($A229),IF(G230=0,I229,G230),G230)</f>
        <v>0</v>
      </c>
      <c r="J230" s="124" t="n">
        <f aca="false">IF(MONTH($A230)=MONTH($A229),SUM(I230-I229),I230)</f>
        <v>0</v>
      </c>
      <c r="K230" s="124" t="n">
        <f aca="false">IF(WEEKDAY(A230,3)&gt;4,0,(IF(A230&lt;K$2,0,IF(A230&lt;=K$3,1,0))))</f>
        <v>0</v>
      </c>
      <c r="L230" s="124" t="n">
        <f aca="false">J230*K230</f>
        <v>0</v>
      </c>
      <c r="M230" s="124" t="n">
        <f aca="false">SUM(J$188:J230)</f>
        <v>0</v>
      </c>
      <c r="N230" s="124" t="n">
        <f aca="false">SUM(J$6:J230)</f>
        <v>0</v>
      </c>
      <c r="P230" s="124" t="n">
        <f aca="false">D230/P$3</f>
        <v>0</v>
      </c>
      <c r="Q230" s="124" t="n">
        <f aca="false">E230/P$3</f>
        <v>0</v>
      </c>
      <c r="R230" s="124" t="n">
        <f aca="false">F230/R$3</f>
        <v>0</v>
      </c>
      <c r="S230" s="126" t="n">
        <f aca="false">J230/$R$3</f>
        <v>0</v>
      </c>
      <c r="T230" s="126" t="n">
        <f aca="false">L230/$R$3</f>
        <v>0</v>
      </c>
      <c r="U230" s="126" t="n">
        <f aca="false">I230/$R$3</f>
        <v>0</v>
      </c>
      <c r="V230" s="126" t="n">
        <f aca="false">M230/$R$3</f>
        <v>0</v>
      </c>
      <c r="W230" s="126" t="n">
        <f aca="false">N230/$R$3</f>
        <v>0</v>
      </c>
    </row>
    <row r="231" customFormat="false" ht="12.75" hidden="true" customHeight="false" outlineLevel="0" collapsed="false">
      <c r="A231" s="120" t="n">
        <f aca="false">A230+1</f>
        <v>37117</v>
      </c>
      <c r="B231" s="131" t="str">
        <f aca="false">INDEX('Master Data'!$A$2:$B$8,MATCH(WEEKDAY(ELETROBOLT!A231,3),'Master Data'!$A$2:$A$8,0),2)</f>
        <v>T</v>
      </c>
      <c r="D231" s="124" t="n">
        <v>0</v>
      </c>
      <c r="E231" s="124" t="n">
        <v>0</v>
      </c>
      <c r="F231" s="124" t="n">
        <v>0</v>
      </c>
      <c r="G231" s="124" t="n">
        <v>0</v>
      </c>
      <c r="I231" s="124" t="n">
        <f aca="false">IF(MONTH($A231)=MONTH($A230),IF(G231=0,I230,G231),G231)</f>
        <v>0</v>
      </c>
      <c r="J231" s="124" t="n">
        <f aca="false">IF(MONTH($A231)=MONTH($A230),SUM(I231-I230),I231)</f>
        <v>0</v>
      </c>
      <c r="K231" s="124" t="n">
        <f aca="false">IF(WEEKDAY(A231,3)&gt;4,0,(IF(A231&lt;K$2,0,IF(A231&lt;=K$3,1,0))))</f>
        <v>0</v>
      </c>
      <c r="L231" s="124" t="n">
        <f aca="false">J231*K231</f>
        <v>0</v>
      </c>
      <c r="M231" s="124" t="n">
        <f aca="false">SUM(J$188:J231)</f>
        <v>0</v>
      </c>
      <c r="N231" s="124" t="n">
        <f aca="false">SUM(J$6:J231)</f>
        <v>0</v>
      </c>
      <c r="P231" s="124" t="n">
        <f aca="false">D231/P$3</f>
        <v>0</v>
      </c>
      <c r="Q231" s="124" t="n">
        <f aca="false">E231/P$3</f>
        <v>0</v>
      </c>
      <c r="R231" s="124" t="n">
        <f aca="false">F231/R$3</f>
        <v>0</v>
      </c>
      <c r="S231" s="126" t="n">
        <f aca="false">J231/$R$3</f>
        <v>0</v>
      </c>
      <c r="T231" s="126" t="n">
        <f aca="false">L231/$R$3</f>
        <v>0</v>
      </c>
      <c r="U231" s="126" t="n">
        <f aca="false">I231/$R$3</f>
        <v>0</v>
      </c>
      <c r="V231" s="126" t="n">
        <f aca="false">M231/$R$3</f>
        <v>0</v>
      </c>
      <c r="W231" s="126" t="n">
        <f aca="false">N231/$R$3</f>
        <v>0</v>
      </c>
    </row>
    <row r="232" customFormat="false" ht="12.75" hidden="true" customHeight="false" outlineLevel="0" collapsed="false">
      <c r="A232" s="120" t="n">
        <f aca="false">A231+1</f>
        <v>37118</v>
      </c>
      <c r="B232" s="131" t="str">
        <f aca="false">INDEX('Master Data'!$A$2:$B$8,MATCH(WEEKDAY(ELETROBOLT!A232,3),'Master Data'!$A$2:$A$8,0),2)</f>
        <v>W</v>
      </c>
      <c r="D232" s="124" t="n">
        <v>0</v>
      </c>
      <c r="E232" s="124" t="n">
        <v>0</v>
      </c>
      <c r="F232" s="124" t="n">
        <v>0</v>
      </c>
      <c r="G232" s="124" t="n">
        <v>0</v>
      </c>
      <c r="I232" s="124" t="n">
        <f aca="false">IF(MONTH($A232)=MONTH($A231),IF(G232=0,I231,G232),G232)</f>
        <v>0</v>
      </c>
      <c r="J232" s="124" t="n">
        <f aca="false">IF(MONTH($A232)=MONTH($A231),SUM(I232-I231),I232)</f>
        <v>0</v>
      </c>
      <c r="K232" s="124" t="n">
        <f aca="false">IF(WEEKDAY(A232,3)&gt;4,0,(IF(A232&lt;K$2,0,IF(A232&lt;=K$3,1,0))))</f>
        <v>0</v>
      </c>
      <c r="L232" s="124" t="n">
        <f aca="false">J232*K232</f>
        <v>0</v>
      </c>
      <c r="M232" s="124" t="n">
        <f aca="false">SUM(J$188:J232)</f>
        <v>0</v>
      </c>
      <c r="N232" s="124" t="n">
        <f aca="false">SUM(J$6:J232)</f>
        <v>0</v>
      </c>
      <c r="P232" s="124" t="n">
        <f aca="false">D232/P$3</f>
        <v>0</v>
      </c>
      <c r="Q232" s="124" t="n">
        <f aca="false">E232/P$3</f>
        <v>0</v>
      </c>
      <c r="R232" s="124" t="n">
        <f aca="false">F232/R$3</f>
        <v>0</v>
      </c>
      <c r="S232" s="126" t="n">
        <f aca="false">J232/$R$3</f>
        <v>0</v>
      </c>
      <c r="T232" s="126" t="n">
        <f aca="false">L232/$R$3</f>
        <v>0</v>
      </c>
      <c r="U232" s="126" t="n">
        <f aca="false">I232/$R$3</f>
        <v>0</v>
      </c>
      <c r="V232" s="126" t="n">
        <f aca="false">M232/$R$3</f>
        <v>0</v>
      </c>
      <c r="W232" s="126" t="n">
        <f aca="false">N232/$R$3</f>
        <v>0</v>
      </c>
    </row>
    <row r="233" customFormat="false" ht="12.75" hidden="true" customHeight="false" outlineLevel="0" collapsed="false">
      <c r="A233" s="120" t="n">
        <f aca="false">A232+1</f>
        <v>37119</v>
      </c>
      <c r="B233" s="131" t="str">
        <f aca="false">INDEX('Master Data'!$A$2:$B$8,MATCH(WEEKDAY(ELETROBOLT!A233,3),'Master Data'!$A$2:$A$8,0),2)</f>
        <v>Th</v>
      </c>
      <c r="D233" s="124" t="n">
        <v>0</v>
      </c>
      <c r="E233" s="124" t="n">
        <v>0</v>
      </c>
      <c r="F233" s="124" t="n">
        <v>0</v>
      </c>
      <c r="G233" s="124" t="n">
        <v>0</v>
      </c>
      <c r="I233" s="124" t="n">
        <f aca="false">IF(MONTH($A233)=MONTH($A232),IF(G233=0,I232,G233),G233)</f>
        <v>0</v>
      </c>
      <c r="J233" s="124" t="n">
        <f aca="false">IF(MONTH($A233)=MONTH($A232),SUM(I233-I232),I233)</f>
        <v>0</v>
      </c>
      <c r="K233" s="124" t="n">
        <f aca="false">IF(WEEKDAY(A233,3)&gt;4,0,(IF(A233&lt;K$2,0,IF(A233&lt;=K$3,1,0))))</f>
        <v>0</v>
      </c>
      <c r="L233" s="124" t="n">
        <f aca="false">J233*K233</f>
        <v>0</v>
      </c>
      <c r="M233" s="124" t="n">
        <f aca="false">SUM(J$188:J233)</f>
        <v>0</v>
      </c>
      <c r="N233" s="124" t="n">
        <f aca="false">SUM(J$6:J233)</f>
        <v>0</v>
      </c>
      <c r="P233" s="124" t="n">
        <f aca="false">D233/P$3</f>
        <v>0</v>
      </c>
      <c r="Q233" s="124" t="n">
        <f aca="false">E233/P$3</f>
        <v>0</v>
      </c>
      <c r="R233" s="124" t="n">
        <f aca="false">F233/R$3</f>
        <v>0</v>
      </c>
      <c r="S233" s="126" t="n">
        <f aca="false">J233/$R$3</f>
        <v>0</v>
      </c>
      <c r="T233" s="126" t="n">
        <f aca="false">L233/$R$3</f>
        <v>0</v>
      </c>
      <c r="U233" s="126" t="n">
        <f aca="false">I233/$R$3</f>
        <v>0</v>
      </c>
      <c r="V233" s="126" t="n">
        <f aca="false">M233/$R$3</f>
        <v>0</v>
      </c>
      <c r="W233" s="126" t="n">
        <f aca="false">N233/$R$3</f>
        <v>0</v>
      </c>
    </row>
    <row r="234" customFormat="false" ht="12.75" hidden="true" customHeight="false" outlineLevel="0" collapsed="false">
      <c r="A234" s="120" t="n">
        <f aca="false">A233+1</f>
        <v>37120</v>
      </c>
      <c r="B234" s="131" t="str">
        <f aca="false">INDEX('Master Data'!$A$2:$B$8,MATCH(WEEKDAY(ELETROBOLT!A234,3),'Master Data'!$A$2:$A$8,0),2)</f>
        <v>F</v>
      </c>
      <c r="D234" s="124" t="n">
        <v>0</v>
      </c>
      <c r="E234" s="124" t="n">
        <v>0</v>
      </c>
      <c r="F234" s="124" t="n">
        <v>0</v>
      </c>
      <c r="G234" s="124" t="n">
        <v>0</v>
      </c>
      <c r="I234" s="124" t="n">
        <f aca="false">IF(MONTH($A234)=MONTH($A233),IF(G234=0,I233,G234),G234)</f>
        <v>0</v>
      </c>
      <c r="J234" s="124" t="n">
        <f aca="false">IF(MONTH($A234)=MONTH($A233),SUM(I234-I233),I234)</f>
        <v>0</v>
      </c>
      <c r="K234" s="124" t="n">
        <f aca="false">IF(WEEKDAY(A234,3)&gt;4,0,(IF(A234&lt;K$2,0,IF(A234&lt;=K$3,1,0))))</f>
        <v>0</v>
      </c>
      <c r="L234" s="124" t="n">
        <f aca="false">J234*K234</f>
        <v>0</v>
      </c>
      <c r="M234" s="124" t="n">
        <f aca="false">SUM(J$188:J234)</f>
        <v>0</v>
      </c>
      <c r="N234" s="124" t="n">
        <f aca="false">SUM(J$6:J234)</f>
        <v>0</v>
      </c>
      <c r="P234" s="124" t="n">
        <f aca="false">D234/P$3</f>
        <v>0</v>
      </c>
      <c r="Q234" s="124" t="n">
        <f aca="false">E234/P$3</f>
        <v>0</v>
      </c>
      <c r="R234" s="124" t="n">
        <f aca="false">F234/R$3</f>
        <v>0</v>
      </c>
      <c r="S234" s="126" t="n">
        <f aca="false">J234/$R$3</f>
        <v>0</v>
      </c>
      <c r="T234" s="126" t="n">
        <f aca="false">L234/$R$3</f>
        <v>0</v>
      </c>
      <c r="U234" s="126" t="n">
        <f aca="false">I234/$R$3</f>
        <v>0</v>
      </c>
      <c r="V234" s="126" t="n">
        <f aca="false">M234/$R$3</f>
        <v>0</v>
      </c>
      <c r="W234" s="126" t="n">
        <f aca="false">N234/$R$3</f>
        <v>0</v>
      </c>
    </row>
    <row r="235" customFormat="false" ht="12.75" hidden="true" customHeight="false" outlineLevel="0" collapsed="false">
      <c r="A235" s="120" t="n">
        <f aca="false">A234+1</f>
        <v>37121</v>
      </c>
      <c r="B235" s="131" t="str">
        <f aca="false">INDEX('Master Data'!$A$2:$B$8,MATCH(WEEKDAY(ELETROBOLT!A235,3),'Master Data'!$A$2:$A$8,0),2)</f>
        <v>Sa</v>
      </c>
      <c r="D235" s="124" t="n">
        <v>0</v>
      </c>
      <c r="E235" s="124" t="n">
        <v>0</v>
      </c>
      <c r="F235" s="124" t="n">
        <v>0</v>
      </c>
      <c r="G235" s="124" t="n">
        <v>0</v>
      </c>
      <c r="I235" s="124" t="n">
        <f aca="false">IF(MONTH($A235)=MONTH($A234),IF(G235=0,I234,G235),G235)</f>
        <v>0</v>
      </c>
      <c r="J235" s="124" t="n">
        <f aca="false">IF(MONTH($A235)=MONTH($A234),SUM(I235-I234),I235)</f>
        <v>0</v>
      </c>
      <c r="K235" s="124" t="n">
        <f aca="false">IF(WEEKDAY(A235,3)&gt;4,0,(IF(A235&lt;K$2,0,IF(A235&lt;=K$3,1,0))))</f>
        <v>0</v>
      </c>
      <c r="L235" s="124" t="n">
        <f aca="false">J235*K235</f>
        <v>0</v>
      </c>
      <c r="M235" s="124" t="n">
        <f aca="false">SUM(J$188:J235)</f>
        <v>0</v>
      </c>
      <c r="N235" s="124" t="n">
        <f aca="false">SUM(J$6:J235)</f>
        <v>0</v>
      </c>
      <c r="P235" s="124" t="n">
        <f aca="false">D235/P$3</f>
        <v>0</v>
      </c>
      <c r="Q235" s="124" t="n">
        <f aca="false">E235/P$3</f>
        <v>0</v>
      </c>
      <c r="R235" s="124" t="n">
        <f aca="false">F235/R$3</f>
        <v>0</v>
      </c>
      <c r="S235" s="126" t="n">
        <f aca="false">J235/$R$3</f>
        <v>0</v>
      </c>
      <c r="T235" s="126" t="n">
        <f aca="false">L235/$R$3</f>
        <v>0</v>
      </c>
      <c r="U235" s="126" t="n">
        <f aca="false">I235/$R$3</f>
        <v>0</v>
      </c>
      <c r="V235" s="126" t="n">
        <f aca="false">M235/$R$3</f>
        <v>0</v>
      </c>
      <c r="W235" s="126" t="n">
        <f aca="false">N235/$R$3</f>
        <v>0</v>
      </c>
    </row>
    <row r="236" customFormat="false" ht="12.75" hidden="true" customHeight="false" outlineLevel="0" collapsed="false">
      <c r="A236" s="120" t="n">
        <f aca="false">A235+1</f>
        <v>37122</v>
      </c>
      <c r="B236" s="131" t="str">
        <f aca="false">INDEX('Master Data'!$A$2:$B$8,MATCH(WEEKDAY(ELETROBOLT!A236,3),'Master Data'!$A$2:$A$8,0),2)</f>
        <v>Su</v>
      </c>
      <c r="D236" s="124" t="n">
        <v>0</v>
      </c>
      <c r="E236" s="124" t="n">
        <v>0</v>
      </c>
      <c r="F236" s="124" t="n">
        <v>0</v>
      </c>
      <c r="G236" s="124" t="n">
        <v>0</v>
      </c>
      <c r="I236" s="124" t="n">
        <f aca="false">IF(MONTH($A236)=MONTH($A235),IF(G236=0,I235,G236),G236)</f>
        <v>0</v>
      </c>
      <c r="J236" s="124" t="n">
        <f aca="false">IF(MONTH($A236)=MONTH($A235),SUM(I236-I235),I236)</f>
        <v>0</v>
      </c>
      <c r="K236" s="124" t="n">
        <f aca="false">IF(WEEKDAY(A236,3)&gt;4,0,(IF(A236&lt;K$2,0,IF(A236&lt;=K$3,1,0))))</f>
        <v>0</v>
      </c>
      <c r="L236" s="124" t="n">
        <f aca="false">J236*K236</f>
        <v>0</v>
      </c>
      <c r="M236" s="124" t="n">
        <f aca="false">SUM(J$188:J236)</f>
        <v>0</v>
      </c>
      <c r="N236" s="124" t="n">
        <f aca="false">SUM(J$6:J236)</f>
        <v>0</v>
      </c>
      <c r="P236" s="124" t="n">
        <f aca="false">D236/P$3</f>
        <v>0</v>
      </c>
      <c r="Q236" s="124" t="n">
        <f aca="false">E236/P$3</f>
        <v>0</v>
      </c>
      <c r="R236" s="124" t="n">
        <f aca="false">F236/R$3</f>
        <v>0</v>
      </c>
      <c r="S236" s="126" t="n">
        <f aca="false">J236/$R$3</f>
        <v>0</v>
      </c>
      <c r="T236" s="126" t="n">
        <f aca="false">L236/$R$3</f>
        <v>0</v>
      </c>
      <c r="U236" s="126" t="n">
        <f aca="false">I236/$R$3</f>
        <v>0</v>
      </c>
      <c r="V236" s="126" t="n">
        <f aca="false">M236/$R$3</f>
        <v>0</v>
      </c>
      <c r="W236" s="126" t="n">
        <f aca="false">N236/$R$3</f>
        <v>0</v>
      </c>
    </row>
    <row r="237" customFormat="false" ht="12.75" hidden="true" customHeight="false" outlineLevel="0" collapsed="false">
      <c r="A237" s="120" t="n">
        <f aca="false">A236+1</f>
        <v>37123</v>
      </c>
      <c r="B237" s="131" t="str">
        <f aca="false">INDEX('Master Data'!$A$2:$B$8,MATCH(WEEKDAY(ELETROBOLT!A237,3),'Master Data'!$A$2:$A$8,0),2)</f>
        <v>M</v>
      </c>
      <c r="D237" s="124" t="n">
        <v>0</v>
      </c>
      <c r="E237" s="124" t="n">
        <v>0</v>
      </c>
      <c r="F237" s="124" t="n">
        <v>0</v>
      </c>
      <c r="G237" s="124" t="n">
        <v>0</v>
      </c>
      <c r="I237" s="124" t="n">
        <f aca="false">IF(MONTH($A237)=MONTH($A236),IF(G237=0,I236,G237),G237)</f>
        <v>0</v>
      </c>
      <c r="J237" s="124" t="n">
        <f aca="false">IF(MONTH($A237)=MONTH($A236),SUM(I237-I236),I237)</f>
        <v>0</v>
      </c>
      <c r="K237" s="124" t="n">
        <f aca="false">IF(WEEKDAY(A237,3)&gt;4,0,(IF(A237&lt;K$2,0,IF(A237&lt;=K$3,1,0))))</f>
        <v>0</v>
      </c>
      <c r="L237" s="124" t="n">
        <f aca="false">J237*K237</f>
        <v>0</v>
      </c>
      <c r="M237" s="124" t="n">
        <f aca="false">SUM(J$188:J237)</f>
        <v>0</v>
      </c>
      <c r="N237" s="124" t="n">
        <f aca="false">SUM(J$6:J237)</f>
        <v>0</v>
      </c>
      <c r="P237" s="124" t="n">
        <f aca="false">D237/P$3</f>
        <v>0</v>
      </c>
      <c r="Q237" s="124" t="n">
        <f aca="false">E237/P$3</f>
        <v>0</v>
      </c>
      <c r="R237" s="124" t="n">
        <f aca="false">F237/R$3</f>
        <v>0</v>
      </c>
      <c r="S237" s="126" t="n">
        <f aca="false">J237/$R$3</f>
        <v>0</v>
      </c>
      <c r="T237" s="126" t="n">
        <f aca="false">L237/$R$3</f>
        <v>0</v>
      </c>
      <c r="U237" s="126" t="n">
        <f aca="false">I237/$R$3</f>
        <v>0</v>
      </c>
      <c r="V237" s="126" t="n">
        <f aca="false">M237/$R$3</f>
        <v>0</v>
      </c>
      <c r="W237" s="126" t="n">
        <f aca="false">N237/$R$3</f>
        <v>0</v>
      </c>
    </row>
    <row r="238" customFormat="false" ht="12.75" hidden="true" customHeight="false" outlineLevel="0" collapsed="false">
      <c r="A238" s="120" t="n">
        <f aca="false">A237+1</f>
        <v>37124</v>
      </c>
      <c r="B238" s="131" t="str">
        <f aca="false">INDEX('Master Data'!$A$2:$B$8,MATCH(WEEKDAY(ELETROBOLT!A238,3),'Master Data'!$A$2:$A$8,0),2)</f>
        <v>T</v>
      </c>
      <c r="D238" s="124" t="n">
        <v>0</v>
      </c>
      <c r="E238" s="124" t="n">
        <v>0</v>
      </c>
      <c r="F238" s="124" t="n">
        <v>0</v>
      </c>
      <c r="G238" s="124" t="n">
        <v>0</v>
      </c>
      <c r="I238" s="124" t="n">
        <f aca="false">IF(MONTH($A238)=MONTH($A237),IF(G238=0,I237,G238),G238)</f>
        <v>0</v>
      </c>
      <c r="J238" s="124" t="n">
        <f aca="false">IF(MONTH($A238)=MONTH($A237),SUM(I238-I237),I238)</f>
        <v>0</v>
      </c>
      <c r="K238" s="124" t="n">
        <f aca="false">IF(WEEKDAY(A238,3)&gt;4,0,(IF(A238&lt;K$2,0,IF(A238&lt;=K$3,1,0))))</f>
        <v>0</v>
      </c>
      <c r="L238" s="124" t="n">
        <f aca="false">J238*K238</f>
        <v>0</v>
      </c>
      <c r="M238" s="124" t="n">
        <f aca="false">SUM(J$188:J238)</f>
        <v>0</v>
      </c>
      <c r="N238" s="124" t="n">
        <f aca="false">SUM(J$6:J238)</f>
        <v>0</v>
      </c>
      <c r="P238" s="124" t="n">
        <f aca="false">D238/P$3</f>
        <v>0</v>
      </c>
      <c r="Q238" s="124" t="n">
        <f aca="false">E238/P$3</f>
        <v>0</v>
      </c>
      <c r="R238" s="124" t="n">
        <f aca="false">F238/R$3</f>
        <v>0</v>
      </c>
      <c r="S238" s="126" t="n">
        <f aca="false">J238/$R$3</f>
        <v>0</v>
      </c>
      <c r="T238" s="126" t="n">
        <f aca="false">L238/$R$3</f>
        <v>0</v>
      </c>
      <c r="U238" s="126" t="n">
        <f aca="false">I238/$R$3</f>
        <v>0</v>
      </c>
      <c r="V238" s="126" t="n">
        <f aca="false">M238/$R$3</f>
        <v>0</v>
      </c>
      <c r="W238" s="126" t="n">
        <f aca="false">N238/$R$3</f>
        <v>0</v>
      </c>
    </row>
    <row r="239" customFormat="false" ht="12.75" hidden="true" customHeight="false" outlineLevel="0" collapsed="false">
      <c r="A239" s="120" t="n">
        <f aca="false">A238+1</f>
        <v>37125</v>
      </c>
      <c r="B239" s="131" t="str">
        <f aca="false">INDEX('Master Data'!$A$2:$B$8,MATCH(WEEKDAY(ELETROBOLT!A239,3),'Master Data'!$A$2:$A$8,0),2)</f>
        <v>W</v>
      </c>
      <c r="D239" s="124" t="n">
        <v>0</v>
      </c>
      <c r="E239" s="124" t="n">
        <v>0</v>
      </c>
      <c r="F239" s="124" t="n">
        <v>0</v>
      </c>
      <c r="G239" s="124" t="n">
        <v>0</v>
      </c>
      <c r="I239" s="124" t="n">
        <f aca="false">IF(MONTH($A239)=MONTH($A238),IF(G239=0,I238,G239),G239)</f>
        <v>0</v>
      </c>
      <c r="J239" s="124" t="n">
        <f aca="false">IF(MONTH($A239)=MONTH($A238),SUM(I239-I238),I239)</f>
        <v>0</v>
      </c>
      <c r="K239" s="124" t="n">
        <f aca="false">IF(WEEKDAY(A239,3)&gt;4,0,(IF(A239&lt;K$2,0,IF(A239&lt;=K$3,1,0))))</f>
        <v>0</v>
      </c>
      <c r="L239" s="124" t="n">
        <f aca="false">J239*K239</f>
        <v>0</v>
      </c>
      <c r="M239" s="124" t="n">
        <f aca="false">SUM(J$188:J239)</f>
        <v>0</v>
      </c>
      <c r="N239" s="124" t="n">
        <f aca="false">SUM(J$6:J239)</f>
        <v>0</v>
      </c>
      <c r="P239" s="124" t="n">
        <f aca="false">D239/P$3</f>
        <v>0</v>
      </c>
      <c r="Q239" s="124" t="n">
        <f aca="false">E239/P$3</f>
        <v>0</v>
      </c>
      <c r="R239" s="124" t="n">
        <f aca="false">F239/R$3</f>
        <v>0</v>
      </c>
      <c r="S239" s="126" t="n">
        <f aca="false">J239/$R$3</f>
        <v>0</v>
      </c>
      <c r="T239" s="126" t="n">
        <f aca="false">L239/$R$3</f>
        <v>0</v>
      </c>
      <c r="U239" s="126" t="n">
        <f aca="false">I239/$R$3</f>
        <v>0</v>
      </c>
      <c r="V239" s="126" t="n">
        <f aca="false">M239/$R$3</f>
        <v>0</v>
      </c>
      <c r="W239" s="126" t="n">
        <f aca="false">N239/$R$3</f>
        <v>0</v>
      </c>
    </row>
    <row r="240" customFormat="false" ht="12.75" hidden="true" customHeight="false" outlineLevel="0" collapsed="false">
      <c r="A240" s="120" t="n">
        <f aca="false">A239+1</f>
        <v>37126</v>
      </c>
      <c r="B240" s="131" t="str">
        <f aca="false">INDEX('Master Data'!$A$2:$B$8,MATCH(WEEKDAY(ELETROBOLT!A240,3),'Master Data'!$A$2:$A$8,0),2)</f>
        <v>Th</v>
      </c>
      <c r="D240" s="124" t="n">
        <v>0</v>
      </c>
      <c r="E240" s="124" t="n">
        <v>0</v>
      </c>
      <c r="F240" s="124" t="n">
        <v>0</v>
      </c>
      <c r="G240" s="124" t="n">
        <v>0</v>
      </c>
      <c r="I240" s="124" t="n">
        <f aca="false">IF(MONTH($A240)=MONTH($A239),IF(G240=0,I239,G240),G240)</f>
        <v>0</v>
      </c>
      <c r="J240" s="124" t="n">
        <f aca="false">IF(MONTH($A240)=MONTH($A239),SUM(I240-I239),I240)</f>
        <v>0</v>
      </c>
      <c r="K240" s="124" t="n">
        <f aca="false">IF(WEEKDAY(A240,3)&gt;4,0,(IF(A240&lt;K$2,0,IF(A240&lt;=K$3,1,0))))</f>
        <v>0</v>
      </c>
      <c r="L240" s="124" t="n">
        <f aca="false">J240*K240</f>
        <v>0</v>
      </c>
      <c r="M240" s="124" t="n">
        <f aca="false">SUM(J$188:J240)</f>
        <v>0</v>
      </c>
      <c r="N240" s="124" t="n">
        <f aca="false">SUM(J$6:J240)</f>
        <v>0</v>
      </c>
      <c r="P240" s="124" t="n">
        <f aca="false">D240/P$3</f>
        <v>0</v>
      </c>
      <c r="Q240" s="124" t="n">
        <f aca="false">E240/P$3</f>
        <v>0</v>
      </c>
      <c r="R240" s="124" t="n">
        <f aca="false">F240/R$3</f>
        <v>0</v>
      </c>
      <c r="S240" s="126" t="n">
        <f aca="false">J240/$R$3</f>
        <v>0</v>
      </c>
      <c r="T240" s="126" t="n">
        <f aca="false">L240/$R$3</f>
        <v>0</v>
      </c>
      <c r="U240" s="126" t="n">
        <f aca="false">I240/$R$3</f>
        <v>0</v>
      </c>
      <c r="V240" s="126" t="n">
        <f aca="false">M240/$R$3</f>
        <v>0</v>
      </c>
      <c r="W240" s="126" t="n">
        <f aca="false">N240/$R$3</f>
        <v>0</v>
      </c>
    </row>
    <row r="241" customFormat="false" ht="12.75" hidden="true" customHeight="false" outlineLevel="0" collapsed="false">
      <c r="A241" s="120" t="n">
        <f aca="false">A240+1</f>
        <v>37127</v>
      </c>
      <c r="B241" s="131" t="str">
        <f aca="false">INDEX('Master Data'!$A$2:$B$8,MATCH(WEEKDAY(ELETROBOLT!A241,3),'Master Data'!$A$2:$A$8,0),2)</f>
        <v>F</v>
      </c>
      <c r="D241" s="124" t="n">
        <v>0</v>
      </c>
      <c r="E241" s="124" t="n">
        <v>0</v>
      </c>
      <c r="F241" s="124" t="n">
        <v>0</v>
      </c>
      <c r="G241" s="124" t="n">
        <v>0</v>
      </c>
      <c r="I241" s="124" t="n">
        <f aca="false">IF(MONTH($A241)=MONTH($A240),IF(G241=0,I240,G241),G241)</f>
        <v>0</v>
      </c>
      <c r="J241" s="124" t="n">
        <f aca="false">IF(MONTH($A241)=MONTH($A240),SUM(I241-I240),I241)</f>
        <v>0</v>
      </c>
      <c r="K241" s="124" t="n">
        <f aca="false">IF(WEEKDAY(A241,3)&gt;4,0,(IF(A241&lt;K$2,0,IF(A241&lt;=K$3,1,0))))</f>
        <v>0</v>
      </c>
      <c r="L241" s="124" t="n">
        <f aca="false">J241*K241</f>
        <v>0</v>
      </c>
      <c r="M241" s="124" t="n">
        <f aca="false">SUM(J$188:J241)</f>
        <v>0</v>
      </c>
      <c r="N241" s="124" t="n">
        <f aca="false">SUM(J$6:J241)</f>
        <v>0</v>
      </c>
      <c r="P241" s="124" t="n">
        <f aca="false">D241/P$3</f>
        <v>0</v>
      </c>
      <c r="Q241" s="124" t="n">
        <f aca="false">E241/P$3</f>
        <v>0</v>
      </c>
      <c r="R241" s="124" t="n">
        <f aca="false">F241/R$3</f>
        <v>0</v>
      </c>
      <c r="S241" s="126" t="n">
        <f aca="false">J241/$R$3</f>
        <v>0</v>
      </c>
      <c r="T241" s="126" t="n">
        <f aca="false">L241/$R$3</f>
        <v>0</v>
      </c>
      <c r="U241" s="126" t="n">
        <f aca="false">I241/$R$3</f>
        <v>0</v>
      </c>
      <c r="V241" s="126" t="n">
        <f aca="false">M241/$R$3</f>
        <v>0</v>
      </c>
      <c r="W241" s="126" t="n">
        <f aca="false">N241/$R$3</f>
        <v>0</v>
      </c>
    </row>
    <row r="242" customFormat="false" ht="12.75" hidden="true" customHeight="false" outlineLevel="0" collapsed="false">
      <c r="A242" s="120" t="n">
        <f aca="false">A241+1</f>
        <v>37128</v>
      </c>
      <c r="B242" s="131" t="str">
        <f aca="false">INDEX('Master Data'!$A$2:$B$8,MATCH(WEEKDAY(ELETROBOLT!A242,3),'Master Data'!$A$2:$A$8,0),2)</f>
        <v>Sa</v>
      </c>
      <c r="D242" s="124" t="n">
        <v>0</v>
      </c>
      <c r="E242" s="124" t="n">
        <v>0</v>
      </c>
      <c r="F242" s="124" t="n">
        <v>0</v>
      </c>
      <c r="G242" s="124" t="n">
        <v>0</v>
      </c>
      <c r="I242" s="124" t="n">
        <f aca="false">IF(MONTH($A242)=MONTH($A241),IF(G242=0,I241,G242),G242)</f>
        <v>0</v>
      </c>
      <c r="J242" s="124" t="n">
        <f aca="false">IF(MONTH($A242)=MONTH($A241),SUM(I242-I241),I242)</f>
        <v>0</v>
      </c>
      <c r="K242" s="124" t="n">
        <f aca="false">IF(WEEKDAY(A242,3)&gt;4,0,(IF(A242&lt;K$2,0,IF(A242&lt;=K$3,1,0))))</f>
        <v>0</v>
      </c>
      <c r="L242" s="124" t="n">
        <f aca="false">J242*K242</f>
        <v>0</v>
      </c>
      <c r="M242" s="124" t="n">
        <f aca="false">SUM(J$188:J242)</f>
        <v>0</v>
      </c>
      <c r="N242" s="124" t="n">
        <f aca="false">SUM(J$6:J242)</f>
        <v>0</v>
      </c>
      <c r="P242" s="124" t="n">
        <f aca="false">D242/P$3</f>
        <v>0</v>
      </c>
      <c r="Q242" s="124" t="n">
        <f aca="false">E242/P$3</f>
        <v>0</v>
      </c>
      <c r="R242" s="124" t="n">
        <f aca="false">F242/R$3</f>
        <v>0</v>
      </c>
      <c r="S242" s="126" t="n">
        <f aca="false">J242/$R$3</f>
        <v>0</v>
      </c>
      <c r="T242" s="126" t="n">
        <f aca="false">L242/$R$3</f>
        <v>0</v>
      </c>
      <c r="U242" s="126" t="n">
        <f aca="false">I242/$R$3</f>
        <v>0</v>
      </c>
      <c r="V242" s="126" t="n">
        <f aca="false">M242/$R$3</f>
        <v>0</v>
      </c>
      <c r="W242" s="126" t="n">
        <f aca="false">N242/$R$3</f>
        <v>0</v>
      </c>
    </row>
    <row r="243" customFormat="false" ht="12.75" hidden="true" customHeight="false" outlineLevel="0" collapsed="false">
      <c r="A243" s="120" t="n">
        <f aca="false">A242+1</f>
        <v>37129</v>
      </c>
      <c r="B243" s="131" t="str">
        <f aca="false">INDEX('Master Data'!$A$2:$B$8,MATCH(WEEKDAY(ELETROBOLT!A243,3),'Master Data'!$A$2:$A$8,0),2)</f>
        <v>Su</v>
      </c>
      <c r="D243" s="124" t="n">
        <v>0</v>
      </c>
      <c r="E243" s="124" t="n">
        <v>0</v>
      </c>
      <c r="F243" s="124" t="n">
        <v>0</v>
      </c>
      <c r="G243" s="124" t="n">
        <v>0</v>
      </c>
      <c r="I243" s="124" t="n">
        <f aca="false">IF(MONTH($A243)=MONTH($A242),IF(G243=0,I242,G243),G243)</f>
        <v>0</v>
      </c>
      <c r="J243" s="124" t="n">
        <f aca="false">IF(MONTH($A243)=MONTH($A242),SUM(I243-I242),I243)</f>
        <v>0</v>
      </c>
      <c r="K243" s="124" t="n">
        <f aca="false">IF(WEEKDAY(A243,3)&gt;4,0,(IF(A243&lt;K$2,0,IF(A243&lt;=K$3,1,0))))</f>
        <v>0</v>
      </c>
      <c r="L243" s="124" t="n">
        <f aca="false">J243*K243</f>
        <v>0</v>
      </c>
      <c r="M243" s="124" t="n">
        <f aca="false">SUM(J$188:J243)</f>
        <v>0</v>
      </c>
      <c r="N243" s="124" t="n">
        <f aca="false">SUM(J$6:J243)</f>
        <v>0</v>
      </c>
      <c r="P243" s="124" t="n">
        <f aca="false">D243/P$3</f>
        <v>0</v>
      </c>
      <c r="Q243" s="124" t="n">
        <f aca="false">E243/P$3</f>
        <v>0</v>
      </c>
      <c r="R243" s="124" t="n">
        <f aca="false">F243/R$3</f>
        <v>0</v>
      </c>
      <c r="S243" s="126" t="n">
        <f aca="false">J243/$R$3</f>
        <v>0</v>
      </c>
      <c r="T243" s="126" t="n">
        <f aca="false">L243/$R$3</f>
        <v>0</v>
      </c>
      <c r="U243" s="126" t="n">
        <f aca="false">I243/$R$3</f>
        <v>0</v>
      </c>
      <c r="V243" s="126" t="n">
        <f aca="false">M243/$R$3</f>
        <v>0</v>
      </c>
      <c r="W243" s="126" t="n">
        <f aca="false">N243/$R$3</f>
        <v>0</v>
      </c>
    </row>
    <row r="244" customFormat="false" ht="12.75" hidden="true" customHeight="false" outlineLevel="0" collapsed="false">
      <c r="A244" s="120" t="n">
        <f aca="false">A243+1</f>
        <v>37130</v>
      </c>
      <c r="B244" s="131" t="str">
        <f aca="false">INDEX('Master Data'!$A$2:$B$8,MATCH(WEEKDAY(ELETROBOLT!A244,3),'Master Data'!$A$2:$A$8,0),2)</f>
        <v>M</v>
      </c>
      <c r="D244" s="124" t="n">
        <v>0</v>
      </c>
      <c r="E244" s="124" t="n">
        <v>0</v>
      </c>
      <c r="F244" s="124" t="n">
        <v>0</v>
      </c>
      <c r="G244" s="124" t="n">
        <v>0</v>
      </c>
      <c r="I244" s="124" t="n">
        <f aca="false">IF(MONTH($A244)=MONTH($A243),IF(G244=0,I243,G244),G244)</f>
        <v>0</v>
      </c>
      <c r="J244" s="124" t="n">
        <f aca="false">IF(MONTH($A244)=MONTH($A243),SUM(I244-I243),I244)</f>
        <v>0</v>
      </c>
      <c r="K244" s="124" t="n">
        <f aca="false">IF(WEEKDAY(A244,3)&gt;4,0,(IF(A244&lt;K$2,0,IF(A244&lt;=K$3,1,0))))</f>
        <v>0</v>
      </c>
      <c r="L244" s="124" t="n">
        <f aca="false">J244*K244</f>
        <v>0</v>
      </c>
      <c r="M244" s="124" t="n">
        <f aca="false">SUM(J$188:J244)</f>
        <v>0</v>
      </c>
      <c r="N244" s="124" t="n">
        <f aca="false">SUM(J$6:J244)</f>
        <v>0</v>
      </c>
      <c r="P244" s="124" t="n">
        <f aca="false">D244/P$3</f>
        <v>0</v>
      </c>
      <c r="Q244" s="124" t="n">
        <f aca="false">E244/P$3</f>
        <v>0</v>
      </c>
      <c r="R244" s="124" t="n">
        <f aca="false">F244/R$3</f>
        <v>0</v>
      </c>
      <c r="S244" s="126" t="n">
        <f aca="false">J244/$R$3</f>
        <v>0</v>
      </c>
      <c r="T244" s="126" t="n">
        <f aca="false">L244/$R$3</f>
        <v>0</v>
      </c>
      <c r="U244" s="126" t="n">
        <f aca="false">I244/$R$3</f>
        <v>0</v>
      </c>
      <c r="V244" s="126" t="n">
        <f aca="false">M244/$R$3</f>
        <v>0</v>
      </c>
      <c r="W244" s="126" t="n">
        <f aca="false">N244/$R$3</f>
        <v>0</v>
      </c>
    </row>
    <row r="245" customFormat="false" ht="12.75" hidden="true" customHeight="false" outlineLevel="0" collapsed="false">
      <c r="A245" s="120" t="n">
        <f aca="false">A244+1</f>
        <v>37131</v>
      </c>
      <c r="B245" s="131" t="str">
        <f aca="false">INDEX('Master Data'!$A$2:$B$8,MATCH(WEEKDAY(ELETROBOLT!A245,3),'Master Data'!$A$2:$A$8,0),2)</f>
        <v>T</v>
      </c>
      <c r="D245" s="124" t="n">
        <v>0</v>
      </c>
      <c r="E245" s="124" t="n">
        <v>0</v>
      </c>
      <c r="F245" s="124" t="n">
        <v>0</v>
      </c>
      <c r="G245" s="124" t="n">
        <v>0</v>
      </c>
      <c r="I245" s="124" t="n">
        <f aca="false">IF(MONTH($A245)=MONTH($A244),IF(G245=0,I244,G245),G245)</f>
        <v>0</v>
      </c>
      <c r="J245" s="124" t="n">
        <f aca="false">IF(MONTH($A245)=MONTH($A244),SUM(I245-I244),I245)</f>
        <v>0</v>
      </c>
      <c r="K245" s="124" t="n">
        <f aca="false">IF(WEEKDAY(A245,3)&gt;4,0,(IF(A245&lt;K$2,0,IF(A245&lt;=K$3,1,0))))</f>
        <v>0</v>
      </c>
      <c r="L245" s="124" t="n">
        <f aca="false">J245*K245</f>
        <v>0</v>
      </c>
      <c r="M245" s="124" t="n">
        <f aca="false">SUM(J$188:J245)</f>
        <v>0</v>
      </c>
      <c r="N245" s="124" t="n">
        <f aca="false">SUM(J$6:J245)</f>
        <v>0</v>
      </c>
      <c r="P245" s="124" t="n">
        <f aca="false">D245/P$3</f>
        <v>0</v>
      </c>
      <c r="Q245" s="124" t="n">
        <f aca="false">E245/P$3</f>
        <v>0</v>
      </c>
      <c r="R245" s="124" t="n">
        <f aca="false">F245/R$3</f>
        <v>0</v>
      </c>
      <c r="S245" s="126" t="n">
        <f aca="false">J245/$R$3</f>
        <v>0</v>
      </c>
      <c r="T245" s="126" t="n">
        <f aca="false">L245/$R$3</f>
        <v>0</v>
      </c>
      <c r="U245" s="126" t="n">
        <f aca="false">I245/$R$3</f>
        <v>0</v>
      </c>
      <c r="V245" s="126" t="n">
        <f aca="false">M245/$R$3</f>
        <v>0</v>
      </c>
      <c r="W245" s="126" t="n">
        <f aca="false">N245/$R$3</f>
        <v>0</v>
      </c>
    </row>
    <row r="246" customFormat="false" ht="12.75" hidden="true" customHeight="false" outlineLevel="0" collapsed="false">
      <c r="A246" s="120" t="n">
        <f aca="false">A245+1</f>
        <v>37132</v>
      </c>
      <c r="B246" s="131" t="str">
        <f aca="false">INDEX('Master Data'!$A$2:$B$8,MATCH(WEEKDAY(ELETROBOLT!A246,3),'Master Data'!$A$2:$A$8,0),2)</f>
        <v>W</v>
      </c>
      <c r="D246" s="124" t="n">
        <v>0</v>
      </c>
      <c r="E246" s="124" t="n">
        <v>0</v>
      </c>
      <c r="F246" s="124" t="n">
        <v>0</v>
      </c>
      <c r="G246" s="124" t="n">
        <v>0</v>
      </c>
      <c r="I246" s="124" t="n">
        <f aca="false">IF(MONTH($A246)=MONTH($A245),IF(G246=0,I245,G246),G246)</f>
        <v>0</v>
      </c>
      <c r="J246" s="124" t="n">
        <f aca="false">IF(MONTH($A246)=MONTH($A245),SUM(I246-I245),I246)</f>
        <v>0</v>
      </c>
      <c r="K246" s="124" t="n">
        <f aca="false">IF(WEEKDAY(A246,3)&gt;4,0,(IF(A246&lt;K$2,0,IF(A246&lt;=K$3,1,0))))</f>
        <v>0</v>
      </c>
      <c r="L246" s="124" t="n">
        <f aca="false">J246*K246</f>
        <v>0</v>
      </c>
      <c r="M246" s="124" t="n">
        <f aca="false">SUM(J$188:J246)</f>
        <v>0</v>
      </c>
      <c r="N246" s="124" t="n">
        <f aca="false">SUM(J$6:J246)</f>
        <v>0</v>
      </c>
      <c r="P246" s="124" t="n">
        <f aca="false">D246/P$3</f>
        <v>0</v>
      </c>
      <c r="Q246" s="124" t="n">
        <f aca="false">E246/P$3</f>
        <v>0</v>
      </c>
      <c r="R246" s="124" t="n">
        <f aca="false">F246/R$3</f>
        <v>0</v>
      </c>
      <c r="S246" s="126" t="n">
        <f aca="false">J246/$R$3</f>
        <v>0</v>
      </c>
      <c r="T246" s="126" t="n">
        <f aca="false">L246/$R$3</f>
        <v>0</v>
      </c>
      <c r="U246" s="126" t="n">
        <f aca="false">I246/$R$3</f>
        <v>0</v>
      </c>
      <c r="V246" s="126" t="n">
        <f aca="false">M246/$R$3</f>
        <v>0</v>
      </c>
      <c r="W246" s="126" t="n">
        <f aca="false">N246/$R$3</f>
        <v>0</v>
      </c>
    </row>
    <row r="247" customFormat="false" ht="12.75" hidden="true" customHeight="false" outlineLevel="0" collapsed="false">
      <c r="A247" s="120" t="n">
        <f aca="false">A246+1</f>
        <v>37133</v>
      </c>
      <c r="B247" s="131" t="str">
        <f aca="false">INDEX('Master Data'!$A$2:$B$8,MATCH(WEEKDAY(ELETROBOLT!A247,3),'Master Data'!$A$2:$A$8,0),2)</f>
        <v>Th</v>
      </c>
      <c r="D247" s="124" t="n">
        <v>0</v>
      </c>
      <c r="E247" s="124" t="n">
        <v>0</v>
      </c>
      <c r="F247" s="124" t="n">
        <v>0</v>
      </c>
      <c r="G247" s="124" t="n">
        <v>0</v>
      </c>
      <c r="I247" s="124" t="n">
        <f aca="false">IF(MONTH($A247)=MONTH($A246),IF(G247=0,I246,G247),G247)</f>
        <v>0</v>
      </c>
      <c r="J247" s="124" t="n">
        <f aca="false">IF(MONTH($A247)=MONTH($A246),SUM(I247-I246),I247)</f>
        <v>0</v>
      </c>
      <c r="K247" s="124" t="n">
        <f aca="false">IF(WEEKDAY(A247,3)&gt;4,0,(IF(A247&lt;K$2,0,IF(A247&lt;=K$3,1,0))))</f>
        <v>0</v>
      </c>
      <c r="L247" s="124" t="n">
        <f aca="false">J247*K247</f>
        <v>0</v>
      </c>
      <c r="M247" s="124" t="n">
        <f aca="false">SUM(J$188:J247)</f>
        <v>0</v>
      </c>
      <c r="N247" s="124" t="n">
        <f aca="false">SUM(J$6:J247)</f>
        <v>0</v>
      </c>
      <c r="P247" s="124" t="n">
        <f aca="false">D247/P$3</f>
        <v>0</v>
      </c>
      <c r="Q247" s="124" t="n">
        <f aca="false">E247/P$3</f>
        <v>0</v>
      </c>
      <c r="R247" s="124" t="n">
        <f aca="false">F247/R$3</f>
        <v>0</v>
      </c>
      <c r="S247" s="126" t="n">
        <f aca="false">J247/$R$3</f>
        <v>0</v>
      </c>
      <c r="T247" s="126" t="n">
        <f aca="false">L247/$R$3</f>
        <v>0</v>
      </c>
      <c r="U247" s="126" t="n">
        <f aca="false">I247/$R$3</f>
        <v>0</v>
      </c>
      <c r="V247" s="126" t="n">
        <f aca="false">M247/$R$3</f>
        <v>0</v>
      </c>
      <c r="W247" s="126" t="n">
        <f aca="false">N247/$R$3</f>
        <v>0</v>
      </c>
    </row>
    <row r="248" customFormat="false" ht="12.75" hidden="true" customHeight="false" outlineLevel="0" collapsed="false">
      <c r="A248" s="120" t="n">
        <f aca="false">A247+1</f>
        <v>37134</v>
      </c>
      <c r="B248" s="131" t="str">
        <f aca="false">INDEX('Master Data'!$A$2:$B$8,MATCH(WEEKDAY(ELETROBOLT!A248,3),'Master Data'!$A$2:$A$8,0),2)</f>
        <v>F</v>
      </c>
      <c r="D248" s="124" t="n">
        <v>0</v>
      </c>
      <c r="E248" s="124" t="n">
        <v>0</v>
      </c>
      <c r="F248" s="124" t="n">
        <v>0</v>
      </c>
      <c r="G248" s="124" t="n">
        <v>0</v>
      </c>
      <c r="I248" s="124" t="n">
        <f aca="false">IF(MONTH($A248)=MONTH($A247),IF(G248=0,I247,G248),G248)</f>
        <v>0</v>
      </c>
      <c r="J248" s="124" t="n">
        <f aca="false">IF(MONTH($A248)=MONTH($A247),SUM(I248-I247),I248)</f>
        <v>0</v>
      </c>
      <c r="K248" s="124" t="n">
        <f aca="false">IF(WEEKDAY(A248,3)&gt;4,0,(IF(A248&lt;K$2,0,IF(A248&lt;=K$3,1,0))))</f>
        <v>0</v>
      </c>
      <c r="L248" s="124" t="n">
        <f aca="false">J248*K248</f>
        <v>0</v>
      </c>
      <c r="M248" s="124" t="n">
        <f aca="false">SUM(J$188:J248)</f>
        <v>0</v>
      </c>
      <c r="N248" s="124" t="n">
        <f aca="false">SUM(J$6:J248)</f>
        <v>0</v>
      </c>
      <c r="P248" s="124" t="n">
        <f aca="false">D248/P$3</f>
        <v>0</v>
      </c>
      <c r="Q248" s="124" t="n">
        <f aca="false">E248/P$3</f>
        <v>0</v>
      </c>
      <c r="R248" s="124" t="n">
        <f aca="false">F248/R$3</f>
        <v>0</v>
      </c>
      <c r="S248" s="126" t="n">
        <f aca="false">J248/$R$3</f>
        <v>0</v>
      </c>
      <c r="T248" s="126" t="n">
        <f aca="false">L248/$R$3</f>
        <v>0</v>
      </c>
      <c r="U248" s="126" t="n">
        <f aca="false">I248/$R$3</f>
        <v>0</v>
      </c>
      <c r="V248" s="126" t="n">
        <f aca="false">M248/$R$3</f>
        <v>0</v>
      </c>
      <c r="W248" s="126" t="n">
        <f aca="false">N248/$R$3</f>
        <v>0</v>
      </c>
    </row>
    <row r="249" customFormat="false" ht="12.75" hidden="true" customHeight="false" outlineLevel="0" collapsed="false">
      <c r="A249" s="120" t="n">
        <f aca="false">A248+1</f>
        <v>37135</v>
      </c>
      <c r="B249" s="131" t="str">
        <f aca="false">INDEX('Master Data'!$A$2:$B$8,MATCH(WEEKDAY(ELETROBOLT!A249,3),'Master Data'!$A$2:$A$8,0),2)</f>
        <v>Sa</v>
      </c>
      <c r="D249" s="124" t="n">
        <v>0</v>
      </c>
      <c r="E249" s="124" t="n">
        <v>0</v>
      </c>
      <c r="F249" s="124" t="n">
        <v>0</v>
      </c>
      <c r="G249" s="124" t="n">
        <v>0</v>
      </c>
      <c r="I249" s="124" t="n">
        <f aca="false">IF(MONTH($A249)=MONTH($A248),IF(G249=0,I248,G249),G249)</f>
        <v>0</v>
      </c>
      <c r="J249" s="124" t="n">
        <f aca="false">IF(MONTH($A249)=MONTH($A248),SUM(I249-I248),I249)</f>
        <v>0</v>
      </c>
      <c r="K249" s="124" t="n">
        <f aca="false">IF(WEEKDAY(A249,3)&gt;4,0,(IF(A249&lt;K$2,0,IF(A249&lt;=K$3,1,0))))</f>
        <v>0</v>
      </c>
      <c r="L249" s="124" t="n">
        <f aca="false">J249*K249</f>
        <v>0</v>
      </c>
      <c r="M249" s="124" t="n">
        <f aca="false">SUM(J$188:J249)</f>
        <v>0</v>
      </c>
      <c r="N249" s="124" t="n">
        <f aca="false">SUM(J$6:J249)</f>
        <v>0</v>
      </c>
      <c r="P249" s="124" t="n">
        <f aca="false">D249/P$3</f>
        <v>0</v>
      </c>
      <c r="Q249" s="124" t="n">
        <f aca="false">E249/P$3</f>
        <v>0</v>
      </c>
      <c r="R249" s="124" t="n">
        <f aca="false">F249/R$3</f>
        <v>0</v>
      </c>
      <c r="S249" s="126" t="n">
        <f aca="false">J249/$R$3</f>
        <v>0</v>
      </c>
      <c r="T249" s="126" t="n">
        <f aca="false">L249/$R$3</f>
        <v>0</v>
      </c>
      <c r="U249" s="126" t="n">
        <f aca="false">I249/$R$3</f>
        <v>0</v>
      </c>
      <c r="V249" s="126" t="n">
        <f aca="false">M249/$R$3</f>
        <v>0</v>
      </c>
      <c r="W249" s="126" t="n">
        <f aca="false">N249/$R$3</f>
        <v>0</v>
      </c>
    </row>
    <row r="250" customFormat="false" ht="12.75" hidden="true" customHeight="false" outlineLevel="0" collapsed="false">
      <c r="A250" s="120" t="n">
        <f aca="false">A249+1</f>
        <v>37136</v>
      </c>
      <c r="B250" s="131" t="str">
        <f aca="false">INDEX('Master Data'!$A$2:$B$8,MATCH(WEEKDAY(ELETROBOLT!A250,3),'Master Data'!$A$2:$A$8,0),2)</f>
        <v>Su</v>
      </c>
      <c r="D250" s="124" t="n">
        <v>0</v>
      </c>
      <c r="E250" s="124" t="n">
        <v>0</v>
      </c>
      <c r="F250" s="124" t="n">
        <v>0</v>
      </c>
      <c r="G250" s="124" t="n">
        <v>0</v>
      </c>
      <c r="I250" s="124" t="n">
        <f aca="false">IF(MONTH($A250)=MONTH($A249),IF(G250=0,I249,G250),G250)</f>
        <v>0</v>
      </c>
      <c r="J250" s="124" t="n">
        <f aca="false">IF(MONTH($A250)=MONTH($A249),SUM(I250-I249),I250)</f>
        <v>0</v>
      </c>
      <c r="K250" s="124" t="n">
        <f aca="false">IF(WEEKDAY(A250,3)&gt;4,0,(IF(A250&lt;K$2,0,IF(A250&lt;=K$3,1,0))))</f>
        <v>0</v>
      </c>
      <c r="L250" s="124" t="n">
        <f aca="false">J250*K250</f>
        <v>0</v>
      </c>
      <c r="M250" s="124" t="n">
        <f aca="false">SUM(J$188:J250)</f>
        <v>0</v>
      </c>
      <c r="N250" s="124" t="n">
        <f aca="false">SUM(J$6:J250)</f>
        <v>0</v>
      </c>
      <c r="P250" s="124" t="n">
        <f aca="false">D250/P$3</f>
        <v>0</v>
      </c>
      <c r="Q250" s="124" t="n">
        <f aca="false">E250/P$3</f>
        <v>0</v>
      </c>
      <c r="R250" s="124" t="n">
        <f aca="false">F250/R$3</f>
        <v>0</v>
      </c>
      <c r="S250" s="126" t="n">
        <f aca="false">J250/$R$3</f>
        <v>0</v>
      </c>
      <c r="T250" s="126" t="n">
        <f aca="false">L250/$R$3</f>
        <v>0</v>
      </c>
      <c r="U250" s="126" t="n">
        <f aca="false">I250/$R$3</f>
        <v>0</v>
      </c>
      <c r="V250" s="126" t="n">
        <f aca="false">M250/$R$3</f>
        <v>0</v>
      </c>
      <c r="W250" s="126" t="n">
        <f aca="false">N250/$R$3</f>
        <v>0</v>
      </c>
    </row>
    <row r="251" customFormat="false" ht="12.75" hidden="true" customHeight="false" outlineLevel="0" collapsed="false">
      <c r="A251" s="120" t="n">
        <f aca="false">A250+1</f>
        <v>37137</v>
      </c>
      <c r="B251" s="131" t="str">
        <f aca="false">INDEX('Master Data'!$A$2:$B$8,MATCH(WEEKDAY(ELETROBOLT!A251,3),'Master Data'!$A$2:$A$8,0),2)</f>
        <v>M</v>
      </c>
      <c r="D251" s="124" t="n">
        <v>0</v>
      </c>
      <c r="E251" s="124" t="n">
        <v>0</v>
      </c>
      <c r="F251" s="124" t="n">
        <v>0</v>
      </c>
      <c r="G251" s="124" t="n">
        <v>0</v>
      </c>
      <c r="I251" s="124" t="n">
        <f aca="false">IF(MONTH($A251)=MONTH($A250),IF(G251=0,I250,G251),G251)</f>
        <v>0</v>
      </c>
      <c r="J251" s="124" t="n">
        <f aca="false">IF(MONTH($A251)=MONTH($A250),SUM(I251-I250),I251)</f>
        <v>0</v>
      </c>
      <c r="K251" s="124" t="n">
        <f aca="false">IF(WEEKDAY(A251,3)&gt;4,0,(IF(A251&lt;K$2,0,IF(A251&lt;=K$3,1,0))))</f>
        <v>0</v>
      </c>
      <c r="L251" s="124" t="n">
        <f aca="false">J251*K251</f>
        <v>0</v>
      </c>
      <c r="M251" s="124" t="n">
        <f aca="false">SUM(J$188:J251)</f>
        <v>0</v>
      </c>
      <c r="N251" s="124" t="n">
        <f aca="false">SUM(J$6:J251)</f>
        <v>0</v>
      </c>
      <c r="P251" s="124" t="n">
        <f aca="false">D251/P$3</f>
        <v>0</v>
      </c>
      <c r="Q251" s="124" t="n">
        <f aca="false">E251/P$3</f>
        <v>0</v>
      </c>
      <c r="R251" s="124" t="n">
        <f aca="false">F251/R$3</f>
        <v>0</v>
      </c>
      <c r="S251" s="126" t="n">
        <f aca="false">J251/$R$3</f>
        <v>0</v>
      </c>
      <c r="T251" s="126" t="n">
        <f aca="false">L251/$R$3</f>
        <v>0</v>
      </c>
      <c r="U251" s="126" t="n">
        <f aca="false">I251/$R$3</f>
        <v>0</v>
      </c>
      <c r="V251" s="126" t="n">
        <f aca="false">M251/$R$3</f>
        <v>0</v>
      </c>
      <c r="W251" s="126" t="n">
        <f aca="false">N251/$R$3</f>
        <v>0</v>
      </c>
    </row>
    <row r="252" customFormat="false" ht="12.75" hidden="true" customHeight="false" outlineLevel="0" collapsed="false">
      <c r="A252" s="120" t="n">
        <f aca="false">A251+1</f>
        <v>37138</v>
      </c>
      <c r="B252" s="131" t="str">
        <f aca="false">INDEX('Master Data'!$A$2:$B$8,MATCH(WEEKDAY(ELETROBOLT!A252,3),'Master Data'!$A$2:$A$8,0),2)</f>
        <v>T</v>
      </c>
      <c r="D252" s="124" t="n">
        <v>0</v>
      </c>
      <c r="E252" s="124" t="n">
        <v>0</v>
      </c>
      <c r="F252" s="124" t="n">
        <v>0</v>
      </c>
      <c r="G252" s="124" t="n">
        <v>0</v>
      </c>
      <c r="I252" s="124" t="n">
        <f aca="false">IF(MONTH($A252)=MONTH($A251),IF(G252=0,I251,G252),G252)</f>
        <v>0</v>
      </c>
      <c r="J252" s="124" t="n">
        <f aca="false">IF(MONTH($A252)=MONTH($A251),SUM(I252-I251),I252)</f>
        <v>0</v>
      </c>
      <c r="K252" s="124" t="n">
        <f aca="false">IF(WEEKDAY(A252,3)&gt;4,0,(IF(A252&lt;K$2,0,IF(A252&lt;=K$3,1,0))))</f>
        <v>0</v>
      </c>
      <c r="L252" s="124" t="n">
        <f aca="false">J252*K252</f>
        <v>0</v>
      </c>
      <c r="M252" s="124" t="n">
        <f aca="false">SUM(J$188:J252)</f>
        <v>0</v>
      </c>
      <c r="N252" s="124" t="n">
        <f aca="false">SUM(J$6:J252)</f>
        <v>0</v>
      </c>
      <c r="P252" s="124" t="n">
        <f aca="false">D252/P$3</f>
        <v>0</v>
      </c>
      <c r="Q252" s="124" t="n">
        <f aca="false">E252/P$3</f>
        <v>0</v>
      </c>
      <c r="R252" s="124" t="n">
        <f aca="false">F252/R$3</f>
        <v>0</v>
      </c>
      <c r="S252" s="126" t="n">
        <f aca="false">J252/$R$3</f>
        <v>0</v>
      </c>
      <c r="T252" s="126" t="n">
        <f aca="false">L252/$R$3</f>
        <v>0</v>
      </c>
      <c r="U252" s="126" t="n">
        <f aca="false">I252/$R$3</f>
        <v>0</v>
      </c>
      <c r="V252" s="126" t="n">
        <f aca="false">M252/$R$3</f>
        <v>0</v>
      </c>
      <c r="W252" s="126" t="n">
        <f aca="false">N252/$R$3</f>
        <v>0</v>
      </c>
    </row>
    <row r="253" customFormat="false" ht="12.75" hidden="true" customHeight="false" outlineLevel="0" collapsed="false">
      <c r="A253" s="120" t="n">
        <f aca="false">A252+1</f>
        <v>37139</v>
      </c>
      <c r="B253" s="131" t="str">
        <f aca="false">INDEX('Master Data'!$A$2:$B$8,MATCH(WEEKDAY(ELETROBOLT!A253,3),'Master Data'!$A$2:$A$8,0),2)</f>
        <v>W</v>
      </c>
      <c r="D253" s="124" t="n">
        <v>0</v>
      </c>
      <c r="E253" s="124" t="n">
        <v>0</v>
      </c>
      <c r="F253" s="124" t="n">
        <v>0</v>
      </c>
      <c r="G253" s="124" t="n">
        <v>0</v>
      </c>
      <c r="I253" s="124" t="n">
        <f aca="false">IF(MONTH($A253)=MONTH($A252),IF(G253=0,I252,G253),G253)</f>
        <v>0</v>
      </c>
      <c r="J253" s="124" t="n">
        <f aca="false">IF(MONTH($A253)=MONTH($A252),SUM(I253-I252),I253)</f>
        <v>0</v>
      </c>
      <c r="K253" s="124" t="n">
        <f aca="false">IF(WEEKDAY(A253,3)&gt;4,0,(IF(A253&lt;K$2,0,IF(A253&lt;=K$3,1,0))))</f>
        <v>0</v>
      </c>
      <c r="L253" s="124" t="n">
        <f aca="false">J253*K253</f>
        <v>0</v>
      </c>
      <c r="M253" s="124" t="n">
        <f aca="false">SUM(J$188:J253)</f>
        <v>0</v>
      </c>
      <c r="N253" s="124" t="n">
        <f aca="false">SUM(J$6:J253)</f>
        <v>0</v>
      </c>
      <c r="P253" s="124" t="n">
        <f aca="false">D253/P$3</f>
        <v>0</v>
      </c>
      <c r="Q253" s="124" t="n">
        <f aca="false">E253/P$3</f>
        <v>0</v>
      </c>
      <c r="R253" s="124" t="n">
        <f aca="false">F253/R$3</f>
        <v>0</v>
      </c>
      <c r="S253" s="126" t="n">
        <f aca="false">J253/$R$3</f>
        <v>0</v>
      </c>
      <c r="T253" s="126" t="n">
        <f aca="false">L253/$R$3</f>
        <v>0</v>
      </c>
      <c r="U253" s="126" t="n">
        <f aca="false">I253/$R$3</f>
        <v>0</v>
      </c>
      <c r="V253" s="126" t="n">
        <f aca="false">M253/$R$3</f>
        <v>0</v>
      </c>
      <c r="W253" s="126" t="n">
        <f aca="false">N253/$R$3</f>
        <v>0</v>
      </c>
    </row>
    <row r="254" customFormat="false" ht="12.75" hidden="true" customHeight="false" outlineLevel="0" collapsed="false">
      <c r="A254" s="120" t="n">
        <f aca="false">A253+1</f>
        <v>37140</v>
      </c>
      <c r="B254" s="131" t="str">
        <f aca="false">INDEX('Master Data'!$A$2:$B$8,MATCH(WEEKDAY(ELETROBOLT!A254,3),'Master Data'!$A$2:$A$8,0),2)</f>
        <v>Th</v>
      </c>
      <c r="D254" s="124" t="n">
        <v>0</v>
      </c>
      <c r="E254" s="124" t="n">
        <v>0</v>
      </c>
      <c r="F254" s="124" t="n">
        <v>0</v>
      </c>
      <c r="G254" s="124" t="n">
        <v>0</v>
      </c>
      <c r="I254" s="124" t="n">
        <f aca="false">IF(MONTH($A254)=MONTH($A253),IF(G254=0,I253,G254),G254)</f>
        <v>0</v>
      </c>
      <c r="J254" s="124" t="n">
        <f aca="false">IF(MONTH($A254)=MONTH($A253),SUM(I254-I253),I254)</f>
        <v>0</v>
      </c>
      <c r="K254" s="124" t="n">
        <f aca="false">IF(WEEKDAY(A254,3)&gt;4,0,(IF(A254&lt;K$2,0,IF(A254&lt;=K$3,1,0))))</f>
        <v>0</v>
      </c>
      <c r="L254" s="124" t="n">
        <f aca="false">J254*K254</f>
        <v>0</v>
      </c>
      <c r="M254" s="124" t="n">
        <f aca="false">SUM(J$188:J254)</f>
        <v>0</v>
      </c>
      <c r="N254" s="124" t="n">
        <f aca="false">SUM(J$6:J254)</f>
        <v>0</v>
      </c>
      <c r="P254" s="124" t="n">
        <f aca="false">D254/P$3</f>
        <v>0</v>
      </c>
      <c r="Q254" s="124" t="n">
        <f aca="false">E254/P$3</f>
        <v>0</v>
      </c>
      <c r="R254" s="124" t="n">
        <f aca="false">F254/R$3</f>
        <v>0</v>
      </c>
      <c r="S254" s="126" t="n">
        <f aca="false">J254/$R$3</f>
        <v>0</v>
      </c>
      <c r="T254" s="126" t="n">
        <f aca="false">L254/$R$3</f>
        <v>0</v>
      </c>
      <c r="U254" s="126" t="n">
        <f aca="false">I254/$R$3</f>
        <v>0</v>
      </c>
      <c r="V254" s="126" t="n">
        <f aca="false">M254/$R$3</f>
        <v>0</v>
      </c>
      <c r="W254" s="126" t="n">
        <f aca="false">N254/$R$3</f>
        <v>0</v>
      </c>
    </row>
    <row r="255" customFormat="false" ht="12.75" hidden="true" customHeight="false" outlineLevel="0" collapsed="false">
      <c r="A255" s="120" t="n">
        <f aca="false">A254+1</f>
        <v>37141</v>
      </c>
      <c r="B255" s="131" t="str">
        <f aca="false">INDEX('Master Data'!$A$2:$B$8,MATCH(WEEKDAY(ELETROBOLT!A255,3),'Master Data'!$A$2:$A$8,0),2)</f>
        <v>F</v>
      </c>
      <c r="D255" s="124" t="n">
        <v>0</v>
      </c>
      <c r="E255" s="124" t="n">
        <v>0</v>
      </c>
      <c r="F255" s="124" t="n">
        <v>0</v>
      </c>
      <c r="G255" s="124" t="n">
        <v>0</v>
      </c>
      <c r="I255" s="124" t="n">
        <f aca="false">IF(MONTH($A255)=MONTH($A254),IF(G255=0,I254,G255),G255)</f>
        <v>0</v>
      </c>
      <c r="J255" s="124" t="n">
        <f aca="false">IF(MONTH($A255)=MONTH($A254),SUM(I255-I254),I255)</f>
        <v>0</v>
      </c>
      <c r="K255" s="124" t="n">
        <f aca="false">IF(WEEKDAY(A255,3)&gt;4,0,(IF(A255&lt;K$2,0,IF(A255&lt;=K$3,1,0))))</f>
        <v>0</v>
      </c>
      <c r="L255" s="124" t="n">
        <f aca="false">J255*K255</f>
        <v>0</v>
      </c>
      <c r="M255" s="124" t="n">
        <f aca="false">SUM(J$188:J255)</f>
        <v>0</v>
      </c>
      <c r="N255" s="124" t="n">
        <f aca="false">SUM(J$6:J255)</f>
        <v>0</v>
      </c>
      <c r="P255" s="124" t="n">
        <f aca="false">D255/P$3</f>
        <v>0</v>
      </c>
      <c r="Q255" s="124" t="n">
        <f aca="false">E255/P$3</f>
        <v>0</v>
      </c>
      <c r="R255" s="124" t="n">
        <f aca="false">F255/R$3</f>
        <v>0</v>
      </c>
      <c r="S255" s="126" t="n">
        <f aca="false">J255/$R$3</f>
        <v>0</v>
      </c>
      <c r="T255" s="126" t="n">
        <f aca="false">L255/$R$3</f>
        <v>0</v>
      </c>
      <c r="U255" s="126" t="n">
        <f aca="false">I255/$R$3</f>
        <v>0</v>
      </c>
      <c r="V255" s="126" t="n">
        <f aca="false">M255/$R$3</f>
        <v>0</v>
      </c>
      <c r="W255" s="126" t="n">
        <f aca="false">N255/$R$3</f>
        <v>0</v>
      </c>
    </row>
    <row r="256" customFormat="false" ht="12.75" hidden="true" customHeight="false" outlineLevel="0" collapsed="false">
      <c r="A256" s="120" t="n">
        <f aca="false">A255+1</f>
        <v>37142</v>
      </c>
      <c r="B256" s="131" t="str">
        <f aca="false">INDEX('Master Data'!$A$2:$B$8,MATCH(WEEKDAY(ELETROBOLT!A256,3),'Master Data'!$A$2:$A$8,0),2)</f>
        <v>Sa</v>
      </c>
      <c r="D256" s="124" t="n">
        <v>0</v>
      </c>
      <c r="E256" s="124" t="n">
        <v>0</v>
      </c>
      <c r="F256" s="124" t="n">
        <v>0</v>
      </c>
      <c r="G256" s="124" t="n">
        <v>0</v>
      </c>
      <c r="I256" s="124" t="n">
        <f aca="false">IF(MONTH($A256)=MONTH($A255),IF(G256=0,I255,G256),G256)</f>
        <v>0</v>
      </c>
      <c r="J256" s="124" t="n">
        <f aca="false">IF(MONTH($A256)=MONTH($A255),SUM(I256-I255),I256)</f>
        <v>0</v>
      </c>
      <c r="K256" s="124" t="n">
        <f aca="false">IF(WEEKDAY(A256,3)&gt;4,0,(IF(A256&lt;K$2,0,IF(A256&lt;=K$3,1,0))))</f>
        <v>0</v>
      </c>
      <c r="L256" s="124" t="n">
        <f aca="false">J256*K256</f>
        <v>0</v>
      </c>
      <c r="M256" s="124" t="n">
        <f aca="false">SUM(J$188:J256)</f>
        <v>0</v>
      </c>
      <c r="N256" s="124" t="n">
        <f aca="false">SUM(J$6:J256)</f>
        <v>0</v>
      </c>
      <c r="P256" s="124" t="n">
        <f aca="false">D256/P$3</f>
        <v>0</v>
      </c>
      <c r="Q256" s="124" t="n">
        <f aca="false">E256/P$3</f>
        <v>0</v>
      </c>
      <c r="R256" s="124" t="n">
        <f aca="false">F256/R$3</f>
        <v>0</v>
      </c>
      <c r="S256" s="126" t="n">
        <f aca="false">J256/$R$3</f>
        <v>0</v>
      </c>
      <c r="T256" s="126" t="n">
        <f aca="false">L256/$R$3</f>
        <v>0</v>
      </c>
      <c r="U256" s="126" t="n">
        <f aca="false">I256/$R$3</f>
        <v>0</v>
      </c>
      <c r="V256" s="126" t="n">
        <f aca="false">M256/$R$3</f>
        <v>0</v>
      </c>
      <c r="W256" s="126" t="n">
        <f aca="false">N256/$R$3</f>
        <v>0</v>
      </c>
    </row>
    <row r="257" customFormat="false" ht="12.75" hidden="true" customHeight="false" outlineLevel="0" collapsed="false">
      <c r="A257" s="120" t="n">
        <f aca="false">A256+1</f>
        <v>37143</v>
      </c>
      <c r="B257" s="131" t="str">
        <f aca="false">INDEX('Master Data'!$A$2:$B$8,MATCH(WEEKDAY(ELETROBOLT!A257,3),'Master Data'!$A$2:$A$8,0),2)</f>
        <v>Su</v>
      </c>
      <c r="D257" s="124" t="n">
        <v>0</v>
      </c>
      <c r="E257" s="124" t="n">
        <v>0</v>
      </c>
      <c r="F257" s="124" t="n">
        <v>0</v>
      </c>
      <c r="G257" s="124" t="n">
        <v>0</v>
      </c>
      <c r="I257" s="124" t="n">
        <f aca="false">IF(MONTH($A257)=MONTH($A256),IF(G257=0,I256,G257),G257)</f>
        <v>0</v>
      </c>
      <c r="J257" s="124" t="n">
        <f aca="false">IF(MONTH($A257)=MONTH($A256),SUM(I257-I256),I257)</f>
        <v>0</v>
      </c>
      <c r="K257" s="124" t="n">
        <f aca="false">IF(WEEKDAY(A257,3)&gt;4,0,(IF(A257&lt;K$2,0,IF(A257&lt;=K$3,1,0))))</f>
        <v>0</v>
      </c>
      <c r="L257" s="124" t="n">
        <f aca="false">J257*K257</f>
        <v>0</v>
      </c>
      <c r="M257" s="124" t="n">
        <f aca="false">SUM(J$188:J257)</f>
        <v>0</v>
      </c>
      <c r="N257" s="124" t="n">
        <f aca="false">SUM(J$6:J257)</f>
        <v>0</v>
      </c>
      <c r="P257" s="124" t="n">
        <f aca="false">D257/P$3</f>
        <v>0</v>
      </c>
      <c r="Q257" s="124" t="n">
        <f aca="false">E257/P$3</f>
        <v>0</v>
      </c>
      <c r="R257" s="124" t="n">
        <f aca="false">F257/R$3</f>
        <v>0</v>
      </c>
      <c r="S257" s="126" t="n">
        <f aca="false">J257/$R$3</f>
        <v>0</v>
      </c>
      <c r="T257" s="126" t="n">
        <f aca="false">L257/$R$3</f>
        <v>0</v>
      </c>
      <c r="U257" s="126" t="n">
        <f aca="false">I257/$R$3</f>
        <v>0</v>
      </c>
      <c r="V257" s="126" t="n">
        <f aca="false">M257/$R$3</f>
        <v>0</v>
      </c>
      <c r="W257" s="126" t="n">
        <f aca="false">N257/$R$3</f>
        <v>0</v>
      </c>
    </row>
    <row r="258" customFormat="false" ht="12.75" hidden="true" customHeight="false" outlineLevel="0" collapsed="false">
      <c r="A258" s="120" t="n">
        <f aca="false">A257+1</f>
        <v>37144</v>
      </c>
      <c r="B258" s="131" t="str">
        <f aca="false">INDEX('Master Data'!$A$2:$B$8,MATCH(WEEKDAY(ELETROBOLT!A258,3),'Master Data'!$A$2:$A$8,0),2)</f>
        <v>M</v>
      </c>
      <c r="D258" s="124" t="n">
        <v>0</v>
      </c>
      <c r="E258" s="124" t="n">
        <v>0</v>
      </c>
      <c r="F258" s="124" t="n">
        <v>0</v>
      </c>
      <c r="G258" s="124" t="n">
        <v>0</v>
      </c>
      <c r="I258" s="124" t="n">
        <f aca="false">IF(MONTH($A258)=MONTH($A257),IF(G258=0,I257,G258),G258)</f>
        <v>0</v>
      </c>
      <c r="J258" s="124" t="n">
        <f aca="false">IF(MONTH($A258)=MONTH($A257),SUM(I258-I257),I258)</f>
        <v>0</v>
      </c>
      <c r="K258" s="124" t="n">
        <f aca="false">IF(WEEKDAY(A258,3)&gt;4,0,(IF(A258&lt;K$2,0,IF(A258&lt;=K$3,1,0))))</f>
        <v>0</v>
      </c>
      <c r="L258" s="124" t="n">
        <f aca="false">J258*K258</f>
        <v>0</v>
      </c>
      <c r="M258" s="124" t="n">
        <f aca="false">SUM(J$188:J258)</f>
        <v>0</v>
      </c>
      <c r="N258" s="124" t="n">
        <f aca="false">SUM(J$6:J258)</f>
        <v>0</v>
      </c>
      <c r="P258" s="124" t="n">
        <f aca="false">D258/P$3</f>
        <v>0</v>
      </c>
      <c r="Q258" s="124" t="n">
        <f aca="false">E258/P$3</f>
        <v>0</v>
      </c>
      <c r="R258" s="124" t="n">
        <f aca="false">F258/R$3</f>
        <v>0</v>
      </c>
      <c r="S258" s="126" t="n">
        <f aca="false">J258/$R$3</f>
        <v>0</v>
      </c>
      <c r="T258" s="126" t="n">
        <f aca="false">L258/$R$3</f>
        <v>0</v>
      </c>
      <c r="U258" s="126" t="n">
        <f aca="false">I258/$R$3</f>
        <v>0</v>
      </c>
      <c r="V258" s="126" t="n">
        <f aca="false">M258/$R$3</f>
        <v>0</v>
      </c>
      <c r="W258" s="126" t="n">
        <f aca="false">N258/$R$3</f>
        <v>0</v>
      </c>
    </row>
    <row r="259" customFormat="false" ht="12.75" hidden="true" customHeight="false" outlineLevel="0" collapsed="false">
      <c r="A259" s="120" t="n">
        <f aca="false">A258+1</f>
        <v>37145</v>
      </c>
      <c r="B259" s="131" t="str">
        <f aca="false">INDEX('Master Data'!$A$2:$B$8,MATCH(WEEKDAY(ELETROBOLT!A259,3),'Master Data'!$A$2:$A$8,0),2)</f>
        <v>T</v>
      </c>
      <c r="D259" s="124" t="n">
        <v>0</v>
      </c>
      <c r="E259" s="124" t="n">
        <v>0</v>
      </c>
      <c r="F259" s="124" t="n">
        <v>0</v>
      </c>
      <c r="G259" s="124" t="n">
        <v>0</v>
      </c>
      <c r="I259" s="124" t="n">
        <f aca="false">IF(MONTH($A259)=MONTH($A258),IF(G259=0,I258,G259),G259)</f>
        <v>0</v>
      </c>
      <c r="J259" s="124" t="n">
        <f aca="false">IF(MONTH($A259)=MONTH($A258),SUM(I259-I258),I259)</f>
        <v>0</v>
      </c>
      <c r="K259" s="124" t="n">
        <f aca="false">IF(WEEKDAY(A259,3)&gt;4,0,(IF(A259&lt;K$2,0,IF(A259&lt;=K$3,1,0))))</f>
        <v>0</v>
      </c>
      <c r="L259" s="124" t="n">
        <f aca="false">J259*K259</f>
        <v>0</v>
      </c>
      <c r="M259" s="124" t="n">
        <f aca="false">SUM(J$188:J259)</f>
        <v>0</v>
      </c>
      <c r="N259" s="124" t="n">
        <f aca="false">SUM(J$6:J259)</f>
        <v>0</v>
      </c>
      <c r="P259" s="124" t="n">
        <f aca="false">D259/P$3</f>
        <v>0</v>
      </c>
      <c r="Q259" s="124" t="n">
        <f aca="false">E259/P$3</f>
        <v>0</v>
      </c>
      <c r="R259" s="124" t="n">
        <f aca="false">F259/R$3</f>
        <v>0</v>
      </c>
      <c r="S259" s="126" t="n">
        <f aca="false">J259/$R$3</f>
        <v>0</v>
      </c>
      <c r="T259" s="126" t="n">
        <f aca="false">L259/$R$3</f>
        <v>0</v>
      </c>
      <c r="U259" s="126" t="n">
        <f aca="false">I259/$R$3</f>
        <v>0</v>
      </c>
      <c r="V259" s="126" t="n">
        <f aca="false">M259/$R$3</f>
        <v>0</v>
      </c>
      <c r="W259" s="126" t="n">
        <f aca="false">N259/$R$3</f>
        <v>0</v>
      </c>
    </row>
    <row r="260" customFormat="false" ht="12.75" hidden="true" customHeight="false" outlineLevel="0" collapsed="false">
      <c r="A260" s="120" t="n">
        <f aca="false">A259+1</f>
        <v>37146</v>
      </c>
      <c r="B260" s="131" t="str">
        <f aca="false">INDEX('Master Data'!$A$2:$B$8,MATCH(WEEKDAY(ELETROBOLT!A260,3),'Master Data'!$A$2:$A$8,0),2)</f>
        <v>W</v>
      </c>
      <c r="D260" s="124" t="n">
        <v>0</v>
      </c>
      <c r="E260" s="124" t="n">
        <v>0</v>
      </c>
      <c r="F260" s="124" t="n">
        <v>0</v>
      </c>
      <c r="G260" s="124" t="n">
        <v>0</v>
      </c>
      <c r="I260" s="124" t="n">
        <f aca="false">IF(MONTH($A260)=MONTH($A259),IF(G260=0,I259,G260),G260)</f>
        <v>0</v>
      </c>
      <c r="J260" s="124" t="n">
        <f aca="false">IF(MONTH($A260)=MONTH($A259),SUM(I260-I259),I260)</f>
        <v>0</v>
      </c>
      <c r="K260" s="124" t="n">
        <f aca="false">IF(WEEKDAY(A260,3)&gt;4,0,(IF(A260&lt;K$2,0,IF(A260&lt;=K$3,1,0))))</f>
        <v>0</v>
      </c>
      <c r="L260" s="124" t="n">
        <f aca="false">J260*K260</f>
        <v>0</v>
      </c>
      <c r="M260" s="124" t="n">
        <f aca="false">SUM(J$188:J260)</f>
        <v>0</v>
      </c>
      <c r="N260" s="124" t="n">
        <f aca="false">SUM(J$6:J260)</f>
        <v>0</v>
      </c>
      <c r="P260" s="124" t="n">
        <f aca="false">D260/P$3</f>
        <v>0</v>
      </c>
      <c r="Q260" s="124" t="n">
        <f aca="false">E260/P$3</f>
        <v>0</v>
      </c>
      <c r="R260" s="124" t="n">
        <f aca="false">F260/R$3</f>
        <v>0</v>
      </c>
      <c r="S260" s="126" t="n">
        <f aca="false">J260/$R$3</f>
        <v>0</v>
      </c>
      <c r="T260" s="126" t="n">
        <f aca="false">L260/$R$3</f>
        <v>0</v>
      </c>
      <c r="U260" s="126" t="n">
        <f aca="false">I260/$R$3</f>
        <v>0</v>
      </c>
      <c r="V260" s="126" t="n">
        <f aca="false">M260/$R$3</f>
        <v>0</v>
      </c>
      <c r="W260" s="126" t="n">
        <f aca="false">N260/$R$3</f>
        <v>0</v>
      </c>
    </row>
    <row r="261" customFormat="false" ht="12.75" hidden="true" customHeight="false" outlineLevel="0" collapsed="false">
      <c r="A261" s="120" t="n">
        <f aca="false">A260+1</f>
        <v>37147</v>
      </c>
      <c r="B261" s="131" t="str">
        <f aca="false">INDEX('Master Data'!$A$2:$B$8,MATCH(WEEKDAY(ELETROBOLT!A261,3),'Master Data'!$A$2:$A$8,0),2)</f>
        <v>Th</v>
      </c>
      <c r="D261" s="124" t="n">
        <v>0</v>
      </c>
      <c r="E261" s="124" t="n">
        <v>0</v>
      </c>
      <c r="F261" s="124" t="n">
        <v>0</v>
      </c>
      <c r="G261" s="124" t="n">
        <v>0</v>
      </c>
      <c r="I261" s="124" t="n">
        <f aca="false">IF(MONTH($A261)=MONTH($A260),IF(G261=0,I260,G261),G261)</f>
        <v>0</v>
      </c>
      <c r="J261" s="124" t="n">
        <f aca="false">IF(MONTH($A261)=MONTH($A260),SUM(I261-I260),I261)</f>
        <v>0</v>
      </c>
      <c r="K261" s="124" t="n">
        <f aca="false">IF(WEEKDAY(A261,3)&gt;4,0,(IF(A261&lt;K$2,0,IF(A261&lt;=K$3,1,0))))</f>
        <v>0</v>
      </c>
      <c r="L261" s="124" t="n">
        <f aca="false">J261*K261</f>
        <v>0</v>
      </c>
      <c r="M261" s="124" t="n">
        <f aca="false">SUM(J$188:J261)</f>
        <v>0</v>
      </c>
      <c r="N261" s="124" t="n">
        <f aca="false">SUM(J$6:J261)</f>
        <v>0</v>
      </c>
      <c r="P261" s="124" t="n">
        <f aca="false">D261/P$3</f>
        <v>0</v>
      </c>
      <c r="Q261" s="124" t="n">
        <f aca="false">E261/P$3</f>
        <v>0</v>
      </c>
      <c r="R261" s="124" t="n">
        <f aca="false">F261/R$3</f>
        <v>0</v>
      </c>
      <c r="S261" s="126" t="n">
        <f aca="false">J261/$R$3</f>
        <v>0</v>
      </c>
      <c r="T261" s="126" t="n">
        <f aca="false">L261/$R$3</f>
        <v>0</v>
      </c>
      <c r="U261" s="126" t="n">
        <f aca="false">I261/$R$3</f>
        <v>0</v>
      </c>
      <c r="V261" s="126" t="n">
        <f aca="false">M261/$R$3</f>
        <v>0</v>
      </c>
      <c r="W261" s="126" t="n">
        <f aca="false">N261/$R$3</f>
        <v>0</v>
      </c>
    </row>
    <row r="262" customFormat="false" ht="12.75" hidden="true" customHeight="false" outlineLevel="0" collapsed="false">
      <c r="A262" s="120" t="n">
        <f aca="false">A261+1</f>
        <v>37148</v>
      </c>
      <c r="B262" s="131" t="str">
        <f aca="false">INDEX('Master Data'!$A$2:$B$8,MATCH(WEEKDAY(ELETROBOLT!A262,3),'Master Data'!$A$2:$A$8,0),2)</f>
        <v>F</v>
      </c>
      <c r="D262" s="124" t="n">
        <v>0</v>
      </c>
      <c r="E262" s="124" t="n">
        <v>0</v>
      </c>
      <c r="F262" s="124" t="n">
        <v>0</v>
      </c>
      <c r="G262" s="124" t="n">
        <v>0</v>
      </c>
      <c r="I262" s="124" t="n">
        <f aca="false">IF(MONTH($A262)=MONTH($A261),IF(G262=0,I261,G262),G262)</f>
        <v>0</v>
      </c>
      <c r="J262" s="124" t="n">
        <f aca="false">IF(MONTH($A262)=MONTH($A261),SUM(I262-I261),I262)</f>
        <v>0</v>
      </c>
      <c r="K262" s="124" t="n">
        <f aca="false">IF(WEEKDAY(A262,3)&gt;4,0,(IF(A262&lt;K$2,0,IF(A262&lt;=K$3,1,0))))</f>
        <v>0</v>
      </c>
      <c r="L262" s="124" t="n">
        <f aca="false">J262*K262</f>
        <v>0</v>
      </c>
      <c r="M262" s="124" t="n">
        <f aca="false">SUM(J$188:J262)</f>
        <v>0</v>
      </c>
      <c r="N262" s="124" t="n">
        <f aca="false">SUM(J$6:J262)</f>
        <v>0</v>
      </c>
      <c r="P262" s="124" t="n">
        <f aca="false">D262/P$3</f>
        <v>0</v>
      </c>
      <c r="Q262" s="124" t="n">
        <f aca="false">E262/P$3</f>
        <v>0</v>
      </c>
      <c r="R262" s="124" t="n">
        <f aca="false">F262/R$3</f>
        <v>0</v>
      </c>
      <c r="S262" s="126" t="n">
        <f aca="false">J262/$R$3</f>
        <v>0</v>
      </c>
      <c r="T262" s="126" t="n">
        <f aca="false">L262/$R$3</f>
        <v>0</v>
      </c>
      <c r="U262" s="126" t="n">
        <f aca="false">I262/$R$3</f>
        <v>0</v>
      </c>
      <c r="V262" s="126" t="n">
        <f aca="false">M262/$R$3</f>
        <v>0</v>
      </c>
      <c r="W262" s="126" t="n">
        <f aca="false">N262/$R$3</f>
        <v>0</v>
      </c>
    </row>
    <row r="263" customFormat="false" ht="12.75" hidden="true" customHeight="false" outlineLevel="0" collapsed="false">
      <c r="A263" s="120" t="n">
        <f aca="false">A262+1</f>
        <v>37149</v>
      </c>
      <c r="B263" s="131" t="str">
        <f aca="false">INDEX('Master Data'!$A$2:$B$8,MATCH(WEEKDAY(ELETROBOLT!A263,3),'Master Data'!$A$2:$A$8,0),2)</f>
        <v>Sa</v>
      </c>
      <c r="D263" s="124" t="n">
        <v>0</v>
      </c>
      <c r="E263" s="124" t="n">
        <v>0</v>
      </c>
      <c r="F263" s="124" t="n">
        <v>0</v>
      </c>
      <c r="G263" s="124" t="n">
        <v>0</v>
      </c>
      <c r="I263" s="124" t="n">
        <f aca="false">IF(MONTH($A263)=MONTH($A262),IF(G263=0,I262,G263),G263)</f>
        <v>0</v>
      </c>
      <c r="J263" s="124" t="n">
        <f aca="false">IF(MONTH($A263)=MONTH($A262),SUM(I263-I262),I263)</f>
        <v>0</v>
      </c>
      <c r="K263" s="124" t="n">
        <f aca="false">IF(WEEKDAY(A263,3)&gt;4,0,(IF(A263&lt;K$2,0,IF(A263&lt;=K$3,1,0))))</f>
        <v>0</v>
      </c>
      <c r="L263" s="124" t="n">
        <f aca="false">J263*K263</f>
        <v>0</v>
      </c>
      <c r="M263" s="124" t="n">
        <f aca="false">SUM(J$188:J263)</f>
        <v>0</v>
      </c>
      <c r="N263" s="124" t="n">
        <f aca="false">SUM(J$6:J263)</f>
        <v>0</v>
      </c>
      <c r="P263" s="124" t="n">
        <f aca="false">D263/P$3</f>
        <v>0</v>
      </c>
      <c r="Q263" s="124" t="n">
        <f aca="false">E263/P$3</f>
        <v>0</v>
      </c>
      <c r="R263" s="124" t="n">
        <f aca="false">F263/R$3</f>
        <v>0</v>
      </c>
      <c r="S263" s="126" t="n">
        <f aca="false">J263/$R$3</f>
        <v>0</v>
      </c>
      <c r="T263" s="126" t="n">
        <f aca="false">L263/$R$3</f>
        <v>0</v>
      </c>
      <c r="U263" s="126" t="n">
        <f aca="false">I263/$R$3</f>
        <v>0</v>
      </c>
      <c r="V263" s="126" t="n">
        <f aca="false">M263/$R$3</f>
        <v>0</v>
      </c>
      <c r="W263" s="126" t="n">
        <f aca="false">N263/$R$3</f>
        <v>0</v>
      </c>
    </row>
    <row r="264" customFormat="false" ht="12.75" hidden="true" customHeight="false" outlineLevel="0" collapsed="false">
      <c r="A264" s="120" t="n">
        <f aca="false">A263+1</f>
        <v>37150</v>
      </c>
      <c r="B264" s="131" t="str">
        <f aca="false">INDEX('Master Data'!$A$2:$B$8,MATCH(WEEKDAY(ELETROBOLT!A264,3),'Master Data'!$A$2:$A$8,0),2)</f>
        <v>Su</v>
      </c>
      <c r="D264" s="124" t="n">
        <v>0</v>
      </c>
      <c r="E264" s="124" t="n">
        <v>0</v>
      </c>
      <c r="F264" s="124" t="n">
        <v>0</v>
      </c>
      <c r="G264" s="124" t="n">
        <v>0</v>
      </c>
      <c r="I264" s="124" t="n">
        <f aca="false">IF(MONTH($A264)=MONTH($A263),IF(G264=0,I263,G264),G264)</f>
        <v>0</v>
      </c>
      <c r="J264" s="124" t="n">
        <f aca="false">IF(MONTH($A264)=MONTH($A263),SUM(I264-I263),I264)</f>
        <v>0</v>
      </c>
      <c r="K264" s="124" t="n">
        <f aca="false">IF(WEEKDAY(A264,3)&gt;4,0,(IF(A264&lt;K$2,0,IF(A264&lt;=K$3,1,0))))</f>
        <v>0</v>
      </c>
      <c r="L264" s="124" t="n">
        <f aca="false">J264*K264</f>
        <v>0</v>
      </c>
      <c r="M264" s="124" t="n">
        <f aca="false">SUM(J$188:J264)</f>
        <v>0</v>
      </c>
      <c r="N264" s="124" t="n">
        <f aca="false">SUM(J$6:J264)</f>
        <v>0</v>
      </c>
      <c r="P264" s="124" t="n">
        <f aca="false">D264/P$3</f>
        <v>0</v>
      </c>
      <c r="Q264" s="124" t="n">
        <f aca="false">E264/P$3</f>
        <v>0</v>
      </c>
      <c r="R264" s="124" t="n">
        <f aca="false">F264/R$3</f>
        <v>0</v>
      </c>
      <c r="S264" s="126" t="n">
        <f aca="false">J264/$R$3</f>
        <v>0</v>
      </c>
      <c r="T264" s="126" t="n">
        <f aca="false">L264/$R$3</f>
        <v>0</v>
      </c>
      <c r="U264" s="126" t="n">
        <f aca="false">I264/$R$3</f>
        <v>0</v>
      </c>
      <c r="V264" s="126" t="n">
        <f aca="false">M264/$R$3</f>
        <v>0</v>
      </c>
      <c r="W264" s="126" t="n">
        <f aca="false">N264/$R$3</f>
        <v>0</v>
      </c>
    </row>
    <row r="265" customFormat="false" ht="12.75" hidden="false" customHeight="false" outlineLevel="0" collapsed="false">
      <c r="A265" s="120" t="n">
        <f aca="false">A264+1</f>
        <v>37151</v>
      </c>
      <c r="B265" s="131" t="str">
        <f aca="false">INDEX('Master Data'!$A$2:$B$8,MATCH(WEEKDAY(ELETROBOLT!A265,3),'Master Data'!$A$2:$A$8,0),2)</f>
        <v>M</v>
      </c>
      <c r="D265" s="124" t="n">
        <v>0</v>
      </c>
      <c r="E265" s="124" t="n">
        <v>0</v>
      </c>
      <c r="F265" s="124" t="n">
        <v>0</v>
      </c>
      <c r="G265" s="124" t="n">
        <v>0</v>
      </c>
      <c r="I265" s="124" t="n">
        <f aca="false">IF(MONTH($A265)=MONTH($A264),IF(G265=0,I264,G265),G265)</f>
        <v>0</v>
      </c>
      <c r="J265" s="124" t="n">
        <f aca="false">IF(MONTH($A265)=MONTH($A264),SUM(I265-I264),I265)</f>
        <v>0</v>
      </c>
      <c r="K265" s="124" t="n">
        <f aca="false">IF(WEEKDAY(A265,3)&gt;4,0,(IF(A265&lt;K$2,0,IF(A265&lt;=K$3,1,0))))</f>
        <v>0</v>
      </c>
      <c r="L265" s="124" t="n">
        <f aca="false">J265*K265</f>
        <v>0</v>
      </c>
      <c r="M265" s="124" t="n">
        <f aca="false">SUM(J$188:J265)</f>
        <v>0</v>
      </c>
      <c r="N265" s="124" t="n">
        <f aca="false">SUM(J$6:J265)</f>
        <v>0</v>
      </c>
      <c r="P265" s="124" t="n">
        <f aca="false">D265/P$3</f>
        <v>0</v>
      </c>
      <c r="Q265" s="124" t="n">
        <f aca="false">E265/P$3</f>
        <v>0</v>
      </c>
      <c r="R265" s="124" t="n">
        <f aca="false">F265/R$3</f>
        <v>0</v>
      </c>
      <c r="S265" s="126" t="n">
        <f aca="false">J265/$R$3</f>
        <v>0</v>
      </c>
      <c r="T265" s="126" t="n">
        <f aca="false">L265/$R$3</f>
        <v>0</v>
      </c>
      <c r="U265" s="126" t="n">
        <f aca="false">I265/$R$3</f>
        <v>0</v>
      </c>
      <c r="V265" s="126" t="n">
        <f aca="false">M265/$R$3</f>
        <v>0</v>
      </c>
      <c r="W265" s="126" t="n">
        <f aca="false">N265/$R$3</f>
        <v>0</v>
      </c>
    </row>
    <row r="266" customFormat="false" ht="12.75" hidden="false" customHeight="false" outlineLevel="0" collapsed="false">
      <c r="A266" s="120" t="n">
        <f aca="false">A265+1</f>
        <v>37152</v>
      </c>
      <c r="B266" s="131" t="str">
        <f aca="false">INDEX('Master Data'!$A$2:$B$8,MATCH(WEEKDAY(ELETROBOLT!A266,3),'Master Data'!$A$2:$A$8,0),2)</f>
        <v>T</v>
      </c>
      <c r="D266" s="124" t="n">
        <v>0</v>
      </c>
      <c r="E266" s="124" t="n">
        <v>0</v>
      </c>
      <c r="F266" s="124" t="n">
        <v>0</v>
      </c>
      <c r="G266" s="124" t="n">
        <v>0</v>
      </c>
      <c r="I266" s="124" t="n">
        <f aca="false">IF(MONTH($A266)=MONTH($A265),IF(G266=0,I265,G266),G266)</f>
        <v>0</v>
      </c>
      <c r="J266" s="124" t="n">
        <f aca="false">IF(MONTH($A266)=MONTH($A265),SUM(I266-I265),I266)</f>
        <v>0</v>
      </c>
      <c r="K266" s="124" t="n">
        <f aca="false">IF(WEEKDAY(A266,3)&gt;4,0,(IF(A266&lt;K$2,0,IF(A266&lt;=K$3,1,0))))</f>
        <v>0</v>
      </c>
      <c r="L266" s="124" t="n">
        <f aca="false">J266*K266</f>
        <v>0</v>
      </c>
      <c r="M266" s="124" t="n">
        <f aca="false">SUM(J$188:J266)</f>
        <v>0</v>
      </c>
      <c r="N266" s="124" t="n">
        <f aca="false">SUM(J$6:J266)</f>
        <v>0</v>
      </c>
      <c r="P266" s="124" t="n">
        <f aca="false">D266/P$3</f>
        <v>0</v>
      </c>
      <c r="Q266" s="124" t="n">
        <f aca="false">E266/P$3</f>
        <v>0</v>
      </c>
      <c r="R266" s="124" t="n">
        <f aca="false">F266/R$3</f>
        <v>0</v>
      </c>
      <c r="S266" s="126" t="n">
        <f aca="false">J266/$R$3</f>
        <v>0</v>
      </c>
      <c r="T266" s="126" t="n">
        <f aca="false">L266/$R$3</f>
        <v>0</v>
      </c>
      <c r="U266" s="126" t="n">
        <f aca="false">I266/$R$3</f>
        <v>0</v>
      </c>
      <c r="V266" s="126" t="n">
        <f aca="false">M266/$R$3</f>
        <v>0</v>
      </c>
      <c r="W266" s="126" t="n">
        <f aca="false">N266/$R$3</f>
        <v>0</v>
      </c>
    </row>
    <row r="267" customFormat="false" ht="12.75" hidden="false" customHeight="false" outlineLevel="0" collapsed="false">
      <c r="A267" s="120" t="n">
        <f aca="false">A266+1</f>
        <v>37153</v>
      </c>
      <c r="B267" s="131" t="str">
        <f aca="false">INDEX('Master Data'!$A$2:$B$8,MATCH(WEEKDAY(ELETROBOLT!A267,3),'Master Data'!$A$2:$A$8,0),2)</f>
        <v>W</v>
      </c>
      <c r="D267" s="124" t="n">
        <v>0</v>
      </c>
      <c r="E267" s="124" t="n">
        <v>0</v>
      </c>
      <c r="F267" s="124" t="n">
        <v>0</v>
      </c>
      <c r="G267" s="124" t="n">
        <v>0</v>
      </c>
      <c r="I267" s="124" t="n">
        <f aca="false">IF(MONTH($A267)=MONTH($A266),IF(G267=0,I266,G267),G267)</f>
        <v>0</v>
      </c>
      <c r="J267" s="124" t="n">
        <f aca="false">IF(MONTH($A267)=MONTH($A266),SUM(I267-I266),I267)</f>
        <v>0</v>
      </c>
      <c r="K267" s="124" t="n">
        <f aca="false">IF(WEEKDAY(A267,3)&gt;4,0,(IF(A267&lt;K$2,0,IF(A267&lt;=K$3,1,0))))</f>
        <v>0</v>
      </c>
      <c r="L267" s="124" t="n">
        <f aca="false">J267*K267</f>
        <v>0</v>
      </c>
      <c r="M267" s="124" t="n">
        <f aca="false">SUM(J$188:J267)</f>
        <v>0</v>
      </c>
      <c r="N267" s="124" t="n">
        <f aca="false">SUM(J$6:J267)</f>
        <v>0</v>
      </c>
      <c r="P267" s="124" t="n">
        <f aca="false">D267/P$3</f>
        <v>0</v>
      </c>
      <c r="Q267" s="124" t="n">
        <f aca="false">E267/P$3</f>
        <v>0</v>
      </c>
      <c r="R267" s="124" t="n">
        <f aca="false">F267/R$3</f>
        <v>0</v>
      </c>
      <c r="S267" s="126" t="n">
        <f aca="false">J267/$R$3</f>
        <v>0</v>
      </c>
      <c r="T267" s="126" t="n">
        <f aca="false">L267/$R$3</f>
        <v>0</v>
      </c>
      <c r="U267" s="126" t="n">
        <f aca="false">I267/$R$3</f>
        <v>0</v>
      </c>
      <c r="V267" s="126" t="n">
        <f aca="false">M267/$R$3</f>
        <v>0</v>
      </c>
      <c r="W267" s="126" t="n">
        <f aca="false">N267/$R$3</f>
        <v>0</v>
      </c>
    </row>
    <row r="268" customFormat="false" ht="12.75" hidden="false" customHeight="false" outlineLevel="0" collapsed="false">
      <c r="A268" s="120" t="n">
        <f aca="false">A267+1</f>
        <v>37154</v>
      </c>
      <c r="B268" s="131" t="str">
        <f aca="false">INDEX('Master Data'!$A$2:$B$8,MATCH(WEEKDAY(ELETROBOLT!A268,3),'Master Data'!$A$2:$A$8,0),2)</f>
        <v>Th</v>
      </c>
      <c r="D268" s="124" t="n">
        <v>0</v>
      </c>
      <c r="E268" s="124" t="n">
        <v>0</v>
      </c>
      <c r="F268" s="124" t="n">
        <v>0</v>
      </c>
      <c r="G268" s="124" t="n">
        <v>0</v>
      </c>
      <c r="I268" s="124" t="n">
        <f aca="false">IF(MONTH($A268)=MONTH($A267),IF(G268=0,I267,G268),G268)</f>
        <v>0</v>
      </c>
      <c r="J268" s="124" t="n">
        <f aca="false">IF(MONTH($A268)=MONTH($A267),SUM(I268-I267),I268)</f>
        <v>0</v>
      </c>
      <c r="K268" s="124" t="n">
        <f aca="false">IF(WEEKDAY(A268,3)&gt;4,0,(IF(A268&lt;K$2,0,IF(A268&lt;=K$3,1,0))))</f>
        <v>0</v>
      </c>
      <c r="L268" s="124" t="n">
        <f aca="false">J268*K268</f>
        <v>0</v>
      </c>
      <c r="M268" s="124" t="n">
        <f aca="false">SUM(J$188:J268)</f>
        <v>0</v>
      </c>
      <c r="N268" s="124" t="n">
        <f aca="false">SUM(J$6:J268)</f>
        <v>0</v>
      </c>
      <c r="P268" s="124" t="n">
        <f aca="false">D268/P$3</f>
        <v>0</v>
      </c>
      <c r="Q268" s="124" t="n">
        <f aca="false">E268/P$3</f>
        <v>0</v>
      </c>
      <c r="R268" s="124" t="n">
        <f aca="false">F268/R$3</f>
        <v>0</v>
      </c>
      <c r="S268" s="126" t="n">
        <f aca="false">J268/$R$3</f>
        <v>0</v>
      </c>
      <c r="T268" s="126" t="n">
        <f aca="false">L268/$R$3</f>
        <v>0</v>
      </c>
      <c r="U268" s="126" t="n">
        <f aca="false">I268/$R$3</f>
        <v>0</v>
      </c>
      <c r="V268" s="126" t="n">
        <f aca="false">M268/$R$3</f>
        <v>0</v>
      </c>
      <c r="W268" s="126" t="n">
        <f aca="false">N268/$R$3</f>
        <v>0</v>
      </c>
    </row>
    <row r="269" customFormat="false" ht="12.75" hidden="false" customHeight="false" outlineLevel="0" collapsed="false">
      <c r="A269" s="120" t="n">
        <f aca="false">A268+1</f>
        <v>37155</v>
      </c>
      <c r="B269" s="131" t="str">
        <f aca="false">INDEX('Master Data'!$A$2:$B$8,MATCH(WEEKDAY(ELETROBOLT!A269,3),'Master Data'!$A$2:$A$8,0),2)</f>
        <v>F</v>
      </c>
      <c r="D269" s="124" t="n">
        <v>0</v>
      </c>
      <c r="E269" s="124" t="n">
        <v>0</v>
      </c>
      <c r="F269" s="124" t="n">
        <v>0</v>
      </c>
      <c r="G269" s="124" t="n">
        <v>0</v>
      </c>
      <c r="I269" s="124" t="n">
        <f aca="false">IF(MONTH($A269)=MONTH($A268),IF(G269=0,I268,G269),G269)</f>
        <v>0</v>
      </c>
      <c r="J269" s="124" t="n">
        <f aca="false">IF(MONTH($A269)=MONTH($A268),SUM(I269-I268),I269)</f>
        <v>0</v>
      </c>
      <c r="K269" s="124" t="n">
        <f aca="false">IF(WEEKDAY(A269,3)&gt;4,0,(IF(A269&lt;K$2,0,IF(A269&lt;=K$3,1,0))))</f>
        <v>0</v>
      </c>
      <c r="L269" s="124" t="n">
        <f aca="false">J269*K269</f>
        <v>0</v>
      </c>
      <c r="M269" s="124" t="n">
        <f aca="false">SUM(J$188:J269)</f>
        <v>0</v>
      </c>
      <c r="N269" s="124" t="n">
        <f aca="false">SUM(J$6:J269)</f>
        <v>0</v>
      </c>
      <c r="P269" s="124" t="n">
        <f aca="false">D269/P$3</f>
        <v>0</v>
      </c>
      <c r="Q269" s="124" t="n">
        <f aca="false">E269/P$3</f>
        <v>0</v>
      </c>
      <c r="R269" s="124" t="n">
        <f aca="false">F269/R$3</f>
        <v>0</v>
      </c>
      <c r="S269" s="126" t="n">
        <f aca="false">J269/$R$3</f>
        <v>0</v>
      </c>
      <c r="T269" s="126" t="n">
        <f aca="false">L269/$R$3</f>
        <v>0</v>
      </c>
      <c r="U269" s="126" t="n">
        <f aca="false">I269/$R$3</f>
        <v>0</v>
      </c>
      <c r="V269" s="126" t="n">
        <f aca="false">M269/$R$3</f>
        <v>0</v>
      </c>
      <c r="W269" s="126" t="n">
        <f aca="false">N269/$R$3</f>
        <v>0</v>
      </c>
    </row>
    <row r="270" customFormat="false" ht="12.75" hidden="false" customHeight="false" outlineLevel="0" collapsed="false">
      <c r="A270" s="120" t="n">
        <f aca="false">A269+1</f>
        <v>37156</v>
      </c>
      <c r="B270" s="131" t="str">
        <f aca="false">INDEX('Master Data'!$A$2:$B$8,MATCH(WEEKDAY(ELETROBOLT!A270,3),'Master Data'!$A$2:$A$8,0),2)</f>
        <v>Sa</v>
      </c>
      <c r="D270" s="124" t="n">
        <v>0</v>
      </c>
      <c r="E270" s="124" t="n">
        <v>0</v>
      </c>
      <c r="F270" s="124" t="n">
        <v>0</v>
      </c>
      <c r="G270" s="124" t="n">
        <v>0</v>
      </c>
      <c r="I270" s="124" t="n">
        <f aca="false">IF(MONTH($A270)=MONTH($A269),IF(G270=0,I269,G270),G270)</f>
        <v>0</v>
      </c>
      <c r="J270" s="124" t="n">
        <f aca="false">IF(MONTH($A270)=MONTH($A269),SUM(I270-I269),I270)</f>
        <v>0</v>
      </c>
      <c r="K270" s="124" t="n">
        <f aca="false">IF(WEEKDAY(A270,3)&gt;4,0,(IF(A270&lt;K$2,0,IF(A270&lt;=K$3,1,0))))</f>
        <v>0</v>
      </c>
      <c r="L270" s="124" t="n">
        <f aca="false">J270*K270</f>
        <v>0</v>
      </c>
      <c r="M270" s="124" t="n">
        <f aca="false">SUM(J$188:J270)</f>
        <v>0</v>
      </c>
      <c r="N270" s="124" t="n">
        <f aca="false">SUM(J$6:J270)</f>
        <v>0</v>
      </c>
      <c r="P270" s="124" t="n">
        <f aca="false">D270/P$3</f>
        <v>0</v>
      </c>
      <c r="Q270" s="124" t="n">
        <f aca="false">E270/P$3</f>
        <v>0</v>
      </c>
      <c r="R270" s="124" t="n">
        <f aca="false">F270/R$3</f>
        <v>0</v>
      </c>
      <c r="S270" s="126" t="n">
        <f aca="false">J270/$R$3</f>
        <v>0</v>
      </c>
      <c r="T270" s="126" t="n">
        <f aca="false">L270/$R$3</f>
        <v>0</v>
      </c>
      <c r="U270" s="126" t="n">
        <f aca="false">I270/$R$3</f>
        <v>0</v>
      </c>
      <c r="V270" s="126" t="n">
        <f aca="false">M270/$R$3</f>
        <v>0</v>
      </c>
      <c r="W270" s="126" t="n">
        <f aca="false">N270/$R$3</f>
        <v>0</v>
      </c>
    </row>
    <row r="271" customFormat="false" ht="12.75" hidden="false" customHeight="false" outlineLevel="0" collapsed="false">
      <c r="A271" s="120" t="n">
        <f aca="false">A270+1</f>
        <v>37157</v>
      </c>
      <c r="B271" s="131" t="str">
        <f aca="false">INDEX('Master Data'!$A$2:$B$8,MATCH(WEEKDAY(ELETROBOLT!A271,3),'Master Data'!$A$2:$A$8,0),2)</f>
        <v>Su</v>
      </c>
      <c r="D271" s="124" t="n">
        <v>0</v>
      </c>
      <c r="E271" s="124" t="n">
        <v>0</v>
      </c>
      <c r="F271" s="124" t="n">
        <v>0</v>
      </c>
      <c r="G271" s="124" t="n">
        <v>0</v>
      </c>
      <c r="I271" s="124" t="n">
        <f aca="false">IF(MONTH($A271)=MONTH($A270),IF(G271=0,I270,G271),G271)</f>
        <v>0</v>
      </c>
      <c r="J271" s="124" t="n">
        <f aca="false">IF(MONTH($A271)=MONTH($A270),SUM(I271-I270),I271)</f>
        <v>0</v>
      </c>
      <c r="K271" s="124" t="n">
        <f aca="false">IF(WEEKDAY(A271,3)&gt;4,0,(IF(A271&lt;K$2,0,IF(A271&lt;=K$3,1,0))))</f>
        <v>0</v>
      </c>
      <c r="L271" s="124" t="n">
        <f aca="false">J271*K271</f>
        <v>0</v>
      </c>
      <c r="M271" s="124" t="n">
        <f aca="false">SUM(J$188:J271)</f>
        <v>0</v>
      </c>
      <c r="N271" s="124" t="n">
        <f aca="false">SUM(J$6:J271)</f>
        <v>0</v>
      </c>
      <c r="P271" s="124" t="n">
        <f aca="false">D271/P$3</f>
        <v>0</v>
      </c>
      <c r="Q271" s="124" t="n">
        <f aca="false">E271/P$3</f>
        <v>0</v>
      </c>
      <c r="R271" s="124" t="n">
        <f aca="false">F271/R$3</f>
        <v>0</v>
      </c>
      <c r="S271" s="126" t="n">
        <f aca="false">J271/$R$3</f>
        <v>0</v>
      </c>
      <c r="T271" s="126" t="n">
        <f aca="false">L271/$R$3</f>
        <v>0</v>
      </c>
      <c r="U271" s="126" t="n">
        <f aca="false">I271/$R$3</f>
        <v>0</v>
      </c>
      <c r="V271" s="126" t="n">
        <f aca="false">M271/$R$3</f>
        <v>0</v>
      </c>
      <c r="W271" s="126" t="n">
        <f aca="false">N271/$R$3</f>
        <v>0</v>
      </c>
    </row>
    <row r="272" customFormat="false" ht="12.75" hidden="false" customHeight="false" outlineLevel="0" collapsed="false">
      <c r="A272" s="120" t="n">
        <f aca="false">A271+1</f>
        <v>37158</v>
      </c>
      <c r="B272" s="131" t="str">
        <f aca="false">INDEX('Master Data'!$A$2:$B$8,MATCH(WEEKDAY(ELETROBOLT!A272,3),'Master Data'!$A$2:$A$8,0),2)</f>
        <v>M</v>
      </c>
      <c r="D272" s="124" t="n">
        <v>0</v>
      </c>
      <c r="E272" s="124" t="n">
        <v>0</v>
      </c>
      <c r="F272" s="124" t="n">
        <v>0</v>
      </c>
      <c r="G272" s="124" t="n">
        <v>0</v>
      </c>
      <c r="I272" s="124" t="n">
        <f aca="false">IF(MONTH($A272)=MONTH($A271),IF(G272=0,I271,G272),G272)</f>
        <v>0</v>
      </c>
      <c r="J272" s="124" t="n">
        <f aca="false">IF(MONTH($A272)=MONTH($A271),SUM(I272-I271),I272)</f>
        <v>0</v>
      </c>
      <c r="K272" s="124" t="n">
        <f aca="false">IF(WEEKDAY(A272,3)&gt;4,0,(IF(A272&lt;K$2,0,IF(A272&lt;=K$3,1,0))))</f>
        <v>0</v>
      </c>
      <c r="L272" s="124" t="n">
        <f aca="false">J272*K272</f>
        <v>0</v>
      </c>
      <c r="M272" s="124" t="n">
        <f aca="false">SUM(J$188:J272)</f>
        <v>0</v>
      </c>
      <c r="N272" s="124" t="n">
        <f aca="false">SUM(J$6:J272)</f>
        <v>0</v>
      </c>
      <c r="P272" s="124" t="n">
        <f aca="false">D272/P$3</f>
        <v>0</v>
      </c>
      <c r="Q272" s="124" t="n">
        <f aca="false">E272/P$3</f>
        <v>0</v>
      </c>
      <c r="R272" s="124" t="n">
        <f aca="false">F272/R$3</f>
        <v>0</v>
      </c>
      <c r="S272" s="126" t="n">
        <f aca="false">J272/$R$3</f>
        <v>0</v>
      </c>
      <c r="T272" s="126" t="n">
        <f aca="false">L272/$R$3</f>
        <v>0</v>
      </c>
      <c r="U272" s="126" t="n">
        <f aca="false">I272/$R$3</f>
        <v>0</v>
      </c>
      <c r="V272" s="126" t="n">
        <f aca="false">M272/$R$3</f>
        <v>0</v>
      </c>
      <c r="W272" s="126" t="n">
        <f aca="false">N272/$R$3</f>
        <v>0</v>
      </c>
    </row>
    <row r="273" customFormat="false" ht="12.75" hidden="false" customHeight="false" outlineLevel="0" collapsed="false">
      <c r="A273" s="120" t="n">
        <f aca="false">A272+1</f>
        <v>37159</v>
      </c>
      <c r="B273" s="131" t="str">
        <f aca="false">INDEX('Master Data'!$A$2:$B$8,MATCH(WEEKDAY(ELETROBOLT!A273,3),'Master Data'!$A$2:$A$8,0),2)</f>
        <v>T</v>
      </c>
      <c r="D273" s="124" t="n">
        <v>0</v>
      </c>
      <c r="E273" s="124" t="n">
        <v>0</v>
      </c>
      <c r="F273" s="124" t="n">
        <v>0</v>
      </c>
      <c r="G273" s="124" t="n">
        <v>0</v>
      </c>
      <c r="I273" s="124" t="n">
        <f aca="false">IF(MONTH($A273)=MONTH($A272),IF(G273=0,I272,G273),G273)</f>
        <v>0</v>
      </c>
      <c r="J273" s="124" t="n">
        <f aca="false">IF(MONTH($A273)=MONTH($A272),SUM(I273-I272),I273)</f>
        <v>0</v>
      </c>
      <c r="K273" s="124" t="n">
        <f aca="false">IF(WEEKDAY(A273,3)&gt;4,0,(IF(A273&lt;K$2,0,IF(A273&lt;=K$3,1,0))))</f>
        <v>0</v>
      </c>
      <c r="L273" s="124" t="n">
        <f aca="false">J273*K273</f>
        <v>0</v>
      </c>
      <c r="M273" s="124" t="n">
        <f aca="false">SUM(J$188:J273)</f>
        <v>0</v>
      </c>
      <c r="N273" s="124" t="n">
        <f aca="false">SUM(J$6:J273)</f>
        <v>0</v>
      </c>
      <c r="P273" s="124" t="n">
        <f aca="false">D273/P$3</f>
        <v>0</v>
      </c>
      <c r="Q273" s="124" t="n">
        <f aca="false">E273/P$3</f>
        <v>0</v>
      </c>
      <c r="R273" s="124" t="n">
        <f aca="false">F273/R$3</f>
        <v>0</v>
      </c>
      <c r="S273" s="126" t="n">
        <f aca="false">J273/$R$3</f>
        <v>0</v>
      </c>
      <c r="T273" s="126" t="n">
        <f aca="false">L273/$R$3</f>
        <v>0</v>
      </c>
      <c r="U273" s="126" t="n">
        <f aca="false">I273/$R$3</f>
        <v>0</v>
      </c>
      <c r="V273" s="126" t="n">
        <f aca="false">M273/$R$3</f>
        <v>0</v>
      </c>
      <c r="W273" s="126" t="n">
        <f aca="false">N273/$R$3</f>
        <v>0</v>
      </c>
    </row>
    <row r="274" customFormat="false" ht="12.75" hidden="false" customHeight="false" outlineLevel="0" collapsed="false">
      <c r="A274" s="120" t="n">
        <f aca="false">A273+1</f>
        <v>37160</v>
      </c>
      <c r="B274" s="131" t="str">
        <f aca="false">INDEX('Master Data'!$A$2:$B$8,MATCH(WEEKDAY(ELETROBOLT!A274,3),'Master Data'!$A$2:$A$8,0),2)</f>
        <v>W</v>
      </c>
      <c r="D274" s="124" t="n">
        <v>0</v>
      </c>
      <c r="E274" s="124" t="n">
        <v>0</v>
      </c>
      <c r="F274" s="124" t="n">
        <v>0</v>
      </c>
      <c r="G274" s="124" t="n">
        <v>0</v>
      </c>
      <c r="I274" s="124" t="n">
        <f aca="false">IF(MONTH($A274)=MONTH($A273),IF(G274=0,I273,G274),G274)</f>
        <v>0</v>
      </c>
      <c r="J274" s="124" t="n">
        <f aca="false">IF(MONTH($A274)=MONTH($A273),SUM(I274-I273),I274)</f>
        <v>0</v>
      </c>
      <c r="K274" s="124" t="n">
        <f aca="false">IF(WEEKDAY(A274,3)&gt;4,0,(IF(A274&lt;K$2,0,IF(A274&lt;=K$3,1,0))))</f>
        <v>0</v>
      </c>
      <c r="L274" s="124" t="n">
        <f aca="false">J274*K274</f>
        <v>0</v>
      </c>
      <c r="M274" s="124" t="n">
        <f aca="false">SUM(J$188:J274)</f>
        <v>0</v>
      </c>
      <c r="N274" s="124" t="n">
        <f aca="false">SUM(J$6:J274)</f>
        <v>0</v>
      </c>
      <c r="P274" s="124" t="n">
        <f aca="false">D274/P$3</f>
        <v>0</v>
      </c>
      <c r="Q274" s="124" t="n">
        <f aca="false">E274/P$3</f>
        <v>0</v>
      </c>
      <c r="R274" s="124" t="n">
        <f aca="false">F274/R$3</f>
        <v>0</v>
      </c>
      <c r="S274" s="126" t="n">
        <f aca="false">J274/$R$3</f>
        <v>0</v>
      </c>
      <c r="T274" s="126" t="n">
        <f aca="false">L274/$R$3</f>
        <v>0</v>
      </c>
      <c r="U274" s="126" t="n">
        <f aca="false">I274/$R$3</f>
        <v>0</v>
      </c>
      <c r="V274" s="126" t="n">
        <f aca="false">M274/$R$3</f>
        <v>0</v>
      </c>
      <c r="W274" s="126" t="n">
        <f aca="false">N274/$R$3</f>
        <v>0</v>
      </c>
    </row>
    <row r="275" customFormat="false" ht="12.75" hidden="false" customHeight="false" outlineLevel="0" collapsed="false">
      <c r="A275" s="120" t="n">
        <f aca="false">A274+1</f>
        <v>37161</v>
      </c>
      <c r="B275" s="131" t="str">
        <f aca="false">INDEX('Master Data'!$A$2:$B$8,MATCH(WEEKDAY(ELETROBOLT!A275,3),'Master Data'!$A$2:$A$8,0),2)</f>
        <v>Th</v>
      </c>
      <c r="D275" s="124" t="n">
        <v>0</v>
      </c>
      <c r="E275" s="124" t="n">
        <v>0</v>
      </c>
      <c r="F275" s="124" t="n">
        <v>0</v>
      </c>
      <c r="G275" s="124" t="n">
        <v>0</v>
      </c>
      <c r="I275" s="124" t="n">
        <f aca="false">IF(MONTH($A275)=MONTH($A274),IF(G275=0,I274,G275),G275)</f>
        <v>0</v>
      </c>
      <c r="J275" s="124" t="n">
        <f aca="false">IF(MONTH($A275)=MONTH($A274),SUM(I275-I274),I275)</f>
        <v>0</v>
      </c>
      <c r="K275" s="124" t="n">
        <f aca="false">IF(WEEKDAY(A275,3)&gt;4,0,(IF(A275&lt;K$2,0,IF(A275&lt;=K$3,1,0))))</f>
        <v>0</v>
      </c>
      <c r="L275" s="124" t="n">
        <f aca="false">J275*K275</f>
        <v>0</v>
      </c>
      <c r="M275" s="124" t="n">
        <f aca="false">SUM(J$188:J275)</f>
        <v>0</v>
      </c>
      <c r="N275" s="124" t="n">
        <f aca="false">SUM(J$6:J275)</f>
        <v>0</v>
      </c>
      <c r="P275" s="124" t="n">
        <f aca="false">D275/P$3</f>
        <v>0</v>
      </c>
      <c r="Q275" s="124" t="n">
        <f aca="false">E275/P$3</f>
        <v>0</v>
      </c>
      <c r="R275" s="124" t="n">
        <f aca="false">F275/R$3</f>
        <v>0</v>
      </c>
      <c r="S275" s="126" t="n">
        <f aca="false">J275/$R$3</f>
        <v>0</v>
      </c>
      <c r="T275" s="126" t="n">
        <f aca="false">L275/$R$3</f>
        <v>0</v>
      </c>
      <c r="U275" s="126" t="n">
        <f aca="false">I275/$R$3</f>
        <v>0</v>
      </c>
      <c r="V275" s="126" t="n">
        <f aca="false">M275/$R$3</f>
        <v>0</v>
      </c>
      <c r="W275" s="126" t="n">
        <f aca="false">N275/$R$3</f>
        <v>0</v>
      </c>
    </row>
    <row r="276" customFormat="false" ht="12.75" hidden="false" customHeight="false" outlineLevel="0" collapsed="false">
      <c r="A276" s="120" t="n">
        <f aca="false">A275+1</f>
        <v>37162</v>
      </c>
      <c r="B276" s="131" t="str">
        <f aca="false">INDEX('Master Data'!$A$2:$B$8,MATCH(WEEKDAY(ELETROBOLT!A276,3),'Master Data'!$A$2:$A$8,0),2)</f>
        <v>F</v>
      </c>
      <c r="D276" s="124" t="n">
        <v>0</v>
      </c>
      <c r="E276" s="124" t="n">
        <v>0</v>
      </c>
      <c r="F276" s="124" t="n">
        <v>0</v>
      </c>
      <c r="G276" s="124" t="n">
        <v>0</v>
      </c>
      <c r="I276" s="124" t="n">
        <f aca="false">IF(MONTH($A276)=MONTH($A275),IF(G276=0,I275,G276),G276)</f>
        <v>0</v>
      </c>
      <c r="J276" s="124" t="n">
        <f aca="false">IF(MONTH($A276)=MONTH($A275),SUM(I276-I275),I276)</f>
        <v>0</v>
      </c>
      <c r="K276" s="124" t="n">
        <f aca="false">IF(WEEKDAY(A276,3)&gt;4,0,(IF(A276&lt;K$2,0,IF(A276&lt;=K$3,1,0))))</f>
        <v>0</v>
      </c>
      <c r="L276" s="124" t="n">
        <f aca="false">J276*K276</f>
        <v>0</v>
      </c>
      <c r="M276" s="124" t="n">
        <f aca="false">SUM(J$188:J276)</f>
        <v>0</v>
      </c>
      <c r="N276" s="124" t="n">
        <f aca="false">SUM(J$6:J276)</f>
        <v>0</v>
      </c>
      <c r="P276" s="124" t="n">
        <f aca="false">D276/P$3</f>
        <v>0</v>
      </c>
      <c r="Q276" s="124" t="n">
        <f aca="false">E276/P$3</f>
        <v>0</v>
      </c>
      <c r="R276" s="124" t="n">
        <f aca="false">F276/R$3</f>
        <v>0</v>
      </c>
      <c r="S276" s="126" t="n">
        <f aca="false">J276/$R$3</f>
        <v>0</v>
      </c>
      <c r="T276" s="126" t="n">
        <f aca="false">L276/$R$3</f>
        <v>0</v>
      </c>
      <c r="U276" s="126" t="n">
        <f aca="false">I276/$R$3</f>
        <v>0</v>
      </c>
      <c r="V276" s="126" t="n">
        <f aca="false">M276/$R$3</f>
        <v>0</v>
      </c>
      <c r="W276" s="126" t="n">
        <f aca="false">N276/$R$3</f>
        <v>0</v>
      </c>
    </row>
    <row r="277" customFormat="false" ht="12.75" hidden="false" customHeight="false" outlineLevel="0" collapsed="false">
      <c r="A277" s="120" t="n">
        <f aca="false">A276+1</f>
        <v>37163</v>
      </c>
      <c r="B277" s="131" t="str">
        <f aca="false">INDEX('Master Data'!$A$2:$B$8,MATCH(WEEKDAY(ELETROBOLT!A277,3),'Master Data'!$A$2:$A$8,0),2)</f>
        <v>Sa</v>
      </c>
      <c r="D277" s="124" t="n">
        <v>0</v>
      </c>
      <c r="E277" s="124" t="n">
        <v>0</v>
      </c>
      <c r="F277" s="124" t="n">
        <v>0</v>
      </c>
      <c r="G277" s="124" t="n">
        <v>0</v>
      </c>
      <c r="I277" s="124" t="n">
        <f aca="false">IF(MONTH($A277)=MONTH($A276),IF(G277=0,I276,G277),G277)</f>
        <v>0</v>
      </c>
      <c r="J277" s="124" t="n">
        <f aca="false">IF(MONTH($A277)=MONTH($A276),SUM(I277-I276),I277)</f>
        <v>0</v>
      </c>
      <c r="K277" s="124" t="n">
        <f aca="false">IF(WEEKDAY(A277,3)&gt;4,0,(IF(A277&lt;K$2,0,IF(A277&lt;=K$3,1,0))))</f>
        <v>0</v>
      </c>
      <c r="L277" s="124" t="n">
        <f aca="false">J277*K277</f>
        <v>0</v>
      </c>
      <c r="M277" s="124" t="n">
        <f aca="false">SUM(J$188:J277)</f>
        <v>0</v>
      </c>
      <c r="N277" s="124" t="n">
        <f aca="false">SUM(J$6:J277)</f>
        <v>0</v>
      </c>
      <c r="P277" s="124" t="n">
        <f aca="false">D277/P$3</f>
        <v>0</v>
      </c>
      <c r="Q277" s="124" t="n">
        <f aca="false">E277/P$3</f>
        <v>0</v>
      </c>
      <c r="R277" s="124" t="n">
        <f aca="false">F277/R$3</f>
        <v>0</v>
      </c>
      <c r="S277" s="126" t="n">
        <f aca="false">J277/$R$3</f>
        <v>0</v>
      </c>
      <c r="T277" s="126" t="n">
        <f aca="false">L277/$R$3</f>
        <v>0</v>
      </c>
      <c r="U277" s="126" t="n">
        <f aca="false">I277/$R$3</f>
        <v>0</v>
      </c>
      <c r="V277" s="126" t="n">
        <f aca="false">M277/$R$3</f>
        <v>0</v>
      </c>
      <c r="W277" s="126" t="n">
        <f aca="false">N277/$R$3</f>
        <v>0</v>
      </c>
    </row>
    <row r="278" customFormat="false" ht="12.75" hidden="false" customHeight="false" outlineLevel="0" collapsed="false">
      <c r="A278" s="120" t="n">
        <f aca="false">A277+1</f>
        <v>37164</v>
      </c>
      <c r="B278" s="131" t="str">
        <f aca="false">INDEX('Master Data'!$A$2:$B$8,MATCH(WEEKDAY(ELETROBOLT!A278,3),'Master Data'!$A$2:$A$8,0),2)</f>
        <v>Su</v>
      </c>
      <c r="D278" s="124" t="n">
        <v>0</v>
      </c>
      <c r="E278" s="124" t="n">
        <v>0</v>
      </c>
      <c r="F278" s="124" t="n">
        <v>0</v>
      </c>
      <c r="G278" s="124" t="n">
        <v>0</v>
      </c>
      <c r="I278" s="124" t="n">
        <f aca="false">IF(MONTH($A278)=MONTH($A277),IF(G278=0,I277,G278),G278)</f>
        <v>0</v>
      </c>
      <c r="J278" s="124" t="n">
        <f aca="false">IF(MONTH($A278)=MONTH($A277),SUM(I278-I277),I278)</f>
        <v>0</v>
      </c>
      <c r="K278" s="124" t="n">
        <f aca="false">IF(WEEKDAY(A278,3)&gt;4,0,(IF(A278&lt;K$2,0,IF(A278&lt;=K$3,1,0))))</f>
        <v>0</v>
      </c>
      <c r="L278" s="124" t="n">
        <f aca="false">J278*K278</f>
        <v>0</v>
      </c>
      <c r="M278" s="124" t="n">
        <f aca="false">SUM(J$188:J278)</f>
        <v>0</v>
      </c>
      <c r="N278" s="124" t="n">
        <f aca="false">SUM(J$6:J278)</f>
        <v>0</v>
      </c>
      <c r="P278" s="124" t="n">
        <f aca="false">D278/P$3</f>
        <v>0</v>
      </c>
      <c r="Q278" s="124" t="n">
        <f aca="false">E278/P$3</f>
        <v>0</v>
      </c>
      <c r="R278" s="124" t="n">
        <f aca="false">F278/R$3</f>
        <v>0</v>
      </c>
      <c r="S278" s="126" t="n">
        <f aca="false">J278/$R$3</f>
        <v>0</v>
      </c>
      <c r="T278" s="126" t="n">
        <f aca="false">L278/$R$3</f>
        <v>0</v>
      </c>
      <c r="U278" s="126" t="n">
        <f aca="false">I278/$R$3</f>
        <v>0</v>
      </c>
      <c r="V278" s="126" t="n">
        <f aca="false">M278/$R$3</f>
        <v>0</v>
      </c>
      <c r="W278" s="126" t="n">
        <f aca="false">N278/$R$3</f>
        <v>0</v>
      </c>
    </row>
    <row r="279" customFormat="false" ht="12.75" hidden="false" customHeight="false" outlineLevel="0" collapsed="false">
      <c r="A279" s="120" t="n">
        <f aca="false">A278+1</f>
        <v>37165</v>
      </c>
      <c r="B279" s="131" t="str">
        <f aca="false">INDEX('Master Data'!$A$2:$B$8,MATCH(WEEKDAY(ELETROBOLT!A279,3),'Master Data'!$A$2:$A$8,0),2)</f>
        <v>M</v>
      </c>
      <c r="D279" s="124" t="n">
        <v>0</v>
      </c>
      <c r="E279" s="124" t="n">
        <v>0</v>
      </c>
      <c r="F279" s="124" t="n">
        <v>0</v>
      </c>
      <c r="G279" s="124" t="n">
        <v>0</v>
      </c>
      <c r="I279" s="124" t="n">
        <f aca="false">IF(MONTH($A279)=MONTH($A278),IF(G279=0,I278,G279),G279)</f>
        <v>0</v>
      </c>
      <c r="J279" s="124" t="n">
        <f aca="false">IF(MONTH($A279)=MONTH($A278),SUM(I279-I278),I279)</f>
        <v>0</v>
      </c>
      <c r="K279" s="124" t="n">
        <f aca="false">IF(WEEKDAY(A279,3)&gt;4,0,(IF(A279&lt;K$2,0,IF(A279&lt;=K$3,1,0))))</f>
        <v>0</v>
      </c>
      <c r="L279" s="124" t="n">
        <f aca="false">J279*K279</f>
        <v>0</v>
      </c>
      <c r="M279" s="124" t="n">
        <f aca="false">SUM(J$188:J279)</f>
        <v>0</v>
      </c>
      <c r="N279" s="124" t="n">
        <f aca="false">SUM(J$6:J279)</f>
        <v>0</v>
      </c>
      <c r="P279" s="124" t="n">
        <f aca="false">D279/P$3</f>
        <v>0</v>
      </c>
      <c r="Q279" s="124" t="n">
        <f aca="false">E279/P$3</f>
        <v>0</v>
      </c>
      <c r="R279" s="124" t="n">
        <f aca="false">F279/R$3</f>
        <v>0</v>
      </c>
      <c r="S279" s="126" t="n">
        <f aca="false">J279/$R$3</f>
        <v>0</v>
      </c>
      <c r="T279" s="126" t="n">
        <f aca="false">L279/$R$3</f>
        <v>0</v>
      </c>
      <c r="U279" s="126" t="n">
        <f aca="false">I279/$R$3</f>
        <v>0</v>
      </c>
      <c r="V279" s="126" t="n">
        <f aca="false">M279/$R$3</f>
        <v>0</v>
      </c>
      <c r="W279" s="126" t="n">
        <f aca="false">N279/$R$3</f>
        <v>0</v>
      </c>
    </row>
    <row r="280" customFormat="false" ht="12.75" hidden="false" customHeight="false" outlineLevel="0" collapsed="false">
      <c r="A280" s="120" t="n">
        <f aca="false">A279+1</f>
        <v>37166</v>
      </c>
      <c r="B280" s="131" t="str">
        <f aca="false">INDEX('Master Data'!$A$2:$B$8,MATCH(WEEKDAY(ELETROBOLT!A280,3),'Master Data'!$A$2:$A$8,0),2)</f>
        <v>T</v>
      </c>
      <c r="D280" s="124" t="n">
        <v>0</v>
      </c>
      <c r="E280" s="124" t="n">
        <v>0</v>
      </c>
      <c r="F280" s="124" t="n">
        <v>0</v>
      </c>
      <c r="G280" s="124" t="n">
        <v>0</v>
      </c>
      <c r="I280" s="124" t="n">
        <f aca="false">IF(MONTH($A280)=MONTH($A279),IF(G280=0,I279,G280),G280)</f>
        <v>0</v>
      </c>
      <c r="J280" s="124" t="n">
        <f aca="false">IF(MONTH($A280)=MONTH($A279),SUM(I280-I279),I280)</f>
        <v>0</v>
      </c>
      <c r="K280" s="124" t="n">
        <f aca="false">IF(WEEKDAY(A280,3)&gt;4,0,(IF(A280&lt;K$2,0,IF(A280&lt;=K$3,1,0))))</f>
        <v>0</v>
      </c>
      <c r="L280" s="124" t="n">
        <f aca="false">J280*K280</f>
        <v>0</v>
      </c>
      <c r="M280" s="124" t="n">
        <f aca="false">SUM(J$280:J280)</f>
        <v>0</v>
      </c>
      <c r="N280" s="124" t="n">
        <f aca="false">SUM(J$6:J280)</f>
        <v>0</v>
      </c>
      <c r="P280" s="124" t="n">
        <f aca="false">D280/P$3</f>
        <v>0</v>
      </c>
      <c r="Q280" s="124" t="n">
        <f aca="false">E280/P$3</f>
        <v>0</v>
      </c>
      <c r="R280" s="124" t="n">
        <f aca="false">F280/R$3</f>
        <v>0</v>
      </c>
      <c r="S280" s="126" t="n">
        <f aca="false">J280/$R$3</f>
        <v>0</v>
      </c>
      <c r="T280" s="126" t="n">
        <f aca="false">L280/$R$3</f>
        <v>0</v>
      </c>
      <c r="U280" s="126" t="n">
        <f aca="false">I280/$R$3</f>
        <v>0</v>
      </c>
      <c r="V280" s="126" t="n">
        <f aca="false">M280/$R$3</f>
        <v>0</v>
      </c>
      <c r="W280" s="126" t="n">
        <f aca="false">N280/$R$3</f>
        <v>0</v>
      </c>
    </row>
    <row r="281" customFormat="false" ht="12.75" hidden="false" customHeight="false" outlineLevel="0" collapsed="false">
      <c r="A281" s="120" t="n">
        <f aca="false">A280+1</f>
        <v>37167</v>
      </c>
      <c r="B281" s="131" t="str">
        <f aca="false">INDEX('Master Data'!$A$2:$B$8,MATCH(WEEKDAY(ELETROBOLT!A281,3),'Master Data'!$A$2:$A$8,0),2)</f>
        <v>W</v>
      </c>
      <c r="D281" s="124" t="n">
        <v>0</v>
      </c>
      <c r="E281" s="124" t="n">
        <v>0</v>
      </c>
      <c r="F281" s="124" t="n">
        <v>0</v>
      </c>
      <c r="G281" s="124" t="n">
        <v>0</v>
      </c>
      <c r="I281" s="124" t="n">
        <f aca="false">IF(MONTH($A281)=MONTH($A280),IF(G281=0,I280,G281),G281)</f>
        <v>0</v>
      </c>
      <c r="J281" s="124" t="n">
        <f aca="false">IF(MONTH($A281)=MONTH($A280),SUM(I281-I280),I281)</f>
        <v>0</v>
      </c>
      <c r="K281" s="124" t="n">
        <f aca="false">IF(WEEKDAY(A281,3)&gt;4,0,(IF(A281&lt;K$2,0,IF(A281&lt;=K$3,1,0))))</f>
        <v>0</v>
      </c>
      <c r="L281" s="124" t="n">
        <f aca="false">J281*K281</f>
        <v>0</v>
      </c>
      <c r="M281" s="124" t="n">
        <f aca="false">SUM(J$280:J281)</f>
        <v>0</v>
      </c>
      <c r="N281" s="124" t="n">
        <f aca="false">SUM(J$6:J281)</f>
        <v>0</v>
      </c>
      <c r="P281" s="124" t="n">
        <f aca="false">D281/P$3</f>
        <v>0</v>
      </c>
      <c r="Q281" s="124" t="n">
        <f aca="false">E281/P$3</f>
        <v>0</v>
      </c>
      <c r="R281" s="124" t="n">
        <f aca="false">F281/R$3</f>
        <v>0</v>
      </c>
      <c r="S281" s="126" t="n">
        <f aca="false">J281/$R$3</f>
        <v>0</v>
      </c>
      <c r="T281" s="126" t="n">
        <f aca="false">L281/$R$3</f>
        <v>0</v>
      </c>
      <c r="U281" s="126" t="n">
        <f aca="false">I281/$R$3</f>
        <v>0</v>
      </c>
      <c r="V281" s="126" t="n">
        <f aca="false">M281/$R$3</f>
        <v>0</v>
      </c>
      <c r="W281" s="126" t="n">
        <f aca="false">N281/$R$3</f>
        <v>0</v>
      </c>
    </row>
    <row r="282" customFormat="false" ht="12.75" hidden="false" customHeight="false" outlineLevel="0" collapsed="false">
      <c r="A282" s="120" t="n">
        <f aca="false">A281+1</f>
        <v>37168</v>
      </c>
      <c r="B282" s="131" t="str">
        <f aca="false">INDEX('Master Data'!$A$2:$B$8,MATCH(WEEKDAY(ELETROBOLT!A282,3),'Master Data'!$A$2:$A$8,0),2)</f>
        <v>Th</v>
      </c>
      <c r="D282" s="124" t="n">
        <v>0</v>
      </c>
      <c r="E282" s="124" t="n">
        <v>0</v>
      </c>
      <c r="F282" s="124" t="n">
        <v>0</v>
      </c>
      <c r="G282" s="124" t="n">
        <v>0</v>
      </c>
      <c r="I282" s="124" t="n">
        <f aca="false">IF(MONTH($A282)=MONTH($A281),IF(G282=0,I281,G282),G282)</f>
        <v>0</v>
      </c>
      <c r="J282" s="124" t="n">
        <f aca="false">IF(MONTH($A282)=MONTH($A281),SUM(I282-I281),I282)</f>
        <v>0</v>
      </c>
      <c r="K282" s="124" t="n">
        <f aca="false">IF(WEEKDAY(A282,3)&gt;4,0,(IF(A282&lt;K$2,0,IF(A282&lt;=K$3,1,0))))</f>
        <v>0</v>
      </c>
      <c r="L282" s="124" t="n">
        <f aca="false">J282*K282</f>
        <v>0</v>
      </c>
      <c r="M282" s="124" t="n">
        <f aca="false">SUM(J$280:J282)</f>
        <v>0</v>
      </c>
      <c r="N282" s="124" t="n">
        <f aca="false">SUM(J$6:J282)</f>
        <v>0</v>
      </c>
      <c r="P282" s="124" t="n">
        <f aca="false">D282/P$3</f>
        <v>0</v>
      </c>
      <c r="Q282" s="124" t="n">
        <f aca="false">E282/P$3</f>
        <v>0</v>
      </c>
      <c r="R282" s="124" t="n">
        <f aca="false">F282/R$3</f>
        <v>0</v>
      </c>
      <c r="S282" s="126" t="n">
        <f aca="false">J282/$R$3</f>
        <v>0</v>
      </c>
      <c r="T282" s="126" t="n">
        <f aca="false">L282/$R$3</f>
        <v>0</v>
      </c>
      <c r="U282" s="126" t="n">
        <f aca="false">I282/$R$3</f>
        <v>0</v>
      </c>
      <c r="V282" s="126" t="n">
        <f aca="false">M282/$R$3</f>
        <v>0</v>
      </c>
      <c r="W282" s="126" t="n">
        <f aca="false">N282/$R$3</f>
        <v>0</v>
      </c>
    </row>
    <row r="283" customFormat="false" ht="12.75" hidden="false" customHeight="false" outlineLevel="0" collapsed="false">
      <c r="A283" s="120" t="n">
        <f aca="false">A282+1</f>
        <v>37169</v>
      </c>
      <c r="B283" s="131" t="str">
        <f aca="false">INDEX('Master Data'!$A$2:$B$8,MATCH(WEEKDAY(ELETROBOLT!A283,3),'Master Data'!$A$2:$A$8,0),2)</f>
        <v>F</v>
      </c>
      <c r="D283" s="124" t="n">
        <v>0</v>
      </c>
      <c r="E283" s="124" t="n">
        <v>0</v>
      </c>
      <c r="F283" s="124" t="n">
        <v>0</v>
      </c>
      <c r="G283" s="124" t="n">
        <v>0</v>
      </c>
      <c r="I283" s="124" t="n">
        <f aca="false">IF(MONTH($A283)=MONTH($A282),IF(G283=0,I282,G283),G283)</f>
        <v>0</v>
      </c>
      <c r="J283" s="124" t="n">
        <f aca="false">IF(MONTH($A283)=MONTH($A282),SUM(I283-I282),I283)</f>
        <v>0</v>
      </c>
      <c r="K283" s="124" t="n">
        <f aca="false">IF(WEEKDAY(A283,3)&gt;4,0,(IF(A283&lt;K$2,0,IF(A283&lt;=K$3,1,0))))</f>
        <v>0</v>
      </c>
      <c r="L283" s="124" t="n">
        <f aca="false">J283*K283</f>
        <v>0</v>
      </c>
      <c r="M283" s="124" t="n">
        <f aca="false">SUM(J$280:J283)</f>
        <v>0</v>
      </c>
      <c r="N283" s="124" t="n">
        <f aca="false">SUM(J$6:J283)</f>
        <v>0</v>
      </c>
      <c r="P283" s="124" t="n">
        <f aca="false">D283/P$3</f>
        <v>0</v>
      </c>
      <c r="Q283" s="124" t="n">
        <f aca="false">E283/P$3</f>
        <v>0</v>
      </c>
      <c r="R283" s="124" t="n">
        <f aca="false">F283/R$3</f>
        <v>0</v>
      </c>
      <c r="S283" s="126" t="n">
        <f aca="false">J283/$R$3</f>
        <v>0</v>
      </c>
      <c r="T283" s="126" t="n">
        <f aca="false">L283/$R$3</f>
        <v>0</v>
      </c>
      <c r="U283" s="126" t="n">
        <f aca="false">I283/$R$3</f>
        <v>0</v>
      </c>
      <c r="V283" s="126" t="n">
        <f aca="false">M283/$R$3</f>
        <v>0</v>
      </c>
      <c r="W283" s="126" t="n">
        <f aca="false">N283/$R$3</f>
        <v>0</v>
      </c>
    </row>
    <row r="284" customFormat="false" ht="12.75" hidden="false" customHeight="false" outlineLevel="0" collapsed="false">
      <c r="A284" s="120" t="n">
        <f aca="false">A283+1</f>
        <v>37170</v>
      </c>
      <c r="B284" s="131" t="str">
        <f aca="false">INDEX('Master Data'!$A$2:$B$8,MATCH(WEEKDAY(ELETROBOLT!A284,3),'Master Data'!$A$2:$A$8,0),2)</f>
        <v>Sa</v>
      </c>
      <c r="D284" s="124" t="n">
        <v>0</v>
      </c>
      <c r="E284" s="124" t="n">
        <v>0</v>
      </c>
      <c r="F284" s="124" t="n">
        <v>0</v>
      </c>
      <c r="G284" s="124" t="n">
        <v>0</v>
      </c>
      <c r="I284" s="124" t="n">
        <f aca="false">IF(MONTH($A284)=MONTH($A283),IF(G284=0,I283,G284),G284)</f>
        <v>0</v>
      </c>
      <c r="J284" s="124" t="n">
        <f aca="false">IF(MONTH($A284)=MONTH($A283),SUM(I284-I283),I284)</f>
        <v>0</v>
      </c>
      <c r="K284" s="124" t="n">
        <f aca="false">IF(WEEKDAY(A284,3)&gt;4,0,(IF(A284&lt;K$2,0,IF(A284&lt;=K$3,1,0))))</f>
        <v>0</v>
      </c>
      <c r="L284" s="124" t="n">
        <f aca="false">J284*K284</f>
        <v>0</v>
      </c>
      <c r="M284" s="124" t="n">
        <f aca="false">SUM(J$280:J284)</f>
        <v>0</v>
      </c>
      <c r="N284" s="124" t="n">
        <f aca="false">SUM(J$6:J284)</f>
        <v>0</v>
      </c>
      <c r="P284" s="124" t="n">
        <f aca="false">D284/P$3</f>
        <v>0</v>
      </c>
      <c r="Q284" s="124" t="n">
        <f aca="false">E284/P$3</f>
        <v>0</v>
      </c>
      <c r="R284" s="124" t="n">
        <f aca="false">F284/R$3</f>
        <v>0</v>
      </c>
      <c r="S284" s="126" t="n">
        <f aca="false">J284/$R$3</f>
        <v>0</v>
      </c>
      <c r="T284" s="126" t="n">
        <f aca="false">L284/$R$3</f>
        <v>0</v>
      </c>
      <c r="U284" s="126" t="n">
        <f aca="false">I284/$R$3</f>
        <v>0</v>
      </c>
      <c r="V284" s="126" t="n">
        <f aca="false">M284/$R$3</f>
        <v>0</v>
      </c>
      <c r="W284" s="126" t="n">
        <f aca="false">N284/$R$3</f>
        <v>0</v>
      </c>
    </row>
    <row r="285" customFormat="false" ht="12.75" hidden="false" customHeight="false" outlineLevel="0" collapsed="false">
      <c r="A285" s="120" t="n">
        <f aca="false">A284+1</f>
        <v>37171</v>
      </c>
      <c r="B285" s="131" t="str">
        <f aca="false">INDEX('Master Data'!$A$2:$B$8,MATCH(WEEKDAY(ELETROBOLT!A285,3),'Master Data'!$A$2:$A$8,0),2)</f>
        <v>Su</v>
      </c>
      <c r="D285" s="124" t="n">
        <v>0</v>
      </c>
      <c r="E285" s="124" t="n">
        <v>0</v>
      </c>
      <c r="F285" s="124" t="n">
        <v>0</v>
      </c>
      <c r="G285" s="124" t="n">
        <v>0</v>
      </c>
      <c r="I285" s="124" t="n">
        <f aca="false">IF(MONTH($A285)=MONTH($A284),IF(G285=0,I284,G285),G285)</f>
        <v>0</v>
      </c>
      <c r="J285" s="124" t="n">
        <f aca="false">IF(MONTH($A285)=MONTH($A284),SUM(I285-I284),I285)</f>
        <v>0</v>
      </c>
      <c r="K285" s="124" t="n">
        <f aca="false">IF(WEEKDAY(A285,3)&gt;4,0,(IF(A285&lt;K$2,0,IF(A285&lt;=K$3,1,0))))</f>
        <v>0</v>
      </c>
      <c r="L285" s="124" t="n">
        <f aca="false">J285*K285</f>
        <v>0</v>
      </c>
      <c r="M285" s="124" t="n">
        <f aca="false">SUM(J$280:J285)</f>
        <v>0</v>
      </c>
      <c r="N285" s="124" t="n">
        <f aca="false">SUM(J$6:J285)</f>
        <v>0</v>
      </c>
      <c r="P285" s="124" t="n">
        <f aca="false">D285/P$3</f>
        <v>0</v>
      </c>
      <c r="Q285" s="124" t="n">
        <f aca="false">E285/P$3</f>
        <v>0</v>
      </c>
      <c r="R285" s="124" t="n">
        <f aca="false">F285/R$3</f>
        <v>0</v>
      </c>
      <c r="S285" s="126" t="n">
        <f aca="false">J285/$R$3</f>
        <v>0</v>
      </c>
      <c r="T285" s="126" t="n">
        <f aca="false">L285/$R$3</f>
        <v>0</v>
      </c>
      <c r="U285" s="126" t="n">
        <f aca="false">I285/$R$3</f>
        <v>0</v>
      </c>
      <c r="V285" s="126" t="n">
        <f aca="false">M285/$R$3</f>
        <v>0</v>
      </c>
      <c r="W285" s="126" t="n">
        <f aca="false">N285/$R$3</f>
        <v>0</v>
      </c>
    </row>
    <row r="286" customFormat="false" ht="12.75" hidden="false" customHeight="false" outlineLevel="0" collapsed="false">
      <c r="A286" s="120" t="n">
        <f aca="false">A285+1</f>
        <v>37172</v>
      </c>
      <c r="B286" s="131" t="str">
        <f aca="false">INDEX('Master Data'!$A$2:$B$8,MATCH(WEEKDAY(ELETROBOLT!A286,3),'Master Data'!$A$2:$A$8,0),2)</f>
        <v>M</v>
      </c>
      <c r="D286" s="124" t="n">
        <v>0</v>
      </c>
      <c r="E286" s="124" t="n">
        <v>0</v>
      </c>
      <c r="F286" s="124" t="n">
        <v>0</v>
      </c>
      <c r="G286" s="124" t="n">
        <v>0</v>
      </c>
      <c r="I286" s="124" t="n">
        <f aca="false">IF(MONTH($A286)=MONTH($A285),IF(G286=0,I285,G286),G286)</f>
        <v>0</v>
      </c>
      <c r="J286" s="124" t="n">
        <f aca="false">IF(MONTH($A286)=MONTH($A285),SUM(I286-I285),I286)</f>
        <v>0</v>
      </c>
      <c r="K286" s="124" t="n">
        <f aca="false">IF(WEEKDAY(A286,3)&gt;4,0,(IF(A286&lt;K$2,0,IF(A286&lt;=K$3,1,0))))</f>
        <v>0</v>
      </c>
      <c r="L286" s="124" t="n">
        <f aca="false">J286*K286</f>
        <v>0</v>
      </c>
      <c r="M286" s="124" t="n">
        <f aca="false">SUM(J$280:J286)</f>
        <v>0</v>
      </c>
      <c r="N286" s="124" t="n">
        <f aca="false">SUM(J$6:J286)</f>
        <v>0</v>
      </c>
      <c r="P286" s="124" t="n">
        <f aca="false">D286/P$3</f>
        <v>0</v>
      </c>
      <c r="Q286" s="124" t="n">
        <f aca="false">E286/P$3</f>
        <v>0</v>
      </c>
      <c r="R286" s="124" t="n">
        <f aca="false">F286/R$3</f>
        <v>0</v>
      </c>
      <c r="S286" s="126" t="n">
        <f aca="false">J286/$R$3</f>
        <v>0</v>
      </c>
      <c r="T286" s="126" t="n">
        <f aca="false">L286/$R$3</f>
        <v>0</v>
      </c>
      <c r="U286" s="126" t="n">
        <f aca="false">I286/$R$3</f>
        <v>0</v>
      </c>
      <c r="V286" s="126" t="n">
        <f aca="false">M286/$R$3</f>
        <v>0</v>
      </c>
      <c r="W286" s="126" t="n">
        <f aca="false">N286/$R$3</f>
        <v>0</v>
      </c>
    </row>
    <row r="287" customFormat="false" ht="12.75" hidden="false" customHeight="false" outlineLevel="0" collapsed="false">
      <c r="A287" s="120" t="n">
        <f aca="false">A286+1</f>
        <v>37173</v>
      </c>
      <c r="B287" s="131" t="str">
        <f aca="false">INDEX('Master Data'!$A$2:$B$8,MATCH(WEEKDAY(ELETROBOLT!A287,3),'Master Data'!$A$2:$A$8,0),2)</f>
        <v>T</v>
      </c>
      <c r="D287" s="124" t="n">
        <v>0</v>
      </c>
      <c r="E287" s="124" t="n">
        <v>0</v>
      </c>
      <c r="F287" s="124" t="n">
        <v>0</v>
      </c>
      <c r="G287" s="124" t="n">
        <v>0</v>
      </c>
      <c r="I287" s="124" t="n">
        <f aca="false">IF(MONTH($A287)=MONTH($A286),IF(G287=0,I286,G287),G287)</f>
        <v>0</v>
      </c>
      <c r="J287" s="124" t="n">
        <f aca="false">IF(MONTH($A287)=MONTH($A286),SUM(I287-I286),I287)</f>
        <v>0</v>
      </c>
      <c r="K287" s="124" t="n">
        <f aca="false">IF(WEEKDAY(A287,3)&gt;4,0,(IF(A287&lt;K$2,0,IF(A287&lt;=K$3,1,0))))</f>
        <v>0</v>
      </c>
      <c r="L287" s="124" t="n">
        <f aca="false">J287*K287</f>
        <v>0</v>
      </c>
      <c r="M287" s="124" t="n">
        <f aca="false">SUM(J$280:J287)</f>
        <v>0</v>
      </c>
      <c r="N287" s="124" t="n">
        <f aca="false">SUM(J$6:J287)</f>
        <v>0</v>
      </c>
      <c r="P287" s="124" t="n">
        <f aca="false">D287/P$3</f>
        <v>0</v>
      </c>
      <c r="Q287" s="124" t="n">
        <f aca="false">E287/P$3</f>
        <v>0</v>
      </c>
      <c r="R287" s="124" t="n">
        <f aca="false">F287/R$3</f>
        <v>0</v>
      </c>
      <c r="S287" s="126" t="n">
        <f aca="false">J287/$R$3</f>
        <v>0</v>
      </c>
      <c r="T287" s="126" t="n">
        <f aca="false">L287/$R$3</f>
        <v>0</v>
      </c>
      <c r="U287" s="126" t="n">
        <f aca="false">I287/$R$3</f>
        <v>0</v>
      </c>
      <c r="V287" s="126" t="n">
        <f aca="false">M287/$R$3</f>
        <v>0</v>
      </c>
      <c r="W287" s="126" t="n">
        <f aca="false">N287/$R$3</f>
        <v>0</v>
      </c>
    </row>
    <row r="288" customFormat="false" ht="12.75" hidden="false" customHeight="false" outlineLevel="0" collapsed="false">
      <c r="A288" s="120" t="n">
        <f aca="false">A287+1</f>
        <v>37174</v>
      </c>
      <c r="B288" s="131" t="str">
        <f aca="false">INDEX('Master Data'!$A$2:$B$8,MATCH(WEEKDAY(ELETROBOLT!A288,3),'Master Data'!$A$2:$A$8,0),2)</f>
        <v>W</v>
      </c>
      <c r="D288" s="124" t="n">
        <v>0</v>
      </c>
      <c r="E288" s="124" t="n">
        <v>0</v>
      </c>
      <c r="F288" s="124" t="n">
        <v>0</v>
      </c>
      <c r="G288" s="124" t="n">
        <v>0</v>
      </c>
      <c r="I288" s="124" t="n">
        <f aca="false">IF(MONTH($A288)=MONTH($A287),IF(G288=0,I287,G288),G288)</f>
        <v>0</v>
      </c>
      <c r="J288" s="124" t="n">
        <f aca="false">IF(MONTH($A288)=MONTH($A287),SUM(I288-I287),I288)</f>
        <v>0</v>
      </c>
      <c r="K288" s="124" t="n">
        <f aca="false">IF(WEEKDAY(A288,3)&gt;4,0,(IF(A288&lt;K$2,0,IF(A288&lt;=K$3,1,0))))</f>
        <v>0</v>
      </c>
      <c r="L288" s="124" t="n">
        <f aca="false">J288*K288</f>
        <v>0</v>
      </c>
      <c r="M288" s="124" t="n">
        <f aca="false">SUM(J$280:J288)</f>
        <v>0</v>
      </c>
      <c r="N288" s="124" t="n">
        <f aca="false">SUM(J$6:J288)</f>
        <v>0</v>
      </c>
      <c r="P288" s="124" t="n">
        <f aca="false">D288/P$3</f>
        <v>0</v>
      </c>
      <c r="Q288" s="124" t="n">
        <f aca="false">E288/P$3</f>
        <v>0</v>
      </c>
      <c r="R288" s="124" t="n">
        <f aca="false">F288/R$3</f>
        <v>0</v>
      </c>
      <c r="S288" s="126" t="n">
        <f aca="false">J288/$R$3</f>
        <v>0</v>
      </c>
      <c r="T288" s="126" t="n">
        <f aca="false">L288/$R$3</f>
        <v>0</v>
      </c>
      <c r="U288" s="126" t="n">
        <f aca="false">I288/$R$3</f>
        <v>0</v>
      </c>
      <c r="V288" s="126" t="n">
        <f aca="false">M288/$R$3</f>
        <v>0</v>
      </c>
      <c r="W288" s="126" t="n">
        <f aca="false">N288/$R$3</f>
        <v>0</v>
      </c>
    </row>
    <row r="289" customFormat="false" ht="12.75" hidden="false" customHeight="false" outlineLevel="0" collapsed="false">
      <c r="A289" s="120" t="n">
        <f aca="false">A288+1</f>
        <v>37175</v>
      </c>
      <c r="B289" s="131" t="str">
        <f aca="false">INDEX('Master Data'!$A$2:$B$8,MATCH(WEEKDAY(ELETROBOLT!A289,3),'Master Data'!$A$2:$A$8,0),2)</f>
        <v>Th</v>
      </c>
      <c r="D289" s="124" t="n">
        <v>0</v>
      </c>
      <c r="E289" s="124" t="n">
        <v>0</v>
      </c>
      <c r="F289" s="124" t="n">
        <v>0</v>
      </c>
      <c r="G289" s="124" t="n">
        <v>0</v>
      </c>
      <c r="I289" s="124" t="n">
        <f aca="false">IF(MONTH($A289)=MONTH($A288),IF(G289=0,I288,G289),G289)</f>
        <v>0</v>
      </c>
      <c r="J289" s="124" t="n">
        <f aca="false">IF(MONTH($A289)=MONTH($A288),SUM(I289-I288),I289)</f>
        <v>0</v>
      </c>
      <c r="K289" s="124" t="n">
        <f aca="false">IF(WEEKDAY(A289,3)&gt;4,0,(IF(A289&lt;K$2,0,IF(A289&lt;=K$3,1,0))))</f>
        <v>0</v>
      </c>
      <c r="L289" s="124" t="n">
        <f aca="false">J289*K289</f>
        <v>0</v>
      </c>
      <c r="M289" s="124" t="n">
        <f aca="false">SUM(J$280:J289)</f>
        <v>0</v>
      </c>
      <c r="N289" s="124" t="n">
        <f aca="false">SUM(J$6:J289)</f>
        <v>0</v>
      </c>
      <c r="P289" s="124" t="n">
        <f aca="false">D289/P$3</f>
        <v>0</v>
      </c>
      <c r="Q289" s="124" t="n">
        <f aca="false">E289/P$3</f>
        <v>0</v>
      </c>
      <c r="R289" s="124" t="n">
        <f aca="false">F289/R$3</f>
        <v>0</v>
      </c>
      <c r="S289" s="126" t="n">
        <f aca="false">J289/$R$3</f>
        <v>0</v>
      </c>
      <c r="T289" s="126" t="n">
        <f aca="false">L289/$R$3</f>
        <v>0</v>
      </c>
      <c r="U289" s="126" t="n">
        <f aca="false">I289/$R$3</f>
        <v>0</v>
      </c>
      <c r="V289" s="126" t="n">
        <f aca="false">M289/$R$3</f>
        <v>0</v>
      </c>
      <c r="W289" s="126" t="n">
        <f aca="false">N289/$R$3</f>
        <v>0</v>
      </c>
    </row>
    <row r="290" customFormat="false" ht="12.75" hidden="false" customHeight="false" outlineLevel="0" collapsed="false">
      <c r="A290" s="120" t="n">
        <f aca="false">A289+1</f>
        <v>37176</v>
      </c>
      <c r="B290" s="131" t="str">
        <f aca="false">INDEX('Master Data'!$A$2:$B$8,MATCH(WEEKDAY(ELETROBOLT!A290,3),'Master Data'!$A$2:$A$8,0),2)</f>
        <v>F</v>
      </c>
      <c r="D290" s="124" t="n">
        <v>0</v>
      </c>
      <c r="E290" s="124" t="n">
        <v>0</v>
      </c>
      <c r="F290" s="124" t="n">
        <v>0</v>
      </c>
      <c r="G290" s="124" t="n">
        <v>0</v>
      </c>
      <c r="I290" s="124" t="n">
        <f aca="false">IF(MONTH($A290)=MONTH($A289),IF(G290=0,I289,G290),G290)</f>
        <v>0</v>
      </c>
      <c r="J290" s="124" t="n">
        <f aca="false">IF(MONTH($A290)=MONTH($A289),SUM(I290-I289),I290)</f>
        <v>0</v>
      </c>
      <c r="K290" s="124" t="n">
        <f aca="false">IF(WEEKDAY(A290,3)&gt;4,0,(IF(A290&lt;K$2,0,IF(A290&lt;=K$3,1,0))))</f>
        <v>0</v>
      </c>
      <c r="L290" s="124" t="n">
        <f aca="false">J290*K290</f>
        <v>0</v>
      </c>
      <c r="M290" s="124" t="n">
        <f aca="false">SUM(J$280:J290)</f>
        <v>0</v>
      </c>
      <c r="N290" s="124" t="n">
        <f aca="false">SUM(J$6:J290)</f>
        <v>0</v>
      </c>
      <c r="P290" s="124" t="n">
        <f aca="false">D290/P$3</f>
        <v>0</v>
      </c>
      <c r="Q290" s="124" t="n">
        <f aca="false">E290/P$3</f>
        <v>0</v>
      </c>
      <c r="R290" s="124" t="n">
        <f aca="false">F290/R$3</f>
        <v>0</v>
      </c>
      <c r="S290" s="126" t="n">
        <f aca="false">J290/$R$3</f>
        <v>0</v>
      </c>
      <c r="T290" s="126" t="n">
        <f aca="false">L290/$R$3</f>
        <v>0</v>
      </c>
      <c r="U290" s="126" t="n">
        <f aca="false">I290/$R$3</f>
        <v>0</v>
      </c>
      <c r="V290" s="126" t="n">
        <f aca="false">M290/$R$3</f>
        <v>0</v>
      </c>
      <c r="W290" s="126" t="n">
        <f aca="false">N290/$R$3</f>
        <v>0</v>
      </c>
    </row>
    <row r="291" customFormat="false" ht="12.75" hidden="false" customHeight="false" outlineLevel="0" collapsed="false">
      <c r="A291" s="120" t="n">
        <f aca="false">A290+1</f>
        <v>37177</v>
      </c>
      <c r="B291" s="131" t="str">
        <f aca="false">INDEX('Master Data'!$A$2:$B$8,MATCH(WEEKDAY(ELETROBOLT!A291,3),'Master Data'!$A$2:$A$8,0),2)</f>
        <v>Sa</v>
      </c>
      <c r="D291" s="124" t="n">
        <v>0</v>
      </c>
      <c r="E291" s="124" t="n">
        <v>0</v>
      </c>
      <c r="F291" s="124" t="n">
        <v>0</v>
      </c>
      <c r="G291" s="124" t="n">
        <v>0</v>
      </c>
      <c r="I291" s="124" t="n">
        <f aca="false">IF(MONTH($A291)=MONTH($A290),IF(G291=0,I290,G291),G291)</f>
        <v>0</v>
      </c>
      <c r="J291" s="124" t="n">
        <f aca="false">IF(MONTH($A291)=MONTH($A290),SUM(I291-I290),I291)</f>
        <v>0</v>
      </c>
      <c r="K291" s="124" t="n">
        <f aca="false">IF(WEEKDAY(A291,3)&gt;4,0,(IF(A291&lt;K$2,0,IF(A291&lt;=K$3,1,0))))</f>
        <v>0</v>
      </c>
      <c r="L291" s="124" t="n">
        <f aca="false">J291*K291</f>
        <v>0</v>
      </c>
      <c r="M291" s="124" t="n">
        <f aca="false">SUM(J$280:J291)</f>
        <v>0</v>
      </c>
      <c r="N291" s="124" t="n">
        <f aca="false">SUM(J$6:J291)</f>
        <v>0</v>
      </c>
      <c r="P291" s="124" t="n">
        <f aca="false">D291/P$3</f>
        <v>0</v>
      </c>
      <c r="Q291" s="124" t="n">
        <f aca="false">E291/P$3</f>
        <v>0</v>
      </c>
      <c r="R291" s="124" t="n">
        <f aca="false">F291/R$3</f>
        <v>0</v>
      </c>
      <c r="S291" s="126" t="n">
        <f aca="false">J291/$R$3</f>
        <v>0</v>
      </c>
      <c r="T291" s="126" t="n">
        <f aca="false">L291/$R$3</f>
        <v>0</v>
      </c>
      <c r="U291" s="126" t="n">
        <f aca="false">I291/$R$3</f>
        <v>0</v>
      </c>
      <c r="V291" s="126" t="n">
        <f aca="false">M291/$R$3</f>
        <v>0</v>
      </c>
      <c r="W291" s="126" t="n">
        <f aca="false">N291/$R$3</f>
        <v>0</v>
      </c>
    </row>
    <row r="292" customFormat="false" ht="12.75" hidden="false" customHeight="false" outlineLevel="0" collapsed="false">
      <c r="A292" s="120" t="n">
        <f aca="false">A291+1</f>
        <v>37178</v>
      </c>
      <c r="B292" s="131" t="str">
        <f aca="false">INDEX('Master Data'!$A$2:$B$8,MATCH(WEEKDAY(ELETROBOLT!A292,3),'Master Data'!$A$2:$A$8,0),2)</f>
        <v>Su</v>
      </c>
      <c r="D292" s="124" t="n">
        <v>0</v>
      </c>
      <c r="E292" s="124" t="n">
        <v>0</v>
      </c>
      <c r="F292" s="124" t="n">
        <v>0</v>
      </c>
      <c r="G292" s="124" t="n">
        <v>0</v>
      </c>
      <c r="I292" s="124" t="n">
        <f aca="false">IF(MONTH($A292)=MONTH($A291),IF(G292=0,I291,G292),G292)</f>
        <v>0</v>
      </c>
      <c r="J292" s="124" t="n">
        <f aca="false">IF(MONTH($A292)=MONTH($A291),SUM(I292-I291),I292)</f>
        <v>0</v>
      </c>
      <c r="K292" s="124" t="n">
        <f aca="false">IF(WEEKDAY(A292,3)&gt;4,0,(IF(A292&lt;K$2,0,IF(A292&lt;=K$3,1,0))))</f>
        <v>0</v>
      </c>
      <c r="L292" s="124" t="n">
        <f aca="false">J292*K292</f>
        <v>0</v>
      </c>
      <c r="M292" s="124" t="n">
        <f aca="false">SUM(J$280:J292)</f>
        <v>0</v>
      </c>
      <c r="N292" s="124" t="n">
        <f aca="false">SUM(J$6:J292)</f>
        <v>0</v>
      </c>
      <c r="P292" s="124" t="n">
        <f aca="false">D292/P$3</f>
        <v>0</v>
      </c>
      <c r="Q292" s="124" t="n">
        <f aca="false">E292/P$3</f>
        <v>0</v>
      </c>
      <c r="R292" s="124" t="n">
        <f aca="false">F292/R$3</f>
        <v>0</v>
      </c>
      <c r="S292" s="126" t="n">
        <f aca="false">J292/$R$3</f>
        <v>0</v>
      </c>
      <c r="T292" s="126" t="n">
        <f aca="false">L292/$R$3</f>
        <v>0</v>
      </c>
      <c r="U292" s="126" t="n">
        <f aca="false">I292/$R$3</f>
        <v>0</v>
      </c>
      <c r="V292" s="126" t="n">
        <f aca="false">M292/$R$3</f>
        <v>0</v>
      </c>
      <c r="W292" s="126" t="n">
        <f aca="false">N292/$R$3</f>
        <v>0</v>
      </c>
    </row>
    <row r="293" customFormat="false" ht="12.75" hidden="false" customHeight="false" outlineLevel="0" collapsed="false">
      <c r="A293" s="120" t="n">
        <f aca="false">A292+1</f>
        <v>37179</v>
      </c>
      <c r="B293" s="131" t="str">
        <f aca="false">INDEX('Master Data'!$A$2:$B$8,MATCH(WEEKDAY(ELETROBOLT!A293,3),'Master Data'!$A$2:$A$8,0),2)</f>
        <v>M</v>
      </c>
      <c r="D293" s="124" t="n">
        <v>0</v>
      </c>
      <c r="E293" s="124" t="n">
        <v>0</v>
      </c>
      <c r="F293" s="124" t="n">
        <v>0</v>
      </c>
      <c r="G293" s="124" t="n">
        <v>0</v>
      </c>
      <c r="I293" s="124" t="n">
        <f aca="false">IF(MONTH($A293)=MONTH($A292),IF(G293=0,I292,G293),G293)</f>
        <v>0</v>
      </c>
      <c r="J293" s="124" t="n">
        <f aca="false">IF(MONTH($A293)=MONTH($A292),SUM(I293-I292),I293)</f>
        <v>0</v>
      </c>
      <c r="K293" s="124" t="n">
        <f aca="false">IF(WEEKDAY(A293,3)&gt;4,0,(IF(A293&lt;K$2,0,IF(A293&lt;=K$3,1,0))))</f>
        <v>0</v>
      </c>
      <c r="L293" s="124" t="n">
        <f aca="false">J293*K293</f>
        <v>0</v>
      </c>
      <c r="M293" s="124" t="n">
        <f aca="false">SUM(J$280:J293)</f>
        <v>0</v>
      </c>
      <c r="N293" s="124" t="n">
        <f aca="false">SUM(J$6:J293)</f>
        <v>0</v>
      </c>
      <c r="P293" s="124" t="n">
        <f aca="false">D293/P$3</f>
        <v>0</v>
      </c>
      <c r="Q293" s="124" t="n">
        <f aca="false">E293/P$3</f>
        <v>0</v>
      </c>
      <c r="R293" s="124" t="n">
        <f aca="false">F293/R$3</f>
        <v>0</v>
      </c>
      <c r="S293" s="126" t="n">
        <f aca="false">J293/$R$3</f>
        <v>0</v>
      </c>
      <c r="T293" s="126" t="n">
        <f aca="false">L293/$R$3</f>
        <v>0</v>
      </c>
      <c r="U293" s="126" t="n">
        <f aca="false">I293/$R$3</f>
        <v>0</v>
      </c>
      <c r="V293" s="126" t="n">
        <f aca="false">M293/$R$3</f>
        <v>0</v>
      </c>
      <c r="W293" s="126" t="n">
        <f aca="false">N293/$R$3</f>
        <v>0</v>
      </c>
    </row>
    <row r="294" customFormat="false" ht="12.75" hidden="false" customHeight="false" outlineLevel="0" collapsed="false">
      <c r="A294" s="120" t="n">
        <f aca="false">A293+1</f>
        <v>37180</v>
      </c>
      <c r="B294" s="131" t="str">
        <f aca="false">INDEX('Master Data'!$A$2:$B$8,MATCH(WEEKDAY(ELETROBOLT!A294,3),'Master Data'!$A$2:$A$8,0),2)</f>
        <v>T</v>
      </c>
      <c r="D294" s="124" t="n">
        <v>0</v>
      </c>
      <c r="E294" s="124" t="n">
        <v>0</v>
      </c>
      <c r="F294" s="124" t="n">
        <v>0</v>
      </c>
      <c r="G294" s="124" t="n">
        <v>0</v>
      </c>
      <c r="I294" s="124" t="n">
        <f aca="false">IF(MONTH($A294)=MONTH($A293),IF(G294=0,I293,G294),G294)</f>
        <v>0</v>
      </c>
      <c r="J294" s="124" t="n">
        <f aca="false">IF(MONTH($A294)=MONTH($A293),SUM(I294-I293),I294)</f>
        <v>0</v>
      </c>
      <c r="K294" s="124" t="n">
        <f aca="false">IF(WEEKDAY(A294,3)&gt;4,0,(IF(A294&lt;K$2,0,IF(A294&lt;=K$3,1,0))))</f>
        <v>0</v>
      </c>
      <c r="L294" s="124" t="n">
        <f aca="false">J294*K294</f>
        <v>0</v>
      </c>
      <c r="M294" s="124" t="n">
        <f aca="false">SUM(J$280:J294)</f>
        <v>0</v>
      </c>
      <c r="N294" s="124" t="n">
        <f aca="false">SUM(J$6:J294)</f>
        <v>0</v>
      </c>
      <c r="P294" s="124" t="n">
        <f aca="false">D294/P$3</f>
        <v>0</v>
      </c>
      <c r="Q294" s="124" t="n">
        <f aca="false">E294/P$3</f>
        <v>0</v>
      </c>
      <c r="R294" s="124" t="n">
        <f aca="false">F294/R$3</f>
        <v>0</v>
      </c>
      <c r="S294" s="126" t="n">
        <f aca="false">J294/$R$3</f>
        <v>0</v>
      </c>
      <c r="T294" s="126" t="n">
        <f aca="false">L294/$R$3</f>
        <v>0</v>
      </c>
      <c r="U294" s="126" t="n">
        <f aca="false">I294/$R$3</f>
        <v>0</v>
      </c>
      <c r="V294" s="126" t="n">
        <f aca="false">M294/$R$3</f>
        <v>0</v>
      </c>
      <c r="W294" s="126" t="n">
        <f aca="false">N294/$R$3</f>
        <v>0</v>
      </c>
    </row>
    <row r="295" customFormat="false" ht="12.75" hidden="false" customHeight="false" outlineLevel="0" collapsed="false">
      <c r="A295" s="120" t="n">
        <f aca="false">A294+1</f>
        <v>37181</v>
      </c>
      <c r="B295" s="131" t="str">
        <f aca="false">INDEX('Master Data'!$A$2:$B$8,MATCH(WEEKDAY(ELETROBOLT!A295,3),'Master Data'!$A$2:$A$8,0),2)</f>
        <v>W</v>
      </c>
      <c r="D295" s="124" t="n">
        <v>0</v>
      </c>
      <c r="E295" s="124" t="n">
        <v>0</v>
      </c>
      <c r="F295" s="124" t="n">
        <v>0</v>
      </c>
      <c r="G295" s="124" t="n">
        <v>0</v>
      </c>
      <c r="I295" s="124" t="n">
        <f aca="false">IF(MONTH($A295)=MONTH($A294),IF(G295=0,I294,G295),G295)</f>
        <v>0</v>
      </c>
      <c r="J295" s="124" t="n">
        <f aca="false">IF(MONTH($A295)=MONTH($A294),SUM(I295-I294),I295)</f>
        <v>0</v>
      </c>
      <c r="K295" s="124" t="n">
        <f aca="false">IF(WEEKDAY(A295,3)&gt;4,0,(IF(A295&lt;K$2,0,IF(A295&lt;=K$3,1,0))))</f>
        <v>0</v>
      </c>
      <c r="L295" s="124" t="n">
        <f aca="false">J295*K295</f>
        <v>0</v>
      </c>
      <c r="M295" s="124" t="n">
        <f aca="false">SUM(J$280:J295)</f>
        <v>0</v>
      </c>
      <c r="N295" s="124" t="n">
        <f aca="false">SUM(J$6:J295)</f>
        <v>0</v>
      </c>
      <c r="P295" s="124" t="n">
        <f aca="false">D295/P$3</f>
        <v>0</v>
      </c>
      <c r="Q295" s="124" t="n">
        <f aca="false">E295/P$3</f>
        <v>0</v>
      </c>
      <c r="R295" s="124" t="n">
        <f aca="false">F295/R$3</f>
        <v>0</v>
      </c>
      <c r="S295" s="126" t="n">
        <f aca="false">J295/$R$3</f>
        <v>0</v>
      </c>
      <c r="T295" s="126" t="n">
        <f aca="false">L295/$R$3</f>
        <v>0</v>
      </c>
      <c r="U295" s="126" t="n">
        <f aca="false">I295/$R$3</f>
        <v>0</v>
      </c>
      <c r="V295" s="126" t="n">
        <f aca="false">M295/$R$3</f>
        <v>0</v>
      </c>
      <c r="W295" s="126" t="n">
        <f aca="false">N295/$R$3</f>
        <v>0</v>
      </c>
    </row>
    <row r="296" customFormat="false" ht="12.75" hidden="false" customHeight="false" outlineLevel="0" collapsed="false">
      <c r="A296" s="120" t="n">
        <f aca="false">A295+1</f>
        <v>37182</v>
      </c>
      <c r="B296" s="131" t="str">
        <f aca="false">INDEX('Master Data'!$A$2:$B$8,MATCH(WEEKDAY(ELETROBOLT!A296,3),'Master Data'!$A$2:$A$8,0),2)</f>
        <v>Th</v>
      </c>
      <c r="D296" s="124" t="n">
        <v>0</v>
      </c>
      <c r="E296" s="124" t="n">
        <v>0</v>
      </c>
      <c r="F296" s="124" t="n">
        <v>0</v>
      </c>
      <c r="G296" s="124" t="n">
        <v>0</v>
      </c>
      <c r="I296" s="124" t="n">
        <f aca="false">IF(MONTH($A296)=MONTH($A295),IF(G296=0,I295,G296),G296)</f>
        <v>0</v>
      </c>
      <c r="J296" s="124" t="n">
        <f aca="false">IF(MONTH($A296)=MONTH($A295),SUM(I296-I295),I296)</f>
        <v>0</v>
      </c>
      <c r="K296" s="124" t="n">
        <f aca="false">IF(WEEKDAY(A296,3)&gt;4,0,(IF(A296&lt;K$2,0,IF(A296&lt;=K$3,1,0))))</f>
        <v>0</v>
      </c>
      <c r="L296" s="124" t="n">
        <f aca="false">J296*K296</f>
        <v>0</v>
      </c>
      <c r="M296" s="124" t="n">
        <f aca="false">SUM(J$280:J296)</f>
        <v>0</v>
      </c>
      <c r="N296" s="124" t="n">
        <f aca="false">SUM(J$6:J296)</f>
        <v>0</v>
      </c>
      <c r="P296" s="124" t="n">
        <f aca="false">D296/P$3</f>
        <v>0</v>
      </c>
      <c r="Q296" s="124" t="n">
        <f aca="false">E296/P$3</f>
        <v>0</v>
      </c>
      <c r="R296" s="124" t="n">
        <f aca="false">F296/R$3</f>
        <v>0</v>
      </c>
      <c r="S296" s="126" t="n">
        <f aca="false">J296/$R$3</f>
        <v>0</v>
      </c>
      <c r="T296" s="126" t="n">
        <f aca="false">L296/$R$3</f>
        <v>0</v>
      </c>
      <c r="U296" s="126" t="n">
        <f aca="false">I296/$R$3</f>
        <v>0</v>
      </c>
      <c r="V296" s="126" t="n">
        <f aca="false">M296/$R$3</f>
        <v>0</v>
      </c>
      <c r="W296" s="126" t="n">
        <f aca="false">N296/$R$3</f>
        <v>0</v>
      </c>
    </row>
    <row r="297" customFormat="false" ht="12.75" hidden="false" customHeight="false" outlineLevel="0" collapsed="false">
      <c r="A297" s="120" t="n">
        <f aca="false">A296+1</f>
        <v>37183</v>
      </c>
      <c r="B297" s="131" t="str">
        <f aca="false">INDEX('Master Data'!$A$2:$B$8,MATCH(WEEKDAY(ELETROBOLT!A297,3),'Master Data'!$A$2:$A$8,0),2)</f>
        <v>F</v>
      </c>
      <c r="D297" s="124" t="n">
        <v>0</v>
      </c>
      <c r="E297" s="124" t="n">
        <v>0</v>
      </c>
      <c r="F297" s="124" t="n">
        <v>0</v>
      </c>
      <c r="G297" s="124" t="n">
        <v>0</v>
      </c>
      <c r="I297" s="124" t="n">
        <f aca="false">IF(MONTH($A297)=MONTH($A296),IF(G297=0,I296,G297),G297)</f>
        <v>0</v>
      </c>
      <c r="J297" s="124" t="n">
        <f aca="false">IF(MONTH($A297)=MONTH($A296),SUM(I297-I296),I297)</f>
        <v>0</v>
      </c>
      <c r="K297" s="124" t="n">
        <f aca="false">IF(WEEKDAY(A297,3)&gt;4,0,(IF(A297&lt;K$2,0,IF(A297&lt;=K$3,1,0))))</f>
        <v>0</v>
      </c>
      <c r="L297" s="124" t="n">
        <f aca="false">J297*K297</f>
        <v>0</v>
      </c>
      <c r="M297" s="124" t="n">
        <f aca="false">SUM(J$280:J297)</f>
        <v>0</v>
      </c>
      <c r="N297" s="124" t="n">
        <f aca="false">SUM(J$6:J297)</f>
        <v>0</v>
      </c>
      <c r="P297" s="124" t="n">
        <f aca="false">D297/P$3</f>
        <v>0</v>
      </c>
      <c r="Q297" s="124" t="n">
        <f aca="false">E297/P$3</f>
        <v>0</v>
      </c>
      <c r="R297" s="124" t="n">
        <f aca="false">F297/R$3</f>
        <v>0</v>
      </c>
      <c r="S297" s="126" t="n">
        <f aca="false">J297/$R$3</f>
        <v>0</v>
      </c>
      <c r="T297" s="126" t="n">
        <f aca="false">L297/$R$3</f>
        <v>0</v>
      </c>
      <c r="U297" s="126" t="n">
        <f aca="false">I297/$R$3</f>
        <v>0</v>
      </c>
      <c r="V297" s="126" t="n">
        <f aca="false">M297/$R$3</f>
        <v>0</v>
      </c>
      <c r="W297" s="126" t="n">
        <f aca="false">N297/$R$3</f>
        <v>0</v>
      </c>
    </row>
    <row r="298" customFormat="false" ht="12.75" hidden="false" customHeight="false" outlineLevel="0" collapsed="false">
      <c r="A298" s="120" t="n">
        <f aca="false">A297+1</f>
        <v>37184</v>
      </c>
      <c r="B298" s="131" t="str">
        <f aca="false">INDEX('Master Data'!$A$2:$B$8,MATCH(WEEKDAY(ELETROBOLT!A298,3),'Master Data'!$A$2:$A$8,0),2)</f>
        <v>Sa</v>
      </c>
      <c r="D298" s="124" t="n">
        <v>0</v>
      </c>
      <c r="E298" s="124" t="n">
        <v>0</v>
      </c>
      <c r="F298" s="124" t="n">
        <v>0</v>
      </c>
      <c r="G298" s="124" t="n">
        <v>0</v>
      </c>
      <c r="I298" s="124" t="n">
        <f aca="false">IF(MONTH($A298)=MONTH($A297),IF(G298=0,I297,G298),G298)</f>
        <v>0</v>
      </c>
      <c r="J298" s="124" t="n">
        <f aca="false">IF(MONTH($A298)=MONTH($A297),SUM(I298-I297),I298)</f>
        <v>0</v>
      </c>
      <c r="K298" s="124" t="n">
        <f aca="false">IF(WEEKDAY(A298,3)&gt;4,0,(IF(A298&lt;K$2,0,IF(A298&lt;=K$3,1,0))))</f>
        <v>0</v>
      </c>
      <c r="L298" s="124" t="n">
        <f aca="false">J298*K298</f>
        <v>0</v>
      </c>
      <c r="M298" s="124" t="n">
        <f aca="false">SUM(J$280:J298)</f>
        <v>0</v>
      </c>
      <c r="N298" s="124" t="n">
        <f aca="false">SUM(J$6:J298)</f>
        <v>0</v>
      </c>
      <c r="P298" s="124" t="n">
        <f aca="false">D298/P$3</f>
        <v>0</v>
      </c>
      <c r="Q298" s="124" t="n">
        <f aca="false">E298/P$3</f>
        <v>0</v>
      </c>
      <c r="R298" s="124" t="n">
        <f aca="false">F298/R$3</f>
        <v>0</v>
      </c>
      <c r="S298" s="126" t="n">
        <f aca="false">J298/$R$3</f>
        <v>0</v>
      </c>
      <c r="T298" s="126" t="n">
        <f aca="false">L298/$R$3</f>
        <v>0</v>
      </c>
      <c r="U298" s="126" t="n">
        <f aca="false">I298/$R$3</f>
        <v>0</v>
      </c>
      <c r="V298" s="126" t="n">
        <f aca="false">M298/$R$3</f>
        <v>0</v>
      </c>
      <c r="W298" s="126" t="n">
        <f aca="false">N298/$R$3</f>
        <v>0</v>
      </c>
    </row>
    <row r="299" customFormat="false" ht="12.75" hidden="false" customHeight="false" outlineLevel="0" collapsed="false">
      <c r="A299" s="120" t="n">
        <f aca="false">A298+1</f>
        <v>37185</v>
      </c>
      <c r="B299" s="131" t="str">
        <f aca="false">INDEX('Master Data'!$A$2:$B$8,MATCH(WEEKDAY(ELETROBOLT!A299,3),'Master Data'!$A$2:$A$8,0),2)</f>
        <v>Su</v>
      </c>
      <c r="D299" s="124" t="n">
        <v>0</v>
      </c>
      <c r="E299" s="124" t="n">
        <v>0</v>
      </c>
      <c r="F299" s="124" t="n">
        <v>0</v>
      </c>
      <c r="G299" s="124" t="n">
        <v>0</v>
      </c>
      <c r="I299" s="124" t="n">
        <f aca="false">IF(MONTH($A299)=MONTH($A298),IF(G299=0,I298,G299),G299)</f>
        <v>0</v>
      </c>
      <c r="J299" s="124" t="n">
        <f aca="false">IF(MONTH($A299)=MONTH($A298),SUM(I299-I298),I299)</f>
        <v>0</v>
      </c>
      <c r="K299" s="124" t="n">
        <f aca="false">IF(WEEKDAY(A299,3)&gt;4,0,(IF(A299&lt;K$2,0,IF(A299&lt;=K$3,1,0))))</f>
        <v>0</v>
      </c>
      <c r="L299" s="124" t="n">
        <f aca="false">J299*K299</f>
        <v>0</v>
      </c>
      <c r="M299" s="124" t="n">
        <f aca="false">SUM(J$280:J299)</f>
        <v>0</v>
      </c>
      <c r="N299" s="124" t="n">
        <f aca="false">SUM(J$6:J299)</f>
        <v>0</v>
      </c>
      <c r="P299" s="124" t="n">
        <f aca="false">D299/P$3</f>
        <v>0</v>
      </c>
      <c r="Q299" s="124" t="n">
        <f aca="false">E299/P$3</f>
        <v>0</v>
      </c>
      <c r="R299" s="124" t="n">
        <f aca="false">F299/R$3</f>
        <v>0</v>
      </c>
      <c r="S299" s="126" t="n">
        <f aca="false">J299/$R$3</f>
        <v>0</v>
      </c>
      <c r="T299" s="126" t="n">
        <f aca="false">L299/$R$3</f>
        <v>0</v>
      </c>
      <c r="U299" s="126" t="n">
        <f aca="false">I299/$R$3</f>
        <v>0</v>
      </c>
      <c r="V299" s="126" t="n">
        <f aca="false">M299/$R$3</f>
        <v>0</v>
      </c>
      <c r="W299" s="126" t="n">
        <f aca="false">N299/$R$3</f>
        <v>0</v>
      </c>
    </row>
    <row r="300" customFormat="false" ht="12.75" hidden="false" customHeight="false" outlineLevel="0" collapsed="false">
      <c r="A300" s="120" t="n">
        <f aca="false">A299+1</f>
        <v>37186</v>
      </c>
      <c r="B300" s="131" t="str">
        <f aca="false">INDEX('Master Data'!$A$2:$B$8,MATCH(WEEKDAY(ELETROBOLT!A300,3),'Master Data'!$A$2:$A$8,0),2)</f>
        <v>M</v>
      </c>
      <c r="D300" s="124" t="n">
        <v>0</v>
      </c>
      <c r="E300" s="124" t="n">
        <v>0</v>
      </c>
      <c r="F300" s="124" t="n">
        <v>0</v>
      </c>
      <c r="G300" s="124" t="n">
        <v>0</v>
      </c>
      <c r="I300" s="124" t="n">
        <f aca="false">IF(MONTH($A300)=MONTH($A299),IF(G300=0,I299,G300),G300)</f>
        <v>0</v>
      </c>
      <c r="J300" s="124" t="n">
        <f aca="false">IF(MONTH($A300)=MONTH($A299),SUM(I300-I299),I300)</f>
        <v>0</v>
      </c>
      <c r="K300" s="124" t="n">
        <f aca="false">IF(WEEKDAY(A300,3)&gt;4,0,(IF(A300&lt;K$2,0,IF(A300&lt;=K$3,1,0))))</f>
        <v>0</v>
      </c>
      <c r="L300" s="124" t="n">
        <f aca="false">J300*K300</f>
        <v>0</v>
      </c>
      <c r="M300" s="124" t="n">
        <f aca="false">SUM(J$280:J300)</f>
        <v>0</v>
      </c>
      <c r="N300" s="124" t="n">
        <f aca="false">SUM(J$6:J300)</f>
        <v>0</v>
      </c>
      <c r="P300" s="124" t="n">
        <f aca="false">D300/P$3</f>
        <v>0</v>
      </c>
      <c r="Q300" s="124" t="n">
        <f aca="false">E300/P$3</f>
        <v>0</v>
      </c>
      <c r="R300" s="124" t="n">
        <f aca="false">F300/R$3</f>
        <v>0</v>
      </c>
      <c r="S300" s="126" t="n">
        <f aca="false">J300/$R$3</f>
        <v>0</v>
      </c>
      <c r="T300" s="126" t="n">
        <f aca="false">L300/$R$3</f>
        <v>0</v>
      </c>
      <c r="U300" s="126" t="n">
        <f aca="false">I300/$R$3</f>
        <v>0</v>
      </c>
      <c r="V300" s="126" t="n">
        <f aca="false">M300/$R$3</f>
        <v>0</v>
      </c>
      <c r="W300" s="126" t="n">
        <f aca="false">N300/$R$3</f>
        <v>0</v>
      </c>
    </row>
    <row r="301" customFormat="false" ht="12.75" hidden="false" customHeight="false" outlineLevel="0" collapsed="false">
      <c r="A301" s="120" t="n">
        <f aca="false">A300+1</f>
        <v>37187</v>
      </c>
      <c r="B301" s="131" t="str">
        <f aca="false">INDEX('Master Data'!$A$2:$B$8,MATCH(WEEKDAY(ELETROBOLT!A301,3),'Master Data'!$A$2:$A$8,0),2)</f>
        <v>T</v>
      </c>
      <c r="D301" s="124" t="n">
        <v>0</v>
      </c>
      <c r="E301" s="124" t="n">
        <v>0</v>
      </c>
      <c r="F301" s="124" t="n">
        <v>0</v>
      </c>
      <c r="G301" s="124" t="n">
        <v>0</v>
      </c>
      <c r="I301" s="124" t="n">
        <f aca="false">IF(MONTH($A301)=MONTH($A300),IF(G301=0,I300,G301),G301)</f>
        <v>0</v>
      </c>
      <c r="J301" s="124" t="n">
        <f aca="false">IF(MONTH($A301)=MONTH($A300),SUM(I301-I300),I301)</f>
        <v>0</v>
      </c>
      <c r="K301" s="124" t="n">
        <f aca="false">IF(WEEKDAY(A301,3)&gt;4,0,(IF(A301&lt;K$2,0,IF(A301&lt;=K$3,1,0))))</f>
        <v>0</v>
      </c>
      <c r="L301" s="124" t="n">
        <f aca="false">J301*K301</f>
        <v>0</v>
      </c>
      <c r="M301" s="124" t="n">
        <f aca="false">SUM(J$280:J301)</f>
        <v>0</v>
      </c>
      <c r="N301" s="124" t="n">
        <f aca="false">SUM(J$6:J301)</f>
        <v>0</v>
      </c>
      <c r="P301" s="124" t="n">
        <f aca="false">D301/P$3</f>
        <v>0</v>
      </c>
      <c r="Q301" s="124" t="n">
        <f aca="false">E301/P$3</f>
        <v>0</v>
      </c>
      <c r="R301" s="124" t="n">
        <f aca="false">F301/R$3</f>
        <v>0</v>
      </c>
      <c r="S301" s="126" t="n">
        <f aca="false">J301/$R$3</f>
        <v>0</v>
      </c>
      <c r="T301" s="126" t="n">
        <f aca="false">L301/$R$3</f>
        <v>0</v>
      </c>
      <c r="U301" s="126" t="n">
        <f aca="false">I301/$R$3</f>
        <v>0</v>
      </c>
      <c r="V301" s="126" t="n">
        <f aca="false">M301/$R$3</f>
        <v>0</v>
      </c>
      <c r="W301" s="126" t="n">
        <f aca="false">N301/$R$3</f>
        <v>0</v>
      </c>
    </row>
    <row r="302" customFormat="false" ht="12.75" hidden="false" customHeight="false" outlineLevel="0" collapsed="false">
      <c r="A302" s="120" t="n">
        <f aca="false">A301+1</f>
        <v>37188</v>
      </c>
      <c r="B302" s="131" t="str">
        <f aca="false">INDEX('Master Data'!$A$2:$B$8,MATCH(WEEKDAY(ELETROBOLT!A302,3),'Master Data'!$A$2:$A$8,0),2)</f>
        <v>W</v>
      </c>
      <c r="D302" s="124" t="n">
        <v>0</v>
      </c>
      <c r="E302" s="124" t="n">
        <v>0</v>
      </c>
      <c r="F302" s="124" t="n">
        <v>0</v>
      </c>
      <c r="G302" s="124" t="n">
        <v>0</v>
      </c>
      <c r="I302" s="124" t="n">
        <f aca="false">IF(MONTH($A302)=MONTH($A301),IF(G302=0,I301,G302),G302)</f>
        <v>0</v>
      </c>
      <c r="J302" s="124" t="n">
        <f aca="false">IF(MONTH($A302)=MONTH($A301),SUM(I302-I301),I302)</f>
        <v>0</v>
      </c>
      <c r="K302" s="124" t="n">
        <f aca="false">IF(WEEKDAY(A302,3)&gt;4,0,(IF(A302&lt;K$2,0,IF(A302&lt;=K$3,1,0))))</f>
        <v>0</v>
      </c>
      <c r="L302" s="124" t="n">
        <f aca="false">J302*K302</f>
        <v>0</v>
      </c>
      <c r="M302" s="124" t="n">
        <f aca="false">SUM(J$280:J302)</f>
        <v>0</v>
      </c>
      <c r="N302" s="124" t="n">
        <f aca="false">SUM(J$6:J302)</f>
        <v>0</v>
      </c>
      <c r="P302" s="124" t="n">
        <f aca="false">D302/P$3</f>
        <v>0</v>
      </c>
      <c r="Q302" s="124" t="n">
        <f aca="false">E302/P$3</f>
        <v>0</v>
      </c>
      <c r="R302" s="124" t="n">
        <f aca="false">F302/R$3</f>
        <v>0</v>
      </c>
      <c r="S302" s="126" t="n">
        <f aca="false">J302/$R$3</f>
        <v>0</v>
      </c>
      <c r="T302" s="126" t="n">
        <f aca="false">L302/$R$3</f>
        <v>0</v>
      </c>
      <c r="U302" s="126" t="n">
        <f aca="false">I302/$R$3</f>
        <v>0</v>
      </c>
      <c r="V302" s="126" t="n">
        <f aca="false">M302/$R$3</f>
        <v>0</v>
      </c>
      <c r="W302" s="126" t="n">
        <f aca="false">N302/$R$3</f>
        <v>0</v>
      </c>
    </row>
    <row r="303" customFormat="false" ht="12.75" hidden="false" customHeight="false" outlineLevel="0" collapsed="false">
      <c r="A303" s="120" t="n">
        <f aca="false">A302+1</f>
        <v>37189</v>
      </c>
      <c r="B303" s="131" t="str">
        <f aca="false">INDEX('Master Data'!$A$2:$B$8,MATCH(WEEKDAY(ELETROBOLT!A303,3),'Master Data'!$A$2:$A$8,0),2)</f>
        <v>Th</v>
      </c>
      <c r="D303" s="124" t="n">
        <v>0</v>
      </c>
      <c r="E303" s="124" t="n">
        <v>0</v>
      </c>
      <c r="F303" s="124" t="n">
        <v>0</v>
      </c>
      <c r="G303" s="124" t="n">
        <v>0</v>
      </c>
      <c r="I303" s="124" t="n">
        <f aca="false">IF(MONTH($A303)=MONTH($A302),IF(G303=0,I302,G303),G303)</f>
        <v>0</v>
      </c>
      <c r="J303" s="124" t="n">
        <f aca="false">IF(MONTH($A303)=MONTH($A302),SUM(I303-I302),I303)</f>
        <v>0</v>
      </c>
      <c r="K303" s="124" t="n">
        <f aca="false">IF(WEEKDAY(A303,3)&gt;4,0,(IF(A303&lt;K$2,0,IF(A303&lt;=K$3,1,0))))</f>
        <v>0</v>
      </c>
      <c r="L303" s="124" t="n">
        <f aca="false">J303*K303</f>
        <v>0</v>
      </c>
      <c r="M303" s="124" t="n">
        <f aca="false">SUM(J$280:J303)</f>
        <v>0</v>
      </c>
      <c r="N303" s="124" t="n">
        <f aca="false">SUM(J$6:J303)</f>
        <v>0</v>
      </c>
      <c r="P303" s="124" t="n">
        <f aca="false">D303/P$3</f>
        <v>0</v>
      </c>
      <c r="Q303" s="124" t="n">
        <f aca="false">E303/P$3</f>
        <v>0</v>
      </c>
      <c r="R303" s="124" t="n">
        <f aca="false">F303/R$3</f>
        <v>0</v>
      </c>
      <c r="S303" s="126" t="n">
        <f aca="false">J303/$R$3</f>
        <v>0</v>
      </c>
      <c r="T303" s="126" t="n">
        <f aca="false">L303/$R$3</f>
        <v>0</v>
      </c>
      <c r="U303" s="126" t="n">
        <f aca="false">I303/$R$3</f>
        <v>0</v>
      </c>
      <c r="V303" s="126" t="n">
        <f aca="false">M303/$R$3</f>
        <v>0</v>
      </c>
      <c r="W303" s="126" t="n">
        <f aca="false">N303/$R$3</f>
        <v>0</v>
      </c>
    </row>
    <row r="304" customFormat="false" ht="12.75" hidden="false" customHeight="false" outlineLevel="0" collapsed="false">
      <c r="A304" s="120" t="n">
        <f aca="false">A303+1</f>
        <v>37190</v>
      </c>
      <c r="B304" s="131" t="str">
        <f aca="false">INDEX('Master Data'!$A$2:$B$8,MATCH(WEEKDAY(ELETROBOLT!A304,3),'Master Data'!$A$2:$A$8,0),2)</f>
        <v>F</v>
      </c>
      <c r="D304" s="124" t="n">
        <v>0</v>
      </c>
      <c r="E304" s="124" t="n">
        <v>0</v>
      </c>
      <c r="F304" s="124" t="n">
        <v>0</v>
      </c>
      <c r="G304" s="124" t="n">
        <v>0</v>
      </c>
      <c r="I304" s="124" t="n">
        <f aca="false">IF(MONTH($A304)=MONTH($A303),IF(G304=0,I303,G304),G304)</f>
        <v>0</v>
      </c>
      <c r="J304" s="124" t="n">
        <f aca="false">IF(MONTH($A304)=MONTH($A303),SUM(I304-I303),I304)</f>
        <v>0</v>
      </c>
      <c r="K304" s="124" t="n">
        <f aca="false">IF(WEEKDAY(A304,3)&gt;4,0,(IF(A304&lt;K$2,0,IF(A304&lt;=K$3,1,0))))</f>
        <v>1</v>
      </c>
      <c r="L304" s="124" t="n">
        <f aca="false">J304*K304</f>
        <v>0</v>
      </c>
      <c r="M304" s="124" t="n">
        <f aca="false">SUM(J$280:J304)</f>
        <v>0</v>
      </c>
      <c r="N304" s="124" t="n">
        <f aca="false">SUM(J$6:J304)</f>
        <v>0</v>
      </c>
      <c r="P304" s="124" t="n">
        <f aca="false">D304/P$3</f>
        <v>0</v>
      </c>
      <c r="Q304" s="124" t="n">
        <f aca="false">E304/P$3</f>
        <v>0</v>
      </c>
      <c r="R304" s="124" t="n">
        <f aca="false">F304/R$3</f>
        <v>0</v>
      </c>
      <c r="S304" s="126" t="n">
        <f aca="false">J304/$R$3</f>
        <v>0</v>
      </c>
      <c r="T304" s="126" t="n">
        <f aca="false">L304/$R$3</f>
        <v>0</v>
      </c>
      <c r="U304" s="126" t="n">
        <f aca="false">I304/$R$3</f>
        <v>0</v>
      </c>
      <c r="V304" s="126" t="n">
        <f aca="false">M304/$R$3</f>
        <v>0</v>
      </c>
      <c r="W304" s="126" t="n">
        <f aca="false">N304/$R$3</f>
        <v>0</v>
      </c>
    </row>
    <row r="305" customFormat="false" ht="12.75" hidden="false" customHeight="false" outlineLevel="0" collapsed="false">
      <c r="A305" s="120" t="n">
        <f aca="false">A304+1</f>
        <v>37191</v>
      </c>
      <c r="B305" s="131" t="str">
        <f aca="false">INDEX('Master Data'!$A$2:$B$8,MATCH(WEEKDAY(ELETROBOLT!A305,3),'Master Data'!$A$2:$A$8,0),2)</f>
        <v>Sa</v>
      </c>
      <c r="D305" s="124" t="n">
        <v>0</v>
      </c>
      <c r="E305" s="124" t="n">
        <v>0</v>
      </c>
      <c r="F305" s="124" t="n">
        <v>0</v>
      </c>
      <c r="G305" s="124" t="n">
        <v>0</v>
      </c>
      <c r="I305" s="124" t="n">
        <f aca="false">IF(MONTH($A305)=MONTH($A304),IF(G305=0,I304,G305),G305)</f>
        <v>0</v>
      </c>
      <c r="J305" s="124" t="n">
        <f aca="false">IF(MONTH($A305)=MONTH($A304),SUM(I305-I304),I305)</f>
        <v>0</v>
      </c>
      <c r="K305" s="124" t="n">
        <f aca="false">IF(WEEKDAY(A305,3)&gt;4,0,(IF(A305&lt;K$2,0,IF(A305&lt;=K$3,1,0))))</f>
        <v>0</v>
      </c>
      <c r="L305" s="124" t="n">
        <f aca="false">J305*K305</f>
        <v>0</v>
      </c>
      <c r="M305" s="124" t="n">
        <f aca="false">SUM(J$280:J305)</f>
        <v>0</v>
      </c>
      <c r="N305" s="124" t="n">
        <f aca="false">SUM(J$6:J305)</f>
        <v>0</v>
      </c>
      <c r="P305" s="124" t="n">
        <f aca="false">D305/P$3</f>
        <v>0</v>
      </c>
      <c r="Q305" s="124" t="n">
        <f aca="false">E305/P$3</f>
        <v>0</v>
      </c>
      <c r="R305" s="124" t="n">
        <f aca="false">F305/R$3</f>
        <v>0</v>
      </c>
      <c r="S305" s="126" t="n">
        <f aca="false">J305/$R$3</f>
        <v>0</v>
      </c>
      <c r="T305" s="126" t="n">
        <f aca="false">L305/$R$3</f>
        <v>0</v>
      </c>
      <c r="U305" s="126" t="n">
        <f aca="false">I305/$R$3</f>
        <v>0</v>
      </c>
      <c r="V305" s="126" t="n">
        <f aca="false">M305/$R$3</f>
        <v>0</v>
      </c>
      <c r="W305" s="126" t="n">
        <f aca="false">N305/$R$3</f>
        <v>0</v>
      </c>
    </row>
    <row r="306" customFormat="false" ht="12.75" hidden="false" customHeight="false" outlineLevel="0" collapsed="false">
      <c r="A306" s="120" t="n">
        <f aca="false">A305+1</f>
        <v>37192</v>
      </c>
      <c r="B306" s="131" t="str">
        <f aca="false">INDEX('Master Data'!$A$2:$B$8,MATCH(WEEKDAY(ELETROBOLT!A306,3),'Master Data'!$A$2:$A$8,0),2)</f>
        <v>Su</v>
      </c>
      <c r="D306" s="124" t="n">
        <v>0</v>
      </c>
      <c r="E306" s="124" t="n">
        <v>0</v>
      </c>
      <c r="F306" s="124" t="n">
        <v>0</v>
      </c>
      <c r="G306" s="124" t="n">
        <v>0</v>
      </c>
      <c r="I306" s="124" t="n">
        <f aca="false">IF(MONTH($A306)=MONTH($A305),IF(G306=0,I305,G306),G306)</f>
        <v>0</v>
      </c>
      <c r="J306" s="124" t="n">
        <f aca="false">IF(MONTH($A306)=MONTH($A305),SUM(I306-I305),I306)</f>
        <v>0</v>
      </c>
      <c r="K306" s="124" t="n">
        <f aca="false">IF(WEEKDAY(A306,3)&gt;4,0,(IF(A306&lt;K$2,0,IF(A306&lt;=K$3,1,0))))</f>
        <v>0</v>
      </c>
      <c r="L306" s="124" t="n">
        <f aca="false">J306*K306</f>
        <v>0</v>
      </c>
      <c r="M306" s="124" t="n">
        <f aca="false">SUM(J$280:J306)</f>
        <v>0</v>
      </c>
      <c r="N306" s="124" t="n">
        <f aca="false">SUM(J$6:J306)</f>
        <v>0</v>
      </c>
      <c r="P306" s="124" t="n">
        <f aca="false">D306/P$3</f>
        <v>0</v>
      </c>
      <c r="Q306" s="124" t="n">
        <f aca="false">E306/P$3</f>
        <v>0</v>
      </c>
      <c r="R306" s="124" t="n">
        <f aca="false">F306/R$3</f>
        <v>0</v>
      </c>
      <c r="S306" s="126" t="n">
        <f aca="false">J306/$R$3</f>
        <v>0</v>
      </c>
      <c r="T306" s="126" t="n">
        <f aca="false">L306/$R$3</f>
        <v>0</v>
      </c>
      <c r="U306" s="126" t="n">
        <f aca="false">I306/$R$3</f>
        <v>0</v>
      </c>
      <c r="V306" s="126" t="n">
        <f aca="false">M306/$R$3</f>
        <v>0</v>
      </c>
      <c r="W306" s="126" t="n">
        <f aca="false">N306/$R$3</f>
        <v>0</v>
      </c>
    </row>
    <row r="307" customFormat="false" ht="12.75" hidden="false" customHeight="false" outlineLevel="0" collapsed="false">
      <c r="A307" s="120" t="n">
        <f aca="false">A306+1</f>
        <v>37193</v>
      </c>
      <c r="B307" s="131" t="str">
        <f aca="false">INDEX('Master Data'!$A$2:$B$8,MATCH(WEEKDAY(ELETROBOLT!A307,3),'Master Data'!$A$2:$A$8,0),2)</f>
        <v>M</v>
      </c>
      <c r="D307" s="124" t="n">
        <v>0</v>
      </c>
      <c r="E307" s="124" t="n">
        <v>0</v>
      </c>
      <c r="F307" s="124" t="n">
        <v>0</v>
      </c>
      <c r="G307" s="124" t="n">
        <v>0</v>
      </c>
      <c r="I307" s="124" t="n">
        <f aca="false">IF(MONTH($A307)=MONTH($A306),IF(G307=0,I306,G307),G307)</f>
        <v>0</v>
      </c>
      <c r="J307" s="124" t="n">
        <f aca="false">IF(MONTH($A307)=MONTH($A306),SUM(I307-I306),I307)</f>
        <v>0</v>
      </c>
      <c r="K307" s="124" t="n">
        <f aca="false">IF(WEEKDAY(A307,3)&gt;4,0,(IF(A307&lt;K$2,0,IF(A307&lt;=K$3,1,0))))</f>
        <v>1</v>
      </c>
      <c r="L307" s="124" t="n">
        <f aca="false">J307*K307</f>
        <v>0</v>
      </c>
      <c r="M307" s="124" t="n">
        <f aca="false">SUM(J$280:J307)</f>
        <v>0</v>
      </c>
      <c r="N307" s="124" t="n">
        <f aca="false">SUM(J$6:J307)</f>
        <v>0</v>
      </c>
      <c r="P307" s="124" t="n">
        <f aca="false">D307/P$3</f>
        <v>0</v>
      </c>
      <c r="Q307" s="124" t="n">
        <f aca="false">E307/P$3</f>
        <v>0</v>
      </c>
      <c r="R307" s="124" t="n">
        <f aca="false">F307/R$3</f>
        <v>0</v>
      </c>
      <c r="S307" s="126" t="n">
        <f aca="false">J307/$R$3</f>
        <v>0</v>
      </c>
      <c r="T307" s="126" t="n">
        <f aca="false">L307/$R$3</f>
        <v>0</v>
      </c>
      <c r="U307" s="126" t="n">
        <f aca="false">I307/$R$3</f>
        <v>0</v>
      </c>
      <c r="V307" s="126" t="n">
        <f aca="false">M307/$R$3</f>
        <v>0</v>
      </c>
      <c r="W307" s="126" t="n">
        <f aca="false">N307/$R$3</f>
        <v>0</v>
      </c>
    </row>
    <row r="308" customFormat="false" ht="12.75" hidden="false" customHeight="false" outlineLevel="0" collapsed="false">
      <c r="A308" s="120" t="n">
        <f aca="false">A307+1</f>
        <v>37194</v>
      </c>
      <c r="B308" s="131" t="str">
        <f aca="false">INDEX('Master Data'!$A$2:$B$8,MATCH(WEEKDAY(ELETROBOLT!A308,3),'Master Data'!$A$2:$A$8,0),2)</f>
        <v>T</v>
      </c>
      <c r="D308" s="124" t="n">
        <v>0</v>
      </c>
      <c r="E308" s="124" t="n">
        <v>0</v>
      </c>
      <c r="F308" s="124" t="n">
        <v>0</v>
      </c>
      <c r="G308" s="124" t="n">
        <v>0</v>
      </c>
      <c r="I308" s="124" t="n">
        <f aca="false">IF(MONTH($A308)=MONTH($A307),IF(G308=0,I307,G308),G308)</f>
        <v>0</v>
      </c>
      <c r="J308" s="124" t="n">
        <f aca="false">IF(MONTH($A308)=MONTH($A307),SUM(I308-I307),I308)</f>
        <v>0</v>
      </c>
      <c r="K308" s="124" t="n">
        <f aca="false">IF(WEEKDAY(A308,3)&gt;4,0,(IF(A308&lt;K$2,0,IF(A308&lt;=K$3,1,0))))</f>
        <v>1</v>
      </c>
      <c r="L308" s="124" t="n">
        <f aca="false">J308*K308</f>
        <v>0</v>
      </c>
      <c r="M308" s="124" t="n">
        <f aca="false">SUM(J$280:J308)</f>
        <v>0</v>
      </c>
      <c r="N308" s="124" t="n">
        <f aca="false">SUM(J$6:J308)</f>
        <v>0</v>
      </c>
      <c r="P308" s="124" t="n">
        <f aca="false">D308/P$3</f>
        <v>0</v>
      </c>
      <c r="Q308" s="124" t="n">
        <f aca="false">E308/P$3</f>
        <v>0</v>
      </c>
      <c r="R308" s="124" t="n">
        <f aca="false">F308/R$3</f>
        <v>0</v>
      </c>
      <c r="S308" s="126" t="n">
        <f aca="false">J308/$R$3</f>
        <v>0</v>
      </c>
      <c r="T308" s="126" t="n">
        <f aca="false">L308/$R$3</f>
        <v>0</v>
      </c>
      <c r="U308" s="126" t="n">
        <f aca="false">I308/$R$3</f>
        <v>0</v>
      </c>
      <c r="V308" s="126" t="n">
        <f aca="false">M308/$R$3</f>
        <v>0</v>
      </c>
      <c r="W308" s="126" t="n">
        <f aca="false">N308/$R$3</f>
        <v>0</v>
      </c>
    </row>
    <row r="309" customFormat="false" ht="12.75" hidden="false" customHeight="false" outlineLevel="0" collapsed="false">
      <c r="A309" s="120" t="n">
        <f aca="false">A308+1</f>
        <v>37195</v>
      </c>
      <c r="B309" s="131" t="str">
        <f aca="false">INDEX('Master Data'!$A$2:$B$8,MATCH(WEEKDAY(ELETROBOLT!A309,3),'Master Data'!$A$2:$A$8,0),2)</f>
        <v>W</v>
      </c>
      <c r="D309" s="124" t="n">
        <v>0</v>
      </c>
      <c r="E309" s="124" t="n">
        <v>0</v>
      </c>
      <c r="F309" s="124" t="n">
        <v>0</v>
      </c>
      <c r="G309" s="124" t="n">
        <v>0</v>
      </c>
      <c r="I309" s="124" t="n">
        <f aca="false">IF(MONTH($A309)=MONTH($A308),IF(G309=0,I308,G309),G309)</f>
        <v>0</v>
      </c>
      <c r="J309" s="124" t="n">
        <f aca="false">IF(MONTH($A309)=MONTH($A308),SUM(I309-I308),I309)</f>
        <v>0</v>
      </c>
      <c r="K309" s="124" t="n">
        <f aca="false">IF(WEEKDAY(A309,3)&gt;4,0,(IF(A309&lt;K$2,0,IF(A309&lt;=K$3,1,0))))</f>
        <v>1</v>
      </c>
      <c r="L309" s="124" t="n">
        <f aca="false">J309*K309</f>
        <v>0</v>
      </c>
      <c r="M309" s="124" t="n">
        <f aca="false">SUM(J$280:J309)</f>
        <v>0</v>
      </c>
      <c r="N309" s="124" t="n">
        <f aca="false">SUM(J$6:J309)</f>
        <v>0</v>
      </c>
      <c r="P309" s="124" t="n">
        <f aca="false">D309/P$3</f>
        <v>0</v>
      </c>
      <c r="Q309" s="124" t="n">
        <f aca="false">E309/P$3</f>
        <v>0</v>
      </c>
      <c r="R309" s="124" t="n">
        <f aca="false">F309/R$3</f>
        <v>0</v>
      </c>
      <c r="S309" s="126" t="n">
        <f aca="false">J309/$R$3</f>
        <v>0</v>
      </c>
      <c r="T309" s="126" t="n">
        <f aca="false">L309/$R$3</f>
        <v>0</v>
      </c>
      <c r="U309" s="126" t="n">
        <f aca="false">I309/$R$3</f>
        <v>0</v>
      </c>
      <c r="V309" s="126" t="n">
        <f aca="false">M309/$R$3</f>
        <v>0</v>
      </c>
      <c r="W309" s="126" t="n">
        <f aca="false">N309/$R$3</f>
        <v>0</v>
      </c>
    </row>
    <row r="310" customFormat="false" ht="12.75" hidden="false" customHeight="false" outlineLevel="0" collapsed="false">
      <c r="A310" s="120" t="n">
        <f aca="false">A309+1</f>
        <v>37196</v>
      </c>
      <c r="B310" s="131" t="str">
        <f aca="false">INDEX('Master Data'!$A$2:$B$8,MATCH(WEEKDAY(ELETROBOLT!A310,3),'Master Data'!$A$2:$A$8,0),2)</f>
        <v>Th</v>
      </c>
      <c r="D310" s="124" t="n">
        <v>0</v>
      </c>
      <c r="E310" s="124" t="n">
        <v>0</v>
      </c>
      <c r="F310" s="124" t="n">
        <v>0</v>
      </c>
      <c r="G310" s="124" t="n">
        <v>0</v>
      </c>
      <c r="I310" s="124" t="n">
        <f aca="false">IF(MONTH($A310)=MONTH($A309),IF(G310=0,I309,G310),G310)</f>
        <v>0</v>
      </c>
      <c r="J310" s="124" t="n">
        <f aca="false">IF(MONTH($A310)=MONTH($A309),SUM(I310-I309),I310)</f>
        <v>0</v>
      </c>
      <c r="K310" s="124" t="n">
        <f aca="false">IF(WEEKDAY(A310,3)&gt;4,0,(IF(A310&lt;K$2,0,IF(A310&lt;=K$3,1,0))))</f>
        <v>1</v>
      </c>
      <c r="L310" s="124" t="n">
        <f aca="false">J310*K310</f>
        <v>0</v>
      </c>
      <c r="M310" s="124" t="n">
        <f aca="false">SUM(J$280:J310)</f>
        <v>0</v>
      </c>
      <c r="N310" s="124" t="n">
        <f aca="false">SUM(J$6:J310)</f>
        <v>0</v>
      </c>
      <c r="P310" s="124" t="n">
        <f aca="false">D310/P$3</f>
        <v>0</v>
      </c>
      <c r="Q310" s="124" t="n">
        <f aca="false">E310/P$3</f>
        <v>0</v>
      </c>
      <c r="R310" s="124" t="n">
        <f aca="false">F310/R$3</f>
        <v>0</v>
      </c>
      <c r="S310" s="126" t="n">
        <f aca="false">J310/$R$3</f>
        <v>0</v>
      </c>
      <c r="T310" s="126" t="n">
        <f aca="false">L310/$R$3</f>
        <v>0</v>
      </c>
      <c r="U310" s="126" t="n">
        <f aca="false">I310/$R$3</f>
        <v>0</v>
      </c>
      <c r="V310" s="126" t="n">
        <f aca="false">M310/$R$3</f>
        <v>0</v>
      </c>
      <c r="W310" s="126" t="n">
        <f aca="false">N310/$R$3</f>
        <v>0</v>
      </c>
    </row>
    <row r="311" customFormat="false" ht="12.75" hidden="false" customHeight="false" outlineLevel="0" collapsed="false">
      <c r="A311" s="120" t="n">
        <f aca="false">A310+1</f>
        <v>37197</v>
      </c>
      <c r="B311" s="131" t="str">
        <f aca="false">INDEX('Master Data'!$A$2:$B$8,MATCH(WEEKDAY(ELETROBOLT!A311,3),'Master Data'!$A$2:$A$8,0),2)</f>
        <v>F</v>
      </c>
      <c r="D311" s="124" t="n">
        <v>0</v>
      </c>
      <c r="E311" s="124" t="n">
        <v>0</v>
      </c>
      <c r="F311" s="124" t="n">
        <v>0</v>
      </c>
      <c r="G311" s="124" t="n">
        <v>0</v>
      </c>
      <c r="I311" s="124" t="n">
        <f aca="false">IF(MONTH($A311)=MONTH($A310),IF(G311=0,I310,G311),G311)</f>
        <v>0</v>
      </c>
      <c r="J311" s="124" t="n">
        <f aca="false">IF(MONTH($A311)=MONTH($A310),SUM(I311-I310),I311)</f>
        <v>0</v>
      </c>
      <c r="K311" s="124" t="n">
        <f aca="false">IF(WEEKDAY(A311,3)&gt;4,0,(IF(A311&lt;K$2,0,IF(A311&lt;=K$3,1,0))))</f>
        <v>0</v>
      </c>
      <c r="L311" s="124" t="n">
        <f aca="false">J311*K311</f>
        <v>0</v>
      </c>
      <c r="M311" s="124" t="n">
        <f aca="false">SUM(J$280:J311)</f>
        <v>0</v>
      </c>
      <c r="N311" s="124" t="n">
        <f aca="false">SUM(J$6:J311)</f>
        <v>0</v>
      </c>
      <c r="P311" s="124" t="n">
        <f aca="false">D311/P$3</f>
        <v>0</v>
      </c>
      <c r="Q311" s="124" t="n">
        <f aca="false">E311/P$3</f>
        <v>0</v>
      </c>
      <c r="R311" s="124" t="n">
        <f aca="false">F311/R$3</f>
        <v>0</v>
      </c>
      <c r="S311" s="126" t="n">
        <f aca="false">J311/$R$3</f>
        <v>0</v>
      </c>
      <c r="T311" s="126" t="n">
        <f aca="false">L311/$R$3</f>
        <v>0</v>
      </c>
      <c r="U311" s="126" t="n">
        <f aca="false">I311/$R$3</f>
        <v>0</v>
      </c>
      <c r="V311" s="126" t="n">
        <f aca="false">M311/$R$3</f>
        <v>0</v>
      </c>
      <c r="W311" s="126" t="n">
        <f aca="false">N311/$R$3</f>
        <v>0</v>
      </c>
    </row>
    <row r="312" customFormat="false" ht="12.75" hidden="false" customHeight="false" outlineLevel="0" collapsed="false">
      <c r="A312" s="120" t="n">
        <f aca="false">A311+1</f>
        <v>37198</v>
      </c>
      <c r="B312" s="131" t="str">
        <f aca="false">INDEX('Master Data'!$A$2:$B$8,MATCH(WEEKDAY(ELETROBOLT!A312,3),'Master Data'!$A$2:$A$8,0),2)</f>
        <v>Sa</v>
      </c>
      <c r="D312" s="124" t="n">
        <v>0</v>
      </c>
      <c r="E312" s="124" t="n">
        <v>0</v>
      </c>
      <c r="F312" s="124" t="n">
        <v>0</v>
      </c>
      <c r="G312" s="124" t="n">
        <v>0</v>
      </c>
      <c r="I312" s="124" t="n">
        <f aca="false">IF(MONTH($A312)=MONTH($A311),IF(G312=0,I311,G312),G312)</f>
        <v>0</v>
      </c>
      <c r="J312" s="124" t="n">
        <f aca="false">IF(MONTH($A312)=MONTH($A311),SUM(I312-I311),I312)</f>
        <v>0</v>
      </c>
      <c r="K312" s="124" t="n">
        <f aca="false">IF(WEEKDAY(A312,3)&gt;4,0,(IF(A312&lt;K$2,0,IF(A312&lt;=K$3,1,0))))</f>
        <v>0</v>
      </c>
      <c r="L312" s="124" t="n">
        <f aca="false">J312*K312</f>
        <v>0</v>
      </c>
      <c r="M312" s="124" t="n">
        <f aca="false">SUM(J$280:J312)</f>
        <v>0</v>
      </c>
      <c r="N312" s="124" t="n">
        <f aca="false">SUM(J$6:J312)</f>
        <v>0</v>
      </c>
      <c r="P312" s="124" t="n">
        <f aca="false">D312/P$3</f>
        <v>0</v>
      </c>
      <c r="Q312" s="124" t="n">
        <f aca="false">E312/P$3</f>
        <v>0</v>
      </c>
      <c r="R312" s="124" t="n">
        <f aca="false">F312/R$3</f>
        <v>0</v>
      </c>
      <c r="S312" s="126" t="n">
        <f aca="false">J312/$R$3</f>
        <v>0</v>
      </c>
      <c r="T312" s="126" t="n">
        <f aca="false">L312/$R$3</f>
        <v>0</v>
      </c>
      <c r="U312" s="126" t="n">
        <f aca="false">I312/$R$3</f>
        <v>0</v>
      </c>
      <c r="V312" s="126" t="n">
        <f aca="false">M312/$R$3</f>
        <v>0</v>
      </c>
      <c r="W312" s="126" t="n">
        <f aca="false">N312/$R$3</f>
        <v>0</v>
      </c>
    </row>
    <row r="313" customFormat="false" ht="12.75" hidden="false" customHeight="false" outlineLevel="0" collapsed="false">
      <c r="A313" s="120" t="n">
        <f aca="false">A312+1</f>
        <v>37199</v>
      </c>
      <c r="B313" s="131" t="str">
        <f aca="false">INDEX('Master Data'!$A$2:$B$8,MATCH(WEEKDAY(ELETROBOLT!A313,3),'Master Data'!$A$2:$A$8,0),2)</f>
        <v>Su</v>
      </c>
      <c r="D313" s="124" t="n">
        <v>0</v>
      </c>
      <c r="E313" s="124" t="n">
        <v>0</v>
      </c>
      <c r="F313" s="124" t="n">
        <v>0</v>
      </c>
      <c r="G313" s="124" t="n">
        <v>0</v>
      </c>
      <c r="I313" s="124" t="n">
        <f aca="false">IF(MONTH($A313)=MONTH($A312),IF(G313=0,I312,G313),G313)</f>
        <v>0</v>
      </c>
      <c r="J313" s="124" t="n">
        <f aca="false">IF(MONTH($A313)=MONTH($A312),SUM(I313-I312),I313)</f>
        <v>0</v>
      </c>
      <c r="K313" s="124" t="n">
        <f aca="false">IF(WEEKDAY(A313,3)&gt;4,0,(IF(A313&lt;K$2,0,IF(A313&lt;=K$3,1,0))))</f>
        <v>0</v>
      </c>
      <c r="L313" s="124" t="n">
        <f aca="false">J313*K313</f>
        <v>0</v>
      </c>
      <c r="M313" s="124" t="n">
        <f aca="false">SUM(J$280:J313)</f>
        <v>0</v>
      </c>
      <c r="N313" s="124" t="n">
        <f aca="false">SUM(J$6:J313)</f>
        <v>0</v>
      </c>
      <c r="P313" s="124" t="n">
        <f aca="false">D313/P$3</f>
        <v>0</v>
      </c>
      <c r="Q313" s="124" t="n">
        <f aca="false">E313/P$3</f>
        <v>0</v>
      </c>
      <c r="R313" s="124" t="n">
        <f aca="false">F313/R$3</f>
        <v>0</v>
      </c>
      <c r="S313" s="126" t="n">
        <f aca="false">J313/$R$3</f>
        <v>0</v>
      </c>
      <c r="T313" s="126" t="n">
        <f aca="false">L313/$R$3</f>
        <v>0</v>
      </c>
      <c r="U313" s="126" t="n">
        <f aca="false">I313/$R$3</f>
        <v>0</v>
      </c>
      <c r="V313" s="126" t="n">
        <f aca="false">M313/$R$3</f>
        <v>0</v>
      </c>
      <c r="W313" s="126" t="n">
        <f aca="false">N313/$R$3</f>
        <v>0</v>
      </c>
    </row>
    <row r="314" customFormat="false" ht="12.75" hidden="false" customHeight="false" outlineLevel="0" collapsed="false">
      <c r="A314" s="120" t="n">
        <f aca="false">A313+1</f>
        <v>37200</v>
      </c>
      <c r="B314" s="131" t="str">
        <f aca="false">INDEX('Master Data'!$A$2:$B$8,MATCH(WEEKDAY(ELETROBOLT!A314,3),'Master Data'!$A$2:$A$8,0),2)</f>
        <v>M</v>
      </c>
      <c r="D314" s="124" t="n">
        <v>0</v>
      </c>
      <c r="E314" s="124" t="n">
        <v>0</v>
      </c>
      <c r="F314" s="124" t="n">
        <v>0</v>
      </c>
      <c r="G314" s="124" t="n">
        <v>0</v>
      </c>
      <c r="I314" s="124" t="n">
        <f aca="false">IF(MONTH($A314)=MONTH($A313),IF(G314=0,I313,G314),G314)</f>
        <v>0</v>
      </c>
      <c r="J314" s="124" t="n">
        <f aca="false">IF(MONTH($A314)=MONTH($A313),SUM(I314-I313),I314)</f>
        <v>0</v>
      </c>
      <c r="K314" s="124" t="n">
        <f aca="false">IF(WEEKDAY(A314,3)&gt;4,0,(IF(A314&lt;K$2,0,IF(A314&lt;=K$3,1,0))))</f>
        <v>0</v>
      </c>
      <c r="L314" s="124" t="n">
        <f aca="false">J314*K314</f>
        <v>0</v>
      </c>
      <c r="M314" s="124" t="n">
        <f aca="false">SUM(J$280:J314)</f>
        <v>0</v>
      </c>
      <c r="N314" s="124" t="n">
        <f aca="false">SUM(J$6:J314)</f>
        <v>0</v>
      </c>
      <c r="P314" s="124" t="n">
        <f aca="false">D314/P$3</f>
        <v>0</v>
      </c>
      <c r="Q314" s="124" t="n">
        <f aca="false">E314/P$3</f>
        <v>0</v>
      </c>
      <c r="R314" s="124" t="n">
        <f aca="false">F314/R$3</f>
        <v>0</v>
      </c>
      <c r="S314" s="126" t="n">
        <f aca="false">J314/$R$3</f>
        <v>0</v>
      </c>
      <c r="T314" s="126" t="n">
        <f aca="false">L314/$R$3</f>
        <v>0</v>
      </c>
      <c r="U314" s="126" t="n">
        <f aca="false">I314/$R$3</f>
        <v>0</v>
      </c>
      <c r="V314" s="126" t="n">
        <f aca="false">M314/$R$3</f>
        <v>0</v>
      </c>
      <c r="W314" s="126" t="n">
        <f aca="false">N314/$R$3</f>
        <v>0</v>
      </c>
    </row>
    <row r="315" customFormat="false" ht="12.75" hidden="false" customHeight="false" outlineLevel="0" collapsed="false">
      <c r="A315" s="120" t="n">
        <f aca="false">A314+1</f>
        <v>37201</v>
      </c>
      <c r="B315" s="131" t="str">
        <f aca="false">INDEX('Master Data'!$A$2:$B$8,MATCH(WEEKDAY(ELETROBOLT!A315,3),'Master Data'!$A$2:$A$8,0),2)</f>
        <v>T</v>
      </c>
      <c r="D315" s="124" t="n">
        <v>0</v>
      </c>
      <c r="E315" s="124" t="n">
        <v>0</v>
      </c>
      <c r="F315" s="124" t="n">
        <v>0</v>
      </c>
      <c r="G315" s="124" t="n">
        <v>0</v>
      </c>
      <c r="I315" s="124" t="n">
        <f aca="false">IF(MONTH($A315)=MONTH($A314),IF(G315=0,I314,G315),G315)</f>
        <v>0</v>
      </c>
      <c r="J315" s="124" t="n">
        <f aca="false">IF(MONTH($A315)=MONTH($A314),SUM(I315-I314),I315)</f>
        <v>0</v>
      </c>
      <c r="K315" s="124" t="n">
        <f aca="false">IF(WEEKDAY(A315,3)&gt;4,0,(IF(A315&lt;K$2,0,IF(A315&lt;=K$3,1,0))))</f>
        <v>0</v>
      </c>
      <c r="L315" s="124" t="n">
        <f aca="false">J315*K315</f>
        <v>0</v>
      </c>
      <c r="M315" s="124" t="n">
        <f aca="false">SUM(J$280:J315)</f>
        <v>0</v>
      </c>
      <c r="N315" s="124" t="n">
        <f aca="false">SUM(J$6:J315)</f>
        <v>0</v>
      </c>
      <c r="P315" s="124" t="n">
        <f aca="false">D315/P$3</f>
        <v>0</v>
      </c>
      <c r="Q315" s="124" t="n">
        <f aca="false">E315/P$3</f>
        <v>0</v>
      </c>
      <c r="R315" s="124" t="n">
        <f aca="false">F315/R$3</f>
        <v>0</v>
      </c>
      <c r="S315" s="126" t="n">
        <f aca="false">J315/$R$3</f>
        <v>0</v>
      </c>
      <c r="T315" s="126" t="n">
        <f aca="false">L315/$R$3</f>
        <v>0</v>
      </c>
      <c r="U315" s="126" t="n">
        <f aca="false">I315/$R$3</f>
        <v>0</v>
      </c>
      <c r="V315" s="126" t="n">
        <f aca="false">M315/$R$3</f>
        <v>0</v>
      </c>
      <c r="W315" s="126" t="n">
        <f aca="false">N315/$R$3</f>
        <v>0</v>
      </c>
    </row>
    <row r="316" customFormat="false" ht="12.75" hidden="false" customHeight="false" outlineLevel="0" collapsed="false">
      <c r="A316" s="120" t="n">
        <f aca="false">A315+1</f>
        <v>37202</v>
      </c>
      <c r="B316" s="131" t="str">
        <f aca="false">INDEX('Master Data'!$A$2:$B$8,MATCH(WEEKDAY(ELETROBOLT!A316,3),'Master Data'!$A$2:$A$8,0),2)</f>
        <v>W</v>
      </c>
      <c r="D316" s="124" t="n">
        <v>0</v>
      </c>
      <c r="E316" s="124" t="n">
        <v>0</v>
      </c>
      <c r="F316" s="124" t="n">
        <v>0</v>
      </c>
      <c r="G316" s="124" t="n">
        <v>0</v>
      </c>
      <c r="I316" s="124" t="n">
        <f aca="false">IF(MONTH($A316)=MONTH($A315),IF(G316=0,I315,G316),G316)</f>
        <v>0</v>
      </c>
      <c r="J316" s="124" t="n">
        <f aca="false">IF(MONTH($A316)=MONTH($A315),SUM(I316-I315),I316)</f>
        <v>0</v>
      </c>
      <c r="K316" s="124" t="n">
        <f aca="false">IF(WEEKDAY(A316,3)&gt;4,0,(IF(A316&lt;K$2,0,IF(A316&lt;=K$3,1,0))))</f>
        <v>0</v>
      </c>
      <c r="L316" s="124" t="n">
        <f aca="false">J316*K316</f>
        <v>0</v>
      </c>
      <c r="M316" s="124" t="n">
        <f aca="false">SUM(J$280:J316)</f>
        <v>0</v>
      </c>
      <c r="N316" s="124" t="n">
        <f aca="false">SUM(J$6:J316)</f>
        <v>0</v>
      </c>
      <c r="P316" s="124" t="n">
        <f aca="false">D316/P$3</f>
        <v>0</v>
      </c>
      <c r="Q316" s="124" t="n">
        <f aca="false">E316/P$3</f>
        <v>0</v>
      </c>
      <c r="R316" s="124" t="n">
        <f aca="false">F316/R$3</f>
        <v>0</v>
      </c>
      <c r="S316" s="126" t="n">
        <f aca="false">J316/$R$3</f>
        <v>0</v>
      </c>
      <c r="T316" s="126" t="n">
        <f aca="false">L316/$R$3</f>
        <v>0</v>
      </c>
      <c r="U316" s="126" t="n">
        <f aca="false">I316/$R$3</f>
        <v>0</v>
      </c>
      <c r="V316" s="126" t="n">
        <f aca="false">M316/$R$3</f>
        <v>0</v>
      </c>
      <c r="W316" s="126" t="n">
        <f aca="false">N316/$R$3</f>
        <v>0</v>
      </c>
    </row>
    <row r="317" customFormat="false" ht="12.75" hidden="false" customHeight="false" outlineLevel="0" collapsed="false">
      <c r="A317" s="120" t="n">
        <f aca="false">A316+1</f>
        <v>37203</v>
      </c>
      <c r="B317" s="131" t="str">
        <f aca="false">INDEX('Master Data'!$A$2:$B$8,MATCH(WEEKDAY(ELETROBOLT!A317,3),'Master Data'!$A$2:$A$8,0),2)</f>
        <v>Th</v>
      </c>
      <c r="D317" s="124" t="n">
        <v>0</v>
      </c>
      <c r="E317" s="124" t="n">
        <v>0</v>
      </c>
      <c r="F317" s="124" t="n">
        <v>0</v>
      </c>
      <c r="G317" s="124" t="n">
        <v>0</v>
      </c>
      <c r="I317" s="124" t="n">
        <f aca="false">IF(MONTH($A317)=MONTH($A316),IF(G317=0,I316,G317),G317)</f>
        <v>0</v>
      </c>
      <c r="J317" s="124" t="n">
        <f aca="false">IF(MONTH($A317)=MONTH($A316),SUM(I317-I316),I317)</f>
        <v>0</v>
      </c>
      <c r="K317" s="124" t="n">
        <f aca="false">IF(WEEKDAY(A317,3)&gt;4,0,(IF(A317&lt;K$2,0,IF(A317&lt;=K$3,1,0))))</f>
        <v>0</v>
      </c>
      <c r="L317" s="124" t="n">
        <f aca="false">J317*K317</f>
        <v>0</v>
      </c>
      <c r="M317" s="124" t="n">
        <f aca="false">SUM(J$280:J317)</f>
        <v>0</v>
      </c>
      <c r="N317" s="124" t="n">
        <f aca="false">SUM(J$6:J317)</f>
        <v>0</v>
      </c>
      <c r="P317" s="124" t="n">
        <f aca="false">D317/P$3</f>
        <v>0</v>
      </c>
      <c r="Q317" s="124" t="n">
        <f aca="false">E317/P$3</f>
        <v>0</v>
      </c>
      <c r="R317" s="124" t="n">
        <f aca="false">F317/R$3</f>
        <v>0</v>
      </c>
      <c r="S317" s="126" t="n">
        <f aca="false">J317/$R$3</f>
        <v>0</v>
      </c>
      <c r="T317" s="126" t="n">
        <f aca="false">L317/$R$3</f>
        <v>0</v>
      </c>
      <c r="U317" s="126" t="n">
        <f aca="false">I317/$R$3</f>
        <v>0</v>
      </c>
      <c r="V317" s="126" t="n">
        <f aca="false">M317/$R$3</f>
        <v>0</v>
      </c>
      <c r="W317" s="126" t="n">
        <f aca="false">N317/$R$3</f>
        <v>0</v>
      </c>
    </row>
    <row r="318" customFormat="false" ht="12.75" hidden="false" customHeight="false" outlineLevel="0" collapsed="false">
      <c r="A318" s="120" t="n">
        <f aca="false">A317+1</f>
        <v>37204</v>
      </c>
      <c r="B318" s="131" t="str">
        <f aca="false">INDEX('Master Data'!$A$2:$B$8,MATCH(WEEKDAY(ELETROBOLT!A318,3),'Master Data'!$A$2:$A$8,0),2)</f>
        <v>F</v>
      </c>
      <c r="D318" s="124" t="n">
        <v>0</v>
      </c>
      <c r="E318" s="124" t="n">
        <v>0</v>
      </c>
      <c r="F318" s="124" t="n">
        <v>0</v>
      </c>
      <c r="G318" s="124" t="n">
        <v>0</v>
      </c>
      <c r="I318" s="124" t="n">
        <f aca="false">IF(MONTH($A318)=MONTH($A317),IF(G318=0,I317,G318),G318)</f>
        <v>0</v>
      </c>
      <c r="J318" s="124" t="n">
        <f aca="false">IF(MONTH($A318)=MONTH($A317),SUM(I318-I317),I318)</f>
        <v>0</v>
      </c>
      <c r="K318" s="124" t="n">
        <f aca="false">IF(WEEKDAY(A318,3)&gt;4,0,(IF(A318&lt;K$2,0,IF(A318&lt;=K$3,1,0))))</f>
        <v>0</v>
      </c>
      <c r="L318" s="124" t="n">
        <f aca="false">J318*K318</f>
        <v>0</v>
      </c>
      <c r="M318" s="124" t="n">
        <f aca="false">SUM(J$280:J318)</f>
        <v>0</v>
      </c>
      <c r="N318" s="124" t="n">
        <f aca="false">SUM(J$6:J318)</f>
        <v>0</v>
      </c>
      <c r="P318" s="124" t="n">
        <f aca="false">D318/P$3</f>
        <v>0</v>
      </c>
      <c r="Q318" s="124" t="n">
        <f aca="false">E318/P$3</f>
        <v>0</v>
      </c>
      <c r="R318" s="124" t="n">
        <f aca="false">F318/R$3</f>
        <v>0</v>
      </c>
      <c r="S318" s="126" t="n">
        <f aca="false">J318/$R$3</f>
        <v>0</v>
      </c>
      <c r="T318" s="126" t="n">
        <f aca="false">L318/$R$3</f>
        <v>0</v>
      </c>
      <c r="U318" s="126" t="n">
        <f aca="false">I318/$R$3</f>
        <v>0</v>
      </c>
      <c r="V318" s="126" t="n">
        <f aca="false">M318/$R$3</f>
        <v>0</v>
      </c>
      <c r="W318" s="126" t="n">
        <f aca="false">N318/$R$3</f>
        <v>0</v>
      </c>
    </row>
    <row r="319" customFormat="false" ht="12.75" hidden="false" customHeight="false" outlineLevel="0" collapsed="false">
      <c r="A319" s="120" t="n">
        <f aca="false">A318+1</f>
        <v>37205</v>
      </c>
      <c r="B319" s="131" t="str">
        <f aca="false">INDEX('Master Data'!$A$2:$B$8,MATCH(WEEKDAY(ELETROBOLT!A319,3),'Master Data'!$A$2:$A$8,0),2)</f>
        <v>Sa</v>
      </c>
      <c r="D319" s="124" t="n">
        <v>0</v>
      </c>
      <c r="E319" s="124" t="n">
        <v>0</v>
      </c>
      <c r="F319" s="124" t="n">
        <v>0</v>
      </c>
      <c r="G319" s="124" t="n">
        <v>0</v>
      </c>
      <c r="I319" s="124" t="n">
        <f aca="false">IF(MONTH($A319)=MONTH($A318),IF(G319=0,I318,G319),G319)</f>
        <v>0</v>
      </c>
      <c r="J319" s="124" t="n">
        <f aca="false">IF(MONTH($A319)=MONTH($A318),SUM(I319-I318),I319)</f>
        <v>0</v>
      </c>
      <c r="K319" s="124" t="n">
        <f aca="false">IF(WEEKDAY(A319,3)&gt;4,0,(IF(A319&lt;K$2,0,IF(A319&lt;=K$3,1,0))))</f>
        <v>0</v>
      </c>
      <c r="L319" s="124" t="n">
        <f aca="false">J319*K319</f>
        <v>0</v>
      </c>
      <c r="M319" s="124" t="n">
        <f aca="false">SUM(J$280:J319)</f>
        <v>0</v>
      </c>
      <c r="N319" s="124" t="n">
        <f aca="false">SUM(J$6:J319)</f>
        <v>0</v>
      </c>
      <c r="P319" s="124" t="n">
        <f aca="false">D319/P$3</f>
        <v>0</v>
      </c>
      <c r="Q319" s="124" t="n">
        <f aca="false">E319/P$3</f>
        <v>0</v>
      </c>
      <c r="R319" s="124" t="n">
        <f aca="false">F319/R$3</f>
        <v>0</v>
      </c>
      <c r="S319" s="126" t="n">
        <f aca="false">J319/$R$3</f>
        <v>0</v>
      </c>
      <c r="T319" s="126" t="n">
        <f aca="false">L319/$R$3</f>
        <v>0</v>
      </c>
      <c r="U319" s="126" t="n">
        <f aca="false">I319/$R$3</f>
        <v>0</v>
      </c>
      <c r="V319" s="126" t="n">
        <f aca="false">M319/$R$3</f>
        <v>0</v>
      </c>
      <c r="W319" s="126" t="n">
        <f aca="false">N319/$R$3</f>
        <v>0</v>
      </c>
    </row>
    <row r="320" customFormat="false" ht="12.75" hidden="false" customHeight="false" outlineLevel="0" collapsed="false">
      <c r="A320" s="120" t="n">
        <f aca="false">A319+1</f>
        <v>37206</v>
      </c>
      <c r="B320" s="131" t="str">
        <f aca="false">INDEX('Master Data'!$A$2:$B$8,MATCH(WEEKDAY(ELETROBOLT!A320,3),'Master Data'!$A$2:$A$8,0),2)</f>
        <v>Su</v>
      </c>
      <c r="D320" s="124" t="n">
        <v>0</v>
      </c>
      <c r="E320" s="124" t="n">
        <v>0</v>
      </c>
      <c r="F320" s="124" t="n">
        <v>0</v>
      </c>
      <c r="G320" s="124" t="n">
        <v>0</v>
      </c>
      <c r="I320" s="124" t="n">
        <f aca="false">IF(MONTH($A320)=MONTH($A319),IF(G320=0,I319,G320),G320)</f>
        <v>0</v>
      </c>
      <c r="J320" s="124" t="n">
        <f aca="false">IF(MONTH($A320)=MONTH($A319),SUM(I320-I319),I320)</f>
        <v>0</v>
      </c>
      <c r="K320" s="124" t="n">
        <f aca="false">IF(WEEKDAY(A320,3)&gt;4,0,(IF(A320&lt;K$2,0,IF(A320&lt;=K$3,1,0))))</f>
        <v>0</v>
      </c>
      <c r="L320" s="124" t="n">
        <f aca="false">J320*K320</f>
        <v>0</v>
      </c>
      <c r="M320" s="124" t="n">
        <f aca="false">SUM(J$280:J320)</f>
        <v>0</v>
      </c>
      <c r="N320" s="124" t="n">
        <f aca="false">SUM(J$6:J320)</f>
        <v>0</v>
      </c>
      <c r="P320" s="124" t="n">
        <f aca="false">D320/P$3</f>
        <v>0</v>
      </c>
      <c r="Q320" s="124" t="n">
        <f aca="false">E320/P$3</f>
        <v>0</v>
      </c>
      <c r="R320" s="124" t="n">
        <f aca="false">F320/R$3</f>
        <v>0</v>
      </c>
      <c r="S320" s="126" t="n">
        <f aca="false">J320/$R$3</f>
        <v>0</v>
      </c>
      <c r="T320" s="126" t="n">
        <f aca="false">L320/$R$3</f>
        <v>0</v>
      </c>
      <c r="U320" s="126" t="n">
        <f aca="false">I320/$R$3</f>
        <v>0</v>
      </c>
      <c r="V320" s="126" t="n">
        <f aca="false">M320/$R$3</f>
        <v>0</v>
      </c>
      <c r="W320" s="126" t="n">
        <f aca="false">N320/$R$3</f>
        <v>0</v>
      </c>
    </row>
    <row r="321" customFormat="false" ht="12.75" hidden="false" customHeight="false" outlineLevel="0" collapsed="false">
      <c r="A321" s="120" t="n">
        <f aca="false">A320+1</f>
        <v>37207</v>
      </c>
      <c r="B321" s="131" t="str">
        <f aca="false">INDEX('Master Data'!$A$2:$B$8,MATCH(WEEKDAY(ELETROBOLT!A321,3),'Master Data'!$A$2:$A$8,0),2)</f>
        <v>M</v>
      </c>
      <c r="D321" s="124" t="n">
        <v>0</v>
      </c>
      <c r="E321" s="124" t="n">
        <v>0</v>
      </c>
      <c r="F321" s="124" t="n">
        <v>0</v>
      </c>
      <c r="G321" s="124" t="n">
        <v>0</v>
      </c>
      <c r="I321" s="124" t="n">
        <f aca="false">IF(MONTH($A321)=MONTH($A320),IF(G321=0,I320,G321),G321)</f>
        <v>0</v>
      </c>
      <c r="J321" s="124" t="n">
        <f aca="false">IF(MONTH($A321)=MONTH($A320),SUM(I321-I320),I321)</f>
        <v>0</v>
      </c>
      <c r="K321" s="124" t="n">
        <f aca="false">IF(WEEKDAY(A321,3)&gt;4,0,(IF(A321&lt;K$2,0,IF(A321&lt;=K$3,1,0))))</f>
        <v>0</v>
      </c>
      <c r="L321" s="124" t="n">
        <f aca="false">J321*K321</f>
        <v>0</v>
      </c>
      <c r="M321" s="124" t="n">
        <f aca="false">SUM(J$280:J321)</f>
        <v>0</v>
      </c>
      <c r="N321" s="124" t="n">
        <f aca="false">SUM(J$6:J321)</f>
        <v>0</v>
      </c>
      <c r="P321" s="124" t="n">
        <f aca="false">D321/P$3</f>
        <v>0</v>
      </c>
      <c r="Q321" s="124" t="n">
        <f aca="false">E321/P$3</f>
        <v>0</v>
      </c>
      <c r="R321" s="124" t="n">
        <f aca="false">F321/R$3</f>
        <v>0</v>
      </c>
      <c r="S321" s="126" t="n">
        <f aca="false">J321/$R$3</f>
        <v>0</v>
      </c>
      <c r="T321" s="126" t="n">
        <f aca="false">L321/$R$3</f>
        <v>0</v>
      </c>
      <c r="U321" s="126" t="n">
        <f aca="false">I321/$R$3</f>
        <v>0</v>
      </c>
      <c r="V321" s="126" t="n">
        <f aca="false">M321/$R$3</f>
        <v>0</v>
      </c>
      <c r="W321" s="126" t="n">
        <f aca="false">N321/$R$3</f>
        <v>0</v>
      </c>
    </row>
    <row r="322" customFormat="false" ht="12.75" hidden="false" customHeight="false" outlineLevel="0" collapsed="false">
      <c r="A322" s="120" t="n">
        <f aca="false">A321+1</f>
        <v>37208</v>
      </c>
      <c r="B322" s="131" t="str">
        <f aca="false">INDEX('Master Data'!$A$2:$B$8,MATCH(WEEKDAY(ELETROBOLT!A322,3),'Master Data'!$A$2:$A$8,0),2)</f>
        <v>T</v>
      </c>
      <c r="D322" s="124" t="n">
        <v>0</v>
      </c>
      <c r="E322" s="124" t="n">
        <v>0</v>
      </c>
      <c r="F322" s="124" t="n">
        <v>0</v>
      </c>
      <c r="G322" s="124" t="n">
        <v>0</v>
      </c>
      <c r="I322" s="124" t="n">
        <f aca="false">IF(MONTH($A322)=MONTH($A321),IF(G322=0,I321,G322),G322)</f>
        <v>0</v>
      </c>
      <c r="J322" s="124" t="n">
        <f aca="false">IF(MONTH($A322)=MONTH($A321),SUM(I322-I321),I322)</f>
        <v>0</v>
      </c>
      <c r="K322" s="124" t="n">
        <f aca="false">IF(WEEKDAY(A322,3)&gt;4,0,(IF(A322&lt;K$2,0,IF(A322&lt;=K$3,1,0))))</f>
        <v>0</v>
      </c>
      <c r="L322" s="124" t="n">
        <f aca="false">J322*K322</f>
        <v>0</v>
      </c>
      <c r="M322" s="124" t="n">
        <f aca="false">SUM(J$280:J322)</f>
        <v>0</v>
      </c>
      <c r="N322" s="124" t="n">
        <f aca="false">SUM(J$6:J322)</f>
        <v>0</v>
      </c>
      <c r="P322" s="124" t="n">
        <f aca="false">D322/P$3</f>
        <v>0</v>
      </c>
      <c r="Q322" s="124" t="n">
        <f aca="false">E322/P$3</f>
        <v>0</v>
      </c>
      <c r="R322" s="124" t="n">
        <f aca="false">F322/R$3</f>
        <v>0</v>
      </c>
      <c r="S322" s="126" t="n">
        <f aca="false">J322/$R$3</f>
        <v>0</v>
      </c>
      <c r="T322" s="126" t="n">
        <f aca="false">L322/$R$3</f>
        <v>0</v>
      </c>
      <c r="U322" s="126" t="n">
        <f aca="false">I322/$R$3</f>
        <v>0</v>
      </c>
      <c r="V322" s="126" t="n">
        <f aca="false">M322/$R$3</f>
        <v>0</v>
      </c>
      <c r="W322" s="126" t="n">
        <f aca="false">N322/$R$3</f>
        <v>0</v>
      </c>
    </row>
    <row r="323" customFormat="false" ht="12.75" hidden="false" customHeight="false" outlineLevel="0" collapsed="false">
      <c r="A323" s="120" t="n">
        <f aca="false">A322+1</f>
        <v>37209</v>
      </c>
      <c r="B323" s="131" t="str">
        <f aca="false">INDEX('Master Data'!$A$2:$B$8,MATCH(WEEKDAY(ELETROBOLT!A323,3),'Master Data'!$A$2:$A$8,0),2)</f>
        <v>W</v>
      </c>
      <c r="D323" s="124" t="n">
        <v>0</v>
      </c>
      <c r="E323" s="124" t="n">
        <v>0</v>
      </c>
      <c r="F323" s="124" t="n">
        <v>0</v>
      </c>
      <c r="G323" s="124" t="n">
        <v>0</v>
      </c>
      <c r="I323" s="124" t="n">
        <f aca="false">IF(MONTH($A323)=MONTH($A322),IF(G323=0,I322,G323),G323)</f>
        <v>0</v>
      </c>
      <c r="J323" s="124" t="n">
        <f aca="false">IF(MONTH($A323)=MONTH($A322),SUM(I323-I322),I323)</f>
        <v>0</v>
      </c>
      <c r="K323" s="124" t="n">
        <f aca="false">IF(WEEKDAY(A323,3)&gt;4,0,(IF(A323&lt;K$2,0,IF(A323&lt;=K$3,1,0))))</f>
        <v>0</v>
      </c>
      <c r="L323" s="124" t="n">
        <f aca="false">J323*K323</f>
        <v>0</v>
      </c>
      <c r="M323" s="124" t="n">
        <f aca="false">SUM(J$280:J323)</f>
        <v>0</v>
      </c>
      <c r="N323" s="124" t="n">
        <f aca="false">SUM(J$6:J323)</f>
        <v>0</v>
      </c>
      <c r="P323" s="124" t="n">
        <f aca="false">D323/P$3</f>
        <v>0</v>
      </c>
      <c r="Q323" s="124" t="n">
        <f aca="false">E323/P$3</f>
        <v>0</v>
      </c>
      <c r="R323" s="124" t="n">
        <f aca="false">F323/R$3</f>
        <v>0</v>
      </c>
      <c r="S323" s="126" t="n">
        <f aca="false">J323/$R$3</f>
        <v>0</v>
      </c>
      <c r="T323" s="126" t="n">
        <f aca="false">L323/$R$3</f>
        <v>0</v>
      </c>
      <c r="U323" s="126" t="n">
        <f aca="false">I323/$R$3</f>
        <v>0</v>
      </c>
      <c r="V323" s="126" t="n">
        <f aca="false">M323/$R$3</f>
        <v>0</v>
      </c>
      <c r="W323" s="126" t="n">
        <f aca="false">N323/$R$3</f>
        <v>0</v>
      </c>
    </row>
    <row r="324" customFormat="false" ht="12.75" hidden="false" customHeight="false" outlineLevel="0" collapsed="false">
      <c r="A324" s="120" t="n">
        <f aca="false">A323+1</f>
        <v>37210</v>
      </c>
      <c r="B324" s="131" t="str">
        <f aca="false">INDEX('Master Data'!$A$2:$B$8,MATCH(WEEKDAY(ELETROBOLT!A324,3),'Master Data'!$A$2:$A$8,0),2)</f>
        <v>Th</v>
      </c>
      <c r="D324" s="124" t="n">
        <v>0</v>
      </c>
      <c r="E324" s="124" t="n">
        <v>0</v>
      </c>
      <c r="F324" s="124" t="n">
        <v>0</v>
      </c>
      <c r="G324" s="124" t="n">
        <v>0</v>
      </c>
      <c r="I324" s="124" t="n">
        <f aca="false">IF(MONTH($A324)=MONTH($A323),IF(G324=0,I323,G324),G324)</f>
        <v>0</v>
      </c>
      <c r="J324" s="124" t="n">
        <f aca="false">IF(MONTH($A324)=MONTH($A323),SUM(I324-I323),I324)</f>
        <v>0</v>
      </c>
      <c r="K324" s="124" t="n">
        <f aca="false">IF(WEEKDAY(A324,3)&gt;4,0,(IF(A324&lt;K$2,0,IF(A324&lt;=K$3,1,0))))</f>
        <v>0</v>
      </c>
      <c r="L324" s="124" t="n">
        <f aca="false">J324*K324</f>
        <v>0</v>
      </c>
      <c r="M324" s="124" t="n">
        <f aca="false">SUM(J$280:J324)</f>
        <v>0</v>
      </c>
      <c r="N324" s="124" t="n">
        <f aca="false">SUM(J$6:J324)</f>
        <v>0</v>
      </c>
      <c r="P324" s="124" t="n">
        <f aca="false">D324/P$3</f>
        <v>0</v>
      </c>
      <c r="Q324" s="124" t="n">
        <f aca="false">E324/P$3</f>
        <v>0</v>
      </c>
      <c r="R324" s="124" t="n">
        <f aca="false">F324/R$3</f>
        <v>0</v>
      </c>
      <c r="S324" s="126" t="n">
        <f aca="false">J324/$R$3</f>
        <v>0</v>
      </c>
      <c r="T324" s="126" t="n">
        <f aca="false">L324/$R$3</f>
        <v>0</v>
      </c>
      <c r="U324" s="126" t="n">
        <f aca="false">I324/$R$3</f>
        <v>0</v>
      </c>
      <c r="V324" s="126" t="n">
        <f aca="false">M324/$R$3</f>
        <v>0</v>
      </c>
      <c r="W324" s="126" t="n">
        <f aca="false">N324/$R$3</f>
        <v>0</v>
      </c>
    </row>
    <row r="325" customFormat="false" ht="12.75" hidden="false" customHeight="false" outlineLevel="0" collapsed="false">
      <c r="A325" s="120" t="n">
        <f aca="false">A324+1</f>
        <v>37211</v>
      </c>
      <c r="B325" s="131" t="str">
        <f aca="false">INDEX('Master Data'!$A$2:$B$8,MATCH(WEEKDAY(ELETROBOLT!A325,3),'Master Data'!$A$2:$A$8,0),2)</f>
        <v>F</v>
      </c>
      <c r="D325" s="124" t="n">
        <v>0</v>
      </c>
      <c r="E325" s="124" t="n">
        <v>0</v>
      </c>
      <c r="F325" s="124" t="n">
        <v>0</v>
      </c>
      <c r="G325" s="124" t="n">
        <v>0</v>
      </c>
      <c r="I325" s="124" t="n">
        <f aca="false">IF(MONTH($A325)=MONTH($A324),IF(G325=0,I324,G325),G325)</f>
        <v>0</v>
      </c>
      <c r="J325" s="124" t="n">
        <f aca="false">IF(MONTH($A325)=MONTH($A324),SUM(I325-I324),I325)</f>
        <v>0</v>
      </c>
      <c r="K325" s="124" t="n">
        <f aca="false">IF(WEEKDAY(A325,3)&gt;4,0,(IF(A325&lt;K$2,0,IF(A325&lt;=K$3,1,0))))</f>
        <v>0</v>
      </c>
      <c r="L325" s="124" t="n">
        <f aca="false">J325*K325</f>
        <v>0</v>
      </c>
      <c r="M325" s="124" t="n">
        <f aca="false">SUM(J$280:J325)</f>
        <v>0</v>
      </c>
      <c r="N325" s="124" t="n">
        <f aca="false">SUM(J$6:J325)</f>
        <v>0</v>
      </c>
      <c r="P325" s="124" t="n">
        <f aca="false">D325/P$3</f>
        <v>0</v>
      </c>
      <c r="Q325" s="124" t="n">
        <f aca="false">E325/P$3</f>
        <v>0</v>
      </c>
      <c r="R325" s="124" t="n">
        <f aca="false">F325/R$3</f>
        <v>0</v>
      </c>
      <c r="S325" s="126" t="n">
        <f aca="false">J325/$R$3</f>
        <v>0</v>
      </c>
      <c r="T325" s="126" t="n">
        <f aca="false">L325/$R$3</f>
        <v>0</v>
      </c>
      <c r="U325" s="126" t="n">
        <f aca="false">I325/$R$3</f>
        <v>0</v>
      </c>
      <c r="V325" s="126" t="n">
        <f aca="false">M325/$R$3</f>
        <v>0</v>
      </c>
      <c r="W325" s="126" t="n">
        <f aca="false">N325/$R$3</f>
        <v>0</v>
      </c>
    </row>
    <row r="326" customFormat="false" ht="12.75" hidden="false" customHeight="false" outlineLevel="0" collapsed="false">
      <c r="A326" s="120" t="n">
        <f aca="false">A325+1</f>
        <v>37212</v>
      </c>
      <c r="B326" s="131" t="str">
        <f aca="false">INDEX('Master Data'!$A$2:$B$8,MATCH(WEEKDAY(ELETROBOLT!A326,3),'Master Data'!$A$2:$A$8,0),2)</f>
        <v>Sa</v>
      </c>
      <c r="D326" s="124" t="n">
        <v>0</v>
      </c>
      <c r="E326" s="124" t="n">
        <v>0</v>
      </c>
      <c r="F326" s="124" t="n">
        <v>0</v>
      </c>
      <c r="G326" s="124" t="n">
        <v>0</v>
      </c>
      <c r="I326" s="124" t="n">
        <f aca="false">IF(MONTH($A326)=MONTH($A325),IF(G326=0,I325,G326),G326)</f>
        <v>0</v>
      </c>
      <c r="J326" s="124" t="n">
        <f aca="false">IF(MONTH($A326)=MONTH($A325),SUM(I326-I325),I326)</f>
        <v>0</v>
      </c>
      <c r="K326" s="124" t="n">
        <f aca="false">IF(WEEKDAY(A326,3)&gt;4,0,(IF(A326&lt;K$2,0,IF(A326&lt;=K$3,1,0))))</f>
        <v>0</v>
      </c>
      <c r="L326" s="124" t="n">
        <f aca="false">J326*K326</f>
        <v>0</v>
      </c>
      <c r="M326" s="124" t="n">
        <f aca="false">SUM(J$280:J326)</f>
        <v>0</v>
      </c>
      <c r="N326" s="124" t="n">
        <f aca="false">SUM(J$6:J326)</f>
        <v>0</v>
      </c>
      <c r="P326" s="124" t="n">
        <f aca="false">D326/P$3</f>
        <v>0</v>
      </c>
      <c r="Q326" s="124" t="n">
        <f aca="false">E326/P$3</f>
        <v>0</v>
      </c>
      <c r="R326" s="124" t="n">
        <f aca="false">F326/R$3</f>
        <v>0</v>
      </c>
      <c r="S326" s="126" t="n">
        <f aca="false">J326/$R$3</f>
        <v>0</v>
      </c>
      <c r="T326" s="126" t="n">
        <f aca="false">L326/$R$3</f>
        <v>0</v>
      </c>
      <c r="U326" s="126" t="n">
        <f aca="false">I326/$R$3</f>
        <v>0</v>
      </c>
      <c r="V326" s="126" t="n">
        <f aca="false">M326/$R$3</f>
        <v>0</v>
      </c>
      <c r="W326" s="126" t="n">
        <f aca="false">N326/$R$3</f>
        <v>0</v>
      </c>
    </row>
    <row r="327" customFormat="false" ht="12.75" hidden="false" customHeight="false" outlineLevel="0" collapsed="false">
      <c r="A327" s="120" t="n">
        <f aca="false">A326+1</f>
        <v>37213</v>
      </c>
      <c r="B327" s="131" t="str">
        <f aca="false">INDEX('Master Data'!$A$2:$B$8,MATCH(WEEKDAY(ELETROBOLT!A327,3),'Master Data'!$A$2:$A$8,0),2)</f>
        <v>Su</v>
      </c>
      <c r="D327" s="124" t="n">
        <v>0</v>
      </c>
      <c r="E327" s="124" t="n">
        <v>0</v>
      </c>
      <c r="F327" s="124" t="n">
        <v>0</v>
      </c>
      <c r="G327" s="124" t="n">
        <v>0</v>
      </c>
      <c r="I327" s="124" t="n">
        <f aca="false">IF(MONTH($A327)=MONTH($A326),IF(G327=0,I326,G327),G327)</f>
        <v>0</v>
      </c>
      <c r="J327" s="124" t="n">
        <f aca="false">IF(MONTH($A327)=MONTH($A326),SUM(I327-I326),I327)</f>
        <v>0</v>
      </c>
      <c r="K327" s="124" t="n">
        <f aca="false">IF(WEEKDAY(A327,3)&gt;4,0,(IF(A327&lt;K$2,0,IF(A327&lt;=K$3,1,0))))</f>
        <v>0</v>
      </c>
      <c r="L327" s="124" t="n">
        <f aca="false">J327*K327</f>
        <v>0</v>
      </c>
      <c r="M327" s="124" t="n">
        <f aca="false">SUM(J$280:J327)</f>
        <v>0</v>
      </c>
      <c r="N327" s="124" t="n">
        <f aca="false">SUM(J$6:J327)</f>
        <v>0</v>
      </c>
      <c r="P327" s="124" t="n">
        <f aca="false">D327/P$3</f>
        <v>0</v>
      </c>
      <c r="Q327" s="124" t="n">
        <f aca="false">E327/P$3</f>
        <v>0</v>
      </c>
      <c r="R327" s="124" t="n">
        <f aca="false">F327/R$3</f>
        <v>0</v>
      </c>
      <c r="S327" s="126" t="n">
        <f aca="false">J327/$R$3</f>
        <v>0</v>
      </c>
      <c r="T327" s="126" t="n">
        <f aca="false">L327/$R$3</f>
        <v>0</v>
      </c>
      <c r="U327" s="126" t="n">
        <f aca="false">I327/$R$3</f>
        <v>0</v>
      </c>
      <c r="V327" s="126" t="n">
        <f aca="false">M327/$R$3</f>
        <v>0</v>
      </c>
      <c r="W327" s="126" t="n">
        <f aca="false">N327/$R$3</f>
        <v>0</v>
      </c>
    </row>
    <row r="328" customFormat="false" ht="12.75" hidden="false" customHeight="false" outlineLevel="0" collapsed="false">
      <c r="A328" s="120" t="n">
        <f aca="false">A327+1</f>
        <v>37214</v>
      </c>
      <c r="B328" s="131" t="str">
        <f aca="false">INDEX('Master Data'!$A$2:$B$8,MATCH(WEEKDAY(ELETROBOLT!A328,3),'Master Data'!$A$2:$A$8,0),2)</f>
        <v>M</v>
      </c>
      <c r="D328" s="124" t="n">
        <v>0</v>
      </c>
      <c r="E328" s="124" t="n">
        <v>0</v>
      </c>
      <c r="F328" s="124" t="n">
        <v>0</v>
      </c>
      <c r="G328" s="124" t="n">
        <v>0</v>
      </c>
      <c r="I328" s="124" t="n">
        <f aca="false">IF(MONTH($A328)=MONTH($A327),IF(G328=0,I327,G328),G328)</f>
        <v>0</v>
      </c>
      <c r="J328" s="124" t="n">
        <f aca="false">IF(MONTH($A328)=MONTH($A327),SUM(I328-I327),I328)</f>
        <v>0</v>
      </c>
      <c r="K328" s="124" t="n">
        <f aca="false">IF(WEEKDAY(A328,3)&gt;4,0,(IF(A328&lt;K$2,0,IF(A328&lt;=K$3,1,0))))</f>
        <v>0</v>
      </c>
      <c r="L328" s="124" t="n">
        <f aca="false">J328*K328</f>
        <v>0</v>
      </c>
      <c r="M328" s="124" t="n">
        <f aca="false">SUM(J$280:J328)</f>
        <v>0</v>
      </c>
      <c r="N328" s="124" t="n">
        <f aca="false">SUM(J$6:J328)</f>
        <v>0</v>
      </c>
      <c r="P328" s="124" t="n">
        <f aca="false">D328/P$3</f>
        <v>0</v>
      </c>
      <c r="Q328" s="124" t="n">
        <f aca="false">E328/P$3</f>
        <v>0</v>
      </c>
      <c r="R328" s="124" t="n">
        <f aca="false">F328/R$3</f>
        <v>0</v>
      </c>
      <c r="S328" s="126" t="n">
        <f aca="false">J328/$R$3</f>
        <v>0</v>
      </c>
      <c r="T328" s="126" t="n">
        <f aca="false">L328/$R$3</f>
        <v>0</v>
      </c>
      <c r="U328" s="126" t="n">
        <f aca="false">I328/$R$3</f>
        <v>0</v>
      </c>
      <c r="V328" s="126" t="n">
        <f aca="false">M328/$R$3</f>
        <v>0</v>
      </c>
      <c r="W328" s="126" t="n">
        <f aca="false">N328/$R$3</f>
        <v>0</v>
      </c>
    </row>
    <row r="329" customFormat="false" ht="12.75" hidden="false" customHeight="false" outlineLevel="0" collapsed="false">
      <c r="A329" s="120" t="n">
        <f aca="false">A328+1</f>
        <v>37215</v>
      </c>
      <c r="B329" s="131" t="str">
        <f aca="false">INDEX('Master Data'!$A$2:$B$8,MATCH(WEEKDAY(ELETROBOLT!A329,3),'Master Data'!$A$2:$A$8,0),2)</f>
        <v>T</v>
      </c>
      <c r="D329" s="124" t="n">
        <v>0</v>
      </c>
      <c r="E329" s="124" t="n">
        <v>0</v>
      </c>
      <c r="F329" s="124" t="n">
        <v>0</v>
      </c>
      <c r="G329" s="124" t="n">
        <v>0</v>
      </c>
      <c r="I329" s="124" t="n">
        <f aca="false">IF(MONTH($A329)=MONTH($A328),IF(G329=0,I328,G329),G329)</f>
        <v>0</v>
      </c>
      <c r="J329" s="124" t="n">
        <f aca="false">IF(MONTH($A329)=MONTH($A328),SUM(I329-I328),I329)</f>
        <v>0</v>
      </c>
      <c r="K329" s="124" t="n">
        <f aca="false">IF(WEEKDAY(A329,3)&gt;4,0,(IF(A329&lt;K$2,0,IF(A329&lt;=K$3,1,0))))</f>
        <v>0</v>
      </c>
      <c r="L329" s="124" t="n">
        <f aca="false">J329*K329</f>
        <v>0</v>
      </c>
      <c r="M329" s="124" t="n">
        <f aca="false">SUM(J$280:J329)</f>
        <v>0</v>
      </c>
      <c r="N329" s="124" t="n">
        <f aca="false">SUM(J$6:J329)</f>
        <v>0</v>
      </c>
      <c r="P329" s="124" t="n">
        <f aca="false">D329/P$3</f>
        <v>0</v>
      </c>
      <c r="Q329" s="124" t="n">
        <f aca="false">E329/P$3</f>
        <v>0</v>
      </c>
      <c r="R329" s="124" t="n">
        <f aca="false">F329/R$3</f>
        <v>0</v>
      </c>
      <c r="S329" s="126" t="n">
        <f aca="false">J329/$R$3</f>
        <v>0</v>
      </c>
      <c r="T329" s="126" t="n">
        <f aca="false">L329/$R$3</f>
        <v>0</v>
      </c>
      <c r="U329" s="126" t="n">
        <f aca="false">I329/$R$3</f>
        <v>0</v>
      </c>
      <c r="V329" s="126" t="n">
        <f aca="false">M329/$R$3</f>
        <v>0</v>
      </c>
      <c r="W329" s="126" t="n">
        <f aca="false">N329/$R$3</f>
        <v>0</v>
      </c>
    </row>
    <row r="330" customFormat="false" ht="12.75" hidden="false" customHeight="false" outlineLevel="0" collapsed="false">
      <c r="A330" s="120" t="n">
        <f aca="false">A329+1</f>
        <v>37216</v>
      </c>
      <c r="B330" s="131" t="str">
        <f aca="false">INDEX('Master Data'!$A$2:$B$8,MATCH(WEEKDAY(ELETROBOLT!A330,3),'Master Data'!$A$2:$A$8,0),2)</f>
        <v>W</v>
      </c>
      <c r="D330" s="124" t="n">
        <v>0</v>
      </c>
      <c r="E330" s="124" t="n">
        <v>0</v>
      </c>
      <c r="F330" s="124" t="n">
        <v>0</v>
      </c>
      <c r="G330" s="124" t="n">
        <v>0</v>
      </c>
      <c r="I330" s="124" t="n">
        <f aca="false">IF(MONTH($A330)=MONTH($A329),IF(G330=0,I329,G330),G330)</f>
        <v>0</v>
      </c>
      <c r="J330" s="124" t="n">
        <f aca="false">IF(MONTH($A330)=MONTH($A329),SUM(I330-I329),I330)</f>
        <v>0</v>
      </c>
      <c r="K330" s="124" t="n">
        <f aca="false">IF(WEEKDAY(A330,3)&gt;4,0,(IF(A330&lt;K$2,0,IF(A330&lt;=K$3,1,0))))</f>
        <v>0</v>
      </c>
      <c r="L330" s="124" t="n">
        <f aca="false">J330*K330</f>
        <v>0</v>
      </c>
      <c r="M330" s="124" t="n">
        <f aca="false">SUM(J$280:J330)</f>
        <v>0</v>
      </c>
      <c r="N330" s="124" t="n">
        <f aca="false">SUM(J$6:J330)</f>
        <v>0</v>
      </c>
      <c r="P330" s="124" t="n">
        <f aca="false">D330/P$3</f>
        <v>0</v>
      </c>
      <c r="Q330" s="124" t="n">
        <f aca="false">E330/P$3</f>
        <v>0</v>
      </c>
      <c r="R330" s="124" t="n">
        <f aca="false">F330/R$3</f>
        <v>0</v>
      </c>
      <c r="S330" s="126" t="n">
        <f aca="false">J330/$R$3</f>
        <v>0</v>
      </c>
      <c r="T330" s="126" t="n">
        <f aca="false">L330/$R$3</f>
        <v>0</v>
      </c>
      <c r="U330" s="126" t="n">
        <f aca="false">I330/$R$3</f>
        <v>0</v>
      </c>
      <c r="V330" s="126" t="n">
        <f aca="false">M330/$R$3</f>
        <v>0</v>
      </c>
      <c r="W330" s="126" t="n">
        <f aca="false">N330/$R$3</f>
        <v>0</v>
      </c>
    </row>
    <row r="331" customFormat="false" ht="12.75" hidden="false" customHeight="false" outlineLevel="0" collapsed="false">
      <c r="A331" s="120" t="n">
        <f aca="false">A330+1</f>
        <v>37217</v>
      </c>
      <c r="B331" s="131" t="str">
        <f aca="false">INDEX('Master Data'!$A$2:$B$8,MATCH(WEEKDAY(ELETROBOLT!A331,3),'Master Data'!$A$2:$A$8,0),2)</f>
        <v>Th</v>
      </c>
      <c r="D331" s="124" t="n">
        <v>0</v>
      </c>
      <c r="E331" s="124" t="n">
        <v>0</v>
      </c>
      <c r="F331" s="124" t="n">
        <v>0</v>
      </c>
      <c r="G331" s="124" t="n">
        <v>0</v>
      </c>
      <c r="I331" s="124" t="n">
        <f aca="false">IF(MONTH($A331)=MONTH($A330),IF(G331=0,I330,G331),G331)</f>
        <v>0</v>
      </c>
      <c r="J331" s="124" t="n">
        <f aca="false">IF(MONTH($A331)=MONTH($A330),SUM(I331-I330),I331)</f>
        <v>0</v>
      </c>
      <c r="K331" s="124" t="n">
        <f aca="false">IF(WEEKDAY(A331,3)&gt;4,0,(IF(A331&lt;K$2,0,IF(A331&lt;=K$3,1,0))))</f>
        <v>0</v>
      </c>
      <c r="L331" s="124" t="n">
        <f aca="false">J331*K331</f>
        <v>0</v>
      </c>
      <c r="M331" s="124" t="n">
        <f aca="false">SUM(J$280:J331)</f>
        <v>0</v>
      </c>
      <c r="N331" s="124" t="n">
        <f aca="false">SUM(J$6:J331)</f>
        <v>0</v>
      </c>
      <c r="P331" s="124" t="n">
        <f aca="false">D331/P$3</f>
        <v>0</v>
      </c>
      <c r="Q331" s="124" t="n">
        <f aca="false">E331/P$3</f>
        <v>0</v>
      </c>
      <c r="R331" s="124" t="n">
        <f aca="false">F331/R$3</f>
        <v>0</v>
      </c>
      <c r="S331" s="126" t="n">
        <f aca="false">J331/$R$3</f>
        <v>0</v>
      </c>
      <c r="T331" s="126" t="n">
        <f aca="false">L331/$R$3</f>
        <v>0</v>
      </c>
      <c r="U331" s="126" t="n">
        <f aca="false">I331/$R$3</f>
        <v>0</v>
      </c>
      <c r="V331" s="126" t="n">
        <f aca="false">M331/$R$3</f>
        <v>0</v>
      </c>
      <c r="W331" s="126" t="n">
        <f aca="false">N331/$R$3</f>
        <v>0</v>
      </c>
    </row>
    <row r="332" customFormat="false" ht="12.75" hidden="false" customHeight="false" outlineLevel="0" collapsed="false">
      <c r="A332" s="120" t="n">
        <f aca="false">A331+1</f>
        <v>37218</v>
      </c>
      <c r="B332" s="131" t="str">
        <f aca="false">INDEX('Master Data'!$A$2:$B$8,MATCH(WEEKDAY(ELETROBOLT!A332,3),'Master Data'!$A$2:$A$8,0),2)</f>
        <v>F</v>
      </c>
      <c r="D332" s="124" t="n">
        <v>0</v>
      </c>
      <c r="E332" s="124" t="n">
        <v>0</v>
      </c>
      <c r="F332" s="124" t="n">
        <v>0</v>
      </c>
      <c r="G332" s="124" t="n">
        <v>0</v>
      </c>
      <c r="I332" s="124" t="n">
        <f aca="false">IF(MONTH($A332)=MONTH($A331),IF(G332=0,I331,G332),G332)</f>
        <v>0</v>
      </c>
      <c r="J332" s="124" t="n">
        <f aca="false">IF(MONTH($A332)=MONTH($A331),SUM(I332-I331),I332)</f>
        <v>0</v>
      </c>
      <c r="K332" s="124" t="n">
        <f aca="false">IF(WEEKDAY(A332,3)&gt;4,0,(IF(A332&lt;K$2,0,IF(A332&lt;=K$3,1,0))))</f>
        <v>0</v>
      </c>
      <c r="L332" s="124" t="n">
        <f aca="false">J332*K332</f>
        <v>0</v>
      </c>
      <c r="M332" s="124" t="n">
        <f aca="false">SUM(J$280:J332)</f>
        <v>0</v>
      </c>
      <c r="N332" s="124" t="n">
        <f aca="false">SUM(J$6:J332)</f>
        <v>0</v>
      </c>
      <c r="P332" s="124" t="n">
        <f aca="false">D332/P$3</f>
        <v>0</v>
      </c>
      <c r="Q332" s="124" t="n">
        <f aca="false">E332/P$3</f>
        <v>0</v>
      </c>
      <c r="R332" s="124" t="n">
        <f aca="false">F332/R$3</f>
        <v>0</v>
      </c>
      <c r="S332" s="126" t="n">
        <f aca="false">J332/$R$3</f>
        <v>0</v>
      </c>
      <c r="T332" s="126" t="n">
        <f aca="false">L332/$R$3</f>
        <v>0</v>
      </c>
      <c r="U332" s="126" t="n">
        <f aca="false">I332/$R$3</f>
        <v>0</v>
      </c>
      <c r="V332" s="126" t="n">
        <f aca="false">M332/$R$3</f>
        <v>0</v>
      </c>
      <c r="W332" s="126" t="n">
        <f aca="false">N332/$R$3</f>
        <v>0</v>
      </c>
    </row>
    <row r="333" customFormat="false" ht="12.75" hidden="false" customHeight="false" outlineLevel="0" collapsed="false">
      <c r="A333" s="120" t="n">
        <f aca="false">A332+1</f>
        <v>37219</v>
      </c>
      <c r="B333" s="131" t="str">
        <f aca="false">INDEX('Master Data'!$A$2:$B$8,MATCH(WEEKDAY(ELETROBOLT!A333,3),'Master Data'!$A$2:$A$8,0),2)</f>
        <v>Sa</v>
      </c>
      <c r="D333" s="124" t="n">
        <v>0</v>
      </c>
      <c r="E333" s="124" t="n">
        <v>0</v>
      </c>
      <c r="F333" s="124" t="n">
        <v>0</v>
      </c>
      <c r="G333" s="124" t="n">
        <v>0</v>
      </c>
      <c r="I333" s="124" t="n">
        <f aca="false">IF(MONTH($A333)=MONTH($A332),IF(G333=0,I332,G333),G333)</f>
        <v>0</v>
      </c>
      <c r="J333" s="124" t="n">
        <f aca="false">IF(MONTH($A333)=MONTH($A332),SUM(I333-I332),I333)</f>
        <v>0</v>
      </c>
      <c r="K333" s="124" t="n">
        <f aca="false">IF(WEEKDAY(A333,3)&gt;4,0,(IF(A333&lt;K$2,0,IF(A333&lt;=K$3,1,0))))</f>
        <v>0</v>
      </c>
      <c r="L333" s="124" t="n">
        <f aca="false">J333*K333</f>
        <v>0</v>
      </c>
      <c r="M333" s="124" t="n">
        <f aca="false">SUM(J$280:J333)</f>
        <v>0</v>
      </c>
      <c r="N333" s="124" t="n">
        <f aca="false">SUM(J$6:J333)</f>
        <v>0</v>
      </c>
      <c r="P333" s="124" t="n">
        <f aca="false">D333/P$3</f>
        <v>0</v>
      </c>
      <c r="Q333" s="124" t="n">
        <f aca="false">E333/P$3</f>
        <v>0</v>
      </c>
      <c r="R333" s="124" t="n">
        <f aca="false">F333/R$3</f>
        <v>0</v>
      </c>
      <c r="S333" s="126" t="n">
        <f aca="false">J333/$R$3</f>
        <v>0</v>
      </c>
      <c r="T333" s="126" t="n">
        <f aca="false">L333/$R$3</f>
        <v>0</v>
      </c>
      <c r="U333" s="126" t="n">
        <f aca="false">I333/$R$3</f>
        <v>0</v>
      </c>
      <c r="V333" s="126" t="n">
        <f aca="false">M333/$R$3</f>
        <v>0</v>
      </c>
      <c r="W333" s="126" t="n">
        <f aca="false">N333/$R$3</f>
        <v>0</v>
      </c>
    </row>
    <row r="334" customFormat="false" ht="12.75" hidden="false" customHeight="false" outlineLevel="0" collapsed="false">
      <c r="A334" s="120" t="n">
        <f aca="false">A333+1</f>
        <v>37220</v>
      </c>
      <c r="B334" s="131" t="str">
        <f aca="false">INDEX('Master Data'!$A$2:$B$8,MATCH(WEEKDAY(ELETROBOLT!A334,3),'Master Data'!$A$2:$A$8,0),2)</f>
        <v>Su</v>
      </c>
      <c r="D334" s="124" t="n">
        <v>0</v>
      </c>
      <c r="E334" s="124" t="n">
        <v>0</v>
      </c>
      <c r="F334" s="124" t="n">
        <v>0</v>
      </c>
      <c r="G334" s="124" t="n">
        <v>0</v>
      </c>
      <c r="I334" s="124" t="n">
        <f aca="false">IF(MONTH($A334)=MONTH($A333),IF(G334=0,I333,G334),G334)</f>
        <v>0</v>
      </c>
      <c r="J334" s="124" t="n">
        <f aca="false">IF(MONTH($A334)=MONTH($A333),SUM(I334-I333),I334)</f>
        <v>0</v>
      </c>
      <c r="K334" s="124" t="n">
        <f aca="false">IF(WEEKDAY(A334,3)&gt;4,0,(IF(A334&lt;K$2,0,IF(A334&lt;=K$3,1,0))))</f>
        <v>0</v>
      </c>
      <c r="L334" s="124" t="n">
        <f aca="false">J334*K334</f>
        <v>0</v>
      </c>
      <c r="M334" s="124" t="n">
        <f aca="false">SUM(J$280:J334)</f>
        <v>0</v>
      </c>
      <c r="N334" s="124" t="n">
        <f aca="false">SUM(J$6:J334)</f>
        <v>0</v>
      </c>
      <c r="P334" s="124" t="n">
        <f aca="false">D334/P$3</f>
        <v>0</v>
      </c>
      <c r="Q334" s="124" t="n">
        <f aca="false">E334/P$3</f>
        <v>0</v>
      </c>
      <c r="R334" s="124" t="n">
        <f aca="false">F334/R$3</f>
        <v>0</v>
      </c>
      <c r="S334" s="126" t="n">
        <f aca="false">J334/$R$3</f>
        <v>0</v>
      </c>
      <c r="T334" s="126" t="n">
        <f aca="false">L334/$R$3</f>
        <v>0</v>
      </c>
      <c r="U334" s="126" t="n">
        <f aca="false">I334/$R$3</f>
        <v>0</v>
      </c>
      <c r="V334" s="126" t="n">
        <f aca="false">M334/$R$3</f>
        <v>0</v>
      </c>
      <c r="W334" s="126" t="n">
        <f aca="false">N334/$R$3</f>
        <v>0</v>
      </c>
    </row>
    <row r="335" customFormat="false" ht="12.75" hidden="false" customHeight="false" outlineLevel="0" collapsed="false">
      <c r="A335" s="120" t="n">
        <f aca="false">A334+1</f>
        <v>37221</v>
      </c>
      <c r="B335" s="131" t="str">
        <f aca="false">INDEX('Master Data'!$A$2:$B$8,MATCH(WEEKDAY(ELETROBOLT!A335,3),'Master Data'!$A$2:$A$8,0),2)</f>
        <v>M</v>
      </c>
      <c r="D335" s="124" t="n">
        <v>0</v>
      </c>
      <c r="E335" s="124" t="n">
        <v>0</v>
      </c>
      <c r="F335" s="124" t="n">
        <v>0</v>
      </c>
      <c r="G335" s="124" t="n">
        <v>0</v>
      </c>
      <c r="I335" s="124" t="n">
        <f aca="false">IF(MONTH($A335)=MONTH($A334),IF(G335=0,I334,G335),G335)</f>
        <v>0</v>
      </c>
      <c r="J335" s="124" t="n">
        <f aca="false">IF(MONTH($A335)=MONTH($A334),SUM(I335-I334),I335)</f>
        <v>0</v>
      </c>
      <c r="K335" s="124" t="n">
        <f aca="false">IF(WEEKDAY(A335,3)&gt;4,0,(IF(A335&lt;K$2,0,IF(A335&lt;=K$3,1,0))))</f>
        <v>0</v>
      </c>
      <c r="L335" s="124" t="n">
        <f aca="false">J335*K335</f>
        <v>0</v>
      </c>
      <c r="M335" s="124" t="n">
        <f aca="false">SUM(J$280:J335)</f>
        <v>0</v>
      </c>
      <c r="N335" s="124" t="n">
        <f aca="false">SUM(J$6:J335)</f>
        <v>0</v>
      </c>
      <c r="P335" s="124" t="n">
        <f aca="false">D335/P$3</f>
        <v>0</v>
      </c>
      <c r="Q335" s="124" t="n">
        <f aca="false">E335/P$3</f>
        <v>0</v>
      </c>
      <c r="R335" s="124" t="n">
        <f aca="false">F335/R$3</f>
        <v>0</v>
      </c>
      <c r="S335" s="126" t="n">
        <f aca="false">J335/$R$3</f>
        <v>0</v>
      </c>
      <c r="T335" s="126" t="n">
        <f aca="false">L335/$R$3</f>
        <v>0</v>
      </c>
      <c r="U335" s="126" t="n">
        <f aca="false">I335/$R$3</f>
        <v>0</v>
      </c>
      <c r="V335" s="126" t="n">
        <f aca="false">M335/$R$3</f>
        <v>0</v>
      </c>
      <c r="W335" s="126" t="n">
        <f aca="false">N335/$R$3</f>
        <v>0</v>
      </c>
    </row>
    <row r="336" customFormat="false" ht="12.75" hidden="false" customHeight="false" outlineLevel="0" collapsed="false">
      <c r="A336" s="120" t="n">
        <f aca="false">A335+1</f>
        <v>37222</v>
      </c>
      <c r="B336" s="131" t="str">
        <f aca="false">INDEX('Master Data'!$A$2:$B$8,MATCH(WEEKDAY(ELETROBOLT!A336,3),'Master Data'!$A$2:$A$8,0),2)</f>
        <v>T</v>
      </c>
      <c r="D336" s="124" t="n">
        <v>0</v>
      </c>
      <c r="E336" s="124" t="n">
        <v>0</v>
      </c>
      <c r="F336" s="124" t="n">
        <v>0</v>
      </c>
      <c r="G336" s="124" t="n">
        <v>0</v>
      </c>
      <c r="I336" s="124" t="n">
        <f aca="false">IF(MONTH($A336)=MONTH($A335),IF(G336=0,I335,G336),G336)</f>
        <v>0</v>
      </c>
      <c r="J336" s="124" t="n">
        <f aca="false">IF(MONTH($A336)=MONTH($A335),SUM(I336-I335),I336)</f>
        <v>0</v>
      </c>
      <c r="K336" s="124" t="n">
        <f aca="false">IF(WEEKDAY(A336,3)&gt;4,0,(IF(A336&lt;K$2,0,IF(A336&lt;=K$3,1,0))))</f>
        <v>0</v>
      </c>
      <c r="L336" s="124" t="n">
        <f aca="false">J336*K336</f>
        <v>0</v>
      </c>
      <c r="M336" s="124" t="n">
        <f aca="false">SUM(J$280:J336)</f>
        <v>0</v>
      </c>
      <c r="N336" s="124" t="n">
        <f aca="false">SUM(J$6:J336)</f>
        <v>0</v>
      </c>
      <c r="P336" s="124" t="n">
        <f aca="false">D336/P$3</f>
        <v>0</v>
      </c>
      <c r="Q336" s="124" t="n">
        <f aca="false">E336/P$3</f>
        <v>0</v>
      </c>
      <c r="R336" s="124" t="n">
        <f aca="false">F336/R$3</f>
        <v>0</v>
      </c>
      <c r="S336" s="126" t="n">
        <f aca="false">J336/$R$3</f>
        <v>0</v>
      </c>
      <c r="T336" s="126" t="n">
        <f aca="false">L336/$R$3</f>
        <v>0</v>
      </c>
      <c r="U336" s="126" t="n">
        <f aca="false">I336/$R$3</f>
        <v>0</v>
      </c>
      <c r="V336" s="126" t="n">
        <f aca="false">M336/$R$3</f>
        <v>0</v>
      </c>
      <c r="W336" s="126" t="n">
        <f aca="false">N336/$R$3</f>
        <v>0</v>
      </c>
    </row>
    <row r="337" customFormat="false" ht="12.75" hidden="false" customHeight="false" outlineLevel="0" collapsed="false">
      <c r="A337" s="120" t="n">
        <f aca="false">A336+1</f>
        <v>37223</v>
      </c>
      <c r="B337" s="131" t="str">
        <f aca="false">INDEX('Master Data'!$A$2:$B$8,MATCH(WEEKDAY(ELETROBOLT!A337,3),'Master Data'!$A$2:$A$8,0),2)</f>
        <v>W</v>
      </c>
      <c r="D337" s="124" t="n">
        <v>0</v>
      </c>
      <c r="E337" s="124" t="n">
        <v>0</v>
      </c>
      <c r="F337" s="124" t="n">
        <v>0</v>
      </c>
      <c r="G337" s="124" t="n">
        <v>0</v>
      </c>
      <c r="I337" s="124" t="n">
        <f aca="false">IF(MONTH($A337)=MONTH($A336),IF(G337=0,I336,G337),G337)</f>
        <v>0</v>
      </c>
      <c r="J337" s="124" t="n">
        <f aca="false">IF(MONTH($A337)=MONTH($A336),SUM(I337-I336),I337)</f>
        <v>0</v>
      </c>
      <c r="K337" s="124" t="n">
        <f aca="false">IF(WEEKDAY(A337,3)&gt;4,0,(IF(A337&lt;K$2,0,IF(A337&lt;=K$3,1,0))))</f>
        <v>0</v>
      </c>
      <c r="L337" s="124" t="n">
        <f aca="false">J337*K337</f>
        <v>0</v>
      </c>
      <c r="M337" s="124" t="n">
        <f aca="false">SUM(J$280:J337)</f>
        <v>0</v>
      </c>
      <c r="N337" s="124" t="n">
        <f aca="false">SUM(J$6:J337)</f>
        <v>0</v>
      </c>
      <c r="P337" s="124" t="n">
        <f aca="false">D337/P$3</f>
        <v>0</v>
      </c>
      <c r="Q337" s="124" t="n">
        <f aca="false">E337/P$3</f>
        <v>0</v>
      </c>
      <c r="R337" s="124" t="n">
        <f aca="false">F337/R$3</f>
        <v>0</v>
      </c>
      <c r="S337" s="126" t="n">
        <f aca="false">J337/$R$3</f>
        <v>0</v>
      </c>
      <c r="T337" s="126" t="n">
        <f aca="false">L337/$R$3</f>
        <v>0</v>
      </c>
      <c r="U337" s="126" t="n">
        <f aca="false">I337/$R$3</f>
        <v>0</v>
      </c>
      <c r="V337" s="126" t="n">
        <f aca="false">M337/$R$3</f>
        <v>0</v>
      </c>
      <c r="W337" s="126" t="n">
        <f aca="false">N337/$R$3</f>
        <v>0</v>
      </c>
    </row>
    <row r="338" customFormat="false" ht="12.75" hidden="false" customHeight="false" outlineLevel="0" collapsed="false">
      <c r="A338" s="120" t="n">
        <f aca="false">A337+1</f>
        <v>37224</v>
      </c>
      <c r="B338" s="131" t="str">
        <f aca="false">INDEX('Master Data'!$A$2:$B$8,MATCH(WEEKDAY(ELETROBOLT!A338,3),'Master Data'!$A$2:$A$8,0),2)</f>
        <v>Th</v>
      </c>
      <c r="D338" s="124" t="n">
        <v>0</v>
      </c>
      <c r="E338" s="124" t="n">
        <v>0</v>
      </c>
      <c r="F338" s="124" t="n">
        <v>0</v>
      </c>
      <c r="G338" s="124" t="n">
        <v>0</v>
      </c>
      <c r="I338" s="124" t="n">
        <f aca="false">IF(MONTH($A338)=MONTH($A337),IF(G338=0,I337,G338),G338)</f>
        <v>0</v>
      </c>
      <c r="J338" s="124" t="n">
        <f aca="false">IF(MONTH($A338)=MONTH($A337),SUM(I338-I337),I338)</f>
        <v>0</v>
      </c>
      <c r="K338" s="124" t="n">
        <f aca="false">IF(WEEKDAY(A338,3)&gt;4,0,(IF(A338&lt;K$2,0,IF(A338&lt;=K$3,1,0))))</f>
        <v>0</v>
      </c>
      <c r="L338" s="124" t="n">
        <f aca="false">J338*K338</f>
        <v>0</v>
      </c>
      <c r="M338" s="124" t="n">
        <f aca="false">SUM(J$280:J338)</f>
        <v>0</v>
      </c>
      <c r="N338" s="124" t="n">
        <f aca="false">SUM(J$6:J338)</f>
        <v>0</v>
      </c>
      <c r="P338" s="124" t="n">
        <f aca="false">D338/P$3</f>
        <v>0</v>
      </c>
      <c r="Q338" s="124" t="n">
        <f aca="false">E338/P$3</f>
        <v>0</v>
      </c>
      <c r="R338" s="124" t="n">
        <f aca="false">F338/R$3</f>
        <v>0</v>
      </c>
      <c r="S338" s="126" t="n">
        <f aca="false">J338/$R$3</f>
        <v>0</v>
      </c>
      <c r="T338" s="126" t="n">
        <f aca="false">L338/$R$3</f>
        <v>0</v>
      </c>
      <c r="U338" s="126" t="n">
        <f aca="false">I338/$R$3</f>
        <v>0</v>
      </c>
      <c r="V338" s="126" t="n">
        <f aca="false">M338/$R$3</f>
        <v>0</v>
      </c>
      <c r="W338" s="126" t="n">
        <f aca="false">N338/$R$3</f>
        <v>0</v>
      </c>
    </row>
    <row r="339" customFormat="false" ht="12.75" hidden="false" customHeight="false" outlineLevel="0" collapsed="false">
      <c r="A339" s="120" t="n">
        <f aca="false">A338+1</f>
        <v>37225</v>
      </c>
      <c r="B339" s="131" t="str">
        <f aca="false">INDEX('Master Data'!$A$2:$B$8,MATCH(WEEKDAY(ELETROBOLT!A339,3),'Master Data'!$A$2:$A$8,0),2)</f>
        <v>F</v>
      </c>
      <c r="D339" s="124" t="n">
        <v>0</v>
      </c>
      <c r="E339" s="124" t="n">
        <v>0</v>
      </c>
      <c r="F339" s="124" t="n">
        <v>0</v>
      </c>
      <c r="G339" s="124" t="n">
        <v>0</v>
      </c>
      <c r="I339" s="124" t="n">
        <f aca="false">IF(MONTH($A339)=MONTH($A338),IF(G339=0,I338,G339),G339)</f>
        <v>0</v>
      </c>
      <c r="J339" s="124" t="n">
        <f aca="false">IF(MONTH($A339)=MONTH($A338),SUM(I339-I338),I339)</f>
        <v>0</v>
      </c>
      <c r="K339" s="124" t="n">
        <f aca="false">IF(WEEKDAY(A339,3)&gt;4,0,(IF(A339&lt;K$2,0,IF(A339&lt;=K$3,1,0))))</f>
        <v>0</v>
      </c>
      <c r="L339" s="124" t="n">
        <f aca="false">J339*K339</f>
        <v>0</v>
      </c>
      <c r="M339" s="124" t="n">
        <f aca="false">SUM(J$280:J339)</f>
        <v>0</v>
      </c>
      <c r="N339" s="124" t="n">
        <f aca="false">SUM(J$6:J339)</f>
        <v>0</v>
      </c>
      <c r="P339" s="124" t="n">
        <f aca="false">D339/P$3</f>
        <v>0</v>
      </c>
      <c r="Q339" s="124" t="n">
        <f aca="false">E339/P$3</f>
        <v>0</v>
      </c>
      <c r="R339" s="124" t="n">
        <f aca="false">F339/R$3</f>
        <v>0</v>
      </c>
      <c r="S339" s="126" t="n">
        <f aca="false">J339/$R$3</f>
        <v>0</v>
      </c>
      <c r="T339" s="126" t="n">
        <f aca="false">L339/$R$3</f>
        <v>0</v>
      </c>
      <c r="U339" s="126" t="n">
        <f aca="false">I339/$R$3</f>
        <v>0</v>
      </c>
      <c r="V339" s="126" t="n">
        <f aca="false">M339/$R$3</f>
        <v>0</v>
      </c>
      <c r="W339" s="126" t="n">
        <f aca="false">N339/$R$3</f>
        <v>0</v>
      </c>
    </row>
    <row r="340" customFormat="false" ht="12.75" hidden="false" customHeight="false" outlineLevel="0" collapsed="false">
      <c r="A340" s="120" t="n">
        <f aca="false">A339+1</f>
        <v>37226</v>
      </c>
      <c r="B340" s="131" t="str">
        <f aca="false">INDEX('Master Data'!$A$2:$B$8,MATCH(WEEKDAY(ELETROBOLT!A340,3),'Master Data'!$A$2:$A$8,0),2)</f>
        <v>Sa</v>
      </c>
      <c r="D340" s="124" t="n">
        <v>0</v>
      </c>
      <c r="E340" s="124" t="n">
        <v>0</v>
      </c>
      <c r="F340" s="124" t="n">
        <v>0</v>
      </c>
      <c r="G340" s="124" t="n">
        <v>0</v>
      </c>
      <c r="I340" s="124" t="n">
        <f aca="false">IF(MONTH($A340)=MONTH($A339),IF(G340=0,I339,G340),G340)</f>
        <v>0</v>
      </c>
      <c r="J340" s="124" t="n">
        <f aca="false">IF(MONTH($A340)=MONTH($A339),SUM(I340-I339),I340)</f>
        <v>0</v>
      </c>
      <c r="K340" s="124" t="n">
        <f aca="false">IF(WEEKDAY(A340,3)&gt;4,0,(IF(A340&lt;K$2,0,IF(A340&lt;=K$3,1,0))))</f>
        <v>0</v>
      </c>
      <c r="L340" s="124" t="n">
        <f aca="false">J340*K340</f>
        <v>0</v>
      </c>
      <c r="M340" s="124" t="n">
        <f aca="false">SUM(J$280:J340)</f>
        <v>0</v>
      </c>
      <c r="N340" s="124" t="n">
        <f aca="false">SUM(J$6:J340)</f>
        <v>0</v>
      </c>
      <c r="P340" s="124" t="n">
        <f aca="false">D340/P$3</f>
        <v>0</v>
      </c>
      <c r="Q340" s="124" t="n">
        <f aca="false">E340/P$3</f>
        <v>0</v>
      </c>
      <c r="R340" s="124" t="n">
        <f aca="false">F340/R$3</f>
        <v>0</v>
      </c>
      <c r="S340" s="126" t="n">
        <f aca="false">J340/$R$3</f>
        <v>0</v>
      </c>
      <c r="T340" s="126" t="n">
        <f aca="false">L340/$R$3</f>
        <v>0</v>
      </c>
      <c r="U340" s="126" t="n">
        <f aca="false">I340/$R$3</f>
        <v>0</v>
      </c>
      <c r="V340" s="126" t="n">
        <f aca="false">M340/$R$3</f>
        <v>0</v>
      </c>
      <c r="W340" s="126" t="n">
        <f aca="false">N340/$R$3</f>
        <v>0</v>
      </c>
    </row>
    <row r="341" customFormat="false" ht="12.75" hidden="false" customHeight="false" outlineLevel="0" collapsed="false">
      <c r="A341" s="120" t="n">
        <f aca="false">A340+1</f>
        <v>37227</v>
      </c>
      <c r="B341" s="131" t="str">
        <f aca="false">INDEX('Master Data'!$A$2:$B$8,MATCH(WEEKDAY(ELETROBOLT!A341,3),'Master Data'!$A$2:$A$8,0),2)</f>
        <v>Su</v>
      </c>
      <c r="D341" s="124" t="n">
        <v>0</v>
      </c>
      <c r="E341" s="124" t="n">
        <v>0</v>
      </c>
      <c r="F341" s="124" t="n">
        <v>0</v>
      </c>
      <c r="G341" s="124" t="n">
        <v>0</v>
      </c>
      <c r="I341" s="124" t="n">
        <f aca="false">IF(MONTH($A341)=MONTH($A340),IF(G341=0,I340,G341),G341)</f>
        <v>0</v>
      </c>
      <c r="J341" s="124" t="n">
        <f aca="false">IF(MONTH($A341)=MONTH($A340),SUM(I341-I340),I341)</f>
        <v>0</v>
      </c>
      <c r="K341" s="124" t="n">
        <f aca="false">IF(WEEKDAY(A341,3)&gt;4,0,(IF(A341&lt;K$2,0,IF(A341&lt;=K$3,1,0))))</f>
        <v>0</v>
      </c>
      <c r="L341" s="124" t="n">
        <f aca="false">J341*K341</f>
        <v>0</v>
      </c>
      <c r="M341" s="124" t="n">
        <f aca="false">SUM(J$280:J341)</f>
        <v>0</v>
      </c>
      <c r="N341" s="124" t="n">
        <f aca="false">SUM(J$6:J341)</f>
        <v>0</v>
      </c>
      <c r="P341" s="124" t="n">
        <f aca="false">D341/P$3</f>
        <v>0</v>
      </c>
      <c r="Q341" s="124" t="n">
        <f aca="false">E341/P$3</f>
        <v>0</v>
      </c>
      <c r="R341" s="124" t="n">
        <f aca="false">F341/R$3</f>
        <v>0</v>
      </c>
      <c r="S341" s="126" t="n">
        <f aca="false">J341/$R$3</f>
        <v>0</v>
      </c>
      <c r="T341" s="126" t="n">
        <f aca="false">L341/$R$3</f>
        <v>0</v>
      </c>
      <c r="U341" s="126" t="n">
        <f aca="false">I341/$R$3</f>
        <v>0</v>
      </c>
      <c r="V341" s="126" t="n">
        <f aca="false">M341/$R$3</f>
        <v>0</v>
      </c>
      <c r="W341" s="126" t="n">
        <f aca="false">N341/$R$3</f>
        <v>0</v>
      </c>
    </row>
    <row r="342" customFormat="false" ht="12.75" hidden="false" customHeight="false" outlineLevel="0" collapsed="false">
      <c r="A342" s="120" t="n">
        <f aca="false">A341+1</f>
        <v>37228</v>
      </c>
      <c r="B342" s="131" t="str">
        <f aca="false">INDEX('Master Data'!$A$2:$B$8,MATCH(WEEKDAY(ELETROBOLT!A342,3),'Master Data'!$A$2:$A$8,0),2)</f>
        <v>M</v>
      </c>
      <c r="D342" s="124" t="n">
        <v>0</v>
      </c>
      <c r="E342" s="124" t="n">
        <v>0</v>
      </c>
      <c r="F342" s="124" t="n">
        <v>0</v>
      </c>
      <c r="G342" s="124" t="n">
        <v>0</v>
      </c>
      <c r="I342" s="124" t="n">
        <f aca="false">IF(MONTH($A342)=MONTH($A341),IF(G342=0,I341,G342),G342)</f>
        <v>0</v>
      </c>
      <c r="J342" s="124" t="n">
        <f aca="false">IF(MONTH($A342)=MONTH($A341),SUM(I342-I341),I342)</f>
        <v>0</v>
      </c>
      <c r="K342" s="124" t="n">
        <f aca="false">IF(WEEKDAY(A342,3)&gt;4,0,(IF(A342&lt;K$2,0,IF(A342&lt;=K$3,1,0))))</f>
        <v>0</v>
      </c>
      <c r="L342" s="124" t="n">
        <f aca="false">J342*K342</f>
        <v>0</v>
      </c>
      <c r="M342" s="124" t="n">
        <f aca="false">SUM(J$280:J342)</f>
        <v>0</v>
      </c>
      <c r="N342" s="124" t="n">
        <f aca="false">SUM(J$6:J342)</f>
        <v>0</v>
      </c>
      <c r="P342" s="124" t="n">
        <f aca="false">D342/P$3</f>
        <v>0</v>
      </c>
      <c r="Q342" s="124" t="n">
        <f aca="false">E342/P$3</f>
        <v>0</v>
      </c>
      <c r="R342" s="124" t="n">
        <f aca="false">F342/R$3</f>
        <v>0</v>
      </c>
      <c r="S342" s="126" t="n">
        <f aca="false">J342/$R$3</f>
        <v>0</v>
      </c>
      <c r="T342" s="126" t="n">
        <f aca="false">L342/$R$3</f>
        <v>0</v>
      </c>
      <c r="U342" s="126" t="n">
        <f aca="false">I342/$R$3</f>
        <v>0</v>
      </c>
      <c r="V342" s="126" t="n">
        <f aca="false">M342/$R$3</f>
        <v>0</v>
      </c>
      <c r="W342" s="126" t="n">
        <f aca="false">N342/$R$3</f>
        <v>0</v>
      </c>
    </row>
    <row r="343" customFormat="false" ht="12.75" hidden="false" customHeight="false" outlineLevel="0" collapsed="false">
      <c r="A343" s="120" t="n">
        <f aca="false">A342+1</f>
        <v>37229</v>
      </c>
      <c r="B343" s="131" t="str">
        <f aca="false">INDEX('Master Data'!$A$2:$B$8,MATCH(WEEKDAY(ELETROBOLT!A343,3),'Master Data'!$A$2:$A$8,0),2)</f>
        <v>T</v>
      </c>
      <c r="D343" s="124" t="n">
        <v>0</v>
      </c>
      <c r="E343" s="124" t="n">
        <v>0</v>
      </c>
      <c r="F343" s="124" t="n">
        <v>0</v>
      </c>
      <c r="G343" s="124" t="n">
        <v>0</v>
      </c>
      <c r="I343" s="124" t="n">
        <f aca="false">IF(MONTH($A343)=MONTH($A342),IF(G343=0,I342,G343),G343)</f>
        <v>0</v>
      </c>
      <c r="J343" s="124" t="n">
        <f aca="false">IF(MONTH($A343)=MONTH($A342),SUM(I343-I342),I343)</f>
        <v>0</v>
      </c>
      <c r="K343" s="124" t="n">
        <f aca="false">IF(WEEKDAY(A343,3)&gt;4,0,(IF(A343&lt;K$2,0,IF(A343&lt;=K$3,1,0))))</f>
        <v>0</v>
      </c>
      <c r="L343" s="124" t="n">
        <f aca="false">J343*K343</f>
        <v>0</v>
      </c>
      <c r="M343" s="124" t="n">
        <f aca="false">SUM(J$280:J343)</f>
        <v>0</v>
      </c>
      <c r="N343" s="124" t="n">
        <f aca="false">SUM(J$6:J343)</f>
        <v>0</v>
      </c>
      <c r="P343" s="124" t="n">
        <f aca="false">D343/P$3</f>
        <v>0</v>
      </c>
      <c r="Q343" s="124" t="n">
        <f aca="false">E343/P$3</f>
        <v>0</v>
      </c>
      <c r="R343" s="124" t="n">
        <f aca="false">F343/R$3</f>
        <v>0</v>
      </c>
      <c r="S343" s="126" t="n">
        <f aca="false">J343/$R$3</f>
        <v>0</v>
      </c>
      <c r="T343" s="126" t="n">
        <f aca="false">L343/$R$3</f>
        <v>0</v>
      </c>
      <c r="U343" s="126" t="n">
        <f aca="false">I343/$R$3</f>
        <v>0</v>
      </c>
      <c r="V343" s="126" t="n">
        <f aca="false">M343/$R$3</f>
        <v>0</v>
      </c>
      <c r="W343" s="126" t="n">
        <f aca="false">N343/$R$3</f>
        <v>0</v>
      </c>
    </row>
    <row r="344" customFormat="false" ht="12.75" hidden="false" customHeight="false" outlineLevel="0" collapsed="false">
      <c r="A344" s="120" t="n">
        <f aca="false">A343+1</f>
        <v>37230</v>
      </c>
      <c r="B344" s="131" t="str">
        <f aca="false">INDEX('Master Data'!$A$2:$B$8,MATCH(WEEKDAY(ELETROBOLT!A344,3),'Master Data'!$A$2:$A$8,0),2)</f>
        <v>W</v>
      </c>
      <c r="D344" s="124" t="n">
        <v>0</v>
      </c>
      <c r="E344" s="124" t="n">
        <v>0</v>
      </c>
      <c r="F344" s="124" t="n">
        <v>0</v>
      </c>
      <c r="G344" s="124" t="n">
        <v>0</v>
      </c>
      <c r="I344" s="124" t="n">
        <f aca="false">IF(MONTH($A344)=MONTH($A343),IF(G344=0,I343,G344),G344)</f>
        <v>0</v>
      </c>
      <c r="J344" s="124" t="n">
        <f aca="false">IF(MONTH($A344)=MONTH($A343),SUM(I344-I343),I344)</f>
        <v>0</v>
      </c>
      <c r="K344" s="124" t="n">
        <f aca="false">IF(WEEKDAY(A344,3)&gt;4,0,(IF(A344&lt;K$2,0,IF(A344&lt;=K$3,1,0))))</f>
        <v>0</v>
      </c>
      <c r="L344" s="124" t="n">
        <f aca="false">J344*K344</f>
        <v>0</v>
      </c>
      <c r="M344" s="124" t="n">
        <f aca="false">SUM(J$280:J344)</f>
        <v>0</v>
      </c>
      <c r="N344" s="124" t="n">
        <f aca="false">SUM(J$6:J344)</f>
        <v>0</v>
      </c>
      <c r="P344" s="124" t="n">
        <f aca="false">D344/P$3</f>
        <v>0</v>
      </c>
      <c r="Q344" s="124" t="n">
        <f aca="false">E344/P$3</f>
        <v>0</v>
      </c>
      <c r="R344" s="124" t="n">
        <f aca="false">F344/R$3</f>
        <v>0</v>
      </c>
      <c r="S344" s="126" t="n">
        <f aca="false">J344/$R$3</f>
        <v>0</v>
      </c>
      <c r="T344" s="126" t="n">
        <f aca="false">L344/$R$3</f>
        <v>0</v>
      </c>
      <c r="U344" s="126" t="n">
        <f aca="false">I344/$R$3</f>
        <v>0</v>
      </c>
      <c r="V344" s="126" t="n">
        <f aca="false">M344/$R$3</f>
        <v>0</v>
      </c>
      <c r="W344" s="126" t="n">
        <f aca="false">N344/$R$3</f>
        <v>0</v>
      </c>
    </row>
    <row r="345" customFormat="false" ht="12.75" hidden="false" customHeight="false" outlineLevel="0" collapsed="false">
      <c r="A345" s="120" t="n">
        <f aca="false">A344+1</f>
        <v>37231</v>
      </c>
      <c r="B345" s="131" t="str">
        <f aca="false">INDEX('Master Data'!$A$2:$B$8,MATCH(WEEKDAY(ELETROBOLT!A345,3),'Master Data'!$A$2:$A$8,0),2)</f>
        <v>Th</v>
      </c>
      <c r="D345" s="124" t="n">
        <v>0</v>
      </c>
      <c r="E345" s="124" t="n">
        <v>0</v>
      </c>
      <c r="F345" s="124" t="n">
        <v>0</v>
      </c>
      <c r="G345" s="124" t="n">
        <v>0</v>
      </c>
      <c r="I345" s="124" t="n">
        <f aca="false">IF(MONTH($A345)=MONTH($A344),IF(G345=0,I344,G345),G345)</f>
        <v>0</v>
      </c>
      <c r="J345" s="124" t="n">
        <f aca="false">IF(MONTH($A345)=MONTH($A344),SUM(I345-I344),I345)</f>
        <v>0</v>
      </c>
      <c r="K345" s="124" t="n">
        <f aca="false">IF(WEEKDAY(A345,3)&gt;4,0,(IF(A345&lt;K$2,0,IF(A345&lt;=K$3,1,0))))</f>
        <v>0</v>
      </c>
      <c r="L345" s="124" t="n">
        <f aca="false">J345*K345</f>
        <v>0</v>
      </c>
      <c r="M345" s="124" t="n">
        <f aca="false">SUM(J$280:J345)</f>
        <v>0</v>
      </c>
      <c r="N345" s="124" t="n">
        <f aca="false">SUM(J$6:J345)</f>
        <v>0</v>
      </c>
      <c r="P345" s="124" t="n">
        <f aca="false">D345/P$3</f>
        <v>0</v>
      </c>
      <c r="Q345" s="124" t="n">
        <f aca="false">E345/P$3</f>
        <v>0</v>
      </c>
      <c r="R345" s="124" t="n">
        <f aca="false">F345/R$3</f>
        <v>0</v>
      </c>
      <c r="S345" s="126" t="n">
        <f aca="false">J345/$R$3</f>
        <v>0</v>
      </c>
      <c r="T345" s="126" t="n">
        <f aca="false">L345/$R$3</f>
        <v>0</v>
      </c>
      <c r="U345" s="126" t="n">
        <f aca="false">I345/$R$3</f>
        <v>0</v>
      </c>
      <c r="V345" s="126" t="n">
        <f aca="false">M345/$R$3</f>
        <v>0</v>
      </c>
      <c r="W345" s="126" t="n">
        <f aca="false">N345/$R$3</f>
        <v>0</v>
      </c>
    </row>
    <row r="346" customFormat="false" ht="12.75" hidden="false" customHeight="false" outlineLevel="0" collapsed="false">
      <c r="A346" s="120" t="n">
        <f aca="false">A345+1</f>
        <v>37232</v>
      </c>
      <c r="B346" s="131" t="str">
        <f aca="false">INDEX('Master Data'!$A$2:$B$8,MATCH(WEEKDAY(ELETROBOLT!A346,3),'Master Data'!$A$2:$A$8,0),2)</f>
        <v>F</v>
      </c>
      <c r="D346" s="124" t="n">
        <v>0</v>
      </c>
      <c r="E346" s="124" t="n">
        <v>0</v>
      </c>
      <c r="F346" s="124" t="n">
        <v>0</v>
      </c>
      <c r="G346" s="124" t="n">
        <v>0</v>
      </c>
      <c r="I346" s="124" t="n">
        <f aca="false">IF(MONTH($A346)=MONTH($A345),IF(G346=0,I345,G346),G346)</f>
        <v>0</v>
      </c>
      <c r="J346" s="124" t="n">
        <f aca="false">IF(MONTH($A346)=MONTH($A345),SUM(I346-I345),I346)</f>
        <v>0</v>
      </c>
      <c r="K346" s="124" t="n">
        <f aca="false">IF(WEEKDAY(A346,3)&gt;4,0,(IF(A346&lt;K$2,0,IF(A346&lt;=K$3,1,0))))</f>
        <v>0</v>
      </c>
      <c r="L346" s="124" t="n">
        <f aca="false">J346*K346</f>
        <v>0</v>
      </c>
      <c r="M346" s="124" t="n">
        <f aca="false">SUM(J$280:J346)</f>
        <v>0</v>
      </c>
      <c r="N346" s="124" t="n">
        <f aca="false">SUM(J$6:J346)</f>
        <v>0</v>
      </c>
      <c r="P346" s="124" t="n">
        <f aca="false">D346/P$3</f>
        <v>0</v>
      </c>
      <c r="Q346" s="124" t="n">
        <f aca="false">E346/P$3</f>
        <v>0</v>
      </c>
      <c r="R346" s="124" t="n">
        <f aca="false">F346/R$3</f>
        <v>0</v>
      </c>
      <c r="S346" s="126" t="n">
        <f aca="false">J346/$R$3</f>
        <v>0</v>
      </c>
      <c r="T346" s="126" t="n">
        <f aca="false">L346/$R$3</f>
        <v>0</v>
      </c>
      <c r="U346" s="126" t="n">
        <f aca="false">I346/$R$3</f>
        <v>0</v>
      </c>
      <c r="V346" s="126" t="n">
        <f aca="false">M346/$R$3</f>
        <v>0</v>
      </c>
      <c r="W346" s="126" t="n">
        <f aca="false">N346/$R$3</f>
        <v>0</v>
      </c>
    </row>
    <row r="347" customFormat="false" ht="12.75" hidden="false" customHeight="false" outlineLevel="0" collapsed="false">
      <c r="A347" s="120" t="n">
        <f aca="false">A346+1</f>
        <v>37233</v>
      </c>
      <c r="B347" s="131" t="str">
        <f aca="false">INDEX('Master Data'!$A$2:$B$8,MATCH(WEEKDAY(ELETROBOLT!A347,3),'Master Data'!$A$2:$A$8,0),2)</f>
        <v>Sa</v>
      </c>
      <c r="D347" s="124" t="n">
        <v>0</v>
      </c>
      <c r="E347" s="124" t="n">
        <v>0</v>
      </c>
      <c r="F347" s="124" t="n">
        <v>0</v>
      </c>
      <c r="G347" s="124" t="n">
        <v>0</v>
      </c>
      <c r="I347" s="124" t="n">
        <f aca="false">IF(MONTH($A347)=MONTH($A346),IF(G347=0,I346,G347),G347)</f>
        <v>0</v>
      </c>
      <c r="J347" s="124" t="n">
        <f aca="false">IF(MONTH($A347)=MONTH($A346),SUM(I347-I346),I347)</f>
        <v>0</v>
      </c>
      <c r="K347" s="124" t="n">
        <f aca="false">IF(WEEKDAY(A347,3)&gt;4,0,(IF(A347&lt;K$2,0,IF(A347&lt;=K$3,1,0))))</f>
        <v>0</v>
      </c>
      <c r="L347" s="124" t="n">
        <f aca="false">J347*K347</f>
        <v>0</v>
      </c>
      <c r="M347" s="124" t="n">
        <f aca="false">SUM(J$280:J347)</f>
        <v>0</v>
      </c>
      <c r="N347" s="124" t="n">
        <f aca="false">SUM(J$6:J347)</f>
        <v>0</v>
      </c>
      <c r="P347" s="124" t="n">
        <f aca="false">D347/P$3</f>
        <v>0</v>
      </c>
      <c r="Q347" s="124" t="n">
        <f aca="false">E347/P$3</f>
        <v>0</v>
      </c>
      <c r="R347" s="124" t="n">
        <f aca="false">F347/R$3</f>
        <v>0</v>
      </c>
      <c r="S347" s="126" t="n">
        <f aca="false">J347/$R$3</f>
        <v>0</v>
      </c>
      <c r="T347" s="126" t="n">
        <f aca="false">L347/$R$3</f>
        <v>0</v>
      </c>
      <c r="U347" s="126" t="n">
        <f aca="false">I347/$R$3</f>
        <v>0</v>
      </c>
      <c r="V347" s="126" t="n">
        <f aca="false">M347/$R$3</f>
        <v>0</v>
      </c>
      <c r="W347" s="126" t="n">
        <f aca="false">N347/$R$3</f>
        <v>0</v>
      </c>
    </row>
    <row r="348" customFormat="false" ht="12.75" hidden="false" customHeight="false" outlineLevel="0" collapsed="false">
      <c r="A348" s="120" t="n">
        <f aca="false">A347+1</f>
        <v>37234</v>
      </c>
      <c r="B348" s="131" t="str">
        <f aca="false">INDEX('Master Data'!$A$2:$B$8,MATCH(WEEKDAY(ELETROBOLT!A348,3),'Master Data'!$A$2:$A$8,0),2)</f>
        <v>Su</v>
      </c>
      <c r="D348" s="124" t="n">
        <v>0</v>
      </c>
      <c r="E348" s="124" t="n">
        <v>0</v>
      </c>
      <c r="F348" s="124" t="n">
        <v>0</v>
      </c>
      <c r="G348" s="124" t="n">
        <v>0</v>
      </c>
      <c r="I348" s="124" t="n">
        <f aca="false">IF(MONTH($A348)=MONTH($A347),IF(G348=0,I347,G348),G348)</f>
        <v>0</v>
      </c>
      <c r="J348" s="124" t="n">
        <f aca="false">IF(MONTH($A348)=MONTH($A347),SUM(I348-I347),I348)</f>
        <v>0</v>
      </c>
      <c r="K348" s="124" t="n">
        <f aca="false">IF(WEEKDAY(A348,3)&gt;4,0,(IF(A348&lt;K$2,0,IF(A348&lt;=K$3,1,0))))</f>
        <v>0</v>
      </c>
      <c r="L348" s="124" t="n">
        <f aca="false">J348*K348</f>
        <v>0</v>
      </c>
      <c r="M348" s="124" t="n">
        <f aca="false">SUM(J$280:J348)</f>
        <v>0</v>
      </c>
      <c r="N348" s="124" t="n">
        <f aca="false">SUM(J$6:J348)</f>
        <v>0</v>
      </c>
      <c r="P348" s="124" t="n">
        <f aca="false">D348/P$3</f>
        <v>0</v>
      </c>
      <c r="Q348" s="124" t="n">
        <f aca="false">E348/P$3</f>
        <v>0</v>
      </c>
      <c r="R348" s="124" t="n">
        <f aca="false">F348/R$3</f>
        <v>0</v>
      </c>
      <c r="S348" s="126" t="n">
        <f aca="false">J348/$R$3</f>
        <v>0</v>
      </c>
      <c r="T348" s="126" t="n">
        <f aca="false">L348/$R$3</f>
        <v>0</v>
      </c>
      <c r="U348" s="126" t="n">
        <f aca="false">I348/$R$3</f>
        <v>0</v>
      </c>
      <c r="V348" s="126" t="n">
        <f aca="false">M348/$R$3</f>
        <v>0</v>
      </c>
      <c r="W348" s="126" t="n">
        <f aca="false">N348/$R$3</f>
        <v>0</v>
      </c>
    </row>
    <row r="349" customFormat="false" ht="12.75" hidden="false" customHeight="false" outlineLevel="0" collapsed="false">
      <c r="A349" s="120" t="n">
        <f aca="false">A348+1</f>
        <v>37235</v>
      </c>
      <c r="B349" s="131" t="str">
        <f aca="false">INDEX('Master Data'!$A$2:$B$8,MATCH(WEEKDAY(ELETROBOLT!A349,3),'Master Data'!$A$2:$A$8,0),2)</f>
        <v>M</v>
      </c>
      <c r="D349" s="124" t="n">
        <v>0</v>
      </c>
      <c r="E349" s="124" t="n">
        <v>0</v>
      </c>
      <c r="F349" s="124" t="n">
        <v>0</v>
      </c>
      <c r="G349" s="124" t="n">
        <v>0</v>
      </c>
      <c r="I349" s="124" t="n">
        <f aca="false">IF(MONTH($A349)=MONTH($A348),IF(G349=0,I348,G349),G349)</f>
        <v>0</v>
      </c>
      <c r="J349" s="124" t="n">
        <f aca="false">IF(MONTH($A349)=MONTH($A348),SUM(I349-I348),I349)</f>
        <v>0</v>
      </c>
      <c r="K349" s="124" t="n">
        <f aca="false">IF(WEEKDAY(A349,3)&gt;4,0,(IF(A349&lt;K$2,0,IF(A349&lt;=K$3,1,0))))</f>
        <v>0</v>
      </c>
      <c r="L349" s="124" t="n">
        <f aca="false">J349*K349</f>
        <v>0</v>
      </c>
      <c r="M349" s="124" t="n">
        <f aca="false">SUM(J$280:J349)</f>
        <v>0</v>
      </c>
      <c r="N349" s="124" t="n">
        <f aca="false">SUM(J$6:J349)</f>
        <v>0</v>
      </c>
      <c r="P349" s="124" t="n">
        <f aca="false">D349/P$3</f>
        <v>0</v>
      </c>
      <c r="Q349" s="124" t="n">
        <f aca="false">E349/P$3</f>
        <v>0</v>
      </c>
      <c r="R349" s="124" t="n">
        <f aca="false">F349/R$3</f>
        <v>0</v>
      </c>
      <c r="S349" s="126" t="n">
        <f aca="false">J349/$R$3</f>
        <v>0</v>
      </c>
      <c r="T349" s="126" t="n">
        <f aca="false">L349/$R$3</f>
        <v>0</v>
      </c>
      <c r="U349" s="126" t="n">
        <f aca="false">I349/$R$3</f>
        <v>0</v>
      </c>
      <c r="V349" s="126" t="n">
        <f aca="false">M349/$R$3</f>
        <v>0</v>
      </c>
      <c r="W349" s="126" t="n">
        <f aca="false">N349/$R$3</f>
        <v>0</v>
      </c>
    </row>
    <row r="350" customFormat="false" ht="12.75" hidden="false" customHeight="false" outlineLevel="0" collapsed="false">
      <c r="A350" s="120" t="n">
        <f aca="false">A349+1</f>
        <v>37236</v>
      </c>
      <c r="B350" s="131" t="str">
        <f aca="false">INDEX('Master Data'!$A$2:$B$8,MATCH(WEEKDAY(ELETROBOLT!A350,3),'Master Data'!$A$2:$A$8,0),2)</f>
        <v>T</v>
      </c>
      <c r="D350" s="124" t="n">
        <v>0</v>
      </c>
      <c r="E350" s="124" t="n">
        <v>0</v>
      </c>
      <c r="F350" s="124" t="n">
        <v>0</v>
      </c>
      <c r="G350" s="124" t="n">
        <v>0</v>
      </c>
      <c r="I350" s="124" t="n">
        <f aca="false">IF(MONTH($A350)=MONTH($A349),IF(G350=0,I349,G350),G350)</f>
        <v>0</v>
      </c>
      <c r="J350" s="124" t="n">
        <f aca="false">IF(MONTH($A350)=MONTH($A349),SUM(I350-I349),I350)</f>
        <v>0</v>
      </c>
      <c r="K350" s="124" t="n">
        <f aca="false">IF(WEEKDAY(A350,3)&gt;4,0,(IF(A350&lt;K$2,0,IF(A350&lt;=K$3,1,0))))</f>
        <v>0</v>
      </c>
      <c r="L350" s="124" t="n">
        <f aca="false">J350*K350</f>
        <v>0</v>
      </c>
      <c r="M350" s="124" t="n">
        <f aca="false">SUM(J$280:J350)</f>
        <v>0</v>
      </c>
      <c r="N350" s="124" t="n">
        <f aca="false">SUM(J$6:J350)</f>
        <v>0</v>
      </c>
      <c r="P350" s="124" t="n">
        <f aca="false">D350/P$3</f>
        <v>0</v>
      </c>
      <c r="Q350" s="124" t="n">
        <f aca="false">E350/P$3</f>
        <v>0</v>
      </c>
      <c r="R350" s="124" t="n">
        <f aca="false">F350/R$3</f>
        <v>0</v>
      </c>
      <c r="S350" s="126" t="n">
        <f aca="false">J350/$R$3</f>
        <v>0</v>
      </c>
      <c r="T350" s="126" t="n">
        <f aca="false">L350/$R$3</f>
        <v>0</v>
      </c>
      <c r="U350" s="126" t="n">
        <f aca="false">I350/$R$3</f>
        <v>0</v>
      </c>
      <c r="V350" s="126" t="n">
        <f aca="false">M350/$R$3</f>
        <v>0</v>
      </c>
      <c r="W350" s="126" t="n">
        <f aca="false">N350/$R$3</f>
        <v>0</v>
      </c>
    </row>
    <row r="351" customFormat="false" ht="12.75" hidden="false" customHeight="false" outlineLevel="0" collapsed="false">
      <c r="A351" s="120" t="n">
        <f aca="false">A350+1</f>
        <v>37237</v>
      </c>
      <c r="B351" s="131" t="str">
        <f aca="false">INDEX('Master Data'!$A$2:$B$8,MATCH(WEEKDAY(ELETROBOLT!A351,3),'Master Data'!$A$2:$A$8,0),2)</f>
        <v>W</v>
      </c>
      <c r="D351" s="124" t="n">
        <v>0</v>
      </c>
      <c r="E351" s="124" t="n">
        <v>0</v>
      </c>
      <c r="F351" s="124" t="n">
        <v>0</v>
      </c>
      <c r="G351" s="124" t="n">
        <v>0</v>
      </c>
      <c r="I351" s="124" t="n">
        <f aca="false">IF(MONTH($A351)=MONTH($A350),IF(G351=0,I350,G351),G351)</f>
        <v>0</v>
      </c>
      <c r="J351" s="124" t="n">
        <f aca="false">IF(MONTH($A351)=MONTH($A350),SUM(I351-I350),I351)</f>
        <v>0</v>
      </c>
      <c r="K351" s="124" t="n">
        <f aca="false">IF(WEEKDAY(A351,3)&gt;4,0,(IF(A351&lt;K$2,0,IF(A351&lt;=K$3,1,0))))</f>
        <v>0</v>
      </c>
      <c r="L351" s="124" t="n">
        <f aca="false">J351*K351</f>
        <v>0</v>
      </c>
      <c r="M351" s="124" t="n">
        <f aca="false">SUM(J$280:J351)</f>
        <v>0</v>
      </c>
      <c r="N351" s="124" t="n">
        <f aca="false">SUM(J$6:J351)</f>
        <v>0</v>
      </c>
      <c r="P351" s="124" t="n">
        <f aca="false">D351/P$3</f>
        <v>0</v>
      </c>
      <c r="Q351" s="124" t="n">
        <f aca="false">E351/P$3</f>
        <v>0</v>
      </c>
      <c r="R351" s="124" t="n">
        <f aca="false">F351/R$3</f>
        <v>0</v>
      </c>
      <c r="S351" s="126" t="n">
        <f aca="false">J351/$R$3</f>
        <v>0</v>
      </c>
      <c r="T351" s="126" t="n">
        <f aca="false">L351/$R$3</f>
        <v>0</v>
      </c>
      <c r="U351" s="126" t="n">
        <f aca="false">I351/$R$3</f>
        <v>0</v>
      </c>
      <c r="V351" s="126" t="n">
        <f aca="false">M351/$R$3</f>
        <v>0</v>
      </c>
      <c r="W351" s="126" t="n">
        <f aca="false">N351/$R$3</f>
        <v>0</v>
      </c>
    </row>
    <row r="352" customFormat="false" ht="12.75" hidden="false" customHeight="false" outlineLevel="0" collapsed="false">
      <c r="A352" s="120" t="n">
        <f aca="false">A351+1</f>
        <v>37238</v>
      </c>
      <c r="B352" s="131" t="str">
        <f aca="false">INDEX('Master Data'!$A$2:$B$8,MATCH(WEEKDAY(ELETROBOLT!A352,3),'Master Data'!$A$2:$A$8,0),2)</f>
        <v>Th</v>
      </c>
      <c r="D352" s="124" t="n">
        <v>0</v>
      </c>
      <c r="E352" s="124" t="n">
        <v>0</v>
      </c>
      <c r="F352" s="124" t="n">
        <v>0</v>
      </c>
      <c r="G352" s="124" t="n">
        <v>0</v>
      </c>
      <c r="I352" s="124" t="n">
        <f aca="false">IF(MONTH($A352)=MONTH($A351),IF(G352=0,I351,G352),G352)</f>
        <v>0</v>
      </c>
      <c r="J352" s="124" t="n">
        <f aca="false">IF(MONTH($A352)=MONTH($A351),SUM(I352-I351),I352)</f>
        <v>0</v>
      </c>
      <c r="K352" s="124" t="n">
        <f aca="false">IF(WEEKDAY(A352,3)&gt;4,0,(IF(A352&lt;K$2,0,IF(A352&lt;=K$3,1,0))))</f>
        <v>0</v>
      </c>
      <c r="L352" s="124" t="n">
        <f aca="false">J352*K352</f>
        <v>0</v>
      </c>
      <c r="M352" s="124" t="n">
        <f aca="false">SUM(J$280:J352)</f>
        <v>0</v>
      </c>
      <c r="N352" s="124" t="n">
        <f aca="false">SUM(J$6:J352)</f>
        <v>0</v>
      </c>
      <c r="P352" s="124" t="n">
        <f aca="false">D352/P$3</f>
        <v>0</v>
      </c>
      <c r="Q352" s="124" t="n">
        <f aca="false">E352/P$3</f>
        <v>0</v>
      </c>
      <c r="R352" s="124" t="n">
        <f aca="false">F352/R$3</f>
        <v>0</v>
      </c>
      <c r="S352" s="126" t="n">
        <f aca="false">J352/$R$3</f>
        <v>0</v>
      </c>
      <c r="T352" s="126" t="n">
        <f aca="false">L352/$R$3</f>
        <v>0</v>
      </c>
      <c r="U352" s="126" t="n">
        <f aca="false">I352/$R$3</f>
        <v>0</v>
      </c>
      <c r="V352" s="126" t="n">
        <f aca="false">M352/$R$3</f>
        <v>0</v>
      </c>
      <c r="W352" s="126" t="n">
        <f aca="false">N352/$R$3</f>
        <v>0</v>
      </c>
    </row>
    <row r="353" customFormat="false" ht="12.75" hidden="false" customHeight="false" outlineLevel="0" collapsed="false">
      <c r="A353" s="120" t="n">
        <f aca="false">A352+1</f>
        <v>37239</v>
      </c>
      <c r="B353" s="131" t="str">
        <f aca="false">INDEX('Master Data'!$A$2:$B$8,MATCH(WEEKDAY(ELETROBOLT!A353,3),'Master Data'!$A$2:$A$8,0),2)</f>
        <v>F</v>
      </c>
      <c r="D353" s="124" t="n">
        <v>0</v>
      </c>
      <c r="E353" s="124" t="n">
        <v>0</v>
      </c>
      <c r="F353" s="124" t="n">
        <v>0</v>
      </c>
      <c r="G353" s="124" t="n">
        <v>0</v>
      </c>
      <c r="I353" s="124" t="n">
        <f aca="false">IF(MONTH($A353)=MONTH($A352),IF(G353=0,I352,G353),G353)</f>
        <v>0</v>
      </c>
      <c r="J353" s="124" t="n">
        <f aca="false">IF(MONTH($A353)=MONTH($A352),SUM(I353-I352),I353)</f>
        <v>0</v>
      </c>
      <c r="K353" s="124" t="n">
        <f aca="false">IF(WEEKDAY(A353,3)&gt;4,0,(IF(A353&lt;K$2,0,IF(A353&lt;=K$3,1,0))))</f>
        <v>0</v>
      </c>
      <c r="L353" s="124" t="n">
        <f aca="false">J353*K353</f>
        <v>0</v>
      </c>
      <c r="M353" s="124" t="n">
        <f aca="false">SUM(J$280:J353)</f>
        <v>0</v>
      </c>
      <c r="N353" s="124" t="n">
        <f aca="false">SUM(J$6:J353)</f>
        <v>0</v>
      </c>
      <c r="P353" s="124" t="n">
        <f aca="false">D353/P$3</f>
        <v>0</v>
      </c>
      <c r="Q353" s="124" t="n">
        <f aca="false">E353/P$3</f>
        <v>0</v>
      </c>
      <c r="R353" s="124" t="n">
        <f aca="false">F353/R$3</f>
        <v>0</v>
      </c>
      <c r="S353" s="126" t="n">
        <f aca="false">J353/$R$3</f>
        <v>0</v>
      </c>
      <c r="T353" s="126" t="n">
        <f aca="false">L353/$R$3</f>
        <v>0</v>
      </c>
      <c r="U353" s="126" t="n">
        <f aca="false">I353/$R$3</f>
        <v>0</v>
      </c>
      <c r="V353" s="126" t="n">
        <f aca="false">M353/$R$3</f>
        <v>0</v>
      </c>
      <c r="W353" s="126" t="n">
        <f aca="false">N353/$R$3</f>
        <v>0</v>
      </c>
    </row>
    <row r="354" customFormat="false" ht="12.75" hidden="false" customHeight="false" outlineLevel="0" collapsed="false">
      <c r="A354" s="120" t="n">
        <f aca="false">A353+1</f>
        <v>37240</v>
      </c>
      <c r="B354" s="131" t="str">
        <f aca="false">INDEX('Master Data'!$A$2:$B$8,MATCH(WEEKDAY(ELETROBOLT!A354,3),'Master Data'!$A$2:$A$8,0),2)</f>
        <v>Sa</v>
      </c>
      <c r="D354" s="124" t="n">
        <v>0</v>
      </c>
      <c r="E354" s="124" t="n">
        <v>0</v>
      </c>
      <c r="F354" s="124" t="n">
        <v>0</v>
      </c>
      <c r="G354" s="124" t="n">
        <v>0</v>
      </c>
      <c r="I354" s="124" t="n">
        <f aca="false">IF(MONTH($A354)=MONTH($A353),IF(G354=0,I353,G354),G354)</f>
        <v>0</v>
      </c>
      <c r="J354" s="124" t="n">
        <f aca="false">IF(MONTH($A354)=MONTH($A353),SUM(I354-I353),I354)</f>
        <v>0</v>
      </c>
      <c r="K354" s="124" t="n">
        <f aca="false">IF(WEEKDAY(A354,3)&gt;4,0,(IF(A354&lt;K$2,0,IF(A354&lt;=K$3,1,0))))</f>
        <v>0</v>
      </c>
      <c r="L354" s="124" t="n">
        <f aca="false">J354*K354</f>
        <v>0</v>
      </c>
      <c r="M354" s="124" t="n">
        <f aca="false">SUM(J$280:J354)</f>
        <v>0</v>
      </c>
      <c r="N354" s="124" t="n">
        <f aca="false">SUM(J$6:J354)</f>
        <v>0</v>
      </c>
      <c r="P354" s="124" t="n">
        <f aca="false">D354/P$3</f>
        <v>0</v>
      </c>
      <c r="Q354" s="124" t="n">
        <f aca="false">E354/P$3</f>
        <v>0</v>
      </c>
      <c r="R354" s="124" t="n">
        <f aca="false">F354/R$3</f>
        <v>0</v>
      </c>
      <c r="S354" s="126" t="n">
        <f aca="false">J354/$R$3</f>
        <v>0</v>
      </c>
      <c r="T354" s="126" t="n">
        <f aca="false">L354/$R$3</f>
        <v>0</v>
      </c>
      <c r="U354" s="126" t="n">
        <f aca="false">I354/$R$3</f>
        <v>0</v>
      </c>
      <c r="V354" s="126" t="n">
        <f aca="false">M354/$R$3</f>
        <v>0</v>
      </c>
      <c r="W354" s="126" t="n">
        <f aca="false">N354/$R$3</f>
        <v>0</v>
      </c>
    </row>
    <row r="355" customFormat="false" ht="12.75" hidden="false" customHeight="false" outlineLevel="0" collapsed="false">
      <c r="A355" s="120" t="n">
        <f aca="false">A354+1</f>
        <v>37241</v>
      </c>
      <c r="B355" s="131" t="str">
        <f aca="false">INDEX('Master Data'!$A$2:$B$8,MATCH(WEEKDAY(ELETROBOLT!A355,3),'Master Data'!$A$2:$A$8,0),2)</f>
        <v>Su</v>
      </c>
      <c r="D355" s="124" t="n">
        <v>0</v>
      </c>
      <c r="E355" s="124" t="n">
        <v>0</v>
      </c>
      <c r="F355" s="124" t="n">
        <v>0</v>
      </c>
      <c r="G355" s="124" t="n">
        <v>0</v>
      </c>
      <c r="I355" s="124" t="n">
        <f aca="false">IF(MONTH($A355)=MONTH($A354),IF(G355=0,I354,G355),G355)</f>
        <v>0</v>
      </c>
      <c r="J355" s="124" t="n">
        <f aca="false">IF(MONTH($A355)=MONTH($A354),SUM(I355-I354),I355)</f>
        <v>0</v>
      </c>
      <c r="K355" s="124" t="n">
        <f aca="false">IF(WEEKDAY(A355,3)&gt;4,0,(IF(A355&lt;K$2,0,IF(A355&lt;=K$3,1,0))))</f>
        <v>0</v>
      </c>
      <c r="L355" s="124" t="n">
        <f aca="false">J355*K355</f>
        <v>0</v>
      </c>
      <c r="M355" s="124" t="n">
        <f aca="false">SUM(J$280:J355)</f>
        <v>0</v>
      </c>
      <c r="N355" s="124" t="n">
        <f aca="false">SUM(J$6:J355)</f>
        <v>0</v>
      </c>
      <c r="P355" s="124" t="n">
        <f aca="false">D355/P$3</f>
        <v>0</v>
      </c>
      <c r="Q355" s="124" t="n">
        <f aca="false">E355/P$3</f>
        <v>0</v>
      </c>
      <c r="R355" s="124" t="n">
        <f aca="false">F355/R$3</f>
        <v>0</v>
      </c>
      <c r="S355" s="126" t="n">
        <f aca="false">J355/$R$3</f>
        <v>0</v>
      </c>
      <c r="T355" s="126" t="n">
        <f aca="false">L355/$R$3</f>
        <v>0</v>
      </c>
      <c r="U355" s="126" t="n">
        <f aca="false">I355/$R$3</f>
        <v>0</v>
      </c>
      <c r="V355" s="126" t="n">
        <f aca="false">M355/$R$3</f>
        <v>0</v>
      </c>
      <c r="W355" s="126" t="n">
        <f aca="false">N355/$R$3</f>
        <v>0</v>
      </c>
    </row>
    <row r="356" customFormat="false" ht="12.75" hidden="false" customHeight="false" outlineLevel="0" collapsed="false">
      <c r="A356" s="120" t="n">
        <f aca="false">A355+1</f>
        <v>37242</v>
      </c>
      <c r="B356" s="131" t="str">
        <f aca="false">INDEX('Master Data'!$A$2:$B$8,MATCH(WEEKDAY(ELETROBOLT!A356,3),'Master Data'!$A$2:$A$8,0),2)</f>
        <v>M</v>
      </c>
      <c r="D356" s="124" t="n">
        <v>0</v>
      </c>
      <c r="E356" s="124" t="n">
        <v>0</v>
      </c>
      <c r="F356" s="124" t="n">
        <v>0</v>
      </c>
      <c r="G356" s="124" t="n">
        <v>0</v>
      </c>
      <c r="I356" s="124" t="n">
        <f aca="false">IF(MONTH($A356)=MONTH($A355),IF(G356=0,I355,G356),G356)</f>
        <v>0</v>
      </c>
      <c r="J356" s="124" t="n">
        <f aca="false">IF(MONTH($A356)=MONTH($A355),SUM(I356-I355),I356)</f>
        <v>0</v>
      </c>
      <c r="K356" s="124" t="n">
        <f aca="false">IF(WEEKDAY(A356,3)&gt;4,0,(IF(A356&lt;K$2,0,IF(A356&lt;=K$3,1,0))))</f>
        <v>0</v>
      </c>
      <c r="L356" s="124" t="n">
        <f aca="false">J356*K356</f>
        <v>0</v>
      </c>
      <c r="M356" s="124" t="n">
        <f aca="false">SUM(J$280:J356)</f>
        <v>0</v>
      </c>
      <c r="N356" s="124" t="n">
        <f aca="false">SUM(J$6:J356)</f>
        <v>0</v>
      </c>
      <c r="P356" s="124" t="n">
        <f aca="false">D356/P$3</f>
        <v>0</v>
      </c>
      <c r="Q356" s="124" t="n">
        <f aca="false">E356/P$3</f>
        <v>0</v>
      </c>
      <c r="R356" s="124" t="n">
        <f aca="false">F356/R$3</f>
        <v>0</v>
      </c>
      <c r="S356" s="126" t="n">
        <f aca="false">J356/$R$3</f>
        <v>0</v>
      </c>
      <c r="T356" s="126" t="n">
        <f aca="false">L356/$R$3</f>
        <v>0</v>
      </c>
      <c r="U356" s="126" t="n">
        <f aca="false">I356/$R$3</f>
        <v>0</v>
      </c>
      <c r="V356" s="126" t="n">
        <f aca="false">M356/$R$3</f>
        <v>0</v>
      </c>
      <c r="W356" s="126" t="n">
        <f aca="false">N356/$R$3</f>
        <v>0</v>
      </c>
    </row>
    <row r="357" customFormat="false" ht="12.75" hidden="false" customHeight="false" outlineLevel="0" collapsed="false">
      <c r="A357" s="120" t="n">
        <f aca="false">A356+1</f>
        <v>37243</v>
      </c>
      <c r="B357" s="131" t="str">
        <f aca="false">INDEX('Master Data'!$A$2:$B$8,MATCH(WEEKDAY(ELETROBOLT!A357,3),'Master Data'!$A$2:$A$8,0),2)</f>
        <v>T</v>
      </c>
      <c r="D357" s="124" t="n">
        <v>0</v>
      </c>
      <c r="E357" s="124" t="n">
        <v>0</v>
      </c>
      <c r="F357" s="124" t="n">
        <v>0</v>
      </c>
      <c r="G357" s="124" t="n">
        <v>0</v>
      </c>
      <c r="I357" s="124" t="n">
        <f aca="false">IF(MONTH($A357)=MONTH($A356),IF(G357=0,I356,G357),G357)</f>
        <v>0</v>
      </c>
      <c r="J357" s="124" t="n">
        <f aca="false">IF(MONTH($A357)=MONTH($A356),SUM(I357-I356),I357)</f>
        <v>0</v>
      </c>
      <c r="K357" s="124" t="n">
        <f aca="false">IF(WEEKDAY(A357,3)&gt;4,0,(IF(A357&lt;K$2,0,IF(A357&lt;=K$3,1,0))))</f>
        <v>0</v>
      </c>
      <c r="L357" s="124" t="n">
        <f aca="false">J357*K357</f>
        <v>0</v>
      </c>
      <c r="M357" s="124" t="n">
        <f aca="false">SUM(J$280:J357)</f>
        <v>0</v>
      </c>
      <c r="N357" s="124" t="n">
        <f aca="false">SUM(J$6:J357)</f>
        <v>0</v>
      </c>
      <c r="P357" s="124" t="n">
        <f aca="false">D357/P$3</f>
        <v>0</v>
      </c>
      <c r="Q357" s="124" t="n">
        <f aca="false">E357/P$3</f>
        <v>0</v>
      </c>
      <c r="R357" s="124" t="n">
        <f aca="false">F357/R$3</f>
        <v>0</v>
      </c>
      <c r="S357" s="126" t="n">
        <f aca="false">J357/$R$3</f>
        <v>0</v>
      </c>
      <c r="T357" s="126" t="n">
        <f aca="false">L357/$R$3</f>
        <v>0</v>
      </c>
      <c r="U357" s="126" t="n">
        <f aca="false">I357/$R$3</f>
        <v>0</v>
      </c>
      <c r="V357" s="126" t="n">
        <f aca="false">M357/$R$3</f>
        <v>0</v>
      </c>
      <c r="W357" s="126" t="n">
        <f aca="false">N357/$R$3</f>
        <v>0</v>
      </c>
    </row>
    <row r="358" customFormat="false" ht="12.75" hidden="false" customHeight="false" outlineLevel="0" collapsed="false">
      <c r="A358" s="120" t="n">
        <f aca="false">A357+1</f>
        <v>37244</v>
      </c>
      <c r="B358" s="131" t="str">
        <f aca="false">INDEX('Master Data'!$A$2:$B$8,MATCH(WEEKDAY(ELETROBOLT!A358,3),'Master Data'!$A$2:$A$8,0),2)</f>
        <v>W</v>
      </c>
      <c r="D358" s="124" t="n">
        <v>0</v>
      </c>
      <c r="E358" s="124" t="n">
        <v>0</v>
      </c>
      <c r="F358" s="124" t="n">
        <v>0</v>
      </c>
      <c r="G358" s="124" t="n">
        <v>0</v>
      </c>
      <c r="I358" s="124" t="n">
        <f aca="false">IF(MONTH($A358)=MONTH($A357),IF(G358=0,I357,G358),G358)</f>
        <v>0</v>
      </c>
      <c r="J358" s="124" t="n">
        <f aca="false">IF(MONTH($A358)=MONTH($A357),SUM(I358-I357),I358)</f>
        <v>0</v>
      </c>
      <c r="K358" s="124" t="n">
        <f aca="false">IF(WEEKDAY(A358,3)&gt;4,0,(IF(A358&lt;K$2,0,IF(A358&lt;=K$3,1,0))))</f>
        <v>0</v>
      </c>
      <c r="L358" s="124" t="n">
        <f aca="false">J358*K358</f>
        <v>0</v>
      </c>
      <c r="M358" s="124" t="n">
        <f aca="false">SUM(J$280:J358)</f>
        <v>0</v>
      </c>
      <c r="N358" s="124" t="n">
        <f aca="false">SUM(J$6:J358)</f>
        <v>0</v>
      </c>
      <c r="P358" s="124" t="n">
        <f aca="false">D358/P$3</f>
        <v>0</v>
      </c>
      <c r="Q358" s="124" t="n">
        <f aca="false">E358/P$3</f>
        <v>0</v>
      </c>
      <c r="R358" s="124" t="n">
        <f aca="false">F358/R$3</f>
        <v>0</v>
      </c>
      <c r="S358" s="126" t="n">
        <f aca="false">J358/$R$3</f>
        <v>0</v>
      </c>
      <c r="T358" s="126" t="n">
        <f aca="false">L358/$R$3</f>
        <v>0</v>
      </c>
      <c r="U358" s="126" t="n">
        <f aca="false">I358/$R$3</f>
        <v>0</v>
      </c>
      <c r="V358" s="126" t="n">
        <f aca="false">M358/$R$3</f>
        <v>0</v>
      </c>
      <c r="W358" s="126" t="n">
        <f aca="false">N358/$R$3</f>
        <v>0</v>
      </c>
    </row>
    <row r="359" customFormat="false" ht="12.75" hidden="false" customHeight="false" outlineLevel="0" collapsed="false">
      <c r="A359" s="120" t="n">
        <f aca="false">A358+1</f>
        <v>37245</v>
      </c>
      <c r="B359" s="131" t="str">
        <f aca="false">INDEX('Master Data'!$A$2:$B$8,MATCH(WEEKDAY(ELETROBOLT!A359,3),'Master Data'!$A$2:$A$8,0),2)</f>
        <v>Th</v>
      </c>
      <c r="D359" s="124" t="n">
        <v>0</v>
      </c>
      <c r="E359" s="124" t="n">
        <v>0</v>
      </c>
      <c r="F359" s="124" t="n">
        <v>0</v>
      </c>
      <c r="G359" s="124" t="n">
        <v>0</v>
      </c>
      <c r="I359" s="124" t="n">
        <f aca="false">IF(MONTH($A359)=MONTH($A358),IF(G359=0,I358,G359),G359)</f>
        <v>0</v>
      </c>
      <c r="J359" s="124" t="n">
        <f aca="false">IF(MONTH($A359)=MONTH($A358),SUM(I359-I358),I359)</f>
        <v>0</v>
      </c>
      <c r="K359" s="124" t="n">
        <f aca="false">IF(WEEKDAY(A359,3)&gt;4,0,(IF(A359&lt;K$2,0,IF(A359&lt;=K$3,1,0))))</f>
        <v>0</v>
      </c>
      <c r="L359" s="124" t="n">
        <f aca="false">J359*K359</f>
        <v>0</v>
      </c>
      <c r="M359" s="124" t="n">
        <f aca="false">SUM(J$280:J359)</f>
        <v>0</v>
      </c>
      <c r="N359" s="124" t="n">
        <f aca="false">SUM(J$6:J359)</f>
        <v>0</v>
      </c>
      <c r="P359" s="124" t="n">
        <f aca="false">D359/P$3</f>
        <v>0</v>
      </c>
      <c r="Q359" s="124" t="n">
        <f aca="false">E359/P$3</f>
        <v>0</v>
      </c>
      <c r="R359" s="124" t="n">
        <f aca="false">F359/R$3</f>
        <v>0</v>
      </c>
      <c r="S359" s="126" t="n">
        <f aca="false">J359/$R$3</f>
        <v>0</v>
      </c>
      <c r="T359" s="126" t="n">
        <f aca="false">L359/$R$3</f>
        <v>0</v>
      </c>
      <c r="U359" s="126" t="n">
        <f aca="false">I359/$R$3</f>
        <v>0</v>
      </c>
      <c r="V359" s="126" t="n">
        <f aca="false">M359/$R$3</f>
        <v>0</v>
      </c>
      <c r="W359" s="126" t="n">
        <f aca="false">N359/$R$3</f>
        <v>0</v>
      </c>
    </row>
    <row r="360" customFormat="false" ht="12.75" hidden="false" customHeight="false" outlineLevel="0" collapsed="false">
      <c r="A360" s="120" t="n">
        <f aca="false">A359+1</f>
        <v>37246</v>
      </c>
      <c r="B360" s="131" t="str">
        <f aca="false">INDEX('Master Data'!$A$2:$B$8,MATCH(WEEKDAY(ELETROBOLT!A360,3),'Master Data'!$A$2:$A$8,0),2)</f>
        <v>F</v>
      </c>
      <c r="D360" s="124" t="n">
        <v>0</v>
      </c>
      <c r="E360" s="124" t="n">
        <v>0</v>
      </c>
      <c r="F360" s="124" t="n">
        <v>0</v>
      </c>
      <c r="G360" s="124" t="n">
        <v>0</v>
      </c>
      <c r="I360" s="124" t="n">
        <f aca="false">IF(MONTH($A360)=MONTH($A359),IF(G360=0,I359,G360),G360)</f>
        <v>0</v>
      </c>
      <c r="J360" s="124" t="n">
        <f aca="false">IF(MONTH($A360)=MONTH($A359),SUM(I360-I359),I360)</f>
        <v>0</v>
      </c>
      <c r="K360" s="124" t="n">
        <f aca="false">IF(WEEKDAY(A360,3)&gt;4,0,(IF(A360&lt;K$2,0,IF(A360&lt;=K$3,1,0))))</f>
        <v>0</v>
      </c>
      <c r="L360" s="124" t="n">
        <f aca="false">J360*K360</f>
        <v>0</v>
      </c>
      <c r="M360" s="124" t="n">
        <f aca="false">SUM(J$280:J360)</f>
        <v>0</v>
      </c>
      <c r="N360" s="124" t="n">
        <f aca="false">SUM(J$6:J360)</f>
        <v>0</v>
      </c>
      <c r="P360" s="124" t="n">
        <f aca="false">D360/P$3</f>
        <v>0</v>
      </c>
      <c r="Q360" s="124" t="n">
        <f aca="false">E360/P$3</f>
        <v>0</v>
      </c>
      <c r="R360" s="124" t="n">
        <f aca="false">F360/R$3</f>
        <v>0</v>
      </c>
      <c r="S360" s="126" t="n">
        <f aca="false">J360/$R$3</f>
        <v>0</v>
      </c>
      <c r="T360" s="126" t="n">
        <f aca="false">L360/$R$3</f>
        <v>0</v>
      </c>
      <c r="U360" s="126" t="n">
        <f aca="false">I360/$R$3</f>
        <v>0</v>
      </c>
      <c r="V360" s="126" t="n">
        <f aca="false">M360/$R$3</f>
        <v>0</v>
      </c>
      <c r="W360" s="126" t="n">
        <f aca="false">N360/$R$3</f>
        <v>0</v>
      </c>
    </row>
    <row r="361" customFormat="false" ht="12.75" hidden="false" customHeight="false" outlineLevel="0" collapsed="false">
      <c r="A361" s="120" t="n">
        <f aca="false">A360+1</f>
        <v>37247</v>
      </c>
      <c r="B361" s="131" t="str">
        <f aca="false">INDEX('Master Data'!$A$2:$B$8,MATCH(WEEKDAY(ELETROBOLT!A361,3),'Master Data'!$A$2:$A$8,0),2)</f>
        <v>Sa</v>
      </c>
      <c r="D361" s="124" t="n">
        <v>0</v>
      </c>
      <c r="E361" s="124" t="n">
        <v>0</v>
      </c>
      <c r="F361" s="124" t="n">
        <v>0</v>
      </c>
      <c r="G361" s="124" t="n">
        <v>0</v>
      </c>
      <c r="I361" s="124" t="n">
        <f aca="false">IF(MONTH($A361)=MONTH($A360),IF(G361=0,I360,G361),G361)</f>
        <v>0</v>
      </c>
      <c r="J361" s="124" t="n">
        <f aca="false">IF(MONTH($A361)=MONTH($A360),SUM(I361-I360),I361)</f>
        <v>0</v>
      </c>
      <c r="K361" s="124" t="n">
        <f aca="false">IF(WEEKDAY(A361,3)&gt;4,0,(IF(A361&lt;K$2,0,IF(A361&lt;=K$3,1,0))))</f>
        <v>0</v>
      </c>
      <c r="L361" s="124" t="n">
        <f aca="false">J361*K361</f>
        <v>0</v>
      </c>
      <c r="M361" s="124" t="n">
        <f aca="false">SUM(J$280:J361)</f>
        <v>0</v>
      </c>
      <c r="N361" s="124" t="n">
        <f aca="false">SUM(J$6:J361)</f>
        <v>0</v>
      </c>
      <c r="P361" s="124" t="n">
        <f aca="false">D361/P$3</f>
        <v>0</v>
      </c>
      <c r="Q361" s="124" t="n">
        <f aca="false">E361/P$3</f>
        <v>0</v>
      </c>
      <c r="R361" s="124" t="n">
        <f aca="false">F361/R$3</f>
        <v>0</v>
      </c>
      <c r="S361" s="126" t="n">
        <f aca="false">J361/$R$3</f>
        <v>0</v>
      </c>
      <c r="T361" s="126" t="n">
        <f aca="false">L361/$R$3</f>
        <v>0</v>
      </c>
      <c r="U361" s="126" t="n">
        <f aca="false">I361/$R$3</f>
        <v>0</v>
      </c>
      <c r="V361" s="126" t="n">
        <f aca="false">M361/$R$3</f>
        <v>0</v>
      </c>
      <c r="W361" s="126" t="n">
        <f aca="false">N361/$R$3</f>
        <v>0</v>
      </c>
    </row>
    <row r="362" customFormat="false" ht="12.75" hidden="false" customHeight="false" outlineLevel="0" collapsed="false">
      <c r="A362" s="120" t="n">
        <f aca="false">A361+1</f>
        <v>37248</v>
      </c>
      <c r="B362" s="131" t="str">
        <f aca="false">INDEX('Master Data'!$A$2:$B$8,MATCH(WEEKDAY(ELETROBOLT!A362,3),'Master Data'!$A$2:$A$8,0),2)</f>
        <v>Su</v>
      </c>
      <c r="D362" s="124" t="n">
        <v>0</v>
      </c>
      <c r="E362" s="124" t="n">
        <v>0</v>
      </c>
      <c r="F362" s="124" t="n">
        <v>0</v>
      </c>
      <c r="G362" s="124" t="n">
        <v>0</v>
      </c>
      <c r="I362" s="124" t="n">
        <f aca="false">IF(MONTH($A362)=MONTH($A361),IF(G362=0,I361,G362),G362)</f>
        <v>0</v>
      </c>
      <c r="J362" s="124" t="n">
        <f aca="false">IF(MONTH($A362)=MONTH($A361),SUM(I362-I361),I362)</f>
        <v>0</v>
      </c>
      <c r="K362" s="124" t="n">
        <f aca="false">IF(WEEKDAY(A362,3)&gt;4,0,(IF(A362&lt;K$2,0,IF(A362&lt;=K$3,1,0))))</f>
        <v>0</v>
      </c>
      <c r="L362" s="124" t="n">
        <f aca="false">J362*K362</f>
        <v>0</v>
      </c>
      <c r="M362" s="124" t="n">
        <f aca="false">SUM(J$280:J362)</f>
        <v>0</v>
      </c>
      <c r="N362" s="124" t="n">
        <f aca="false">SUM(J$6:J362)</f>
        <v>0</v>
      </c>
      <c r="P362" s="124" t="n">
        <f aca="false">D362/P$3</f>
        <v>0</v>
      </c>
      <c r="Q362" s="124" t="n">
        <f aca="false">E362/P$3</f>
        <v>0</v>
      </c>
      <c r="R362" s="124" t="n">
        <f aca="false">F362/R$3</f>
        <v>0</v>
      </c>
      <c r="S362" s="126" t="n">
        <f aca="false">J362/$R$3</f>
        <v>0</v>
      </c>
      <c r="T362" s="126" t="n">
        <f aca="false">L362/$R$3</f>
        <v>0</v>
      </c>
      <c r="U362" s="126" t="n">
        <f aca="false">I362/$R$3</f>
        <v>0</v>
      </c>
      <c r="V362" s="126" t="n">
        <f aca="false">M362/$R$3</f>
        <v>0</v>
      </c>
      <c r="W362" s="126" t="n">
        <f aca="false">N362/$R$3</f>
        <v>0</v>
      </c>
    </row>
    <row r="363" customFormat="false" ht="12.75" hidden="false" customHeight="false" outlineLevel="0" collapsed="false">
      <c r="A363" s="120" t="n">
        <f aca="false">A362+1</f>
        <v>37249</v>
      </c>
      <c r="B363" s="131" t="str">
        <f aca="false">INDEX('Master Data'!$A$2:$B$8,MATCH(WEEKDAY(ELETROBOLT!A363,3),'Master Data'!$A$2:$A$8,0),2)</f>
        <v>M</v>
      </c>
      <c r="D363" s="124" t="n">
        <v>0</v>
      </c>
      <c r="E363" s="124" t="n">
        <v>0</v>
      </c>
      <c r="F363" s="124" t="n">
        <v>0</v>
      </c>
      <c r="G363" s="124" t="n">
        <v>0</v>
      </c>
      <c r="I363" s="124" t="n">
        <f aca="false">IF(MONTH($A363)=MONTH($A362),IF(G363=0,I362,G363),G363)</f>
        <v>0</v>
      </c>
      <c r="J363" s="124" t="n">
        <f aca="false">IF(MONTH($A363)=MONTH($A362),SUM(I363-I362),I363)</f>
        <v>0</v>
      </c>
      <c r="K363" s="124" t="n">
        <f aca="false">IF(WEEKDAY(A363,3)&gt;4,0,(IF(A363&lt;K$2,0,IF(A363&lt;=K$3,1,0))))</f>
        <v>0</v>
      </c>
      <c r="L363" s="124" t="n">
        <f aca="false">J363*K363</f>
        <v>0</v>
      </c>
      <c r="M363" s="124" t="n">
        <f aca="false">SUM(J$280:J363)</f>
        <v>0</v>
      </c>
      <c r="N363" s="124" t="n">
        <f aca="false">SUM(J$6:J363)</f>
        <v>0</v>
      </c>
      <c r="P363" s="124" t="n">
        <f aca="false">D363/P$3</f>
        <v>0</v>
      </c>
      <c r="Q363" s="124" t="n">
        <f aca="false">E363/P$3</f>
        <v>0</v>
      </c>
      <c r="R363" s="124" t="n">
        <f aca="false">F363/R$3</f>
        <v>0</v>
      </c>
      <c r="S363" s="126" t="n">
        <f aca="false">J363/$R$3</f>
        <v>0</v>
      </c>
      <c r="T363" s="126" t="n">
        <f aca="false">L363/$R$3</f>
        <v>0</v>
      </c>
      <c r="U363" s="126" t="n">
        <f aca="false">I363/$R$3</f>
        <v>0</v>
      </c>
      <c r="V363" s="126" t="n">
        <f aca="false">M363/$R$3</f>
        <v>0</v>
      </c>
      <c r="W363" s="126" t="n">
        <f aca="false">N363/$R$3</f>
        <v>0</v>
      </c>
    </row>
    <row r="364" customFormat="false" ht="12.75" hidden="false" customHeight="false" outlineLevel="0" collapsed="false">
      <c r="A364" s="120" t="n">
        <f aca="false">A363+1</f>
        <v>37250</v>
      </c>
      <c r="B364" s="131" t="str">
        <f aca="false">INDEX('Master Data'!$A$2:$B$8,MATCH(WEEKDAY(ELETROBOLT!A364,3),'Master Data'!$A$2:$A$8,0),2)</f>
        <v>T</v>
      </c>
      <c r="D364" s="124" t="n">
        <v>0</v>
      </c>
      <c r="E364" s="124" t="n">
        <v>0</v>
      </c>
      <c r="F364" s="124" t="n">
        <v>0</v>
      </c>
      <c r="G364" s="124" t="n">
        <v>0</v>
      </c>
      <c r="I364" s="124" t="n">
        <f aca="false">IF(MONTH($A364)=MONTH($A363),IF(G364=0,I363,G364),G364)</f>
        <v>0</v>
      </c>
      <c r="J364" s="124" t="n">
        <f aca="false">IF(MONTH($A364)=MONTH($A363),SUM(I364-I363),I364)</f>
        <v>0</v>
      </c>
      <c r="K364" s="124" t="n">
        <f aca="false">IF(WEEKDAY(A364,3)&gt;4,0,(IF(A364&lt;K$2,0,IF(A364&lt;=K$3,1,0))))</f>
        <v>0</v>
      </c>
      <c r="L364" s="124" t="n">
        <f aca="false">J364*K364</f>
        <v>0</v>
      </c>
      <c r="M364" s="124" t="n">
        <f aca="false">SUM(J$280:J364)</f>
        <v>0</v>
      </c>
      <c r="N364" s="124" t="n">
        <f aca="false">SUM(J$6:J364)</f>
        <v>0</v>
      </c>
      <c r="P364" s="124" t="n">
        <f aca="false">D364/P$3</f>
        <v>0</v>
      </c>
      <c r="Q364" s="124" t="n">
        <f aca="false">E364/P$3</f>
        <v>0</v>
      </c>
      <c r="R364" s="124" t="n">
        <f aca="false">F364/R$3</f>
        <v>0</v>
      </c>
      <c r="S364" s="126" t="n">
        <f aca="false">J364/$R$3</f>
        <v>0</v>
      </c>
      <c r="T364" s="126" t="n">
        <f aca="false">L364/$R$3</f>
        <v>0</v>
      </c>
      <c r="U364" s="126" t="n">
        <f aca="false">I364/$R$3</f>
        <v>0</v>
      </c>
      <c r="V364" s="126" t="n">
        <f aca="false">M364/$R$3</f>
        <v>0</v>
      </c>
      <c r="W364" s="126" t="n">
        <f aca="false">N364/$R$3</f>
        <v>0</v>
      </c>
    </row>
    <row r="365" customFormat="false" ht="12.75" hidden="false" customHeight="false" outlineLevel="0" collapsed="false">
      <c r="A365" s="120" t="n">
        <f aca="false">A364+1</f>
        <v>37251</v>
      </c>
      <c r="B365" s="131" t="str">
        <f aca="false">INDEX('Master Data'!$A$2:$B$8,MATCH(WEEKDAY(ELETROBOLT!A365,3),'Master Data'!$A$2:$A$8,0),2)</f>
        <v>W</v>
      </c>
      <c r="D365" s="124" t="n">
        <v>0</v>
      </c>
      <c r="E365" s="124" t="n">
        <v>0</v>
      </c>
      <c r="F365" s="124" t="n">
        <v>0</v>
      </c>
      <c r="G365" s="124" t="n">
        <v>0</v>
      </c>
      <c r="I365" s="124" t="n">
        <f aca="false">IF(MONTH($A365)=MONTH($A364),IF(G365=0,I364,G365),G365)</f>
        <v>0</v>
      </c>
      <c r="J365" s="124" t="n">
        <f aca="false">IF(MONTH($A365)=MONTH($A364),SUM(I365-I364),I365)</f>
        <v>0</v>
      </c>
      <c r="K365" s="124" t="n">
        <f aca="false">IF(WEEKDAY(A365,3)&gt;4,0,(IF(A365&lt;K$2,0,IF(A365&lt;=K$3,1,0))))</f>
        <v>0</v>
      </c>
      <c r="L365" s="124" t="n">
        <f aca="false">J365*K365</f>
        <v>0</v>
      </c>
      <c r="M365" s="124" t="n">
        <f aca="false">SUM(J$280:J365)</f>
        <v>0</v>
      </c>
      <c r="N365" s="124" t="n">
        <f aca="false">SUM(J$6:J365)</f>
        <v>0</v>
      </c>
      <c r="P365" s="124" t="n">
        <f aca="false">D365/P$3</f>
        <v>0</v>
      </c>
      <c r="Q365" s="124" t="n">
        <f aca="false">E365/P$3</f>
        <v>0</v>
      </c>
      <c r="R365" s="124" t="n">
        <f aca="false">F365/R$3</f>
        <v>0</v>
      </c>
      <c r="S365" s="126" t="n">
        <f aca="false">J365/$R$3</f>
        <v>0</v>
      </c>
      <c r="T365" s="126" t="n">
        <f aca="false">L365/$R$3</f>
        <v>0</v>
      </c>
      <c r="U365" s="126" t="n">
        <f aca="false">I365/$R$3</f>
        <v>0</v>
      </c>
      <c r="V365" s="126" t="n">
        <f aca="false">M365/$R$3</f>
        <v>0</v>
      </c>
      <c r="W365" s="126" t="n">
        <f aca="false">N365/$R$3</f>
        <v>0</v>
      </c>
    </row>
    <row r="366" customFormat="false" ht="12.75" hidden="false" customHeight="false" outlineLevel="0" collapsed="false">
      <c r="A366" s="120" t="n">
        <f aca="false">A365+1</f>
        <v>37252</v>
      </c>
      <c r="B366" s="131" t="str">
        <f aca="false">INDEX('Master Data'!$A$2:$B$8,MATCH(WEEKDAY(ELETROBOLT!A366,3),'Master Data'!$A$2:$A$8,0),2)</f>
        <v>Th</v>
      </c>
      <c r="D366" s="124" t="n">
        <v>0</v>
      </c>
      <c r="E366" s="124" t="n">
        <v>0</v>
      </c>
      <c r="F366" s="124" t="n">
        <v>0</v>
      </c>
      <c r="G366" s="124" t="n">
        <v>0</v>
      </c>
      <c r="I366" s="124" t="n">
        <f aca="false">IF(MONTH($A366)=MONTH($A365),IF(G366=0,I365,G366),G366)</f>
        <v>0</v>
      </c>
      <c r="J366" s="124" t="n">
        <f aca="false">IF(MONTH($A366)=MONTH($A365),SUM(I366-I365),I366)</f>
        <v>0</v>
      </c>
      <c r="K366" s="124" t="n">
        <f aca="false">IF(WEEKDAY(A366,3)&gt;4,0,(IF(A366&lt;K$2,0,IF(A366&lt;=K$3,1,0))))</f>
        <v>0</v>
      </c>
      <c r="L366" s="124" t="n">
        <f aca="false">J366*K366</f>
        <v>0</v>
      </c>
      <c r="M366" s="124" t="n">
        <f aca="false">SUM(J$280:J366)</f>
        <v>0</v>
      </c>
      <c r="N366" s="124" t="n">
        <f aca="false">SUM(J$6:J366)</f>
        <v>0</v>
      </c>
      <c r="P366" s="124" t="n">
        <f aca="false">D366/P$3</f>
        <v>0</v>
      </c>
      <c r="Q366" s="124" t="n">
        <f aca="false">E366/P$3</f>
        <v>0</v>
      </c>
      <c r="R366" s="124" t="n">
        <f aca="false">F366/R$3</f>
        <v>0</v>
      </c>
      <c r="S366" s="126" t="n">
        <f aca="false">J366/$R$3</f>
        <v>0</v>
      </c>
      <c r="T366" s="126" t="n">
        <f aca="false">L366/$R$3</f>
        <v>0</v>
      </c>
      <c r="U366" s="126" t="n">
        <f aca="false">I366/$R$3</f>
        <v>0</v>
      </c>
      <c r="V366" s="126" t="n">
        <f aca="false">M366/$R$3</f>
        <v>0</v>
      </c>
      <c r="W366" s="126" t="n">
        <f aca="false">N366/$R$3</f>
        <v>0</v>
      </c>
    </row>
    <row r="367" customFormat="false" ht="12.75" hidden="false" customHeight="false" outlineLevel="0" collapsed="false">
      <c r="A367" s="120" t="n">
        <f aca="false">A366+1</f>
        <v>37253</v>
      </c>
      <c r="B367" s="131" t="str">
        <f aca="false">INDEX('Master Data'!$A$2:$B$8,MATCH(WEEKDAY(ELETROBOLT!A367,3),'Master Data'!$A$2:$A$8,0),2)</f>
        <v>F</v>
      </c>
      <c r="D367" s="124" t="n">
        <v>0</v>
      </c>
      <c r="E367" s="124" t="n">
        <v>0</v>
      </c>
      <c r="F367" s="124" t="n">
        <v>0</v>
      </c>
      <c r="G367" s="124" t="n">
        <v>0</v>
      </c>
      <c r="I367" s="124" t="n">
        <f aca="false">IF(MONTH($A367)=MONTH($A366),IF(G367=0,I366,G367),G367)</f>
        <v>0</v>
      </c>
      <c r="J367" s="124" t="n">
        <f aca="false">IF(MONTH($A367)=MONTH($A366),SUM(I367-I366),I367)</f>
        <v>0</v>
      </c>
      <c r="K367" s="124" t="n">
        <f aca="false">IF(WEEKDAY(A367,3)&gt;4,0,(IF(A367&lt;K$2,0,IF(A367&lt;=K$3,1,0))))</f>
        <v>0</v>
      </c>
      <c r="L367" s="124" t="n">
        <f aca="false">J367*K367</f>
        <v>0</v>
      </c>
      <c r="M367" s="124" t="n">
        <f aca="false">SUM(J$280:J367)</f>
        <v>0</v>
      </c>
      <c r="N367" s="124" t="n">
        <f aca="false">SUM(J$6:J367)</f>
        <v>0</v>
      </c>
      <c r="P367" s="124" t="n">
        <f aca="false">D367/P$3</f>
        <v>0</v>
      </c>
      <c r="Q367" s="124" t="n">
        <f aca="false">E367/P$3</f>
        <v>0</v>
      </c>
      <c r="R367" s="124" t="n">
        <f aca="false">F367/R$3</f>
        <v>0</v>
      </c>
      <c r="S367" s="126" t="n">
        <f aca="false">J367/$R$3</f>
        <v>0</v>
      </c>
      <c r="T367" s="126" t="n">
        <f aca="false">L367/$R$3</f>
        <v>0</v>
      </c>
      <c r="U367" s="126" t="n">
        <f aca="false">I367/$R$3</f>
        <v>0</v>
      </c>
      <c r="V367" s="126" t="n">
        <f aca="false">M367/$R$3</f>
        <v>0</v>
      </c>
      <c r="W367" s="126" t="n">
        <f aca="false">N367/$R$3</f>
        <v>0</v>
      </c>
    </row>
    <row r="368" customFormat="false" ht="12.75" hidden="false" customHeight="false" outlineLevel="0" collapsed="false">
      <c r="A368" s="120" t="n">
        <f aca="false">A367+1</f>
        <v>37254</v>
      </c>
      <c r="B368" s="131" t="str">
        <f aca="false">INDEX('Master Data'!$A$2:$B$8,MATCH(WEEKDAY(ELETROBOLT!A368,3),'Master Data'!$A$2:$A$8,0),2)</f>
        <v>Sa</v>
      </c>
      <c r="D368" s="124" t="n">
        <v>0</v>
      </c>
      <c r="E368" s="124" t="n">
        <v>0</v>
      </c>
      <c r="F368" s="124" t="n">
        <v>0</v>
      </c>
      <c r="G368" s="124" t="n">
        <v>0</v>
      </c>
      <c r="I368" s="124" t="n">
        <f aca="false">IF(MONTH($A368)=MONTH($A367),IF(G368=0,I367,G368),G368)</f>
        <v>0</v>
      </c>
      <c r="J368" s="124" t="n">
        <f aca="false">IF(MONTH($A368)=MONTH($A367),SUM(I368-I367),I368)</f>
        <v>0</v>
      </c>
      <c r="K368" s="124" t="n">
        <f aca="false">IF(WEEKDAY(A368,3)&gt;4,0,(IF(A368&lt;K$2,0,IF(A368&lt;=K$3,1,0))))</f>
        <v>0</v>
      </c>
      <c r="L368" s="124" t="n">
        <f aca="false">J368*K368</f>
        <v>0</v>
      </c>
      <c r="M368" s="124" t="n">
        <f aca="false">SUM(J$280:J368)</f>
        <v>0</v>
      </c>
      <c r="N368" s="124" t="n">
        <f aca="false">SUM(J$6:J368)</f>
        <v>0</v>
      </c>
      <c r="P368" s="124" t="n">
        <f aca="false">D368/P$3</f>
        <v>0</v>
      </c>
      <c r="Q368" s="124" t="n">
        <f aca="false">E368/P$3</f>
        <v>0</v>
      </c>
      <c r="R368" s="124" t="n">
        <f aca="false">F368/R$3</f>
        <v>0</v>
      </c>
      <c r="S368" s="126" t="n">
        <f aca="false">J368/$R$3</f>
        <v>0</v>
      </c>
      <c r="T368" s="126" t="n">
        <f aca="false">L368/$R$3</f>
        <v>0</v>
      </c>
      <c r="U368" s="126" t="n">
        <f aca="false">I368/$R$3</f>
        <v>0</v>
      </c>
      <c r="V368" s="126" t="n">
        <f aca="false">M368/$R$3</f>
        <v>0</v>
      </c>
      <c r="W368" s="126" t="n">
        <f aca="false">N368/$R$3</f>
        <v>0</v>
      </c>
    </row>
    <row r="369" customFormat="false" ht="12.75" hidden="false" customHeight="false" outlineLevel="0" collapsed="false">
      <c r="A369" s="120" t="n">
        <f aca="false">A368+1</f>
        <v>37255</v>
      </c>
      <c r="B369" s="131" t="str">
        <f aca="false">INDEX('Master Data'!$A$2:$B$8,MATCH(WEEKDAY(ELETROBOLT!A369,3),'Master Data'!$A$2:$A$8,0),2)</f>
        <v>Su</v>
      </c>
      <c r="D369" s="124" t="n">
        <v>0</v>
      </c>
      <c r="E369" s="124" t="n">
        <v>0</v>
      </c>
      <c r="F369" s="124" t="n">
        <v>0</v>
      </c>
      <c r="G369" s="124" t="n">
        <v>0</v>
      </c>
      <c r="I369" s="124" t="n">
        <f aca="false">IF(MONTH($A369)=MONTH($A368),IF(G369=0,I368,G369),G369)</f>
        <v>0</v>
      </c>
      <c r="J369" s="124" t="n">
        <f aca="false">IF(MONTH($A369)=MONTH($A368),SUM(I369-I368),I369)</f>
        <v>0</v>
      </c>
      <c r="K369" s="124" t="n">
        <f aca="false">IF(WEEKDAY(A369,3)&gt;4,0,(IF(A369&lt;K$2,0,IF(A369&lt;=K$3,1,0))))</f>
        <v>0</v>
      </c>
      <c r="L369" s="124" t="n">
        <f aca="false">J369*K369</f>
        <v>0</v>
      </c>
      <c r="M369" s="124" t="n">
        <f aca="false">SUM(J$280:J369)</f>
        <v>0</v>
      </c>
      <c r="N369" s="124" t="n">
        <f aca="false">SUM(J$6:J369)</f>
        <v>0</v>
      </c>
      <c r="P369" s="124" t="n">
        <f aca="false">D369/P$3</f>
        <v>0</v>
      </c>
      <c r="Q369" s="124" t="n">
        <f aca="false">E369/P$3</f>
        <v>0</v>
      </c>
      <c r="R369" s="124" t="n">
        <f aca="false">F369/R$3</f>
        <v>0</v>
      </c>
      <c r="S369" s="126" t="n">
        <f aca="false">J369/$R$3</f>
        <v>0</v>
      </c>
      <c r="T369" s="126" t="n">
        <f aca="false">L369/$R$3</f>
        <v>0</v>
      </c>
      <c r="U369" s="126" t="n">
        <f aca="false">I369/$R$3</f>
        <v>0</v>
      </c>
      <c r="V369" s="126" t="n">
        <f aca="false">M369/$R$3</f>
        <v>0</v>
      </c>
      <c r="W369" s="126" t="n">
        <f aca="false">N369/$R$3</f>
        <v>0</v>
      </c>
    </row>
    <row r="370" customFormat="false" ht="12.75" hidden="false" customHeight="false" outlineLevel="0" collapsed="false">
      <c r="A370" s="120" t="n">
        <f aca="false">A369+1</f>
        <v>37256</v>
      </c>
      <c r="B370" s="131" t="str">
        <f aca="false">INDEX('Master Data'!$A$2:$B$8,MATCH(WEEKDAY(ELETROBOLT!A370,3),'Master Data'!$A$2:$A$8,0),2)</f>
        <v>M</v>
      </c>
      <c r="D370" s="124" t="n">
        <v>0</v>
      </c>
      <c r="E370" s="124" t="n">
        <v>0</v>
      </c>
      <c r="F370" s="124" t="n">
        <v>0</v>
      </c>
      <c r="G370" s="124" t="n">
        <v>0</v>
      </c>
      <c r="I370" s="124" t="n">
        <f aca="false">IF(MONTH($A370)=MONTH($A369),IF(G370=0,I369,G370),G370)</f>
        <v>0</v>
      </c>
      <c r="J370" s="124" t="n">
        <f aca="false">IF(MONTH($A370)=MONTH($A369),SUM(I370-I369),I370)</f>
        <v>0</v>
      </c>
      <c r="K370" s="124" t="n">
        <f aca="false">IF(WEEKDAY(A370,3)&gt;4,0,(IF(A370&lt;K$2,0,IF(A370&lt;=K$3,1,0))))</f>
        <v>0</v>
      </c>
      <c r="L370" s="124" t="n">
        <f aca="false">J370*K370</f>
        <v>0</v>
      </c>
      <c r="M370" s="124" t="n">
        <f aca="false">SUM(J$280:J370)</f>
        <v>0</v>
      </c>
      <c r="N370" s="124" t="n">
        <f aca="false">SUM(J$6:J370)</f>
        <v>0</v>
      </c>
      <c r="P370" s="124" t="n">
        <f aca="false">D370/P$3</f>
        <v>0</v>
      </c>
      <c r="Q370" s="124" t="n">
        <f aca="false">E370/P$3</f>
        <v>0</v>
      </c>
      <c r="R370" s="124" t="n">
        <f aca="false">F370/R$3</f>
        <v>0</v>
      </c>
      <c r="S370" s="126" t="n">
        <f aca="false">J370/$R$3</f>
        <v>0</v>
      </c>
      <c r="T370" s="126" t="n">
        <f aca="false">L370/$R$3</f>
        <v>0</v>
      </c>
      <c r="U370" s="126" t="n">
        <f aca="false">I370/$R$3</f>
        <v>0</v>
      </c>
      <c r="V370" s="126" t="n">
        <f aca="false">M370/$R$3</f>
        <v>0</v>
      </c>
      <c r="W370" s="126" t="n">
        <f aca="false">N370/$R$3</f>
        <v>0</v>
      </c>
    </row>
    <row r="371" customFormat="false" ht="12.75" hidden="false" customHeight="false" outlineLevel="0" collapsed="false">
      <c r="A371" s="120" t="n">
        <f aca="false">A370+1</f>
        <v>37257</v>
      </c>
      <c r="B371" s="131" t="str">
        <f aca="false">INDEX('Master Data'!$A$2:$B$8,MATCH(WEEKDAY(ELETROBOLT!A371,3),'Master Data'!$A$2:$A$8,0),2)</f>
        <v>T</v>
      </c>
      <c r="D371" s="124" t="n">
        <v>0</v>
      </c>
      <c r="E371" s="124" t="n">
        <v>0</v>
      </c>
      <c r="F371" s="124" t="n">
        <v>0</v>
      </c>
      <c r="G371" s="124" t="n">
        <v>0</v>
      </c>
      <c r="I371" s="124" t="n">
        <f aca="false">IF(MONTH($A371)=MONTH($A370),IF(G371=0,I370,G371),G371)</f>
        <v>0</v>
      </c>
      <c r="J371" s="124" t="n">
        <f aca="false">IF(MONTH($A371)=MONTH($A370),SUM(I371-I370),I371)</f>
        <v>0</v>
      </c>
      <c r="K371" s="124" t="n">
        <f aca="false">IF(WEEKDAY(A371,3)&gt;4,0,(IF(A371&lt;K$2,0,IF(A371&lt;=K$3,1,0))))</f>
        <v>0</v>
      </c>
      <c r="L371" s="124" t="n">
        <f aca="false">J371*K371</f>
        <v>0</v>
      </c>
      <c r="M371" s="124" t="n">
        <f aca="false">SUM(J$280:J371)</f>
        <v>0</v>
      </c>
      <c r="N371" s="124" t="n">
        <f aca="false">SUM(J$6:J371)</f>
        <v>0</v>
      </c>
      <c r="P371" s="124" t="n">
        <f aca="false">D371/P$3</f>
        <v>0</v>
      </c>
      <c r="Q371" s="124" t="n">
        <f aca="false">E371/P$3</f>
        <v>0</v>
      </c>
      <c r="R371" s="124" t="n">
        <f aca="false">F371/R$3</f>
        <v>0</v>
      </c>
      <c r="S371" s="126" t="n">
        <f aca="false">J371/$R$3</f>
        <v>0</v>
      </c>
      <c r="T371" s="126" t="n">
        <f aca="false">L371/$R$3</f>
        <v>0</v>
      </c>
      <c r="U371" s="126" t="n">
        <f aca="false">I371/$R$3</f>
        <v>0</v>
      </c>
      <c r="V371" s="126" t="n">
        <f aca="false">M371/$R$3</f>
        <v>0</v>
      </c>
      <c r="W371" s="126" t="n">
        <f aca="false">N371/$R$3</f>
        <v>0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231" colorId="64" zoomScale="100" zoomScaleNormal="100" zoomScalePageLayoutView="100" workbookViewId="0">
      <selection pane="topLeft" activeCell="B327" activeCellId="0" sqref="B327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20" width="7.28"/>
    <col collapsed="false" customWidth="true" hidden="false" outlineLevel="0" max="2" min="2" style="121" width="4.14"/>
    <col collapsed="false" customWidth="true" hidden="false" outlineLevel="0" max="3" min="3" style="122" width="2.7"/>
    <col collapsed="false" customWidth="true" hidden="false" outlineLevel="0" max="7" min="4" style="121" width="14.99"/>
    <col collapsed="false" customWidth="true" hidden="false" outlineLevel="0" max="8" min="8" style="122" width="2.7"/>
    <col collapsed="false" customWidth="true" hidden="false" outlineLevel="0" max="9" min="9" style="123" width="13.14"/>
    <col collapsed="false" customWidth="true" hidden="false" outlineLevel="0" max="10" min="10" style="124" width="13.14"/>
    <col collapsed="false" customWidth="true" hidden="false" outlineLevel="0" max="11" min="11" style="124" width="10.99"/>
    <col collapsed="false" customWidth="true" hidden="false" outlineLevel="0" max="14" min="12" style="124" width="13.14"/>
    <col collapsed="false" customWidth="true" hidden="false" outlineLevel="0" max="15" min="15" style="125" width="2.7"/>
    <col collapsed="false" customWidth="true" hidden="false" outlineLevel="0" max="18" min="16" style="121" width="16.13"/>
    <col collapsed="false" customWidth="true" hidden="false" outlineLevel="0" max="23" min="19" style="126" width="12.7"/>
    <col collapsed="false" customWidth="false" hidden="false" outlineLevel="0" max="257" min="24" style="121" width="9.14"/>
  </cols>
  <sheetData>
    <row r="1" customFormat="false" ht="12.75" hidden="false" customHeight="false" outlineLevel="0" collapsed="false">
      <c r="A1" s="127" t="n">
        <v>1</v>
      </c>
      <c r="B1" s="121" t="n">
        <f aca="false">+A1+1</f>
        <v>2</v>
      </c>
      <c r="C1" s="122" t="n">
        <f aca="false">+B1+1</f>
        <v>3</v>
      </c>
      <c r="D1" s="121" t="n">
        <f aca="false">+C1+1</f>
        <v>4</v>
      </c>
      <c r="E1" s="121" t="n">
        <f aca="false">+D1+1</f>
        <v>5</v>
      </c>
      <c r="F1" s="121" t="n">
        <f aca="false">+E1+1</f>
        <v>6</v>
      </c>
      <c r="G1" s="121" t="n">
        <f aca="false">+F1+1</f>
        <v>7</v>
      </c>
      <c r="H1" s="122" t="n">
        <f aca="false">+G1+1</f>
        <v>8</v>
      </c>
      <c r="I1" s="123" t="n">
        <f aca="false">+H1+1</f>
        <v>9</v>
      </c>
      <c r="J1" s="124" t="n">
        <f aca="false">+I1+1</f>
        <v>10</v>
      </c>
      <c r="K1" s="124" t="n">
        <f aca="false">+J1+1</f>
        <v>11</v>
      </c>
      <c r="L1" s="124" t="n">
        <f aca="false">+K1+1</f>
        <v>12</v>
      </c>
      <c r="M1" s="124" t="n">
        <f aca="false">+L1+1</f>
        <v>13</v>
      </c>
      <c r="N1" s="124" t="n">
        <f aca="false">+M1+1</f>
        <v>14</v>
      </c>
      <c r="O1" s="125" t="n">
        <f aca="false">+N1+1</f>
        <v>15</v>
      </c>
      <c r="P1" s="121" t="n">
        <f aca="false">+O1+1</f>
        <v>16</v>
      </c>
      <c r="Q1" s="121" t="n">
        <f aca="false">+P1+1</f>
        <v>17</v>
      </c>
      <c r="R1" s="121" t="n">
        <f aca="false">+Q1+1</f>
        <v>18</v>
      </c>
      <c r="S1" s="121" t="n">
        <f aca="false">+R1+1</f>
        <v>19</v>
      </c>
      <c r="T1" s="121" t="n">
        <f aca="false">+S1+1</f>
        <v>20</v>
      </c>
      <c r="U1" s="121" t="n">
        <f aca="false">+T1+1</f>
        <v>21</v>
      </c>
      <c r="V1" s="121" t="n">
        <f aca="false">+U1+1</f>
        <v>22</v>
      </c>
      <c r="W1" s="121" t="n">
        <f aca="false">+V1+1</f>
        <v>23</v>
      </c>
    </row>
    <row r="2" customFormat="false" ht="12.75" hidden="false" customHeight="false" outlineLevel="0" collapsed="false">
      <c r="G2" s="151"/>
      <c r="K2" s="128" t="n">
        <f aca="false">WORKDAY(K3,-4)</f>
        <v>37190</v>
      </c>
    </row>
    <row r="3" customFormat="false" ht="12.75" hidden="false" customHeight="false" outlineLevel="0" collapsed="false">
      <c r="G3" s="152"/>
      <c r="K3" s="128" t="n">
        <f aca="false">Summary!B8</f>
        <v>37196</v>
      </c>
      <c r="L3" s="129" t="n">
        <f aca="false">SUM(L6:L371)</f>
        <v>-1534747.70708263</v>
      </c>
      <c r="P3" s="124" t="n">
        <v>1000000</v>
      </c>
      <c r="Q3" s="124"/>
      <c r="R3" s="124" t="n">
        <v>1000</v>
      </c>
      <c r="S3" s="121"/>
      <c r="T3" s="130" t="n">
        <f aca="false">SUM(T6:T371)</f>
        <v>-1534.74770708263</v>
      </c>
    </row>
    <row r="4" customFormat="false" ht="12.75" hidden="false" customHeight="false" outlineLevel="0" collapsed="false">
      <c r="D4" s="131" t="s">
        <v>57</v>
      </c>
      <c r="E4" s="131" t="s">
        <v>57</v>
      </c>
      <c r="F4" s="131" t="s">
        <v>58</v>
      </c>
      <c r="G4" s="131" t="s">
        <v>58</v>
      </c>
      <c r="I4" s="132" t="s">
        <v>58</v>
      </c>
      <c r="J4" s="132"/>
      <c r="K4" s="132"/>
      <c r="L4" s="132"/>
      <c r="M4" s="132"/>
      <c r="N4" s="132"/>
      <c r="O4" s="133"/>
      <c r="P4" s="134" t="s">
        <v>59</v>
      </c>
      <c r="Q4" s="134"/>
      <c r="R4" s="135" t="s">
        <v>60</v>
      </c>
      <c r="S4" s="135"/>
      <c r="T4" s="135"/>
      <c r="U4" s="135"/>
      <c r="V4" s="135"/>
      <c r="W4" s="135"/>
    </row>
    <row r="5" customFormat="false" ht="12.75" hidden="false" customHeight="false" outlineLevel="0" collapsed="false">
      <c r="A5" s="136" t="s">
        <v>61</v>
      </c>
      <c r="B5" s="131" t="s">
        <v>62</v>
      </c>
      <c r="C5" s="137"/>
      <c r="D5" s="138" t="s">
        <v>63</v>
      </c>
      <c r="E5" s="138" t="s">
        <v>64</v>
      </c>
      <c r="F5" s="138" t="s">
        <v>65</v>
      </c>
      <c r="G5" s="138" t="s">
        <v>66</v>
      </c>
      <c r="H5" s="139"/>
      <c r="I5" s="138" t="s">
        <v>67</v>
      </c>
      <c r="J5" s="140" t="s">
        <v>68</v>
      </c>
      <c r="K5" s="140" t="s">
        <v>69</v>
      </c>
      <c r="L5" s="140" t="s">
        <v>70</v>
      </c>
      <c r="M5" s="140" t="s">
        <v>71</v>
      </c>
      <c r="N5" s="140" t="s">
        <v>72</v>
      </c>
      <c r="O5" s="141"/>
      <c r="P5" s="138" t="s">
        <v>63</v>
      </c>
      <c r="Q5" s="138" t="s">
        <v>64</v>
      </c>
      <c r="R5" s="138" t="s">
        <v>65</v>
      </c>
      <c r="S5" s="142" t="s">
        <v>68</v>
      </c>
      <c r="T5" s="140" t="s">
        <v>70</v>
      </c>
      <c r="U5" s="142" t="s">
        <v>66</v>
      </c>
      <c r="V5" s="142" t="s">
        <v>71</v>
      </c>
      <c r="W5" s="142" t="s">
        <v>72</v>
      </c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1"/>
      <c r="AW5" s="131"/>
      <c r="AX5" s="131"/>
      <c r="AY5" s="131"/>
      <c r="AZ5" s="131"/>
      <c r="BA5" s="131"/>
      <c r="BB5" s="131"/>
      <c r="BC5" s="131"/>
      <c r="BD5" s="131"/>
      <c r="BE5" s="131"/>
      <c r="BF5" s="131"/>
      <c r="BG5" s="131"/>
      <c r="BH5" s="131"/>
      <c r="BI5" s="131"/>
      <c r="BJ5" s="131"/>
      <c r="BK5" s="131"/>
      <c r="BL5" s="131"/>
      <c r="BM5" s="131"/>
      <c r="BN5" s="131"/>
      <c r="BO5" s="131"/>
      <c r="BP5" s="131"/>
      <c r="BQ5" s="131"/>
      <c r="BR5" s="131"/>
      <c r="BS5" s="131"/>
      <c r="BT5" s="131"/>
      <c r="BU5" s="131"/>
      <c r="BV5" s="131"/>
      <c r="BW5" s="131"/>
      <c r="BX5" s="131"/>
      <c r="BY5" s="131"/>
      <c r="BZ5" s="131"/>
      <c r="CA5" s="131"/>
      <c r="CB5" s="131"/>
      <c r="CC5" s="131"/>
      <c r="CD5" s="131"/>
      <c r="CE5" s="131"/>
      <c r="CF5" s="131"/>
      <c r="CG5" s="131"/>
      <c r="CH5" s="131"/>
      <c r="CI5" s="131"/>
      <c r="CJ5" s="131"/>
      <c r="CK5" s="131"/>
      <c r="CL5" s="131"/>
      <c r="CM5" s="131"/>
      <c r="CN5" s="131"/>
      <c r="CO5" s="131"/>
      <c r="CP5" s="131"/>
      <c r="CQ5" s="131"/>
      <c r="CR5" s="131"/>
      <c r="CS5" s="131"/>
      <c r="CT5" s="131"/>
      <c r="CU5" s="131"/>
      <c r="CV5" s="131"/>
      <c r="CW5" s="131"/>
      <c r="CX5" s="131"/>
      <c r="CY5" s="131"/>
      <c r="CZ5" s="131"/>
      <c r="DA5" s="131"/>
      <c r="DB5" s="131"/>
      <c r="DC5" s="131"/>
      <c r="DD5" s="131"/>
      <c r="DE5" s="131"/>
      <c r="DF5" s="131"/>
      <c r="DG5" s="131"/>
      <c r="DH5" s="131"/>
      <c r="DI5" s="131"/>
      <c r="DJ5" s="131"/>
      <c r="DK5" s="131"/>
      <c r="DL5" s="131"/>
      <c r="DM5" s="131"/>
      <c r="DN5" s="131"/>
      <c r="DO5" s="131"/>
      <c r="DP5" s="131"/>
      <c r="DQ5" s="131"/>
      <c r="DR5" s="131"/>
      <c r="DS5" s="131"/>
      <c r="DT5" s="131"/>
      <c r="DU5" s="131"/>
      <c r="DV5" s="131"/>
      <c r="DW5" s="131"/>
      <c r="DX5" s="131"/>
      <c r="DY5" s="131"/>
      <c r="DZ5" s="131"/>
      <c r="EA5" s="131"/>
      <c r="EB5" s="131"/>
      <c r="EC5" s="131"/>
      <c r="ED5" s="131"/>
      <c r="EE5" s="131"/>
      <c r="EF5" s="131"/>
      <c r="EG5" s="131"/>
      <c r="EH5" s="131"/>
      <c r="EI5" s="131"/>
      <c r="EJ5" s="131"/>
      <c r="EK5" s="131"/>
      <c r="EL5" s="131"/>
      <c r="EM5" s="131"/>
      <c r="EN5" s="131"/>
      <c r="EO5" s="131"/>
      <c r="EP5" s="131"/>
      <c r="EQ5" s="131"/>
      <c r="ER5" s="131"/>
      <c r="ES5" s="131"/>
      <c r="ET5" s="131"/>
      <c r="EU5" s="131"/>
      <c r="EV5" s="131"/>
      <c r="EW5" s="131"/>
      <c r="EX5" s="131"/>
      <c r="EY5" s="131"/>
      <c r="EZ5" s="131"/>
      <c r="FA5" s="131"/>
      <c r="FB5" s="131"/>
      <c r="FC5" s="131"/>
      <c r="FD5" s="131"/>
      <c r="FE5" s="131"/>
      <c r="FF5" s="131"/>
      <c r="FG5" s="131"/>
      <c r="FH5" s="131"/>
      <c r="FI5" s="131"/>
      <c r="FJ5" s="131"/>
      <c r="FK5" s="131"/>
      <c r="FL5" s="131"/>
      <c r="FM5" s="131"/>
      <c r="FN5" s="131"/>
      <c r="FO5" s="131"/>
      <c r="FP5" s="131"/>
      <c r="FQ5" s="131"/>
      <c r="FR5" s="131"/>
      <c r="FS5" s="131"/>
      <c r="FT5" s="131"/>
      <c r="FU5" s="131"/>
      <c r="FV5" s="131"/>
      <c r="FW5" s="131"/>
      <c r="FX5" s="131"/>
      <c r="FY5" s="131"/>
      <c r="FZ5" s="131"/>
      <c r="GA5" s="131"/>
      <c r="GB5" s="131"/>
      <c r="GC5" s="131"/>
      <c r="GD5" s="131"/>
      <c r="GE5" s="131"/>
      <c r="GF5" s="131"/>
      <c r="GG5" s="131"/>
      <c r="GH5" s="131"/>
      <c r="GI5" s="131"/>
      <c r="GJ5" s="131"/>
      <c r="GK5" s="131"/>
      <c r="GL5" s="131"/>
      <c r="GM5" s="131"/>
      <c r="GN5" s="131"/>
      <c r="GO5" s="131"/>
      <c r="GP5" s="131"/>
      <c r="GQ5" s="131"/>
      <c r="GR5" s="131"/>
      <c r="GS5" s="131"/>
      <c r="GT5" s="131"/>
      <c r="GU5" s="131"/>
      <c r="GV5" s="131"/>
      <c r="GW5" s="131"/>
      <c r="GX5" s="131"/>
      <c r="GY5" s="131"/>
      <c r="GZ5" s="131"/>
      <c r="HA5" s="131"/>
      <c r="HB5" s="131"/>
      <c r="HC5" s="131"/>
      <c r="HD5" s="131"/>
      <c r="HE5" s="131"/>
      <c r="HF5" s="131"/>
      <c r="HG5" s="131"/>
      <c r="HH5" s="131"/>
      <c r="HI5" s="131"/>
      <c r="HJ5" s="131"/>
      <c r="HK5" s="131"/>
      <c r="HL5" s="131"/>
      <c r="HM5" s="131"/>
      <c r="HN5" s="131"/>
      <c r="HO5" s="131"/>
      <c r="HP5" s="131"/>
      <c r="HQ5" s="131"/>
      <c r="HR5" s="131"/>
      <c r="HS5" s="131"/>
      <c r="HT5" s="131"/>
      <c r="HU5" s="131"/>
      <c r="HV5" s="131"/>
      <c r="HW5" s="131"/>
      <c r="HX5" s="131"/>
      <c r="HY5" s="131"/>
      <c r="HZ5" s="131"/>
      <c r="IA5" s="131"/>
      <c r="IB5" s="131"/>
      <c r="IC5" s="131"/>
      <c r="ID5" s="131"/>
      <c r="IE5" s="131"/>
      <c r="IF5" s="131"/>
      <c r="IG5" s="131"/>
      <c r="IH5" s="131"/>
      <c r="II5" s="131"/>
      <c r="IJ5" s="131"/>
      <c r="IK5" s="131"/>
      <c r="IL5" s="131"/>
      <c r="IM5" s="131"/>
      <c r="IN5" s="131"/>
      <c r="IO5" s="131"/>
      <c r="IP5" s="131"/>
      <c r="IQ5" s="131"/>
      <c r="IR5" s="131"/>
      <c r="IS5" s="131"/>
      <c r="IT5" s="131"/>
      <c r="IU5" s="131"/>
      <c r="IV5" s="131"/>
      <c r="IW5" s="131"/>
    </row>
    <row r="6" customFormat="false" ht="12.75" hidden="true" customHeight="false" outlineLevel="0" collapsed="false">
      <c r="A6" s="120" t="n">
        <v>36892</v>
      </c>
      <c r="B6" s="131" t="str">
        <f aca="false">INDEX('Master Data'!$A$2:$B$8,MATCH(WEEKDAY('BRA PWR Certificates'!A6,3),'Master Data'!$A$2:$A$8,0),2)</f>
        <v>M</v>
      </c>
      <c r="D6" s="124" t="n">
        <v>0</v>
      </c>
      <c r="E6" s="124" t="n">
        <v>0</v>
      </c>
      <c r="F6" s="124" t="n">
        <v>0</v>
      </c>
      <c r="G6" s="124" t="n">
        <v>0</v>
      </c>
      <c r="I6" s="124" t="n">
        <f aca="false">G6</f>
        <v>0</v>
      </c>
      <c r="J6" s="124" t="n">
        <f aca="false">I6</f>
        <v>0</v>
      </c>
      <c r="K6" s="124" t="n">
        <f aca="false">IF(WEEKDAY(A6,3)&gt;4,0,(IF(A6&lt;K$2,0,IF(A6&lt;=K$3,1,0))))</f>
        <v>0</v>
      </c>
      <c r="L6" s="124" t="n">
        <f aca="false">J6*K6</f>
        <v>0</v>
      </c>
      <c r="M6" s="124" t="n">
        <f aca="false">SUM(J$6:J6)</f>
        <v>0</v>
      </c>
      <c r="N6" s="124" t="n">
        <f aca="false">SUM(J$6:J6)</f>
        <v>0</v>
      </c>
      <c r="P6" s="124" t="n">
        <f aca="false">D6/P$3</f>
        <v>0</v>
      </c>
      <c r="Q6" s="124" t="n">
        <f aca="false">E6/P$3</f>
        <v>0</v>
      </c>
      <c r="R6" s="124" t="n">
        <f aca="false">F6/R$3</f>
        <v>0</v>
      </c>
      <c r="S6" s="126" t="n">
        <f aca="false">J6/$R$3</f>
        <v>0</v>
      </c>
      <c r="T6" s="126" t="n">
        <f aca="false">L6/$R$3</f>
        <v>0</v>
      </c>
      <c r="U6" s="126" t="n">
        <f aca="false">I6/$R$3</f>
        <v>0</v>
      </c>
      <c r="V6" s="126" t="n">
        <f aca="false">M6/$R$3</f>
        <v>0</v>
      </c>
      <c r="W6" s="126" t="n">
        <f aca="false">N6/$R$3</f>
        <v>0</v>
      </c>
    </row>
    <row r="7" customFormat="false" ht="12.75" hidden="true" customHeight="false" outlineLevel="0" collapsed="false">
      <c r="A7" s="120" t="n">
        <f aca="false">A6+1</f>
        <v>36893</v>
      </c>
      <c r="B7" s="131" t="str">
        <f aca="false">INDEX('Master Data'!$A$2:$B$8,MATCH(WEEKDAY('BRA PWR Certificates'!A7,3),'Master Data'!$A$2:$A$8,0),2)</f>
        <v>T</v>
      </c>
      <c r="D7" s="124" t="n">
        <v>0</v>
      </c>
      <c r="E7" s="124" t="n">
        <v>0</v>
      </c>
      <c r="F7" s="124" t="n">
        <v>0</v>
      </c>
      <c r="G7" s="124" t="n">
        <v>0</v>
      </c>
      <c r="I7" s="124" t="n">
        <f aca="false">IF(MONTH($A7)=MONTH($A6),IF(G7=0,I6,G7),0)</f>
        <v>0</v>
      </c>
      <c r="J7" s="124" t="n">
        <f aca="false">IF(MONTH($A7)=MONTH($A6),SUM(I7-I6),I7)</f>
        <v>0</v>
      </c>
      <c r="K7" s="124" t="n">
        <f aca="false">IF(WEEKDAY(A7,3)&gt;4,0,(IF(A7&lt;K$2,0,IF(A7&lt;=K$3,1,0))))</f>
        <v>0</v>
      </c>
      <c r="L7" s="124" t="n">
        <f aca="false">J7*K7</f>
        <v>0</v>
      </c>
      <c r="M7" s="124" t="n">
        <f aca="false">SUM(J$6:J7)</f>
        <v>0</v>
      </c>
      <c r="N7" s="124" t="n">
        <f aca="false">SUM(J$6:J7)</f>
        <v>0</v>
      </c>
      <c r="P7" s="124" t="n">
        <f aca="false">D7/P$3</f>
        <v>0</v>
      </c>
      <c r="Q7" s="124" t="n">
        <f aca="false">E7/P$3</f>
        <v>0</v>
      </c>
      <c r="R7" s="124" t="n">
        <f aca="false">F7/R$3</f>
        <v>0</v>
      </c>
      <c r="S7" s="126" t="n">
        <f aca="false">J7/$R$3</f>
        <v>0</v>
      </c>
      <c r="T7" s="126" t="n">
        <f aca="false">L7/$R$3</f>
        <v>0</v>
      </c>
      <c r="U7" s="126" t="n">
        <f aca="false">I7/$R$3</f>
        <v>0</v>
      </c>
      <c r="V7" s="126" t="n">
        <f aca="false">M7/$R$3</f>
        <v>0</v>
      </c>
      <c r="W7" s="126" t="n">
        <f aca="false">N7/$R$3</f>
        <v>0</v>
      </c>
    </row>
    <row r="8" customFormat="false" ht="12.75" hidden="true" customHeight="false" outlineLevel="0" collapsed="false">
      <c r="A8" s="120" t="n">
        <f aca="false">A7+1</f>
        <v>36894</v>
      </c>
      <c r="B8" s="131" t="str">
        <f aca="false">INDEX('Master Data'!$A$2:$B$8,MATCH(WEEKDAY('BRA PWR Certificates'!A8,3),'Master Data'!$A$2:$A$8,0),2)</f>
        <v>W</v>
      </c>
      <c r="D8" s="124" t="n">
        <v>0</v>
      </c>
      <c r="E8" s="124" t="n">
        <v>0</v>
      </c>
      <c r="F8" s="124" t="n">
        <v>0</v>
      </c>
      <c r="G8" s="124" t="n">
        <v>0</v>
      </c>
      <c r="I8" s="124" t="n">
        <f aca="false">IF(MONTH($A8)=MONTH($A7),IF(G8=0,I7,G8),0)</f>
        <v>0</v>
      </c>
      <c r="J8" s="124" t="n">
        <f aca="false">IF(MONTH($A8)=MONTH($A7),SUM(I8-I7),I8)</f>
        <v>0</v>
      </c>
      <c r="K8" s="124" t="n">
        <f aca="false">IF(WEEKDAY(A8,3)&gt;4,0,(IF(A8&lt;K$2,0,IF(A8&lt;=K$3,1,0))))</f>
        <v>0</v>
      </c>
      <c r="L8" s="124" t="n">
        <f aca="false">J8*K8</f>
        <v>0</v>
      </c>
      <c r="M8" s="124" t="n">
        <f aca="false">SUM(J$6:J8)</f>
        <v>0</v>
      </c>
      <c r="N8" s="124" t="n">
        <f aca="false">SUM(J$6:J8)</f>
        <v>0</v>
      </c>
      <c r="P8" s="124" t="n">
        <f aca="false">D8/P$3</f>
        <v>0</v>
      </c>
      <c r="Q8" s="124" t="n">
        <f aca="false">E8/P$3</f>
        <v>0</v>
      </c>
      <c r="R8" s="124" t="n">
        <f aca="false">F8/R$3</f>
        <v>0</v>
      </c>
      <c r="S8" s="126" t="n">
        <f aca="false">J8/$R$3</f>
        <v>0</v>
      </c>
      <c r="T8" s="126" t="n">
        <f aca="false">L8/$R$3</f>
        <v>0</v>
      </c>
      <c r="U8" s="126" t="n">
        <f aca="false">I8/$R$3</f>
        <v>0</v>
      </c>
      <c r="V8" s="126" t="n">
        <f aca="false">M8/$R$3</f>
        <v>0</v>
      </c>
      <c r="W8" s="126" t="n">
        <f aca="false">N8/$R$3</f>
        <v>0</v>
      </c>
    </row>
    <row r="9" customFormat="false" ht="12.75" hidden="true" customHeight="false" outlineLevel="0" collapsed="false">
      <c r="A9" s="120" t="n">
        <f aca="false">A8+1</f>
        <v>36895</v>
      </c>
      <c r="B9" s="131" t="str">
        <f aca="false">INDEX('Master Data'!$A$2:$B$8,MATCH(WEEKDAY('BRA PWR Certificates'!A9,3),'Master Data'!$A$2:$A$8,0),2)</f>
        <v>Th</v>
      </c>
      <c r="D9" s="124" t="n">
        <v>0</v>
      </c>
      <c r="E9" s="124" t="n">
        <v>0</v>
      </c>
      <c r="F9" s="124" t="n">
        <v>0</v>
      </c>
      <c r="G9" s="124" t="n">
        <v>0</v>
      </c>
      <c r="I9" s="124" t="n">
        <f aca="false">IF(MONTH($A9)=MONTH($A8),IF(G9=0,I8,G9),0)</f>
        <v>0</v>
      </c>
      <c r="J9" s="124" t="n">
        <f aca="false">IF(MONTH($A9)=MONTH($A8),SUM(I9-I8),I9)</f>
        <v>0</v>
      </c>
      <c r="K9" s="124" t="n">
        <f aca="false">IF(WEEKDAY(A9,3)&gt;4,0,(IF(A9&lt;K$2,0,IF(A9&lt;=K$3,1,0))))</f>
        <v>0</v>
      </c>
      <c r="L9" s="124" t="n">
        <f aca="false">J9*K9</f>
        <v>0</v>
      </c>
      <c r="M9" s="124" t="n">
        <f aca="false">SUM(J$6:J9)</f>
        <v>0</v>
      </c>
      <c r="N9" s="124" t="n">
        <f aca="false">SUM(J$6:J9)</f>
        <v>0</v>
      </c>
      <c r="P9" s="124" t="n">
        <f aca="false">D9/P$3</f>
        <v>0</v>
      </c>
      <c r="Q9" s="124" t="n">
        <f aca="false">E9/P$3</f>
        <v>0</v>
      </c>
      <c r="R9" s="124" t="n">
        <f aca="false">F9/R$3</f>
        <v>0</v>
      </c>
      <c r="S9" s="126" t="n">
        <f aca="false">J9/$R$3</f>
        <v>0</v>
      </c>
      <c r="T9" s="126" t="n">
        <f aca="false">L9/$R$3</f>
        <v>0</v>
      </c>
      <c r="U9" s="126" t="n">
        <f aca="false">I9/$R$3</f>
        <v>0</v>
      </c>
      <c r="V9" s="126" t="n">
        <f aca="false">M9/$R$3</f>
        <v>0</v>
      </c>
      <c r="W9" s="126" t="n">
        <f aca="false">N9/$R$3</f>
        <v>0</v>
      </c>
    </row>
    <row r="10" customFormat="false" ht="12.75" hidden="true" customHeight="false" outlineLevel="0" collapsed="false">
      <c r="A10" s="120" t="n">
        <f aca="false">A9+1</f>
        <v>36896</v>
      </c>
      <c r="B10" s="131" t="str">
        <f aca="false">INDEX('Master Data'!$A$2:$B$8,MATCH(WEEKDAY('BRA PWR Certificates'!A10,3),'Master Data'!$A$2:$A$8,0),2)</f>
        <v>F</v>
      </c>
      <c r="D10" s="124" t="n">
        <v>0</v>
      </c>
      <c r="E10" s="124" t="n">
        <v>0</v>
      </c>
      <c r="F10" s="124" t="n">
        <v>0</v>
      </c>
      <c r="G10" s="124" t="n">
        <v>0</v>
      </c>
      <c r="I10" s="124" t="n">
        <f aca="false">IF(MONTH($A10)=MONTH($A9),IF(G10=0,I9,G10),0)</f>
        <v>0</v>
      </c>
      <c r="J10" s="124" t="n">
        <f aca="false">IF(MONTH($A10)=MONTH($A9),SUM(I10-I9),I10)</f>
        <v>0</v>
      </c>
      <c r="K10" s="124" t="n">
        <f aca="false">IF(WEEKDAY(A10,3)&gt;4,0,(IF(A10&lt;K$2,0,IF(A10&lt;=K$3,1,0))))</f>
        <v>0</v>
      </c>
      <c r="L10" s="124" t="n">
        <f aca="false">J10*K10</f>
        <v>0</v>
      </c>
      <c r="M10" s="124" t="n">
        <f aca="false">SUM(J$6:J10)</f>
        <v>0</v>
      </c>
      <c r="N10" s="124" t="n">
        <f aca="false">SUM(J$6:J10)</f>
        <v>0</v>
      </c>
      <c r="P10" s="124" t="n">
        <f aca="false">D10/P$3</f>
        <v>0</v>
      </c>
      <c r="Q10" s="124" t="n">
        <f aca="false">E10/P$3</f>
        <v>0</v>
      </c>
      <c r="R10" s="124" t="n">
        <f aca="false">F10/R$3</f>
        <v>0</v>
      </c>
      <c r="S10" s="126" t="n">
        <f aca="false">J10/$R$3</f>
        <v>0</v>
      </c>
      <c r="T10" s="126" t="n">
        <f aca="false">L10/$R$3</f>
        <v>0</v>
      </c>
      <c r="U10" s="126" t="n">
        <f aca="false">I10/$R$3</f>
        <v>0</v>
      </c>
      <c r="V10" s="126" t="n">
        <f aca="false">M10/$R$3</f>
        <v>0</v>
      </c>
      <c r="W10" s="126" t="n">
        <f aca="false">N10/$R$3</f>
        <v>0</v>
      </c>
    </row>
    <row r="11" customFormat="false" ht="12.75" hidden="true" customHeight="false" outlineLevel="0" collapsed="false">
      <c r="A11" s="120" t="n">
        <f aca="false">A10+1</f>
        <v>36897</v>
      </c>
      <c r="B11" s="131" t="str">
        <f aca="false">INDEX('Master Data'!$A$2:$B$8,MATCH(WEEKDAY('BRA PWR Certificates'!A11,3),'Master Data'!$A$2:$A$8,0),2)</f>
        <v>Sa</v>
      </c>
      <c r="D11" s="124" t="n">
        <v>0</v>
      </c>
      <c r="E11" s="124" t="n">
        <v>0</v>
      </c>
      <c r="F11" s="124" t="n">
        <v>0</v>
      </c>
      <c r="G11" s="124" t="n">
        <v>0</v>
      </c>
      <c r="I11" s="124" t="n">
        <f aca="false">IF(MONTH($A11)=MONTH($A10),IF(G11=0,I10,G11),0)</f>
        <v>0</v>
      </c>
      <c r="J11" s="124" t="n">
        <f aca="false">IF(MONTH($A11)=MONTH($A10),SUM(I11-I10),I11)</f>
        <v>0</v>
      </c>
      <c r="K11" s="124" t="n">
        <f aca="false">IF(WEEKDAY(A11,3)&gt;4,0,(IF(A11&lt;K$2,0,IF(A11&lt;=K$3,1,0))))</f>
        <v>0</v>
      </c>
      <c r="L11" s="124" t="n">
        <f aca="false">J11*K11</f>
        <v>0</v>
      </c>
      <c r="M11" s="124" t="n">
        <f aca="false">SUM(J$6:J11)</f>
        <v>0</v>
      </c>
      <c r="N11" s="124" t="n">
        <f aca="false">SUM(J$6:J11)</f>
        <v>0</v>
      </c>
      <c r="P11" s="124" t="n">
        <f aca="false">D11/P$3</f>
        <v>0</v>
      </c>
      <c r="Q11" s="124" t="n">
        <f aca="false">E11/P$3</f>
        <v>0</v>
      </c>
      <c r="R11" s="124" t="n">
        <f aca="false">F11/R$3</f>
        <v>0</v>
      </c>
      <c r="S11" s="126" t="n">
        <f aca="false">J11/$R$3</f>
        <v>0</v>
      </c>
      <c r="T11" s="126" t="n">
        <f aca="false">L11/$R$3</f>
        <v>0</v>
      </c>
      <c r="U11" s="126" t="n">
        <f aca="false">I11/$R$3</f>
        <v>0</v>
      </c>
      <c r="V11" s="126" t="n">
        <f aca="false">M11/$R$3</f>
        <v>0</v>
      </c>
      <c r="W11" s="126" t="n">
        <f aca="false">N11/$R$3</f>
        <v>0</v>
      </c>
    </row>
    <row r="12" customFormat="false" ht="12.75" hidden="true" customHeight="false" outlineLevel="0" collapsed="false">
      <c r="A12" s="120" t="n">
        <f aca="false">A11+1</f>
        <v>36898</v>
      </c>
      <c r="B12" s="131" t="str">
        <f aca="false">INDEX('Master Data'!$A$2:$B$8,MATCH(WEEKDAY('BRA PWR Certificates'!A12,3),'Master Data'!$A$2:$A$8,0),2)</f>
        <v>Su</v>
      </c>
      <c r="D12" s="124" t="n">
        <v>0</v>
      </c>
      <c r="E12" s="124" t="n">
        <v>0</v>
      </c>
      <c r="F12" s="124" t="n">
        <v>0</v>
      </c>
      <c r="G12" s="124" t="n">
        <v>0</v>
      </c>
      <c r="I12" s="124" t="n">
        <f aca="false">IF(MONTH($A12)=MONTH($A11),IF(G12=0,I11,G12),0)</f>
        <v>0</v>
      </c>
      <c r="J12" s="124" t="n">
        <f aca="false">IF(MONTH($A12)=MONTH($A11),SUM(I12-I11),I12)</f>
        <v>0</v>
      </c>
      <c r="K12" s="124" t="n">
        <f aca="false">IF(WEEKDAY(A12,3)&gt;4,0,(IF(A12&lt;K$2,0,IF(A12&lt;=K$3,1,0))))</f>
        <v>0</v>
      </c>
      <c r="L12" s="124" t="n">
        <f aca="false">J12*K12</f>
        <v>0</v>
      </c>
      <c r="M12" s="124" t="n">
        <f aca="false">SUM(J$6:J12)</f>
        <v>0</v>
      </c>
      <c r="N12" s="124" t="n">
        <f aca="false">SUM(J$6:J12)</f>
        <v>0</v>
      </c>
      <c r="P12" s="124" t="n">
        <f aca="false">D12/P$3</f>
        <v>0</v>
      </c>
      <c r="Q12" s="124" t="n">
        <f aca="false">E12/P$3</f>
        <v>0</v>
      </c>
      <c r="R12" s="124" t="n">
        <f aca="false">F12/R$3</f>
        <v>0</v>
      </c>
      <c r="S12" s="126" t="n">
        <f aca="false">J12/$R$3</f>
        <v>0</v>
      </c>
      <c r="T12" s="126" t="n">
        <f aca="false">L12/$R$3</f>
        <v>0</v>
      </c>
      <c r="U12" s="126" t="n">
        <f aca="false">I12/$R$3</f>
        <v>0</v>
      </c>
      <c r="V12" s="126" t="n">
        <f aca="false">M12/$R$3</f>
        <v>0</v>
      </c>
      <c r="W12" s="126" t="n">
        <f aca="false">N12/$R$3</f>
        <v>0</v>
      </c>
    </row>
    <row r="13" customFormat="false" ht="12.75" hidden="true" customHeight="false" outlineLevel="0" collapsed="false">
      <c r="A13" s="120" t="n">
        <f aca="false">A12+1</f>
        <v>36899</v>
      </c>
      <c r="B13" s="131" t="str">
        <f aca="false">INDEX('Master Data'!$A$2:$B$8,MATCH(WEEKDAY('BRA PWR Certificates'!A13,3),'Master Data'!$A$2:$A$8,0),2)</f>
        <v>M</v>
      </c>
      <c r="D13" s="124" t="n">
        <v>0</v>
      </c>
      <c r="E13" s="124" t="n">
        <v>0</v>
      </c>
      <c r="F13" s="124" t="n">
        <v>0</v>
      </c>
      <c r="G13" s="124" t="n">
        <v>0</v>
      </c>
      <c r="I13" s="124" t="n">
        <f aca="false">IF(MONTH($A13)=MONTH($A12),IF(G13=0,I12,G13),0)</f>
        <v>0</v>
      </c>
      <c r="J13" s="124" t="n">
        <f aca="false">IF(MONTH($A13)=MONTH($A12),SUM(I13-I12),I13)</f>
        <v>0</v>
      </c>
      <c r="K13" s="124" t="n">
        <f aca="false">IF(WEEKDAY(A13,3)&gt;4,0,(IF(A13&lt;K$2,0,IF(A13&lt;=K$3,1,0))))</f>
        <v>0</v>
      </c>
      <c r="L13" s="124" t="n">
        <f aca="false">J13*K13</f>
        <v>0</v>
      </c>
      <c r="M13" s="124" t="n">
        <f aca="false">SUM(J$6:J13)</f>
        <v>0</v>
      </c>
      <c r="N13" s="124" t="n">
        <f aca="false">SUM(J$6:J13)</f>
        <v>0</v>
      </c>
      <c r="P13" s="124" t="n">
        <f aca="false">D13/P$3</f>
        <v>0</v>
      </c>
      <c r="Q13" s="124" t="n">
        <f aca="false">E13/P$3</f>
        <v>0</v>
      </c>
      <c r="R13" s="124" t="n">
        <f aca="false">F13/R$3</f>
        <v>0</v>
      </c>
      <c r="S13" s="126" t="n">
        <f aca="false">J13/$R$3</f>
        <v>0</v>
      </c>
      <c r="T13" s="126" t="n">
        <f aca="false">L13/$R$3</f>
        <v>0</v>
      </c>
      <c r="U13" s="126" t="n">
        <f aca="false">I13/$R$3</f>
        <v>0</v>
      </c>
      <c r="V13" s="126" t="n">
        <f aca="false">M13/$R$3</f>
        <v>0</v>
      </c>
      <c r="W13" s="126" t="n">
        <f aca="false">N13/$R$3</f>
        <v>0</v>
      </c>
    </row>
    <row r="14" customFormat="false" ht="12.75" hidden="true" customHeight="false" outlineLevel="0" collapsed="false">
      <c r="A14" s="120" t="n">
        <f aca="false">A13+1</f>
        <v>36900</v>
      </c>
      <c r="B14" s="131" t="str">
        <f aca="false">INDEX('Master Data'!$A$2:$B$8,MATCH(WEEKDAY('BRA PWR Certificates'!A14,3),'Master Data'!$A$2:$A$8,0),2)</f>
        <v>T</v>
      </c>
      <c r="D14" s="124" t="n">
        <v>0</v>
      </c>
      <c r="E14" s="124" t="n">
        <v>0</v>
      </c>
      <c r="F14" s="124" t="n">
        <v>0</v>
      </c>
      <c r="G14" s="124" t="n">
        <v>0</v>
      </c>
      <c r="I14" s="124" t="n">
        <f aca="false">IF(MONTH($A14)=MONTH($A13),IF(G14=0,I13,G14),0)</f>
        <v>0</v>
      </c>
      <c r="J14" s="124" t="n">
        <f aca="false">IF(MONTH($A14)=MONTH($A13),SUM(I14-I13),I14)</f>
        <v>0</v>
      </c>
      <c r="K14" s="124" t="n">
        <f aca="false">IF(WEEKDAY(A14,3)&gt;4,0,(IF(A14&lt;K$2,0,IF(A14&lt;=K$3,1,0))))</f>
        <v>0</v>
      </c>
      <c r="L14" s="124" t="n">
        <f aca="false">J14*K14</f>
        <v>0</v>
      </c>
      <c r="M14" s="124" t="n">
        <f aca="false">SUM(J$6:J14)</f>
        <v>0</v>
      </c>
      <c r="N14" s="124" t="n">
        <f aca="false">SUM(J$6:J14)</f>
        <v>0</v>
      </c>
      <c r="P14" s="124" t="n">
        <f aca="false">D14/P$3</f>
        <v>0</v>
      </c>
      <c r="Q14" s="124" t="n">
        <f aca="false">E14/P$3</f>
        <v>0</v>
      </c>
      <c r="R14" s="124" t="n">
        <f aca="false">F14/R$3</f>
        <v>0</v>
      </c>
      <c r="S14" s="126" t="n">
        <f aca="false">J14/$R$3</f>
        <v>0</v>
      </c>
      <c r="T14" s="126" t="n">
        <f aca="false">L14/$R$3</f>
        <v>0</v>
      </c>
      <c r="U14" s="126" t="n">
        <f aca="false">I14/$R$3</f>
        <v>0</v>
      </c>
      <c r="V14" s="126" t="n">
        <f aca="false">M14/$R$3</f>
        <v>0</v>
      </c>
      <c r="W14" s="126" t="n">
        <f aca="false">N14/$R$3</f>
        <v>0</v>
      </c>
    </row>
    <row r="15" customFormat="false" ht="12.75" hidden="true" customHeight="false" outlineLevel="0" collapsed="false">
      <c r="A15" s="120" t="n">
        <f aca="false">A14+1</f>
        <v>36901</v>
      </c>
      <c r="B15" s="131" t="str">
        <f aca="false">INDEX('Master Data'!$A$2:$B$8,MATCH(WEEKDAY('BRA PWR Certificates'!A15,3),'Master Data'!$A$2:$A$8,0),2)</f>
        <v>W</v>
      </c>
      <c r="D15" s="124" t="n">
        <v>0</v>
      </c>
      <c r="E15" s="124" t="n">
        <v>0</v>
      </c>
      <c r="F15" s="124" t="n">
        <v>0</v>
      </c>
      <c r="G15" s="124" t="n">
        <v>0</v>
      </c>
      <c r="I15" s="124" t="n">
        <f aca="false">IF(MONTH($A15)=MONTH($A14),IF(G15=0,I14,G15),0)</f>
        <v>0</v>
      </c>
      <c r="J15" s="124" t="n">
        <f aca="false">IF(MONTH($A15)=MONTH($A14),SUM(I15-I14),I15)</f>
        <v>0</v>
      </c>
      <c r="K15" s="124" t="n">
        <f aca="false">IF(WEEKDAY(A15,3)&gt;4,0,(IF(A15&lt;K$2,0,IF(A15&lt;=K$3,1,0))))</f>
        <v>0</v>
      </c>
      <c r="L15" s="124" t="n">
        <f aca="false">J15*K15</f>
        <v>0</v>
      </c>
      <c r="M15" s="124" t="n">
        <f aca="false">SUM(J$6:J15)</f>
        <v>0</v>
      </c>
      <c r="N15" s="124" t="n">
        <f aca="false">SUM(J$6:J15)</f>
        <v>0</v>
      </c>
      <c r="P15" s="124" t="n">
        <f aca="false">D15/P$3</f>
        <v>0</v>
      </c>
      <c r="Q15" s="124" t="n">
        <f aca="false">E15/P$3</f>
        <v>0</v>
      </c>
      <c r="R15" s="124" t="n">
        <f aca="false">F15/R$3</f>
        <v>0</v>
      </c>
      <c r="S15" s="126" t="n">
        <f aca="false">J15/$R$3</f>
        <v>0</v>
      </c>
      <c r="T15" s="126" t="n">
        <f aca="false">L15/$R$3</f>
        <v>0</v>
      </c>
      <c r="U15" s="126" t="n">
        <f aca="false">I15/$R$3</f>
        <v>0</v>
      </c>
      <c r="V15" s="126" t="n">
        <f aca="false">M15/$R$3</f>
        <v>0</v>
      </c>
      <c r="W15" s="126" t="n">
        <f aca="false">N15/$R$3</f>
        <v>0</v>
      </c>
    </row>
    <row r="16" customFormat="false" ht="12.75" hidden="true" customHeight="false" outlineLevel="0" collapsed="false">
      <c r="A16" s="120" t="n">
        <f aca="false">A15+1</f>
        <v>36902</v>
      </c>
      <c r="B16" s="131" t="str">
        <f aca="false">INDEX('Master Data'!$A$2:$B$8,MATCH(WEEKDAY('BRA PWR Certificates'!A16,3),'Master Data'!$A$2:$A$8,0),2)</f>
        <v>Th</v>
      </c>
      <c r="D16" s="124" t="n">
        <v>0</v>
      </c>
      <c r="E16" s="124" t="n">
        <v>0</v>
      </c>
      <c r="F16" s="124" t="n">
        <v>0</v>
      </c>
      <c r="G16" s="124" t="n">
        <v>0</v>
      </c>
      <c r="I16" s="124" t="n">
        <f aca="false">IF(MONTH($A16)=MONTH($A15),IF(G16=0,I15,G16),0)</f>
        <v>0</v>
      </c>
      <c r="J16" s="124" t="n">
        <f aca="false">IF(MONTH($A16)=MONTH($A15),SUM(I16-I15),I16)</f>
        <v>0</v>
      </c>
      <c r="K16" s="124" t="n">
        <f aca="false">IF(WEEKDAY(A16,3)&gt;4,0,(IF(A16&lt;K$2,0,IF(A16&lt;=K$3,1,0))))</f>
        <v>0</v>
      </c>
      <c r="L16" s="124" t="n">
        <f aca="false">J16*K16</f>
        <v>0</v>
      </c>
      <c r="M16" s="124" t="n">
        <f aca="false">SUM(J$6:J16)</f>
        <v>0</v>
      </c>
      <c r="N16" s="124" t="n">
        <f aca="false">SUM(J$6:J16)</f>
        <v>0</v>
      </c>
      <c r="P16" s="124" t="n">
        <f aca="false">D16/P$3</f>
        <v>0</v>
      </c>
      <c r="Q16" s="124" t="n">
        <f aca="false">E16/P$3</f>
        <v>0</v>
      </c>
      <c r="R16" s="124" t="n">
        <f aca="false">F16/R$3</f>
        <v>0</v>
      </c>
      <c r="S16" s="126" t="n">
        <f aca="false">J16/$R$3</f>
        <v>0</v>
      </c>
      <c r="T16" s="126" t="n">
        <f aca="false">L16/$R$3</f>
        <v>0</v>
      </c>
      <c r="U16" s="126" t="n">
        <f aca="false">I16/$R$3</f>
        <v>0</v>
      </c>
      <c r="V16" s="126" t="n">
        <f aca="false">M16/$R$3</f>
        <v>0</v>
      </c>
      <c r="W16" s="126" t="n">
        <f aca="false">N16/$R$3</f>
        <v>0</v>
      </c>
    </row>
    <row r="17" customFormat="false" ht="12.75" hidden="true" customHeight="false" outlineLevel="0" collapsed="false">
      <c r="A17" s="120" t="n">
        <f aca="false">A16+1</f>
        <v>36903</v>
      </c>
      <c r="B17" s="131" t="str">
        <f aca="false">INDEX('Master Data'!$A$2:$B$8,MATCH(WEEKDAY('BRA PWR Certificates'!A17,3),'Master Data'!$A$2:$A$8,0),2)</f>
        <v>F</v>
      </c>
      <c r="D17" s="124" t="n">
        <v>0</v>
      </c>
      <c r="E17" s="124" t="n">
        <v>0</v>
      </c>
      <c r="F17" s="124" t="n">
        <v>0</v>
      </c>
      <c r="G17" s="124" t="n">
        <v>0</v>
      </c>
      <c r="I17" s="124" t="n">
        <f aca="false">IF(MONTH($A17)=MONTH($A16),IF(G17=0,I16,G17),0)</f>
        <v>0</v>
      </c>
      <c r="J17" s="124" t="n">
        <f aca="false">IF(MONTH($A17)=MONTH($A16),SUM(I17-I16),I17)</f>
        <v>0</v>
      </c>
      <c r="K17" s="124" t="n">
        <f aca="false">IF(WEEKDAY(A17,3)&gt;4,0,(IF(A17&lt;K$2,0,IF(A17&lt;=K$3,1,0))))</f>
        <v>0</v>
      </c>
      <c r="L17" s="124" t="n">
        <f aca="false">J17*K17</f>
        <v>0</v>
      </c>
      <c r="M17" s="124" t="n">
        <f aca="false">SUM(J$6:J17)</f>
        <v>0</v>
      </c>
      <c r="N17" s="124" t="n">
        <f aca="false">SUM(J$6:J17)</f>
        <v>0</v>
      </c>
      <c r="P17" s="124" t="n">
        <f aca="false">D17/P$3</f>
        <v>0</v>
      </c>
      <c r="Q17" s="124" t="n">
        <f aca="false">E17/P$3</f>
        <v>0</v>
      </c>
      <c r="R17" s="124" t="n">
        <f aca="false">F17/R$3</f>
        <v>0</v>
      </c>
      <c r="S17" s="126" t="n">
        <f aca="false">J17/$R$3</f>
        <v>0</v>
      </c>
      <c r="T17" s="126" t="n">
        <f aca="false">L17/$R$3</f>
        <v>0</v>
      </c>
      <c r="U17" s="126" t="n">
        <f aca="false">I17/$R$3</f>
        <v>0</v>
      </c>
      <c r="V17" s="126" t="n">
        <f aca="false">M17/$R$3</f>
        <v>0</v>
      </c>
      <c r="W17" s="126" t="n">
        <f aca="false">N17/$R$3</f>
        <v>0</v>
      </c>
    </row>
    <row r="18" customFormat="false" ht="12.75" hidden="true" customHeight="false" outlineLevel="0" collapsed="false">
      <c r="A18" s="120" t="n">
        <f aca="false">A17+1</f>
        <v>36904</v>
      </c>
      <c r="B18" s="131" t="str">
        <f aca="false">INDEX('Master Data'!$A$2:$B$8,MATCH(WEEKDAY('BRA PWR Certificates'!A18,3),'Master Data'!$A$2:$A$8,0),2)</f>
        <v>Sa</v>
      </c>
      <c r="D18" s="124" t="n">
        <v>0</v>
      </c>
      <c r="E18" s="124" t="n">
        <v>0</v>
      </c>
      <c r="F18" s="124" t="n">
        <v>0</v>
      </c>
      <c r="G18" s="124" t="n">
        <v>0</v>
      </c>
      <c r="I18" s="124" t="n">
        <f aca="false">IF(MONTH($A18)=MONTH($A17),IF(G18=0,I17,G18),0)</f>
        <v>0</v>
      </c>
      <c r="J18" s="124" t="n">
        <f aca="false">IF(MONTH($A18)=MONTH($A17),SUM(I18-I17),I18)</f>
        <v>0</v>
      </c>
      <c r="K18" s="124" t="n">
        <f aca="false">IF(WEEKDAY(A18,3)&gt;4,0,(IF(A18&lt;K$2,0,IF(A18&lt;=K$3,1,0))))</f>
        <v>0</v>
      </c>
      <c r="L18" s="124" t="n">
        <f aca="false">J18*K18</f>
        <v>0</v>
      </c>
      <c r="M18" s="124" t="n">
        <f aca="false">SUM(J$6:J18)</f>
        <v>0</v>
      </c>
      <c r="N18" s="124" t="n">
        <f aca="false">SUM(J$6:J18)</f>
        <v>0</v>
      </c>
      <c r="P18" s="124" t="n">
        <f aca="false">D18/P$3</f>
        <v>0</v>
      </c>
      <c r="Q18" s="124" t="n">
        <f aca="false">E18/P$3</f>
        <v>0</v>
      </c>
      <c r="R18" s="124" t="n">
        <f aca="false">F18/R$3</f>
        <v>0</v>
      </c>
      <c r="S18" s="126" t="n">
        <f aca="false">J18/$R$3</f>
        <v>0</v>
      </c>
      <c r="T18" s="126" t="n">
        <f aca="false">L18/$R$3</f>
        <v>0</v>
      </c>
      <c r="U18" s="126" t="n">
        <f aca="false">I18/$R$3</f>
        <v>0</v>
      </c>
      <c r="V18" s="126" t="n">
        <f aca="false">M18/$R$3</f>
        <v>0</v>
      </c>
      <c r="W18" s="126" t="n">
        <f aca="false">N18/$R$3</f>
        <v>0</v>
      </c>
    </row>
    <row r="19" customFormat="false" ht="12.75" hidden="true" customHeight="false" outlineLevel="0" collapsed="false">
      <c r="A19" s="120" t="n">
        <f aca="false">A18+1</f>
        <v>36905</v>
      </c>
      <c r="B19" s="131" t="str">
        <f aca="false">INDEX('Master Data'!$A$2:$B$8,MATCH(WEEKDAY('BRA PWR Certificates'!A19,3),'Master Data'!$A$2:$A$8,0),2)</f>
        <v>Su</v>
      </c>
      <c r="D19" s="124" t="n">
        <v>0</v>
      </c>
      <c r="E19" s="124" t="n">
        <v>0</v>
      </c>
      <c r="F19" s="124" t="n">
        <v>0</v>
      </c>
      <c r="G19" s="124" t="n">
        <v>0</v>
      </c>
      <c r="I19" s="124" t="n">
        <f aca="false">IF(MONTH($A19)=MONTH($A18),IF(G19=0,I18,G19),0)</f>
        <v>0</v>
      </c>
      <c r="J19" s="124" t="n">
        <f aca="false">IF(MONTH($A19)=MONTH($A18),SUM(I19-I18),I19)</f>
        <v>0</v>
      </c>
      <c r="K19" s="124" t="n">
        <f aca="false">IF(WEEKDAY(A19,3)&gt;4,0,(IF(A19&lt;K$2,0,IF(A19&lt;=K$3,1,0))))</f>
        <v>0</v>
      </c>
      <c r="L19" s="124" t="n">
        <f aca="false">J19*K19</f>
        <v>0</v>
      </c>
      <c r="M19" s="124" t="n">
        <f aca="false">SUM(J$6:J19)</f>
        <v>0</v>
      </c>
      <c r="N19" s="124" t="n">
        <f aca="false">SUM(J$6:J19)</f>
        <v>0</v>
      </c>
      <c r="P19" s="124" t="n">
        <f aca="false">D19/P$3</f>
        <v>0</v>
      </c>
      <c r="Q19" s="124" t="n">
        <f aca="false">E19/P$3</f>
        <v>0</v>
      </c>
      <c r="R19" s="124" t="n">
        <f aca="false">F19/R$3</f>
        <v>0</v>
      </c>
      <c r="S19" s="126" t="n">
        <f aca="false">J19/$R$3</f>
        <v>0</v>
      </c>
      <c r="T19" s="126" t="n">
        <f aca="false">L19/$R$3</f>
        <v>0</v>
      </c>
      <c r="U19" s="126" t="n">
        <f aca="false">I19/$R$3</f>
        <v>0</v>
      </c>
      <c r="V19" s="126" t="n">
        <f aca="false">M19/$R$3</f>
        <v>0</v>
      </c>
      <c r="W19" s="126" t="n">
        <f aca="false">N19/$R$3</f>
        <v>0</v>
      </c>
    </row>
    <row r="20" customFormat="false" ht="12.75" hidden="true" customHeight="false" outlineLevel="0" collapsed="false">
      <c r="A20" s="120" t="n">
        <f aca="false">A19+1</f>
        <v>36906</v>
      </c>
      <c r="B20" s="131" t="str">
        <f aca="false">INDEX('Master Data'!$A$2:$B$8,MATCH(WEEKDAY('BRA PWR Certificates'!A20,3),'Master Data'!$A$2:$A$8,0),2)</f>
        <v>M</v>
      </c>
      <c r="D20" s="124" t="n">
        <v>0</v>
      </c>
      <c r="E20" s="124" t="n">
        <v>0</v>
      </c>
      <c r="F20" s="124" t="n">
        <v>0</v>
      </c>
      <c r="G20" s="124" t="n">
        <v>0</v>
      </c>
      <c r="I20" s="124" t="n">
        <f aca="false">IF(MONTH($A20)=MONTH($A19),IF(G20=0,I19,G20),0)</f>
        <v>0</v>
      </c>
      <c r="J20" s="124" t="n">
        <f aca="false">IF(MONTH($A20)=MONTH($A19),SUM(I20-I19),I20)</f>
        <v>0</v>
      </c>
      <c r="K20" s="124" t="n">
        <f aca="false">IF(WEEKDAY(A20,3)&gt;4,0,(IF(A20&lt;K$2,0,IF(A20&lt;=K$3,1,0))))</f>
        <v>0</v>
      </c>
      <c r="L20" s="124" t="n">
        <f aca="false">J20*K20</f>
        <v>0</v>
      </c>
      <c r="M20" s="124" t="n">
        <f aca="false">SUM(J$6:J20)</f>
        <v>0</v>
      </c>
      <c r="N20" s="124" t="n">
        <f aca="false">SUM(J$6:J20)</f>
        <v>0</v>
      </c>
      <c r="P20" s="124" t="n">
        <f aca="false">D20/P$3</f>
        <v>0</v>
      </c>
      <c r="Q20" s="124" t="n">
        <f aca="false">E20/P$3</f>
        <v>0</v>
      </c>
      <c r="R20" s="124" t="n">
        <f aca="false">F20/R$3</f>
        <v>0</v>
      </c>
      <c r="S20" s="126" t="n">
        <f aca="false">J20/$R$3</f>
        <v>0</v>
      </c>
      <c r="T20" s="126" t="n">
        <f aca="false">L20/$R$3</f>
        <v>0</v>
      </c>
      <c r="U20" s="126" t="n">
        <f aca="false">I20/$R$3</f>
        <v>0</v>
      </c>
      <c r="V20" s="126" t="n">
        <f aca="false">M20/$R$3</f>
        <v>0</v>
      </c>
      <c r="W20" s="126" t="n">
        <f aca="false">N20/$R$3</f>
        <v>0</v>
      </c>
    </row>
    <row r="21" customFormat="false" ht="12.75" hidden="true" customHeight="false" outlineLevel="0" collapsed="false">
      <c r="A21" s="120" t="n">
        <f aca="false">A20+1</f>
        <v>36907</v>
      </c>
      <c r="B21" s="131" t="str">
        <f aca="false">INDEX('Master Data'!$A$2:$B$8,MATCH(WEEKDAY('BRA PWR Certificates'!A21,3),'Master Data'!$A$2:$A$8,0),2)</f>
        <v>T</v>
      </c>
      <c r="D21" s="124" t="n">
        <v>0</v>
      </c>
      <c r="E21" s="124" t="n">
        <v>0</v>
      </c>
      <c r="F21" s="124" t="n">
        <v>0</v>
      </c>
      <c r="G21" s="124" t="n">
        <v>0</v>
      </c>
      <c r="I21" s="124" t="n">
        <f aca="false">IF(MONTH($A21)=MONTH($A20),IF(G21=0,I20,G21),0)</f>
        <v>0</v>
      </c>
      <c r="J21" s="124" t="n">
        <f aca="false">IF(MONTH($A21)=MONTH($A20),SUM(I21-I20),I21)</f>
        <v>0</v>
      </c>
      <c r="K21" s="124" t="n">
        <f aca="false">IF(WEEKDAY(A21,3)&gt;4,0,(IF(A21&lt;K$2,0,IF(A21&lt;=K$3,1,0))))</f>
        <v>0</v>
      </c>
      <c r="L21" s="124" t="n">
        <f aca="false">J21*K21</f>
        <v>0</v>
      </c>
      <c r="M21" s="124" t="n">
        <f aca="false">SUM(J$6:J21)</f>
        <v>0</v>
      </c>
      <c r="N21" s="124" t="n">
        <f aca="false">SUM(J$6:J21)</f>
        <v>0</v>
      </c>
      <c r="P21" s="124" t="n">
        <f aca="false">D21/P$3</f>
        <v>0</v>
      </c>
      <c r="Q21" s="124" t="n">
        <f aca="false">E21/P$3</f>
        <v>0</v>
      </c>
      <c r="R21" s="124" t="n">
        <f aca="false">F21/R$3</f>
        <v>0</v>
      </c>
      <c r="S21" s="126" t="n">
        <f aca="false">J21/$R$3</f>
        <v>0</v>
      </c>
      <c r="T21" s="126" t="n">
        <f aca="false">L21/$R$3</f>
        <v>0</v>
      </c>
      <c r="U21" s="126" t="n">
        <f aca="false">I21/$R$3</f>
        <v>0</v>
      </c>
      <c r="V21" s="126" t="n">
        <f aca="false">M21/$R$3</f>
        <v>0</v>
      </c>
      <c r="W21" s="126" t="n">
        <f aca="false">N21/$R$3</f>
        <v>0</v>
      </c>
    </row>
    <row r="22" customFormat="false" ht="12.75" hidden="true" customHeight="false" outlineLevel="0" collapsed="false">
      <c r="A22" s="120" t="n">
        <f aca="false">A21+1</f>
        <v>36908</v>
      </c>
      <c r="B22" s="131" t="str">
        <f aca="false">INDEX('Master Data'!$A$2:$B$8,MATCH(WEEKDAY('BRA PWR Certificates'!A22,3),'Master Data'!$A$2:$A$8,0),2)</f>
        <v>W</v>
      </c>
      <c r="D22" s="124" t="n">
        <v>0</v>
      </c>
      <c r="E22" s="124" t="n">
        <v>0</v>
      </c>
      <c r="F22" s="124" t="n">
        <v>0</v>
      </c>
      <c r="G22" s="124" t="n">
        <v>0</v>
      </c>
      <c r="I22" s="124" t="n">
        <f aca="false">IF(MONTH($A22)=MONTH($A21),IF(G22=0,I21,G22),0)</f>
        <v>0</v>
      </c>
      <c r="J22" s="124" t="n">
        <f aca="false">IF(MONTH($A22)=MONTH($A21),SUM(I22-I21),I22)</f>
        <v>0</v>
      </c>
      <c r="K22" s="124" t="n">
        <f aca="false">IF(WEEKDAY(A22,3)&gt;4,0,(IF(A22&lt;K$2,0,IF(A22&lt;=K$3,1,0))))</f>
        <v>0</v>
      </c>
      <c r="L22" s="124" t="n">
        <f aca="false">J22*K22</f>
        <v>0</v>
      </c>
      <c r="M22" s="124" t="n">
        <f aca="false">SUM(J$6:J22)</f>
        <v>0</v>
      </c>
      <c r="N22" s="124" t="n">
        <f aca="false">SUM(J$6:J22)</f>
        <v>0</v>
      </c>
      <c r="P22" s="124" t="n">
        <f aca="false">D22/P$3</f>
        <v>0</v>
      </c>
      <c r="Q22" s="124" t="n">
        <f aca="false">E22/P$3</f>
        <v>0</v>
      </c>
      <c r="R22" s="124" t="n">
        <f aca="false">F22/R$3</f>
        <v>0</v>
      </c>
      <c r="S22" s="126" t="n">
        <f aca="false">J22/$R$3</f>
        <v>0</v>
      </c>
      <c r="T22" s="126" t="n">
        <f aca="false">L22/$R$3</f>
        <v>0</v>
      </c>
      <c r="U22" s="126" t="n">
        <f aca="false">I22/$R$3</f>
        <v>0</v>
      </c>
      <c r="V22" s="126" t="n">
        <f aca="false">M22/$R$3</f>
        <v>0</v>
      </c>
      <c r="W22" s="126" t="n">
        <f aca="false">N22/$R$3</f>
        <v>0</v>
      </c>
    </row>
    <row r="23" customFormat="false" ht="12.75" hidden="true" customHeight="false" outlineLevel="0" collapsed="false">
      <c r="A23" s="120" t="n">
        <f aca="false">A22+1</f>
        <v>36909</v>
      </c>
      <c r="B23" s="131" t="str">
        <f aca="false">INDEX('Master Data'!$A$2:$B$8,MATCH(WEEKDAY('BRA PWR Certificates'!A23,3),'Master Data'!$A$2:$A$8,0),2)</f>
        <v>Th</v>
      </c>
      <c r="D23" s="124" t="n">
        <v>0</v>
      </c>
      <c r="E23" s="124" t="n">
        <v>0</v>
      </c>
      <c r="F23" s="124" t="n">
        <v>0</v>
      </c>
      <c r="G23" s="124" t="n">
        <v>0</v>
      </c>
      <c r="I23" s="124" t="n">
        <f aca="false">IF(MONTH($A23)=MONTH($A22),IF(G23=0,I22,G23),0)</f>
        <v>0</v>
      </c>
      <c r="J23" s="124" t="n">
        <f aca="false">IF(MONTH($A23)=MONTH($A22),SUM(I23-I22),I23)</f>
        <v>0</v>
      </c>
      <c r="K23" s="124" t="n">
        <f aca="false">IF(WEEKDAY(A23,3)&gt;4,0,(IF(A23&lt;K$2,0,IF(A23&lt;=K$3,1,0))))</f>
        <v>0</v>
      </c>
      <c r="L23" s="124" t="n">
        <f aca="false">J23*K23</f>
        <v>0</v>
      </c>
      <c r="M23" s="124" t="n">
        <f aca="false">SUM(J$6:J23)</f>
        <v>0</v>
      </c>
      <c r="N23" s="124" t="n">
        <f aca="false">SUM(J$6:J23)</f>
        <v>0</v>
      </c>
      <c r="P23" s="124" t="n">
        <f aca="false">D23/P$3</f>
        <v>0</v>
      </c>
      <c r="Q23" s="124" t="n">
        <f aca="false">E23/P$3</f>
        <v>0</v>
      </c>
      <c r="R23" s="124" t="n">
        <f aca="false">F23/R$3</f>
        <v>0</v>
      </c>
      <c r="S23" s="126" t="n">
        <f aca="false">J23/$R$3</f>
        <v>0</v>
      </c>
      <c r="T23" s="126" t="n">
        <f aca="false">L23/$R$3</f>
        <v>0</v>
      </c>
      <c r="U23" s="126" t="n">
        <f aca="false">I23/$R$3</f>
        <v>0</v>
      </c>
      <c r="V23" s="126" t="n">
        <f aca="false">M23/$R$3</f>
        <v>0</v>
      </c>
      <c r="W23" s="126" t="n">
        <f aca="false">N23/$R$3</f>
        <v>0</v>
      </c>
    </row>
    <row r="24" customFormat="false" ht="12.75" hidden="true" customHeight="false" outlineLevel="0" collapsed="false">
      <c r="A24" s="120" t="n">
        <f aca="false">A23+1</f>
        <v>36910</v>
      </c>
      <c r="B24" s="131" t="str">
        <f aca="false">INDEX('Master Data'!$A$2:$B$8,MATCH(WEEKDAY('BRA PWR Certificates'!A24,3),'Master Data'!$A$2:$A$8,0),2)</f>
        <v>F</v>
      </c>
      <c r="D24" s="124" t="n">
        <v>0</v>
      </c>
      <c r="E24" s="124" t="n">
        <v>0</v>
      </c>
      <c r="F24" s="124" t="n">
        <v>0</v>
      </c>
      <c r="G24" s="124" t="n">
        <v>0</v>
      </c>
      <c r="I24" s="124" t="n">
        <f aca="false">IF(MONTH($A24)=MONTH($A23),IF(G24=0,I23,G24),0)</f>
        <v>0</v>
      </c>
      <c r="J24" s="124" t="n">
        <f aca="false">IF(MONTH($A24)=MONTH($A23),SUM(I24-I23),I24)</f>
        <v>0</v>
      </c>
      <c r="K24" s="124" t="n">
        <f aca="false">IF(WEEKDAY(A24,3)&gt;4,0,(IF(A24&lt;K$2,0,IF(A24&lt;=K$3,1,0))))</f>
        <v>0</v>
      </c>
      <c r="L24" s="124" t="n">
        <f aca="false">J24*K24</f>
        <v>0</v>
      </c>
      <c r="M24" s="124" t="n">
        <f aca="false">SUM(J$6:J24)</f>
        <v>0</v>
      </c>
      <c r="N24" s="124" t="n">
        <f aca="false">SUM(J$6:J24)</f>
        <v>0</v>
      </c>
      <c r="P24" s="124" t="n">
        <f aca="false">D24/P$3</f>
        <v>0</v>
      </c>
      <c r="Q24" s="124" t="n">
        <f aca="false">E24/P$3</f>
        <v>0</v>
      </c>
      <c r="R24" s="124" t="n">
        <f aca="false">F24/R$3</f>
        <v>0</v>
      </c>
      <c r="S24" s="126" t="n">
        <f aca="false">J24/$R$3</f>
        <v>0</v>
      </c>
      <c r="T24" s="126" t="n">
        <f aca="false">L24/$R$3</f>
        <v>0</v>
      </c>
      <c r="U24" s="126" t="n">
        <f aca="false">I24/$R$3</f>
        <v>0</v>
      </c>
      <c r="V24" s="126" t="n">
        <f aca="false">M24/$R$3</f>
        <v>0</v>
      </c>
      <c r="W24" s="126" t="n">
        <f aca="false">N24/$R$3</f>
        <v>0</v>
      </c>
    </row>
    <row r="25" customFormat="false" ht="12.75" hidden="true" customHeight="false" outlineLevel="0" collapsed="false">
      <c r="A25" s="120" t="n">
        <f aca="false">A24+1</f>
        <v>36911</v>
      </c>
      <c r="B25" s="131" t="str">
        <f aca="false">INDEX('Master Data'!$A$2:$B$8,MATCH(WEEKDAY('BRA PWR Certificates'!A25,3),'Master Data'!$A$2:$A$8,0),2)</f>
        <v>Sa</v>
      </c>
      <c r="D25" s="124" t="n">
        <v>0</v>
      </c>
      <c r="E25" s="124" t="n">
        <v>0</v>
      </c>
      <c r="F25" s="124" t="n">
        <v>0</v>
      </c>
      <c r="G25" s="124" t="n">
        <v>0</v>
      </c>
      <c r="I25" s="124" t="n">
        <f aca="false">IF(MONTH($A25)=MONTH($A24),IF(G25=0,I24,G25),0)</f>
        <v>0</v>
      </c>
      <c r="J25" s="124" t="n">
        <f aca="false">IF(MONTH($A25)=MONTH($A24),SUM(I25-I24),I25)</f>
        <v>0</v>
      </c>
      <c r="K25" s="124" t="n">
        <f aca="false">IF(WEEKDAY(A25,3)&gt;4,0,(IF(A25&lt;K$2,0,IF(A25&lt;=K$3,1,0))))</f>
        <v>0</v>
      </c>
      <c r="L25" s="124" t="n">
        <f aca="false">J25*K25</f>
        <v>0</v>
      </c>
      <c r="M25" s="124" t="n">
        <f aca="false">SUM(J$6:J25)</f>
        <v>0</v>
      </c>
      <c r="N25" s="124" t="n">
        <f aca="false">SUM(J$6:J25)</f>
        <v>0</v>
      </c>
      <c r="P25" s="124" t="n">
        <f aca="false">D25/P$3</f>
        <v>0</v>
      </c>
      <c r="Q25" s="124" t="n">
        <f aca="false">E25/P$3</f>
        <v>0</v>
      </c>
      <c r="R25" s="124" t="n">
        <f aca="false">F25/R$3</f>
        <v>0</v>
      </c>
      <c r="S25" s="126" t="n">
        <f aca="false">J25/$R$3</f>
        <v>0</v>
      </c>
      <c r="T25" s="126" t="n">
        <f aca="false">L25/$R$3</f>
        <v>0</v>
      </c>
      <c r="U25" s="126" t="n">
        <f aca="false">I25/$R$3</f>
        <v>0</v>
      </c>
      <c r="V25" s="126" t="n">
        <f aca="false">M25/$R$3</f>
        <v>0</v>
      </c>
      <c r="W25" s="126" t="n">
        <f aca="false">N25/$R$3</f>
        <v>0</v>
      </c>
    </row>
    <row r="26" customFormat="false" ht="12.75" hidden="true" customHeight="false" outlineLevel="0" collapsed="false">
      <c r="A26" s="120" t="n">
        <f aca="false">A25+1</f>
        <v>36912</v>
      </c>
      <c r="B26" s="131" t="str">
        <f aca="false">INDEX('Master Data'!$A$2:$B$8,MATCH(WEEKDAY('BRA PWR Certificates'!A26,3),'Master Data'!$A$2:$A$8,0),2)</f>
        <v>Su</v>
      </c>
      <c r="D26" s="124" t="n">
        <v>0</v>
      </c>
      <c r="E26" s="124" t="n">
        <v>0</v>
      </c>
      <c r="F26" s="124" t="n">
        <v>0</v>
      </c>
      <c r="G26" s="124" t="n">
        <v>0</v>
      </c>
      <c r="I26" s="124" t="n">
        <f aca="false">IF(MONTH($A26)=MONTH($A25),IF(G26=0,I25,G26),0)</f>
        <v>0</v>
      </c>
      <c r="J26" s="124" t="n">
        <f aca="false">IF(MONTH($A26)=MONTH($A25),SUM(I26-I25),I26)</f>
        <v>0</v>
      </c>
      <c r="K26" s="124" t="n">
        <f aca="false">IF(WEEKDAY(A26,3)&gt;4,0,(IF(A26&lt;K$2,0,IF(A26&lt;=K$3,1,0))))</f>
        <v>0</v>
      </c>
      <c r="L26" s="124" t="n">
        <f aca="false">J26*K26</f>
        <v>0</v>
      </c>
      <c r="M26" s="124" t="n">
        <f aca="false">SUM(J$6:J26)</f>
        <v>0</v>
      </c>
      <c r="N26" s="124" t="n">
        <f aca="false">SUM(J$6:J26)</f>
        <v>0</v>
      </c>
      <c r="P26" s="124" t="n">
        <f aca="false">D26/P$3</f>
        <v>0</v>
      </c>
      <c r="Q26" s="124" t="n">
        <f aca="false">E26/P$3</f>
        <v>0</v>
      </c>
      <c r="R26" s="124" t="n">
        <f aca="false">F26/R$3</f>
        <v>0</v>
      </c>
      <c r="S26" s="126" t="n">
        <f aca="false">J26/$R$3</f>
        <v>0</v>
      </c>
      <c r="T26" s="126" t="n">
        <f aca="false">L26/$R$3</f>
        <v>0</v>
      </c>
      <c r="U26" s="126" t="n">
        <f aca="false">I26/$R$3</f>
        <v>0</v>
      </c>
      <c r="V26" s="126" t="n">
        <f aca="false">M26/$R$3</f>
        <v>0</v>
      </c>
      <c r="W26" s="126" t="n">
        <f aca="false">N26/$R$3</f>
        <v>0</v>
      </c>
    </row>
    <row r="27" customFormat="false" ht="12.75" hidden="true" customHeight="false" outlineLevel="0" collapsed="false">
      <c r="A27" s="120" t="n">
        <f aca="false">A26+1</f>
        <v>36913</v>
      </c>
      <c r="B27" s="131" t="str">
        <f aca="false">INDEX('Master Data'!$A$2:$B$8,MATCH(WEEKDAY('BRA PWR Certificates'!A27,3),'Master Data'!$A$2:$A$8,0),2)</f>
        <v>M</v>
      </c>
      <c r="D27" s="124" t="n">
        <v>0</v>
      </c>
      <c r="E27" s="124" t="n">
        <v>0</v>
      </c>
      <c r="F27" s="124" t="n">
        <v>0</v>
      </c>
      <c r="G27" s="124" t="n">
        <v>0</v>
      </c>
      <c r="I27" s="124" t="n">
        <f aca="false">IF(MONTH($A27)=MONTH($A26),IF(G27=0,I26,G27),0)</f>
        <v>0</v>
      </c>
      <c r="J27" s="124" t="n">
        <f aca="false">IF(MONTH($A27)=MONTH($A26),SUM(I27-I26),I27)</f>
        <v>0</v>
      </c>
      <c r="K27" s="124" t="n">
        <f aca="false">IF(WEEKDAY(A27,3)&gt;4,0,(IF(A27&lt;K$2,0,IF(A27&lt;=K$3,1,0))))</f>
        <v>0</v>
      </c>
      <c r="L27" s="124" t="n">
        <f aca="false">J27*K27</f>
        <v>0</v>
      </c>
      <c r="M27" s="124" t="n">
        <f aca="false">SUM(J$6:J27)</f>
        <v>0</v>
      </c>
      <c r="N27" s="124" t="n">
        <f aca="false">SUM(J$6:J27)</f>
        <v>0</v>
      </c>
      <c r="P27" s="124" t="n">
        <f aca="false">D27/P$3</f>
        <v>0</v>
      </c>
      <c r="Q27" s="124" t="n">
        <f aca="false">E27/P$3</f>
        <v>0</v>
      </c>
      <c r="R27" s="124" t="n">
        <f aca="false">F27/R$3</f>
        <v>0</v>
      </c>
      <c r="S27" s="126" t="n">
        <f aca="false">J27/$R$3</f>
        <v>0</v>
      </c>
      <c r="T27" s="126" t="n">
        <f aca="false">L27/$R$3</f>
        <v>0</v>
      </c>
      <c r="U27" s="126" t="n">
        <f aca="false">I27/$R$3</f>
        <v>0</v>
      </c>
      <c r="V27" s="126" t="n">
        <f aca="false">M27/$R$3</f>
        <v>0</v>
      </c>
      <c r="W27" s="126" t="n">
        <f aca="false">N27/$R$3</f>
        <v>0</v>
      </c>
    </row>
    <row r="28" customFormat="false" ht="12.75" hidden="true" customHeight="false" outlineLevel="0" collapsed="false">
      <c r="A28" s="120" t="n">
        <f aca="false">A27+1</f>
        <v>36914</v>
      </c>
      <c r="B28" s="131" t="str">
        <f aca="false">INDEX('Master Data'!$A$2:$B$8,MATCH(WEEKDAY('BRA PWR Certificates'!A28,3),'Master Data'!$A$2:$A$8,0),2)</f>
        <v>T</v>
      </c>
      <c r="D28" s="124" t="n">
        <v>0</v>
      </c>
      <c r="E28" s="124" t="n">
        <v>0</v>
      </c>
      <c r="F28" s="124" t="n">
        <v>0</v>
      </c>
      <c r="G28" s="124" t="n">
        <v>0</v>
      </c>
      <c r="I28" s="124" t="n">
        <f aca="false">IF(MONTH($A28)=MONTH($A27),IF(G28=0,I27,G28),0)</f>
        <v>0</v>
      </c>
      <c r="J28" s="124" t="n">
        <f aca="false">IF(MONTH($A28)=MONTH($A27),SUM(I28-I27),I28)</f>
        <v>0</v>
      </c>
      <c r="K28" s="124" t="n">
        <f aca="false">IF(WEEKDAY(A28,3)&gt;4,0,(IF(A28&lt;K$2,0,IF(A28&lt;=K$3,1,0))))</f>
        <v>0</v>
      </c>
      <c r="L28" s="124" t="n">
        <f aca="false">J28*K28</f>
        <v>0</v>
      </c>
      <c r="M28" s="124" t="n">
        <f aca="false">SUM(J$6:J28)</f>
        <v>0</v>
      </c>
      <c r="N28" s="124" t="n">
        <f aca="false">SUM(J$6:J28)</f>
        <v>0</v>
      </c>
      <c r="P28" s="124" t="n">
        <f aca="false">D28/P$3</f>
        <v>0</v>
      </c>
      <c r="Q28" s="124" t="n">
        <f aca="false">E28/P$3</f>
        <v>0</v>
      </c>
      <c r="R28" s="124" t="n">
        <f aca="false">F28/R$3</f>
        <v>0</v>
      </c>
      <c r="S28" s="126" t="n">
        <f aca="false">J28/$R$3</f>
        <v>0</v>
      </c>
      <c r="T28" s="126" t="n">
        <f aca="false">L28/$R$3</f>
        <v>0</v>
      </c>
      <c r="U28" s="126" t="n">
        <f aca="false">I28/$R$3</f>
        <v>0</v>
      </c>
      <c r="V28" s="126" t="n">
        <f aca="false">M28/$R$3</f>
        <v>0</v>
      </c>
      <c r="W28" s="126" t="n">
        <f aca="false">N28/$R$3</f>
        <v>0</v>
      </c>
    </row>
    <row r="29" customFormat="false" ht="12.75" hidden="true" customHeight="false" outlineLevel="0" collapsed="false">
      <c r="A29" s="120" t="n">
        <f aca="false">A28+1</f>
        <v>36915</v>
      </c>
      <c r="B29" s="131" t="str">
        <f aca="false">INDEX('Master Data'!$A$2:$B$8,MATCH(WEEKDAY('BRA PWR Certificates'!A29,3),'Master Data'!$A$2:$A$8,0),2)</f>
        <v>W</v>
      </c>
      <c r="D29" s="124" t="n">
        <v>0</v>
      </c>
      <c r="E29" s="124" t="n">
        <v>0</v>
      </c>
      <c r="F29" s="124" t="n">
        <v>0</v>
      </c>
      <c r="G29" s="124" t="n">
        <v>0</v>
      </c>
      <c r="I29" s="124" t="n">
        <f aca="false">IF(MONTH($A29)=MONTH($A28),IF(G29=0,I28,G29),0)</f>
        <v>0</v>
      </c>
      <c r="J29" s="124" t="n">
        <f aca="false">IF(MONTH($A29)=MONTH($A28),SUM(I29-I28),I29)</f>
        <v>0</v>
      </c>
      <c r="K29" s="124" t="n">
        <f aca="false">IF(WEEKDAY(A29,3)&gt;4,0,(IF(A29&lt;K$2,0,IF(A29&lt;=K$3,1,0))))</f>
        <v>0</v>
      </c>
      <c r="L29" s="124" t="n">
        <f aca="false">J29*K29</f>
        <v>0</v>
      </c>
      <c r="M29" s="124" t="n">
        <f aca="false">SUM(J$6:J29)</f>
        <v>0</v>
      </c>
      <c r="N29" s="124" t="n">
        <f aca="false">SUM(J$6:J29)</f>
        <v>0</v>
      </c>
      <c r="P29" s="124" t="n">
        <f aca="false">D29/P$3</f>
        <v>0</v>
      </c>
      <c r="Q29" s="124" t="n">
        <f aca="false">E29/P$3</f>
        <v>0</v>
      </c>
      <c r="R29" s="124" t="n">
        <f aca="false">F29/R$3</f>
        <v>0</v>
      </c>
      <c r="S29" s="126" t="n">
        <f aca="false">J29/$R$3</f>
        <v>0</v>
      </c>
      <c r="T29" s="126" t="n">
        <f aca="false">L29/$R$3</f>
        <v>0</v>
      </c>
      <c r="U29" s="126" t="n">
        <f aca="false">I29/$R$3</f>
        <v>0</v>
      </c>
      <c r="V29" s="126" t="n">
        <f aca="false">M29/$R$3</f>
        <v>0</v>
      </c>
      <c r="W29" s="126" t="n">
        <f aca="false">N29/$R$3</f>
        <v>0</v>
      </c>
    </row>
    <row r="30" customFormat="false" ht="12.75" hidden="true" customHeight="false" outlineLevel="0" collapsed="false">
      <c r="A30" s="120" t="n">
        <f aca="false">A29+1</f>
        <v>36916</v>
      </c>
      <c r="B30" s="131" t="str">
        <f aca="false">INDEX('Master Data'!$A$2:$B$8,MATCH(WEEKDAY('BRA PWR Certificates'!A30,3),'Master Data'!$A$2:$A$8,0),2)</f>
        <v>Th</v>
      </c>
      <c r="D30" s="124" t="n">
        <v>0</v>
      </c>
      <c r="E30" s="124" t="n">
        <v>0</v>
      </c>
      <c r="F30" s="124" t="n">
        <v>0</v>
      </c>
      <c r="G30" s="124" t="n">
        <v>0</v>
      </c>
      <c r="I30" s="124" t="n">
        <f aca="false">IF(MONTH($A30)=MONTH($A29),IF(G30=0,I29,G30),0)</f>
        <v>0</v>
      </c>
      <c r="J30" s="124" t="n">
        <f aca="false">IF(MONTH($A30)=MONTH($A29),SUM(I30-I29),I30)</f>
        <v>0</v>
      </c>
      <c r="K30" s="124" t="n">
        <f aca="false">IF(WEEKDAY(A30,3)&gt;4,0,(IF(A30&lt;K$2,0,IF(A30&lt;=K$3,1,0))))</f>
        <v>0</v>
      </c>
      <c r="L30" s="124" t="n">
        <f aca="false">J30*K30</f>
        <v>0</v>
      </c>
      <c r="M30" s="124" t="n">
        <f aca="false">SUM(J$6:J30)</f>
        <v>0</v>
      </c>
      <c r="N30" s="124" t="n">
        <f aca="false">SUM(J$6:J30)</f>
        <v>0</v>
      </c>
      <c r="P30" s="124" t="n">
        <f aca="false">D30/P$3</f>
        <v>0</v>
      </c>
      <c r="Q30" s="124" t="n">
        <f aca="false">E30/P$3</f>
        <v>0</v>
      </c>
      <c r="R30" s="124" t="n">
        <f aca="false">F30/R$3</f>
        <v>0</v>
      </c>
      <c r="S30" s="126" t="n">
        <f aca="false">J30/$R$3</f>
        <v>0</v>
      </c>
      <c r="T30" s="126" t="n">
        <f aca="false">L30/$R$3</f>
        <v>0</v>
      </c>
      <c r="U30" s="126" t="n">
        <f aca="false">I30/$R$3</f>
        <v>0</v>
      </c>
      <c r="V30" s="126" t="n">
        <f aca="false">M30/$R$3</f>
        <v>0</v>
      </c>
      <c r="W30" s="126" t="n">
        <f aca="false">N30/$R$3</f>
        <v>0</v>
      </c>
    </row>
    <row r="31" customFormat="false" ht="12.75" hidden="true" customHeight="false" outlineLevel="0" collapsed="false">
      <c r="A31" s="120" t="n">
        <f aca="false">A30+1</f>
        <v>36917</v>
      </c>
      <c r="B31" s="131" t="str">
        <f aca="false">INDEX('Master Data'!$A$2:$B$8,MATCH(WEEKDAY('BRA PWR Certificates'!A31,3),'Master Data'!$A$2:$A$8,0),2)</f>
        <v>F</v>
      </c>
      <c r="D31" s="124" t="n">
        <v>0</v>
      </c>
      <c r="E31" s="124" t="n">
        <v>0</v>
      </c>
      <c r="F31" s="124" t="n">
        <v>0</v>
      </c>
      <c r="G31" s="124" t="n">
        <v>0</v>
      </c>
      <c r="I31" s="124" t="n">
        <f aca="false">IF(MONTH($A31)=MONTH($A30),IF(G31=0,I30,G31),0)</f>
        <v>0</v>
      </c>
      <c r="J31" s="124" t="n">
        <f aca="false">IF(MONTH($A31)=MONTH($A30),SUM(I31-I30),I31)</f>
        <v>0</v>
      </c>
      <c r="K31" s="124" t="n">
        <f aca="false">IF(WEEKDAY(A31,3)&gt;4,0,(IF(A31&lt;K$2,0,IF(A31&lt;=K$3,1,0))))</f>
        <v>0</v>
      </c>
      <c r="L31" s="124" t="n">
        <f aca="false">J31*K31</f>
        <v>0</v>
      </c>
      <c r="M31" s="124" t="n">
        <f aca="false">SUM(J$6:J31)</f>
        <v>0</v>
      </c>
      <c r="N31" s="124" t="n">
        <f aca="false">SUM(J$6:J31)</f>
        <v>0</v>
      </c>
      <c r="P31" s="124" t="n">
        <f aca="false">D31/P$3</f>
        <v>0</v>
      </c>
      <c r="Q31" s="124" t="n">
        <f aca="false">E31/P$3</f>
        <v>0</v>
      </c>
      <c r="R31" s="124" t="n">
        <f aca="false">F31/R$3</f>
        <v>0</v>
      </c>
      <c r="S31" s="126" t="n">
        <f aca="false">J31/$R$3</f>
        <v>0</v>
      </c>
      <c r="T31" s="126" t="n">
        <f aca="false">L31/$R$3</f>
        <v>0</v>
      </c>
      <c r="U31" s="126" t="n">
        <f aca="false">I31/$R$3</f>
        <v>0</v>
      </c>
      <c r="V31" s="126" t="n">
        <f aca="false">M31/$R$3</f>
        <v>0</v>
      </c>
      <c r="W31" s="126" t="n">
        <f aca="false">N31/$R$3</f>
        <v>0</v>
      </c>
    </row>
    <row r="32" customFormat="false" ht="12.75" hidden="true" customHeight="false" outlineLevel="0" collapsed="false">
      <c r="A32" s="120" t="n">
        <f aca="false">A31+1</f>
        <v>36918</v>
      </c>
      <c r="B32" s="131" t="str">
        <f aca="false">INDEX('Master Data'!$A$2:$B$8,MATCH(WEEKDAY('BRA PWR Certificates'!A32,3),'Master Data'!$A$2:$A$8,0),2)</f>
        <v>Sa</v>
      </c>
      <c r="D32" s="124" t="n">
        <v>0</v>
      </c>
      <c r="E32" s="124" t="n">
        <v>0</v>
      </c>
      <c r="F32" s="124" t="n">
        <v>0</v>
      </c>
      <c r="G32" s="124" t="n">
        <v>0</v>
      </c>
      <c r="I32" s="124" t="n">
        <f aca="false">IF(MONTH($A32)=MONTH($A31),IF(G32=0,I31,G32),0)</f>
        <v>0</v>
      </c>
      <c r="J32" s="124" t="n">
        <f aca="false">IF(MONTH($A32)=MONTH($A31),SUM(I32-I31),I32)</f>
        <v>0</v>
      </c>
      <c r="K32" s="124" t="n">
        <f aca="false">IF(WEEKDAY(A32,3)&gt;4,0,(IF(A32&lt;K$2,0,IF(A32&lt;=K$3,1,0))))</f>
        <v>0</v>
      </c>
      <c r="L32" s="124" t="n">
        <f aca="false">J32*K32</f>
        <v>0</v>
      </c>
      <c r="M32" s="124" t="n">
        <f aca="false">SUM(J$6:J32)</f>
        <v>0</v>
      </c>
      <c r="N32" s="124" t="n">
        <f aca="false">SUM(J$6:J32)</f>
        <v>0</v>
      </c>
      <c r="P32" s="124" t="n">
        <f aca="false">D32/P$3</f>
        <v>0</v>
      </c>
      <c r="Q32" s="124" t="n">
        <f aca="false">E32/P$3</f>
        <v>0</v>
      </c>
      <c r="R32" s="124" t="n">
        <f aca="false">F32/R$3</f>
        <v>0</v>
      </c>
      <c r="S32" s="126" t="n">
        <f aca="false">J32/$R$3</f>
        <v>0</v>
      </c>
      <c r="T32" s="126" t="n">
        <f aca="false">L32/$R$3</f>
        <v>0</v>
      </c>
      <c r="U32" s="126" t="n">
        <f aca="false">I32/$R$3</f>
        <v>0</v>
      </c>
      <c r="V32" s="126" t="n">
        <f aca="false">M32/$R$3</f>
        <v>0</v>
      </c>
      <c r="W32" s="126" t="n">
        <f aca="false">N32/$R$3</f>
        <v>0</v>
      </c>
    </row>
    <row r="33" customFormat="false" ht="12.75" hidden="true" customHeight="false" outlineLevel="0" collapsed="false">
      <c r="A33" s="120" t="n">
        <f aca="false">A32+1</f>
        <v>36919</v>
      </c>
      <c r="B33" s="131" t="str">
        <f aca="false">INDEX('Master Data'!$A$2:$B$8,MATCH(WEEKDAY('BRA PWR Certificates'!A33,3),'Master Data'!$A$2:$A$8,0),2)</f>
        <v>Su</v>
      </c>
      <c r="D33" s="124" t="n">
        <v>0</v>
      </c>
      <c r="E33" s="124" t="n">
        <v>0</v>
      </c>
      <c r="F33" s="124" t="n">
        <v>0</v>
      </c>
      <c r="G33" s="124" t="n">
        <v>0</v>
      </c>
      <c r="I33" s="124" t="n">
        <f aca="false">IF(MONTH($A33)=MONTH($A32),IF(G33=0,I32,G33),0)</f>
        <v>0</v>
      </c>
      <c r="J33" s="124" t="n">
        <f aca="false">IF(MONTH($A33)=MONTH($A32),SUM(I33-I32),I33)</f>
        <v>0</v>
      </c>
      <c r="K33" s="124" t="n">
        <f aca="false">IF(WEEKDAY(A33,3)&gt;4,0,(IF(A33&lt;K$2,0,IF(A33&lt;=K$3,1,0))))</f>
        <v>0</v>
      </c>
      <c r="L33" s="124" t="n">
        <f aca="false">J33*K33</f>
        <v>0</v>
      </c>
      <c r="M33" s="124" t="n">
        <f aca="false">SUM(J$6:J33)</f>
        <v>0</v>
      </c>
      <c r="N33" s="124" t="n">
        <f aca="false">SUM(J$6:J33)</f>
        <v>0</v>
      </c>
      <c r="P33" s="124" t="n">
        <f aca="false">D33/P$3</f>
        <v>0</v>
      </c>
      <c r="Q33" s="124" t="n">
        <f aca="false">E33/P$3</f>
        <v>0</v>
      </c>
      <c r="R33" s="124" t="n">
        <f aca="false">F33/R$3</f>
        <v>0</v>
      </c>
      <c r="S33" s="126" t="n">
        <f aca="false">J33/$R$3</f>
        <v>0</v>
      </c>
      <c r="T33" s="126" t="n">
        <f aca="false">L33/$R$3</f>
        <v>0</v>
      </c>
      <c r="U33" s="126" t="n">
        <f aca="false">I33/$R$3</f>
        <v>0</v>
      </c>
      <c r="V33" s="126" t="n">
        <f aca="false">M33/$R$3</f>
        <v>0</v>
      </c>
      <c r="W33" s="126" t="n">
        <f aca="false">N33/$R$3</f>
        <v>0</v>
      </c>
    </row>
    <row r="34" customFormat="false" ht="12.75" hidden="true" customHeight="false" outlineLevel="0" collapsed="false">
      <c r="A34" s="120" t="n">
        <f aca="false">A33+1</f>
        <v>36920</v>
      </c>
      <c r="B34" s="131" t="str">
        <f aca="false">INDEX('Master Data'!$A$2:$B$8,MATCH(WEEKDAY('BRA PWR Certificates'!A34,3),'Master Data'!$A$2:$A$8,0),2)</f>
        <v>M</v>
      </c>
      <c r="D34" s="124" t="n">
        <v>0</v>
      </c>
      <c r="E34" s="124" t="n">
        <v>0</v>
      </c>
      <c r="F34" s="124" t="n">
        <v>0</v>
      </c>
      <c r="G34" s="124" t="n">
        <v>0</v>
      </c>
      <c r="I34" s="124" t="n">
        <f aca="false">IF(MONTH($A34)=MONTH($A33),IF(G34=0,I33,G34),0)</f>
        <v>0</v>
      </c>
      <c r="J34" s="124" t="n">
        <f aca="false">IF(MONTH($A34)=MONTH($A33),SUM(I34-I33),I34)</f>
        <v>0</v>
      </c>
      <c r="K34" s="124" t="n">
        <f aca="false">IF(WEEKDAY(A34,3)&gt;4,0,(IF(A34&lt;K$2,0,IF(A34&lt;=K$3,1,0))))</f>
        <v>0</v>
      </c>
      <c r="L34" s="124" t="n">
        <f aca="false">J34*K34</f>
        <v>0</v>
      </c>
      <c r="M34" s="124" t="n">
        <f aca="false">SUM(J$6:J34)</f>
        <v>0</v>
      </c>
      <c r="N34" s="124" t="n">
        <f aca="false">SUM(J$6:J34)</f>
        <v>0</v>
      </c>
      <c r="P34" s="124" t="n">
        <f aca="false">D34/P$3</f>
        <v>0</v>
      </c>
      <c r="Q34" s="124" t="n">
        <f aca="false">E34/P$3</f>
        <v>0</v>
      </c>
      <c r="R34" s="124" t="n">
        <f aca="false">F34/R$3</f>
        <v>0</v>
      </c>
      <c r="S34" s="126" t="n">
        <f aca="false">J34/$R$3</f>
        <v>0</v>
      </c>
      <c r="T34" s="126" t="n">
        <f aca="false">L34/$R$3</f>
        <v>0</v>
      </c>
      <c r="U34" s="126" t="n">
        <f aca="false">I34/$R$3</f>
        <v>0</v>
      </c>
      <c r="V34" s="126" t="n">
        <f aca="false">M34/$R$3</f>
        <v>0</v>
      </c>
      <c r="W34" s="126" t="n">
        <f aca="false">N34/$R$3</f>
        <v>0</v>
      </c>
    </row>
    <row r="35" customFormat="false" ht="12.75" hidden="true" customHeight="false" outlineLevel="0" collapsed="false">
      <c r="A35" s="120" t="n">
        <f aca="false">A34+1</f>
        <v>36921</v>
      </c>
      <c r="B35" s="131" t="str">
        <f aca="false">INDEX('Master Data'!$A$2:$B$8,MATCH(WEEKDAY('BRA PWR Certificates'!A35,3),'Master Data'!$A$2:$A$8,0),2)</f>
        <v>T</v>
      </c>
      <c r="D35" s="124" t="n">
        <v>0</v>
      </c>
      <c r="E35" s="124" t="n">
        <v>0</v>
      </c>
      <c r="F35" s="124" t="n">
        <v>0</v>
      </c>
      <c r="G35" s="124" t="n">
        <v>0</v>
      </c>
      <c r="I35" s="124" t="n">
        <f aca="false">IF(MONTH($A35)=MONTH($A34),IF(G35=0,I34,G35),0)</f>
        <v>0</v>
      </c>
      <c r="J35" s="124" t="n">
        <f aca="false">IF(MONTH($A35)=MONTH($A34),SUM(I35-I34),I35)</f>
        <v>0</v>
      </c>
      <c r="K35" s="124" t="n">
        <f aca="false">IF(WEEKDAY(A35,3)&gt;4,0,(IF(A35&lt;K$2,0,IF(A35&lt;=K$3,1,0))))</f>
        <v>0</v>
      </c>
      <c r="L35" s="124" t="n">
        <f aca="false">J35*K35</f>
        <v>0</v>
      </c>
      <c r="M35" s="124" t="n">
        <f aca="false">SUM(J$6:J35)</f>
        <v>0</v>
      </c>
      <c r="N35" s="124" t="n">
        <f aca="false">SUM(J$6:J35)</f>
        <v>0</v>
      </c>
      <c r="P35" s="124" t="n">
        <f aca="false">D35/P$3</f>
        <v>0</v>
      </c>
      <c r="Q35" s="124" t="n">
        <f aca="false">E35/P$3</f>
        <v>0</v>
      </c>
      <c r="R35" s="124" t="n">
        <f aca="false">F35/R$3</f>
        <v>0</v>
      </c>
      <c r="S35" s="126" t="n">
        <f aca="false">J35/$R$3</f>
        <v>0</v>
      </c>
      <c r="T35" s="126" t="n">
        <f aca="false">L35/$R$3</f>
        <v>0</v>
      </c>
      <c r="U35" s="126" t="n">
        <f aca="false">I35/$R$3</f>
        <v>0</v>
      </c>
      <c r="V35" s="126" t="n">
        <f aca="false">M35/$R$3</f>
        <v>0</v>
      </c>
      <c r="W35" s="126" t="n">
        <f aca="false">N35/$R$3</f>
        <v>0</v>
      </c>
    </row>
    <row r="36" customFormat="false" ht="12.75" hidden="true" customHeight="false" outlineLevel="0" collapsed="false">
      <c r="A36" s="120" t="n">
        <f aca="false">A35+1</f>
        <v>36922</v>
      </c>
      <c r="B36" s="131" t="str">
        <f aca="false">INDEX('Master Data'!$A$2:$B$8,MATCH(WEEKDAY('BRA PWR Certificates'!A36,3),'Master Data'!$A$2:$A$8,0),2)</f>
        <v>W</v>
      </c>
      <c r="D36" s="124" t="n">
        <v>0</v>
      </c>
      <c r="E36" s="124" t="n">
        <v>0</v>
      </c>
      <c r="F36" s="124" t="n">
        <v>0</v>
      </c>
      <c r="G36" s="124" t="n">
        <v>0</v>
      </c>
      <c r="I36" s="124" t="n">
        <f aca="false">IF(MONTH($A36)=MONTH($A35),IF(G36=0,I35,G36),0)</f>
        <v>0</v>
      </c>
      <c r="J36" s="124" t="n">
        <f aca="false">IF(MONTH($A36)=MONTH($A35),SUM(I36-I35),I36)</f>
        <v>0</v>
      </c>
      <c r="K36" s="124" t="n">
        <f aca="false">IF(WEEKDAY(A36,3)&gt;4,0,(IF(A36&lt;K$2,0,IF(A36&lt;=K$3,1,0))))</f>
        <v>0</v>
      </c>
      <c r="L36" s="124" t="n">
        <f aca="false">J36*K36</f>
        <v>0</v>
      </c>
      <c r="M36" s="124" t="n">
        <f aca="false">SUM(J$6:J36)</f>
        <v>0</v>
      </c>
      <c r="N36" s="124" t="n">
        <f aca="false">SUM(J$6:J36)</f>
        <v>0</v>
      </c>
      <c r="P36" s="124" t="n">
        <f aca="false">D36/P$3</f>
        <v>0</v>
      </c>
      <c r="Q36" s="124" t="n">
        <f aca="false">E36/P$3</f>
        <v>0</v>
      </c>
      <c r="R36" s="124" t="n">
        <f aca="false">F36/R$3</f>
        <v>0</v>
      </c>
      <c r="S36" s="126" t="n">
        <f aca="false">J36/$R$3</f>
        <v>0</v>
      </c>
      <c r="T36" s="126" t="n">
        <f aca="false">L36/$R$3</f>
        <v>0</v>
      </c>
      <c r="U36" s="126" t="n">
        <f aca="false">I36/$R$3</f>
        <v>0</v>
      </c>
      <c r="V36" s="126" t="n">
        <f aca="false">M36/$R$3</f>
        <v>0</v>
      </c>
      <c r="W36" s="126" t="n">
        <f aca="false">N36/$R$3</f>
        <v>0</v>
      </c>
    </row>
    <row r="37" customFormat="false" ht="12.75" hidden="true" customHeight="false" outlineLevel="0" collapsed="false">
      <c r="A37" s="120" t="n">
        <f aca="false">A36+1</f>
        <v>36923</v>
      </c>
      <c r="B37" s="131" t="str">
        <f aca="false">INDEX('Master Data'!$A$2:$B$8,MATCH(WEEKDAY('BRA PWR Certificates'!A37,3),'Master Data'!$A$2:$A$8,0),2)</f>
        <v>Th</v>
      </c>
      <c r="D37" s="124" t="n">
        <v>0</v>
      </c>
      <c r="E37" s="124" t="n">
        <v>0</v>
      </c>
      <c r="F37" s="124" t="n">
        <v>0</v>
      </c>
      <c r="G37" s="124" t="n">
        <v>0</v>
      </c>
      <c r="I37" s="124" t="n">
        <f aca="false">IF(MONTH($A37)=MONTH($A36),IF(G37=0,I36,G37),G37)</f>
        <v>0</v>
      </c>
      <c r="J37" s="124" t="n">
        <f aca="false">IF(MONTH($A37)=MONTH($A36),SUM(I37-I36),I37)</f>
        <v>0</v>
      </c>
      <c r="K37" s="124" t="n">
        <f aca="false">IF(WEEKDAY(A37,3)&gt;4,0,(IF(A37&lt;K$2,0,IF(A37&lt;=K$3,1,0))))</f>
        <v>0</v>
      </c>
      <c r="L37" s="124" t="n">
        <f aca="false">J37*K37</f>
        <v>0</v>
      </c>
      <c r="M37" s="124" t="n">
        <f aca="false">SUM(J$6:J37)</f>
        <v>0</v>
      </c>
      <c r="N37" s="124" t="n">
        <f aca="false">SUM(J$6:J37)</f>
        <v>0</v>
      </c>
      <c r="P37" s="124" t="n">
        <f aca="false">D37/P$3</f>
        <v>0</v>
      </c>
      <c r="Q37" s="124" t="n">
        <f aca="false">E37/P$3</f>
        <v>0</v>
      </c>
      <c r="R37" s="124" t="n">
        <f aca="false">F37/R$3</f>
        <v>0</v>
      </c>
      <c r="S37" s="126" t="n">
        <f aca="false">J37/$R$3</f>
        <v>0</v>
      </c>
      <c r="T37" s="126" t="n">
        <f aca="false">L37/$R$3</f>
        <v>0</v>
      </c>
      <c r="U37" s="126" t="n">
        <f aca="false">I37/$R$3</f>
        <v>0</v>
      </c>
      <c r="V37" s="126" t="n">
        <f aca="false">M37/$R$3</f>
        <v>0</v>
      </c>
      <c r="W37" s="126" t="n">
        <f aca="false">N37/$R$3</f>
        <v>0</v>
      </c>
    </row>
    <row r="38" customFormat="false" ht="12.75" hidden="true" customHeight="false" outlineLevel="0" collapsed="false">
      <c r="A38" s="120" t="n">
        <f aca="false">A37+1</f>
        <v>36924</v>
      </c>
      <c r="B38" s="131" t="str">
        <f aca="false">INDEX('Master Data'!$A$2:$B$8,MATCH(WEEKDAY('BRA PWR Certificates'!A38,3),'Master Data'!$A$2:$A$8,0),2)</f>
        <v>F</v>
      </c>
      <c r="D38" s="124" t="n">
        <v>0</v>
      </c>
      <c r="E38" s="124" t="n">
        <v>0</v>
      </c>
      <c r="F38" s="124" t="n">
        <v>0</v>
      </c>
      <c r="G38" s="124" t="n">
        <v>0</v>
      </c>
      <c r="I38" s="124" t="n">
        <f aca="false">IF(MONTH($A38)=MONTH($A37),IF(G38=0,I37,G38),G38)</f>
        <v>0</v>
      </c>
      <c r="J38" s="124" t="n">
        <f aca="false">IF(MONTH($A38)=MONTH($A37),SUM(I38-I37),I38)</f>
        <v>0</v>
      </c>
      <c r="K38" s="124" t="n">
        <f aca="false">IF(WEEKDAY(A38,3)&gt;4,0,(IF(A38&lt;K$2,0,IF(A38&lt;=K$3,1,0))))</f>
        <v>0</v>
      </c>
      <c r="L38" s="124" t="n">
        <f aca="false">J38*K38</f>
        <v>0</v>
      </c>
      <c r="M38" s="124" t="n">
        <f aca="false">SUM(J$6:J38)</f>
        <v>0</v>
      </c>
      <c r="N38" s="124" t="n">
        <f aca="false">SUM(J$6:J38)</f>
        <v>0</v>
      </c>
      <c r="P38" s="124" t="n">
        <f aca="false">D38/P$3</f>
        <v>0</v>
      </c>
      <c r="Q38" s="124" t="n">
        <f aca="false">E38/P$3</f>
        <v>0</v>
      </c>
      <c r="R38" s="124" t="n">
        <f aca="false">F38/R$3</f>
        <v>0</v>
      </c>
      <c r="S38" s="126" t="n">
        <f aca="false">J38/$R$3</f>
        <v>0</v>
      </c>
      <c r="T38" s="126" t="n">
        <f aca="false">L38/$R$3</f>
        <v>0</v>
      </c>
      <c r="U38" s="126" t="n">
        <f aca="false">I38/$R$3</f>
        <v>0</v>
      </c>
      <c r="V38" s="126" t="n">
        <f aca="false">M38/$R$3</f>
        <v>0</v>
      </c>
      <c r="W38" s="126" t="n">
        <f aca="false">N38/$R$3</f>
        <v>0</v>
      </c>
    </row>
    <row r="39" customFormat="false" ht="12.75" hidden="true" customHeight="false" outlineLevel="0" collapsed="false">
      <c r="A39" s="120" t="n">
        <f aca="false">A38+1</f>
        <v>36925</v>
      </c>
      <c r="B39" s="131" t="str">
        <f aca="false">INDEX('Master Data'!$A$2:$B$8,MATCH(WEEKDAY('BRA PWR Certificates'!A39,3),'Master Data'!$A$2:$A$8,0),2)</f>
        <v>Sa</v>
      </c>
      <c r="D39" s="124" t="n">
        <v>0</v>
      </c>
      <c r="E39" s="124" t="n">
        <v>0</v>
      </c>
      <c r="F39" s="124" t="n">
        <v>0</v>
      </c>
      <c r="G39" s="124" t="n">
        <v>0</v>
      </c>
      <c r="I39" s="124" t="n">
        <f aca="false">IF(MONTH($A39)=MONTH($A38),IF(G39=0,I38,G39),G39)</f>
        <v>0</v>
      </c>
      <c r="J39" s="124" t="n">
        <f aca="false">IF(MONTH($A39)=MONTH($A38),SUM(I39-I38),I39)</f>
        <v>0</v>
      </c>
      <c r="K39" s="124" t="n">
        <f aca="false">IF(WEEKDAY(A39,3)&gt;4,0,(IF(A39&lt;K$2,0,IF(A39&lt;=K$3,1,0))))</f>
        <v>0</v>
      </c>
      <c r="L39" s="124" t="n">
        <f aca="false">J39*K39</f>
        <v>0</v>
      </c>
      <c r="M39" s="124" t="n">
        <f aca="false">SUM(J$6:J39)</f>
        <v>0</v>
      </c>
      <c r="N39" s="124" t="n">
        <f aca="false">SUM(J$6:J39)</f>
        <v>0</v>
      </c>
      <c r="P39" s="124" t="n">
        <f aca="false">D39/P$3</f>
        <v>0</v>
      </c>
      <c r="Q39" s="124" t="n">
        <f aca="false">E39/P$3</f>
        <v>0</v>
      </c>
      <c r="R39" s="124" t="n">
        <f aca="false">F39/R$3</f>
        <v>0</v>
      </c>
      <c r="S39" s="126" t="n">
        <f aca="false">J39/$R$3</f>
        <v>0</v>
      </c>
      <c r="T39" s="126" t="n">
        <f aca="false">L39/$R$3</f>
        <v>0</v>
      </c>
      <c r="U39" s="126" t="n">
        <f aca="false">I39/$R$3</f>
        <v>0</v>
      </c>
      <c r="V39" s="126" t="n">
        <f aca="false">M39/$R$3</f>
        <v>0</v>
      </c>
      <c r="W39" s="126" t="n">
        <f aca="false">N39/$R$3</f>
        <v>0</v>
      </c>
    </row>
    <row r="40" customFormat="false" ht="12.75" hidden="true" customHeight="false" outlineLevel="0" collapsed="false">
      <c r="A40" s="120" t="n">
        <f aca="false">A39+1</f>
        <v>36926</v>
      </c>
      <c r="B40" s="131" t="str">
        <f aca="false">INDEX('Master Data'!$A$2:$B$8,MATCH(WEEKDAY('BRA PWR Certificates'!A40,3),'Master Data'!$A$2:$A$8,0),2)</f>
        <v>Su</v>
      </c>
      <c r="D40" s="124" t="n">
        <v>0</v>
      </c>
      <c r="E40" s="124" t="n">
        <v>0</v>
      </c>
      <c r="F40" s="124" t="n">
        <v>0</v>
      </c>
      <c r="G40" s="124" t="n">
        <v>0</v>
      </c>
      <c r="I40" s="124" t="n">
        <f aca="false">IF(MONTH($A40)=MONTH($A39),IF(G40=0,I39,G40),G40)</f>
        <v>0</v>
      </c>
      <c r="J40" s="124" t="n">
        <f aca="false">IF(MONTH($A40)=MONTH($A39),SUM(I40-I39),I40)</f>
        <v>0</v>
      </c>
      <c r="K40" s="124" t="n">
        <f aca="false">IF(WEEKDAY(A40,3)&gt;4,0,(IF(A40&lt;K$2,0,IF(A40&lt;=K$3,1,0))))</f>
        <v>0</v>
      </c>
      <c r="L40" s="124" t="n">
        <f aca="false">J40*K40</f>
        <v>0</v>
      </c>
      <c r="M40" s="124" t="n">
        <f aca="false">SUM(J$6:J40)</f>
        <v>0</v>
      </c>
      <c r="N40" s="124" t="n">
        <f aca="false">SUM(J$6:J40)</f>
        <v>0</v>
      </c>
      <c r="P40" s="124" t="n">
        <f aca="false">D40/P$3</f>
        <v>0</v>
      </c>
      <c r="Q40" s="124" t="n">
        <f aca="false">E40/P$3</f>
        <v>0</v>
      </c>
      <c r="R40" s="124" t="n">
        <f aca="false">F40/R$3</f>
        <v>0</v>
      </c>
      <c r="S40" s="126" t="n">
        <f aca="false">J40/$R$3</f>
        <v>0</v>
      </c>
      <c r="T40" s="126" t="n">
        <f aca="false">L40/$R$3</f>
        <v>0</v>
      </c>
      <c r="U40" s="126" t="n">
        <f aca="false">I40/$R$3</f>
        <v>0</v>
      </c>
      <c r="V40" s="126" t="n">
        <f aca="false">M40/$R$3</f>
        <v>0</v>
      </c>
      <c r="W40" s="126" t="n">
        <f aca="false">N40/$R$3</f>
        <v>0</v>
      </c>
    </row>
    <row r="41" customFormat="false" ht="12.75" hidden="true" customHeight="false" outlineLevel="0" collapsed="false">
      <c r="A41" s="120" t="n">
        <f aca="false">A40+1</f>
        <v>36927</v>
      </c>
      <c r="B41" s="131" t="str">
        <f aca="false">INDEX('Master Data'!$A$2:$B$8,MATCH(WEEKDAY('BRA PWR Certificates'!A41,3),'Master Data'!$A$2:$A$8,0),2)</f>
        <v>M</v>
      </c>
      <c r="D41" s="124" t="n">
        <v>0</v>
      </c>
      <c r="E41" s="124" t="n">
        <v>0</v>
      </c>
      <c r="F41" s="124" t="n">
        <v>0</v>
      </c>
      <c r="G41" s="124" t="n">
        <v>0</v>
      </c>
      <c r="I41" s="124" t="n">
        <f aca="false">IF(MONTH($A41)=MONTH($A40),IF(G41=0,I40,G41),G41)</f>
        <v>0</v>
      </c>
      <c r="J41" s="124" t="n">
        <f aca="false">IF(MONTH($A41)=MONTH($A40),SUM(I41-I40),I41)</f>
        <v>0</v>
      </c>
      <c r="K41" s="124" t="n">
        <f aca="false">IF(WEEKDAY(A41,3)&gt;4,0,(IF(A41&lt;K$2,0,IF(A41&lt;=K$3,1,0))))</f>
        <v>0</v>
      </c>
      <c r="L41" s="124" t="n">
        <f aca="false">J41*K41</f>
        <v>0</v>
      </c>
      <c r="M41" s="124" t="n">
        <f aca="false">SUM(J$6:J41)</f>
        <v>0</v>
      </c>
      <c r="N41" s="124" t="n">
        <f aca="false">SUM(J$6:J41)</f>
        <v>0</v>
      </c>
      <c r="P41" s="124" t="n">
        <f aca="false">D41/P$3</f>
        <v>0</v>
      </c>
      <c r="Q41" s="124" t="n">
        <f aca="false">E41/P$3</f>
        <v>0</v>
      </c>
      <c r="R41" s="124" t="n">
        <f aca="false">F41/R$3</f>
        <v>0</v>
      </c>
      <c r="S41" s="126" t="n">
        <f aca="false">J41/$R$3</f>
        <v>0</v>
      </c>
      <c r="T41" s="126" t="n">
        <f aca="false">L41/$R$3</f>
        <v>0</v>
      </c>
      <c r="U41" s="126" t="n">
        <f aca="false">I41/$R$3</f>
        <v>0</v>
      </c>
      <c r="V41" s="126" t="n">
        <f aca="false">M41/$R$3</f>
        <v>0</v>
      </c>
      <c r="W41" s="126" t="n">
        <f aca="false">N41/$R$3</f>
        <v>0</v>
      </c>
    </row>
    <row r="42" customFormat="false" ht="12.75" hidden="true" customHeight="false" outlineLevel="0" collapsed="false">
      <c r="A42" s="120" t="n">
        <f aca="false">A41+1</f>
        <v>36928</v>
      </c>
      <c r="B42" s="131" t="str">
        <f aca="false">INDEX('Master Data'!$A$2:$B$8,MATCH(WEEKDAY('BRA PWR Certificates'!A42,3),'Master Data'!$A$2:$A$8,0),2)</f>
        <v>T</v>
      </c>
      <c r="D42" s="124" t="n">
        <v>0</v>
      </c>
      <c r="E42" s="124" t="n">
        <v>0</v>
      </c>
      <c r="F42" s="124" t="n">
        <v>0</v>
      </c>
      <c r="G42" s="124" t="n">
        <v>0</v>
      </c>
      <c r="I42" s="124" t="n">
        <f aca="false">IF(MONTH($A42)=MONTH($A41),IF(G42=0,I41,G42),G42)</f>
        <v>0</v>
      </c>
      <c r="J42" s="124" t="n">
        <f aca="false">IF(MONTH($A42)=MONTH($A41),SUM(I42-I41),I42)</f>
        <v>0</v>
      </c>
      <c r="K42" s="124" t="n">
        <f aca="false">IF(WEEKDAY(A42,3)&gt;4,0,(IF(A42&lt;K$2,0,IF(A42&lt;=K$3,1,0))))</f>
        <v>0</v>
      </c>
      <c r="L42" s="124" t="n">
        <f aca="false">J42*K42</f>
        <v>0</v>
      </c>
      <c r="M42" s="124" t="n">
        <f aca="false">SUM(J$6:J42)</f>
        <v>0</v>
      </c>
      <c r="N42" s="124" t="n">
        <f aca="false">SUM(J$6:J42)</f>
        <v>0</v>
      </c>
      <c r="P42" s="124" t="n">
        <f aca="false">D42/P$3</f>
        <v>0</v>
      </c>
      <c r="Q42" s="124" t="n">
        <f aca="false">E42/P$3</f>
        <v>0</v>
      </c>
      <c r="R42" s="124" t="n">
        <f aca="false">F42/R$3</f>
        <v>0</v>
      </c>
      <c r="S42" s="126" t="n">
        <f aca="false">J42/$R$3</f>
        <v>0</v>
      </c>
      <c r="T42" s="126" t="n">
        <f aca="false">L42/$R$3</f>
        <v>0</v>
      </c>
      <c r="U42" s="126" t="n">
        <f aca="false">I42/$R$3</f>
        <v>0</v>
      </c>
      <c r="V42" s="126" t="n">
        <f aca="false">M42/$R$3</f>
        <v>0</v>
      </c>
      <c r="W42" s="126" t="n">
        <f aca="false">N42/$R$3</f>
        <v>0</v>
      </c>
    </row>
    <row r="43" customFormat="false" ht="12.75" hidden="true" customHeight="false" outlineLevel="0" collapsed="false">
      <c r="A43" s="120" t="n">
        <f aca="false">A42+1</f>
        <v>36929</v>
      </c>
      <c r="B43" s="131" t="str">
        <f aca="false">INDEX('Master Data'!$A$2:$B$8,MATCH(WEEKDAY('BRA PWR Certificates'!A43,3),'Master Data'!$A$2:$A$8,0),2)</f>
        <v>W</v>
      </c>
      <c r="D43" s="124" t="n">
        <v>0</v>
      </c>
      <c r="E43" s="124" t="n">
        <v>0</v>
      </c>
      <c r="F43" s="124" t="n">
        <v>0</v>
      </c>
      <c r="G43" s="124" t="n">
        <v>0</v>
      </c>
      <c r="I43" s="124" t="n">
        <f aca="false">IF(MONTH($A43)=MONTH($A42),IF(G43=0,I42,G43),G43)</f>
        <v>0</v>
      </c>
      <c r="J43" s="124" t="n">
        <f aca="false">IF(MONTH($A43)=MONTH($A42),SUM(I43-I42),I43)</f>
        <v>0</v>
      </c>
      <c r="K43" s="124" t="n">
        <f aca="false">IF(WEEKDAY(A43,3)&gt;4,0,(IF(A43&lt;K$2,0,IF(A43&lt;=K$3,1,0))))</f>
        <v>0</v>
      </c>
      <c r="L43" s="124" t="n">
        <f aca="false">J43*K43</f>
        <v>0</v>
      </c>
      <c r="M43" s="124" t="n">
        <f aca="false">SUM(J$6:J43)</f>
        <v>0</v>
      </c>
      <c r="N43" s="124" t="n">
        <f aca="false">SUM(J$6:J43)</f>
        <v>0</v>
      </c>
      <c r="P43" s="124" t="n">
        <f aca="false">D43/P$3</f>
        <v>0</v>
      </c>
      <c r="Q43" s="124" t="n">
        <f aca="false">E43/P$3</f>
        <v>0</v>
      </c>
      <c r="R43" s="124" t="n">
        <f aca="false">F43/R$3</f>
        <v>0</v>
      </c>
      <c r="S43" s="126" t="n">
        <f aca="false">J43/$R$3</f>
        <v>0</v>
      </c>
      <c r="T43" s="126" t="n">
        <f aca="false">L43/$R$3</f>
        <v>0</v>
      </c>
      <c r="U43" s="126" t="n">
        <f aca="false">I43/$R$3</f>
        <v>0</v>
      </c>
      <c r="V43" s="126" t="n">
        <f aca="false">M43/$R$3</f>
        <v>0</v>
      </c>
      <c r="W43" s="126" t="n">
        <f aca="false">N43/$R$3</f>
        <v>0</v>
      </c>
    </row>
    <row r="44" customFormat="false" ht="12.75" hidden="true" customHeight="false" outlineLevel="0" collapsed="false">
      <c r="A44" s="120" t="n">
        <f aca="false">A43+1</f>
        <v>36930</v>
      </c>
      <c r="B44" s="131" t="str">
        <f aca="false">INDEX('Master Data'!$A$2:$B$8,MATCH(WEEKDAY('BRA PWR Certificates'!A44,3),'Master Data'!$A$2:$A$8,0),2)</f>
        <v>Th</v>
      </c>
      <c r="D44" s="124" t="n">
        <v>0</v>
      </c>
      <c r="E44" s="124" t="n">
        <v>0</v>
      </c>
      <c r="F44" s="124" t="n">
        <v>0</v>
      </c>
      <c r="G44" s="124" t="n">
        <v>0</v>
      </c>
      <c r="I44" s="124" t="n">
        <f aca="false">IF(MONTH($A44)=MONTH($A43),IF(G44=0,I43,G44),G44)</f>
        <v>0</v>
      </c>
      <c r="J44" s="124" t="n">
        <f aca="false">IF(MONTH($A44)=MONTH($A43),SUM(I44-I43),I44)</f>
        <v>0</v>
      </c>
      <c r="K44" s="124" t="n">
        <f aca="false">IF(WEEKDAY(A44,3)&gt;4,0,(IF(A44&lt;K$2,0,IF(A44&lt;=K$3,1,0))))</f>
        <v>0</v>
      </c>
      <c r="L44" s="124" t="n">
        <f aca="false">J44*K44</f>
        <v>0</v>
      </c>
      <c r="M44" s="124" t="n">
        <f aca="false">SUM(J$6:J44)</f>
        <v>0</v>
      </c>
      <c r="N44" s="124" t="n">
        <f aca="false">SUM(J$6:J44)</f>
        <v>0</v>
      </c>
      <c r="P44" s="124" t="n">
        <f aca="false">D44/P$3</f>
        <v>0</v>
      </c>
      <c r="Q44" s="124" t="n">
        <f aca="false">E44/P$3</f>
        <v>0</v>
      </c>
      <c r="R44" s="124" t="n">
        <f aca="false">F44/R$3</f>
        <v>0</v>
      </c>
      <c r="S44" s="126" t="n">
        <f aca="false">J44/$R$3</f>
        <v>0</v>
      </c>
      <c r="T44" s="126" t="n">
        <f aca="false">L44/$R$3</f>
        <v>0</v>
      </c>
      <c r="U44" s="126" t="n">
        <f aca="false">I44/$R$3</f>
        <v>0</v>
      </c>
      <c r="V44" s="126" t="n">
        <f aca="false">M44/$R$3</f>
        <v>0</v>
      </c>
      <c r="W44" s="126" t="n">
        <f aca="false">N44/$R$3</f>
        <v>0</v>
      </c>
    </row>
    <row r="45" customFormat="false" ht="12.75" hidden="true" customHeight="false" outlineLevel="0" collapsed="false">
      <c r="A45" s="120" t="n">
        <f aca="false">A44+1</f>
        <v>36931</v>
      </c>
      <c r="B45" s="131" t="str">
        <f aca="false">INDEX('Master Data'!$A$2:$B$8,MATCH(WEEKDAY('BRA PWR Certificates'!A45,3),'Master Data'!$A$2:$A$8,0),2)</f>
        <v>F</v>
      </c>
      <c r="D45" s="124" t="n">
        <v>0</v>
      </c>
      <c r="E45" s="124" t="n">
        <v>0</v>
      </c>
      <c r="F45" s="124" t="n">
        <v>0</v>
      </c>
      <c r="G45" s="124" t="n">
        <v>0</v>
      </c>
      <c r="I45" s="124" t="n">
        <f aca="false">IF(MONTH($A45)=MONTH($A44),IF(G45=0,I44,G45),G45)</f>
        <v>0</v>
      </c>
      <c r="J45" s="124" t="n">
        <f aca="false">IF(MONTH($A45)=MONTH($A44),SUM(I45-I44),I45)</f>
        <v>0</v>
      </c>
      <c r="K45" s="124" t="n">
        <f aca="false">IF(WEEKDAY(A45,3)&gt;4,0,(IF(A45&lt;K$2,0,IF(A45&lt;=K$3,1,0))))</f>
        <v>0</v>
      </c>
      <c r="L45" s="124" t="n">
        <f aca="false">J45*K45</f>
        <v>0</v>
      </c>
      <c r="M45" s="124" t="n">
        <f aca="false">SUM(J$6:J45)</f>
        <v>0</v>
      </c>
      <c r="N45" s="124" t="n">
        <f aca="false">SUM(J$6:J45)</f>
        <v>0</v>
      </c>
      <c r="P45" s="124" t="n">
        <f aca="false">D45/P$3</f>
        <v>0</v>
      </c>
      <c r="Q45" s="124" t="n">
        <f aca="false">E45/P$3</f>
        <v>0</v>
      </c>
      <c r="R45" s="124" t="n">
        <f aca="false">F45/R$3</f>
        <v>0</v>
      </c>
      <c r="S45" s="126" t="n">
        <f aca="false">J45/$R$3</f>
        <v>0</v>
      </c>
      <c r="T45" s="126" t="n">
        <f aca="false">L45/$R$3</f>
        <v>0</v>
      </c>
      <c r="U45" s="126" t="n">
        <f aca="false">I45/$R$3</f>
        <v>0</v>
      </c>
      <c r="V45" s="126" t="n">
        <f aca="false">M45/$R$3</f>
        <v>0</v>
      </c>
      <c r="W45" s="126" t="n">
        <f aca="false">N45/$R$3</f>
        <v>0</v>
      </c>
    </row>
    <row r="46" customFormat="false" ht="12.75" hidden="true" customHeight="false" outlineLevel="0" collapsed="false">
      <c r="A46" s="120" t="n">
        <f aca="false">A45+1</f>
        <v>36932</v>
      </c>
      <c r="B46" s="131" t="str">
        <f aca="false">INDEX('Master Data'!$A$2:$B$8,MATCH(WEEKDAY('BRA PWR Certificates'!A46,3),'Master Data'!$A$2:$A$8,0),2)</f>
        <v>Sa</v>
      </c>
      <c r="D46" s="124" t="n">
        <v>0</v>
      </c>
      <c r="E46" s="124" t="n">
        <v>0</v>
      </c>
      <c r="F46" s="124" t="n">
        <v>0</v>
      </c>
      <c r="G46" s="124" t="n">
        <v>0</v>
      </c>
      <c r="I46" s="124" t="n">
        <f aca="false">IF(MONTH($A46)=MONTH($A45),IF(G46=0,I45,G46),G46)</f>
        <v>0</v>
      </c>
      <c r="J46" s="124" t="n">
        <f aca="false">IF(MONTH($A46)=MONTH($A45),SUM(I46-I45),I46)</f>
        <v>0</v>
      </c>
      <c r="K46" s="124" t="n">
        <f aca="false">IF(WEEKDAY(A46,3)&gt;4,0,(IF(A46&lt;K$2,0,IF(A46&lt;=K$3,1,0))))</f>
        <v>0</v>
      </c>
      <c r="L46" s="124" t="n">
        <f aca="false">J46*K46</f>
        <v>0</v>
      </c>
      <c r="M46" s="124" t="n">
        <f aca="false">SUM(J$6:J46)</f>
        <v>0</v>
      </c>
      <c r="N46" s="124" t="n">
        <f aca="false">SUM(J$6:J46)</f>
        <v>0</v>
      </c>
      <c r="P46" s="124" t="n">
        <f aca="false">D46/P$3</f>
        <v>0</v>
      </c>
      <c r="Q46" s="124" t="n">
        <f aca="false">E46/P$3</f>
        <v>0</v>
      </c>
      <c r="R46" s="124" t="n">
        <f aca="false">F46/R$3</f>
        <v>0</v>
      </c>
      <c r="S46" s="126" t="n">
        <f aca="false">J46/$R$3</f>
        <v>0</v>
      </c>
      <c r="T46" s="126" t="n">
        <f aca="false">L46/$R$3</f>
        <v>0</v>
      </c>
      <c r="U46" s="126" t="n">
        <f aca="false">I46/$R$3</f>
        <v>0</v>
      </c>
      <c r="V46" s="126" t="n">
        <f aca="false">M46/$R$3</f>
        <v>0</v>
      </c>
      <c r="W46" s="126" t="n">
        <f aca="false">N46/$R$3</f>
        <v>0</v>
      </c>
    </row>
    <row r="47" customFormat="false" ht="12.75" hidden="true" customHeight="false" outlineLevel="0" collapsed="false">
      <c r="A47" s="120" t="n">
        <f aca="false">A46+1</f>
        <v>36933</v>
      </c>
      <c r="B47" s="131" t="str">
        <f aca="false">INDEX('Master Data'!$A$2:$B$8,MATCH(WEEKDAY('BRA PWR Certificates'!A47,3),'Master Data'!$A$2:$A$8,0),2)</f>
        <v>Su</v>
      </c>
      <c r="D47" s="124" t="n">
        <v>0</v>
      </c>
      <c r="E47" s="124" t="n">
        <v>0</v>
      </c>
      <c r="F47" s="124" t="n">
        <v>0</v>
      </c>
      <c r="G47" s="124" t="n">
        <v>0</v>
      </c>
      <c r="I47" s="124" t="n">
        <f aca="false">IF(MONTH($A47)=MONTH($A46),IF(G47=0,I46,G47),G47)</f>
        <v>0</v>
      </c>
      <c r="J47" s="124" t="n">
        <f aca="false">IF(MONTH($A47)=MONTH($A46),SUM(I47-I46),I47)</f>
        <v>0</v>
      </c>
      <c r="K47" s="124" t="n">
        <f aca="false">IF(WEEKDAY(A47,3)&gt;4,0,(IF(A47&lt;K$2,0,IF(A47&lt;=K$3,1,0))))</f>
        <v>0</v>
      </c>
      <c r="L47" s="124" t="n">
        <f aca="false">J47*K47</f>
        <v>0</v>
      </c>
      <c r="M47" s="124" t="n">
        <f aca="false">SUM(J$6:J47)</f>
        <v>0</v>
      </c>
      <c r="N47" s="124" t="n">
        <f aca="false">SUM(J$6:J47)</f>
        <v>0</v>
      </c>
      <c r="P47" s="124" t="n">
        <f aca="false">D47/P$3</f>
        <v>0</v>
      </c>
      <c r="Q47" s="124" t="n">
        <f aca="false">E47/P$3</f>
        <v>0</v>
      </c>
      <c r="R47" s="124" t="n">
        <f aca="false">F47/R$3</f>
        <v>0</v>
      </c>
      <c r="S47" s="126" t="n">
        <f aca="false">J47/$R$3</f>
        <v>0</v>
      </c>
      <c r="T47" s="126" t="n">
        <f aca="false">L47/$R$3</f>
        <v>0</v>
      </c>
      <c r="U47" s="126" t="n">
        <f aca="false">I47/$R$3</f>
        <v>0</v>
      </c>
      <c r="V47" s="126" t="n">
        <f aca="false">M47/$R$3</f>
        <v>0</v>
      </c>
      <c r="W47" s="126" t="n">
        <f aca="false">N47/$R$3</f>
        <v>0</v>
      </c>
    </row>
    <row r="48" customFormat="false" ht="12.75" hidden="true" customHeight="false" outlineLevel="0" collapsed="false">
      <c r="A48" s="120" t="n">
        <f aca="false">A47+1</f>
        <v>36934</v>
      </c>
      <c r="B48" s="131" t="str">
        <f aca="false">INDEX('Master Data'!$A$2:$B$8,MATCH(WEEKDAY('BRA PWR Certificates'!A48,3),'Master Data'!$A$2:$A$8,0),2)</f>
        <v>M</v>
      </c>
      <c r="D48" s="124" t="n">
        <v>0</v>
      </c>
      <c r="E48" s="124" t="n">
        <v>0</v>
      </c>
      <c r="F48" s="124" t="n">
        <v>0</v>
      </c>
      <c r="G48" s="124" t="n">
        <v>0</v>
      </c>
      <c r="I48" s="124" t="n">
        <f aca="false">IF(MONTH($A48)=MONTH($A47),IF(G48=0,I47,G48),G48)</f>
        <v>0</v>
      </c>
      <c r="J48" s="124" t="n">
        <f aca="false">IF(MONTH($A48)=MONTH($A47),SUM(I48-I47),I48)</f>
        <v>0</v>
      </c>
      <c r="K48" s="124" t="n">
        <f aca="false">IF(WEEKDAY(A48,3)&gt;4,0,(IF(A48&lt;K$2,0,IF(A48&lt;=K$3,1,0))))</f>
        <v>0</v>
      </c>
      <c r="L48" s="124" t="n">
        <f aca="false">J48*K48</f>
        <v>0</v>
      </c>
      <c r="M48" s="124" t="n">
        <f aca="false">SUM(J$6:J48)</f>
        <v>0</v>
      </c>
      <c r="N48" s="124" t="n">
        <f aca="false">SUM(J$6:J48)</f>
        <v>0</v>
      </c>
      <c r="P48" s="124" t="n">
        <f aca="false">D48/P$3</f>
        <v>0</v>
      </c>
      <c r="Q48" s="124" t="n">
        <f aca="false">E48/P$3</f>
        <v>0</v>
      </c>
      <c r="R48" s="124" t="n">
        <f aca="false">F48/R$3</f>
        <v>0</v>
      </c>
      <c r="S48" s="126" t="n">
        <f aca="false">J48/$R$3</f>
        <v>0</v>
      </c>
      <c r="T48" s="126" t="n">
        <f aca="false">L48/$R$3</f>
        <v>0</v>
      </c>
      <c r="U48" s="126" t="n">
        <f aca="false">I48/$R$3</f>
        <v>0</v>
      </c>
      <c r="V48" s="126" t="n">
        <f aca="false">M48/$R$3</f>
        <v>0</v>
      </c>
      <c r="W48" s="126" t="n">
        <f aca="false">N48/$R$3</f>
        <v>0</v>
      </c>
    </row>
    <row r="49" customFormat="false" ht="12.75" hidden="true" customHeight="false" outlineLevel="0" collapsed="false">
      <c r="A49" s="120" t="n">
        <f aca="false">A48+1</f>
        <v>36935</v>
      </c>
      <c r="B49" s="131" t="str">
        <f aca="false">INDEX('Master Data'!$A$2:$B$8,MATCH(WEEKDAY('BRA PWR Certificates'!A49,3),'Master Data'!$A$2:$A$8,0),2)</f>
        <v>T</v>
      </c>
      <c r="D49" s="124" t="n">
        <v>0</v>
      </c>
      <c r="E49" s="124" t="n">
        <v>0</v>
      </c>
      <c r="F49" s="124" t="n">
        <v>0</v>
      </c>
      <c r="G49" s="124" t="n">
        <v>0</v>
      </c>
      <c r="I49" s="124" t="n">
        <f aca="false">IF(MONTH($A49)=MONTH($A48),IF(G49=0,I48,G49),G49)</f>
        <v>0</v>
      </c>
      <c r="J49" s="124" t="n">
        <f aca="false">IF(MONTH($A49)=MONTH($A48),SUM(I49-I48),I49)</f>
        <v>0</v>
      </c>
      <c r="K49" s="124" t="n">
        <f aca="false">IF(WEEKDAY(A49,3)&gt;4,0,(IF(A49&lt;K$2,0,IF(A49&lt;=K$3,1,0))))</f>
        <v>0</v>
      </c>
      <c r="L49" s="124" t="n">
        <f aca="false">J49*K49</f>
        <v>0</v>
      </c>
      <c r="M49" s="124" t="n">
        <f aca="false">SUM(J$6:J49)</f>
        <v>0</v>
      </c>
      <c r="N49" s="124" t="n">
        <f aca="false">SUM(J$6:J49)</f>
        <v>0</v>
      </c>
      <c r="P49" s="124" t="n">
        <f aca="false">D49/P$3</f>
        <v>0</v>
      </c>
      <c r="Q49" s="124" t="n">
        <f aca="false">E49/P$3</f>
        <v>0</v>
      </c>
      <c r="R49" s="124" t="n">
        <f aca="false">F49/R$3</f>
        <v>0</v>
      </c>
      <c r="S49" s="126" t="n">
        <f aca="false">J49/$R$3</f>
        <v>0</v>
      </c>
      <c r="T49" s="126" t="n">
        <f aca="false">L49/$R$3</f>
        <v>0</v>
      </c>
      <c r="U49" s="126" t="n">
        <f aca="false">I49/$R$3</f>
        <v>0</v>
      </c>
      <c r="V49" s="126" t="n">
        <f aca="false">M49/$R$3</f>
        <v>0</v>
      </c>
      <c r="W49" s="126" t="n">
        <f aca="false">N49/$R$3</f>
        <v>0</v>
      </c>
    </row>
    <row r="50" customFormat="false" ht="12.75" hidden="true" customHeight="false" outlineLevel="0" collapsed="false">
      <c r="A50" s="120" t="n">
        <f aca="false">A49+1</f>
        <v>36936</v>
      </c>
      <c r="B50" s="131" t="str">
        <f aca="false">INDEX('Master Data'!$A$2:$B$8,MATCH(WEEKDAY('BRA PWR Certificates'!A50,3),'Master Data'!$A$2:$A$8,0),2)</f>
        <v>W</v>
      </c>
      <c r="D50" s="124" t="n">
        <v>0</v>
      </c>
      <c r="E50" s="124" t="n">
        <v>0</v>
      </c>
      <c r="F50" s="124" t="n">
        <v>0</v>
      </c>
      <c r="G50" s="124" t="n">
        <v>0</v>
      </c>
      <c r="I50" s="124" t="n">
        <f aca="false">IF(MONTH($A50)=MONTH($A49),IF(G50=0,I49,G50),G50)</f>
        <v>0</v>
      </c>
      <c r="J50" s="124" t="n">
        <f aca="false">IF(MONTH($A50)=MONTH($A49),SUM(I50-I49),I50)</f>
        <v>0</v>
      </c>
      <c r="K50" s="124" t="n">
        <f aca="false">IF(WEEKDAY(A50,3)&gt;4,0,(IF(A50&lt;K$2,0,IF(A50&lt;=K$3,1,0))))</f>
        <v>0</v>
      </c>
      <c r="L50" s="124" t="n">
        <f aca="false">J50*K50</f>
        <v>0</v>
      </c>
      <c r="M50" s="124" t="n">
        <f aca="false">SUM(J$6:J50)</f>
        <v>0</v>
      </c>
      <c r="N50" s="124" t="n">
        <f aca="false">SUM(J$6:J50)</f>
        <v>0</v>
      </c>
      <c r="P50" s="124" t="n">
        <f aca="false">D50/P$3</f>
        <v>0</v>
      </c>
      <c r="Q50" s="124" t="n">
        <f aca="false">E50/P$3</f>
        <v>0</v>
      </c>
      <c r="R50" s="124" t="n">
        <f aca="false">F50/R$3</f>
        <v>0</v>
      </c>
      <c r="S50" s="126" t="n">
        <f aca="false">J50/$R$3</f>
        <v>0</v>
      </c>
      <c r="T50" s="126" t="n">
        <f aca="false">L50/$R$3</f>
        <v>0</v>
      </c>
      <c r="U50" s="126" t="n">
        <f aca="false">I50/$R$3</f>
        <v>0</v>
      </c>
      <c r="V50" s="126" t="n">
        <f aca="false">M50/$R$3</f>
        <v>0</v>
      </c>
      <c r="W50" s="126" t="n">
        <f aca="false">N50/$R$3</f>
        <v>0</v>
      </c>
    </row>
    <row r="51" customFormat="false" ht="12.75" hidden="true" customHeight="false" outlineLevel="0" collapsed="false">
      <c r="A51" s="120" t="n">
        <f aca="false">A50+1</f>
        <v>36937</v>
      </c>
      <c r="B51" s="131" t="str">
        <f aca="false">INDEX('Master Data'!$A$2:$B$8,MATCH(WEEKDAY('BRA PWR Certificates'!A51,3),'Master Data'!$A$2:$A$8,0),2)</f>
        <v>Th</v>
      </c>
      <c r="D51" s="124" t="n">
        <v>0</v>
      </c>
      <c r="E51" s="124" t="n">
        <v>0</v>
      </c>
      <c r="F51" s="124" t="n">
        <v>0</v>
      </c>
      <c r="G51" s="124" t="n">
        <v>0</v>
      </c>
      <c r="I51" s="124" t="n">
        <f aca="false">IF(MONTH($A51)=MONTH($A50),IF(G51=0,I50,G51),G51)</f>
        <v>0</v>
      </c>
      <c r="J51" s="124" t="n">
        <f aca="false">IF(MONTH($A51)=MONTH($A50),SUM(I51-I50),I51)</f>
        <v>0</v>
      </c>
      <c r="K51" s="124" t="n">
        <f aca="false">IF(WEEKDAY(A51,3)&gt;4,0,(IF(A51&lt;K$2,0,IF(A51&lt;=K$3,1,0))))</f>
        <v>0</v>
      </c>
      <c r="L51" s="124" t="n">
        <f aca="false">J51*K51</f>
        <v>0</v>
      </c>
      <c r="M51" s="124" t="n">
        <f aca="false">SUM(J$6:J51)</f>
        <v>0</v>
      </c>
      <c r="N51" s="124" t="n">
        <f aca="false">SUM(J$6:J51)</f>
        <v>0</v>
      </c>
      <c r="P51" s="124" t="n">
        <f aca="false">D51/P$3</f>
        <v>0</v>
      </c>
      <c r="Q51" s="124" t="n">
        <f aca="false">E51/P$3</f>
        <v>0</v>
      </c>
      <c r="R51" s="124" t="n">
        <f aca="false">F51/R$3</f>
        <v>0</v>
      </c>
      <c r="S51" s="126" t="n">
        <f aca="false">J51/$R$3</f>
        <v>0</v>
      </c>
      <c r="T51" s="126" t="n">
        <f aca="false">L51/$R$3</f>
        <v>0</v>
      </c>
      <c r="U51" s="126" t="n">
        <f aca="false">I51/$R$3</f>
        <v>0</v>
      </c>
      <c r="V51" s="126" t="n">
        <f aca="false">M51/$R$3</f>
        <v>0</v>
      </c>
      <c r="W51" s="126" t="n">
        <f aca="false">N51/$R$3</f>
        <v>0</v>
      </c>
    </row>
    <row r="52" customFormat="false" ht="12.75" hidden="true" customHeight="false" outlineLevel="0" collapsed="false">
      <c r="A52" s="120" t="n">
        <f aca="false">A51+1</f>
        <v>36938</v>
      </c>
      <c r="B52" s="131" t="str">
        <f aca="false">INDEX('Master Data'!$A$2:$B$8,MATCH(WEEKDAY('BRA PWR Certificates'!A52,3),'Master Data'!$A$2:$A$8,0),2)</f>
        <v>F</v>
      </c>
      <c r="D52" s="124" t="n">
        <v>0</v>
      </c>
      <c r="E52" s="124" t="n">
        <v>0</v>
      </c>
      <c r="F52" s="124" t="n">
        <v>0</v>
      </c>
      <c r="G52" s="124" t="n">
        <v>0</v>
      </c>
      <c r="I52" s="124" t="n">
        <f aca="false">IF(MONTH($A52)=MONTH($A51),IF(G52=0,I51,G52),G52)</f>
        <v>0</v>
      </c>
      <c r="J52" s="124" t="n">
        <f aca="false">IF(MONTH($A52)=MONTH($A51),SUM(I52-I51),I52)</f>
        <v>0</v>
      </c>
      <c r="K52" s="124" t="n">
        <f aca="false">IF(WEEKDAY(A52,3)&gt;4,0,(IF(A52&lt;K$2,0,IF(A52&lt;=K$3,1,0))))</f>
        <v>0</v>
      </c>
      <c r="L52" s="124" t="n">
        <f aca="false">J52*K52</f>
        <v>0</v>
      </c>
      <c r="M52" s="124" t="n">
        <f aca="false">SUM(J$6:J52)</f>
        <v>0</v>
      </c>
      <c r="N52" s="124" t="n">
        <f aca="false">SUM(J$6:J52)</f>
        <v>0</v>
      </c>
      <c r="P52" s="124" t="n">
        <f aca="false">D52/P$3</f>
        <v>0</v>
      </c>
      <c r="Q52" s="124" t="n">
        <f aca="false">E52/P$3</f>
        <v>0</v>
      </c>
      <c r="R52" s="124" t="n">
        <f aca="false">F52/R$3</f>
        <v>0</v>
      </c>
      <c r="S52" s="126" t="n">
        <f aca="false">J52/$R$3</f>
        <v>0</v>
      </c>
      <c r="T52" s="126" t="n">
        <f aca="false">L52/$R$3</f>
        <v>0</v>
      </c>
      <c r="U52" s="126" t="n">
        <f aca="false">I52/$R$3</f>
        <v>0</v>
      </c>
      <c r="V52" s="126" t="n">
        <f aca="false">M52/$R$3</f>
        <v>0</v>
      </c>
      <c r="W52" s="126" t="n">
        <f aca="false">N52/$R$3</f>
        <v>0</v>
      </c>
    </row>
    <row r="53" customFormat="false" ht="12.75" hidden="true" customHeight="false" outlineLevel="0" collapsed="false">
      <c r="A53" s="120" t="n">
        <f aca="false">A52+1</f>
        <v>36939</v>
      </c>
      <c r="B53" s="131" t="str">
        <f aca="false">INDEX('Master Data'!$A$2:$B$8,MATCH(WEEKDAY('BRA PWR Certificates'!A53,3),'Master Data'!$A$2:$A$8,0),2)</f>
        <v>Sa</v>
      </c>
      <c r="D53" s="124" t="n">
        <v>0</v>
      </c>
      <c r="E53" s="124" t="n">
        <v>0</v>
      </c>
      <c r="F53" s="124" t="n">
        <v>0</v>
      </c>
      <c r="G53" s="124" t="n">
        <v>0</v>
      </c>
      <c r="I53" s="124" t="n">
        <f aca="false">IF(MONTH($A53)=MONTH($A52),IF(G53=0,I52,G53),G53)</f>
        <v>0</v>
      </c>
      <c r="J53" s="124" t="n">
        <f aca="false">IF(MONTH($A53)=MONTH($A52),SUM(I53-I52),I53)</f>
        <v>0</v>
      </c>
      <c r="K53" s="124" t="n">
        <f aca="false">IF(WEEKDAY(A53,3)&gt;4,0,(IF(A53&lt;K$2,0,IF(A53&lt;=K$3,1,0))))</f>
        <v>0</v>
      </c>
      <c r="L53" s="124" t="n">
        <f aca="false">J53*K53</f>
        <v>0</v>
      </c>
      <c r="M53" s="124" t="n">
        <f aca="false">SUM(J$6:J53)</f>
        <v>0</v>
      </c>
      <c r="N53" s="124" t="n">
        <f aca="false">SUM(J$6:J53)</f>
        <v>0</v>
      </c>
      <c r="P53" s="124" t="n">
        <f aca="false">D53/P$3</f>
        <v>0</v>
      </c>
      <c r="Q53" s="124" t="n">
        <f aca="false">E53/P$3</f>
        <v>0</v>
      </c>
      <c r="R53" s="124" t="n">
        <f aca="false">F53/R$3</f>
        <v>0</v>
      </c>
      <c r="S53" s="126" t="n">
        <f aca="false">J53/$R$3</f>
        <v>0</v>
      </c>
      <c r="T53" s="126" t="n">
        <f aca="false">L53/$R$3</f>
        <v>0</v>
      </c>
      <c r="U53" s="126" t="n">
        <f aca="false">I53/$R$3</f>
        <v>0</v>
      </c>
      <c r="V53" s="126" t="n">
        <f aca="false">M53/$R$3</f>
        <v>0</v>
      </c>
      <c r="W53" s="126" t="n">
        <f aca="false">N53/$R$3</f>
        <v>0</v>
      </c>
    </row>
    <row r="54" customFormat="false" ht="12.75" hidden="true" customHeight="false" outlineLevel="0" collapsed="false">
      <c r="A54" s="120" t="n">
        <f aca="false">A53+1</f>
        <v>36940</v>
      </c>
      <c r="B54" s="131" t="str">
        <f aca="false">INDEX('Master Data'!$A$2:$B$8,MATCH(WEEKDAY('BRA PWR Certificates'!A54,3),'Master Data'!$A$2:$A$8,0),2)</f>
        <v>Su</v>
      </c>
      <c r="D54" s="124" t="n">
        <v>0</v>
      </c>
      <c r="E54" s="124" t="n">
        <v>0</v>
      </c>
      <c r="F54" s="124" t="n">
        <v>0</v>
      </c>
      <c r="G54" s="124" t="n">
        <v>0</v>
      </c>
      <c r="I54" s="124" t="n">
        <f aca="false">IF(MONTH($A54)=MONTH($A53),IF(G54=0,I53,G54),G54)</f>
        <v>0</v>
      </c>
      <c r="J54" s="124" t="n">
        <f aca="false">IF(MONTH($A54)=MONTH($A53),SUM(I54-I53),I54)</f>
        <v>0</v>
      </c>
      <c r="K54" s="124" t="n">
        <f aca="false">IF(WEEKDAY(A54,3)&gt;4,0,(IF(A54&lt;K$2,0,IF(A54&lt;=K$3,1,0))))</f>
        <v>0</v>
      </c>
      <c r="L54" s="124" t="n">
        <f aca="false">J54*K54</f>
        <v>0</v>
      </c>
      <c r="M54" s="124" t="n">
        <f aca="false">SUM(J$6:J54)</f>
        <v>0</v>
      </c>
      <c r="N54" s="124" t="n">
        <f aca="false">SUM(J$6:J54)</f>
        <v>0</v>
      </c>
      <c r="P54" s="124" t="n">
        <f aca="false">D54/P$3</f>
        <v>0</v>
      </c>
      <c r="Q54" s="124" t="n">
        <f aca="false">E54/P$3</f>
        <v>0</v>
      </c>
      <c r="R54" s="124" t="n">
        <f aca="false">F54/R$3</f>
        <v>0</v>
      </c>
      <c r="S54" s="126" t="n">
        <f aca="false">J54/$R$3</f>
        <v>0</v>
      </c>
      <c r="T54" s="126" t="n">
        <f aca="false">L54/$R$3</f>
        <v>0</v>
      </c>
      <c r="U54" s="126" t="n">
        <f aca="false">I54/$R$3</f>
        <v>0</v>
      </c>
      <c r="V54" s="126" t="n">
        <f aca="false">M54/$R$3</f>
        <v>0</v>
      </c>
      <c r="W54" s="126" t="n">
        <f aca="false">N54/$R$3</f>
        <v>0</v>
      </c>
    </row>
    <row r="55" customFormat="false" ht="12.75" hidden="true" customHeight="false" outlineLevel="0" collapsed="false">
      <c r="A55" s="120" t="n">
        <f aca="false">A54+1</f>
        <v>36941</v>
      </c>
      <c r="B55" s="131" t="str">
        <f aca="false">INDEX('Master Data'!$A$2:$B$8,MATCH(WEEKDAY('BRA PWR Certificates'!A55,3),'Master Data'!$A$2:$A$8,0),2)</f>
        <v>M</v>
      </c>
      <c r="D55" s="124" t="n">
        <v>0</v>
      </c>
      <c r="E55" s="124" t="n">
        <v>0</v>
      </c>
      <c r="F55" s="124" t="n">
        <v>0</v>
      </c>
      <c r="G55" s="124" t="n">
        <v>0</v>
      </c>
      <c r="I55" s="124" t="n">
        <f aca="false">IF(MONTH($A55)=MONTH($A54),IF(G55=0,I54,G55),G55)</f>
        <v>0</v>
      </c>
      <c r="J55" s="124" t="n">
        <f aca="false">IF(MONTH($A55)=MONTH($A54),SUM(I55-I54),I55)</f>
        <v>0</v>
      </c>
      <c r="K55" s="124" t="n">
        <f aca="false">IF(WEEKDAY(A55,3)&gt;4,0,(IF(A55&lt;K$2,0,IF(A55&lt;=K$3,1,0))))</f>
        <v>0</v>
      </c>
      <c r="L55" s="124" t="n">
        <f aca="false">J55*K55</f>
        <v>0</v>
      </c>
      <c r="M55" s="124" t="n">
        <f aca="false">SUM(J$6:J55)</f>
        <v>0</v>
      </c>
      <c r="N55" s="124" t="n">
        <f aca="false">SUM(J$6:J55)</f>
        <v>0</v>
      </c>
      <c r="P55" s="124" t="n">
        <f aca="false">D55/P$3</f>
        <v>0</v>
      </c>
      <c r="Q55" s="124" t="n">
        <f aca="false">E55/P$3</f>
        <v>0</v>
      </c>
      <c r="R55" s="124" t="n">
        <f aca="false">F55/R$3</f>
        <v>0</v>
      </c>
      <c r="S55" s="126" t="n">
        <f aca="false">J55/$R$3</f>
        <v>0</v>
      </c>
      <c r="T55" s="126" t="n">
        <f aca="false">L55/$R$3</f>
        <v>0</v>
      </c>
      <c r="U55" s="126" t="n">
        <f aca="false">I55/$R$3</f>
        <v>0</v>
      </c>
      <c r="V55" s="126" t="n">
        <f aca="false">M55/$R$3</f>
        <v>0</v>
      </c>
      <c r="W55" s="126" t="n">
        <f aca="false">N55/$R$3</f>
        <v>0</v>
      </c>
    </row>
    <row r="56" customFormat="false" ht="12.75" hidden="true" customHeight="false" outlineLevel="0" collapsed="false">
      <c r="A56" s="120" t="n">
        <f aca="false">A55+1</f>
        <v>36942</v>
      </c>
      <c r="B56" s="131" t="str">
        <f aca="false">INDEX('Master Data'!$A$2:$B$8,MATCH(WEEKDAY('BRA PWR Certificates'!A56,3),'Master Data'!$A$2:$A$8,0),2)</f>
        <v>T</v>
      </c>
      <c r="D56" s="124" t="n">
        <v>0</v>
      </c>
      <c r="E56" s="124" t="n">
        <v>0</v>
      </c>
      <c r="F56" s="124" t="n">
        <v>0</v>
      </c>
      <c r="G56" s="124" t="n">
        <v>0</v>
      </c>
      <c r="I56" s="124" t="n">
        <f aca="false">IF(MONTH($A56)=MONTH($A55),IF(G56=0,I55,G56),G56)</f>
        <v>0</v>
      </c>
      <c r="J56" s="124" t="n">
        <f aca="false">IF(MONTH($A56)=MONTH($A55),SUM(I56-I55),I56)</f>
        <v>0</v>
      </c>
      <c r="K56" s="124" t="n">
        <f aca="false">IF(WEEKDAY(A56,3)&gt;4,0,(IF(A56&lt;K$2,0,IF(A56&lt;=K$3,1,0))))</f>
        <v>0</v>
      </c>
      <c r="L56" s="124" t="n">
        <f aca="false">J56*K56</f>
        <v>0</v>
      </c>
      <c r="M56" s="124" t="n">
        <f aca="false">SUM(J$6:J56)</f>
        <v>0</v>
      </c>
      <c r="N56" s="124" t="n">
        <f aca="false">SUM(J$6:J56)</f>
        <v>0</v>
      </c>
      <c r="P56" s="124" t="n">
        <f aca="false">D56/P$3</f>
        <v>0</v>
      </c>
      <c r="Q56" s="124" t="n">
        <f aca="false">E56/P$3</f>
        <v>0</v>
      </c>
      <c r="R56" s="124" t="n">
        <f aca="false">F56/R$3</f>
        <v>0</v>
      </c>
      <c r="S56" s="126" t="n">
        <f aca="false">J56/$R$3</f>
        <v>0</v>
      </c>
      <c r="T56" s="126" t="n">
        <f aca="false">L56/$R$3</f>
        <v>0</v>
      </c>
      <c r="U56" s="126" t="n">
        <f aca="false">I56/$R$3</f>
        <v>0</v>
      </c>
      <c r="V56" s="126" t="n">
        <f aca="false">M56/$R$3</f>
        <v>0</v>
      </c>
      <c r="W56" s="126" t="n">
        <f aca="false">N56/$R$3</f>
        <v>0</v>
      </c>
    </row>
    <row r="57" customFormat="false" ht="12.75" hidden="true" customHeight="false" outlineLevel="0" collapsed="false">
      <c r="A57" s="120" t="n">
        <f aca="false">A56+1</f>
        <v>36943</v>
      </c>
      <c r="B57" s="131" t="str">
        <f aca="false">INDEX('Master Data'!$A$2:$B$8,MATCH(WEEKDAY('BRA PWR Certificates'!A57,3),'Master Data'!$A$2:$A$8,0),2)</f>
        <v>W</v>
      </c>
      <c r="D57" s="124" t="n">
        <v>0</v>
      </c>
      <c r="E57" s="124" t="n">
        <v>0</v>
      </c>
      <c r="F57" s="124" t="n">
        <v>0</v>
      </c>
      <c r="G57" s="124" t="n">
        <v>0</v>
      </c>
      <c r="I57" s="124" t="n">
        <f aca="false">IF(MONTH($A57)=MONTH($A56),IF(G57=0,I56,G57),G57)</f>
        <v>0</v>
      </c>
      <c r="J57" s="124" t="n">
        <f aca="false">IF(MONTH($A57)=MONTH($A56),SUM(I57-I56),I57)</f>
        <v>0</v>
      </c>
      <c r="K57" s="124" t="n">
        <f aca="false">IF(WEEKDAY(A57,3)&gt;4,0,(IF(A57&lt;K$2,0,IF(A57&lt;=K$3,1,0))))</f>
        <v>0</v>
      </c>
      <c r="L57" s="124" t="n">
        <f aca="false">J57*K57</f>
        <v>0</v>
      </c>
      <c r="M57" s="124" t="n">
        <f aca="false">SUM(J$6:J57)</f>
        <v>0</v>
      </c>
      <c r="N57" s="124" t="n">
        <f aca="false">SUM(J$6:J57)</f>
        <v>0</v>
      </c>
      <c r="P57" s="124" t="n">
        <f aca="false">D57/P$3</f>
        <v>0</v>
      </c>
      <c r="Q57" s="124" t="n">
        <f aca="false">E57/P$3</f>
        <v>0</v>
      </c>
      <c r="R57" s="124" t="n">
        <f aca="false">F57/R$3</f>
        <v>0</v>
      </c>
      <c r="S57" s="126" t="n">
        <f aca="false">J57/$R$3</f>
        <v>0</v>
      </c>
      <c r="T57" s="126" t="n">
        <f aca="false">L57/$R$3</f>
        <v>0</v>
      </c>
      <c r="U57" s="126" t="n">
        <f aca="false">I57/$R$3</f>
        <v>0</v>
      </c>
      <c r="V57" s="126" t="n">
        <f aca="false">M57/$R$3</f>
        <v>0</v>
      </c>
      <c r="W57" s="126" t="n">
        <f aca="false">N57/$R$3</f>
        <v>0</v>
      </c>
    </row>
    <row r="58" customFormat="false" ht="12.75" hidden="true" customHeight="false" outlineLevel="0" collapsed="false">
      <c r="A58" s="120" t="n">
        <f aca="false">A57+1</f>
        <v>36944</v>
      </c>
      <c r="B58" s="131" t="str">
        <f aca="false">INDEX('Master Data'!$A$2:$B$8,MATCH(WEEKDAY('BRA PWR Certificates'!A58,3),'Master Data'!$A$2:$A$8,0),2)</f>
        <v>Th</v>
      </c>
      <c r="D58" s="124" t="n">
        <v>0</v>
      </c>
      <c r="E58" s="124" t="n">
        <v>0</v>
      </c>
      <c r="F58" s="124" t="n">
        <v>0</v>
      </c>
      <c r="G58" s="124" t="n">
        <v>0</v>
      </c>
      <c r="I58" s="124" t="n">
        <f aca="false">IF(MONTH($A58)=MONTH($A57),IF(G58=0,I57,G58),G58)</f>
        <v>0</v>
      </c>
      <c r="J58" s="124" t="n">
        <f aca="false">IF(MONTH($A58)=MONTH($A57),SUM(I58-I57),I58)</f>
        <v>0</v>
      </c>
      <c r="K58" s="124" t="n">
        <f aca="false">IF(WEEKDAY(A58,3)&gt;4,0,(IF(A58&lt;K$2,0,IF(A58&lt;=K$3,1,0))))</f>
        <v>0</v>
      </c>
      <c r="L58" s="124" t="n">
        <f aca="false">J58*K58</f>
        <v>0</v>
      </c>
      <c r="M58" s="124" t="n">
        <f aca="false">SUM(J$6:J58)</f>
        <v>0</v>
      </c>
      <c r="N58" s="124" t="n">
        <f aca="false">SUM(J$6:J58)</f>
        <v>0</v>
      </c>
      <c r="P58" s="124" t="n">
        <f aca="false">D58/P$3</f>
        <v>0</v>
      </c>
      <c r="Q58" s="124" t="n">
        <f aca="false">E58/P$3</f>
        <v>0</v>
      </c>
      <c r="R58" s="124" t="n">
        <f aca="false">F58/R$3</f>
        <v>0</v>
      </c>
      <c r="S58" s="126" t="n">
        <f aca="false">J58/$R$3</f>
        <v>0</v>
      </c>
      <c r="T58" s="126" t="n">
        <f aca="false">L58/$R$3</f>
        <v>0</v>
      </c>
      <c r="U58" s="126" t="n">
        <f aca="false">I58/$R$3</f>
        <v>0</v>
      </c>
      <c r="V58" s="126" t="n">
        <f aca="false">M58/$R$3</f>
        <v>0</v>
      </c>
      <c r="W58" s="126" t="n">
        <f aca="false">N58/$R$3</f>
        <v>0</v>
      </c>
    </row>
    <row r="59" customFormat="false" ht="12.75" hidden="true" customHeight="false" outlineLevel="0" collapsed="false">
      <c r="A59" s="120" t="n">
        <f aca="false">A58+1</f>
        <v>36945</v>
      </c>
      <c r="B59" s="131" t="str">
        <f aca="false">INDEX('Master Data'!$A$2:$B$8,MATCH(WEEKDAY('BRA PWR Certificates'!A59,3),'Master Data'!$A$2:$A$8,0),2)</f>
        <v>F</v>
      </c>
      <c r="D59" s="124" t="n">
        <v>0</v>
      </c>
      <c r="E59" s="124" t="n">
        <v>0</v>
      </c>
      <c r="F59" s="124" t="n">
        <v>0</v>
      </c>
      <c r="G59" s="124" t="n">
        <v>0</v>
      </c>
      <c r="I59" s="124" t="n">
        <f aca="false">IF(MONTH($A59)=MONTH($A58),IF(G59=0,I58,G59),G59)</f>
        <v>0</v>
      </c>
      <c r="J59" s="124" t="n">
        <f aca="false">IF(MONTH($A59)=MONTH($A58),SUM(I59-I58),I59)</f>
        <v>0</v>
      </c>
      <c r="K59" s="124" t="n">
        <f aca="false">IF(WEEKDAY(A59,3)&gt;4,0,(IF(A59&lt;K$2,0,IF(A59&lt;=K$3,1,0))))</f>
        <v>0</v>
      </c>
      <c r="L59" s="124" t="n">
        <f aca="false">J59*K59</f>
        <v>0</v>
      </c>
      <c r="M59" s="124" t="n">
        <f aca="false">SUM(J$6:J59)</f>
        <v>0</v>
      </c>
      <c r="N59" s="124" t="n">
        <f aca="false">SUM(J$6:J59)</f>
        <v>0</v>
      </c>
      <c r="P59" s="124" t="n">
        <f aca="false">D59/P$3</f>
        <v>0</v>
      </c>
      <c r="Q59" s="124" t="n">
        <f aca="false">E59/P$3</f>
        <v>0</v>
      </c>
      <c r="R59" s="124" t="n">
        <f aca="false">F59/R$3</f>
        <v>0</v>
      </c>
      <c r="S59" s="126" t="n">
        <f aca="false">J59/$R$3</f>
        <v>0</v>
      </c>
      <c r="T59" s="126" t="n">
        <f aca="false">L59/$R$3</f>
        <v>0</v>
      </c>
      <c r="U59" s="126" t="n">
        <f aca="false">I59/$R$3</f>
        <v>0</v>
      </c>
      <c r="V59" s="126" t="n">
        <f aca="false">M59/$R$3</f>
        <v>0</v>
      </c>
      <c r="W59" s="126" t="n">
        <f aca="false">N59/$R$3</f>
        <v>0</v>
      </c>
    </row>
    <row r="60" customFormat="false" ht="12.75" hidden="true" customHeight="false" outlineLevel="0" collapsed="false">
      <c r="A60" s="120" t="n">
        <f aca="false">A59+1</f>
        <v>36946</v>
      </c>
      <c r="B60" s="131" t="str">
        <f aca="false">INDEX('Master Data'!$A$2:$B$8,MATCH(WEEKDAY('BRA PWR Certificates'!A60,3),'Master Data'!$A$2:$A$8,0),2)</f>
        <v>Sa</v>
      </c>
      <c r="D60" s="124" t="n">
        <v>0</v>
      </c>
      <c r="E60" s="124" t="n">
        <v>0</v>
      </c>
      <c r="F60" s="124" t="n">
        <v>0</v>
      </c>
      <c r="G60" s="124" t="n">
        <v>0</v>
      </c>
      <c r="I60" s="124" t="n">
        <f aca="false">IF(MONTH($A60)=MONTH($A59),IF(G60=0,I59,G60),G60)</f>
        <v>0</v>
      </c>
      <c r="J60" s="124" t="n">
        <f aca="false">IF(MONTH($A60)=MONTH($A59),SUM(I60-I59),I60)</f>
        <v>0</v>
      </c>
      <c r="K60" s="124" t="n">
        <f aca="false">IF(WEEKDAY(A60,3)&gt;4,0,(IF(A60&lt;K$2,0,IF(A60&lt;=K$3,1,0))))</f>
        <v>0</v>
      </c>
      <c r="L60" s="124" t="n">
        <f aca="false">J60*K60</f>
        <v>0</v>
      </c>
      <c r="M60" s="124" t="n">
        <f aca="false">SUM(J$6:J60)</f>
        <v>0</v>
      </c>
      <c r="N60" s="124" t="n">
        <f aca="false">SUM(J$6:J60)</f>
        <v>0</v>
      </c>
      <c r="P60" s="124" t="n">
        <f aca="false">D60/P$3</f>
        <v>0</v>
      </c>
      <c r="Q60" s="124" t="n">
        <f aca="false">E60/P$3</f>
        <v>0</v>
      </c>
      <c r="R60" s="124" t="n">
        <f aca="false">F60/R$3</f>
        <v>0</v>
      </c>
      <c r="S60" s="126" t="n">
        <f aca="false">J60/$R$3</f>
        <v>0</v>
      </c>
      <c r="T60" s="126" t="n">
        <f aca="false">L60/$R$3</f>
        <v>0</v>
      </c>
      <c r="U60" s="126" t="n">
        <f aca="false">I60/$R$3</f>
        <v>0</v>
      </c>
      <c r="V60" s="126" t="n">
        <f aca="false">M60/$R$3</f>
        <v>0</v>
      </c>
      <c r="W60" s="126" t="n">
        <f aca="false">N60/$R$3</f>
        <v>0</v>
      </c>
    </row>
    <row r="61" customFormat="false" ht="12.75" hidden="true" customHeight="false" outlineLevel="0" collapsed="false">
      <c r="A61" s="120" t="n">
        <f aca="false">A60+1</f>
        <v>36947</v>
      </c>
      <c r="B61" s="131" t="str">
        <f aca="false">INDEX('Master Data'!$A$2:$B$8,MATCH(WEEKDAY('BRA PWR Certificates'!A61,3),'Master Data'!$A$2:$A$8,0),2)</f>
        <v>Su</v>
      </c>
      <c r="D61" s="124" t="n">
        <v>0</v>
      </c>
      <c r="E61" s="124" t="n">
        <v>0</v>
      </c>
      <c r="F61" s="124" t="n">
        <v>0</v>
      </c>
      <c r="G61" s="124" t="n">
        <v>0</v>
      </c>
      <c r="I61" s="124" t="n">
        <f aca="false">IF(MONTH($A61)=MONTH($A60),IF(G61=0,I60,G61),G61)</f>
        <v>0</v>
      </c>
      <c r="J61" s="124" t="n">
        <f aca="false">IF(MONTH($A61)=MONTH($A60),SUM(I61-I60),I61)</f>
        <v>0</v>
      </c>
      <c r="K61" s="124" t="n">
        <f aca="false">IF(WEEKDAY(A61,3)&gt;4,0,(IF(A61&lt;K$2,0,IF(A61&lt;=K$3,1,0))))</f>
        <v>0</v>
      </c>
      <c r="L61" s="124" t="n">
        <f aca="false">J61*K61</f>
        <v>0</v>
      </c>
      <c r="M61" s="124" t="n">
        <f aca="false">SUM(J$6:J61)</f>
        <v>0</v>
      </c>
      <c r="N61" s="124" t="n">
        <f aca="false">SUM(J$6:J61)</f>
        <v>0</v>
      </c>
      <c r="P61" s="124" t="n">
        <f aca="false">D61/P$3</f>
        <v>0</v>
      </c>
      <c r="Q61" s="124" t="n">
        <f aca="false">E61/P$3</f>
        <v>0</v>
      </c>
      <c r="R61" s="124" t="n">
        <f aca="false">F61/R$3</f>
        <v>0</v>
      </c>
      <c r="S61" s="126" t="n">
        <f aca="false">J61/$R$3</f>
        <v>0</v>
      </c>
      <c r="T61" s="126" t="n">
        <f aca="false">L61/$R$3</f>
        <v>0</v>
      </c>
      <c r="U61" s="126" t="n">
        <f aca="false">I61/$R$3</f>
        <v>0</v>
      </c>
      <c r="V61" s="126" t="n">
        <f aca="false">M61/$R$3</f>
        <v>0</v>
      </c>
      <c r="W61" s="126" t="n">
        <f aca="false">N61/$R$3</f>
        <v>0</v>
      </c>
    </row>
    <row r="62" customFormat="false" ht="12.75" hidden="true" customHeight="false" outlineLevel="0" collapsed="false">
      <c r="A62" s="120" t="n">
        <f aca="false">A61+1</f>
        <v>36948</v>
      </c>
      <c r="B62" s="131" t="str">
        <f aca="false">INDEX('Master Data'!$A$2:$B$8,MATCH(WEEKDAY('BRA PWR Certificates'!A62,3),'Master Data'!$A$2:$A$8,0),2)</f>
        <v>M</v>
      </c>
      <c r="D62" s="124" t="n">
        <v>0</v>
      </c>
      <c r="E62" s="124" t="n">
        <v>0</v>
      </c>
      <c r="F62" s="124" t="n">
        <v>0</v>
      </c>
      <c r="G62" s="124" t="n">
        <v>0</v>
      </c>
      <c r="I62" s="124" t="n">
        <f aca="false">IF(MONTH($A62)=MONTH($A61),IF(G62=0,I61,G62),G62)</f>
        <v>0</v>
      </c>
      <c r="J62" s="124" t="n">
        <f aca="false">IF(MONTH($A62)=MONTH($A61),SUM(I62-I61),I62)</f>
        <v>0</v>
      </c>
      <c r="K62" s="124" t="n">
        <f aca="false">IF(WEEKDAY(A62,3)&gt;4,0,(IF(A62&lt;K$2,0,IF(A62&lt;=K$3,1,0))))</f>
        <v>0</v>
      </c>
      <c r="L62" s="124" t="n">
        <f aca="false">J62*K62</f>
        <v>0</v>
      </c>
      <c r="M62" s="124" t="n">
        <f aca="false">SUM(J$6:J62)</f>
        <v>0</v>
      </c>
      <c r="N62" s="124" t="n">
        <f aca="false">SUM(J$6:J62)</f>
        <v>0</v>
      </c>
      <c r="P62" s="124" t="n">
        <f aca="false">D62/P$3</f>
        <v>0</v>
      </c>
      <c r="Q62" s="124" t="n">
        <f aca="false">E62/P$3</f>
        <v>0</v>
      </c>
      <c r="R62" s="124" t="n">
        <f aca="false">F62/R$3</f>
        <v>0</v>
      </c>
      <c r="S62" s="126" t="n">
        <f aca="false">J62/$R$3</f>
        <v>0</v>
      </c>
      <c r="T62" s="126" t="n">
        <f aca="false">L62/$R$3</f>
        <v>0</v>
      </c>
      <c r="U62" s="126" t="n">
        <f aca="false">I62/$R$3</f>
        <v>0</v>
      </c>
      <c r="V62" s="126" t="n">
        <f aca="false">M62/$R$3</f>
        <v>0</v>
      </c>
      <c r="W62" s="126" t="n">
        <f aca="false">N62/$R$3</f>
        <v>0</v>
      </c>
    </row>
    <row r="63" customFormat="false" ht="12.75" hidden="true" customHeight="false" outlineLevel="0" collapsed="false">
      <c r="A63" s="120" t="n">
        <f aca="false">A62+1</f>
        <v>36949</v>
      </c>
      <c r="B63" s="131" t="str">
        <f aca="false">INDEX('Master Data'!$A$2:$B$8,MATCH(WEEKDAY('BRA PWR Certificates'!A63,3),'Master Data'!$A$2:$A$8,0),2)</f>
        <v>T</v>
      </c>
      <c r="D63" s="124" t="n">
        <v>0</v>
      </c>
      <c r="E63" s="124" t="n">
        <v>0</v>
      </c>
      <c r="F63" s="124" t="n">
        <v>0</v>
      </c>
      <c r="G63" s="124" t="n">
        <v>0</v>
      </c>
      <c r="I63" s="124" t="n">
        <f aca="false">IF(MONTH($A63)=MONTH($A62),IF(G63=0,I62,G63),G63)</f>
        <v>0</v>
      </c>
      <c r="J63" s="124" t="n">
        <f aca="false">IF(MONTH($A63)=MONTH($A62),SUM(I63-I62),I63)</f>
        <v>0</v>
      </c>
      <c r="K63" s="124" t="n">
        <f aca="false">IF(WEEKDAY(A63,3)&gt;4,0,(IF(A63&lt;K$2,0,IF(A63&lt;=K$3,1,0))))</f>
        <v>0</v>
      </c>
      <c r="L63" s="124" t="n">
        <f aca="false">J63*K63</f>
        <v>0</v>
      </c>
      <c r="M63" s="124" t="n">
        <f aca="false">SUM(J$6:J63)</f>
        <v>0</v>
      </c>
      <c r="N63" s="124" t="n">
        <f aca="false">SUM(J$6:J63)</f>
        <v>0</v>
      </c>
      <c r="P63" s="124" t="n">
        <f aca="false">D63/P$3</f>
        <v>0</v>
      </c>
      <c r="Q63" s="124" t="n">
        <f aca="false">E63/P$3</f>
        <v>0</v>
      </c>
      <c r="R63" s="124" t="n">
        <f aca="false">F63/R$3</f>
        <v>0</v>
      </c>
      <c r="S63" s="126" t="n">
        <f aca="false">J63/$R$3</f>
        <v>0</v>
      </c>
      <c r="T63" s="126" t="n">
        <f aca="false">L63/$R$3</f>
        <v>0</v>
      </c>
      <c r="U63" s="126" t="n">
        <f aca="false">I63/$R$3</f>
        <v>0</v>
      </c>
      <c r="V63" s="126" t="n">
        <f aca="false">M63/$R$3</f>
        <v>0</v>
      </c>
      <c r="W63" s="126" t="n">
        <f aca="false">N63/$R$3</f>
        <v>0</v>
      </c>
    </row>
    <row r="64" customFormat="false" ht="12.75" hidden="true" customHeight="false" outlineLevel="0" collapsed="false">
      <c r="A64" s="120" t="n">
        <f aca="false">A63+1</f>
        <v>36950</v>
      </c>
      <c r="B64" s="131" t="str">
        <f aca="false">INDEX('Master Data'!$A$2:$B$8,MATCH(WEEKDAY('BRA PWR Certificates'!A64,3),'Master Data'!$A$2:$A$8,0),2)</f>
        <v>W</v>
      </c>
      <c r="D64" s="124" t="n">
        <v>0</v>
      </c>
      <c r="E64" s="124" t="n">
        <v>0</v>
      </c>
      <c r="F64" s="124" t="n">
        <v>0</v>
      </c>
      <c r="G64" s="124" t="n">
        <v>0</v>
      </c>
      <c r="I64" s="124" t="n">
        <f aca="false">IF(MONTH($A64)=MONTH($A63),IF(G64=0,I63,G64),G64)</f>
        <v>0</v>
      </c>
      <c r="J64" s="124" t="n">
        <f aca="false">IF(MONTH($A64)=MONTH($A63),SUM(I64-I63),I64)</f>
        <v>0</v>
      </c>
      <c r="K64" s="124" t="n">
        <f aca="false">IF(WEEKDAY(A64,3)&gt;4,0,(IF(A64&lt;K$2,0,IF(A64&lt;=K$3,1,0))))</f>
        <v>0</v>
      </c>
      <c r="L64" s="124" t="n">
        <f aca="false">J64*K64</f>
        <v>0</v>
      </c>
      <c r="M64" s="124" t="n">
        <f aca="false">SUM(J$6:J64)</f>
        <v>0</v>
      </c>
      <c r="N64" s="124" t="n">
        <f aca="false">SUM(J$6:J64)</f>
        <v>0</v>
      </c>
      <c r="P64" s="124" t="n">
        <f aca="false">D64/P$3</f>
        <v>0</v>
      </c>
      <c r="Q64" s="124" t="n">
        <f aca="false">E64/P$3</f>
        <v>0</v>
      </c>
      <c r="R64" s="124" t="n">
        <f aca="false">F64/R$3</f>
        <v>0</v>
      </c>
      <c r="S64" s="126" t="n">
        <f aca="false">J64/$R$3</f>
        <v>0</v>
      </c>
      <c r="T64" s="126" t="n">
        <f aca="false">L64/$R$3</f>
        <v>0</v>
      </c>
      <c r="U64" s="126" t="n">
        <f aca="false">I64/$R$3</f>
        <v>0</v>
      </c>
      <c r="V64" s="126" t="n">
        <f aca="false">M64/$R$3</f>
        <v>0</v>
      </c>
      <c r="W64" s="126" t="n">
        <f aca="false">N64/$R$3</f>
        <v>0</v>
      </c>
    </row>
    <row r="65" customFormat="false" ht="12.75" hidden="true" customHeight="false" outlineLevel="0" collapsed="false">
      <c r="A65" s="120" t="n">
        <f aca="false">A64+1</f>
        <v>36951</v>
      </c>
      <c r="B65" s="131" t="str">
        <f aca="false">INDEX('Master Data'!$A$2:$B$8,MATCH(WEEKDAY('BRA PWR Certificates'!A65,3),'Master Data'!$A$2:$A$8,0),2)</f>
        <v>Th</v>
      </c>
      <c r="D65" s="124" t="n">
        <v>0</v>
      </c>
      <c r="E65" s="124" t="n">
        <v>0</v>
      </c>
      <c r="F65" s="124" t="n">
        <v>0</v>
      </c>
      <c r="G65" s="124" t="n">
        <v>0</v>
      </c>
      <c r="I65" s="124" t="n">
        <f aca="false">IF(MONTH($A65)=MONTH($A64),IF(G65=0,I64,G65),G65)</f>
        <v>0</v>
      </c>
      <c r="J65" s="124" t="n">
        <f aca="false">IF(MONTH($A65)=MONTH($A64),SUM(I65-I64),I65)</f>
        <v>0</v>
      </c>
      <c r="K65" s="124" t="n">
        <f aca="false">IF(WEEKDAY(A65,3)&gt;4,0,(IF(A65&lt;K$2,0,IF(A65&lt;=K$3,1,0))))</f>
        <v>0</v>
      </c>
      <c r="L65" s="124" t="n">
        <f aca="false">J65*K65</f>
        <v>0</v>
      </c>
      <c r="M65" s="124" t="n">
        <f aca="false">SUM(J$6:J65)</f>
        <v>0</v>
      </c>
      <c r="N65" s="124" t="n">
        <f aca="false">SUM(J$6:J65)</f>
        <v>0</v>
      </c>
      <c r="P65" s="124" t="n">
        <f aca="false">D65/P$3</f>
        <v>0</v>
      </c>
      <c r="Q65" s="124" t="n">
        <f aca="false">E65/P$3</f>
        <v>0</v>
      </c>
      <c r="R65" s="124" t="n">
        <f aca="false">F65/R$3</f>
        <v>0</v>
      </c>
      <c r="S65" s="126" t="n">
        <f aca="false">J65/$R$3</f>
        <v>0</v>
      </c>
      <c r="T65" s="126" t="n">
        <f aca="false">L65/$R$3</f>
        <v>0</v>
      </c>
      <c r="U65" s="126" t="n">
        <f aca="false">I65/$R$3</f>
        <v>0</v>
      </c>
      <c r="V65" s="126" t="n">
        <f aca="false">M65/$R$3</f>
        <v>0</v>
      </c>
      <c r="W65" s="126" t="n">
        <f aca="false">N65/$R$3</f>
        <v>0</v>
      </c>
    </row>
    <row r="66" customFormat="false" ht="12.75" hidden="true" customHeight="false" outlineLevel="0" collapsed="false">
      <c r="A66" s="120" t="n">
        <f aca="false">A65+1</f>
        <v>36952</v>
      </c>
      <c r="B66" s="131" t="str">
        <f aca="false">INDEX('Master Data'!$A$2:$B$8,MATCH(WEEKDAY('BRA PWR Certificates'!A66,3),'Master Data'!$A$2:$A$8,0),2)</f>
        <v>F</v>
      </c>
      <c r="D66" s="124" t="n">
        <v>0</v>
      </c>
      <c r="E66" s="124" t="n">
        <v>0</v>
      </c>
      <c r="F66" s="124" t="n">
        <v>0</v>
      </c>
      <c r="G66" s="124" t="n">
        <v>0</v>
      </c>
      <c r="I66" s="124" t="n">
        <f aca="false">IF(MONTH($A66)=MONTH($A65),IF(G66=0,I65,G66),G66)</f>
        <v>0</v>
      </c>
      <c r="J66" s="124" t="n">
        <f aca="false">IF(MONTH($A66)=MONTH($A65),SUM(I66-I65),I66)</f>
        <v>0</v>
      </c>
      <c r="K66" s="124" t="n">
        <f aca="false">IF(WEEKDAY(A66,3)&gt;4,0,(IF(A66&lt;K$2,0,IF(A66&lt;=K$3,1,0))))</f>
        <v>0</v>
      </c>
      <c r="L66" s="124" t="n">
        <f aca="false">J66*K66</f>
        <v>0</v>
      </c>
      <c r="M66" s="124" t="n">
        <f aca="false">SUM(J$6:J66)</f>
        <v>0</v>
      </c>
      <c r="N66" s="124" t="n">
        <f aca="false">SUM(J$6:J66)</f>
        <v>0</v>
      </c>
      <c r="P66" s="124" t="n">
        <f aca="false">D66/P$3</f>
        <v>0</v>
      </c>
      <c r="Q66" s="124" t="n">
        <f aca="false">E66/P$3</f>
        <v>0</v>
      </c>
      <c r="R66" s="124" t="n">
        <f aca="false">F66/R$3</f>
        <v>0</v>
      </c>
      <c r="S66" s="126" t="n">
        <f aca="false">J66/$R$3</f>
        <v>0</v>
      </c>
      <c r="T66" s="126" t="n">
        <f aca="false">L66/$R$3</f>
        <v>0</v>
      </c>
      <c r="U66" s="126" t="n">
        <f aca="false">I66/$R$3</f>
        <v>0</v>
      </c>
      <c r="V66" s="126" t="n">
        <f aca="false">M66/$R$3</f>
        <v>0</v>
      </c>
      <c r="W66" s="126" t="n">
        <f aca="false">N66/$R$3</f>
        <v>0</v>
      </c>
    </row>
    <row r="67" customFormat="false" ht="12.75" hidden="true" customHeight="false" outlineLevel="0" collapsed="false">
      <c r="A67" s="120" t="n">
        <f aca="false">A66+1</f>
        <v>36953</v>
      </c>
      <c r="B67" s="131" t="str">
        <f aca="false">INDEX('Master Data'!$A$2:$B$8,MATCH(WEEKDAY('BRA PWR Certificates'!A67,3),'Master Data'!$A$2:$A$8,0),2)</f>
        <v>Sa</v>
      </c>
      <c r="D67" s="124" t="n">
        <v>0</v>
      </c>
      <c r="E67" s="124" t="n">
        <v>0</v>
      </c>
      <c r="F67" s="124" t="n">
        <v>0</v>
      </c>
      <c r="G67" s="124" t="n">
        <v>0</v>
      </c>
      <c r="I67" s="124" t="n">
        <f aca="false">IF(MONTH($A67)=MONTH($A66),IF(G67=0,I66,G67),G67)</f>
        <v>0</v>
      </c>
      <c r="J67" s="124" t="n">
        <f aca="false">IF(MONTH($A67)=MONTH($A66),SUM(I67-I66),I67)</f>
        <v>0</v>
      </c>
      <c r="K67" s="124" t="n">
        <f aca="false">IF(WEEKDAY(A67,3)&gt;4,0,(IF(A67&lt;K$2,0,IF(A67&lt;=K$3,1,0))))</f>
        <v>0</v>
      </c>
      <c r="L67" s="124" t="n">
        <f aca="false">J67*K67</f>
        <v>0</v>
      </c>
      <c r="M67" s="124" t="n">
        <f aca="false">SUM(J$6:J67)</f>
        <v>0</v>
      </c>
      <c r="N67" s="124" t="n">
        <f aca="false">SUM(J$6:J67)</f>
        <v>0</v>
      </c>
      <c r="P67" s="124" t="n">
        <f aca="false">D67/P$3</f>
        <v>0</v>
      </c>
      <c r="Q67" s="124" t="n">
        <f aca="false">E67/P$3</f>
        <v>0</v>
      </c>
      <c r="R67" s="124" t="n">
        <f aca="false">F67/R$3</f>
        <v>0</v>
      </c>
      <c r="S67" s="126" t="n">
        <f aca="false">J67/$R$3</f>
        <v>0</v>
      </c>
      <c r="T67" s="126" t="n">
        <f aca="false">L67/$R$3</f>
        <v>0</v>
      </c>
      <c r="U67" s="126" t="n">
        <f aca="false">I67/$R$3</f>
        <v>0</v>
      </c>
      <c r="V67" s="126" t="n">
        <f aca="false">M67/$R$3</f>
        <v>0</v>
      </c>
      <c r="W67" s="126" t="n">
        <f aca="false">N67/$R$3</f>
        <v>0</v>
      </c>
    </row>
    <row r="68" customFormat="false" ht="12.75" hidden="true" customHeight="false" outlineLevel="0" collapsed="false">
      <c r="A68" s="120" t="n">
        <f aca="false">A67+1</f>
        <v>36954</v>
      </c>
      <c r="B68" s="131" t="str">
        <f aca="false">INDEX('Master Data'!$A$2:$B$8,MATCH(WEEKDAY('BRA PWR Certificates'!A68,3),'Master Data'!$A$2:$A$8,0),2)</f>
        <v>Su</v>
      </c>
      <c r="D68" s="124" t="n">
        <v>0</v>
      </c>
      <c r="E68" s="124" t="n">
        <v>0</v>
      </c>
      <c r="F68" s="124" t="n">
        <v>0</v>
      </c>
      <c r="G68" s="124" t="n">
        <v>0</v>
      </c>
      <c r="I68" s="124" t="n">
        <f aca="false">IF(MONTH($A68)=MONTH($A67),IF(G68=0,I67,G68),G68)</f>
        <v>0</v>
      </c>
      <c r="J68" s="124" t="n">
        <f aca="false">IF(MONTH($A68)=MONTH($A67),SUM(I68-I67),I68)</f>
        <v>0</v>
      </c>
      <c r="K68" s="124" t="n">
        <f aca="false">IF(WEEKDAY(A68,3)&gt;4,0,(IF(A68&lt;K$2,0,IF(A68&lt;=K$3,1,0))))</f>
        <v>0</v>
      </c>
      <c r="L68" s="124" t="n">
        <f aca="false">J68*K68</f>
        <v>0</v>
      </c>
      <c r="M68" s="124" t="n">
        <f aca="false">SUM(J$6:J68)</f>
        <v>0</v>
      </c>
      <c r="N68" s="124" t="n">
        <f aca="false">SUM(J$6:J68)</f>
        <v>0</v>
      </c>
      <c r="P68" s="124" t="n">
        <f aca="false">D68/P$3</f>
        <v>0</v>
      </c>
      <c r="Q68" s="124" t="n">
        <f aca="false">E68/P$3</f>
        <v>0</v>
      </c>
      <c r="R68" s="124" t="n">
        <f aca="false">F68/R$3</f>
        <v>0</v>
      </c>
      <c r="S68" s="126" t="n">
        <f aca="false">J68/$R$3</f>
        <v>0</v>
      </c>
      <c r="T68" s="126" t="n">
        <f aca="false">L68/$R$3</f>
        <v>0</v>
      </c>
      <c r="U68" s="126" t="n">
        <f aca="false">I68/$R$3</f>
        <v>0</v>
      </c>
      <c r="V68" s="126" t="n">
        <f aca="false">M68/$R$3</f>
        <v>0</v>
      </c>
      <c r="W68" s="126" t="n">
        <f aca="false">N68/$R$3</f>
        <v>0</v>
      </c>
    </row>
    <row r="69" customFormat="false" ht="12.75" hidden="true" customHeight="false" outlineLevel="0" collapsed="false">
      <c r="A69" s="120" t="n">
        <f aca="false">A68+1</f>
        <v>36955</v>
      </c>
      <c r="B69" s="131" t="str">
        <f aca="false">INDEX('Master Data'!$A$2:$B$8,MATCH(WEEKDAY('BRA PWR Certificates'!A69,3),'Master Data'!$A$2:$A$8,0),2)</f>
        <v>M</v>
      </c>
      <c r="D69" s="124" t="n">
        <v>0</v>
      </c>
      <c r="E69" s="124" t="n">
        <v>0</v>
      </c>
      <c r="F69" s="124" t="n">
        <v>0</v>
      </c>
      <c r="G69" s="124" t="n">
        <v>0</v>
      </c>
      <c r="I69" s="124" t="n">
        <f aca="false">IF(MONTH($A69)=MONTH($A68),IF(G69=0,I68,G69),G69)</f>
        <v>0</v>
      </c>
      <c r="J69" s="124" t="n">
        <f aca="false">IF(MONTH($A69)=MONTH($A68),SUM(I69-I68),I69)</f>
        <v>0</v>
      </c>
      <c r="K69" s="124" t="n">
        <f aca="false">IF(WEEKDAY(A69,3)&gt;4,0,(IF(A69&lt;K$2,0,IF(A69&lt;=K$3,1,0))))</f>
        <v>0</v>
      </c>
      <c r="L69" s="124" t="n">
        <f aca="false">J69*K69</f>
        <v>0</v>
      </c>
      <c r="M69" s="124" t="n">
        <f aca="false">SUM(J$6:J69)</f>
        <v>0</v>
      </c>
      <c r="N69" s="124" t="n">
        <f aca="false">SUM(J$6:J69)</f>
        <v>0</v>
      </c>
      <c r="P69" s="124" t="n">
        <f aca="false">D69/P$3</f>
        <v>0</v>
      </c>
      <c r="Q69" s="124" t="n">
        <f aca="false">E69/P$3</f>
        <v>0</v>
      </c>
      <c r="R69" s="124" t="n">
        <f aca="false">F69/R$3</f>
        <v>0</v>
      </c>
      <c r="S69" s="126" t="n">
        <f aca="false">J69/$R$3</f>
        <v>0</v>
      </c>
      <c r="T69" s="126" t="n">
        <f aca="false">L69/$R$3</f>
        <v>0</v>
      </c>
      <c r="U69" s="126" t="n">
        <f aca="false">I69/$R$3</f>
        <v>0</v>
      </c>
      <c r="V69" s="126" t="n">
        <f aca="false">M69/$R$3</f>
        <v>0</v>
      </c>
      <c r="W69" s="126" t="n">
        <f aca="false">N69/$R$3</f>
        <v>0</v>
      </c>
    </row>
    <row r="70" customFormat="false" ht="12.75" hidden="true" customHeight="false" outlineLevel="0" collapsed="false">
      <c r="A70" s="120" t="n">
        <f aca="false">A69+1</f>
        <v>36956</v>
      </c>
      <c r="B70" s="131" t="str">
        <f aca="false">INDEX('Master Data'!$A$2:$B$8,MATCH(WEEKDAY('BRA PWR Certificates'!A70,3),'Master Data'!$A$2:$A$8,0),2)</f>
        <v>T</v>
      </c>
      <c r="D70" s="124" t="n">
        <v>0</v>
      </c>
      <c r="E70" s="124" t="n">
        <v>0</v>
      </c>
      <c r="F70" s="124" t="n">
        <v>0</v>
      </c>
      <c r="G70" s="124" t="n">
        <v>0</v>
      </c>
      <c r="I70" s="124" t="n">
        <f aca="false">IF(MONTH($A70)=MONTH($A69),IF(G70=0,I69,G70),G70)</f>
        <v>0</v>
      </c>
      <c r="J70" s="124" t="n">
        <f aca="false">IF(MONTH($A70)=MONTH($A69),SUM(I70-I69),I70)</f>
        <v>0</v>
      </c>
      <c r="K70" s="124" t="n">
        <f aca="false">IF(WEEKDAY(A70,3)&gt;4,0,(IF(A70&lt;K$2,0,IF(A70&lt;=K$3,1,0))))</f>
        <v>0</v>
      </c>
      <c r="L70" s="124" t="n">
        <f aca="false">J70*K70</f>
        <v>0</v>
      </c>
      <c r="M70" s="124" t="n">
        <f aca="false">SUM(J$6:J70)</f>
        <v>0</v>
      </c>
      <c r="N70" s="124" t="n">
        <f aca="false">SUM(J$6:J70)</f>
        <v>0</v>
      </c>
      <c r="P70" s="124" t="n">
        <f aca="false">D70/P$3</f>
        <v>0</v>
      </c>
      <c r="Q70" s="124" t="n">
        <f aca="false">E70/P$3</f>
        <v>0</v>
      </c>
      <c r="R70" s="124" t="n">
        <f aca="false">F70/R$3</f>
        <v>0</v>
      </c>
      <c r="S70" s="126" t="n">
        <f aca="false">J70/$R$3</f>
        <v>0</v>
      </c>
      <c r="T70" s="126" t="n">
        <f aca="false">L70/$R$3</f>
        <v>0</v>
      </c>
      <c r="U70" s="126" t="n">
        <f aca="false">I70/$R$3</f>
        <v>0</v>
      </c>
      <c r="V70" s="126" t="n">
        <f aca="false">M70/$R$3</f>
        <v>0</v>
      </c>
      <c r="W70" s="126" t="n">
        <f aca="false">N70/$R$3</f>
        <v>0</v>
      </c>
    </row>
    <row r="71" customFormat="false" ht="12.75" hidden="true" customHeight="false" outlineLevel="0" collapsed="false">
      <c r="A71" s="120" t="n">
        <f aca="false">A70+1</f>
        <v>36957</v>
      </c>
      <c r="B71" s="131" t="str">
        <f aca="false">INDEX('Master Data'!$A$2:$B$8,MATCH(WEEKDAY('BRA PWR Certificates'!A71,3),'Master Data'!$A$2:$A$8,0),2)</f>
        <v>W</v>
      </c>
      <c r="D71" s="124" t="n">
        <v>0</v>
      </c>
      <c r="E71" s="124" t="n">
        <v>0</v>
      </c>
      <c r="F71" s="124" t="n">
        <v>0</v>
      </c>
      <c r="G71" s="124" t="n">
        <v>0</v>
      </c>
      <c r="I71" s="124" t="n">
        <f aca="false">IF(MONTH($A71)=MONTH($A70),IF(G71=0,I70,G71),G71)</f>
        <v>0</v>
      </c>
      <c r="J71" s="124" t="n">
        <f aca="false">IF(MONTH($A71)=MONTH($A70),SUM(I71-I70),I71)</f>
        <v>0</v>
      </c>
      <c r="K71" s="124" t="n">
        <f aca="false">IF(WEEKDAY(A71,3)&gt;4,0,(IF(A71&lt;K$2,0,IF(A71&lt;=K$3,1,0))))</f>
        <v>0</v>
      </c>
      <c r="L71" s="124" t="n">
        <f aca="false">J71*K71</f>
        <v>0</v>
      </c>
      <c r="M71" s="124" t="n">
        <f aca="false">SUM(J$6:J71)</f>
        <v>0</v>
      </c>
      <c r="N71" s="124" t="n">
        <f aca="false">SUM(J$6:J71)</f>
        <v>0</v>
      </c>
      <c r="P71" s="124" t="n">
        <f aca="false">D71/P$3</f>
        <v>0</v>
      </c>
      <c r="Q71" s="124" t="n">
        <f aca="false">E71/P$3</f>
        <v>0</v>
      </c>
      <c r="R71" s="124" t="n">
        <f aca="false">F71/R$3</f>
        <v>0</v>
      </c>
      <c r="S71" s="126" t="n">
        <f aca="false">J71/$R$3</f>
        <v>0</v>
      </c>
      <c r="T71" s="126" t="n">
        <f aca="false">L71/$R$3</f>
        <v>0</v>
      </c>
      <c r="U71" s="126" t="n">
        <f aca="false">I71/$R$3</f>
        <v>0</v>
      </c>
      <c r="V71" s="126" t="n">
        <f aca="false">M71/$R$3</f>
        <v>0</v>
      </c>
      <c r="W71" s="126" t="n">
        <f aca="false">N71/$R$3</f>
        <v>0</v>
      </c>
    </row>
    <row r="72" customFormat="false" ht="12.75" hidden="true" customHeight="false" outlineLevel="0" collapsed="false">
      <c r="A72" s="120" t="n">
        <f aca="false">A71+1</f>
        <v>36958</v>
      </c>
      <c r="B72" s="131" t="str">
        <f aca="false">INDEX('Master Data'!$A$2:$B$8,MATCH(WEEKDAY('BRA PWR Certificates'!A72,3),'Master Data'!$A$2:$A$8,0),2)</f>
        <v>Th</v>
      </c>
      <c r="D72" s="124" t="n">
        <v>0</v>
      </c>
      <c r="E72" s="124" t="n">
        <v>0</v>
      </c>
      <c r="F72" s="124" t="n">
        <v>0</v>
      </c>
      <c r="G72" s="124" t="n">
        <v>0</v>
      </c>
      <c r="I72" s="124" t="n">
        <f aca="false">IF(MONTH($A72)=MONTH($A71),IF(G72=0,I71,G72),G72)</f>
        <v>0</v>
      </c>
      <c r="J72" s="124" t="n">
        <f aca="false">IF(MONTH($A72)=MONTH($A71),SUM(I72-I71),I72)</f>
        <v>0</v>
      </c>
      <c r="K72" s="124" t="n">
        <f aca="false">IF(WEEKDAY(A72,3)&gt;4,0,(IF(A72&lt;K$2,0,IF(A72&lt;=K$3,1,0))))</f>
        <v>0</v>
      </c>
      <c r="L72" s="124" t="n">
        <f aca="false">J72*K72</f>
        <v>0</v>
      </c>
      <c r="M72" s="124" t="n">
        <f aca="false">SUM(J$6:J72)</f>
        <v>0</v>
      </c>
      <c r="N72" s="124" t="n">
        <f aca="false">SUM(J$6:J72)</f>
        <v>0</v>
      </c>
      <c r="P72" s="124" t="n">
        <f aca="false">D72/P$3</f>
        <v>0</v>
      </c>
      <c r="Q72" s="124" t="n">
        <f aca="false">E72/P$3</f>
        <v>0</v>
      </c>
      <c r="R72" s="124" t="n">
        <f aca="false">F72/R$3</f>
        <v>0</v>
      </c>
      <c r="S72" s="126" t="n">
        <f aca="false">J72/$R$3</f>
        <v>0</v>
      </c>
      <c r="T72" s="126" t="n">
        <f aca="false">L72/$R$3</f>
        <v>0</v>
      </c>
      <c r="U72" s="126" t="n">
        <f aca="false">I72/$R$3</f>
        <v>0</v>
      </c>
      <c r="V72" s="126" t="n">
        <f aca="false">M72/$R$3</f>
        <v>0</v>
      </c>
      <c r="W72" s="126" t="n">
        <f aca="false">N72/$R$3</f>
        <v>0</v>
      </c>
    </row>
    <row r="73" customFormat="false" ht="12.75" hidden="true" customHeight="false" outlineLevel="0" collapsed="false">
      <c r="A73" s="120" t="n">
        <f aca="false">A72+1</f>
        <v>36959</v>
      </c>
      <c r="B73" s="131" t="str">
        <f aca="false">INDEX('Master Data'!$A$2:$B$8,MATCH(WEEKDAY('BRA PWR Certificates'!A73,3),'Master Data'!$A$2:$A$8,0),2)</f>
        <v>F</v>
      </c>
      <c r="D73" s="124" t="n">
        <v>0</v>
      </c>
      <c r="E73" s="124" t="n">
        <v>0</v>
      </c>
      <c r="F73" s="124" t="n">
        <v>0</v>
      </c>
      <c r="G73" s="124" t="n">
        <v>0</v>
      </c>
      <c r="I73" s="124" t="n">
        <f aca="false">IF(MONTH($A73)=MONTH($A72),IF(G73=0,I72,G73),G73)</f>
        <v>0</v>
      </c>
      <c r="J73" s="124" t="n">
        <f aca="false">IF(MONTH($A73)=MONTH($A72),SUM(I73-I72),I73)</f>
        <v>0</v>
      </c>
      <c r="K73" s="124" t="n">
        <f aca="false">IF(WEEKDAY(A73,3)&gt;4,0,(IF(A73&lt;K$2,0,IF(A73&lt;=K$3,1,0))))</f>
        <v>0</v>
      </c>
      <c r="L73" s="124" t="n">
        <f aca="false">J73*K73</f>
        <v>0</v>
      </c>
      <c r="M73" s="124" t="n">
        <f aca="false">SUM(J$6:J73)</f>
        <v>0</v>
      </c>
      <c r="N73" s="124" t="n">
        <f aca="false">SUM(J$6:J73)</f>
        <v>0</v>
      </c>
      <c r="P73" s="124" t="n">
        <f aca="false">D73/P$3</f>
        <v>0</v>
      </c>
      <c r="Q73" s="124" t="n">
        <f aca="false">E73/P$3</f>
        <v>0</v>
      </c>
      <c r="R73" s="124" t="n">
        <f aca="false">F73/R$3</f>
        <v>0</v>
      </c>
      <c r="S73" s="126" t="n">
        <f aca="false">J73/$R$3</f>
        <v>0</v>
      </c>
      <c r="T73" s="126" t="n">
        <f aca="false">L73/$R$3</f>
        <v>0</v>
      </c>
      <c r="U73" s="126" t="n">
        <f aca="false">I73/$R$3</f>
        <v>0</v>
      </c>
      <c r="V73" s="126" t="n">
        <f aca="false">M73/$R$3</f>
        <v>0</v>
      </c>
      <c r="W73" s="126" t="n">
        <f aca="false">N73/$R$3</f>
        <v>0</v>
      </c>
    </row>
    <row r="74" customFormat="false" ht="12.75" hidden="true" customHeight="false" outlineLevel="0" collapsed="false">
      <c r="A74" s="120" t="n">
        <f aca="false">A73+1</f>
        <v>36960</v>
      </c>
      <c r="B74" s="131" t="str">
        <f aca="false">INDEX('Master Data'!$A$2:$B$8,MATCH(WEEKDAY('BRA PWR Certificates'!A74,3),'Master Data'!$A$2:$A$8,0),2)</f>
        <v>Sa</v>
      </c>
      <c r="D74" s="124" t="n">
        <v>0</v>
      </c>
      <c r="E74" s="124" t="n">
        <v>0</v>
      </c>
      <c r="F74" s="124" t="n">
        <v>0</v>
      </c>
      <c r="G74" s="124" t="n">
        <v>0</v>
      </c>
      <c r="I74" s="124" t="n">
        <f aca="false">IF(MONTH($A74)=MONTH($A73),IF(G74=0,I73,G74),G74)</f>
        <v>0</v>
      </c>
      <c r="J74" s="124" t="n">
        <f aca="false">IF(MONTH($A74)=MONTH($A73),SUM(I74-I73),I74)</f>
        <v>0</v>
      </c>
      <c r="K74" s="124" t="n">
        <f aca="false">IF(WEEKDAY(A74,3)&gt;4,0,(IF(A74&lt;K$2,0,IF(A74&lt;=K$3,1,0))))</f>
        <v>0</v>
      </c>
      <c r="L74" s="124" t="n">
        <f aca="false">J74*K74</f>
        <v>0</v>
      </c>
      <c r="M74" s="124" t="n">
        <f aca="false">SUM(J$6:J74)</f>
        <v>0</v>
      </c>
      <c r="N74" s="124" t="n">
        <f aca="false">SUM(J$6:J74)</f>
        <v>0</v>
      </c>
      <c r="P74" s="124" t="n">
        <f aca="false">D74/P$3</f>
        <v>0</v>
      </c>
      <c r="Q74" s="124" t="n">
        <f aca="false">E74/P$3</f>
        <v>0</v>
      </c>
      <c r="R74" s="124" t="n">
        <f aca="false">F74/R$3</f>
        <v>0</v>
      </c>
      <c r="S74" s="126" t="n">
        <f aca="false">J74/$R$3</f>
        <v>0</v>
      </c>
      <c r="T74" s="126" t="n">
        <f aca="false">L74/$R$3</f>
        <v>0</v>
      </c>
      <c r="U74" s="126" t="n">
        <f aca="false">I74/$R$3</f>
        <v>0</v>
      </c>
      <c r="V74" s="126" t="n">
        <f aca="false">M74/$R$3</f>
        <v>0</v>
      </c>
      <c r="W74" s="126" t="n">
        <f aca="false">N74/$R$3</f>
        <v>0</v>
      </c>
    </row>
    <row r="75" customFormat="false" ht="12.75" hidden="true" customHeight="false" outlineLevel="0" collapsed="false">
      <c r="A75" s="120" t="n">
        <f aca="false">A74+1</f>
        <v>36961</v>
      </c>
      <c r="B75" s="131" t="str">
        <f aca="false">INDEX('Master Data'!$A$2:$B$8,MATCH(WEEKDAY('BRA PWR Certificates'!A75,3),'Master Data'!$A$2:$A$8,0),2)</f>
        <v>Su</v>
      </c>
      <c r="D75" s="124" t="n">
        <v>0</v>
      </c>
      <c r="E75" s="124" t="n">
        <v>0</v>
      </c>
      <c r="F75" s="124" t="n">
        <v>0</v>
      </c>
      <c r="G75" s="124" t="n">
        <v>0</v>
      </c>
      <c r="I75" s="124" t="n">
        <f aca="false">IF(MONTH($A75)=MONTH($A74),IF(G75=0,I74,G75),G75)</f>
        <v>0</v>
      </c>
      <c r="J75" s="124" t="n">
        <f aca="false">IF(MONTH($A75)=MONTH($A74),SUM(I75-I74),I75)</f>
        <v>0</v>
      </c>
      <c r="K75" s="124" t="n">
        <f aca="false">IF(WEEKDAY(A75,3)&gt;4,0,(IF(A75&lt;K$2,0,IF(A75&lt;=K$3,1,0))))</f>
        <v>0</v>
      </c>
      <c r="L75" s="124" t="n">
        <f aca="false">J75*K75</f>
        <v>0</v>
      </c>
      <c r="M75" s="124" t="n">
        <f aca="false">SUM(J$6:J75)</f>
        <v>0</v>
      </c>
      <c r="N75" s="124" t="n">
        <f aca="false">SUM(J$6:J75)</f>
        <v>0</v>
      </c>
      <c r="P75" s="124" t="n">
        <f aca="false">D75/P$3</f>
        <v>0</v>
      </c>
      <c r="Q75" s="124" t="n">
        <f aca="false">E75/P$3</f>
        <v>0</v>
      </c>
      <c r="R75" s="124" t="n">
        <f aca="false">F75/R$3</f>
        <v>0</v>
      </c>
      <c r="S75" s="126" t="n">
        <f aca="false">J75/$R$3</f>
        <v>0</v>
      </c>
      <c r="T75" s="126" t="n">
        <f aca="false">L75/$R$3</f>
        <v>0</v>
      </c>
      <c r="U75" s="126" t="n">
        <f aca="false">I75/$R$3</f>
        <v>0</v>
      </c>
      <c r="V75" s="126" t="n">
        <f aca="false">M75/$R$3</f>
        <v>0</v>
      </c>
      <c r="W75" s="126" t="n">
        <f aca="false">N75/$R$3</f>
        <v>0</v>
      </c>
    </row>
    <row r="76" customFormat="false" ht="12.75" hidden="true" customHeight="false" outlineLevel="0" collapsed="false">
      <c r="A76" s="120" t="n">
        <f aca="false">A75+1</f>
        <v>36962</v>
      </c>
      <c r="B76" s="131" t="str">
        <f aca="false">INDEX('Master Data'!$A$2:$B$8,MATCH(WEEKDAY('BRA PWR Certificates'!A76,3),'Master Data'!$A$2:$A$8,0),2)</f>
        <v>M</v>
      </c>
      <c r="D76" s="124" t="n">
        <v>0</v>
      </c>
      <c r="E76" s="124" t="n">
        <v>0</v>
      </c>
      <c r="F76" s="124" t="n">
        <v>0</v>
      </c>
      <c r="G76" s="124" t="n">
        <v>0</v>
      </c>
      <c r="I76" s="124" t="n">
        <f aca="false">IF(MONTH($A76)=MONTH($A75),IF(G76=0,I75,G76),G76)</f>
        <v>0</v>
      </c>
      <c r="J76" s="124" t="n">
        <f aca="false">IF(MONTH($A76)=MONTH($A75),SUM(I76-I75),I76)</f>
        <v>0</v>
      </c>
      <c r="K76" s="124" t="n">
        <f aca="false">IF(WEEKDAY(A76,3)&gt;4,0,(IF(A76&lt;K$2,0,IF(A76&lt;=K$3,1,0))))</f>
        <v>0</v>
      </c>
      <c r="L76" s="124" t="n">
        <f aca="false">J76*K76</f>
        <v>0</v>
      </c>
      <c r="M76" s="124" t="n">
        <f aca="false">SUM(J$6:J76)</f>
        <v>0</v>
      </c>
      <c r="N76" s="124" t="n">
        <f aca="false">SUM(J$6:J76)</f>
        <v>0</v>
      </c>
      <c r="P76" s="124" t="n">
        <f aca="false">D76/P$3</f>
        <v>0</v>
      </c>
      <c r="Q76" s="124" t="n">
        <f aca="false">E76/P$3</f>
        <v>0</v>
      </c>
      <c r="R76" s="124" t="n">
        <f aca="false">F76/R$3</f>
        <v>0</v>
      </c>
      <c r="S76" s="126" t="n">
        <f aca="false">J76/$R$3</f>
        <v>0</v>
      </c>
      <c r="T76" s="126" t="n">
        <f aca="false">L76/$R$3</f>
        <v>0</v>
      </c>
      <c r="U76" s="126" t="n">
        <f aca="false">I76/$R$3</f>
        <v>0</v>
      </c>
      <c r="V76" s="126" t="n">
        <f aca="false">M76/$R$3</f>
        <v>0</v>
      </c>
      <c r="W76" s="126" t="n">
        <f aca="false">N76/$R$3</f>
        <v>0</v>
      </c>
    </row>
    <row r="77" customFormat="false" ht="12.75" hidden="true" customHeight="false" outlineLevel="0" collapsed="false">
      <c r="A77" s="120" t="n">
        <f aca="false">A76+1</f>
        <v>36963</v>
      </c>
      <c r="B77" s="131" t="str">
        <f aca="false">INDEX('Master Data'!$A$2:$B$8,MATCH(WEEKDAY('BRA PWR Certificates'!A77,3),'Master Data'!$A$2:$A$8,0),2)</f>
        <v>T</v>
      </c>
      <c r="D77" s="124" t="n">
        <v>0</v>
      </c>
      <c r="E77" s="124" t="n">
        <v>0</v>
      </c>
      <c r="F77" s="124" t="n">
        <v>0</v>
      </c>
      <c r="G77" s="124" t="n">
        <v>0</v>
      </c>
      <c r="I77" s="124" t="n">
        <f aca="false">IF(MONTH($A77)=MONTH($A76),IF(G77=0,I76,G77),G77)</f>
        <v>0</v>
      </c>
      <c r="J77" s="124" t="n">
        <f aca="false">IF(MONTH($A77)=MONTH($A76),SUM(I77-I76),I77)</f>
        <v>0</v>
      </c>
      <c r="K77" s="124" t="n">
        <f aca="false">IF(WEEKDAY(A77,3)&gt;4,0,(IF(A77&lt;K$2,0,IF(A77&lt;=K$3,1,0))))</f>
        <v>0</v>
      </c>
      <c r="L77" s="124" t="n">
        <f aca="false">J77*K77</f>
        <v>0</v>
      </c>
      <c r="M77" s="124" t="n">
        <f aca="false">SUM(J$6:J77)</f>
        <v>0</v>
      </c>
      <c r="N77" s="124" t="n">
        <f aca="false">SUM(J$6:J77)</f>
        <v>0</v>
      </c>
      <c r="P77" s="124" t="n">
        <f aca="false">D77/P$3</f>
        <v>0</v>
      </c>
      <c r="Q77" s="124" t="n">
        <f aca="false">E77/P$3</f>
        <v>0</v>
      </c>
      <c r="R77" s="124" t="n">
        <f aca="false">F77/R$3</f>
        <v>0</v>
      </c>
      <c r="S77" s="126" t="n">
        <f aca="false">J77/$R$3</f>
        <v>0</v>
      </c>
      <c r="T77" s="126" t="n">
        <f aca="false">L77/$R$3</f>
        <v>0</v>
      </c>
      <c r="U77" s="126" t="n">
        <f aca="false">I77/$R$3</f>
        <v>0</v>
      </c>
      <c r="V77" s="126" t="n">
        <f aca="false">M77/$R$3</f>
        <v>0</v>
      </c>
      <c r="W77" s="126" t="n">
        <f aca="false">N77/$R$3</f>
        <v>0</v>
      </c>
    </row>
    <row r="78" customFormat="false" ht="12.75" hidden="true" customHeight="false" outlineLevel="0" collapsed="false">
      <c r="A78" s="120" t="n">
        <f aca="false">A77+1</f>
        <v>36964</v>
      </c>
      <c r="B78" s="131" t="str">
        <f aca="false">INDEX('Master Data'!$A$2:$B$8,MATCH(WEEKDAY('BRA PWR Certificates'!A78,3),'Master Data'!$A$2:$A$8,0),2)</f>
        <v>W</v>
      </c>
      <c r="D78" s="124" t="n">
        <v>0</v>
      </c>
      <c r="E78" s="124" t="n">
        <v>0</v>
      </c>
      <c r="F78" s="124" t="n">
        <v>0</v>
      </c>
      <c r="G78" s="124" t="n">
        <v>0</v>
      </c>
      <c r="I78" s="124" t="n">
        <f aca="false">IF(MONTH($A78)=MONTH($A77),IF(G78=0,I77,G78),G78)</f>
        <v>0</v>
      </c>
      <c r="J78" s="124" t="n">
        <f aca="false">IF(MONTH($A78)=MONTH($A77),SUM(I78-I77),I78)</f>
        <v>0</v>
      </c>
      <c r="K78" s="124" t="n">
        <f aca="false">IF(WEEKDAY(A78,3)&gt;4,0,(IF(A78&lt;K$2,0,IF(A78&lt;=K$3,1,0))))</f>
        <v>0</v>
      </c>
      <c r="L78" s="124" t="n">
        <f aca="false">J78*K78</f>
        <v>0</v>
      </c>
      <c r="M78" s="124" t="n">
        <f aca="false">SUM(J$6:J78)</f>
        <v>0</v>
      </c>
      <c r="N78" s="124" t="n">
        <f aca="false">SUM(J$6:J78)</f>
        <v>0</v>
      </c>
      <c r="P78" s="124" t="n">
        <f aca="false">D78/P$3</f>
        <v>0</v>
      </c>
      <c r="Q78" s="124" t="n">
        <f aca="false">E78/P$3</f>
        <v>0</v>
      </c>
      <c r="R78" s="124" t="n">
        <f aca="false">F78/R$3</f>
        <v>0</v>
      </c>
      <c r="S78" s="126" t="n">
        <f aca="false">J78/$R$3</f>
        <v>0</v>
      </c>
      <c r="T78" s="126" t="n">
        <f aca="false">L78/$R$3</f>
        <v>0</v>
      </c>
      <c r="U78" s="126" t="n">
        <f aca="false">I78/$R$3</f>
        <v>0</v>
      </c>
      <c r="V78" s="126" t="n">
        <f aca="false">M78/$R$3</f>
        <v>0</v>
      </c>
      <c r="W78" s="126" t="n">
        <f aca="false">N78/$R$3</f>
        <v>0</v>
      </c>
    </row>
    <row r="79" customFormat="false" ht="12.75" hidden="true" customHeight="false" outlineLevel="0" collapsed="false">
      <c r="A79" s="120" t="n">
        <f aca="false">A78+1</f>
        <v>36965</v>
      </c>
      <c r="B79" s="131" t="str">
        <f aca="false">INDEX('Master Data'!$A$2:$B$8,MATCH(WEEKDAY('BRA PWR Certificates'!A79,3),'Master Data'!$A$2:$A$8,0),2)</f>
        <v>Th</v>
      </c>
      <c r="D79" s="124" t="n">
        <v>0</v>
      </c>
      <c r="E79" s="124" t="n">
        <v>0</v>
      </c>
      <c r="F79" s="124" t="n">
        <v>0</v>
      </c>
      <c r="G79" s="124" t="n">
        <v>0</v>
      </c>
      <c r="I79" s="124" t="n">
        <f aca="false">IF(MONTH($A79)=MONTH($A78),IF(G79=0,I78,G79),G79)</f>
        <v>0</v>
      </c>
      <c r="J79" s="124" t="n">
        <f aca="false">IF(MONTH($A79)=MONTH($A78),SUM(I79-I78),I79)</f>
        <v>0</v>
      </c>
      <c r="K79" s="124" t="n">
        <f aca="false">IF(WEEKDAY(A79,3)&gt;4,0,(IF(A79&lt;K$2,0,IF(A79&lt;=K$3,1,0))))</f>
        <v>0</v>
      </c>
      <c r="L79" s="124" t="n">
        <f aca="false">J79*K79</f>
        <v>0</v>
      </c>
      <c r="M79" s="124" t="n">
        <f aca="false">SUM(J$6:J79)</f>
        <v>0</v>
      </c>
      <c r="N79" s="124" t="n">
        <f aca="false">SUM(J$6:J79)</f>
        <v>0</v>
      </c>
      <c r="P79" s="124" t="n">
        <f aca="false">D79/P$3</f>
        <v>0</v>
      </c>
      <c r="Q79" s="124" t="n">
        <f aca="false">E79/P$3</f>
        <v>0</v>
      </c>
      <c r="R79" s="124" t="n">
        <f aca="false">F79/R$3</f>
        <v>0</v>
      </c>
      <c r="S79" s="126" t="n">
        <f aca="false">J79/$R$3</f>
        <v>0</v>
      </c>
      <c r="T79" s="126" t="n">
        <f aca="false">L79/$R$3</f>
        <v>0</v>
      </c>
      <c r="U79" s="126" t="n">
        <f aca="false">I79/$R$3</f>
        <v>0</v>
      </c>
      <c r="V79" s="126" t="n">
        <f aca="false">M79/$R$3</f>
        <v>0</v>
      </c>
      <c r="W79" s="126" t="n">
        <f aca="false">N79/$R$3</f>
        <v>0</v>
      </c>
    </row>
    <row r="80" customFormat="false" ht="12.75" hidden="true" customHeight="false" outlineLevel="0" collapsed="false">
      <c r="A80" s="120" t="n">
        <f aca="false">A79+1</f>
        <v>36966</v>
      </c>
      <c r="B80" s="131" t="str">
        <f aca="false">INDEX('Master Data'!$A$2:$B$8,MATCH(WEEKDAY('BRA PWR Certificates'!A80,3),'Master Data'!$A$2:$A$8,0),2)</f>
        <v>F</v>
      </c>
      <c r="D80" s="124" t="n">
        <v>0</v>
      </c>
      <c r="E80" s="124" t="n">
        <v>0</v>
      </c>
      <c r="F80" s="124" t="n">
        <v>0</v>
      </c>
      <c r="G80" s="124" t="n">
        <v>0</v>
      </c>
      <c r="I80" s="124" t="n">
        <f aca="false">IF(MONTH($A80)=MONTH($A79),IF(G80=0,I79,G80),G80)</f>
        <v>0</v>
      </c>
      <c r="J80" s="124" t="n">
        <f aca="false">IF(MONTH($A80)=MONTH($A79),SUM(I80-I79),I80)</f>
        <v>0</v>
      </c>
      <c r="K80" s="124" t="n">
        <f aca="false">IF(WEEKDAY(A80,3)&gt;4,0,(IF(A80&lt;K$2,0,IF(A80&lt;=K$3,1,0))))</f>
        <v>0</v>
      </c>
      <c r="L80" s="124" t="n">
        <f aca="false">J80*K80</f>
        <v>0</v>
      </c>
      <c r="M80" s="124" t="n">
        <f aca="false">SUM(J$6:J80)</f>
        <v>0</v>
      </c>
      <c r="N80" s="124" t="n">
        <f aca="false">SUM(J$6:J80)</f>
        <v>0</v>
      </c>
      <c r="P80" s="124" t="n">
        <f aca="false">D80/P$3</f>
        <v>0</v>
      </c>
      <c r="Q80" s="124" t="n">
        <f aca="false">E80/P$3</f>
        <v>0</v>
      </c>
      <c r="R80" s="124" t="n">
        <f aca="false">F80/R$3</f>
        <v>0</v>
      </c>
      <c r="S80" s="126" t="n">
        <f aca="false">J80/$R$3</f>
        <v>0</v>
      </c>
      <c r="T80" s="126" t="n">
        <f aca="false">L80/$R$3</f>
        <v>0</v>
      </c>
      <c r="U80" s="126" t="n">
        <f aca="false">I80/$R$3</f>
        <v>0</v>
      </c>
      <c r="V80" s="126" t="n">
        <f aca="false">M80/$R$3</f>
        <v>0</v>
      </c>
      <c r="W80" s="126" t="n">
        <f aca="false">N80/$R$3</f>
        <v>0</v>
      </c>
    </row>
    <row r="81" customFormat="false" ht="12.75" hidden="true" customHeight="false" outlineLevel="0" collapsed="false">
      <c r="A81" s="120" t="n">
        <f aca="false">A80+1</f>
        <v>36967</v>
      </c>
      <c r="B81" s="131" t="str">
        <f aca="false">INDEX('Master Data'!$A$2:$B$8,MATCH(WEEKDAY('BRA PWR Certificates'!A81,3),'Master Data'!$A$2:$A$8,0),2)</f>
        <v>Sa</v>
      </c>
      <c r="D81" s="124" t="n">
        <v>0</v>
      </c>
      <c r="E81" s="124" t="n">
        <v>0</v>
      </c>
      <c r="F81" s="124" t="n">
        <v>0</v>
      </c>
      <c r="G81" s="124" t="n">
        <v>0</v>
      </c>
      <c r="I81" s="124" t="n">
        <f aca="false">IF(MONTH($A81)=MONTH($A80),IF(G81=0,I80,G81),G81)</f>
        <v>0</v>
      </c>
      <c r="J81" s="124" t="n">
        <f aca="false">IF(MONTH($A81)=MONTH($A80),SUM(I81-I80),I81)</f>
        <v>0</v>
      </c>
      <c r="K81" s="124" t="n">
        <f aca="false">IF(WEEKDAY(A81,3)&gt;4,0,(IF(A81&lt;K$2,0,IF(A81&lt;=K$3,1,0))))</f>
        <v>0</v>
      </c>
      <c r="L81" s="124" t="n">
        <f aca="false">J81*K81</f>
        <v>0</v>
      </c>
      <c r="M81" s="124" t="n">
        <f aca="false">SUM(J$6:J81)</f>
        <v>0</v>
      </c>
      <c r="N81" s="124" t="n">
        <f aca="false">SUM(J$6:J81)</f>
        <v>0</v>
      </c>
      <c r="P81" s="124" t="n">
        <f aca="false">D81/P$3</f>
        <v>0</v>
      </c>
      <c r="Q81" s="124" t="n">
        <f aca="false">E81/P$3</f>
        <v>0</v>
      </c>
      <c r="R81" s="124" t="n">
        <f aca="false">F81/R$3</f>
        <v>0</v>
      </c>
      <c r="S81" s="126" t="n">
        <f aca="false">J81/$R$3</f>
        <v>0</v>
      </c>
      <c r="T81" s="126" t="n">
        <f aca="false">L81/$R$3</f>
        <v>0</v>
      </c>
      <c r="U81" s="126" t="n">
        <f aca="false">I81/$R$3</f>
        <v>0</v>
      </c>
      <c r="V81" s="126" t="n">
        <f aca="false">M81/$R$3</f>
        <v>0</v>
      </c>
      <c r="W81" s="126" t="n">
        <f aca="false">N81/$R$3</f>
        <v>0</v>
      </c>
    </row>
    <row r="82" customFormat="false" ht="12.75" hidden="true" customHeight="false" outlineLevel="0" collapsed="false">
      <c r="A82" s="120" t="n">
        <f aca="false">A81+1</f>
        <v>36968</v>
      </c>
      <c r="B82" s="131" t="str">
        <f aca="false">INDEX('Master Data'!$A$2:$B$8,MATCH(WEEKDAY('BRA PWR Certificates'!A82,3),'Master Data'!$A$2:$A$8,0),2)</f>
        <v>Su</v>
      </c>
      <c r="D82" s="124" t="n">
        <v>0</v>
      </c>
      <c r="E82" s="124" t="n">
        <v>0</v>
      </c>
      <c r="F82" s="124" t="n">
        <v>0</v>
      </c>
      <c r="G82" s="124" t="n">
        <v>0</v>
      </c>
      <c r="I82" s="124" t="n">
        <f aca="false">IF(MONTH($A82)=MONTH($A81),IF(G82=0,I81,G82),G82)</f>
        <v>0</v>
      </c>
      <c r="J82" s="124" t="n">
        <f aca="false">IF(MONTH($A82)=MONTH($A81),SUM(I82-I81),I82)</f>
        <v>0</v>
      </c>
      <c r="K82" s="124" t="n">
        <f aca="false">IF(WEEKDAY(A82,3)&gt;4,0,(IF(A82&lt;K$2,0,IF(A82&lt;=K$3,1,0))))</f>
        <v>0</v>
      </c>
      <c r="L82" s="124" t="n">
        <f aca="false">J82*K82</f>
        <v>0</v>
      </c>
      <c r="M82" s="124" t="n">
        <f aca="false">SUM(J$6:J82)</f>
        <v>0</v>
      </c>
      <c r="N82" s="124" t="n">
        <f aca="false">SUM(J$6:J82)</f>
        <v>0</v>
      </c>
      <c r="P82" s="124" t="n">
        <f aca="false">D82/P$3</f>
        <v>0</v>
      </c>
      <c r="Q82" s="124" t="n">
        <f aca="false">E82/P$3</f>
        <v>0</v>
      </c>
      <c r="R82" s="124" t="n">
        <f aca="false">F82/R$3</f>
        <v>0</v>
      </c>
      <c r="S82" s="126" t="n">
        <f aca="false">J82/$R$3</f>
        <v>0</v>
      </c>
      <c r="T82" s="126" t="n">
        <f aca="false">L82/$R$3</f>
        <v>0</v>
      </c>
      <c r="U82" s="126" t="n">
        <f aca="false">I82/$R$3</f>
        <v>0</v>
      </c>
      <c r="V82" s="126" t="n">
        <f aca="false">M82/$R$3</f>
        <v>0</v>
      </c>
      <c r="W82" s="126" t="n">
        <f aca="false">N82/$R$3</f>
        <v>0</v>
      </c>
    </row>
    <row r="83" customFormat="false" ht="12.75" hidden="true" customHeight="false" outlineLevel="0" collapsed="false">
      <c r="A83" s="120" t="n">
        <f aca="false">A82+1</f>
        <v>36969</v>
      </c>
      <c r="B83" s="131" t="str">
        <f aca="false">INDEX('Master Data'!$A$2:$B$8,MATCH(WEEKDAY('BRA PWR Certificates'!A83,3),'Master Data'!$A$2:$A$8,0),2)</f>
        <v>M</v>
      </c>
      <c r="D83" s="124" t="n">
        <v>0</v>
      </c>
      <c r="E83" s="124" t="n">
        <v>0</v>
      </c>
      <c r="F83" s="124" t="n">
        <v>0</v>
      </c>
      <c r="G83" s="124" t="n">
        <v>0</v>
      </c>
      <c r="I83" s="124" t="n">
        <f aca="false">IF(MONTH($A83)=MONTH($A82),IF(G83=0,I82,G83),G83)</f>
        <v>0</v>
      </c>
      <c r="J83" s="124" t="n">
        <f aca="false">IF(MONTH($A83)=MONTH($A82),SUM(I83-I82),I83)</f>
        <v>0</v>
      </c>
      <c r="K83" s="124" t="n">
        <f aca="false">IF(WEEKDAY(A83,3)&gt;4,0,(IF(A83&lt;K$2,0,IF(A83&lt;=K$3,1,0))))</f>
        <v>0</v>
      </c>
      <c r="L83" s="124" t="n">
        <f aca="false">J83*K83</f>
        <v>0</v>
      </c>
      <c r="M83" s="124" t="n">
        <f aca="false">SUM(J$6:J83)</f>
        <v>0</v>
      </c>
      <c r="N83" s="124" t="n">
        <f aca="false">SUM(J$6:J83)</f>
        <v>0</v>
      </c>
      <c r="P83" s="124" t="n">
        <f aca="false">D83/P$3</f>
        <v>0</v>
      </c>
      <c r="Q83" s="124" t="n">
        <f aca="false">E83/P$3</f>
        <v>0</v>
      </c>
      <c r="R83" s="124" t="n">
        <f aca="false">F83/R$3</f>
        <v>0</v>
      </c>
      <c r="S83" s="126" t="n">
        <f aca="false">J83/$R$3</f>
        <v>0</v>
      </c>
      <c r="T83" s="126" t="n">
        <f aca="false">L83/$R$3</f>
        <v>0</v>
      </c>
      <c r="U83" s="126" t="n">
        <f aca="false">I83/$R$3</f>
        <v>0</v>
      </c>
      <c r="V83" s="126" t="n">
        <f aca="false">M83/$R$3</f>
        <v>0</v>
      </c>
      <c r="W83" s="126" t="n">
        <f aca="false">N83/$R$3</f>
        <v>0</v>
      </c>
    </row>
    <row r="84" customFormat="false" ht="12.75" hidden="true" customHeight="false" outlineLevel="0" collapsed="false">
      <c r="A84" s="120" t="n">
        <f aca="false">A83+1</f>
        <v>36970</v>
      </c>
      <c r="B84" s="131" t="str">
        <f aca="false">INDEX('Master Data'!$A$2:$B$8,MATCH(WEEKDAY('BRA PWR Certificates'!A84,3),'Master Data'!$A$2:$A$8,0),2)</f>
        <v>T</v>
      </c>
      <c r="D84" s="124" t="n">
        <v>0</v>
      </c>
      <c r="E84" s="124" t="n">
        <v>0</v>
      </c>
      <c r="F84" s="124" t="n">
        <v>0</v>
      </c>
      <c r="G84" s="124" t="n">
        <v>0</v>
      </c>
      <c r="I84" s="124" t="n">
        <f aca="false">IF(MONTH($A84)=MONTH($A83),IF(G84=0,I83,G84),G84)</f>
        <v>0</v>
      </c>
      <c r="J84" s="124" t="n">
        <f aca="false">IF(MONTH($A84)=MONTH($A83),SUM(I84-I83),I84)</f>
        <v>0</v>
      </c>
      <c r="K84" s="124" t="n">
        <f aca="false">IF(WEEKDAY(A84,3)&gt;4,0,(IF(A84&lt;K$2,0,IF(A84&lt;=K$3,1,0))))</f>
        <v>0</v>
      </c>
      <c r="L84" s="124" t="n">
        <f aca="false">J84*K84</f>
        <v>0</v>
      </c>
      <c r="M84" s="124" t="n">
        <f aca="false">SUM(J$6:J84)</f>
        <v>0</v>
      </c>
      <c r="N84" s="124" t="n">
        <f aca="false">SUM(J$6:J84)</f>
        <v>0</v>
      </c>
      <c r="P84" s="124" t="n">
        <f aca="false">D84/P$3</f>
        <v>0</v>
      </c>
      <c r="Q84" s="124" t="n">
        <f aca="false">E84/P$3</f>
        <v>0</v>
      </c>
      <c r="R84" s="124" t="n">
        <f aca="false">F84/R$3</f>
        <v>0</v>
      </c>
      <c r="S84" s="126" t="n">
        <f aca="false">J84/$R$3</f>
        <v>0</v>
      </c>
      <c r="T84" s="126" t="n">
        <f aca="false">L84/$R$3</f>
        <v>0</v>
      </c>
      <c r="U84" s="126" t="n">
        <f aca="false">I84/$R$3</f>
        <v>0</v>
      </c>
      <c r="V84" s="126" t="n">
        <f aca="false">M84/$R$3</f>
        <v>0</v>
      </c>
      <c r="W84" s="126" t="n">
        <f aca="false">N84/$R$3</f>
        <v>0</v>
      </c>
    </row>
    <row r="85" customFormat="false" ht="12.75" hidden="true" customHeight="false" outlineLevel="0" collapsed="false">
      <c r="A85" s="120" t="n">
        <f aca="false">A84+1</f>
        <v>36971</v>
      </c>
      <c r="B85" s="131" t="str">
        <f aca="false">INDEX('Master Data'!$A$2:$B$8,MATCH(WEEKDAY('BRA PWR Certificates'!A85,3),'Master Data'!$A$2:$A$8,0),2)</f>
        <v>W</v>
      </c>
      <c r="D85" s="124" t="n">
        <v>0</v>
      </c>
      <c r="E85" s="124" t="n">
        <v>0</v>
      </c>
      <c r="F85" s="124" t="n">
        <v>0</v>
      </c>
      <c r="G85" s="124" t="n">
        <v>0</v>
      </c>
      <c r="I85" s="124" t="n">
        <f aca="false">IF(MONTH($A85)=MONTH($A84),IF(G85=0,I84,G85),G85)</f>
        <v>0</v>
      </c>
      <c r="J85" s="124" t="n">
        <f aca="false">IF(MONTH($A85)=MONTH($A84),SUM(I85-I84),I85)</f>
        <v>0</v>
      </c>
      <c r="K85" s="124" t="n">
        <f aca="false">IF(WEEKDAY(A85,3)&gt;4,0,(IF(A85&lt;K$2,0,IF(A85&lt;=K$3,1,0))))</f>
        <v>0</v>
      </c>
      <c r="L85" s="124" t="n">
        <f aca="false">J85*K85</f>
        <v>0</v>
      </c>
      <c r="M85" s="124" t="n">
        <f aca="false">SUM(J$6:J85)</f>
        <v>0</v>
      </c>
      <c r="N85" s="124" t="n">
        <f aca="false">SUM(J$6:J85)</f>
        <v>0</v>
      </c>
      <c r="P85" s="124" t="n">
        <f aca="false">D85/P$3</f>
        <v>0</v>
      </c>
      <c r="Q85" s="124" t="n">
        <f aca="false">E85/P$3</f>
        <v>0</v>
      </c>
      <c r="R85" s="124" t="n">
        <f aca="false">F85/R$3</f>
        <v>0</v>
      </c>
      <c r="S85" s="126" t="n">
        <f aca="false">J85/$R$3</f>
        <v>0</v>
      </c>
      <c r="T85" s="126" t="n">
        <f aca="false">L85/$R$3</f>
        <v>0</v>
      </c>
      <c r="U85" s="126" t="n">
        <f aca="false">I85/$R$3</f>
        <v>0</v>
      </c>
      <c r="V85" s="126" t="n">
        <f aca="false">M85/$R$3</f>
        <v>0</v>
      </c>
      <c r="W85" s="126" t="n">
        <f aca="false">N85/$R$3</f>
        <v>0</v>
      </c>
    </row>
    <row r="86" customFormat="false" ht="12.75" hidden="true" customHeight="false" outlineLevel="0" collapsed="false">
      <c r="A86" s="120" t="n">
        <f aca="false">A85+1</f>
        <v>36972</v>
      </c>
      <c r="B86" s="131" t="str">
        <f aca="false">INDEX('Master Data'!$A$2:$B$8,MATCH(WEEKDAY('BRA PWR Certificates'!A86,3),'Master Data'!$A$2:$A$8,0),2)</f>
        <v>Th</v>
      </c>
      <c r="D86" s="124" t="n">
        <v>0</v>
      </c>
      <c r="E86" s="124" t="n">
        <v>0</v>
      </c>
      <c r="F86" s="124" t="n">
        <v>0</v>
      </c>
      <c r="G86" s="124" t="n">
        <v>0</v>
      </c>
      <c r="I86" s="124" t="n">
        <f aca="false">IF(MONTH($A86)=MONTH($A85),IF(G86=0,I85,G86),G86)</f>
        <v>0</v>
      </c>
      <c r="J86" s="124" t="n">
        <f aca="false">IF(MONTH($A86)=MONTH($A85),SUM(I86-I85),I86)</f>
        <v>0</v>
      </c>
      <c r="K86" s="124" t="n">
        <f aca="false">IF(WEEKDAY(A86,3)&gt;4,0,(IF(A86&lt;K$2,0,IF(A86&lt;=K$3,1,0))))</f>
        <v>0</v>
      </c>
      <c r="L86" s="124" t="n">
        <f aca="false">J86*K86</f>
        <v>0</v>
      </c>
      <c r="M86" s="124" t="n">
        <f aca="false">SUM(J$6:J86)</f>
        <v>0</v>
      </c>
      <c r="N86" s="124" t="n">
        <f aca="false">SUM(J$6:J86)</f>
        <v>0</v>
      </c>
      <c r="P86" s="124" t="n">
        <f aca="false">D86/P$3</f>
        <v>0</v>
      </c>
      <c r="Q86" s="124" t="n">
        <f aca="false">E86/P$3</f>
        <v>0</v>
      </c>
      <c r="R86" s="124" t="n">
        <f aca="false">F86/R$3</f>
        <v>0</v>
      </c>
      <c r="S86" s="126" t="n">
        <f aca="false">J86/$R$3</f>
        <v>0</v>
      </c>
      <c r="T86" s="126" t="n">
        <f aca="false">L86/$R$3</f>
        <v>0</v>
      </c>
      <c r="U86" s="126" t="n">
        <f aca="false">I86/$R$3</f>
        <v>0</v>
      </c>
      <c r="V86" s="126" t="n">
        <f aca="false">M86/$R$3</f>
        <v>0</v>
      </c>
      <c r="W86" s="126" t="n">
        <f aca="false">N86/$R$3</f>
        <v>0</v>
      </c>
    </row>
    <row r="87" customFormat="false" ht="12.75" hidden="true" customHeight="false" outlineLevel="0" collapsed="false">
      <c r="A87" s="120" t="n">
        <f aca="false">A86+1</f>
        <v>36973</v>
      </c>
      <c r="B87" s="131" t="str">
        <f aca="false">INDEX('Master Data'!$A$2:$B$8,MATCH(WEEKDAY('BRA PWR Certificates'!A87,3),'Master Data'!$A$2:$A$8,0),2)</f>
        <v>F</v>
      </c>
      <c r="D87" s="124" t="n">
        <v>0</v>
      </c>
      <c r="E87" s="124" t="n">
        <v>0</v>
      </c>
      <c r="F87" s="124" t="n">
        <v>0</v>
      </c>
      <c r="G87" s="124" t="n">
        <v>0</v>
      </c>
      <c r="I87" s="124" t="n">
        <f aca="false">IF(MONTH($A87)=MONTH($A86),IF(G87=0,I86,G87),G87)</f>
        <v>0</v>
      </c>
      <c r="J87" s="124" t="n">
        <f aca="false">IF(MONTH($A87)=MONTH($A86),SUM(I87-I86),I87)</f>
        <v>0</v>
      </c>
      <c r="K87" s="124" t="n">
        <f aca="false">IF(WEEKDAY(A87,3)&gt;4,0,(IF(A87&lt;K$2,0,IF(A87&lt;=K$3,1,0))))</f>
        <v>0</v>
      </c>
      <c r="L87" s="124" t="n">
        <f aca="false">J87*K87</f>
        <v>0</v>
      </c>
      <c r="M87" s="124" t="n">
        <f aca="false">SUM(J$6:J87)</f>
        <v>0</v>
      </c>
      <c r="N87" s="124" t="n">
        <f aca="false">SUM(J$6:J87)</f>
        <v>0</v>
      </c>
      <c r="P87" s="124" t="n">
        <f aca="false">D87/P$3</f>
        <v>0</v>
      </c>
      <c r="Q87" s="124" t="n">
        <f aca="false">E87/P$3</f>
        <v>0</v>
      </c>
      <c r="R87" s="124" t="n">
        <f aca="false">F87/R$3</f>
        <v>0</v>
      </c>
      <c r="S87" s="126" t="n">
        <f aca="false">J87/$R$3</f>
        <v>0</v>
      </c>
      <c r="T87" s="126" t="n">
        <f aca="false">L87/$R$3</f>
        <v>0</v>
      </c>
      <c r="U87" s="126" t="n">
        <f aca="false">I87/$R$3</f>
        <v>0</v>
      </c>
      <c r="V87" s="126" t="n">
        <f aca="false">M87/$R$3</f>
        <v>0</v>
      </c>
      <c r="W87" s="126" t="n">
        <f aca="false">N87/$R$3</f>
        <v>0</v>
      </c>
    </row>
    <row r="88" customFormat="false" ht="12.75" hidden="true" customHeight="false" outlineLevel="0" collapsed="false">
      <c r="A88" s="120" t="n">
        <f aca="false">A87+1</f>
        <v>36974</v>
      </c>
      <c r="B88" s="131" t="str">
        <f aca="false">INDEX('Master Data'!$A$2:$B$8,MATCH(WEEKDAY('BRA PWR Certificates'!A88,3),'Master Data'!$A$2:$A$8,0),2)</f>
        <v>Sa</v>
      </c>
      <c r="D88" s="124" t="n">
        <v>0</v>
      </c>
      <c r="E88" s="124" t="n">
        <v>0</v>
      </c>
      <c r="F88" s="124" t="n">
        <v>0</v>
      </c>
      <c r="G88" s="124" t="n">
        <v>0</v>
      </c>
      <c r="I88" s="124" t="n">
        <f aca="false">IF(MONTH($A88)=MONTH($A87),IF(G88=0,I87,G88),G88)</f>
        <v>0</v>
      </c>
      <c r="J88" s="124" t="n">
        <f aca="false">IF(MONTH($A88)=MONTH($A87),SUM(I88-I87),I88)</f>
        <v>0</v>
      </c>
      <c r="K88" s="124" t="n">
        <f aca="false">IF(WEEKDAY(A88,3)&gt;4,0,(IF(A88&lt;K$2,0,IF(A88&lt;=K$3,1,0))))</f>
        <v>0</v>
      </c>
      <c r="L88" s="124" t="n">
        <f aca="false">J88*K88</f>
        <v>0</v>
      </c>
      <c r="M88" s="124" t="n">
        <f aca="false">SUM(J$6:J88)</f>
        <v>0</v>
      </c>
      <c r="N88" s="124" t="n">
        <f aca="false">SUM(J$6:J88)</f>
        <v>0</v>
      </c>
      <c r="P88" s="124" t="n">
        <f aca="false">D88/P$3</f>
        <v>0</v>
      </c>
      <c r="Q88" s="124" t="n">
        <f aca="false">E88/P$3</f>
        <v>0</v>
      </c>
      <c r="R88" s="124" t="n">
        <f aca="false">F88/R$3</f>
        <v>0</v>
      </c>
      <c r="S88" s="126" t="n">
        <f aca="false">J88/$R$3</f>
        <v>0</v>
      </c>
      <c r="T88" s="126" t="n">
        <f aca="false">L88/$R$3</f>
        <v>0</v>
      </c>
      <c r="U88" s="126" t="n">
        <f aca="false">I88/$R$3</f>
        <v>0</v>
      </c>
      <c r="V88" s="126" t="n">
        <f aca="false">M88/$R$3</f>
        <v>0</v>
      </c>
      <c r="W88" s="126" t="n">
        <f aca="false">N88/$R$3</f>
        <v>0</v>
      </c>
    </row>
    <row r="89" customFormat="false" ht="12.75" hidden="true" customHeight="false" outlineLevel="0" collapsed="false">
      <c r="A89" s="120" t="n">
        <f aca="false">A88+1</f>
        <v>36975</v>
      </c>
      <c r="B89" s="131" t="str">
        <f aca="false">INDEX('Master Data'!$A$2:$B$8,MATCH(WEEKDAY('BRA PWR Certificates'!A89,3),'Master Data'!$A$2:$A$8,0),2)</f>
        <v>Su</v>
      </c>
      <c r="D89" s="124" t="n">
        <v>0</v>
      </c>
      <c r="E89" s="124" t="n">
        <v>0</v>
      </c>
      <c r="F89" s="124" t="n">
        <v>0</v>
      </c>
      <c r="G89" s="124" t="n">
        <v>0</v>
      </c>
      <c r="I89" s="124" t="n">
        <f aca="false">IF(MONTH($A89)=MONTH($A88),IF(G89=0,I88,G89),G89)</f>
        <v>0</v>
      </c>
      <c r="J89" s="124" t="n">
        <f aca="false">IF(MONTH($A89)=MONTH($A88),SUM(I89-I88),I89)</f>
        <v>0</v>
      </c>
      <c r="K89" s="124" t="n">
        <f aca="false">IF(WEEKDAY(A89,3)&gt;4,0,(IF(A89&lt;K$2,0,IF(A89&lt;=K$3,1,0))))</f>
        <v>0</v>
      </c>
      <c r="L89" s="124" t="n">
        <f aca="false">J89*K89</f>
        <v>0</v>
      </c>
      <c r="M89" s="124" t="n">
        <f aca="false">SUM(J$6:J89)</f>
        <v>0</v>
      </c>
      <c r="N89" s="124" t="n">
        <f aca="false">SUM(J$6:J89)</f>
        <v>0</v>
      </c>
      <c r="P89" s="124" t="n">
        <f aca="false">D89/P$3</f>
        <v>0</v>
      </c>
      <c r="Q89" s="124" t="n">
        <f aca="false">E89/P$3</f>
        <v>0</v>
      </c>
      <c r="R89" s="124" t="n">
        <f aca="false">F89/R$3</f>
        <v>0</v>
      </c>
      <c r="S89" s="126" t="n">
        <f aca="false">J89/$R$3</f>
        <v>0</v>
      </c>
      <c r="T89" s="126" t="n">
        <f aca="false">L89/$R$3</f>
        <v>0</v>
      </c>
      <c r="U89" s="126" t="n">
        <f aca="false">I89/$R$3</f>
        <v>0</v>
      </c>
      <c r="V89" s="126" t="n">
        <f aca="false">M89/$R$3</f>
        <v>0</v>
      </c>
      <c r="W89" s="126" t="n">
        <f aca="false">N89/$R$3</f>
        <v>0</v>
      </c>
    </row>
    <row r="90" customFormat="false" ht="12.75" hidden="true" customHeight="false" outlineLevel="0" collapsed="false">
      <c r="A90" s="120" t="n">
        <f aca="false">A89+1</f>
        <v>36976</v>
      </c>
      <c r="B90" s="131" t="str">
        <f aca="false">INDEX('Master Data'!$A$2:$B$8,MATCH(WEEKDAY('BRA PWR Certificates'!A90,3),'Master Data'!$A$2:$A$8,0),2)</f>
        <v>M</v>
      </c>
      <c r="D90" s="124" t="n">
        <v>0</v>
      </c>
      <c r="E90" s="124" t="n">
        <v>0</v>
      </c>
      <c r="F90" s="124" t="n">
        <v>0</v>
      </c>
      <c r="G90" s="124" t="n">
        <v>0</v>
      </c>
      <c r="I90" s="124" t="n">
        <f aca="false">IF(MONTH($A90)=MONTH($A89),IF(G90=0,I89,G90),G90)</f>
        <v>0</v>
      </c>
      <c r="J90" s="124" t="n">
        <f aca="false">IF(MONTH($A90)=MONTH($A89),SUM(I90-I89),I90)</f>
        <v>0</v>
      </c>
      <c r="K90" s="124" t="n">
        <f aca="false">IF(WEEKDAY(A90,3)&gt;4,0,(IF(A90&lt;K$2,0,IF(A90&lt;=K$3,1,0))))</f>
        <v>0</v>
      </c>
      <c r="L90" s="124" t="n">
        <f aca="false">J90*K90</f>
        <v>0</v>
      </c>
      <c r="M90" s="124" t="n">
        <f aca="false">SUM(J$6:J90)</f>
        <v>0</v>
      </c>
      <c r="N90" s="124" t="n">
        <f aca="false">SUM(J$6:J90)</f>
        <v>0</v>
      </c>
      <c r="P90" s="124" t="n">
        <f aca="false">D90/P$3</f>
        <v>0</v>
      </c>
      <c r="Q90" s="124" t="n">
        <f aca="false">E90/P$3</f>
        <v>0</v>
      </c>
      <c r="R90" s="124" t="n">
        <f aca="false">F90/R$3</f>
        <v>0</v>
      </c>
      <c r="S90" s="126" t="n">
        <f aca="false">J90/$R$3</f>
        <v>0</v>
      </c>
      <c r="T90" s="126" t="n">
        <f aca="false">L90/$R$3</f>
        <v>0</v>
      </c>
      <c r="U90" s="126" t="n">
        <f aca="false">I90/$R$3</f>
        <v>0</v>
      </c>
      <c r="V90" s="126" t="n">
        <f aca="false">M90/$R$3</f>
        <v>0</v>
      </c>
      <c r="W90" s="126" t="n">
        <f aca="false">N90/$R$3</f>
        <v>0</v>
      </c>
    </row>
    <row r="91" customFormat="false" ht="12.75" hidden="true" customHeight="false" outlineLevel="0" collapsed="false">
      <c r="A91" s="120" t="n">
        <f aca="false">A90+1</f>
        <v>36977</v>
      </c>
      <c r="B91" s="131" t="str">
        <f aca="false">INDEX('Master Data'!$A$2:$B$8,MATCH(WEEKDAY('BRA PWR Certificates'!A91,3),'Master Data'!$A$2:$A$8,0),2)</f>
        <v>T</v>
      </c>
      <c r="D91" s="124" t="n">
        <v>0</v>
      </c>
      <c r="E91" s="124" t="n">
        <v>0</v>
      </c>
      <c r="F91" s="124" t="n">
        <v>0</v>
      </c>
      <c r="G91" s="124" t="n">
        <v>0</v>
      </c>
      <c r="I91" s="124" t="n">
        <f aca="false">IF(MONTH($A91)=MONTH($A90),IF(G91=0,I90,G91),G91)</f>
        <v>0</v>
      </c>
      <c r="J91" s="124" t="n">
        <f aca="false">IF(MONTH($A91)=MONTH($A90),SUM(I91-I90),I91)</f>
        <v>0</v>
      </c>
      <c r="K91" s="124" t="n">
        <f aca="false">IF(WEEKDAY(A91,3)&gt;4,0,(IF(A91&lt;K$2,0,IF(A91&lt;=K$3,1,0))))</f>
        <v>0</v>
      </c>
      <c r="L91" s="124" t="n">
        <f aca="false">J91*K91</f>
        <v>0</v>
      </c>
      <c r="M91" s="124" t="n">
        <f aca="false">SUM(J$6:J91)</f>
        <v>0</v>
      </c>
      <c r="N91" s="124" t="n">
        <f aca="false">SUM(J$6:J91)</f>
        <v>0</v>
      </c>
      <c r="P91" s="124" t="n">
        <f aca="false">D91/P$3</f>
        <v>0</v>
      </c>
      <c r="Q91" s="124" t="n">
        <f aca="false">E91/P$3</f>
        <v>0</v>
      </c>
      <c r="R91" s="124" t="n">
        <f aca="false">F91/R$3</f>
        <v>0</v>
      </c>
      <c r="S91" s="126" t="n">
        <f aca="false">J91/$R$3</f>
        <v>0</v>
      </c>
      <c r="T91" s="126" t="n">
        <f aca="false">L91/$R$3</f>
        <v>0</v>
      </c>
      <c r="U91" s="126" t="n">
        <f aca="false">I91/$R$3</f>
        <v>0</v>
      </c>
      <c r="V91" s="126" t="n">
        <f aca="false">M91/$R$3</f>
        <v>0</v>
      </c>
      <c r="W91" s="126" t="n">
        <f aca="false">N91/$R$3</f>
        <v>0</v>
      </c>
    </row>
    <row r="92" customFormat="false" ht="12.75" hidden="true" customHeight="false" outlineLevel="0" collapsed="false">
      <c r="A92" s="120" t="n">
        <f aca="false">A91+1</f>
        <v>36978</v>
      </c>
      <c r="B92" s="131" t="str">
        <f aca="false">INDEX('Master Data'!$A$2:$B$8,MATCH(WEEKDAY('BRA PWR Certificates'!A92,3),'Master Data'!$A$2:$A$8,0),2)</f>
        <v>W</v>
      </c>
      <c r="D92" s="124" t="n">
        <v>0</v>
      </c>
      <c r="E92" s="124" t="n">
        <v>0</v>
      </c>
      <c r="F92" s="124" t="n">
        <v>0</v>
      </c>
      <c r="G92" s="124" t="n">
        <v>0</v>
      </c>
      <c r="I92" s="124" t="n">
        <f aca="false">IF(MONTH($A92)=MONTH($A91),IF(G92=0,I91,G92),G92)</f>
        <v>0</v>
      </c>
      <c r="J92" s="124" t="n">
        <f aca="false">IF(MONTH($A92)=MONTH($A91),SUM(I92-I91),I92)</f>
        <v>0</v>
      </c>
      <c r="K92" s="124" t="n">
        <f aca="false">IF(WEEKDAY(A92,3)&gt;4,0,(IF(A92&lt;K$2,0,IF(A92&lt;=K$3,1,0))))</f>
        <v>0</v>
      </c>
      <c r="L92" s="124" t="n">
        <f aca="false">J92*K92</f>
        <v>0</v>
      </c>
      <c r="M92" s="124" t="n">
        <f aca="false">SUM(J$6:J92)</f>
        <v>0</v>
      </c>
      <c r="N92" s="124" t="n">
        <f aca="false">SUM(J$6:J92)</f>
        <v>0</v>
      </c>
      <c r="P92" s="124" t="n">
        <f aca="false">D92/P$3</f>
        <v>0</v>
      </c>
      <c r="Q92" s="124" t="n">
        <f aca="false">E92/P$3</f>
        <v>0</v>
      </c>
      <c r="R92" s="124" t="n">
        <f aca="false">F92/R$3</f>
        <v>0</v>
      </c>
      <c r="S92" s="126" t="n">
        <f aca="false">J92/$R$3</f>
        <v>0</v>
      </c>
      <c r="T92" s="126" t="n">
        <f aca="false">L92/$R$3</f>
        <v>0</v>
      </c>
      <c r="U92" s="126" t="n">
        <f aca="false">I92/$R$3</f>
        <v>0</v>
      </c>
      <c r="V92" s="126" t="n">
        <f aca="false">M92/$R$3</f>
        <v>0</v>
      </c>
      <c r="W92" s="126" t="n">
        <f aca="false">N92/$R$3</f>
        <v>0</v>
      </c>
    </row>
    <row r="93" customFormat="false" ht="12.75" hidden="true" customHeight="false" outlineLevel="0" collapsed="false">
      <c r="A93" s="120" t="n">
        <f aca="false">A92+1</f>
        <v>36979</v>
      </c>
      <c r="B93" s="131" t="str">
        <f aca="false">INDEX('Master Data'!$A$2:$B$8,MATCH(WEEKDAY('BRA PWR Certificates'!A93,3),'Master Data'!$A$2:$A$8,0),2)</f>
        <v>Th</v>
      </c>
      <c r="D93" s="124" t="n">
        <v>0</v>
      </c>
      <c r="E93" s="124" t="n">
        <v>0</v>
      </c>
      <c r="F93" s="124" t="n">
        <v>0</v>
      </c>
      <c r="G93" s="124" t="n">
        <v>0</v>
      </c>
      <c r="I93" s="124" t="n">
        <f aca="false">IF(MONTH($A93)=MONTH($A92),IF(G93=0,I92,G93),G93)</f>
        <v>0</v>
      </c>
      <c r="J93" s="124" t="n">
        <f aca="false">IF(MONTH($A93)=MONTH($A92),SUM(I93-I92),I93)</f>
        <v>0</v>
      </c>
      <c r="K93" s="124" t="n">
        <f aca="false">IF(WEEKDAY(A93,3)&gt;4,0,(IF(A93&lt;K$2,0,IF(A93&lt;=K$3,1,0))))</f>
        <v>0</v>
      </c>
      <c r="L93" s="124" t="n">
        <f aca="false">J93*K93</f>
        <v>0</v>
      </c>
      <c r="M93" s="124" t="n">
        <f aca="false">SUM(J$6:J93)</f>
        <v>0</v>
      </c>
      <c r="N93" s="124" t="n">
        <f aca="false">SUM(J$6:J93)</f>
        <v>0</v>
      </c>
      <c r="P93" s="124" t="n">
        <f aca="false">D93/P$3</f>
        <v>0</v>
      </c>
      <c r="Q93" s="124" t="n">
        <f aca="false">E93/P$3</f>
        <v>0</v>
      </c>
      <c r="R93" s="124" t="n">
        <f aca="false">F93/R$3</f>
        <v>0</v>
      </c>
      <c r="S93" s="126" t="n">
        <f aca="false">J93/$R$3</f>
        <v>0</v>
      </c>
      <c r="T93" s="126" t="n">
        <f aca="false">L93/$R$3</f>
        <v>0</v>
      </c>
      <c r="U93" s="126" t="n">
        <f aca="false">I93/$R$3</f>
        <v>0</v>
      </c>
      <c r="V93" s="126" t="n">
        <f aca="false">M93/$R$3</f>
        <v>0</v>
      </c>
      <c r="W93" s="126" t="n">
        <f aca="false">N93/$R$3</f>
        <v>0</v>
      </c>
    </row>
    <row r="94" customFormat="false" ht="12.75" hidden="true" customHeight="false" outlineLevel="0" collapsed="false">
      <c r="A94" s="120" t="n">
        <f aca="false">A93+1</f>
        <v>36980</v>
      </c>
      <c r="B94" s="131" t="str">
        <f aca="false">INDEX('Master Data'!$A$2:$B$8,MATCH(WEEKDAY('BRA PWR Certificates'!A94,3),'Master Data'!$A$2:$A$8,0),2)</f>
        <v>F</v>
      </c>
      <c r="D94" s="124" t="n">
        <v>0</v>
      </c>
      <c r="E94" s="124" t="n">
        <v>0</v>
      </c>
      <c r="F94" s="124" t="n">
        <v>0</v>
      </c>
      <c r="G94" s="124" t="n">
        <v>0</v>
      </c>
      <c r="I94" s="124" t="n">
        <f aca="false">IF(MONTH($A94)=MONTH($A93),IF(G94=0,I93,G94),G94)</f>
        <v>0</v>
      </c>
      <c r="J94" s="124" t="n">
        <f aca="false">IF(MONTH($A94)=MONTH($A93),SUM(I94-I93),I94)</f>
        <v>0</v>
      </c>
      <c r="K94" s="124" t="n">
        <f aca="false">IF(WEEKDAY(A94,3)&gt;4,0,(IF(A94&lt;K$2,0,IF(A94&lt;=K$3,1,0))))</f>
        <v>0</v>
      </c>
      <c r="L94" s="124" t="n">
        <f aca="false">J94*K94</f>
        <v>0</v>
      </c>
      <c r="M94" s="124" t="n">
        <f aca="false">SUM(J$6:J94)</f>
        <v>0</v>
      </c>
      <c r="N94" s="124" t="n">
        <f aca="false">SUM(J$6:J94)</f>
        <v>0</v>
      </c>
      <c r="P94" s="124" t="n">
        <f aca="false">D94/P$3</f>
        <v>0</v>
      </c>
      <c r="Q94" s="124" t="n">
        <f aca="false">E94/P$3</f>
        <v>0</v>
      </c>
      <c r="R94" s="124" t="n">
        <f aca="false">F94/R$3</f>
        <v>0</v>
      </c>
      <c r="S94" s="126" t="n">
        <f aca="false">J94/$R$3</f>
        <v>0</v>
      </c>
      <c r="T94" s="126" t="n">
        <f aca="false">L94/$R$3</f>
        <v>0</v>
      </c>
      <c r="U94" s="126" t="n">
        <f aca="false">I94/$R$3</f>
        <v>0</v>
      </c>
      <c r="V94" s="126" t="n">
        <f aca="false">M94/$R$3</f>
        <v>0</v>
      </c>
      <c r="W94" s="126" t="n">
        <f aca="false">N94/$R$3</f>
        <v>0</v>
      </c>
    </row>
    <row r="95" customFormat="false" ht="12.75" hidden="true" customHeight="false" outlineLevel="0" collapsed="false">
      <c r="A95" s="120" t="n">
        <f aca="false">A94+1</f>
        <v>36981</v>
      </c>
      <c r="B95" s="131" t="str">
        <f aca="false">INDEX('Master Data'!$A$2:$B$8,MATCH(WEEKDAY('BRA PWR Certificates'!A95,3),'Master Data'!$A$2:$A$8,0),2)</f>
        <v>Sa</v>
      </c>
      <c r="D95" s="124" t="n">
        <v>0</v>
      </c>
      <c r="E95" s="124" t="n">
        <v>0</v>
      </c>
      <c r="F95" s="124" t="n">
        <v>0</v>
      </c>
      <c r="G95" s="124" t="n">
        <v>0</v>
      </c>
      <c r="I95" s="124" t="n">
        <f aca="false">IF(MONTH($A95)=MONTH($A94),IF(G95=0,I94,G95),G95)</f>
        <v>0</v>
      </c>
      <c r="J95" s="124" t="n">
        <f aca="false">IF(MONTH($A95)=MONTH($A94),SUM(I95-I94),I95)</f>
        <v>0</v>
      </c>
      <c r="K95" s="124" t="n">
        <f aca="false">IF(WEEKDAY(A95,3)&gt;4,0,(IF(A95&lt;K$2,0,IF(A95&lt;=K$3,1,0))))</f>
        <v>0</v>
      </c>
      <c r="L95" s="124" t="n">
        <f aca="false">J95*K95</f>
        <v>0</v>
      </c>
      <c r="M95" s="124" t="n">
        <f aca="false">SUM(J$6:J95)</f>
        <v>0</v>
      </c>
      <c r="N95" s="124" t="n">
        <f aca="false">SUM(J$6:J95)</f>
        <v>0</v>
      </c>
      <c r="P95" s="124" t="n">
        <f aca="false">D95/P$3</f>
        <v>0</v>
      </c>
      <c r="Q95" s="124" t="n">
        <f aca="false">E95/P$3</f>
        <v>0</v>
      </c>
      <c r="R95" s="124" t="n">
        <f aca="false">F95/R$3</f>
        <v>0</v>
      </c>
      <c r="S95" s="126" t="n">
        <f aca="false">J95/$R$3</f>
        <v>0</v>
      </c>
      <c r="T95" s="126" t="n">
        <f aca="false">L95/$R$3</f>
        <v>0</v>
      </c>
      <c r="U95" s="126" t="n">
        <f aca="false">I95/$R$3</f>
        <v>0</v>
      </c>
      <c r="V95" s="126" t="n">
        <f aca="false">M95/$R$3</f>
        <v>0</v>
      </c>
      <c r="W95" s="126" t="n">
        <f aca="false">N95/$R$3</f>
        <v>0</v>
      </c>
    </row>
    <row r="96" customFormat="false" ht="12.75" hidden="true" customHeight="false" outlineLevel="0" collapsed="false">
      <c r="A96" s="120" t="n">
        <f aca="false">A95+1</f>
        <v>36982</v>
      </c>
      <c r="B96" s="131" t="str">
        <f aca="false">INDEX('Master Data'!$A$2:$B$8,MATCH(WEEKDAY('BRA PWR Certificates'!A96,3),'Master Data'!$A$2:$A$8,0),2)</f>
        <v>Su</v>
      </c>
      <c r="D96" s="124" t="n">
        <v>0</v>
      </c>
      <c r="E96" s="124" t="n">
        <v>0</v>
      </c>
      <c r="F96" s="124" t="n">
        <v>0</v>
      </c>
      <c r="G96" s="124" t="n">
        <v>0</v>
      </c>
      <c r="I96" s="124" t="n">
        <f aca="false">IF(MONTH($A96)=MONTH($A95),IF(G96=0,I95,G96),G96)</f>
        <v>0</v>
      </c>
      <c r="J96" s="124" t="n">
        <f aca="false">IF(MONTH($A96)=MONTH($A95),SUM(I96-I95),I96)</f>
        <v>0</v>
      </c>
      <c r="K96" s="124" t="n">
        <f aca="false">IF(WEEKDAY(A96,3)&gt;4,0,(IF(A96&lt;K$2,0,IF(A96&lt;=K$3,1,0))))</f>
        <v>0</v>
      </c>
      <c r="L96" s="124" t="n">
        <f aca="false">J96*K96</f>
        <v>0</v>
      </c>
      <c r="M96" s="124" t="n">
        <f aca="false">SUM(J$6:J96)</f>
        <v>0</v>
      </c>
      <c r="N96" s="124" t="n">
        <f aca="false">SUM(J$6:J96)</f>
        <v>0</v>
      </c>
      <c r="P96" s="124" t="n">
        <f aca="false">D96/P$3</f>
        <v>0</v>
      </c>
      <c r="Q96" s="124" t="n">
        <f aca="false">E96/P$3</f>
        <v>0</v>
      </c>
      <c r="R96" s="124" t="n">
        <f aca="false">F96/R$3</f>
        <v>0</v>
      </c>
      <c r="S96" s="126" t="n">
        <f aca="false">J96/$R$3</f>
        <v>0</v>
      </c>
      <c r="T96" s="126" t="n">
        <f aca="false">L96/$R$3</f>
        <v>0</v>
      </c>
      <c r="U96" s="126" t="n">
        <f aca="false">I96/$R$3</f>
        <v>0</v>
      </c>
      <c r="V96" s="126" t="n">
        <f aca="false">M96/$R$3</f>
        <v>0</v>
      </c>
      <c r="W96" s="126" t="n">
        <f aca="false">N96/$R$3</f>
        <v>0</v>
      </c>
    </row>
    <row r="97" customFormat="false" ht="12.75" hidden="true" customHeight="false" outlineLevel="0" collapsed="false">
      <c r="A97" s="120" t="n">
        <f aca="false">A96+1</f>
        <v>36983</v>
      </c>
      <c r="B97" s="131" t="str">
        <f aca="false">INDEX('Master Data'!$A$2:$B$8,MATCH(WEEKDAY('BRA PWR Certificates'!A97,3),'Master Data'!$A$2:$A$8,0),2)</f>
        <v>M</v>
      </c>
      <c r="D97" s="124" t="n">
        <v>0</v>
      </c>
      <c r="E97" s="124" t="n">
        <v>0</v>
      </c>
      <c r="F97" s="124" t="n">
        <v>0</v>
      </c>
      <c r="G97" s="124" t="n">
        <v>0</v>
      </c>
      <c r="I97" s="124" t="n">
        <f aca="false">IF(MONTH($A97)=MONTH($A96),IF(G97=0,I96,G97),G97)</f>
        <v>0</v>
      </c>
      <c r="J97" s="124" t="n">
        <f aca="false">IF(MONTH($A97)=MONTH($A96),SUM(I97-I96),I97)</f>
        <v>0</v>
      </c>
      <c r="K97" s="124" t="n">
        <f aca="false">IF(WEEKDAY(A97,3)&gt;4,0,(IF(A97&lt;K$2,0,IF(A97&lt;=K$3,1,0))))</f>
        <v>0</v>
      </c>
      <c r="L97" s="124" t="n">
        <f aca="false">J97*K97</f>
        <v>0</v>
      </c>
      <c r="M97" s="124" t="n">
        <f aca="false">SUM(J$97:J97)</f>
        <v>0</v>
      </c>
      <c r="N97" s="124" t="n">
        <f aca="false">SUM(J$6:J97)</f>
        <v>0</v>
      </c>
      <c r="P97" s="124" t="n">
        <f aca="false">D97/P$3</f>
        <v>0</v>
      </c>
      <c r="Q97" s="124" t="n">
        <f aca="false">E97/P$3</f>
        <v>0</v>
      </c>
      <c r="R97" s="124" t="n">
        <f aca="false">F97/R$3</f>
        <v>0</v>
      </c>
      <c r="S97" s="126" t="n">
        <f aca="false">J97/$R$3</f>
        <v>0</v>
      </c>
      <c r="T97" s="126" t="n">
        <f aca="false">L97/$R$3</f>
        <v>0</v>
      </c>
      <c r="U97" s="126" t="n">
        <f aca="false">I97/$R$3</f>
        <v>0</v>
      </c>
      <c r="V97" s="126" t="n">
        <f aca="false">M97/$R$3</f>
        <v>0</v>
      </c>
      <c r="W97" s="126" t="n">
        <f aca="false">N97/$R$3</f>
        <v>0</v>
      </c>
    </row>
    <row r="98" customFormat="false" ht="12.75" hidden="true" customHeight="false" outlineLevel="0" collapsed="false">
      <c r="A98" s="120" t="n">
        <f aca="false">A97+1</f>
        <v>36984</v>
      </c>
      <c r="B98" s="131" t="str">
        <f aca="false">INDEX('Master Data'!$A$2:$B$8,MATCH(WEEKDAY('BRA PWR Certificates'!A98,3),'Master Data'!$A$2:$A$8,0),2)</f>
        <v>T</v>
      </c>
      <c r="D98" s="124" t="n">
        <v>0</v>
      </c>
      <c r="E98" s="124" t="n">
        <v>0</v>
      </c>
      <c r="F98" s="124" t="n">
        <v>0</v>
      </c>
      <c r="G98" s="124" t="n">
        <v>0</v>
      </c>
      <c r="I98" s="124" t="n">
        <f aca="false">IF(MONTH($A98)=MONTH($A97),IF(G98=0,I97,G98),G98)</f>
        <v>0</v>
      </c>
      <c r="J98" s="124" t="n">
        <f aca="false">IF(MONTH($A98)=MONTH($A97),SUM(I98-I97),I98)</f>
        <v>0</v>
      </c>
      <c r="K98" s="124" t="n">
        <f aca="false">IF(WEEKDAY(A98,3)&gt;4,0,(IF(A98&lt;K$2,0,IF(A98&lt;=K$3,1,0))))</f>
        <v>0</v>
      </c>
      <c r="L98" s="124" t="n">
        <f aca="false">J98*K98</f>
        <v>0</v>
      </c>
      <c r="M98" s="124" t="n">
        <f aca="false">SUM(J$97:J98)</f>
        <v>0</v>
      </c>
      <c r="N98" s="124" t="n">
        <f aca="false">SUM(J$6:J98)</f>
        <v>0</v>
      </c>
      <c r="P98" s="124" t="n">
        <f aca="false">D98/P$3</f>
        <v>0</v>
      </c>
      <c r="Q98" s="124" t="n">
        <f aca="false">E98/P$3</f>
        <v>0</v>
      </c>
      <c r="R98" s="124" t="n">
        <f aca="false">F98/R$3</f>
        <v>0</v>
      </c>
      <c r="S98" s="126" t="n">
        <f aca="false">J98/$R$3</f>
        <v>0</v>
      </c>
      <c r="T98" s="126" t="n">
        <f aca="false">L98/$R$3</f>
        <v>0</v>
      </c>
      <c r="U98" s="126" t="n">
        <f aca="false">I98/$R$3</f>
        <v>0</v>
      </c>
      <c r="V98" s="126" t="n">
        <f aca="false">M98/$R$3</f>
        <v>0</v>
      </c>
      <c r="W98" s="126" t="n">
        <f aca="false">N98/$R$3</f>
        <v>0</v>
      </c>
    </row>
    <row r="99" customFormat="false" ht="12.75" hidden="true" customHeight="false" outlineLevel="0" collapsed="false">
      <c r="A99" s="120" t="n">
        <f aca="false">A98+1</f>
        <v>36985</v>
      </c>
      <c r="B99" s="131" t="str">
        <f aca="false">INDEX('Master Data'!$A$2:$B$8,MATCH(WEEKDAY('BRA PWR Certificates'!A99,3),'Master Data'!$A$2:$A$8,0),2)</f>
        <v>W</v>
      </c>
      <c r="D99" s="124" t="n">
        <v>0</v>
      </c>
      <c r="E99" s="124" t="n">
        <v>0</v>
      </c>
      <c r="F99" s="124" t="n">
        <v>0</v>
      </c>
      <c r="G99" s="124" t="n">
        <v>0</v>
      </c>
      <c r="I99" s="124" t="n">
        <f aca="false">IF(MONTH($A99)=MONTH($A98),IF(G99=0,I98,G99),G99)</f>
        <v>0</v>
      </c>
      <c r="J99" s="124" t="n">
        <f aca="false">IF(MONTH($A99)=MONTH($A98),SUM(I99-I98),I99)</f>
        <v>0</v>
      </c>
      <c r="K99" s="124" t="n">
        <f aca="false">IF(WEEKDAY(A99,3)&gt;4,0,(IF(A99&lt;K$2,0,IF(A99&lt;=K$3,1,0))))</f>
        <v>0</v>
      </c>
      <c r="L99" s="124" t="n">
        <f aca="false">J99*K99</f>
        <v>0</v>
      </c>
      <c r="M99" s="124" t="n">
        <f aca="false">SUM(J$97:J99)</f>
        <v>0</v>
      </c>
      <c r="N99" s="124" t="n">
        <f aca="false">SUM(J$6:J99)</f>
        <v>0</v>
      </c>
      <c r="P99" s="124" t="n">
        <f aca="false">D99/P$3</f>
        <v>0</v>
      </c>
      <c r="Q99" s="124" t="n">
        <f aca="false">E99/P$3</f>
        <v>0</v>
      </c>
      <c r="R99" s="124" t="n">
        <f aca="false">F99/R$3</f>
        <v>0</v>
      </c>
      <c r="S99" s="126" t="n">
        <f aca="false">J99/$R$3</f>
        <v>0</v>
      </c>
      <c r="T99" s="126" t="n">
        <f aca="false">L99/$R$3</f>
        <v>0</v>
      </c>
      <c r="U99" s="126" t="n">
        <f aca="false">I99/$R$3</f>
        <v>0</v>
      </c>
      <c r="V99" s="126" t="n">
        <f aca="false">M99/$R$3</f>
        <v>0</v>
      </c>
      <c r="W99" s="126" t="n">
        <f aca="false">N99/$R$3</f>
        <v>0</v>
      </c>
    </row>
    <row r="100" customFormat="false" ht="12.75" hidden="true" customHeight="false" outlineLevel="0" collapsed="false">
      <c r="A100" s="120" t="n">
        <f aca="false">A99+1</f>
        <v>36986</v>
      </c>
      <c r="B100" s="131" t="str">
        <f aca="false">INDEX('Master Data'!$A$2:$B$8,MATCH(WEEKDAY('BRA PWR Certificates'!A100,3),'Master Data'!$A$2:$A$8,0),2)</f>
        <v>Th</v>
      </c>
      <c r="D100" s="124" t="n">
        <v>0</v>
      </c>
      <c r="E100" s="124" t="n">
        <v>0</v>
      </c>
      <c r="F100" s="124" t="n">
        <v>0</v>
      </c>
      <c r="G100" s="124" t="n">
        <v>0</v>
      </c>
      <c r="I100" s="124" t="n">
        <f aca="false">IF(MONTH($A100)=MONTH($A99),IF(G100=0,I99,G100),G100)</f>
        <v>0</v>
      </c>
      <c r="J100" s="124" t="n">
        <f aca="false">IF(MONTH($A100)=MONTH($A99),SUM(I100-I99),I100)</f>
        <v>0</v>
      </c>
      <c r="K100" s="124" t="n">
        <f aca="false">IF(WEEKDAY(A100,3)&gt;4,0,(IF(A100&lt;K$2,0,IF(A100&lt;=K$3,1,0))))</f>
        <v>0</v>
      </c>
      <c r="L100" s="124" t="n">
        <f aca="false">J100*K100</f>
        <v>0</v>
      </c>
      <c r="M100" s="124" t="n">
        <f aca="false">SUM(J$97:J100)</f>
        <v>0</v>
      </c>
      <c r="N100" s="124" t="n">
        <f aca="false">SUM(J$6:J100)</f>
        <v>0</v>
      </c>
      <c r="P100" s="124" t="n">
        <f aca="false">D100/P$3</f>
        <v>0</v>
      </c>
      <c r="Q100" s="124" t="n">
        <f aca="false">E100/P$3</f>
        <v>0</v>
      </c>
      <c r="R100" s="124" t="n">
        <f aca="false">F100/R$3</f>
        <v>0</v>
      </c>
      <c r="S100" s="126" t="n">
        <f aca="false">J100/$R$3</f>
        <v>0</v>
      </c>
      <c r="T100" s="126" t="n">
        <f aca="false">L100/$R$3</f>
        <v>0</v>
      </c>
      <c r="U100" s="126" t="n">
        <f aca="false">I100/$R$3</f>
        <v>0</v>
      </c>
      <c r="V100" s="126" t="n">
        <f aca="false">M100/$R$3</f>
        <v>0</v>
      </c>
      <c r="W100" s="126" t="n">
        <f aca="false">N100/$R$3</f>
        <v>0</v>
      </c>
    </row>
    <row r="101" customFormat="false" ht="12.75" hidden="true" customHeight="false" outlineLevel="0" collapsed="false">
      <c r="A101" s="120" t="n">
        <f aca="false">A100+1</f>
        <v>36987</v>
      </c>
      <c r="B101" s="131" t="str">
        <f aca="false">INDEX('Master Data'!$A$2:$B$8,MATCH(WEEKDAY('BRA PWR Certificates'!A101,3),'Master Data'!$A$2:$A$8,0),2)</f>
        <v>F</v>
      </c>
      <c r="D101" s="124" t="n">
        <v>0</v>
      </c>
      <c r="E101" s="124" t="n">
        <v>0</v>
      </c>
      <c r="F101" s="124" t="n">
        <v>0</v>
      </c>
      <c r="G101" s="124" t="n">
        <v>0</v>
      </c>
      <c r="I101" s="124" t="n">
        <f aca="false">IF(MONTH($A101)=MONTH($A100),IF(G101=0,I100,G101),G101)</f>
        <v>0</v>
      </c>
      <c r="J101" s="124" t="n">
        <f aca="false">IF(MONTH($A101)=MONTH($A100),SUM(I101-I100),I101)</f>
        <v>0</v>
      </c>
      <c r="K101" s="124" t="n">
        <f aca="false">IF(WEEKDAY(A101,3)&gt;4,0,(IF(A101&lt;K$2,0,IF(A101&lt;=K$3,1,0))))</f>
        <v>0</v>
      </c>
      <c r="L101" s="124" t="n">
        <f aca="false">J101*K101</f>
        <v>0</v>
      </c>
      <c r="M101" s="124" t="n">
        <f aca="false">SUM(J$97:J101)</f>
        <v>0</v>
      </c>
      <c r="N101" s="124" t="n">
        <f aca="false">SUM(J$6:J101)</f>
        <v>0</v>
      </c>
      <c r="P101" s="124" t="n">
        <f aca="false">D101/P$3</f>
        <v>0</v>
      </c>
      <c r="Q101" s="124" t="n">
        <f aca="false">E101/P$3</f>
        <v>0</v>
      </c>
      <c r="R101" s="124" t="n">
        <f aca="false">F101/R$3</f>
        <v>0</v>
      </c>
      <c r="S101" s="126" t="n">
        <f aca="false">J101/$R$3</f>
        <v>0</v>
      </c>
      <c r="T101" s="126" t="n">
        <f aca="false">L101/$R$3</f>
        <v>0</v>
      </c>
      <c r="U101" s="126" t="n">
        <f aca="false">I101/$R$3</f>
        <v>0</v>
      </c>
      <c r="V101" s="126" t="n">
        <f aca="false">M101/$R$3</f>
        <v>0</v>
      </c>
      <c r="W101" s="126" t="n">
        <f aca="false">N101/$R$3</f>
        <v>0</v>
      </c>
    </row>
    <row r="102" customFormat="false" ht="12.75" hidden="true" customHeight="false" outlineLevel="0" collapsed="false">
      <c r="A102" s="120" t="n">
        <f aca="false">A101+1</f>
        <v>36988</v>
      </c>
      <c r="B102" s="131" t="str">
        <f aca="false">INDEX('Master Data'!$A$2:$B$8,MATCH(WEEKDAY('BRA PWR Certificates'!A102,3),'Master Data'!$A$2:$A$8,0),2)</f>
        <v>Sa</v>
      </c>
      <c r="D102" s="124" t="n">
        <v>0</v>
      </c>
      <c r="E102" s="124" t="n">
        <v>0</v>
      </c>
      <c r="F102" s="124" t="n">
        <v>0</v>
      </c>
      <c r="G102" s="124" t="n">
        <v>0</v>
      </c>
      <c r="I102" s="124" t="n">
        <f aca="false">IF(MONTH($A102)=MONTH($A101),IF(G102=0,I101,G102),G102)</f>
        <v>0</v>
      </c>
      <c r="J102" s="124" t="n">
        <f aca="false">IF(MONTH($A102)=MONTH($A101),SUM(I102-I101),I102)</f>
        <v>0</v>
      </c>
      <c r="K102" s="124" t="n">
        <f aca="false">IF(WEEKDAY(A102,3)&gt;4,0,(IF(A102&lt;K$2,0,IF(A102&lt;=K$3,1,0))))</f>
        <v>0</v>
      </c>
      <c r="L102" s="124" t="n">
        <f aca="false">J102*K102</f>
        <v>0</v>
      </c>
      <c r="M102" s="124" t="n">
        <f aca="false">SUM(J$97:J102)</f>
        <v>0</v>
      </c>
      <c r="N102" s="124" t="n">
        <f aca="false">SUM(J$6:J102)</f>
        <v>0</v>
      </c>
      <c r="P102" s="124" t="n">
        <f aca="false">D102/P$3</f>
        <v>0</v>
      </c>
      <c r="Q102" s="124" t="n">
        <f aca="false">E102/P$3</f>
        <v>0</v>
      </c>
      <c r="R102" s="124" t="n">
        <f aca="false">F102/R$3</f>
        <v>0</v>
      </c>
      <c r="S102" s="126" t="n">
        <f aca="false">J102/$R$3</f>
        <v>0</v>
      </c>
      <c r="T102" s="126" t="n">
        <f aca="false">L102/$R$3</f>
        <v>0</v>
      </c>
      <c r="U102" s="126" t="n">
        <f aca="false">I102/$R$3</f>
        <v>0</v>
      </c>
      <c r="V102" s="126" t="n">
        <f aca="false">M102/$R$3</f>
        <v>0</v>
      </c>
      <c r="W102" s="126" t="n">
        <f aca="false">N102/$R$3</f>
        <v>0</v>
      </c>
    </row>
    <row r="103" customFormat="false" ht="12.75" hidden="true" customHeight="false" outlineLevel="0" collapsed="false">
      <c r="A103" s="120" t="n">
        <f aca="false">A102+1</f>
        <v>36989</v>
      </c>
      <c r="B103" s="131" t="str">
        <f aca="false">INDEX('Master Data'!$A$2:$B$8,MATCH(WEEKDAY('BRA PWR Certificates'!A103,3),'Master Data'!$A$2:$A$8,0),2)</f>
        <v>Su</v>
      </c>
      <c r="D103" s="124" t="n">
        <v>0</v>
      </c>
      <c r="E103" s="124" t="n">
        <v>0</v>
      </c>
      <c r="F103" s="124" t="n">
        <v>0</v>
      </c>
      <c r="G103" s="124" t="n">
        <v>0</v>
      </c>
      <c r="I103" s="124" t="n">
        <f aca="false">IF(MONTH($A103)=MONTH($A102),IF(G103=0,I102,G103),G103)</f>
        <v>0</v>
      </c>
      <c r="J103" s="124" t="n">
        <f aca="false">IF(MONTH($A103)=MONTH($A102),SUM(I103-I102),I103)</f>
        <v>0</v>
      </c>
      <c r="K103" s="124" t="n">
        <f aca="false">IF(WEEKDAY(A103,3)&gt;4,0,(IF(A103&lt;K$2,0,IF(A103&lt;=K$3,1,0))))</f>
        <v>0</v>
      </c>
      <c r="L103" s="124" t="n">
        <f aca="false">J103*K103</f>
        <v>0</v>
      </c>
      <c r="M103" s="124" t="n">
        <f aca="false">SUM(J$97:J103)</f>
        <v>0</v>
      </c>
      <c r="N103" s="124" t="n">
        <f aca="false">SUM(J$6:J103)</f>
        <v>0</v>
      </c>
      <c r="P103" s="124" t="n">
        <f aca="false">D103/P$3</f>
        <v>0</v>
      </c>
      <c r="Q103" s="124" t="n">
        <f aca="false">E103/P$3</f>
        <v>0</v>
      </c>
      <c r="R103" s="124" t="n">
        <f aca="false">F103/R$3</f>
        <v>0</v>
      </c>
      <c r="S103" s="126" t="n">
        <f aca="false">J103/$R$3</f>
        <v>0</v>
      </c>
      <c r="T103" s="126" t="n">
        <f aca="false">L103/$R$3</f>
        <v>0</v>
      </c>
      <c r="U103" s="126" t="n">
        <f aca="false">I103/$R$3</f>
        <v>0</v>
      </c>
      <c r="V103" s="126" t="n">
        <f aca="false">M103/$R$3</f>
        <v>0</v>
      </c>
      <c r="W103" s="126" t="n">
        <f aca="false">N103/$R$3</f>
        <v>0</v>
      </c>
    </row>
    <row r="104" customFormat="false" ht="12.75" hidden="true" customHeight="false" outlineLevel="0" collapsed="false">
      <c r="A104" s="120" t="n">
        <f aca="false">A103+1</f>
        <v>36990</v>
      </c>
      <c r="B104" s="131" t="str">
        <f aca="false">INDEX('Master Data'!$A$2:$B$8,MATCH(WEEKDAY('BRA PWR Certificates'!A104,3),'Master Data'!$A$2:$A$8,0),2)</f>
        <v>M</v>
      </c>
      <c r="D104" s="124" t="n">
        <v>0</v>
      </c>
      <c r="E104" s="124" t="n">
        <v>0</v>
      </c>
      <c r="F104" s="124" t="n">
        <v>0</v>
      </c>
      <c r="G104" s="124" t="n">
        <v>0</v>
      </c>
      <c r="I104" s="124" t="n">
        <f aca="false">IF(MONTH($A104)=MONTH($A103),IF(G104=0,I103,G104),G104)</f>
        <v>0</v>
      </c>
      <c r="J104" s="124" t="n">
        <f aca="false">IF(MONTH($A104)=MONTH($A103),SUM(I104-I103),I104)</f>
        <v>0</v>
      </c>
      <c r="K104" s="124" t="n">
        <f aca="false">IF(WEEKDAY(A104,3)&gt;4,0,(IF(A104&lt;K$2,0,IF(A104&lt;=K$3,1,0))))</f>
        <v>0</v>
      </c>
      <c r="L104" s="124" t="n">
        <f aca="false">J104*K104</f>
        <v>0</v>
      </c>
      <c r="M104" s="124" t="n">
        <f aca="false">SUM(J$97:J104)</f>
        <v>0</v>
      </c>
      <c r="N104" s="124" t="n">
        <f aca="false">SUM(J$6:J104)</f>
        <v>0</v>
      </c>
      <c r="P104" s="124" t="n">
        <f aca="false">D104/P$3</f>
        <v>0</v>
      </c>
      <c r="Q104" s="124" t="n">
        <f aca="false">E104/P$3</f>
        <v>0</v>
      </c>
      <c r="R104" s="124" t="n">
        <f aca="false">F104/R$3</f>
        <v>0</v>
      </c>
      <c r="S104" s="126" t="n">
        <f aca="false">J104/$R$3</f>
        <v>0</v>
      </c>
      <c r="T104" s="126" t="n">
        <f aca="false">L104/$R$3</f>
        <v>0</v>
      </c>
      <c r="U104" s="126" t="n">
        <f aca="false">I104/$R$3</f>
        <v>0</v>
      </c>
      <c r="V104" s="126" t="n">
        <f aca="false">M104/$R$3</f>
        <v>0</v>
      </c>
      <c r="W104" s="126" t="n">
        <f aca="false">N104/$R$3</f>
        <v>0</v>
      </c>
    </row>
    <row r="105" customFormat="false" ht="12.75" hidden="true" customHeight="false" outlineLevel="0" collapsed="false">
      <c r="A105" s="120" t="n">
        <f aca="false">A104+1</f>
        <v>36991</v>
      </c>
      <c r="B105" s="131" t="str">
        <f aca="false">INDEX('Master Data'!$A$2:$B$8,MATCH(WEEKDAY('BRA PWR Certificates'!A105,3),'Master Data'!$A$2:$A$8,0),2)</f>
        <v>T</v>
      </c>
      <c r="D105" s="124" t="n">
        <v>0</v>
      </c>
      <c r="E105" s="124" t="n">
        <v>0</v>
      </c>
      <c r="F105" s="124" t="n">
        <v>0</v>
      </c>
      <c r="G105" s="124" t="n">
        <v>0</v>
      </c>
      <c r="I105" s="124" t="n">
        <f aca="false">IF(MONTH($A105)=MONTH($A104),IF(G105=0,I104,G105),G105)</f>
        <v>0</v>
      </c>
      <c r="J105" s="124" t="n">
        <f aca="false">IF(MONTH($A105)=MONTH($A104),SUM(I105-I104),I105)</f>
        <v>0</v>
      </c>
      <c r="K105" s="124" t="n">
        <f aca="false">IF(WEEKDAY(A105,3)&gt;4,0,(IF(A105&lt;K$2,0,IF(A105&lt;=K$3,1,0))))</f>
        <v>0</v>
      </c>
      <c r="L105" s="124" t="n">
        <f aca="false">J105*K105</f>
        <v>0</v>
      </c>
      <c r="M105" s="124" t="n">
        <f aca="false">SUM(J$97:J105)</f>
        <v>0</v>
      </c>
      <c r="N105" s="124" t="n">
        <f aca="false">SUM(J$6:J105)</f>
        <v>0</v>
      </c>
      <c r="P105" s="124" t="n">
        <f aca="false">D105/P$3</f>
        <v>0</v>
      </c>
      <c r="Q105" s="124" t="n">
        <f aca="false">E105/P$3</f>
        <v>0</v>
      </c>
      <c r="R105" s="124" t="n">
        <f aca="false">F105/R$3</f>
        <v>0</v>
      </c>
      <c r="S105" s="126" t="n">
        <f aca="false">J105/$R$3</f>
        <v>0</v>
      </c>
      <c r="T105" s="126" t="n">
        <f aca="false">L105/$R$3</f>
        <v>0</v>
      </c>
      <c r="U105" s="126" t="n">
        <f aca="false">I105/$R$3</f>
        <v>0</v>
      </c>
      <c r="V105" s="126" t="n">
        <f aca="false">M105/$R$3</f>
        <v>0</v>
      </c>
      <c r="W105" s="126" t="n">
        <f aca="false">N105/$R$3</f>
        <v>0</v>
      </c>
    </row>
    <row r="106" customFormat="false" ht="12.75" hidden="true" customHeight="false" outlineLevel="0" collapsed="false">
      <c r="A106" s="120" t="n">
        <f aca="false">A105+1</f>
        <v>36992</v>
      </c>
      <c r="B106" s="131" t="str">
        <f aca="false">INDEX('Master Data'!$A$2:$B$8,MATCH(WEEKDAY('BRA PWR Certificates'!A106,3),'Master Data'!$A$2:$A$8,0),2)</f>
        <v>W</v>
      </c>
      <c r="D106" s="124" t="n">
        <v>0</v>
      </c>
      <c r="E106" s="124" t="n">
        <v>0</v>
      </c>
      <c r="F106" s="124" t="n">
        <v>0</v>
      </c>
      <c r="G106" s="124" t="n">
        <v>0</v>
      </c>
      <c r="I106" s="124" t="n">
        <f aca="false">IF(MONTH($A106)=MONTH($A105),IF(G106=0,I105,G106),G106)</f>
        <v>0</v>
      </c>
      <c r="J106" s="124" t="n">
        <f aca="false">IF(MONTH($A106)=MONTH($A105),SUM(I106-I105),I106)</f>
        <v>0</v>
      </c>
      <c r="K106" s="124" t="n">
        <f aca="false">IF(WEEKDAY(A106,3)&gt;4,0,(IF(A106&lt;K$2,0,IF(A106&lt;=K$3,1,0))))</f>
        <v>0</v>
      </c>
      <c r="L106" s="124" t="n">
        <f aca="false">J106*K106</f>
        <v>0</v>
      </c>
      <c r="M106" s="124" t="n">
        <f aca="false">SUM(J$97:J106)</f>
        <v>0</v>
      </c>
      <c r="N106" s="124" t="n">
        <f aca="false">SUM(J$6:J106)</f>
        <v>0</v>
      </c>
      <c r="P106" s="124" t="n">
        <f aca="false">D106/P$3</f>
        <v>0</v>
      </c>
      <c r="Q106" s="124" t="n">
        <f aca="false">E106/P$3</f>
        <v>0</v>
      </c>
      <c r="R106" s="124" t="n">
        <f aca="false">F106/R$3</f>
        <v>0</v>
      </c>
      <c r="S106" s="126" t="n">
        <f aca="false">J106/$R$3</f>
        <v>0</v>
      </c>
      <c r="T106" s="126" t="n">
        <f aca="false">L106/$R$3</f>
        <v>0</v>
      </c>
      <c r="U106" s="126" t="n">
        <f aca="false">I106/$R$3</f>
        <v>0</v>
      </c>
      <c r="V106" s="126" t="n">
        <f aca="false">M106/$R$3</f>
        <v>0</v>
      </c>
      <c r="W106" s="126" t="n">
        <f aca="false">N106/$R$3</f>
        <v>0</v>
      </c>
    </row>
    <row r="107" customFormat="false" ht="12.75" hidden="true" customHeight="false" outlineLevel="0" collapsed="false">
      <c r="A107" s="120" t="n">
        <f aca="false">A106+1</f>
        <v>36993</v>
      </c>
      <c r="B107" s="131" t="str">
        <f aca="false">INDEX('Master Data'!$A$2:$B$8,MATCH(WEEKDAY('BRA PWR Certificates'!A107,3),'Master Data'!$A$2:$A$8,0),2)</f>
        <v>Th</v>
      </c>
      <c r="D107" s="124" t="n">
        <v>0</v>
      </c>
      <c r="E107" s="124" t="n">
        <v>0</v>
      </c>
      <c r="F107" s="124" t="n">
        <v>0</v>
      </c>
      <c r="G107" s="124" t="n">
        <v>0</v>
      </c>
      <c r="I107" s="124" t="n">
        <f aca="false">IF(MONTH($A107)=MONTH($A106),IF(G107=0,I106,G107),G107)</f>
        <v>0</v>
      </c>
      <c r="J107" s="124" t="n">
        <f aca="false">IF(MONTH($A107)=MONTH($A106),SUM(I107-I106),I107)</f>
        <v>0</v>
      </c>
      <c r="K107" s="124" t="n">
        <f aca="false">IF(WEEKDAY(A107,3)&gt;4,0,(IF(A107&lt;K$2,0,IF(A107&lt;=K$3,1,0))))</f>
        <v>0</v>
      </c>
      <c r="L107" s="124" t="n">
        <f aca="false">J107*K107</f>
        <v>0</v>
      </c>
      <c r="M107" s="124" t="n">
        <f aca="false">SUM(J$97:J107)</f>
        <v>0</v>
      </c>
      <c r="N107" s="124" t="n">
        <f aca="false">SUM(J$6:J107)</f>
        <v>0</v>
      </c>
      <c r="P107" s="124" t="n">
        <f aca="false">D107/P$3</f>
        <v>0</v>
      </c>
      <c r="Q107" s="124" t="n">
        <f aca="false">E107/P$3</f>
        <v>0</v>
      </c>
      <c r="R107" s="124" t="n">
        <f aca="false">F107/R$3</f>
        <v>0</v>
      </c>
      <c r="S107" s="126" t="n">
        <f aca="false">J107/$R$3</f>
        <v>0</v>
      </c>
      <c r="T107" s="126" t="n">
        <f aca="false">L107/$R$3</f>
        <v>0</v>
      </c>
      <c r="U107" s="126" t="n">
        <f aca="false">I107/$R$3</f>
        <v>0</v>
      </c>
      <c r="V107" s="126" t="n">
        <f aca="false">M107/$R$3</f>
        <v>0</v>
      </c>
      <c r="W107" s="126" t="n">
        <f aca="false">N107/$R$3</f>
        <v>0</v>
      </c>
    </row>
    <row r="108" customFormat="false" ht="12.75" hidden="true" customHeight="false" outlineLevel="0" collapsed="false">
      <c r="A108" s="120" t="n">
        <f aca="false">A107+1</f>
        <v>36994</v>
      </c>
      <c r="B108" s="131" t="str">
        <f aca="false">INDEX('Master Data'!$A$2:$B$8,MATCH(WEEKDAY('BRA PWR Certificates'!A108,3),'Master Data'!$A$2:$A$8,0),2)</f>
        <v>F</v>
      </c>
      <c r="D108" s="124" t="n">
        <v>0</v>
      </c>
      <c r="E108" s="124" t="n">
        <v>0</v>
      </c>
      <c r="F108" s="124" t="n">
        <v>0</v>
      </c>
      <c r="G108" s="124" t="n">
        <v>0</v>
      </c>
      <c r="I108" s="124" t="n">
        <f aca="false">IF(MONTH($A108)=MONTH($A107),IF(G108=0,I107,G108),G108)</f>
        <v>0</v>
      </c>
      <c r="J108" s="124" t="n">
        <f aca="false">IF(MONTH($A108)=MONTH($A107),SUM(I108-I107),I108)</f>
        <v>0</v>
      </c>
      <c r="K108" s="124" t="n">
        <f aca="false">IF(WEEKDAY(A108,3)&gt;4,0,(IF(A108&lt;K$2,0,IF(A108&lt;=K$3,1,0))))</f>
        <v>0</v>
      </c>
      <c r="L108" s="124" t="n">
        <f aca="false">J108*K108</f>
        <v>0</v>
      </c>
      <c r="M108" s="124" t="n">
        <f aca="false">SUM(J$97:J108)</f>
        <v>0</v>
      </c>
      <c r="N108" s="124" t="n">
        <f aca="false">SUM(J$6:J108)</f>
        <v>0</v>
      </c>
      <c r="P108" s="124" t="n">
        <f aca="false">D108/P$3</f>
        <v>0</v>
      </c>
      <c r="Q108" s="124" t="n">
        <f aca="false">E108/P$3</f>
        <v>0</v>
      </c>
      <c r="R108" s="124" t="n">
        <f aca="false">F108/R$3</f>
        <v>0</v>
      </c>
      <c r="S108" s="126" t="n">
        <f aca="false">J108/$R$3</f>
        <v>0</v>
      </c>
      <c r="T108" s="126" t="n">
        <f aca="false">L108/$R$3</f>
        <v>0</v>
      </c>
      <c r="U108" s="126" t="n">
        <f aca="false">I108/$R$3</f>
        <v>0</v>
      </c>
      <c r="V108" s="126" t="n">
        <f aca="false">M108/$R$3</f>
        <v>0</v>
      </c>
      <c r="W108" s="126" t="n">
        <f aca="false">N108/$R$3</f>
        <v>0</v>
      </c>
    </row>
    <row r="109" customFormat="false" ht="12.75" hidden="true" customHeight="false" outlineLevel="0" collapsed="false">
      <c r="A109" s="120" t="n">
        <f aca="false">A108+1</f>
        <v>36995</v>
      </c>
      <c r="B109" s="131" t="str">
        <f aca="false">INDEX('Master Data'!$A$2:$B$8,MATCH(WEEKDAY('BRA PWR Certificates'!A109,3),'Master Data'!$A$2:$A$8,0),2)</f>
        <v>Sa</v>
      </c>
      <c r="D109" s="124" t="n">
        <v>0</v>
      </c>
      <c r="E109" s="124" t="n">
        <v>0</v>
      </c>
      <c r="F109" s="124" t="n">
        <v>0</v>
      </c>
      <c r="G109" s="124" t="n">
        <v>0</v>
      </c>
      <c r="I109" s="124" t="n">
        <f aca="false">IF(MONTH($A109)=MONTH($A108),IF(G109=0,I108,G109),G109)</f>
        <v>0</v>
      </c>
      <c r="J109" s="124" t="n">
        <f aca="false">IF(MONTH($A109)=MONTH($A108),SUM(I109-I108),I109)</f>
        <v>0</v>
      </c>
      <c r="K109" s="124" t="n">
        <f aca="false">IF(WEEKDAY(A109,3)&gt;4,0,(IF(A109&lt;K$2,0,IF(A109&lt;=K$3,1,0))))</f>
        <v>0</v>
      </c>
      <c r="L109" s="124" t="n">
        <f aca="false">J109*K109</f>
        <v>0</v>
      </c>
      <c r="M109" s="124" t="n">
        <f aca="false">SUM(J$97:J109)</f>
        <v>0</v>
      </c>
      <c r="N109" s="124" t="n">
        <f aca="false">SUM(J$6:J109)</f>
        <v>0</v>
      </c>
      <c r="P109" s="124" t="n">
        <f aca="false">D109/P$3</f>
        <v>0</v>
      </c>
      <c r="Q109" s="124" t="n">
        <f aca="false">E109/P$3</f>
        <v>0</v>
      </c>
      <c r="R109" s="124" t="n">
        <f aca="false">F109/R$3</f>
        <v>0</v>
      </c>
      <c r="S109" s="126" t="n">
        <f aca="false">J109/$R$3</f>
        <v>0</v>
      </c>
      <c r="T109" s="126" t="n">
        <f aca="false">L109/$R$3</f>
        <v>0</v>
      </c>
      <c r="U109" s="126" t="n">
        <f aca="false">I109/$R$3</f>
        <v>0</v>
      </c>
      <c r="V109" s="126" t="n">
        <f aca="false">M109/$R$3</f>
        <v>0</v>
      </c>
      <c r="W109" s="126" t="n">
        <f aca="false">N109/$R$3</f>
        <v>0</v>
      </c>
    </row>
    <row r="110" customFormat="false" ht="12.75" hidden="true" customHeight="false" outlineLevel="0" collapsed="false">
      <c r="A110" s="120" t="n">
        <f aca="false">A109+1</f>
        <v>36996</v>
      </c>
      <c r="B110" s="131" t="str">
        <f aca="false">INDEX('Master Data'!$A$2:$B$8,MATCH(WEEKDAY('BRA PWR Certificates'!A110,3),'Master Data'!$A$2:$A$8,0),2)</f>
        <v>Su</v>
      </c>
      <c r="D110" s="124" t="n">
        <v>0</v>
      </c>
      <c r="E110" s="124" t="n">
        <v>0</v>
      </c>
      <c r="F110" s="124" t="n">
        <v>0</v>
      </c>
      <c r="G110" s="124" t="n">
        <v>0</v>
      </c>
      <c r="I110" s="124" t="n">
        <f aca="false">IF(MONTH($A110)=MONTH($A109),IF(G110=0,I109,G110),G110)</f>
        <v>0</v>
      </c>
      <c r="J110" s="124" t="n">
        <f aca="false">IF(MONTH($A110)=MONTH($A109),SUM(I110-I109),I110)</f>
        <v>0</v>
      </c>
      <c r="K110" s="124" t="n">
        <f aca="false">IF(WEEKDAY(A110,3)&gt;4,0,(IF(A110&lt;K$2,0,IF(A110&lt;=K$3,1,0))))</f>
        <v>0</v>
      </c>
      <c r="L110" s="124" t="n">
        <f aca="false">J110*K110</f>
        <v>0</v>
      </c>
      <c r="M110" s="124" t="n">
        <f aca="false">SUM(J$97:J110)</f>
        <v>0</v>
      </c>
      <c r="N110" s="124" t="n">
        <f aca="false">SUM(J$6:J110)</f>
        <v>0</v>
      </c>
      <c r="P110" s="124" t="n">
        <f aca="false">D110/P$3</f>
        <v>0</v>
      </c>
      <c r="Q110" s="124" t="n">
        <f aca="false">E110/P$3</f>
        <v>0</v>
      </c>
      <c r="R110" s="124" t="n">
        <f aca="false">F110/R$3</f>
        <v>0</v>
      </c>
      <c r="S110" s="126" t="n">
        <f aca="false">J110/$R$3</f>
        <v>0</v>
      </c>
      <c r="T110" s="126" t="n">
        <f aca="false">L110/$R$3</f>
        <v>0</v>
      </c>
      <c r="U110" s="126" t="n">
        <f aca="false">I110/$R$3</f>
        <v>0</v>
      </c>
      <c r="V110" s="126" t="n">
        <f aca="false">M110/$R$3</f>
        <v>0</v>
      </c>
      <c r="W110" s="126" t="n">
        <f aca="false">N110/$R$3</f>
        <v>0</v>
      </c>
    </row>
    <row r="111" customFormat="false" ht="12.75" hidden="true" customHeight="false" outlineLevel="0" collapsed="false">
      <c r="A111" s="120" t="n">
        <f aca="false">A110+1</f>
        <v>36997</v>
      </c>
      <c r="B111" s="131" t="str">
        <f aca="false">INDEX('Master Data'!$A$2:$B$8,MATCH(WEEKDAY('BRA PWR Certificates'!A111,3),'Master Data'!$A$2:$A$8,0),2)</f>
        <v>M</v>
      </c>
      <c r="D111" s="124" t="n">
        <v>0</v>
      </c>
      <c r="E111" s="124" t="n">
        <v>0</v>
      </c>
      <c r="F111" s="124" t="n">
        <v>0</v>
      </c>
      <c r="G111" s="124" t="n">
        <v>0</v>
      </c>
      <c r="I111" s="124" t="n">
        <f aca="false">IF(MONTH($A111)=MONTH($A110),IF(G111=0,I110,G111),G111)</f>
        <v>0</v>
      </c>
      <c r="J111" s="124" t="n">
        <f aca="false">IF(MONTH($A111)=MONTH($A110),SUM(I111-I110),I111)</f>
        <v>0</v>
      </c>
      <c r="K111" s="124" t="n">
        <f aca="false">IF(WEEKDAY(A111,3)&gt;4,0,(IF(A111&lt;K$2,0,IF(A111&lt;=K$3,1,0))))</f>
        <v>0</v>
      </c>
      <c r="L111" s="124" t="n">
        <f aca="false">J111*K111</f>
        <v>0</v>
      </c>
      <c r="M111" s="124" t="n">
        <f aca="false">SUM(J$97:J111)</f>
        <v>0</v>
      </c>
      <c r="N111" s="124" t="n">
        <f aca="false">SUM(J$6:J111)</f>
        <v>0</v>
      </c>
      <c r="P111" s="124" t="n">
        <f aca="false">D111/P$3</f>
        <v>0</v>
      </c>
      <c r="Q111" s="124" t="n">
        <f aca="false">E111/P$3</f>
        <v>0</v>
      </c>
      <c r="R111" s="124" t="n">
        <f aca="false">F111/R$3</f>
        <v>0</v>
      </c>
      <c r="S111" s="126" t="n">
        <f aca="false">J111/$R$3</f>
        <v>0</v>
      </c>
      <c r="T111" s="126" t="n">
        <f aca="false">L111/$R$3</f>
        <v>0</v>
      </c>
      <c r="U111" s="126" t="n">
        <f aca="false">I111/$R$3</f>
        <v>0</v>
      </c>
      <c r="V111" s="126" t="n">
        <f aca="false">M111/$R$3</f>
        <v>0</v>
      </c>
      <c r="W111" s="126" t="n">
        <f aca="false">N111/$R$3</f>
        <v>0</v>
      </c>
    </row>
    <row r="112" customFormat="false" ht="12.75" hidden="true" customHeight="false" outlineLevel="0" collapsed="false">
      <c r="A112" s="120" t="n">
        <f aca="false">A111+1</f>
        <v>36998</v>
      </c>
      <c r="B112" s="131" t="str">
        <f aca="false">INDEX('Master Data'!$A$2:$B$8,MATCH(WEEKDAY('BRA PWR Certificates'!A112,3),'Master Data'!$A$2:$A$8,0),2)</f>
        <v>T</v>
      </c>
      <c r="D112" s="124" t="n">
        <v>0</v>
      </c>
      <c r="E112" s="124" t="n">
        <v>0</v>
      </c>
      <c r="F112" s="124" t="n">
        <v>0</v>
      </c>
      <c r="G112" s="124" t="n">
        <v>0</v>
      </c>
      <c r="I112" s="124" t="n">
        <f aca="false">IF(MONTH($A112)=MONTH($A111),IF(G112=0,I111,G112),G112)</f>
        <v>0</v>
      </c>
      <c r="J112" s="124" t="n">
        <f aca="false">IF(MONTH($A112)=MONTH($A111),SUM(I112-I111),I112)</f>
        <v>0</v>
      </c>
      <c r="K112" s="124" t="n">
        <f aca="false">IF(WEEKDAY(A112,3)&gt;4,0,(IF(A112&lt;K$2,0,IF(A112&lt;=K$3,1,0))))</f>
        <v>0</v>
      </c>
      <c r="L112" s="124" t="n">
        <f aca="false">J112*K112</f>
        <v>0</v>
      </c>
      <c r="M112" s="124" t="n">
        <f aca="false">SUM(J$97:J112)</f>
        <v>0</v>
      </c>
      <c r="N112" s="124" t="n">
        <f aca="false">SUM(J$6:J112)</f>
        <v>0</v>
      </c>
      <c r="P112" s="124" t="n">
        <f aca="false">D112/P$3</f>
        <v>0</v>
      </c>
      <c r="Q112" s="124" t="n">
        <f aca="false">E112/P$3</f>
        <v>0</v>
      </c>
      <c r="R112" s="124" t="n">
        <f aca="false">F112/R$3</f>
        <v>0</v>
      </c>
      <c r="S112" s="126" t="n">
        <f aca="false">J112/$R$3</f>
        <v>0</v>
      </c>
      <c r="T112" s="126" t="n">
        <f aca="false">L112/$R$3</f>
        <v>0</v>
      </c>
      <c r="U112" s="126" t="n">
        <f aca="false">I112/$R$3</f>
        <v>0</v>
      </c>
      <c r="V112" s="126" t="n">
        <f aca="false">M112/$R$3</f>
        <v>0</v>
      </c>
      <c r="W112" s="126" t="n">
        <f aca="false">N112/$R$3</f>
        <v>0</v>
      </c>
    </row>
    <row r="113" customFormat="false" ht="12.75" hidden="true" customHeight="false" outlineLevel="0" collapsed="false">
      <c r="A113" s="120" t="n">
        <f aca="false">A112+1</f>
        <v>36999</v>
      </c>
      <c r="B113" s="131" t="str">
        <f aca="false">INDEX('Master Data'!$A$2:$B$8,MATCH(WEEKDAY('BRA PWR Certificates'!A113,3),'Master Data'!$A$2:$A$8,0),2)</f>
        <v>W</v>
      </c>
      <c r="D113" s="124" t="n">
        <v>0</v>
      </c>
      <c r="E113" s="124" t="n">
        <v>0</v>
      </c>
      <c r="F113" s="124" t="n">
        <v>0</v>
      </c>
      <c r="G113" s="124" t="n">
        <v>0</v>
      </c>
      <c r="I113" s="124" t="n">
        <f aca="false">IF(MONTH($A113)=MONTH($A112),IF(G113=0,I112,G113),G113)</f>
        <v>0</v>
      </c>
      <c r="J113" s="124" t="n">
        <f aca="false">IF(MONTH($A113)=MONTH($A112),SUM(I113-I112),I113)</f>
        <v>0</v>
      </c>
      <c r="K113" s="124" t="n">
        <f aca="false">IF(WEEKDAY(A113,3)&gt;4,0,(IF(A113&lt;K$2,0,IF(A113&lt;=K$3,1,0))))</f>
        <v>0</v>
      </c>
      <c r="L113" s="124" t="n">
        <f aca="false">J113*K113</f>
        <v>0</v>
      </c>
      <c r="M113" s="124" t="n">
        <f aca="false">SUM(J$97:J113)</f>
        <v>0</v>
      </c>
      <c r="N113" s="124" t="n">
        <f aca="false">SUM(J$6:J113)</f>
        <v>0</v>
      </c>
      <c r="P113" s="124" t="n">
        <f aca="false">D113/P$3</f>
        <v>0</v>
      </c>
      <c r="Q113" s="124" t="n">
        <f aca="false">E113/P$3</f>
        <v>0</v>
      </c>
      <c r="R113" s="124" t="n">
        <f aca="false">F113/R$3</f>
        <v>0</v>
      </c>
      <c r="S113" s="126" t="n">
        <f aca="false">J113/$R$3</f>
        <v>0</v>
      </c>
      <c r="T113" s="126" t="n">
        <f aca="false">L113/$R$3</f>
        <v>0</v>
      </c>
      <c r="U113" s="126" t="n">
        <f aca="false">I113/$R$3</f>
        <v>0</v>
      </c>
      <c r="V113" s="126" t="n">
        <f aca="false">M113/$R$3</f>
        <v>0</v>
      </c>
      <c r="W113" s="126" t="n">
        <f aca="false">N113/$R$3</f>
        <v>0</v>
      </c>
    </row>
    <row r="114" customFormat="false" ht="12.75" hidden="true" customHeight="false" outlineLevel="0" collapsed="false">
      <c r="A114" s="120" t="n">
        <f aca="false">A113+1</f>
        <v>37000</v>
      </c>
      <c r="B114" s="131" t="str">
        <f aca="false">INDEX('Master Data'!$A$2:$B$8,MATCH(WEEKDAY('BRA PWR Certificates'!A114,3),'Master Data'!$A$2:$A$8,0),2)</f>
        <v>Th</v>
      </c>
      <c r="D114" s="124" t="n">
        <v>0</v>
      </c>
      <c r="E114" s="124" t="n">
        <v>0</v>
      </c>
      <c r="F114" s="124" t="n">
        <v>0</v>
      </c>
      <c r="G114" s="124" t="n">
        <v>0</v>
      </c>
      <c r="I114" s="124" t="n">
        <f aca="false">IF(MONTH($A114)=MONTH($A113),IF(G114=0,I113,G114),G114)</f>
        <v>0</v>
      </c>
      <c r="J114" s="124" t="n">
        <f aca="false">IF(MONTH($A114)=MONTH($A113),SUM(I114-I113),I114)</f>
        <v>0</v>
      </c>
      <c r="K114" s="124" t="n">
        <f aca="false">IF(WEEKDAY(A114,3)&gt;4,0,(IF(A114&lt;K$2,0,IF(A114&lt;=K$3,1,0))))</f>
        <v>0</v>
      </c>
      <c r="L114" s="124" t="n">
        <f aca="false">J114*K114</f>
        <v>0</v>
      </c>
      <c r="M114" s="124" t="n">
        <f aca="false">SUM(J$97:J114)</f>
        <v>0</v>
      </c>
      <c r="N114" s="124" t="n">
        <f aca="false">SUM(J$6:J114)</f>
        <v>0</v>
      </c>
      <c r="P114" s="124" t="n">
        <f aca="false">D114/P$3</f>
        <v>0</v>
      </c>
      <c r="Q114" s="124" t="n">
        <f aca="false">E114/P$3</f>
        <v>0</v>
      </c>
      <c r="R114" s="124" t="n">
        <f aca="false">F114/R$3</f>
        <v>0</v>
      </c>
      <c r="S114" s="126" t="n">
        <f aca="false">J114/$R$3</f>
        <v>0</v>
      </c>
      <c r="T114" s="126" t="n">
        <f aca="false">L114/$R$3</f>
        <v>0</v>
      </c>
      <c r="U114" s="126" t="n">
        <f aca="false">I114/$R$3</f>
        <v>0</v>
      </c>
      <c r="V114" s="126" t="n">
        <f aca="false">M114/$R$3</f>
        <v>0</v>
      </c>
      <c r="W114" s="126" t="n">
        <f aca="false">N114/$R$3</f>
        <v>0</v>
      </c>
    </row>
    <row r="115" customFormat="false" ht="12.75" hidden="true" customHeight="false" outlineLevel="0" collapsed="false">
      <c r="A115" s="120" t="n">
        <f aca="false">A114+1</f>
        <v>37001</v>
      </c>
      <c r="B115" s="131" t="str">
        <f aca="false">INDEX('Master Data'!$A$2:$B$8,MATCH(WEEKDAY('BRA PWR Certificates'!A115,3),'Master Data'!$A$2:$A$8,0),2)</f>
        <v>F</v>
      </c>
      <c r="D115" s="124" t="n">
        <v>0</v>
      </c>
      <c r="E115" s="124" t="n">
        <v>0</v>
      </c>
      <c r="F115" s="124" t="n">
        <v>0</v>
      </c>
      <c r="G115" s="124" t="n">
        <v>0</v>
      </c>
      <c r="I115" s="124" t="n">
        <f aca="false">IF(MONTH($A115)=MONTH($A114),IF(G115=0,I114,G115),G115)</f>
        <v>0</v>
      </c>
      <c r="J115" s="124" t="n">
        <f aca="false">IF(MONTH($A115)=MONTH($A114),SUM(I115-I114),I115)</f>
        <v>0</v>
      </c>
      <c r="K115" s="124" t="n">
        <f aca="false">IF(WEEKDAY(A115,3)&gt;4,0,(IF(A115&lt;K$2,0,IF(A115&lt;=K$3,1,0))))</f>
        <v>0</v>
      </c>
      <c r="L115" s="124" t="n">
        <f aca="false">J115*K115</f>
        <v>0</v>
      </c>
      <c r="M115" s="124" t="n">
        <f aca="false">SUM(J$97:J115)</f>
        <v>0</v>
      </c>
      <c r="N115" s="124" t="n">
        <f aca="false">SUM(J$6:J115)</f>
        <v>0</v>
      </c>
      <c r="P115" s="124" t="n">
        <f aca="false">D115/P$3</f>
        <v>0</v>
      </c>
      <c r="Q115" s="124" t="n">
        <f aca="false">E115/P$3</f>
        <v>0</v>
      </c>
      <c r="R115" s="124" t="n">
        <f aca="false">F115/R$3</f>
        <v>0</v>
      </c>
      <c r="S115" s="126" t="n">
        <f aca="false">J115/$R$3</f>
        <v>0</v>
      </c>
      <c r="T115" s="126" t="n">
        <f aca="false">L115/$R$3</f>
        <v>0</v>
      </c>
      <c r="U115" s="126" t="n">
        <f aca="false">I115/$R$3</f>
        <v>0</v>
      </c>
      <c r="V115" s="126" t="n">
        <f aca="false">M115/$R$3</f>
        <v>0</v>
      </c>
      <c r="W115" s="126" t="n">
        <f aca="false">N115/$R$3</f>
        <v>0</v>
      </c>
    </row>
    <row r="116" customFormat="false" ht="12.75" hidden="true" customHeight="false" outlineLevel="0" collapsed="false">
      <c r="A116" s="120" t="n">
        <f aca="false">A115+1</f>
        <v>37002</v>
      </c>
      <c r="B116" s="131" t="str">
        <f aca="false">INDEX('Master Data'!$A$2:$B$8,MATCH(WEEKDAY('BRA PWR Certificates'!A116,3),'Master Data'!$A$2:$A$8,0),2)</f>
        <v>Sa</v>
      </c>
      <c r="D116" s="124" t="n">
        <v>0</v>
      </c>
      <c r="E116" s="124" t="n">
        <v>0</v>
      </c>
      <c r="F116" s="124" t="n">
        <v>0</v>
      </c>
      <c r="G116" s="124" t="n">
        <v>0</v>
      </c>
      <c r="I116" s="124" t="n">
        <f aca="false">IF(MONTH($A116)=MONTH($A115),IF(G116=0,I115,G116),G116)</f>
        <v>0</v>
      </c>
      <c r="J116" s="124" t="n">
        <f aca="false">IF(MONTH($A116)=MONTH($A115),SUM(I116-I115),I116)</f>
        <v>0</v>
      </c>
      <c r="K116" s="124" t="n">
        <f aca="false">IF(WEEKDAY(A116,3)&gt;4,0,(IF(A116&lt;K$2,0,IF(A116&lt;=K$3,1,0))))</f>
        <v>0</v>
      </c>
      <c r="L116" s="124" t="n">
        <f aca="false">J116*K116</f>
        <v>0</v>
      </c>
      <c r="M116" s="124" t="n">
        <f aca="false">SUM(J$97:J116)</f>
        <v>0</v>
      </c>
      <c r="N116" s="124" t="n">
        <f aca="false">SUM(J$6:J116)</f>
        <v>0</v>
      </c>
      <c r="P116" s="124" t="n">
        <f aca="false">D116/P$3</f>
        <v>0</v>
      </c>
      <c r="Q116" s="124" t="n">
        <f aca="false">E116/P$3</f>
        <v>0</v>
      </c>
      <c r="R116" s="124" t="n">
        <f aca="false">F116/R$3</f>
        <v>0</v>
      </c>
      <c r="S116" s="126" t="n">
        <f aca="false">J116/$R$3</f>
        <v>0</v>
      </c>
      <c r="T116" s="126" t="n">
        <f aca="false">L116/$R$3</f>
        <v>0</v>
      </c>
      <c r="U116" s="126" t="n">
        <f aca="false">I116/$R$3</f>
        <v>0</v>
      </c>
      <c r="V116" s="126" t="n">
        <f aca="false">M116/$R$3</f>
        <v>0</v>
      </c>
      <c r="W116" s="126" t="n">
        <f aca="false">N116/$R$3</f>
        <v>0</v>
      </c>
    </row>
    <row r="117" customFormat="false" ht="12.75" hidden="true" customHeight="false" outlineLevel="0" collapsed="false">
      <c r="A117" s="120" t="n">
        <f aca="false">A116+1</f>
        <v>37003</v>
      </c>
      <c r="B117" s="131" t="str">
        <f aca="false">INDEX('Master Data'!$A$2:$B$8,MATCH(WEEKDAY('BRA PWR Certificates'!A117,3),'Master Data'!$A$2:$A$8,0),2)</f>
        <v>Su</v>
      </c>
      <c r="D117" s="124" t="n">
        <v>0</v>
      </c>
      <c r="E117" s="124" t="n">
        <v>0</v>
      </c>
      <c r="F117" s="124" t="n">
        <v>0</v>
      </c>
      <c r="G117" s="124" t="n">
        <v>0</v>
      </c>
      <c r="I117" s="124" t="n">
        <f aca="false">IF(MONTH($A117)=MONTH($A116),IF(G117=0,I116,G117),G117)</f>
        <v>0</v>
      </c>
      <c r="J117" s="124" t="n">
        <f aca="false">IF(MONTH($A117)=MONTH($A116),SUM(I117-I116),I117)</f>
        <v>0</v>
      </c>
      <c r="K117" s="124" t="n">
        <f aca="false">IF(WEEKDAY(A117,3)&gt;4,0,(IF(A117&lt;K$2,0,IF(A117&lt;=K$3,1,0))))</f>
        <v>0</v>
      </c>
      <c r="L117" s="124" t="n">
        <f aca="false">J117*K117</f>
        <v>0</v>
      </c>
      <c r="M117" s="124" t="n">
        <f aca="false">SUM(J$97:J117)</f>
        <v>0</v>
      </c>
      <c r="N117" s="124" t="n">
        <f aca="false">SUM(J$6:J117)</f>
        <v>0</v>
      </c>
      <c r="P117" s="124" t="n">
        <f aca="false">D117/P$3</f>
        <v>0</v>
      </c>
      <c r="Q117" s="124" t="n">
        <f aca="false">E117/P$3</f>
        <v>0</v>
      </c>
      <c r="R117" s="124" t="n">
        <f aca="false">F117/R$3</f>
        <v>0</v>
      </c>
      <c r="S117" s="126" t="n">
        <f aca="false">J117/$R$3</f>
        <v>0</v>
      </c>
      <c r="T117" s="126" t="n">
        <f aca="false">L117/$R$3</f>
        <v>0</v>
      </c>
      <c r="U117" s="126" t="n">
        <f aca="false">I117/$R$3</f>
        <v>0</v>
      </c>
      <c r="V117" s="126" t="n">
        <f aca="false">M117/$R$3</f>
        <v>0</v>
      </c>
      <c r="W117" s="126" t="n">
        <f aca="false">N117/$R$3</f>
        <v>0</v>
      </c>
    </row>
    <row r="118" customFormat="false" ht="12.75" hidden="true" customHeight="false" outlineLevel="0" collapsed="false">
      <c r="A118" s="120" t="n">
        <f aca="false">A117+1</f>
        <v>37004</v>
      </c>
      <c r="B118" s="131" t="str">
        <f aca="false">INDEX('Master Data'!$A$2:$B$8,MATCH(WEEKDAY('BRA PWR Certificates'!A118,3),'Master Data'!$A$2:$A$8,0),2)</f>
        <v>M</v>
      </c>
      <c r="D118" s="124" t="n">
        <v>0</v>
      </c>
      <c r="E118" s="124" t="n">
        <v>0</v>
      </c>
      <c r="F118" s="124" t="n">
        <v>0</v>
      </c>
      <c r="G118" s="124" t="n">
        <v>0</v>
      </c>
      <c r="I118" s="124" t="n">
        <f aca="false">IF(MONTH($A118)=MONTH($A117),IF(G118=0,I117,G118),G118)</f>
        <v>0</v>
      </c>
      <c r="J118" s="124" t="n">
        <f aca="false">IF(MONTH($A118)=MONTH($A117),SUM(I118-I117),I118)</f>
        <v>0</v>
      </c>
      <c r="K118" s="124" t="n">
        <f aca="false">IF(WEEKDAY(A118,3)&gt;4,0,(IF(A118&lt;K$2,0,IF(A118&lt;=K$3,1,0))))</f>
        <v>0</v>
      </c>
      <c r="L118" s="124" t="n">
        <f aca="false">J118*K118</f>
        <v>0</v>
      </c>
      <c r="M118" s="124" t="n">
        <f aca="false">SUM(J$97:J118)</f>
        <v>0</v>
      </c>
      <c r="N118" s="124" t="n">
        <f aca="false">SUM(J$6:J118)</f>
        <v>0</v>
      </c>
      <c r="P118" s="124" t="n">
        <f aca="false">D118/P$3</f>
        <v>0</v>
      </c>
      <c r="Q118" s="124" t="n">
        <f aca="false">E118/P$3</f>
        <v>0</v>
      </c>
      <c r="R118" s="124" t="n">
        <f aca="false">F118/R$3</f>
        <v>0</v>
      </c>
      <c r="S118" s="126" t="n">
        <f aca="false">J118/$R$3</f>
        <v>0</v>
      </c>
      <c r="T118" s="126" t="n">
        <f aca="false">L118/$R$3</f>
        <v>0</v>
      </c>
      <c r="U118" s="126" t="n">
        <f aca="false">I118/$R$3</f>
        <v>0</v>
      </c>
      <c r="V118" s="126" t="n">
        <f aca="false">M118/$R$3</f>
        <v>0</v>
      </c>
      <c r="W118" s="126" t="n">
        <f aca="false">N118/$R$3</f>
        <v>0</v>
      </c>
    </row>
    <row r="119" customFormat="false" ht="12.75" hidden="true" customHeight="false" outlineLevel="0" collapsed="false">
      <c r="A119" s="120" t="n">
        <f aca="false">A118+1</f>
        <v>37005</v>
      </c>
      <c r="B119" s="131" t="str">
        <f aca="false">INDEX('Master Data'!$A$2:$B$8,MATCH(WEEKDAY('BRA PWR Certificates'!A119,3),'Master Data'!$A$2:$A$8,0),2)</f>
        <v>T</v>
      </c>
      <c r="D119" s="124" t="n">
        <v>0</v>
      </c>
      <c r="E119" s="124" t="n">
        <v>0</v>
      </c>
      <c r="F119" s="124" t="n">
        <v>0</v>
      </c>
      <c r="G119" s="124" t="n">
        <v>0</v>
      </c>
      <c r="I119" s="124" t="n">
        <f aca="false">IF(MONTH($A119)=MONTH($A118),IF(G119=0,I118,G119),G119)</f>
        <v>0</v>
      </c>
      <c r="J119" s="124" t="n">
        <f aca="false">IF(MONTH($A119)=MONTH($A118),SUM(I119-I118),I119)</f>
        <v>0</v>
      </c>
      <c r="K119" s="124" t="n">
        <f aca="false">IF(WEEKDAY(A119,3)&gt;4,0,(IF(A119&lt;K$2,0,IF(A119&lt;=K$3,1,0))))</f>
        <v>0</v>
      </c>
      <c r="L119" s="124" t="n">
        <f aca="false">J119*K119</f>
        <v>0</v>
      </c>
      <c r="M119" s="124" t="n">
        <f aca="false">SUM(J$97:J119)</f>
        <v>0</v>
      </c>
      <c r="N119" s="124" t="n">
        <f aca="false">SUM(J$6:J119)</f>
        <v>0</v>
      </c>
      <c r="P119" s="124" t="n">
        <f aca="false">D119/P$3</f>
        <v>0</v>
      </c>
      <c r="Q119" s="124" t="n">
        <f aca="false">E119/P$3</f>
        <v>0</v>
      </c>
      <c r="R119" s="124" t="n">
        <f aca="false">F119/R$3</f>
        <v>0</v>
      </c>
      <c r="S119" s="126" t="n">
        <f aca="false">J119/$R$3</f>
        <v>0</v>
      </c>
      <c r="T119" s="126" t="n">
        <f aca="false">L119/$R$3</f>
        <v>0</v>
      </c>
      <c r="U119" s="126" t="n">
        <f aca="false">I119/$R$3</f>
        <v>0</v>
      </c>
      <c r="V119" s="126" t="n">
        <f aca="false">M119/$R$3</f>
        <v>0</v>
      </c>
      <c r="W119" s="126" t="n">
        <f aca="false">N119/$R$3</f>
        <v>0</v>
      </c>
    </row>
    <row r="120" customFormat="false" ht="12.75" hidden="true" customHeight="false" outlineLevel="0" collapsed="false">
      <c r="A120" s="120" t="n">
        <f aca="false">A119+1</f>
        <v>37006</v>
      </c>
      <c r="B120" s="131" t="str">
        <f aca="false">INDEX('Master Data'!$A$2:$B$8,MATCH(WEEKDAY('BRA PWR Certificates'!A120,3),'Master Data'!$A$2:$A$8,0),2)</f>
        <v>W</v>
      </c>
      <c r="D120" s="124" t="n">
        <v>0</v>
      </c>
      <c r="E120" s="124" t="n">
        <v>0</v>
      </c>
      <c r="F120" s="124" t="n">
        <v>0</v>
      </c>
      <c r="G120" s="124" t="n">
        <v>0</v>
      </c>
      <c r="I120" s="124" t="n">
        <f aca="false">IF(MONTH($A120)=MONTH($A119),IF(G120=0,I119,G120),G120)</f>
        <v>0</v>
      </c>
      <c r="J120" s="124" t="n">
        <f aca="false">IF(MONTH($A120)=MONTH($A119),SUM(I120-I119),I120)</f>
        <v>0</v>
      </c>
      <c r="K120" s="124" t="n">
        <f aca="false">IF(WEEKDAY(A120,3)&gt;4,0,(IF(A120&lt;K$2,0,IF(A120&lt;=K$3,1,0))))</f>
        <v>0</v>
      </c>
      <c r="L120" s="124" t="n">
        <f aca="false">J120*K120</f>
        <v>0</v>
      </c>
      <c r="M120" s="124" t="n">
        <f aca="false">SUM(J$97:J120)</f>
        <v>0</v>
      </c>
      <c r="N120" s="124" t="n">
        <f aca="false">SUM(J$6:J120)</f>
        <v>0</v>
      </c>
      <c r="P120" s="124" t="n">
        <f aca="false">D120/P$3</f>
        <v>0</v>
      </c>
      <c r="Q120" s="124" t="n">
        <f aca="false">E120/P$3</f>
        <v>0</v>
      </c>
      <c r="R120" s="124" t="n">
        <f aca="false">F120/R$3</f>
        <v>0</v>
      </c>
      <c r="S120" s="126" t="n">
        <f aca="false">J120/$R$3</f>
        <v>0</v>
      </c>
      <c r="T120" s="126" t="n">
        <f aca="false">L120/$R$3</f>
        <v>0</v>
      </c>
      <c r="U120" s="126" t="n">
        <f aca="false">I120/$R$3</f>
        <v>0</v>
      </c>
      <c r="V120" s="126" t="n">
        <f aca="false">M120/$R$3</f>
        <v>0</v>
      </c>
      <c r="W120" s="126" t="n">
        <f aca="false">N120/$R$3</f>
        <v>0</v>
      </c>
    </row>
    <row r="121" customFormat="false" ht="12.75" hidden="true" customHeight="false" outlineLevel="0" collapsed="false">
      <c r="A121" s="120" t="n">
        <f aca="false">A120+1</f>
        <v>37007</v>
      </c>
      <c r="B121" s="131" t="str">
        <f aca="false">INDEX('Master Data'!$A$2:$B$8,MATCH(WEEKDAY('BRA PWR Certificates'!A121,3),'Master Data'!$A$2:$A$8,0),2)</f>
        <v>Th</v>
      </c>
      <c r="D121" s="124" t="n">
        <v>0</v>
      </c>
      <c r="E121" s="124" t="n">
        <v>0</v>
      </c>
      <c r="F121" s="124" t="n">
        <v>0</v>
      </c>
      <c r="G121" s="124" t="n">
        <v>0</v>
      </c>
      <c r="I121" s="124" t="n">
        <f aca="false">IF(MONTH($A121)=MONTH($A120),IF(G121=0,I120,G121),G121)</f>
        <v>0</v>
      </c>
      <c r="J121" s="124" t="n">
        <f aca="false">IF(MONTH($A121)=MONTH($A120),SUM(I121-I120),I121)</f>
        <v>0</v>
      </c>
      <c r="K121" s="124" t="n">
        <f aca="false">IF(WEEKDAY(A121,3)&gt;4,0,(IF(A121&lt;K$2,0,IF(A121&lt;=K$3,1,0))))</f>
        <v>0</v>
      </c>
      <c r="L121" s="124" t="n">
        <f aca="false">J121*K121</f>
        <v>0</v>
      </c>
      <c r="M121" s="124" t="n">
        <f aca="false">SUM(J$97:J121)</f>
        <v>0</v>
      </c>
      <c r="N121" s="124" t="n">
        <f aca="false">SUM(J$6:J121)</f>
        <v>0</v>
      </c>
      <c r="P121" s="124" t="n">
        <f aca="false">D121/P$3</f>
        <v>0</v>
      </c>
      <c r="Q121" s="124" t="n">
        <f aca="false">E121/P$3</f>
        <v>0</v>
      </c>
      <c r="R121" s="124" t="n">
        <f aca="false">F121/R$3</f>
        <v>0</v>
      </c>
      <c r="S121" s="126" t="n">
        <f aca="false">J121/$R$3</f>
        <v>0</v>
      </c>
      <c r="T121" s="126" t="n">
        <f aca="false">L121/$R$3</f>
        <v>0</v>
      </c>
      <c r="U121" s="126" t="n">
        <f aca="false">I121/$R$3</f>
        <v>0</v>
      </c>
      <c r="V121" s="126" t="n">
        <f aca="false">M121/$R$3</f>
        <v>0</v>
      </c>
      <c r="W121" s="126" t="n">
        <f aca="false">N121/$R$3</f>
        <v>0</v>
      </c>
    </row>
    <row r="122" customFormat="false" ht="12.75" hidden="true" customHeight="false" outlineLevel="0" collapsed="false">
      <c r="A122" s="120" t="n">
        <f aca="false">A121+1</f>
        <v>37008</v>
      </c>
      <c r="B122" s="131" t="str">
        <f aca="false">INDEX('Master Data'!$A$2:$B$8,MATCH(WEEKDAY('BRA PWR Certificates'!A122,3),'Master Data'!$A$2:$A$8,0),2)</f>
        <v>F</v>
      </c>
      <c r="D122" s="124" t="n">
        <v>0</v>
      </c>
      <c r="E122" s="124" t="n">
        <v>0</v>
      </c>
      <c r="F122" s="124" t="n">
        <v>0</v>
      </c>
      <c r="G122" s="124" t="n">
        <v>0</v>
      </c>
      <c r="I122" s="124" t="n">
        <f aca="false">IF(MONTH($A122)=MONTH($A121),IF(G122=0,I121,G122),G122)</f>
        <v>0</v>
      </c>
      <c r="J122" s="124" t="n">
        <f aca="false">IF(MONTH($A122)=MONTH($A121),SUM(I122-I121),I122)</f>
        <v>0</v>
      </c>
      <c r="K122" s="124" t="n">
        <f aca="false">IF(WEEKDAY(A122,3)&gt;4,0,(IF(A122&lt;K$2,0,IF(A122&lt;=K$3,1,0))))</f>
        <v>0</v>
      </c>
      <c r="L122" s="124" t="n">
        <f aca="false">J122*K122</f>
        <v>0</v>
      </c>
      <c r="M122" s="124" t="n">
        <f aca="false">SUM(J$97:J122)</f>
        <v>0</v>
      </c>
      <c r="N122" s="124" t="n">
        <f aca="false">SUM(J$6:J122)</f>
        <v>0</v>
      </c>
      <c r="P122" s="124" t="n">
        <f aca="false">D122/P$3</f>
        <v>0</v>
      </c>
      <c r="Q122" s="124" t="n">
        <f aca="false">E122/P$3</f>
        <v>0</v>
      </c>
      <c r="R122" s="124" t="n">
        <f aca="false">F122/R$3</f>
        <v>0</v>
      </c>
      <c r="S122" s="126" t="n">
        <f aca="false">J122/$R$3</f>
        <v>0</v>
      </c>
      <c r="T122" s="126" t="n">
        <f aca="false">L122/$R$3</f>
        <v>0</v>
      </c>
      <c r="U122" s="126" t="n">
        <f aca="false">I122/$R$3</f>
        <v>0</v>
      </c>
      <c r="V122" s="126" t="n">
        <f aca="false">M122/$R$3</f>
        <v>0</v>
      </c>
      <c r="W122" s="126" t="n">
        <f aca="false">N122/$R$3</f>
        <v>0</v>
      </c>
    </row>
    <row r="123" customFormat="false" ht="12.75" hidden="true" customHeight="false" outlineLevel="0" collapsed="false">
      <c r="A123" s="120" t="n">
        <f aca="false">A122+1</f>
        <v>37009</v>
      </c>
      <c r="B123" s="131" t="str">
        <f aca="false">INDEX('Master Data'!$A$2:$B$8,MATCH(WEEKDAY('BRA PWR Certificates'!A123,3),'Master Data'!$A$2:$A$8,0),2)</f>
        <v>Sa</v>
      </c>
      <c r="D123" s="124" t="n">
        <v>0</v>
      </c>
      <c r="E123" s="124" t="n">
        <v>0</v>
      </c>
      <c r="F123" s="124" t="n">
        <v>0</v>
      </c>
      <c r="G123" s="124" t="n">
        <v>0</v>
      </c>
      <c r="I123" s="124" t="n">
        <f aca="false">IF(MONTH($A123)=MONTH($A122),IF(G123=0,I122,G123),G123)</f>
        <v>0</v>
      </c>
      <c r="J123" s="124" t="n">
        <f aca="false">IF(MONTH($A123)=MONTH($A122),SUM(I123-I122),I123)</f>
        <v>0</v>
      </c>
      <c r="K123" s="124" t="n">
        <f aca="false">IF(WEEKDAY(A123,3)&gt;4,0,(IF(A123&lt;K$2,0,IF(A123&lt;=K$3,1,0))))</f>
        <v>0</v>
      </c>
      <c r="L123" s="124" t="n">
        <f aca="false">J123*K123</f>
        <v>0</v>
      </c>
      <c r="M123" s="124" t="n">
        <f aca="false">SUM(J$97:J123)</f>
        <v>0</v>
      </c>
      <c r="N123" s="124" t="n">
        <f aca="false">SUM(J$6:J123)</f>
        <v>0</v>
      </c>
      <c r="P123" s="124" t="n">
        <f aca="false">D123/P$3</f>
        <v>0</v>
      </c>
      <c r="Q123" s="124" t="n">
        <f aca="false">E123/P$3</f>
        <v>0</v>
      </c>
      <c r="R123" s="124" t="n">
        <f aca="false">F123/R$3</f>
        <v>0</v>
      </c>
      <c r="S123" s="126" t="n">
        <f aca="false">J123/$R$3</f>
        <v>0</v>
      </c>
      <c r="T123" s="126" t="n">
        <f aca="false">L123/$R$3</f>
        <v>0</v>
      </c>
      <c r="U123" s="126" t="n">
        <f aca="false">I123/$R$3</f>
        <v>0</v>
      </c>
      <c r="V123" s="126" t="n">
        <f aca="false">M123/$R$3</f>
        <v>0</v>
      </c>
      <c r="W123" s="126" t="n">
        <f aca="false">N123/$R$3</f>
        <v>0</v>
      </c>
    </row>
    <row r="124" customFormat="false" ht="12.75" hidden="true" customHeight="false" outlineLevel="0" collapsed="false">
      <c r="A124" s="120" t="n">
        <f aca="false">A123+1</f>
        <v>37010</v>
      </c>
      <c r="B124" s="131" t="str">
        <f aca="false">INDEX('Master Data'!$A$2:$B$8,MATCH(WEEKDAY('BRA PWR Certificates'!A124,3),'Master Data'!$A$2:$A$8,0),2)</f>
        <v>Su</v>
      </c>
      <c r="D124" s="124" t="n">
        <v>0</v>
      </c>
      <c r="E124" s="124" t="n">
        <v>0</v>
      </c>
      <c r="F124" s="124" t="n">
        <v>0</v>
      </c>
      <c r="G124" s="124" t="n">
        <v>0</v>
      </c>
      <c r="I124" s="124" t="n">
        <f aca="false">IF(MONTH($A124)=MONTH($A123),IF(G124=0,I123,G124),G124)</f>
        <v>0</v>
      </c>
      <c r="J124" s="124" t="n">
        <f aca="false">IF(MONTH($A124)=MONTH($A123),SUM(I124-I123),I124)</f>
        <v>0</v>
      </c>
      <c r="K124" s="124" t="n">
        <f aca="false">IF(WEEKDAY(A124,3)&gt;4,0,(IF(A124&lt;K$2,0,IF(A124&lt;=K$3,1,0))))</f>
        <v>0</v>
      </c>
      <c r="L124" s="124" t="n">
        <f aca="false">J124*K124</f>
        <v>0</v>
      </c>
      <c r="M124" s="124" t="n">
        <f aca="false">SUM(J$97:J124)</f>
        <v>0</v>
      </c>
      <c r="N124" s="124" t="n">
        <f aca="false">SUM(J$6:J124)</f>
        <v>0</v>
      </c>
      <c r="P124" s="124" t="n">
        <f aca="false">D124/P$3</f>
        <v>0</v>
      </c>
      <c r="Q124" s="124" t="n">
        <f aca="false">E124/P$3</f>
        <v>0</v>
      </c>
      <c r="R124" s="124" t="n">
        <f aca="false">F124/R$3</f>
        <v>0</v>
      </c>
      <c r="S124" s="126" t="n">
        <f aca="false">J124/$R$3</f>
        <v>0</v>
      </c>
      <c r="T124" s="126" t="n">
        <f aca="false">L124/$R$3</f>
        <v>0</v>
      </c>
      <c r="U124" s="126" t="n">
        <f aca="false">I124/$R$3</f>
        <v>0</v>
      </c>
      <c r="V124" s="126" t="n">
        <f aca="false">M124/$R$3</f>
        <v>0</v>
      </c>
      <c r="W124" s="126" t="n">
        <f aca="false">N124/$R$3</f>
        <v>0</v>
      </c>
    </row>
    <row r="125" customFormat="false" ht="12.75" hidden="true" customHeight="false" outlineLevel="0" collapsed="false">
      <c r="A125" s="120" t="n">
        <f aca="false">A124+1</f>
        <v>37011</v>
      </c>
      <c r="B125" s="131" t="str">
        <f aca="false">INDEX('Master Data'!$A$2:$B$8,MATCH(WEEKDAY('BRA PWR Certificates'!A125,3),'Master Data'!$A$2:$A$8,0),2)</f>
        <v>M</v>
      </c>
      <c r="D125" s="124" t="n">
        <v>0</v>
      </c>
      <c r="E125" s="124" t="n">
        <v>0</v>
      </c>
      <c r="F125" s="124" t="n">
        <v>0</v>
      </c>
      <c r="G125" s="124" t="n">
        <v>0</v>
      </c>
      <c r="I125" s="124" t="n">
        <f aca="false">IF(MONTH($A125)=MONTH($A124),IF(G125=0,I124,G125),G125)</f>
        <v>0</v>
      </c>
      <c r="J125" s="124" t="n">
        <f aca="false">IF(MONTH($A125)=MONTH($A124),SUM(I125-I124),I125)</f>
        <v>0</v>
      </c>
      <c r="K125" s="124" t="n">
        <f aca="false">IF(WEEKDAY(A125,3)&gt;4,0,(IF(A125&lt;K$2,0,IF(A125&lt;=K$3,1,0))))</f>
        <v>0</v>
      </c>
      <c r="L125" s="124" t="n">
        <f aca="false">J125*K125</f>
        <v>0</v>
      </c>
      <c r="M125" s="124" t="n">
        <f aca="false">SUM(J$97:J125)</f>
        <v>0</v>
      </c>
      <c r="N125" s="124" t="n">
        <f aca="false">SUM(J$6:J125)</f>
        <v>0</v>
      </c>
      <c r="P125" s="124" t="n">
        <f aca="false">D125/P$3</f>
        <v>0</v>
      </c>
      <c r="Q125" s="124" t="n">
        <f aca="false">E125/P$3</f>
        <v>0</v>
      </c>
      <c r="R125" s="124" t="n">
        <f aca="false">F125/R$3</f>
        <v>0</v>
      </c>
      <c r="S125" s="126" t="n">
        <f aca="false">J125/$R$3</f>
        <v>0</v>
      </c>
      <c r="T125" s="126" t="n">
        <f aca="false">L125/$R$3</f>
        <v>0</v>
      </c>
      <c r="U125" s="126" t="n">
        <f aca="false">I125/$R$3</f>
        <v>0</v>
      </c>
      <c r="V125" s="126" t="n">
        <f aca="false">M125/$R$3</f>
        <v>0</v>
      </c>
      <c r="W125" s="126" t="n">
        <f aca="false">N125/$R$3</f>
        <v>0</v>
      </c>
    </row>
    <row r="126" customFormat="false" ht="12.75" hidden="true" customHeight="false" outlineLevel="0" collapsed="false">
      <c r="A126" s="120" t="n">
        <f aca="false">A125+1</f>
        <v>37012</v>
      </c>
      <c r="B126" s="131" t="str">
        <f aca="false">INDEX('Master Data'!$A$2:$B$8,MATCH(WEEKDAY('BRA PWR Certificates'!A126,3),'Master Data'!$A$2:$A$8,0),2)</f>
        <v>T</v>
      </c>
      <c r="D126" s="124" t="n">
        <v>0</v>
      </c>
      <c r="E126" s="124" t="n">
        <v>0</v>
      </c>
      <c r="F126" s="124" t="n">
        <v>0</v>
      </c>
      <c r="G126" s="124" t="n">
        <v>0</v>
      </c>
      <c r="I126" s="124" t="n">
        <f aca="false">IF(MONTH($A126)=MONTH($A125),IF(G126=0,I125,G126),G126)</f>
        <v>0</v>
      </c>
      <c r="J126" s="124" t="n">
        <f aca="false">IF(MONTH($A126)=MONTH($A125),SUM(I126-I125),I126)</f>
        <v>0</v>
      </c>
      <c r="K126" s="124" t="n">
        <f aca="false">IF(WEEKDAY(A126,3)&gt;4,0,(IF(A126&lt;K$2,0,IF(A126&lt;=K$3,1,0))))</f>
        <v>0</v>
      </c>
      <c r="L126" s="124" t="n">
        <f aca="false">J126*K126</f>
        <v>0</v>
      </c>
      <c r="M126" s="124" t="n">
        <f aca="false">SUM(J$97:J126)</f>
        <v>0</v>
      </c>
      <c r="N126" s="124" t="n">
        <f aca="false">SUM(J$6:J126)</f>
        <v>0</v>
      </c>
      <c r="P126" s="124" t="n">
        <f aca="false">D126/P$3</f>
        <v>0</v>
      </c>
      <c r="Q126" s="124" t="n">
        <f aca="false">E126/P$3</f>
        <v>0</v>
      </c>
      <c r="R126" s="124" t="n">
        <f aca="false">F126/R$3</f>
        <v>0</v>
      </c>
      <c r="S126" s="126" t="n">
        <f aca="false">J126/$R$3</f>
        <v>0</v>
      </c>
      <c r="T126" s="126" t="n">
        <f aca="false">L126/$R$3</f>
        <v>0</v>
      </c>
      <c r="U126" s="126" t="n">
        <f aca="false">I126/$R$3</f>
        <v>0</v>
      </c>
      <c r="V126" s="126" t="n">
        <f aca="false">M126/$R$3</f>
        <v>0</v>
      </c>
      <c r="W126" s="126" t="n">
        <f aca="false">N126/$R$3</f>
        <v>0</v>
      </c>
    </row>
    <row r="127" customFormat="false" ht="12.75" hidden="true" customHeight="false" outlineLevel="0" collapsed="false">
      <c r="A127" s="120" t="n">
        <f aca="false">A126+1</f>
        <v>37013</v>
      </c>
      <c r="B127" s="131" t="str">
        <f aca="false">INDEX('Master Data'!$A$2:$B$8,MATCH(WEEKDAY('BRA PWR Certificates'!A127,3),'Master Data'!$A$2:$A$8,0),2)</f>
        <v>W</v>
      </c>
      <c r="D127" s="124" t="n">
        <v>0</v>
      </c>
      <c r="E127" s="124" t="n">
        <v>0</v>
      </c>
      <c r="F127" s="124" t="n">
        <v>0</v>
      </c>
      <c r="G127" s="124" t="n">
        <v>0</v>
      </c>
      <c r="I127" s="124" t="n">
        <f aca="false">IF(MONTH($A127)=MONTH($A126),IF(G127=0,I126,G127),G127)</f>
        <v>0</v>
      </c>
      <c r="J127" s="124" t="n">
        <f aca="false">IF(MONTH($A127)=MONTH($A126),SUM(I127-I126),I127)</f>
        <v>0</v>
      </c>
      <c r="K127" s="124" t="n">
        <f aca="false">IF(WEEKDAY(A127,3)&gt;4,0,(IF(A127&lt;K$2,0,IF(A127&lt;=K$3,1,0))))</f>
        <v>0</v>
      </c>
      <c r="L127" s="124" t="n">
        <f aca="false">J127*K127</f>
        <v>0</v>
      </c>
      <c r="M127" s="124" t="n">
        <f aca="false">SUM(J$97:J127)</f>
        <v>0</v>
      </c>
      <c r="N127" s="124" t="n">
        <f aca="false">SUM(J$6:J127)</f>
        <v>0</v>
      </c>
      <c r="P127" s="124" t="n">
        <f aca="false">D127/P$3</f>
        <v>0</v>
      </c>
      <c r="Q127" s="124" t="n">
        <f aca="false">E127/P$3</f>
        <v>0</v>
      </c>
      <c r="R127" s="124" t="n">
        <f aca="false">F127/R$3</f>
        <v>0</v>
      </c>
      <c r="S127" s="126" t="n">
        <f aca="false">J127/$R$3</f>
        <v>0</v>
      </c>
      <c r="T127" s="126" t="n">
        <f aca="false">L127/$R$3</f>
        <v>0</v>
      </c>
      <c r="U127" s="126" t="n">
        <f aca="false">I127/$R$3</f>
        <v>0</v>
      </c>
      <c r="V127" s="126" t="n">
        <f aca="false">M127/$R$3</f>
        <v>0</v>
      </c>
      <c r="W127" s="126" t="n">
        <f aca="false">N127/$R$3</f>
        <v>0</v>
      </c>
    </row>
    <row r="128" customFormat="false" ht="12.75" hidden="true" customHeight="false" outlineLevel="0" collapsed="false">
      <c r="A128" s="120" t="n">
        <f aca="false">A127+1</f>
        <v>37014</v>
      </c>
      <c r="B128" s="131" t="str">
        <f aca="false">INDEX('Master Data'!$A$2:$B$8,MATCH(WEEKDAY('BRA PWR Certificates'!A128,3),'Master Data'!$A$2:$A$8,0),2)</f>
        <v>Th</v>
      </c>
      <c r="D128" s="124" t="n">
        <v>0</v>
      </c>
      <c r="E128" s="124" t="n">
        <v>0</v>
      </c>
      <c r="F128" s="124" t="n">
        <v>0</v>
      </c>
      <c r="G128" s="124" t="n">
        <v>0</v>
      </c>
      <c r="I128" s="124" t="n">
        <f aca="false">IF(MONTH($A128)=MONTH($A127),IF(G128=0,I127,G128),G128)</f>
        <v>0</v>
      </c>
      <c r="J128" s="124" t="n">
        <f aca="false">IF(MONTH($A128)=MONTH($A127),SUM(I128-I127),I128)</f>
        <v>0</v>
      </c>
      <c r="K128" s="124" t="n">
        <f aca="false">IF(WEEKDAY(A128,3)&gt;4,0,(IF(A128&lt;K$2,0,IF(A128&lt;=K$3,1,0))))</f>
        <v>0</v>
      </c>
      <c r="L128" s="124" t="n">
        <f aca="false">J128*K128</f>
        <v>0</v>
      </c>
      <c r="M128" s="124" t="n">
        <f aca="false">SUM(J$97:J128)</f>
        <v>0</v>
      </c>
      <c r="N128" s="124" t="n">
        <f aca="false">SUM(J$6:J128)</f>
        <v>0</v>
      </c>
      <c r="P128" s="124" t="n">
        <f aca="false">D128/P$3</f>
        <v>0</v>
      </c>
      <c r="Q128" s="124" t="n">
        <f aca="false">E128/P$3</f>
        <v>0</v>
      </c>
      <c r="R128" s="124" t="n">
        <f aca="false">F128/R$3</f>
        <v>0</v>
      </c>
      <c r="S128" s="126" t="n">
        <f aca="false">J128/$R$3</f>
        <v>0</v>
      </c>
      <c r="T128" s="126" t="n">
        <f aca="false">L128/$R$3</f>
        <v>0</v>
      </c>
      <c r="U128" s="126" t="n">
        <f aca="false">I128/$R$3</f>
        <v>0</v>
      </c>
      <c r="V128" s="126" t="n">
        <f aca="false">M128/$R$3</f>
        <v>0</v>
      </c>
      <c r="W128" s="126" t="n">
        <f aca="false">N128/$R$3</f>
        <v>0</v>
      </c>
    </row>
    <row r="129" customFormat="false" ht="12.75" hidden="true" customHeight="false" outlineLevel="0" collapsed="false">
      <c r="A129" s="120" t="n">
        <f aca="false">A128+1</f>
        <v>37015</v>
      </c>
      <c r="B129" s="131" t="str">
        <f aca="false">INDEX('Master Data'!$A$2:$B$8,MATCH(WEEKDAY('BRA PWR Certificates'!A129,3),'Master Data'!$A$2:$A$8,0),2)</f>
        <v>F</v>
      </c>
      <c r="D129" s="124" t="n">
        <v>0</v>
      </c>
      <c r="E129" s="124" t="n">
        <v>0</v>
      </c>
      <c r="F129" s="124" t="n">
        <v>0</v>
      </c>
      <c r="G129" s="124" t="n">
        <v>0</v>
      </c>
      <c r="I129" s="124" t="n">
        <f aca="false">IF(MONTH($A129)=MONTH($A128),IF(G129=0,I128,G129),G129)</f>
        <v>0</v>
      </c>
      <c r="J129" s="124" t="n">
        <f aca="false">IF(MONTH($A129)=MONTH($A128),SUM(I129-I128),I129)</f>
        <v>0</v>
      </c>
      <c r="K129" s="124" t="n">
        <f aca="false">IF(WEEKDAY(A129,3)&gt;4,0,(IF(A129&lt;K$2,0,IF(A129&lt;=K$3,1,0))))</f>
        <v>0</v>
      </c>
      <c r="L129" s="124" t="n">
        <f aca="false">J129*K129</f>
        <v>0</v>
      </c>
      <c r="M129" s="124" t="n">
        <f aca="false">SUM(J$97:J129)</f>
        <v>0</v>
      </c>
      <c r="N129" s="124" t="n">
        <f aca="false">SUM(J$6:J129)</f>
        <v>0</v>
      </c>
      <c r="P129" s="124" t="n">
        <f aca="false">D129/P$3</f>
        <v>0</v>
      </c>
      <c r="Q129" s="124" t="n">
        <f aca="false">E129/P$3</f>
        <v>0</v>
      </c>
      <c r="R129" s="124" t="n">
        <f aca="false">F129/R$3</f>
        <v>0</v>
      </c>
      <c r="S129" s="126" t="n">
        <f aca="false">J129/$R$3</f>
        <v>0</v>
      </c>
      <c r="T129" s="126" t="n">
        <f aca="false">L129/$R$3</f>
        <v>0</v>
      </c>
      <c r="U129" s="126" t="n">
        <f aca="false">I129/$R$3</f>
        <v>0</v>
      </c>
      <c r="V129" s="126" t="n">
        <f aca="false">M129/$R$3</f>
        <v>0</v>
      </c>
      <c r="W129" s="126" t="n">
        <f aca="false">N129/$R$3</f>
        <v>0</v>
      </c>
    </row>
    <row r="130" customFormat="false" ht="12.75" hidden="true" customHeight="false" outlineLevel="0" collapsed="false">
      <c r="A130" s="120" t="n">
        <f aca="false">A129+1</f>
        <v>37016</v>
      </c>
      <c r="B130" s="131" t="str">
        <f aca="false">INDEX('Master Data'!$A$2:$B$8,MATCH(WEEKDAY('BRA PWR Certificates'!A130,3),'Master Data'!$A$2:$A$8,0),2)</f>
        <v>Sa</v>
      </c>
      <c r="D130" s="124" t="n">
        <v>0</v>
      </c>
      <c r="E130" s="124" t="n">
        <v>0</v>
      </c>
      <c r="F130" s="124" t="n">
        <v>0</v>
      </c>
      <c r="G130" s="124" t="n">
        <v>0</v>
      </c>
      <c r="I130" s="124" t="n">
        <f aca="false">IF(MONTH($A130)=MONTH($A129),IF(G130=0,I129,G130),G130)</f>
        <v>0</v>
      </c>
      <c r="J130" s="124" t="n">
        <f aca="false">IF(MONTH($A130)=MONTH($A129),SUM(I130-I129),I130)</f>
        <v>0</v>
      </c>
      <c r="K130" s="124" t="n">
        <f aca="false">IF(WEEKDAY(A130,3)&gt;4,0,(IF(A130&lt;K$2,0,IF(A130&lt;=K$3,1,0))))</f>
        <v>0</v>
      </c>
      <c r="L130" s="124" t="n">
        <f aca="false">J130*K130</f>
        <v>0</v>
      </c>
      <c r="M130" s="124" t="n">
        <f aca="false">SUM(J$97:J130)</f>
        <v>0</v>
      </c>
      <c r="N130" s="124" t="n">
        <f aca="false">SUM(J$6:J130)</f>
        <v>0</v>
      </c>
      <c r="P130" s="124" t="n">
        <f aca="false">D130/P$3</f>
        <v>0</v>
      </c>
      <c r="Q130" s="124" t="n">
        <f aca="false">E130/P$3</f>
        <v>0</v>
      </c>
      <c r="R130" s="124" t="n">
        <f aca="false">F130/R$3</f>
        <v>0</v>
      </c>
      <c r="S130" s="126" t="n">
        <f aca="false">J130/$R$3</f>
        <v>0</v>
      </c>
      <c r="T130" s="126" t="n">
        <f aca="false">L130/$R$3</f>
        <v>0</v>
      </c>
      <c r="U130" s="126" t="n">
        <f aca="false">I130/$R$3</f>
        <v>0</v>
      </c>
      <c r="V130" s="126" t="n">
        <f aca="false">M130/$R$3</f>
        <v>0</v>
      </c>
      <c r="W130" s="126" t="n">
        <f aca="false">N130/$R$3</f>
        <v>0</v>
      </c>
    </row>
    <row r="131" customFormat="false" ht="12.75" hidden="true" customHeight="false" outlineLevel="0" collapsed="false">
      <c r="A131" s="120" t="n">
        <f aca="false">A130+1</f>
        <v>37017</v>
      </c>
      <c r="B131" s="131" t="str">
        <f aca="false">INDEX('Master Data'!$A$2:$B$8,MATCH(WEEKDAY('BRA PWR Certificates'!A131,3),'Master Data'!$A$2:$A$8,0),2)</f>
        <v>Su</v>
      </c>
      <c r="D131" s="124" t="n">
        <v>0</v>
      </c>
      <c r="E131" s="124" t="n">
        <v>0</v>
      </c>
      <c r="F131" s="124" t="n">
        <v>0</v>
      </c>
      <c r="G131" s="124" t="n">
        <v>0</v>
      </c>
      <c r="I131" s="124" t="n">
        <f aca="false">IF(MONTH($A131)=MONTH($A130),IF(G131=0,I130,G131),G131)</f>
        <v>0</v>
      </c>
      <c r="J131" s="124" t="n">
        <f aca="false">IF(MONTH($A131)=MONTH($A130),SUM(I131-I130),I131)</f>
        <v>0</v>
      </c>
      <c r="K131" s="124" t="n">
        <f aca="false">IF(WEEKDAY(A131,3)&gt;4,0,(IF(A131&lt;K$2,0,IF(A131&lt;=K$3,1,0))))</f>
        <v>0</v>
      </c>
      <c r="L131" s="124" t="n">
        <f aca="false">J131*K131</f>
        <v>0</v>
      </c>
      <c r="M131" s="124" t="n">
        <f aca="false">SUM(J$97:J131)</f>
        <v>0</v>
      </c>
      <c r="N131" s="124" t="n">
        <f aca="false">SUM(J$6:J131)</f>
        <v>0</v>
      </c>
      <c r="P131" s="124" t="n">
        <f aca="false">D131/P$3</f>
        <v>0</v>
      </c>
      <c r="Q131" s="124" t="n">
        <f aca="false">E131/P$3</f>
        <v>0</v>
      </c>
      <c r="R131" s="124" t="n">
        <f aca="false">F131/R$3</f>
        <v>0</v>
      </c>
      <c r="S131" s="126" t="n">
        <f aca="false">J131/$R$3</f>
        <v>0</v>
      </c>
      <c r="T131" s="126" t="n">
        <f aca="false">L131/$R$3</f>
        <v>0</v>
      </c>
      <c r="U131" s="126" t="n">
        <f aca="false">I131/$R$3</f>
        <v>0</v>
      </c>
      <c r="V131" s="126" t="n">
        <f aca="false">M131/$R$3</f>
        <v>0</v>
      </c>
      <c r="W131" s="126" t="n">
        <f aca="false">N131/$R$3</f>
        <v>0</v>
      </c>
    </row>
    <row r="132" customFormat="false" ht="12.75" hidden="true" customHeight="false" outlineLevel="0" collapsed="false">
      <c r="A132" s="120" t="n">
        <f aca="false">A131+1</f>
        <v>37018</v>
      </c>
      <c r="B132" s="131" t="str">
        <f aca="false">INDEX('Master Data'!$A$2:$B$8,MATCH(WEEKDAY('BRA PWR Certificates'!A132,3),'Master Data'!$A$2:$A$8,0),2)</f>
        <v>M</v>
      </c>
      <c r="D132" s="124" t="n">
        <v>0</v>
      </c>
      <c r="E132" s="124" t="n">
        <v>0</v>
      </c>
      <c r="F132" s="124" t="n">
        <v>0</v>
      </c>
      <c r="G132" s="124" t="n">
        <v>0</v>
      </c>
      <c r="I132" s="124" t="n">
        <f aca="false">IF(MONTH($A132)=MONTH($A131),IF(G132=0,I131,G132),G132)</f>
        <v>0</v>
      </c>
      <c r="J132" s="124" t="n">
        <f aca="false">IF(MONTH($A132)=MONTH($A131),SUM(I132-I131),I132)</f>
        <v>0</v>
      </c>
      <c r="K132" s="124" t="n">
        <f aca="false">IF(WEEKDAY(A132,3)&gt;4,0,(IF(A132&lt;K$2,0,IF(A132&lt;=K$3,1,0))))</f>
        <v>0</v>
      </c>
      <c r="L132" s="124" t="n">
        <f aca="false">J132*K132</f>
        <v>0</v>
      </c>
      <c r="M132" s="124" t="n">
        <f aca="false">SUM(J$97:J132)</f>
        <v>0</v>
      </c>
      <c r="N132" s="124" t="n">
        <f aca="false">SUM(J$6:J132)</f>
        <v>0</v>
      </c>
      <c r="P132" s="124" t="n">
        <f aca="false">D132/P$3</f>
        <v>0</v>
      </c>
      <c r="Q132" s="124" t="n">
        <f aca="false">E132/P$3</f>
        <v>0</v>
      </c>
      <c r="R132" s="124" t="n">
        <f aca="false">F132/R$3</f>
        <v>0</v>
      </c>
      <c r="S132" s="126" t="n">
        <f aca="false">J132/$R$3</f>
        <v>0</v>
      </c>
      <c r="T132" s="126" t="n">
        <f aca="false">L132/$R$3</f>
        <v>0</v>
      </c>
      <c r="U132" s="126" t="n">
        <f aca="false">I132/$R$3</f>
        <v>0</v>
      </c>
      <c r="V132" s="126" t="n">
        <f aca="false">M132/$R$3</f>
        <v>0</v>
      </c>
      <c r="W132" s="126" t="n">
        <f aca="false">N132/$R$3</f>
        <v>0</v>
      </c>
    </row>
    <row r="133" customFormat="false" ht="12.75" hidden="true" customHeight="false" outlineLevel="0" collapsed="false">
      <c r="A133" s="120" t="n">
        <f aca="false">A132+1</f>
        <v>37019</v>
      </c>
      <c r="B133" s="131" t="str">
        <f aca="false">INDEX('Master Data'!$A$2:$B$8,MATCH(WEEKDAY('BRA PWR Certificates'!A133,3),'Master Data'!$A$2:$A$8,0),2)</f>
        <v>T</v>
      </c>
      <c r="D133" s="124" t="n">
        <v>0</v>
      </c>
      <c r="E133" s="124" t="n">
        <v>0</v>
      </c>
      <c r="F133" s="124" t="n">
        <v>0</v>
      </c>
      <c r="G133" s="124" t="n">
        <v>0</v>
      </c>
      <c r="I133" s="124" t="n">
        <f aca="false">IF(MONTH($A133)=MONTH($A132),IF(G133=0,I132,G133),G133)</f>
        <v>0</v>
      </c>
      <c r="J133" s="124" t="n">
        <f aca="false">IF(MONTH($A133)=MONTH($A132),SUM(I133-I132),I133)</f>
        <v>0</v>
      </c>
      <c r="K133" s="124" t="n">
        <f aca="false">IF(WEEKDAY(A133,3)&gt;4,0,(IF(A133&lt;K$2,0,IF(A133&lt;=K$3,1,0))))</f>
        <v>0</v>
      </c>
      <c r="L133" s="124" t="n">
        <f aca="false">J133*K133</f>
        <v>0</v>
      </c>
      <c r="M133" s="124" t="n">
        <f aca="false">SUM(J$97:J133)</f>
        <v>0</v>
      </c>
      <c r="N133" s="124" t="n">
        <f aca="false">SUM(J$6:J133)</f>
        <v>0</v>
      </c>
      <c r="P133" s="124" t="n">
        <f aca="false">D133/P$3</f>
        <v>0</v>
      </c>
      <c r="Q133" s="124" t="n">
        <f aca="false">E133/P$3</f>
        <v>0</v>
      </c>
      <c r="R133" s="124" t="n">
        <f aca="false">F133/R$3</f>
        <v>0</v>
      </c>
      <c r="S133" s="126" t="n">
        <f aca="false">J133/$R$3</f>
        <v>0</v>
      </c>
      <c r="T133" s="126" t="n">
        <f aca="false">L133/$R$3</f>
        <v>0</v>
      </c>
      <c r="U133" s="126" t="n">
        <f aca="false">I133/$R$3</f>
        <v>0</v>
      </c>
      <c r="V133" s="126" t="n">
        <f aca="false">M133/$R$3</f>
        <v>0</v>
      </c>
      <c r="W133" s="126" t="n">
        <f aca="false">N133/$R$3</f>
        <v>0</v>
      </c>
    </row>
    <row r="134" customFormat="false" ht="12.75" hidden="true" customHeight="false" outlineLevel="0" collapsed="false">
      <c r="A134" s="120" t="n">
        <f aca="false">A133+1</f>
        <v>37020</v>
      </c>
      <c r="B134" s="131" t="str">
        <f aca="false">INDEX('Master Data'!$A$2:$B$8,MATCH(WEEKDAY('BRA PWR Certificates'!A134,3),'Master Data'!$A$2:$A$8,0),2)</f>
        <v>W</v>
      </c>
      <c r="D134" s="124" t="n">
        <v>0</v>
      </c>
      <c r="E134" s="124" t="n">
        <v>0</v>
      </c>
      <c r="F134" s="124" t="n">
        <v>0</v>
      </c>
      <c r="G134" s="124" t="n">
        <v>0</v>
      </c>
      <c r="I134" s="124" t="n">
        <f aca="false">IF(MONTH($A134)=MONTH($A133),IF(G134=0,I133,G134),G134)</f>
        <v>0</v>
      </c>
      <c r="J134" s="124" t="n">
        <f aca="false">IF(MONTH($A134)=MONTH($A133),SUM(I134-I133),I134)</f>
        <v>0</v>
      </c>
      <c r="K134" s="124" t="n">
        <f aca="false">IF(WEEKDAY(A134,3)&gt;4,0,(IF(A134&lt;K$2,0,IF(A134&lt;=K$3,1,0))))</f>
        <v>0</v>
      </c>
      <c r="L134" s="124" t="n">
        <f aca="false">J134*K134</f>
        <v>0</v>
      </c>
      <c r="M134" s="124" t="n">
        <f aca="false">SUM(J$97:J134)</f>
        <v>0</v>
      </c>
      <c r="N134" s="124" t="n">
        <f aca="false">SUM(J$6:J134)</f>
        <v>0</v>
      </c>
      <c r="P134" s="124" t="n">
        <f aca="false">D134/P$3</f>
        <v>0</v>
      </c>
      <c r="Q134" s="124" t="n">
        <f aca="false">E134/P$3</f>
        <v>0</v>
      </c>
      <c r="R134" s="124" t="n">
        <f aca="false">F134/R$3</f>
        <v>0</v>
      </c>
      <c r="S134" s="126" t="n">
        <f aca="false">J134/$R$3</f>
        <v>0</v>
      </c>
      <c r="T134" s="126" t="n">
        <f aca="false">L134/$R$3</f>
        <v>0</v>
      </c>
      <c r="U134" s="126" t="n">
        <f aca="false">I134/$R$3</f>
        <v>0</v>
      </c>
      <c r="V134" s="126" t="n">
        <f aca="false">M134/$R$3</f>
        <v>0</v>
      </c>
      <c r="W134" s="126" t="n">
        <f aca="false">N134/$R$3</f>
        <v>0</v>
      </c>
    </row>
    <row r="135" customFormat="false" ht="12.75" hidden="true" customHeight="false" outlineLevel="0" collapsed="false">
      <c r="A135" s="120" t="n">
        <f aca="false">A134+1</f>
        <v>37021</v>
      </c>
      <c r="B135" s="131" t="str">
        <f aca="false">INDEX('Master Data'!$A$2:$B$8,MATCH(WEEKDAY('BRA PWR Certificates'!A135,3),'Master Data'!$A$2:$A$8,0),2)</f>
        <v>Th</v>
      </c>
      <c r="D135" s="124" t="n">
        <v>0</v>
      </c>
      <c r="E135" s="124" t="n">
        <v>0</v>
      </c>
      <c r="F135" s="124" t="n">
        <v>0</v>
      </c>
      <c r="G135" s="124" t="n">
        <v>0</v>
      </c>
      <c r="I135" s="124" t="n">
        <f aca="false">IF(MONTH($A135)=MONTH($A134),IF(G135=0,I134,G135),G135)</f>
        <v>0</v>
      </c>
      <c r="J135" s="124" t="n">
        <f aca="false">IF(MONTH($A135)=MONTH($A134),SUM(I135-I134),I135)</f>
        <v>0</v>
      </c>
      <c r="K135" s="124" t="n">
        <f aca="false">IF(WEEKDAY(A135,3)&gt;4,0,(IF(A135&lt;K$2,0,IF(A135&lt;=K$3,1,0))))</f>
        <v>0</v>
      </c>
      <c r="L135" s="124" t="n">
        <f aca="false">J135*K135</f>
        <v>0</v>
      </c>
      <c r="M135" s="124" t="n">
        <f aca="false">SUM(J$97:J135)</f>
        <v>0</v>
      </c>
      <c r="N135" s="124" t="n">
        <f aca="false">SUM(J$6:J135)</f>
        <v>0</v>
      </c>
      <c r="P135" s="124" t="n">
        <f aca="false">D135/P$3</f>
        <v>0</v>
      </c>
      <c r="Q135" s="124" t="n">
        <f aca="false">E135/P$3</f>
        <v>0</v>
      </c>
      <c r="R135" s="124" t="n">
        <f aca="false">F135/R$3</f>
        <v>0</v>
      </c>
      <c r="S135" s="126" t="n">
        <f aca="false">J135/$R$3</f>
        <v>0</v>
      </c>
      <c r="T135" s="126" t="n">
        <f aca="false">L135/$R$3</f>
        <v>0</v>
      </c>
      <c r="U135" s="126" t="n">
        <f aca="false">I135/$R$3</f>
        <v>0</v>
      </c>
      <c r="V135" s="126" t="n">
        <f aca="false">M135/$R$3</f>
        <v>0</v>
      </c>
      <c r="W135" s="126" t="n">
        <f aca="false">N135/$R$3</f>
        <v>0</v>
      </c>
    </row>
    <row r="136" customFormat="false" ht="12.75" hidden="true" customHeight="false" outlineLevel="0" collapsed="false">
      <c r="A136" s="120" t="n">
        <f aca="false">A135+1</f>
        <v>37022</v>
      </c>
      <c r="B136" s="131" t="str">
        <f aca="false">INDEX('Master Data'!$A$2:$B$8,MATCH(WEEKDAY('BRA PWR Certificates'!A136,3),'Master Data'!$A$2:$A$8,0),2)</f>
        <v>F</v>
      </c>
      <c r="D136" s="124" t="n">
        <v>0</v>
      </c>
      <c r="E136" s="124" t="n">
        <v>0</v>
      </c>
      <c r="F136" s="124" t="n">
        <v>0</v>
      </c>
      <c r="G136" s="124" t="n">
        <v>0</v>
      </c>
      <c r="I136" s="124" t="n">
        <f aca="false">IF(MONTH($A136)=MONTH($A135),IF(G136=0,I135,G136),G136)</f>
        <v>0</v>
      </c>
      <c r="J136" s="124" t="n">
        <f aca="false">IF(MONTH($A136)=MONTH($A135),SUM(I136-I135),I136)</f>
        <v>0</v>
      </c>
      <c r="K136" s="124" t="n">
        <f aca="false">IF(WEEKDAY(A136,3)&gt;4,0,(IF(A136&lt;K$2,0,IF(A136&lt;=K$3,1,0))))</f>
        <v>0</v>
      </c>
      <c r="L136" s="124" t="n">
        <f aca="false">J136*K136</f>
        <v>0</v>
      </c>
      <c r="M136" s="124" t="n">
        <f aca="false">SUM(J$97:J136)</f>
        <v>0</v>
      </c>
      <c r="N136" s="124" t="n">
        <f aca="false">SUM(J$6:J136)</f>
        <v>0</v>
      </c>
      <c r="P136" s="124" t="n">
        <f aca="false">D136/P$3</f>
        <v>0</v>
      </c>
      <c r="Q136" s="124" t="n">
        <f aca="false">E136/P$3</f>
        <v>0</v>
      </c>
      <c r="R136" s="124" t="n">
        <f aca="false">F136/R$3</f>
        <v>0</v>
      </c>
      <c r="S136" s="126" t="n">
        <f aca="false">J136/$R$3</f>
        <v>0</v>
      </c>
      <c r="T136" s="126" t="n">
        <f aca="false">L136/$R$3</f>
        <v>0</v>
      </c>
      <c r="U136" s="126" t="n">
        <f aca="false">I136/$R$3</f>
        <v>0</v>
      </c>
      <c r="V136" s="126" t="n">
        <f aca="false">M136/$R$3</f>
        <v>0</v>
      </c>
      <c r="W136" s="126" t="n">
        <f aca="false">N136/$R$3</f>
        <v>0</v>
      </c>
    </row>
    <row r="137" customFormat="false" ht="12.75" hidden="true" customHeight="false" outlineLevel="0" collapsed="false">
      <c r="A137" s="120" t="n">
        <f aca="false">A136+1</f>
        <v>37023</v>
      </c>
      <c r="B137" s="131" t="str">
        <f aca="false">INDEX('Master Data'!$A$2:$B$8,MATCH(WEEKDAY('BRA PWR Certificates'!A137,3),'Master Data'!$A$2:$A$8,0),2)</f>
        <v>Sa</v>
      </c>
      <c r="D137" s="124" t="n">
        <v>0</v>
      </c>
      <c r="E137" s="124" t="n">
        <v>0</v>
      </c>
      <c r="F137" s="124" t="n">
        <v>0</v>
      </c>
      <c r="G137" s="124" t="n">
        <v>0</v>
      </c>
      <c r="I137" s="124" t="n">
        <f aca="false">IF(MONTH($A137)=MONTH($A136),IF(G137=0,I136,G137),G137)</f>
        <v>0</v>
      </c>
      <c r="J137" s="124" t="n">
        <f aca="false">IF(MONTH($A137)=MONTH($A136),SUM(I137-I136),I137)</f>
        <v>0</v>
      </c>
      <c r="K137" s="124" t="n">
        <f aca="false">IF(WEEKDAY(A137,3)&gt;4,0,(IF(A137&lt;K$2,0,IF(A137&lt;=K$3,1,0))))</f>
        <v>0</v>
      </c>
      <c r="L137" s="124" t="n">
        <f aca="false">J137*K137</f>
        <v>0</v>
      </c>
      <c r="M137" s="124" t="n">
        <f aca="false">SUM(J$97:J137)</f>
        <v>0</v>
      </c>
      <c r="N137" s="124" t="n">
        <f aca="false">SUM(J$6:J137)</f>
        <v>0</v>
      </c>
      <c r="P137" s="124" t="n">
        <f aca="false">D137/P$3</f>
        <v>0</v>
      </c>
      <c r="Q137" s="124" t="n">
        <f aca="false">E137/P$3</f>
        <v>0</v>
      </c>
      <c r="R137" s="124" t="n">
        <f aca="false">F137/R$3</f>
        <v>0</v>
      </c>
      <c r="S137" s="126" t="n">
        <f aca="false">J137/$R$3</f>
        <v>0</v>
      </c>
      <c r="T137" s="126" t="n">
        <f aca="false">L137/$R$3</f>
        <v>0</v>
      </c>
      <c r="U137" s="126" t="n">
        <f aca="false">I137/$R$3</f>
        <v>0</v>
      </c>
      <c r="V137" s="126" t="n">
        <f aca="false">M137/$R$3</f>
        <v>0</v>
      </c>
      <c r="W137" s="126" t="n">
        <f aca="false">N137/$R$3</f>
        <v>0</v>
      </c>
    </row>
    <row r="138" customFormat="false" ht="12.75" hidden="true" customHeight="false" outlineLevel="0" collapsed="false">
      <c r="A138" s="120" t="n">
        <f aca="false">A137+1</f>
        <v>37024</v>
      </c>
      <c r="B138" s="131" t="str">
        <f aca="false">INDEX('Master Data'!$A$2:$B$8,MATCH(WEEKDAY('BRA PWR Certificates'!A138,3),'Master Data'!$A$2:$A$8,0),2)</f>
        <v>Su</v>
      </c>
      <c r="D138" s="124" t="n">
        <v>0</v>
      </c>
      <c r="E138" s="124" t="n">
        <v>0</v>
      </c>
      <c r="F138" s="124" t="n">
        <v>0</v>
      </c>
      <c r="G138" s="124" t="n">
        <v>0</v>
      </c>
      <c r="I138" s="124" t="n">
        <f aca="false">IF(MONTH($A138)=MONTH($A137),IF(G138=0,I137,G138),G138)</f>
        <v>0</v>
      </c>
      <c r="J138" s="124" t="n">
        <f aca="false">IF(MONTH($A138)=MONTH($A137),SUM(I138-I137),I138)</f>
        <v>0</v>
      </c>
      <c r="K138" s="124" t="n">
        <f aca="false">IF(WEEKDAY(A138,3)&gt;4,0,(IF(A138&lt;K$2,0,IF(A138&lt;=K$3,1,0))))</f>
        <v>0</v>
      </c>
      <c r="L138" s="124" t="n">
        <f aca="false">J138*K138</f>
        <v>0</v>
      </c>
      <c r="M138" s="124" t="n">
        <f aca="false">SUM(J$97:J138)</f>
        <v>0</v>
      </c>
      <c r="N138" s="124" t="n">
        <f aca="false">SUM(J$6:J138)</f>
        <v>0</v>
      </c>
      <c r="P138" s="124" t="n">
        <f aca="false">D138/P$3</f>
        <v>0</v>
      </c>
      <c r="Q138" s="124" t="n">
        <f aca="false">E138/P$3</f>
        <v>0</v>
      </c>
      <c r="R138" s="124" t="n">
        <f aca="false">F138/R$3</f>
        <v>0</v>
      </c>
      <c r="S138" s="126" t="n">
        <f aca="false">J138/$R$3</f>
        <v>0</v>
      </c>
      <c r="T138" s="126" t="n">
        <f aca="false">L138/$R$3</f>
        <v>0</v>
      </c>
      <c r="U138" s="126" t="n">
        <f aca="false">I138/$R$3</f>
        <v>0</v>
      </c>
      <c r="V138" s="126" t="n">
        <f aca="false">M138/$R$3</f>
        <v>0</v>
      </c>
      <c r="W138" s="126" t="n">
        <f aca="false">N138/$R$3</f>
        <v>0</v>
      </c>
    </row>
    <row r="139" customFormat="false" ht="12.75" hidden="true" customHeight="false" outlineLevel="0" collapsed="false">
      <c r="A139" s="120" t="n">
        <f aca="false">A138+1</f>
        <v>37025</v>
      </c>
      <c r="B139" s="131" t="str">
        <f aca="false">INDEX('Master Data'!$A$2:$B$8,MATCH(WEEKDAY('BRA PWR Certificates'!A139,3),'Master Data'!$A$2:$A$8,0),2)</f>
        <v>M</v>
      </c>
      <c r="D139" s="124" t="n">
        <v>0</v>
      </c>
      <c r="E139" s="124" t="n">
        <v>0</v>
      </c>
      <c r="F139" s="124" t="n">
        <v>0</v>
      </c>
      <c r="G139" s="124" t="n">
        <v>0</v>
      </c>
      <c r="I139" s="124" t="n">
        <f aca="false">IF(MONTH($A139)=MONTH($A138),IF(G139=0,I138,G139),G139)</f>
        <v>0</v>
      </c>
      <c r="J139" s="124" t="n">
        <f aca="false">IF(MONTH($A139)=MONTH($A138),SUM(I139-I138),I139)</f>
        <v>0</v>
      </c>
      <c r="K139" s="124" t="n">
        <f aca="false">IF(WEEKDAY(A139,3)&gt;4,0,(IF(A139&lt;K$2,0,IF(A139&lt;=K$3,1,0))))</f>
        <v>0</v>
      </c>
      <c r="L139" s="124" t="n">
        <f aca="false">J139*K139</f>
        <v>0</v>
      </c>
      <c r="M139" s="124" t="n">
        <f aca="false">SUM(J$97:J139)</f>
        <v>0</v>
      </c>
      <c r="N139" s="124" t="n">
        <f aca="false">SUM(J$6:J139)</f>
        <v>0</v>
      </c>
      <c r="P139" s="124" t="n">
        <f aca="false">D139/P$3</f>
        <v>0</v>
      </c>
      <c r="Q139" s="124" t="n">
        <f aca="false">E139/P$3</f>
        <v>0</v>
      </c>
      <c r="R139" s="124" t="n">
        <f aca="false">F139/R$3</f>
        <v>0</v>
      </c>
      <c r="S139" s="126" t="n">
        <f aca="false">J139/$R$3</f>
        <v>0</v>
      </c>
      <c r="T139" s="126" t="n">
        <f aca="false">L139/$R$3</f>
        <v>0</v>
      </c>
      <c r="U139" s="126" t="n">
        <f aca="false">I139/$R$3</f>
        <v>0</v>
      </c>
      <c r="V139" s="126" t="n">
        <f aca="false">M139/$R$3</f>
        <v>0</v>
      </c>
      <c r="W139" s="126" t="n">
        <f aca="false">N139/$R$3</f>
        <v>0</v>
      </c>
    </row>
    <row r="140" customFormat="false" ht="12.75" hidden="true" customHeight="false" outlineLevel="0" collapsed="false">
      <c r="A140" s="120" t="n">
        <f aca="false">A139+1</f>
        <v>37026</v>
      </c>
      <c r="B140" s="131" t="str">
        <f aca="false">INDEX('Master Data'!$A$2:$B$8,MATCH(WEEKDAY('BRA PWR Certificates'!A140,3),'Master Data'!$A$2:$A$8,0),2)</f>
        <v>T</v>
      </c>
      <c r="D140" s="124" t="n">
        <v>0</v>
      </c>
      <c r="E140" s="124" t="n">
        <v>0</v>
      </c>
      <c r="F140" s="124" t="n">
        <v>0</v>
      </c>
      <c r="G140" s="124" t="n">
        <v>0</v>
      </c>
      <c r="I140" s="124" t="n">
        <f aca="false">IF(MONTH($A140)=MONTH($A139),IF(G140=0,I139,G140),G140)</f>
        <v>0</v>
      </c>
      <c r="J140" s="124" t="n">
        <f aca="false">IF(MONTH($A140)=MONTH($A139),SUM(I140-I139),I140)</f>
        <v>0</v>
      </c>
      <c r="K140" s="124" t="n">
        <f aca="false">IF(WEEKDAY(A140,3)&gt;4,0,(IF(A140&lt;K$2,0,IF(A140&lt;=K$3,1,0))))</f>
        <v>0</v>
      </c>
      <c r="L140" s="124" t="n">
        <f aca="false">J140*K140</f>
        <v>0</v>
      </c>
      <c r="M140" s="124" t="n">
        <f aca="false">SUM(J$97:J140)</f>
        <v>0</v>
      </c>
      <c r="N140" s="124" t="n">
        <f aca="false">SUM(J$6:J140)</f>
        <v>0</v>
      </c>
      <c r="P140" s="124" t="n">
        <f aca="false">D140/P$3</f>
        <v>0</v>
      </c>
      <c r="Q140" s="124" t="n">
        <f aca="false">E140/P$3</f>
        <v>0</v>
      </c>
      <c r="R140" s="124" t="n">
        <f aca="false">F140/R$3</f>
        <v>0</v>
      </c>
      <c r="S140" s="126" t="n">
        <f aca="false">J140/$R$3</f>
        <v>0</v>
      </c>
      <c r="T140" s="126" t="n">
        <f aca="false">L140/$R$3</f>
        <v>0</v>
      </c>
      <c r="U140" s="126" t="n">
        <f aca="false">I140/$R$3</f>
        <v>0</v>
      </c>
      <c r="V140" s="126" t="n">
        <f aca="false">M140/$R$3</f>
        <v>0</v>
      </c>
      <c r="W140" s="126" t="n">
        <f aca="false">N140/$R$3</f>
        <v>0</v>
      </c>
    </row>
    <row r="141" customFormat="false" ht="12.75" hidden="true" customHeight="false" outlineLevel="0" collapsed="false">
      <c r="A141" s="120" t="n">
        <f aca="false">A140+1</f>
        <v>37027</v>
      </c>
      <c r="B141" s="131" t="str">
        <f aca="false">INDEX('Master Data'!$A$2:$B$8,MATCH(WEEKDAY('BRA PWR Certificates'!A141,3),'Master Data'!$A$2:$A$8,0),2)</f>
        <v>W</v>
      </c>
      <c r="D141" s="124" t="n">
        <v>0</v>
      </c>
      <c r="E141" s="124" t="n">
        <v>0</v>
      </c>
      <c r="F141" s="124" t="n">
        <v>0</v>
      </c>
      <c r="G141" s="124" t="n">
        <v>0</v>
      </c>
      <c r="I141" s="124" t="n">
        <f aca="false">IF(MONTH($A141)=MONTH($A140),IF(G141=0,I140,G141),G141)</f>
        <v>0</v>
      </c>
      <c r="J141" s="124" t="n">
        <f aca="false">IF(MONTH($A141)=MONTH($A140),SUM(I141-I140),I141)</f>
        <v>0</v>
      </c>
      <c r="K141" s="124" t="n">
        <f aca="false">IF(WEEKDAY(A141,3)&gt;4,0,(IF(A141&lt;K$2,0,IF(A141&lt;=K$3,1,0))))</f>
        <v>0</v>
      </c>
      <c r="L141" s="124" t="n">
        <f aca="false">J141*K141</f>
        <v>0</v>
      </c>
      <c r="M141" s="124" t="n">
        <f aca="false">SUM(J$97:J141)</f>
        <v>0</v>
      </c>
      <c r="N141" s="124" t="n">
        <f aca="false">SUM(J$6:J141)</f>
        <v>0</v>
      </c>
      <c r="P141" s="124" t="n">
        <f aca="false">D141/P$3</f>
        <v>0</v>
      </c>
      <c r="Q141" s="124" t="n">
        <f aca="false">E141/P$3</f>
        <v>0</v>
      </c>
      <c r="R141" s="124" t="n">
        <f aca="false">F141/R$3</f>
        <v>0</v>
      </c>
      <c r="S141" s="126" t="n">
        <f aca="false">J141/$R$3</f>
        <v>0</v>
      </c>
      <c r="T141" s="126" t="n">
        <f aca="false">L141/$R$3</f>
        <v>0</v>
      </c>
      <c r="U141" s="126" t="n">
        <f aca="false">I141/$R$3</f>
        <v>0</v>
      </c>
      <c r="V141" s="126" t="n">
        <f aca="false">M141/$R$3</f>
        <v>0</v>
      </c>
      <c r="W141" s="126" t="n">
        <f aca="false">N141/$R$3</f>
        <v>0</v>
      </c>
    </row>
    <row r="142" customFormat="false" ht="12.75" hidden="true" customHeight="false" outlineLevel="0" collapsed="false">
      <c r="A142" s="120" t="n">
        <f aca="false">A141+1</f>
        <v>37028</v>
      </c>
      <c r="B142" s="131" t="str">
        <f aca="false">INDEX('Master Data'!$A$2:$B$8,MATCH(WEEKDAY('BRA PWR Certificates'!A142,3),'Master Data'!$A$2:$A$8,0),2)</f>
        <v>Th</v>
      </c>
      <c r="D142" s="124" t="n">
        <v>0</v>
      </c>
      <c r="E142" s="124" t="n">
        <v>0</v>
      </c>
      <c r="F142" s="124" t="n">
        <v>0</v>
      </c>
      <c r="G142" s="124" t="n">
        <v>0</v>
      </c>
      <c r="I142" s="124" t="n">
        <f aca="false">IF(MONTH($A142)=MONTH($A141),IF(G142=0,I141,G142),G142)</f>
        <v>0</v>
      </c>
      <c r="J142" s="124" t="n">
        <f aca="false">IF(MONTH($A142)=MONTH($A141),SUM(I142-I141),I142)</f>
        <v>0</v>
      </c>
      <c r="K142" s="124" t="n">
        <f aca="false">IF(WEEKDAY(A142,3)&gt;4,0,(IF(A142&lt;K$2,0,IF(A142&lt;=K$3,1,0))))</f>
        <v>0</v>
      </c>
      <c r="L142" s="124" t="n">
        <f aca="false">J142*K142</f>
        <v>0</v>
      </c>
      <c r="M142" s="124" t="n">
        <f aca="false">SUM(J$97:J142)</f>
        <v>0</v>
      </c>
      <c r="N142" s="124" t="n">
        <f aca="false">SUM(J$6:J142)</f>
        <v>0</v>
      </c>
      <c r="P142" s="124" t="n">
        <f aca="false">D142/P$3</f>
        <v>0</v>
      </c>
      <c r="Q142" s="124" t="n">
        <f aca="false">E142/P$3</f>
        <v>0</v>
      </c>
      <c r="R142" s="124" t="n">
        <f aca="false">F142/R$3</f>
        <v>0</v>
      </c>
      <c r="S142" s="126" t="n">
        <f aca="false">J142/$R$3</f>
        <v>0</v>
      </c>
      <c r="T142" s="126" t="n">
        <f aca="false">L142/$R$3</f>
        <v>0</v>
      </c>
      <c r="U142" s="126" t="n">
        <f aca="false">I142/$R$3</f>
        <v>0</v>
      </c>
      <c r="V142" s="126" t="n">
        <f aca="false">M142/$R$3</f>
        <v>0</v>
      </c>
      <c r="W142" s="126" t="n">
        <f aca="false">N142/$R$3</f>
        <v>0</v>
      </c>
    </row>
    <row r="143" customFormat="false" ht="12.75" hidden="true" customHeight="false" outlineLevel="0" collapsed="false">
      <c r="A143" s="120" t="n">
        <f aca="false">A142+1</f>
        <v>37029</v>
      </c>
      <c r="B143" s="131" t="str">
        <f aca="false">INDEX('Master Data'!$A$2:$B$8,MATCH(WEEKDAY('BRA PWR Certificates'!A143,3),'Master Data'!$A$2:$A$8,0),2)</f>
        <v>F</v>
      </c>
      <c r="D143" s="124" t="n">
        <v>0</v>
      </c>
      <c r="E143" s="124" t="n">
        <v>0</v>
      </c>
      <c r="F143" s="124" t="n">
        <v>0</v>
      </c>
      <c r="G143" s="124" t="n">
        <v>0</v>
      </c>
      <c r="I143" s="124" t="n">
        <f aca="false">IF(MONTH($A143)=MONTH($A142),IF(G143=0,I142,G143),G143)</f>
        <v>0</v>
      </c>
      <c r="J143" s="124" t="n">
        <f aca="false">IF(MONTH($A143)=MONTH($A142),SUM(I143-I142),I143)</f>
        <v>0</v>
      </c>
      <c r="K143" s="124" t="n">
        <f aca="false">IF(WEEKDAY(A143,3)&gt;4,0,(IF(A143&lt;K$2,0,IF(A143&lt;=K$3,1,0))))</f>
        <v>0</v>
      </c>
      <c r="L143" s="124" t="n">
        <f aca="false">J143*K143</f>
        <v>0</v>
      </c>
      <c r="M143" s="124" t="n">
        <f aca="false">SUM(J$97:J143)</f>
        <v>0</v>
      </c>
      <c r="N143" s="124" t="n">
        <f aca="false">SUM(J$6:J143)</f>
        <v>0</v>
      </c>
      <c r="P143" s="124" t="n">
        <f aca="false">D143/P$3</f>
        <v>0</v>
      </c>
      <c r="Q143" s="124" t="n">
        <f aca="false">E143/P$3</f>
        <v>0</v>
      </c>
      <c r="R143" s="124" t="n">
        <f aca="false">F143/R$3</f>
        <v>0</v>
      </c>
      <c r="S143" s="126" t="n">
        <f aca="false">J143/$R$3</f>
        <v>0</v>
      </c>
      <c r="T143" s="126" t="n">
        <f aca="false">L143/$R$3</f>
        <v>0</v>
      </c>
      <c r="U143" s="126" t="n">
        <f aca="false">I143/$R$3</f>
        <v>0</v>
      </c>
      <c r="V143" s="126" t="n">
        <f aca="false">M143/$R$3</f>
        <v>0</v>
      </c>
      <c r="W143" s="126" t="n">
        <f aca="false">N143/$R$3</f>
        <v>0</v>
      </c>
    </row>
    <row r="144" customFormat="false" ht="12.75" hidden="true" customHeight="false" outlineLevel="0" collapsed="false">
      <c r="A144" s="120" t="n">
        <f aca="false">A143+1</f>
        <v>37030</v>
      </c>
      <c r="B144" s="131" t="str">
        <f aca="false">INDEX('Master Data'!$A$2:$B$8,MATCH(WEEKDAY('BRA PWR Certificates'!A144,3),'Master Data'!$A$2:$A$8,0),2)</f>
        <v>Sa</v>
      </c>
      <c r="D144" s="124" t="n">
        <v>0</v>
      </c>
      <c r="E144" s="124" t="n">
        <v>0</v>
      </c>
      <c r="F144" s="124" t="n">
        <v>0</v>
      </c>
      <c r="G144" s="124" t="n">
        <v>0</v>
      </c>
      <c r="I144" s="124" t="n">
        <f aca="false">IF(MONTH($A144)=MONTH($A143),IF(G144=0,I143,G144),G144)</f>
        <v>0</v>
      </c>
      <c r="J144" s="124" t="n">
        <f aca="false">IF(MONTH($A144)=MONTH($A143),SUM(I144-I143),I144)</f>
        <v>0</v>
      </c>
      <c r="K144" s="124" t="n">
        <f aca="false">IF(WEEKDAY(A144,3)&gt;4,0,(IF(A144&lt;K$2,0,IF(A144&lt;=K$3,1,0))))</f>
        <v>0</v>
      </c>
      <c r="L144" s="124" t="n">
        <f aca="false">J144*K144</f>
        <v>0</v>
      </c>
      <c r="M144" s="124" t="n">
        <f aca="false">SUM(J$97:J144)</f>
        <v>0</v>
      </c>
      <c r="N144" s="124" t="n">
        <f aca="false">SUM(J$6:J144)</f>
        <v>0</v>
      </c>
      <c r="P144" s="124" t="n">
        <f aca="false">D144/P$3</f>
        <v>0</v>
      </c>
      <c r="Q144" s="124" t="n">
        <f aca="false">E144/P$3</f>
        <v>0</v>
      </c>
      <c r="R144" s="124" t="n">
        <f aca="false">F144/R$3</f>
        <v>0</v>
      </c>
      <c r="S144" s="126" t="n">
        <f aca="false">J144/$R$3</f>
        <v>0</v>
      </c>
      <c r="T144" s="126" t="n">
        <f aca="false">L144/$R$3</f>
        <v>0</v>
      </c>
      <c r="U144" s="126" t="n">
        <f aca="false">I144/$R$3</f>
        <v>0</v>
      </c>
      <c r="V144" s="126" t="n">
        <f aca="false">M144/$R$3</f>
        <v>0</v>
      </c>
      <c r="W144" s="126" t="n">
        <f aca="false">N144/$R$3</f>
        <v>0</v>
      </c>
    </row>
    <row r="145" customFormat="false" ht="12.75" hidden="true" customHeight="false" outlineLevel="0" collapsed="false">
      <c r="A145" s="120" t="n">
        <f aca="false">A144+1</f>
        <v>37031</v>
      </c>
      <c r="B145" s="131" t="str">
        <f aca="false">INDEX('Master Data'!$A$2:$B$8,MATCH(WEEKDAY('BRA PWR Certificates'!A145,3),'Master Data'!$A$2:$A$8,0),2)</f>
        <v>Su</v>
      </c>
      <c r="D145" s="124" t="n">
        <v>0</v>
      </c>
      <c r="E145" s="124" t="n">
        <v>0</v>
      </c>
      <c r="F145" s="124" t="n">
        <v>0</v>
      </c>
      <c r="G145" s="124" t="n">
        <v>0</v>
      </c>
      <c r="I145" s="124" t="n">
        <f aca="false">IF(MONTH($A145)=MONTH($A144),IF(G145=0,I144,G145),G145)</f>
        <v>0</v>
      </c>
      <c r="J145" s="124" t="n">
        <f aca="false">IF(MONTH($A145)=MONTH($A144),SUM(I145-I144),I145)</f>
        <v>0</v>
      </c>
      <c r="K145" s="124" t="n">
        <f aca="false">IF(WEEKDAY(A145,3)&gt;4,0,(IF(A145&lt;K$2,0,IF(A145&lt;=K$3,1,0))))</f>
        <v>0</v>
      </c>
      <c r="L145" s="124" t="n">
        <f aca="false">J145*K145</f>
        <v>0</v>
      </c>
      <c r="M145" s="124" t="n">
        <f aca="false">SUM(J$97:J145)</f>
        <v>0</v>
      </c>
      <c r="N145" s="124" t="n">
        <f aca="false">SUM(J$6:J145)</f>
        <v>0</v>
      </c>
      <c r="P145" s="124" t="n">
        <f aca="false">D145/P$3</f>
        <v>0</v>
      </c>
      <c r="Q145" s="124" t="n">
        <f aca="false">E145/P$3</f>
        <v>0</v>
      </c>
      <c r="R145" s="124" t="n">
        <f aca="false">F145/R$3</f>
        <v>0</v>
      </c>
      <c r="S145" s="126" t="n">
        <f aca="false">J145/$R$3</f>
        <v>0</v>
      </c>
      <c r="T145" s="126" t="n">
        <f aca="false">L145/$R$3</f>
        <v>0</v>
      </c>
      <c r="U145" s="126" t="n">
        <f aca="false">I145/$R$3</f>
        <v>0</v>
      </c>
      <c r="V145" s="126" t="n">
        <f aca="false">M145/$R$3</f>
        <v>0</v>
      </c>
      <c r="W145" s="126" t="n">
        <f aca="false">N145/$R$3</f>
        <v>0</v>
      </c>
    </row>
    <row r="146" customFormat="false" ht="12.75" hidden="true" customHeight="false" outlineLevel="0" collapsed="false">
      <c r="A146" s="120" t="n">
        <f aca="false">A145+1</f>
        <v>37032</v>
      </c>
      <c r="B146" s="131" t="str">
        <f aca="false">INDEX('Master Data'!$A$2:$B$8,MATCH(WEEKDAY('BRA PWR Certificates'!A146,3),'Master Data'!$A$2:$A$8,0),2)</f>
        <v>M</v>
      </c>
      <c r="D146" s="124" t="n">
        <v>0</v>
      </c>
      <c r="E146" s="124" t="n">
        <v>0</v>
      </c>
      <c r="F146" s="124" t="n">
        <v>0</v>
      </c>
      <c r="G146" s="124" t="n">
        <v>0</v>
      </c>
      <c r="I146" s="124" t="n">
        <f aca="false">IF(MONTH($A146)=MONTH($A145),IF(G146=0,I145,G146),G146)</f>
        <v>0</v>
      </c>
      <c r="J146" s="124" t="n">
        <f aca="false">IF(MONTH($A146)=MONTH($A145),SUM(I146-I145),I146)</f>
        <v>0</v>
      </c>
      <c r="K146" s="124" t="n">
        <f aca="false">IF(WEEKDAY(A146,3)&gt;4,0,(IF(A146&lt;K$2,0,IF(A146&lt;=K$3,1,0))))</f>
        <v>0</v>
      </c>
      <c r="L146" s="124" t="n">
        <f aca="false">J146*K146</f>
        <v>0</v>
      </c>
      <c r="M146" s="124" t="n">
        <f aca="false">SUM(J$97:J146)</f>
        <v>0</v>
      </c>
      <c r="N146" s="124" t="n">
        <f aca="false">SUM(J$6:J146)</f>
        <v>0</v>
      </c>
      <c r="P146" s="124" t="n">
        <f aca="false">D146/P$3</f>
        <v>0</v>
      </c>
      <c r="Q146" s="124" t="n">
        <f aca="false">E146/P$3</f>
        <v>0</v>
      </c>
      <c r="R146" s="124" t="n">
        <f aca="false">F146/R$3</f>
        <v>0</v>
      </c>
      <c r="S146" s="126" t="n">
        <f aca="false">J146/$R$3</f>
        <v>0</v>
      </c>
      <c r="T146" s="126" t="n">
        <f aca="false">L146/$R$3</f>
        <v>0</v>
      </c>
      <c r="U146" s="126" t="n">
        <f aca="false">I146/$R$3</f>
        <v>0</v>
      </c>
      <c r="V146" s="126" t="n">
        <f aca="false">M146/$R$3</f>
        <v>0</v>
      </c>
      <c r="W146" s="126" t="n">
        <f aca="false">N146/$R$3</f>
        <v>0</v>
      </c>
    </row>
    <row r="147" customFormat="false" ht="12.75" hidden="true" customHeight="false" outlineLevel="0" collapsed="false">
      <c r="A147" s="120" t="n">
        <f aca="false">A146+1</f>
        <v>37033</v>
      </c>
      <c r="B147" s="131" t="str">
        <f aca="false">INDEX('Master Data'!$A$2:$B$8,MATCH(WEEKDAY('BRA PWR Certificates'!A147,3),'Master Data'!$A$2:$A$8,0),2)</f>
        <v>T</v>
      </c>
      <c r="D147" s="124" t="n">
        <v>0</v>
      </c>
      <c r="E147" s="124" t="n">
        <v>0</v>
      </c>
      <c r="F147" s="124" t="n">
        <v>0</v>
      </c>
      <c r="G147" s="124" t="n">
        <v>0</v>
      </c>
      <c r="I147" s="124" t="n">
        <f aca="false">IF(MONTH($A147)=MONTH($A146),IF(G147=0,I146,G147),G147)</f>
        <v>0</v>
      </c>
      <c r="J147" s="124" t="n">
        <f aca="false">IF(MONTH($A147)=MONTH($A146),SUM(I147-I146),I147)</f>
        <v>0</v>
      </c>
      <c r="K147" s="124" t="n">
        <f aca="false">IF(WEEKDAY(A147,3)&gt;4,0,(IF(A147&lt;K$2,0,IF(A147&lt;=K$3,1,0))))</f>
        <v>0</v>
      </c>
      <c r="L147" s="124" t="n">
        <f aca="false">J147*K147</f>
        <v>0</v>
      </c>
      <c r="M147" s="124" t="n">
        <f aca="false">SUM(J$97:J147)</f>
        <v>0</v>
      </c>
      <c r="N147" s="124" t="n">
        <f aca="false">SUM(J$6:J147)</f>
        <v>0</v>
      </c>
      <c r="P147" s="124" t="n">
        <f aca="false">D147/P$3</f>
        <v>0</v>
      </c>
      <c r="Q147" s="124" t="n">
        <f aca="false">E147/P$3</f>
        <v>0</v>
      </c>
      <c r="R147" s="124" t="n">
        <f aca="false">F147/R$3</f>
        <v>0</v>
      </c>
      <c r="S147" s="126" t="n">
        <f aca="false">J147/$R$3</f>
        <v>0</v>
      </c>
      <c r="T147" s="126" t="n">
        <f aca="false">L147/$R$3</f>
        <v>0</v>
      </c>
      <c r="U147" s="126" t="n">
        <f aca="false">I147/$R$3</f>
        <v>0</v>
      </c>
      <c r="V147" s="126" t="n">
        <f aca="false">M147/$R$3</f>
        <v>0</v>
      </c>
      <c r="W147" s="126" t="n">
        <f aca="false">N147/$R$3</f>
        <v>0</v>
      </c>
    </row>
    <row r="148" customFormat="false" ht="12.75" hidden="true" customHeight="false" outlineLevel="0" collapsed="false">
      <c r="A148" s="120" t="n">
        <f aca="false">A147+1</f>
        <v>37034</v>
      </c>
      <c r="B148" s="131" t="str">
        <f aca="false">INDEX('Master Data'!$A$2:$B$8,MATCH(WEEKDAY('BRA PWR Certificates'!A148,3),'Master Data'!$A$2:$A$8,0),2)</f>
        <v>W</v>
      </c>
      <c r="D148" s="124" t="n">
        <v>0</v>
      </c>
      <c r="E148" s="124" t="n">
        <v>0</v>
      </c>
      <c r="F148" s="124" t="n">
        <v>0</v>
      </c>
      <c r="G148" s="124" t="n">
        <v>0</v>
      </c>
      <c r="I148" s="124" t="n">
        <f aca="false">IF(MONTH($A148)=MONTH($A147),IF(G148=0,I147,G148),G148)</f>
        <v>0</v>
      </c>
      <c r="J148" s="124" t="n">
        <f aca="false">IF(MONTH($A148)=MONTH($A147),SUM(I148-I147),I148)</f>
        <v>0</v>
      </c>
      <c r="K148" s="124" t="n">
        <f aca="false">IF(WEEKDAY(A148,3)&gt;4,0,(IF(A148&lt;K$2,0,IF(A148&lt;=K$3,1,0))))</f>
        <v>0</v>
      </c>
      <c r="L148" s="124" t="n">
        <f aca="false">J148*K148</f>
        <v>0</v>
      </c>
      <c r="M148" s="124" t="n">
        <f aca="false">SUM(J$97:J148)</f>
        <v>0</v>
      </c>
      <c r="N148" s="124" t="n">
        <f aca="false">SUM(J$6:J148)</f>
        <v>0</v>
      </c>
      <c r="P148" s="124" t="n">
        <f aca="false">D148/P$3</f>
        <v>0</v>
      </c>
      <c r="Q148" s="124" t="n">
        <f aca="false">E148/P$3</f>
        <v>0</v>
      </c>
      <c r="R148" s="124" t="n">
        <f aca="false">F148/R$3</f>
        <v>0</v>
      </c>
      <c r="S148" s="126" t="n">
        <f aca="false">J148/$R$3</f>
        <v>0</v>
      </c>
      <c r="T148" s="126" t="n">
        <f aca="false">L148/$R$3</f>
        <v>0</v>
      </c>
      <c r="U148" s="126" t="n">
        <f aca="false">I148/$R$3</f>
        <v>0</v>
      </c>
      <c r="V148" s="126" t="n">
        <f aca="false">M148/$R$3</f>
        <v>0</v>
      </c>
      <c r="W148" s="126" t="n">
        <f aca="false">N148/$R$3</f>
        <v>0</v>
      </c>
    </row>
    <row r="149" customFormat="false" ht="12.75" hidden="true" customHeight="false" outlineLevel="0" collapsed="false">
      <c r="A149" s="120" t="n">
        <f aca="false">A148+1</f>
        <v>37035</v>
      </c>
      <c r="B149" s="131" t="str">
        <f aca="false">INDEX('Master Data'!$A$2:$B$8,MATCH(WEEKDAY('BRA PWR Certificates'!A149,3),'Master Data'!$A$2:$A$8,0),2)</f>
        <v>Th</v>
      </c>
      <c r="D149" s="124" t="n">
        <v>0</v>
      </c>
      <c r="E149" s="124" t="n">
        <v>0</v>
      </c>
      <c r="F149" s="124" t="n">
        <v>0</v>
      </c>
      <c r="G149" s="124" t="n">
        <v>0</v>
      </c>
      <c r="I149" s="124" t="n">
        <f aca="false">IF(MONTH($A149)=MONTH($A148),IF(G149=0,I148,G149),G149)</f>
        <v>0</v>
      </c>
      <c r="J149" s="124" t="n">
        <f aca="false">IF(MONTH($A149)=MONTH($A148),SUM(I149-I148),I149)</f>
        <v>0</v>
      </c>
      <c r="K149" s="124" t="n">
        <f aca="false">IF(WEEKDAY(A149,3)&gt;4,0,(IF(A149&lt;K$2,0,IF(A149&lt;=K$3,1,0))))</f>
        <v>0</v>
      </c>
      <c r="L149" s="124" t="n">
        <f aca="false">J149*K149</f>
        <v>0</v>
      </c>
      <c r="M149" s="124" t="n">
        <f aca="false">SUM(J$97:J149)</f>
        <v>0</v>
      </c>
      <c r="N149" s="124" t="n">
        <f aca="false">SUM(J$6:J149)</f>
        <v>0</v>
      </c>
      <c r="P149" s="124" t="n">
        <f aca="false">D149/P$3</f>
        <v>0</v>
      </c>
      <c r="Q149" s="124" t="n">
        <f aca="false">E149/P$3</f>
        <v>0</v>
      </c>
      <c r="R149" s="124" t="n">
        <f aca="false">F149/R$3</f>
        <v>0</v>
      </c>
      <c r="S149" s="126" t="n">
        <f aca="false">J149/$R$3</f>
        <v>0</v>
      </c>
      <c r="T149" s="126" t="n">
        <f aca="false">L149/$R$3</f>
        <v>0</v>
      </c>
      <c r="U149" s="126" t="n">
        <f aca="false">I149/$R$3</f>
        <v>0</v>
      </c>
      <c r="V149" s="126" t="n">
        <f aca="false">M149/$R$3</f>
        <v>0</v>
      </c>
      <c r="W149" s="126" t="n">
        <f aca="false">N149/$R$3</f>
        <v>0</v>
      </c>
    </row>
    <row r="150" customFormat="false" ht="12.75" hidden="true" customHeight="false" outlineLevel="0" collapsed="false">
      <c r="A150" s="120" t="n">
        <f aca="false">A149+1</f>
        <v>37036</v>
      </c>
      <c r="B150" s="131" t="str">
        <f aca="false">INDEX('Master Data'!$A$2:$B$8,MATCH(WEEKDAY('BRA PWR Certificates'!A150,3),'Master Data'!$A$2:$A$8,0),2)</f>
        <v>F</v>
      </c>
      <c r="D150" s="124" t="n">
        <v>0</v>
      </c>
      <c r="E150" s="124" t="n">
        <v>0</v>
      </c>
      <c r="F150" s="124" t="n">
        <v>0</v>
      </c>
      <c r="G150" s="124" t="n">
        <v>0</v>
      </c>
      <c r="I150" s="124" t="n">
        <f aca="false">IF(MONTH($A150)=MONTH($A149),IF(G150=0,I149,G150),G150)</f>
        <v>0</v>
      </c>
      <c r="J150" s="124" t="n">
        <f aca="false">IF(MONTH($A150)=MONTH($A149),SUM(I150-I149),I150)</f>
        <v>0</v>
      </c>
      <c r="K150" s="124" t="n">
        <f aca="false">IF(WEEKDAY(A150,3)&gt;4,0,(IF(A150&lt;K$2,0,IF(A150&lt;=K$3,1,0))))</f>
        <v>0</v>
      </c>
      <c r="L150" s="124" t="n">
        <f aca="false">J150*K150</f>
        <v>0</v>
      </c>
      <c r="M150" s="124" t="n">
        <f aca="false">SUM(J$97:J150)</f>
        <v>0</v>
      </c>
      <c r="N150" s="124" t="n">
        <f aca="false">SUM(J$6:J150)</f>
        <v>0</v>
      </c>
      <c r="P150" s="124" t="n">
        <f aca="false">D150/P$3</f>
        <v>0</v>
      </c>
      <c r="Q150" s="124" t="n">
        <f aca="false">E150/P$3</f>
        <v>0</v>
      </c>
      <c r="R150" s="124" t="n">
        <f aca="false">F150/R$3</f>
        <v>0</v>
      </c>
      <c r="S150" s="126" t="n">
        <f aca="false">J150/$R$3</f>
        <v>0</v>
      </c>
      <c r="T150" s="126" t="n">
        <f aca="false">L150/$R$3</f>
        <v>0</v>
      </c>
      <c r="U150" s="126" t="n">
        <f aca="false">I150/$R$3</f>
        <v>0</v>
      </c>
      <c r="V150" s="126" t="n">
        <f aca="false">M150/$R$3</f>
        <v>0</v>
      </c>
      <c r="W150" s="126" t="n">
        <f aca="false">N150/$R$3</f>
        <v>0</v>
      </c>
    </row>
    <row r="151" customFormat="false" ht="12.75" hidden="true" customHeight="false" outlineLevel="0" collapsed="false">
      <c r="A151" s="120" t="n">
        <f aca="false">A150+1</f>
        <v>37037</v>
      </c>
      <c r="B151" s="131" t="str">
        <f aca="false">INDEX('Master Data'!$A$2:$B$8,MATCH(WEEKDAY('BRA PWR Certificates'!A151,3),'Master Data'!$A$2:$A$8,0),2)</f>
        <v>Sa</v>
      </c>
      <c r="D151" s="124" t="n">
        <v>0</v>
      </c>
      <c r="E151" s="124" t="n">
        <v>0</v>
      </c>
      <c r="F151" s="124" t="n">
        <v>0</v>
      </c>
      <c r="G151" s="124" t="n">
        <v>0</v>
      </c>
      <c r="I151" s="124" t="n">
        <f aca="false">IF(MONTH($A151)=MONTH($A150),IF(G151=0,I150,G151),G151)</f>
        <v>0</v>
      </c>
      <c r="J151" s="124" t="n">
        <f aca="false">IF(MONTH($A151)=MONTH($A150),SUM(I151-I150),I151)</f>
        <v>0</v>
      </c>
      <c r="K151" s="124" t="n">
        <f aca="false">IF(WEEKDAY(A151,3)&gt;4,0,(IF(A151&lt;K$2,0,IF(A151&lt;=K$3,1,0))))</f>
        <v>0</v>
      </c>
      <c r="L151" s="124" t="n">
        <f aca="false">J151*K151</f>
        <v>0</v>
      </c>
      <c r="M151" s="124" t="n">
        <f aca="false">SUM(J$97:J151)</f>
        <v>0</v>
      </c>
      <c r="N151" s="124" t="n">
        <f aca="false">SUM(J$6:J151)</f>
        <v>0</v>
      </c>
      <c r="P151" s="124" t="n">
        <f aca="false">D151/P$3</f>
        <v>0</v>
      </c>
      <c r="Q151" s="124" t="n">
        <f aca="false">E151/P$3</f>
        <v>0</v>
      </c>
      <c r="R151" s="124" t="n">
        <f aca="false">F151/R$3</f>
        <v>0</v>
      </c>
      <c r="S151" s="126" t="n">
        <f aca="false">J151/$R$3</f>
        <v>0</v>
      </c>
      <c r="T151" s="126" t="n">
        <f aca="false">L151/$R$3</f>
        <v>0</v>
      </c>
      <c r="U151" s="126" t="n">
        <f aca="false">I151/$R$3</f>
        <v>0</v>
      </c>
      <c r="V151" s="126" t="n">
        <f aca="false">M151/$R$3</f>
        <v>0</v>
      </c>
      <c r="W151" s="126" t="n">
        <f aca="false">N151/$R$3</f>
        <v>0</v>
      </c>
    </row>
    <row r="152" customFormat="false" ht="12.75" hidden="true" customHeight="false" outlineLevel="0" collapsed="false">
      <c r="A152" s="120" t="n">
        <f aca="false">A151+1</f>
        <v>37038</v>
      </c>
      <c r="B152" s="131" t="str">
        <f aca="false">INDEX('Master Data'!$A$2:$B$8,MATCH(WEEKDAY('BRA PWR Certificates'!A152,3),'Master Data'!$A$2:$A$8,0),2)</f>
        <v>Su</v>
      </c>
      <c r="D152" s="124" t="n">
        <v>0</v>
      </c>
      <c r="E152" s="124" t="n">
        <v>0</v>
      </c>
      <c r="F152" s="124" t="n">
        <v>0</v>
      </c>
      <c r="G152" s="124" t="n">
        <v>0</v>
      </c>
      <c r="I152" s="124" t="n">
        <f aca="false">IF(MONTH($A152)=MONTH($A151),IF(G152=0,I151,G152),G152)</f>
        <v>0</v>
      </c>
      <c r="J152" s="124" t="n">
        <f aca="false">IF(MONTH($A152)=MONTH($A151),SUM(I152-I151),I152)</f>
        <v>0</v>
      </c>
      <c r="K152" s="124" t="n">
        <f aca="false">IF(WEEKDAY(A152,3)&gt;4,0,(IF(A152&lt;K$2,0,IF(A152&lt;=K$3,1,0))))</f>
        <v>0</v>
      </c>
      <c r="L152" s="124" t="n">
        <f aca="false">J152*K152</f>
        <v>0</v>
      </c>
      <c r="M152" s="124" t="n">
        <f aca="false">SUM(J$97:J152)</f>
        <v>0</v>
      </c>
      <c r="N152" s="124" t="n">
        <f aca="false">SUM(J$6:J152)</f>
        <v>0</v>
      </c>
      <c r="P152" s="124" t="n">
        <f aca="false">D152/P$3</f>
        <v>0</v>
      </c>
      <c r="Q152" s="124" t="n">
        <f aca="false">E152/P$3</f>
        <v>0</v>
      </c>
      <c r="R152" s="124" t="n">
        <f aca="false">F152/R$3</f>
        <v>0</v>
      </c>
      <c r="S152" s="126" t="n">
        <f aca="false">J152/$R$3</f>
        <v>0</v>
      </c>
      <c r="T152" s="126" t="n">
        <f aca="false">L152/$R$3</f>
        <v>0</v>
      </c>
      <c r="U152" s="126" t="n">
        <f aca="false">I152/$R$3</f>
        <v>0</v>
      </c>
      <c r="V152" s="126" t="n">
        <f aca="false">M152/$R$3</f>
        <v>0</v>
      </c>
      <c r="W152" s="126" t="n">
        <f aca="false">N152/$R$3</f>
        <v>0</v>
      </c>
    </row>
    <row r="153" customFormat="false" ht="12.75" hidden="true" customHeight="false" outlineLevel="0" collapsed="false">
      <c r="A153" s="120" t="n">
        <f aca="false">A152+1</f>
        <v>37039</v>
      </c>
      <c r="B153" s="131" t="str">
        <f aca="false">INDEX('Master Data'!$A$2:$B$8,MATCH(WEEKDAY('BRA PWR Certificates'!A153,3),'Master Data'!$A$2:$A$8,0),2)</f>
        <v>M</v>
      </c>
      <c r="D153" s="124" t="n">
        <v>0</v>
      </c>
      <c r="E153" s="124" t="n">
        <v>0</v>
      </c>
      <c r="F153" s="124" t="n">
        <v>0</v>
      </c>
      <c r="G153" s="124" t="n">
        <v>0</v>
      </c>
      <c r="I153" s="124" t="n">
        <f aca="false">IF(MONTH($A153)=MONTH($A152),IF(G153=0,I152,G153),G153)</f>
        <v>0</v>
      </c>
      <c r="J153" s="124" t="n">
        <f aca="false">IF(MONTH($A153)=MONTH($A152),SUM(I153-I152),I153)</f>
        <v>0</v>
      </c>
      <c r="K153" s="124" t="n">
        <f aca="false">IF(WEEKDAY(A153,3)&gt;4,0,(IF(A153&lt;K$2,0,IF(A153&lt;=K$3,1,0))))</f>
        <v>0</v>
      </c>
      <c r="L153" s="124" t="n">
        <f aca="false">J153*K153</f>
        <v>0</v>
      </c>
      <c r="M153" s="124" t="n">
        <f aca="false">SUM(J$97:J153)</f>
        <v>0</v>
      </c>
      <c r="N153" s="124" t="n">
        <f aca="false">SUM(J$6:J153)</f>
        <v>0</v>
      </c>
      <c r="P153" s="124" t="n">
        <f aca="false">D153/P$3</f>
        <v>0</v>
      </c>
      <c r="Q153" s="124" t="n">
        <f aca="false">E153/P$3</f>
        <v>0</v>
      </c>
      <c r="R153" s="124" t="n">
        <f aca="false">F153/R$3</f>
        <v>0</v>
      </c>
      <c r="S153" s="126" t="n">
        <f aca="false">J153/$R$3</f>
        <v>0</v>
      </c>
      <c r="T153" s="126" t="n">
        <f aca="false">L153/$R$3</f>
        <v>0</v>
      </c>
      <c r="U153" s="126" t="n">
        <f aca="false">I153/$R$3</f>
        <v>0</v>
      </c>
      <c r="V153" s="126" t="n">
        <f aca="false">M153/$R$3</f>
        <v>0</v>
      </c>
      <c r="W153" s="126" t="n">
        <f aca="false">N153/$R$3</f>
        <v>0</v>
      </c>
    </row>
    <row r="154" customFormat="false" ht="12.75" hidden="true" customHeight="false" outlineLevel="0" collapsed="false">
      <c r="A154" s="120" t="n">
        <f aca="false">A153+1</f>
        <v>37040</v>
      </c>
      <c r="B154" s="131" t="str">
        <f aca="false">INDEX('Master Data'!$A$2:$B$8,MATCH(WEEKDAY('BRA PWR Certificates'!A154,3),'Master Data'!$A$2:$A$8,0),2)</f>
        <v>T</v>
      </c>
      <c r="D154" s="124" t="n">
        <v>0</v>
      </c>
      <c r="E154" s="124" t="n">
        <v>0</v>
      </c>
      <c r="F154" s="124" t="n">
        <v>0</v>
      </c>
      <c r="G154" s="124" t="n">
        <v>0</v>
      </c>
      <c r="I154" s="124" t="n">
        <f aca="false">IF(MONTH($A154)=MONTH($A153),IF(G154=0,I153,G154),G154)</f>
        <v>0</v>
      </c>
      <c r="J154" s="124" t="n">
        <f aca="false">IF(MONTH($A154)=MONTH($A153),SUM(I154-I153),I154)</f>
        <v>0</v>
      </c>
      <c r="K154" s="124" t="n">
        <f aca="false">IF(WEEKDAY(A154,3)&gt;4,0,(IF(A154&lt;K$2,0,IF(A154&lt;=K$3,1,0))))</f>
        <v>0</v>
      </c>
      <c r="L154" s="124" t="n">
        <f aca="false">J154*K154</f>
        <v>0</v>
      </c>
      <c r="M154" s="124" t="n">
        <f aca="false">SUM(J$97:J154)</f>
        <v>0</v>
      </c>
      <c r="N154" s="124" t="n">
        <f aca="false">SUM(J$6:J154)</f>
        <v>0</v>
      </c>
      <c r="P154" s="124" t="n">
        <f aca="false">D154/P$3</f>
        <v>0</v>
      </c>
      <c r="Q154" s="124" t="n">
        <f aca="false">E154/P$3</f>
        <v>0</v>
      </c>
      <c r="R154" s="124" t="n">
        <f aca="false">F154/R$3</f>
        <v>0</v>
      </c>
      <c r="S154" s="126" t="n">
        <f aca="false">J154/$R$3</f>
        <v>0</v>
      </c>
      <c r="T154" s="126" t="n">
        <f aca="false">L154/$R$3</f>
        <v>0</v>
      </c>
      <c r="U154" s="126" t="n">
        <f aca="false">I154/$R$3</f>
        <v>0</v>
      </c>
      <c r="V154" s="126" t="n">
        <f aca="false">M154/$R$3</f>
        <v>0</v>
      </c>
      <c r="W154" s="126" t="n">
        <f aca="false">N154/$R$3</f>
        <v>0</v>
      </c>
    </row>
    <row r="155" customFormat="false" ht="12.75" hidden="true" customHeight="false" outlineLevel="0" collapsed="false">
      <c r="A155" s="120" t="n">
        <f aca="false">A154+1</f>
        <v>37041</v>
      </c>
      <c r="B155" s="131" t="str">
        <f aca="false">INDEX('Master Data'!$A$2:$B$8,MATCH(WEEKDAY('BRA PWR Certificates'!A155,3),'Master Data'!$A$2:$A$8,0),2)</f>
        <v>W</v>
      </c>
      <c r="D155" s="124" t="n">
        <v>0</v>
      </c>
      <c r="E155" s="124" t="n">
        <v>0</v>
      </c>
      <c r="F155" s="124" t="n">
        <v>0</v>
      </c>
      <c r="G155" s="124" t="n">
        <v>0</v>
      </c>
      <c r="I155" s="124" t="n">
        <f aca="false">IF(MONTH($A155)=MONTH($A154),IF(G155=0,I154,G155),G155)</f>
        <v>0</v>
      </c>
      <c r="J155" s="124" t="n">
        <f aca="false">IF(MONTH($A155)=MONTH($A154),SUM(I155-I154),I155)</f>
        <v>0</v>
      </c>
      <c r="K155" s="124" t="n">
        <f aca="false">IF(WEEKDAY(A155,3)&gt;4,0,(IF(A155&lt;K$2,0,IF(A155&lt;=K$3,1,0))))</f>
        <v>0</v>
      </c>
      <c r="L155" s="124" t="n">
        <f aca="false">J155*K155</f>
        <v>0</v>
      </c>
      <c r="M155" s="124" t="n">
        <f aca="false">SUM(J$97:J155)</f>
        <v>0</v>
      </c>
      <c r="N155" s="124" t="n">
        <f aca="false">SUM(J$6:J155)</f>
        <v>0</v>
      </c>
      <c r="P155" s="124" t="n">
        <f aca="false">D155/P$3</f>
        <v>0</v>
      </c>
      <c r="Q155" s="124" t="n">
        <f aca="false">E155/P$3</f>
        <v>0</v>
      </c>
      <c r="R155" s="124" t="n">
        <f aca="false">F155/R$3</f>
        <v>0</v>
      </c>
      <c r="S155" s="126" t="n">
        <f aca="false">J155/$R$3</f>
        <v>0</v>
      </c>
      <c r="T155" s="126" t="n">
        <f aca="false">L155/$R$3</f>
        <v>0</v>
      </c>
      <c r="U155" s="126" t="n">
        <f aca="false">I155/$R$3</f>
        <v>0</v>
      </c>
      <c r="V155" s="126" t="n">
        <f aca="false">M155/$R$3</f>
        <v>0</v>
      </c>
      <c r="W155" s="126" t="n">
        <f aca="false">N155/$R$3</f>
        <v>0</v>
      </c>
    </row>
    <row r="156" customFormat="false" ht="12.75" hidden="true" customHeight="false" outlineLevel="0" collapsed="false">
      <c r="A156" s="120" t="n">
        <f aca="false">A155+1</f>
        <v>37042</v>
      </c>
      <c r="B156" s="131" t="str">
        <f aca="false">INDEX('Master Data'!$A$2:$B$8,MATCH(WEEKDAY('BRA PWR Certificates'!A156,3),'Master Data'!$A$2:$A$8,0),2)</f>
        <v>Th</v>
      </c>
      <c r="D156" s="124" t="n">
        <v>0</v>
      </c>
      <c r="E156" s="124" t="n">
        <v>0</v>
      </c>
      <c r="F156" s="124" t="n">
        <v>0</v>
      </c>
      <c r="G156" s="124" t="n">
        <v>0</v>
      </c>
      <c r="I156" s="124" t="n">
        <f aca="false">IF(MONTH($A156)=MONTH($A155),IF(G156=0,I155,G156),G156)</f>
        <v>0</v>
      </c>
      <c r="J156" s="124" t="n">
        <f aca="false">IF(MONTH($A156)=MONTH($A155),SUM(I156-I155),I156)</f>
        <v>0</v>
      </c>
      <c r="K156" s="124" t="n">
        <f aca="false">IF(WEEKDAY(A156,3)&gt;4,0,(IF(A156&lt;K$2,0,IF(A156&lt;=K$3,1,0))))</f>
        <v>0</v>
      </c>
      <c r="L156" s="124" t="n">
        <f aca="false">J156*K156</f>
        <v>0</v>
      </c>
      <c r="M156" s="124" t="n">
        <f aca="false">SUM(J$97:J156)</f>
        <v>0</v>
      </c>
      <c r="N156" s="124" t="n">
        <f aca="false">SUM(J$6:J156)</f>
        <v>0</v>
      </c>
      <c r="P156" s="124" t="n">
        <f aca="false">D156/P$3</f>
        <v>0</v>
      </c>
      <c r="Q156" s="124" t="n">
        <f aca="false">E156/P$3</f>
        <v>0</v>
      </c>
      <c r="R156" s="124" t="n">
        <f aca="false">F156/R$3</f>
        <v>0</v>
      </c>
      <c r="S156" s="126" t="n">
        <f aca="false">J156/$R$3</f>
        <v>0</v>
      </c>
      <c r="T156" s="126" t="n">
        <f aca="false">L156/$R$3</f>
        <v>0</v>
      </c>
      <c r="U156" s="126" t="n">
        <f aca="false">I156/$R$3</f>
        <v>0</v>
      </c>
      <c r="V156" s="126" t="n">
        <f aca="false">M156/$R$3</f>
        <v>0</v>
      </c>
      <c r="W156" s="126" t="n">
        <f aca="false">N156/$R$3</f>
        <v>0</v>
      </c>
    </row>
    <row r="157" customFormat="false" ht="12.75" hidden="true" customHeight="false" outlineLevel="0" collapsed="false">
      <c r="A157" s="120" t="n">
        <f aca="false">A156+1</f>
        <v>37043</v>
      </c>
      <c r="B157" s="131" t="str">
        <f aca="false">INDEX('Master Data'!$A$2:$B$8,MATCH(WEEKDAY('BRA PWR Certificates'!A157,3),'Master Data'!$A$2:$A$8,0),2)</f>
        <v>F</v>
      </c>
      <c r="D157" s="124" t="n">
        <v>0</v>
      </c>
      <c r="E157" s="124" t="n">
        <v>0</v>
      </c>
      <c r="F157" s="124" t="n">
        <v>0</v>
      </c>
      <c r="G157" s="124" t="n">
        <v>0</v>
      </c>
      <c r="I157" s="124" t="n">
        <f aca="false">IF(MONTH($A157)=MONTH($A156),IF(G157=0,I156,G157),G157)</f>
        <v>0</v>
      </c>
      <c r="J157" s="124" t="n">
        <f aca="false">IF(MONTH($A157)=MONTH($A156),SUM(I157-I156),I157)</f>
        <v>0</v>
      </c>
      <c r="K157" s="124" t="n">
        <f aca="false">IF(WEEKDAY(A157,3)&gt;4,0,(IF(A157&lt;K$2,0,IF(A157&lt;=K$3,1,0))))</f>
        <v>0</v>
      </c>
      <c r="L157" s="124" t="n">
        <f aca="false">J157*K157</f>
        <v>0</v>
      </c>
      <c r="M157" s="124" t="n">
        <f aca="false">SUM(J$97:J157)</f>
        <v>0</v>
      </c>
      <c r="N157" s="124" t="n">
        <f aca="false">SUM(J$6:J157)</f>
        <v>0</v>
      </c>
      <c r="P157" s="124" t="n">
        <f aca="false">D157/P$3</f>
        <v>0</v>
      </c>
      <c r="Q157" s="124" t="n">
        <f aca="false">E157/P$3</f>
        <v>0</v>
      </c>
      <c r="R157" s="124" t="n">
        <f aca="false">F157/R$3</f>
        <v>0</v>
      </c>
      <c r="S157" s="126" t="n">
        <f aca="false">J157/$R$3</f>
        <v>0</v>
      </c>
      <c r="T157" s="126" t="n">
        <f aca="false">L157/$R$3</f>
        <v>0</v>
      </c>
      <c r="U157" s="126" t="n">
        <f aca="false">I157/$R$3</f>
        <v>0</v>
      </c>
      <c r="V157" s="126" t="n">
        <f aca="false">M157/$R$3</f>
        <v>0</v>
      </c>
      <c r="W157" s="126" t="n">
        <f aca="false">N157/$R$3</f>
        <v>0</v>
      </c>
    </row>
    <row r="158" customFormat="false" ht="12.75" hidden="true" customHeight="false" outlineLevel="0" collapsed="false">
      <c r="A158" s="120" t="n">
        <f aca="false">A157+1</f>
        <v>37044</v>
      </c>
      <c r="B158" s="131" t="str">
        <f aca="false">INDEX('Master Data'!$A$2:$B$8,MATCH(WEEKDAY('BRA PWR Certificates'!A158,3),'Master Data'!$A$2:$A$8,0),2)</f>
        <v>Sa</v>
      </c>
      <c r="D158" s="124" t="n">
        <v>0</v>
      </c>
      <c r="E158" s="124" t="n">
        <v>0</v>
      </c>
      <c r="F158" s="124" t="n">
        <v>0</v>
      </c>
      <c r="G158" s="124" t="n">
        <v>0</v>
      </c>
      <c r="I158" s="124" t="n">
        <f aca="false">IF(MONTH($A158)=MONTH($A157),IF(G158=0,I157,G158),G158)</f>
        <v>0</v>
      </c>
      <c r="J158" s="124" t="n">
        <f aca="false">IF(MONTH($A158)=MONTH($A157),SUM(I158-I157),I158)</f>
        <v>0</v>
      </c>
      <c r="K158" s="124" t="n">
        <f aca="false">IF(WEEKDAY(A158,3)&gt;4,0,(IF(A158&lt;K$2,0,IF(A158&lt;=K$3,1,0))))</f>
        <v>0</v>
      </c>
      <c r="L158" s="124" t="n">
        <f aca="false">J158*K158</f>
        <v>0</v>
      </c>
      <c r="M158" s="124" t="n">
        <f aca="false">SUM(J$97:J158)</f>
        <v>0</v>
      </c>
      <c r="N158" s="124" t="n">
        <f aca="false">SUM(J$6:J158)</f>
        <v>0</v>
      </c>
      <c r="P158" s="124" t="n">
        <f aca="false">D158/P$3</f>
        <v>0</v>
      </c>
      <c r="Q158" s="124" t="n">
        <f aca="false">E158/P$3</f>
        <v>0</v>
      </c>
      <c r="R158" s="124" t="n">
        <f aca="false">F158/R$3</f>
        <v>0</v>
      </c>
      <c r="S158" s="126" t="n">
        <f aca="false">J158/$R$3</f>
        <v>0</v>
      </c>
      <c r="T158" s="126" t="n">
        <f aca="false">L158/$R$3</f>
        <v>0</v>
      </c>
      <c r="U158" s="126" t="n">
        <f aca="false">I158/$R$3</f>
        <v>0</v>
      </c>
      <c r="V158" s="126" t="n">
        <f aca="false">M158/$R$3</f>
        <v>0</v>
      </c>
      <c r="W158" s="126" t="n">
        <f aca="false">N158/$R$3</f>
        <v>0</v>
      </c>
    </row>
    <row r="159" customFormat="false" ht="12.75" hidden="true" customHeight="false" outlineLevel="0" collapsed="false">
      <c r="A159" s="120" t="n">
        <f aca="false">A158+1</f>
        <v>37045</v>
      </c>
      <c r="B159" s="131" t="str">
        <f aca="false">INDEX('Master Data'!$A$2:$B$8,MATCH(WEEKDAY('BRA PWR Certificates'!A159,3),'Master Data'!$A$2:$A$8,0),2)</f>
        <v>Su</v>
      </c>
      <c r="D159" s="124" t="n">
        <v>0</v>
      </c>
      <c r="E159" s="124" t="n">
        <v>0</v>
      </c>
      <c r="F159" s="124" t="n">
        <v>0</v>
      </c>
      <c r="G159" s="124" t="n">
        <v>0</v>
      </c>
      <c r="I159" s="124" t="n">
        <f aca="false">IF(MONTH($A159)=MONTH($A158),IF(G159=0,I158,G159),G159)</f>
        <v>0</v>
      </c>
      <c r="J159" s="124" t="n">
        <f aca="false">IF(MONTH($A159)=MONTH($A158),SUM(I159-I158),I159)</f>
        <v>0</v>
      </c>
      <c r="K159" s="124" t="n">
        <f aca="false">IF(WEEKDAY(A159,3)&gt;4,0,(IF(A159&lt;K$2,0,IF(A159&lt;=K$3,1,0))))</f>
        <v>0</v>
      </c>
      <c r="L159" s="124" t="n">
        <f aca="false">J159*K159</f>
        <v>0</v>
      </c>
      <c r="M159" s="124" t="n">
        <f aca="false">SUM(J$97:J159)</f>
        <v>0</v>
      </c>
      <c r="N159" s="124" t="n">
        <f aca="false">SUM(J$6:J159)</f>
        <v>0</v>
      </c>
      <c r="P159" s="124" t="n">
        <f aca="false">D159/P$3</f>
        <v>0</v>
      </c>
      <c r="Q159" s="124" t="n">
        <f aca="false">E159/P$3</f>
        <v>0</v>
      </c>
      <c r="R159" s="124" t="n">
        <f aca="false">F159/R$3</f>
        <v>0</v>
      </c>
      <c r="S159" s="126" t="n">
        <f aca="false">J159/$R$3</f>
        <v>0</v>
      </c>
      <c r="T159" s="126" t="n">
        <f aca="false">L159/$R$3</f>
        <v>0</v>
      </c>
      <c r="U159" s="126" t="n">
        <f aca="false">I159/$R$3</f>
        <v>0</v>
      </c>
      <c r="V159" s="126" t="n">
        <f aca="false">M159/$R$3</f>
        <v>0</v>
      </c>
      <c r="W159" s="126" t="n">
        <f aca="false">N159/$R$3</f>
        <v>0</v>
      </c>
    </row>
    <row r="160" customFormat="false" ht="12.75" hidden="true" customHeight="false" outlineLevel="0" collapsed="false">
      <c r="A160" s="120" t="n">
        <f aca="false">A159+1</f>
        <v>37046</v>
      </c>
      <c r="B160" s="131" t="str">
        <f aca="false">INDEX('Master Data'!$A$2:$B$8,MATCH(WEEKDAY('BRA PWR Certificates'!A160,3),'Master Data'!$A$2:$A$8,0),2)</f>
        <v>M</v>
      </c>
      <c r="D160" s="124" t="n">
        <v>0</v>
      </c>
      <c r="E160" s="124" t="n">
        <v>0</v>
      </c>
      <c r="F160" s="124" t="n">
        <v>0</v>
      </c>
      <c r="G160" s="124" t="n">
        <v>0</v>
      </c>
      <c r="I160" s="124" t="n">
        <f aca="false">IF(MONTH($A160)=MONTH($A159),IF(G160=0,I159,G160),G160)</f>
        <v>0</v>
      </c>
      <c r="J160" s="124" t="n">
        <f aca="false">IF(MONTH($A160)=MONTH($A159),SUM(I160-I159),I160)</f>
        <v>0</v>
      </c>
      <c r="K160" s="124" t="n">
        <f aca="false">IF(WEEKDAY(A160,3)&gt;4,0,(IF(A160&lt;K$2,0,IF(A160&lt;=K$3,1,0))))</f>
        <v>0</v>
      </c>
      <c r="L160" s="124" t="n">
        <f aca="false">J160*K160</f>
        <v>0</v>
      </c>
      <c r="M160" s="124" t="n">
        <f aca="false">SUM(J$97:J160)</f>
        <v>0</v>
      </c>
      <c r="N160" s="124" t="n">
        <f aca="false">SUM(J$6:J160)</f>
        <v>0</v>
      </c>
      <c r="P160" s="124" t="n">
        <f aca="false">D160/P$3</f>
        <v>0</v>
      </c>
      <c r="Q160" s="124" t="n">
        <f aca="false">E160/P$3</f>
        <v>0</v>
      </c>
      <c r="R160" s="124" t="n">
        <f aca="false">F160/R$3</f>
        <v>0</v>
      </c>
      <c r="S160" s="126" t="n">
        <f aca="false">J160/$R$3</f>
        <v>0</v>
      </c>
      <c r="T160" s="126" t="n">
        <f aca="false">L160/$R$3</f>
        <v>0</v>
      </c>
      <c r="U160" s="126" t="n">
        <f aca="false">I160/$R$3</f>
        <v>0</v>
      </c>
      <c r="V160" s="126" t="n">
        <f aca="false">M160/$R$3</f>
        <v>0</v>
      </c>
      <c r="W160" s="126" t="n">
        <f aca="false">N160/$R$3</f>
        <v>0</v>
      </c>
    </row>
    <row r="161" customFormat="false" ht="12.75" hidden="true" customHeight="false" outlineLevel="0" collapsed="false">
      <c r="A161" s="120" t="n">
        <f aca="false">A160+1</f>
        <v>37047</v>
      </c>
      <c r="B161" s="131" t="str">
        <f aca="false">INDEX('Master Data'!$A$2:$B$8,MATCH(WEEKDAY('BRA PWR Certificates'!A161,3),'Master Data'!$A$2:$A$8,0),2)</f>
        <v>T</v>
      </c>
      <c r="D161" s="124" t="n">
        <v>0</v>
      </c>
      <c r="E161" s="124" t="n">
        <v>0</v>
      </c>
      <c r="F161" s="124" t="n">
        <v>0</v>
      </c>
      <c r="G161" s="124" t="n">
        <v>0</v>
      </c>
      <c r="I161" s="124" t="n">
        <f aca="false">IF(MONTH($A161)=MONTH($A160),IF(G161=0,I160,G161),G161)</f>
        <v>0</v>
      </c>
      <c r="J161" s="124" t="n">
        <f aca="false">IF(MONTH($A161)=MONTH($A160),SUM(I161-I160),I161)</f>
        <v>0</v>
      </c>
      <c r="K161" s="124" t="n">
        <f aca="false">IF(WEEKDAY(A161,3)&gt;4,0,(IF(A161&lt;K$2,0,IF(A161&lt;=K$3,1,0))))</f>
        <v>0</v>
      </c>
      <c r="L161" s="124" t="n">
        <f aca="false">J161*K161</f>
        <v>0</v>
      </c>
      <c r="M161" s="124" t="n">
        <f aca="false">SUM(J$97:J161)</f>
        <v>0</v>
      </c>
      <c r="N161" s="124" t="n">
        <f aca="false">SUM(J$6:J161)</f>
        <v>0</v>
      </c>
      <c r="P161" s="124" t="n">
        <f aca="false">D161/P$3</f>
        <v>0</v>
      </c>
      <c r="Q161" s="124" t="n">
        <f aca="false">E161/P$3</f>
        <v>0</v>
      </c>
      <c r="R161" s="124" t="n">
        <f aca="false">F161/R$3</f>
        <v>0</v>
      </c>
      <c r="S161" s="126" t="n">
        <f aca="false">J161/$R$3</f>
        <v>0</v>
      </c>
      <c r="T161" s="126" t="n">
        <f aca="false">L161/$R$3</f>
        <v>0</v>
      </c>
      <c r="U161" s="126" t="n">
        <f aca="false">I161/$R$3</f>
        <v>0</v>
      </c>
      <c r="V161" s="126" t="n">
        <f aca="false">M161/$R$3</f>
        <v>0</v>
      </c>
      <c r="W161" s="126" t="n">
        <f aca="false">N161/$R$3</f>
        <v>0</v>
      </c>
    </row>
    <row r="162" customFormat="false" ht="12.75" hidden="true" customHeight="false" outlineLevel="0" collapsed="false">
      <c r="A162" s="120" t="n">
        <f aca="false">A161+1</f>
        <v>37048</v>
      </c>
      <c r="B162" s="131" t="str">
        <f aca="false">INDEX('Master Data'!$A$2:$B$8,MATCH(WEEKDAY('BRA PWR Certificates'!A162,3),'Master Data'!$A$2:$A$8,0),2)</f>
        <v>W</v>
      </c>
      <c r="D162" s="124" t="n">
        <v>0</v>
      </c>
      <c r="E162" s="124" t="n">
        <v>0</v>
      </c>
      <c r="F162" s="124" t="n">
        <v>0</v>
      </c>
      <c r="G162" s="124" t="n">
        <v>0</v>
      </c>
      <c r="I162" s="124" t="n">
        <f aca="false">IF(MONTH($A162)=MONTH($A161),IF(G162=0,I161,G162),G162)</f>
        <v>0</v>
      </c>
      <c r="J162" s="124" t="n">
        <f aca="false">IF(MONTH($A162)=MONTH($A161),SUM(I162-I161),I162)</f>
        <v>0</v>
      </c>
      <c r="K162" s="124" t="n">
        <f aca="false">IF(WEEKDAY(A162,3)&gt;4,0,(IF(A162&lt;K$2,0,IF(A162&lt;=K$3,1,0))))</f>
        <v>0</v>
      </c>
      <c r="L162" s="124" t="n">
        <f aca="false">J162*K162</f>
        <v>0</v>
      </c>
      <c r="M162" s="124" t="n">
        <f aca="false">SUM(J$97:J162)</f>
        <v>0</v>
      </c>
      <c r="N162" s="124" t="n">
        <f aca="false">SUM(J$6:J162)</f>
        <v>0</v>
      </c>
      <c r="P162" s="124" t="n">
        <f aca="false">D162/P$3</f>
        <v>0</v>
      </c>
      <c r="Q162" s="124" t="n">
        <f aca="false">E162/P$3</f>
        <v>0</v>
      </c>
      <c r="R162" s="124" t="n">
        <f aca="false">F162/R$3</f>
        <v>0</v>
      </c>
      <c r="S162" s="126" t="n">
        <f aca="false">J162/$R$3</f>
        <v>0</v>
      </c>
      <c r="T162" s="126" t="n">
        <f aca="false">L162/$R$3</f>
        <v>0</v>
      </c>
      <c r="U162" s="126" t="n">
        <f aca="false">I162/$R$3</f>
        <v>0</v>
      </c>
      <c r="V162" s="126" t="n">
        <f aca="false">M162/$R$3</f>
        <v>0</v>
      </c>
      <c r="W162" s="126" t="n">
        <f aca="false">N162/$R$3</f>
        <v>0</v>
      </c>
    </row>
    <row r="163" customFormat="false" ht="12.75" hidden="true" customHeight="false" outlineLevel="0" collapsed="false">
      <c r="A163" s="120" t="n">
        <f aca="false">A162+1</f>
        <v>37049</v>
      </c>
      <c r="B163" s="131" t="str">
        <f aca="false">INDEX('Master Data'!$A$2:$B$8,MATCH(WEEKDAY('BRA PWR Certificates'!A163,3),'Master Data'!$A$2:$A$8,0),2)</f>
        <v>Th</v>
      </c>
      <c r="D163" s="124" t="n">
        <v>0</v>
      </c>
      <c r="E163" s="124" t="n">
        <v>0</v>
      </c>
      <c r="F163" s="124" t="n">
        <v>0</v>
      </c>
      <c r="G163" s="124" t="n">
        <v>0</v>
      </c>
      <c r="I163" s="124" t="n">
        <f aca="false">IF(MONTH($A163)=MONTH($A162),IF(G163=0,I162,G163),G163)</f>
        <v>0</v>
      </c>
      <c r="J163" s="124" t="n">
        <f aca="false">IF(MONTH($A163)=MONTH($A162),SUM(I163-I162),I163)</f>
        <v>0</v>
      </c>
      <c r="K163" s="124" t="n">
        <f aca="false">IF(WEEKDAY(A163,3)&gt;4,0,(IF(A163&lt;K$2,0,IF(A163&lt;=K$3,1,0))))</f>
        <v>0</v>
      </c>
      <c r="L163" s="124" t="n">
        <f aca="false">J163*K163</f>
        <v>0</v>
      </c>
      <c r="M163" s="124" t="n">
        <f aca="false">SUM(J$97:J163)</f>
        <v>0</v>
      </c>
      <c r="N163" s="124" t="n">
        <f aca="false">SUM(J$6:J163)</f>
        <v>0</v>
      </c>
      <c r="P163" s="124" t="n">
        <f aca="false">D163/P$3</f>
        <v>0</v>
      </c>
      <c r="Q163" s="124" t="n">
        <f aca="false">E163/P$3</f>
        <v>0</v>
      </c>
      <c r="R163" s="124" t="n">
        <f aca="false">F163/R$3</f>
        <v>0</v>
      </c>
      <c r="S163" s="126" t="n">
        <f aca="false">J163/$R$3</f>
        <v>0</v>
      </c>
      <c r="T163" s="126" t="n">
        <f aca="false">L163/$R$3</f>
        <v>0</v>
      </c>
      <c r="U163" s="126" t="n">
        <f aca="false">I163/$R$3</f>
        <v>0</v>
      </c>
      <c r="V163" s="126" t="n">
        <f aca="false">M163/$R$3</f>
        <v>0</v>
      </c>
      <c r="W163" s="126" t="n">
        <f aca="false">N163/$R$3</f>
        <v>0</v>
      </c>
    </row>
    <row r="164" customFormat="false" ht="12.75" hidden="true" customHeight="false" outlineLevel="0" collapsed="false">
      <c r="A164" s="120" t="n">
        <f aca="false">A163+1</f>
        <v>37050</v>
      </c>
      <c r="B164" s="131" t="str">
        <f aca="false">INDEX('Master Data'!$A$2:$B$8,MATCH(WEEKDAY('BRA PWR Certificates'!A164,3),'Master Data'!$A$2:$A$8,0),2)</f>
        <v>F</v>
      </c>
      <c r="D164" s="124" t="n">
        <v>0</v>
      </c>
      <c r="E164" s="124" t="n">
        <v>0</v>
      </c>
      <c r="F164" s="124" t="n">
        <v>0</v>
      </c>
      <c r="G164" s="124" t="n">
        <v>0</v>
      </c>
      <c r="I164" s="124" t="n">
        <f aca="false">IF(MONTH($A164)=MONTH($A163),IF(G164=0,I163,G164),G164)</f>
        <v>0</v>
      </c>
      <c r="J164" s="124" t="n">
        <f aca="false">IF(MONTH($A164)=MONTH($A163),SUM(I164-I163),I164)</f>
        <v>0</v>
      </c>
      <c r="K164" s="124" t="n">
        <f aca="false">IF(WEEKDAY(A164,3)&gt;4,0,(IF(A164&lt;K$2,0,IF(A164&lt;=K$3,1,0))))</f>
        <v>0</v>
      </c>
      <c r="L164" s="124" t="n">
        <f aca="false">J164*K164</f>
        <v>0</v>
      </c>
      <c r="M164" s="124" t="n">
        <f aca="false">SUM(J$97:J164)</f>
        <v>0</v>
      </c>
      <c r="N164" s="124" t="n">
        <f aca="false">SUM(J$6:J164)</f>
        <v>0</v>
      </c>
      <c r="P164" s="124" t="n">
        <f aca="false">D164/P$3</f>
        <v>0</v>
      </c>
      <c r="Q164" s="124" t="n">
        <f aca="false">E164/P$3</f>
        <v>0</v>
      </c>
      <c r="R164" s="124" t="n">
        <f aca="false">F164/R$3</f>
        <v>0</v>
      </c>
      <c r="S164" s="126" t="n">
        <f aca="false">J164/$R$3</f>
        <v>0</v>
      </c>
      <c r="T164" s="126" t="n">
        <f aca="false">L164/$R$3</f>
        <v>0</v>
      </c>
      <c r="U164" s="126" t="n">
        <f aca="false">I164/$R$3</f>
        <v>0</v>
      </c>
      <c r="V164" s="126" t="n">
        <f aca="false">M164/$R$3</f>
        <v>0</v>
      </c>
      <c r="W164" s="126" t="n">
        <f aca="false">N164/$R$3</f>
        <v>0</v>
      </c>
    </row>
    <row r="165" customFormat="false" ht="12.75" hidden="true" customHeight="false" outlineLevel="0" collapsed="false">
      <c r="A165" s="120" t="n">
        <f aca="false">A164+1</f>
        <v>37051</v>
      </c>
      <c r="B165" s="131" t="str">
        <f aca="false">INDEX('Master Data'!$A$2:$B$8,MATCH(WEEKDAY('BRA PWR Certificates'!A165,3),'Master Data'!$A$2:$A$8,0),2)</f>
        <v>Sa</v>
      </c>
      <c r="D165" s="124" t="n">
        <v>0</v>
      </c>
      <c r="E165" s="124" t="n">
        <v>0</v>
      </c>
      <c r="F165" s="124" t="n">
        <v>0</v>
      </c>
      <c r="G165" s="124" t="n">
        <v>0</v>
      </c>
      <c r="I165" s="124" t="n">
        <f aca="false">IF(MONTH($A165)=MONTH($A164),IF(G165=0,I164,G165),G165)</f>
        <v>0</v>
      </c>
      <c r="J165" s="124" t="n">
        <f aca="false">IF(MONTH($A165)=MONTH($A164),SUM(I165-I164),I165)</f>
        <v>0</v>
      </c>
      <c r="K165" s="124" t="n">
        <f aca="false">IF(WEEKDAY(A165,3)&gt;4,0,(IF(A165&lt;K$2,0,IF(A165&lt;=K$3,1,0))))</f>
        <v>0</v>
      </c>
      <c r="L165" s="124" t="n">
        <f aca="false">J165*K165</f>
        <v>0</v>
      </c>
      <c r="M165" s="124" t="n">
        <f aca="false">SUM(J$97:J165)</f>
        <v>0</v>
      </c>
      <c r="N165" s="124" t="n">
        <f aca="false">SUM(J$6:J165)</f>
        <v>0</v>
      </c>
      <c r="P165" s="124" t="n">
        <f aca="false">D165/P$3</f>
        <v>0</v>
      </c>
      <c r="Q165" s="124" t="n">
        <f aca="false">E165/P$3</f>
        <v>0</v>
      </c>
      <c r="R165" s="124" t="n">
        <f aca="false">F165/R$3</f>
        <v>0</v>
      </c>
      <c r="S165" s="126" t="n">
        <f aca="false">J165/$R$3</f>
        <v>0</v>
      </c>
      <c r="T165" s="126" t="n">
        <f aca="false">L165/$R$3</f>
        <v>0</v>
      </c>
      <c r="U165" s="126" t="n">
        <f aca="false">I165/$R$3</f>
        <v>0</v>
      </c>
      <c r="V165" s="126" t="n">
        <f aca="false">M165/$R$3</f>
        <v>0</v>
      </c>
      <c r="W165" s="126" t="n">
        <f aca="false">N165/$R$3</f>
        <v>0</v>
      </c>
    </row>
    <row r="166" customFormat="false" ht="12.75" hidden="true" customHeight="false" outlineLevel="0" collapsed="false">
      <c r="A166" s="120" t="n">
        <f aca="false">A165+1</f>
        <v>37052</v>
      </c>
      <c r="B166" s="131" t="str">
        <f aca="false">INDEX('Master Data'!$A$2:$B$8,MATCH(WEEKDAY('BRA PWR Certificates'!A166,3),'Master Data'!$A$2:$A$8,0),2)</f>
        <v>Su</v>
      </c>
      <c r="D166" s="124" t="n">
        <v>0</v>
      </c>
      <c r="E166" s="124" t="n">
        <v>0</v>
      </c>
      <c r="F166" s="124" t="n">
        <v>0</v>
      </c>
      <c r="G166" s="124" t="n">
        <v>0</v>
      </c>
      <c r="I166" s="124" t="n">
        <f aca="false">IF(MONTH($A166)=MONTH($A165),IF(G166=0,I165,G166),G166)</f>
        <v>0</v>
      </c>
      <c r="J166" s="124" t="n">
        <f aca="false">IF(MONTH($A166)=MONTH($A165),SUM(I166-I165),I166)</f>
        <v>0</v>
      </c>
      <c r="K166" s="124" t="n">
        <f aca="false">IF(WEEKDAY(A166,3)&gt;4,0,(IF(A166&lt;K$2,0,IF(A166&lt;=K$3,1,0))))</f>
        <v>0</v>
      </c>
      <c r="L166" s="124" t="n">
        <f aca="false">J166*K166</f>
        <v>0</v>
      </c>
      <c r="M166" s="124" t="n">
        <f aca="false">SUM(J$97:J166)</f>
        <v>0</v>
      </c>
      <c r="N166" s="124" t="n">
        <f aca="false">SUM(J$6:J166)</f>
        <v>0</v>
      </c>
      <c r="P166" s="124" t="n">
        <f aca="false">D166/P$3</f>
        <v>0</v>
      </c>
      <c r="Q166" s="124" t="n">
        <f aca="false">E166/P$3</f>
        <v>0</v>
      </c>
      <c r="R166" s="124" t="n">
        <f aca="false">F166/R$3</f>
        <v>0</v>
      </c>
      <c r="S166" s="126" t="n">
        <f aca="false">J166/$R$3</f>
        <v>0</v>
      </c>
      <c r="T166" s="126" t="n">
        <f aca="false">L166/$R$3</f>
        <v>0</v>
      </c>
      <c r="U166" s="126" t="n">
        <f aca="false">I166/$R$3</f>
        <v>0</v>
      </c>
      <c r="V166" s="126" t="n">
        <f aca="false">M166/$R$3</f>
        <v>0</v>
      </c>
      <c r="W166" s="126" t="n">
        <f aca="false">N166/$R$3</f>
        <v>0</v>
      </c>
    </row>
    <row r="167" customFormat="false" ht="12.75" hidden="true" customHeight="false" outlineLevel="0" collapsed="false">
      <c r="A167" s="120" t="n">
        <f aca="false">A166+1</f>
        <v>37053</v>
      </c>
      <c r="B167" s="131" t="str">
        <f aca="false">INDEX('Master Data'!$A$2:$B$8,MATCH(WEEKDAY('BRA PWR Certificates'!A167,3),'Master Data'!$A$2:$A$8,0),2)</f>
        <v>M</v>
      </c>
      <c r="D167" s="124" t="n">
        <v>0</v>
      </c>
      <c r="E167" s="124" t="n">
        <v>0</v>
      </c>
      <c r="F167" s="124" t="n">
        <v>0</v>
      </c>
      <c r="G167" s="124" t="n">
        <v>0</v>
      </c>
      <c r="I167" s="124" t="n">
        <f aca="false">IF(MONTH($A167)=MONTH($A166),IF(G167=0,I166,G167),G167)</f>
        <v>0</v>
      </c>
      <c r="J167" s="124" t="n">
        <f aca="false">IF(MONTH($A167)=MONTH($A166),SUM(I167-I166),I167)</f>
        <v>0</v>
      </c>
      <c r="K167" s="124" t="n">
        <f aca="false">IF(WEEKDAY(A167,3)&gt;4,0,(IF(A167&lt;K$2,0,IF(A167&lt;=K$3,1,0))))</f>
        <v>0</v>
      </c>
      <c r="L167" s="124" t="n">
        <f aca="false">J167*K167</f>
        <v>0</v>
      </c>
      <c r="M167" s="124" t="n">
        <f aca="false">SUM(J$97:J167)</f>
        <v>0</v>
      </c>
      <c r="N167" s="124" t="n">
        <f aca="false">SUM(J$6:J167)</f>
        <v>0</v>
      </c>
      <c r="P167" s="124" t="n">
        <f aca="false">D167/P$3</f>
        <v>0</v>
      </c>
      <c r="Q167" s="124" t="n">
        <f aca="false">E167/P$3</f>
        <v>0</v>
      </c>
      <c r="R167" s="124" t="n">
        <f aca="false">F167/R$3</f>
        <v>0</v>
      </c>
      <c r="S167" s="126" t="n">
        <f aca="false">J167/$R$3</f>
        <v>0</v>
      </c>
      <c r="T167" s="126" t="n">
        <f aca="false">L167/$R$3</f>
        <v>0</v>
      </c>
      <c r="U167" s="126" t="n">
        <f aca="false">I167/$R$3</f>
        <v>0</v>
      </c>
      <c r="V167" s="126" t="n">
        <f aca="false">M167/$R$3</f>
        <v>0</v>
      </c>
      <c r="W167" s="126" t="n">
        <f aca="false">N167/$R$3</f>
        <v>0</v>
      </c>
    </row>
    <row r="168" customFormat="false" ht="12.75" hidden="true" customHeight="false" outlineLevel="0" collapsed="false">
      <c r="A168" s="120" t="n">
        <f aca="false">A167+1</f>
        <v>37054</v>
      </c>
      <c r="B168" s="131" t="str">
        <f aca="false">INDEX('Master Data'!$A$2:$B$8,MATCH(WEEKDAY('BRA PWR Certificates'!A168,3),'Master Data'!$A$2:$A$8,0),2)</f>
        <v>T</v>
      </c>
      <c r="D168" s="124" t="n">
        <v>0</v>
      </c>
      <c r="E168" s="124" t="n">
        <v>0</v>
      </c>
      <c r="F168" s="124" t="n">
        <v>0</v>
      </c>
      <c r="G168" s="124" t="n">
        <v>0</v>
      </c>
      <c r="I168" s="124" t="n">
        <f aca="false">IF(MONTH($A168)=MONTH($A167),IF(G168=0,I167,G168),G168)</f>
        <v>0</v>
      </c>
      <c r="J168" s="124" t="n">
        <f aca="false">IF(MONTH($A168)=MONTH($A167),SUM(I168-I167),I168)</f>
        <v>0</v>
      </c>
      <c r="K168" s="124" t="n">
        <f aca="false">IF(WEEKDAY(A168,3)&gt;4,0,(IF(A168&lt;K$2,0,IF(A168&lt;=K$3,1,0))))</f>
        <v>0</v>
      </c>
      <c r="L168" s="124" t="n">
        <f aca="false">J168*K168</f>
        <v>0</v>
      </c>
      <c r="M168" s="124" t="n">
        <f aca="false">SUM(J$97:J168)</f>
        <v>0</v>
      </c>
      <c r="N168" s="124" t="n">
        <f aca="false">SUM(J$6:J168)</f>
        <v>0</v>
      </c>
      <c r="P168" s="124" t="n">
        <f aca="false">D168/P$3</f>
        <v>0</v>
      </c>
      <c r="Q168" s="124" t="n">
        <f aca="false">E168/P$3</f>
        <v>0</v>
      </c>
      <c r="R168" s="124" t="n">
        <f aca="false">F168/R$3</f>
        <v>0</v>
      </c>
      <c r="S168" s="126" t="n">
        <f aca="false">J168/$R$3</f>
        <v>0</v>
      </c>
      <c r="T168" s="126" t="n">
        <f aca="false">L168/$R$3</f>
        <v>0</v>
      </c>
      <c r="U168" s="126" t="n">
        <f aca="false">I168/$R$3</f>
        <v>0</v>
      </c>
      <c r="V168" s="126" t="n">
        <f aca="false">M168/$R$3</f>
        <v>0</v>
      </c>
      <c r="W168" s="126" t="n">
        <f aca="false">N168/$R$3</f>
        <v>0</v>
      </c>
    </row>
    <row r="169" customFormat="false" ht="12.75" hidden="true" customHeight="false" outlineLevel="0" collapsed="false">
      <c r="A169" s="120" t="n">
        <f aca="false">A168+1</f>
        <v>37055</v>
      </c>
      <c r="B169" s="131" t="str">
        <f aca="false">INDEX('Master Data'!$A$2:$B$8,MATCH(WEEKDAY('BRA PWR Certificates'!A169,3),'Master Data'!$A$2:$A$8,0),2)</f>
        <v>W</v>
      </c>
      <c r="D169" s="124" t="n">
        <v>0</v>
      </c>
      <c r="E169" s="124" t="n">
        <v>0</v>
      </c>
      <c r="F169" s="124" t="n">
        <v>0</v>
      </c>
      <c r="G169" s="124" t="n">
        <v>0</v>
      </c>
      <c r="I169" s="124" t="n">
        <f aca="false">IF(MONTH($A169)=MONTH($A168),IF(G169=0,I168,G169),G169)</f>
        <v>0</v>
      </c>
      <c r="J169" s="124" t="n">
        <f aca="false">IF(MONTH($A169)=MONTH($A168),SUM(I169-I168),I169)</f>
        <v>0</v>
      </c>
      <c r="K169" s="124" t="n">
        <f aca="false">IF(WEEKDAY(A169,3)&gt;4,0,(IF(A169&lt;K$2,0,IF(A169&lt;=K$3,1,0))))</f>
        <v>0</v>
      </c>
      <c r="L169" s="124" t="n">
        <f aca="false">J169*K169</f>
        <v>0</v>
      </c>
      <c r="M169" s="124" t="n">
        <f aca="false">SUM(J$97:J169)</f>
        <v>0</v>
      </c>
      <c r="N169" s="124" t="n">
        <f aca="false">SUM(J$6:J169)</f>
        <v>0</v>
      </c>
      <c r="P169" s="124" t="n">
        <f aca="false">D169/P$3</f>
        <v>0</v>
      </c>
      <c r="Q169" s="124" t="n">
        <f aca="false">E169/P$3</f>
        <v>0</v>
      </c>
      <c r="R169" s="124" t="n">
        <f aca="false">F169/R$3</f>
        <v>0</v>
      </c>
      <c r="S169" s="126" t="n">
        <f aca="false">J169/$R$3</f>
        <v>0</v>
      </c>
      <c r="T169" s="126" t="n">
        <f aca="false">L169/$R$3</f>
        <v>0</v>
      </c>
      <c r="U169" s="126" t="n">
        <f aca="false">I169/$R$3</f>
        <v>0</v>
      </c>
      <c r="V169" s="126" t="n">
        <f aca="false">M169/$R$3</f>
        <v>0</v>
      </c>
      <c r="W169" s="126" t="n">
        <f aca="false">N169/$R$3</f>
        <v>0</v>
      </c>
    </row>
    <row r="170" customFormat="false" ht="12.75" hidden="true" customHeight="false" outlineLevel="0" collapsed="false">
      <c r="A170" s="120" t="n">
        <f aca="false">A169+1</f>
        <v>37056</v>
      </c>
      <c r="B170" s="131" t="str">
        <f aca="false">INDEX('Master Data'!$A$2:$B$8,MATCH(WEEKDAY('BRA PWR Certificates'!A170,3),'Master Data'!$A$2:$A$8,0),2)</f>
        <v>Th</v>
      </c>
      <c r="D170" s="124" t="n">
        <v>0</v>
      </c>
      <c r="E170" s="124" t="n">
        <v>0</v>
      </c>
      <c r="F170" s="124" t="n">
        <v>0</v>
      </c>
      <c r="G170" s="124" t="n">
        <v>0</v>
      </c>
      <c r="I170" s="124" t="n">
        <f aca="false">IF(MONTH($A170)=MONTH($A169),IF(G170=0,I169,G170),G170)</f>
        <v>0</v>
      </c>
      <c r="J170" s="124" t="n">
        <f aca="false">IF(MONTH($A170)=MONTH($A169),SUM(I170-I169),I170)</f>
        <v>0</v>
      </c>
      <c r="K170" s="124" t="n">
        <f aca="false">IF(WEEKDAY(A170,3)&gt;4,0,(IF(A170&lt;K$2,0,IF(A170&lt;=K$3,1,0))))</f>
        <v>0</v>
      </c>
      <c r="L170" s="124" t="n">
        <f aca="false">J170*K170</f>
        <v>0</v>
      </c>
      <c r="M170" s="124" t="n">
        <f aca="false">SUM(J$97:J170)</f>
        <v>0</v>
      </c>
      <c r="N170" s="124" t="n">
        <f aca="false">SUM(J$6:J170)</f>
        <v>0</v>
      </c>
      <c r="P170" s="124" t="n">
        <f aca="false">D170/P$3</f>
        <v>0</v>
      </c>
      <c r="Q170" s="124" t="n">
        <f aca="false">E170/P$3</f>
        <v>0</v>
      </c>
      <c r="R170" s="124" t="n">
        <f aca="false">F170/R$3</f>
        <v>0</v>
      </c>
      <c r="S170" s="126" t="n">
        <f aca="false">J170/$R$3</f>
        <v>0</v>
      </c>
      <c r="T170" s="126" t="n">
        <f aca="false">L170/$R$3</f>
        <v>0</v>
      </c>
      <c r="U170" s="126" t="n">
        <f aca="false">I170/$R$3</f>
        <v>0</v>
      </c>
      <c r="V170" s="126" t="n">
        <f aca="false">M170/$R$3</f>
        <v>0</v>
      </c>
      <c r="W170" s="126" t="n">
        <f aca="false">N170/$R$3</f>
        <v>0</v>
      </c>
    </row>
    <row r="171" customFormat="false" ht="12.75" hidden="true" customHeight="false" outlineLevel="0" collapsed="false">
      <c r="A171" s="120" t="n">
        <f aca="false">A170+1</f>
        <v>37057</v>
      </c>
      <c r="B171" s="131" t="str">
        <f aca="false">INDEX('Master Data'!$A$2:$B$8,MATCH(WEEKDAY('BRA PWR Certificates'!A171,3),'Master Data'!$A$2:$A$8,0),2)</f>
        <v>F</v>
      </c>
      <c r="D171" s="124" t="n">
        <v>0</v>
      </c>
      <c r="E171" s="124" t="n">
        <v>0</v>
      </c>
      <c r="F171" s="124" t="n">
        <v>0</v>
      </c>
      <c r="G171" s="124" t="n">
        <v>0</v>
      </c>
      <c r="I171" s="124" t="n">
        <f aca="false">IF(MONTH($A171)=MONTH($A170),IF(G171=0,I170,G171),G171)</f>
        <v>0</v>
      </c>
      <c r="J171" s="124" t="n">
        <f aca="false">IF(MONTH($A171)=MONTH($A170),SUM(I171-I170),I171)</f>
        <v>0</v>
      </c>
      <c r="K171" s="124" t="n">
        <f aca="false">IF(WEEKDAY(A171,3)&gt;4,0,(IF(A171&lt;K$2,0,IF(A171&lt;=K$3,1,0))))</f>
        <v>0</v>
      </c>
      <c r="L171" s="124" t="n">
        <f aca="false">J171*K171</f>
        <v>0</v>
      </c>
      <c r="M171" s="124" t="n">
        <f aca="false">SUM(J$97:J171)</f>
        <v>0</v>
      </c>
      <c r="N171" s="124" t="n">
        <f aca="false">SUM(J$6:J171)</f>
        <v>0</v>
      </c>
      <c r="P171" s="124" t="n">
        <f aca="false">D171/P$3</f>
        <v>0</v>
      </c>
      <c r="Q171" s="124" t="n">
        <f aca="false">E171/P$3</f>
        <v>0</v>
      </c>
      <c r="R171" s="124" t="n">
        <f aca="false">F171/R$3</f>
        <v>0</v>
      </c>
      <c r="S171" s="126" t="n">
        <f aca="false">J171/$R$3</f>
        <v>0</v>
      </c>
      <c r="T171" s="126" t="n">
        <f aca="false">L171/$R$3</f>
        <v>0</v>
      </c>
      <c r="U171" s="126" t="n">
        <f aca="false">I171/$R$3</f>
        <v>0</v>
      </c>
      <c r="V171" s="126" t="n">
        <f aca="false">M171/$R$3</f>
        <v>0</v>
      </c>
      <c r="W171" s="126" t="n">
        <f aca="false">N171/$R$3</f>
        <v>0</v>
      </c>
    </row>
    <row r="172" customFormat="false" ht="12.75" hidden="true" customHeight="false" outlineLevel="0" collapsed="false">
      <c r="A172" s="120" t="n">
        <f aca="false">A171+1</f>
        <v>37058</v>
      </c>
      <c r="B172" s="131" t="str">
        <f aca="false">INDEX('Master Data'!$A$2:$B$8,MATCH(WEEKDAY('BRA PWR Certificates'!A172,3),'Master Data'!$A$2:$A$8,0),2)</f>
        <v>Sa</v>
      </c>
      <c r="D172" s="124" t="n">
        <v>0</v>
      </c>
      <c r="E172" s="124" t="n">
        <v>0</v>
      </c>
      <c r="F172" s="124" t="n">
        <v>0</v>
      </c>
      <c r="G172" s="124" t="n">
        <v>0</v>
      </c>
      <c r="I172" s="124" t="n">
        <f aca="false">IF(MONTH($A172)=MONTH($A171),IF(G172=0,I171,G172),G172)</f>
        <v>0</v>
      </c>
      <c r="J172" s="124" t="n">
        <f aca="false">IF(MONTH($A172)=MONTH($A171),SUM(I172-I171),I172)</f>
        <v>0</v>
      </c>
      <c r="K172" s="124" t="n">
        <f aca="false">IF(WEEKDAY(A172,3)&gt;4,0,(IF(A172&lt;K$2,0,IF(A172&lt;=K$3,1,0))))</f>
        <v>0</v>
      </c>
      <c r="L172" s="124" t="n">
        <f aca="false">J172*K172</f>
        <v>0</v>
      </c>
      <c r="M172" s="124" t="n">
        <f aca="false">SUM(J$97:J172)</f>
        <v>0</v>
      </c>
      <c r="N172" s="124" t="n">
        <f aca="false">SUM(J$6:J172)</f>
        <v>0</v>
      </c>
      <c r="P172" s="124" t="n">
        <f aca="false">D172/P$3</f>
        <v>0</v>
      </c>
      <c r="Q172" s="124" t="n">
        <f aca="false">E172/P$3</f>
        <v>0</v>
      </c>
      <c r="R172" s="124" t="n">
        <f aca="false">F172/R$3</f>
        <v>0</v>
      </c>
      <c r="S172" s="126" t="n">
        <f aca="false">J172/$R$3</f>
        <v>0</v>
      </c>
      <c r="T172" s="126" t="n">
        <f aca="false">L172/$R$3</f>
        <v>0</v>
      </c>
      <c r="U172" s="126" t="n">
        <f aca="false">I172/$R$3</f>
        <v>0</v>
      </c>
      <c r="V172" s="126" t="n">
        <f aca="false">M172/$R$3</f>
        <v>0</v>
      </c>
      <c r="W172" s="126" t="n">
        <f aca="false">N172/$R$3</f>
        <v>0</v>
      </c>
    </row>
    <row r="173" customFormat="false" ht="12.75" hidden="true" customHeight="false" outlineLevel="0" collapsed="false">
      <c r="A173" s="120" t="n">
        <f aca="false">A172+1</f>
        <v>37059</v>
      </c>
      <c r="B173" s="131" t="str">
        <f aca="false">INDEX('Master Data'!$A$2:$B$8,MATCH(WEEKDAY('BRA PWR Certificates'!A173,3),'Master Data'!$A$2:$A$8,0),2)</f>
        <v>Su</v>
      </c>
      <c r="D173" s="124" t="n">
        <v>0</v>
      </c>
      <c r="E173" s="124" t="n">
        <v>0</v>
      </c>
      <c r="F173" s="124" t="n">
        <v>0</v>
      </c>
      <c r="G173" s="124" t="n">
        <v>0</v>
      </c>
      <c r="I173" s="124" t="n">
        <f aca="false">IF(MONTH($A173)=MONTH($A172),IF(G173=0,I172,G173),G173)</f>
        <v>0</v>
      </c>
      <c r="J173" s="124" t="n">
        <f aca="false">IF(MONTH($A173)=MONTH($A172),SUM(I173-I172),I173)</f>
        <v>0</v>
      </c>
      <c r="K173" s="124" t="n">
        <f aca="false">IF(WEEKDAY(A173,3)&gt;4,0,(IF(A173&lt;K$2,0,IF(A173&lt;=K$3,1,0))))</f>
        <v>0</v>
      </c>
      <c r="L173" s="124" t="n">
        <f aca="false">J173*K173</f>
        <v>0</v>
      </c>
      <c r="M173" s="124" t="n">
        <f aca="false">SUM(J$97:J173)</f>
        <v>0</v>
      </c>
      <c r="N173" s="124" t="n">
        <f aca="false">SUM(J$6:J173)</f>
        <v>0</v>
      </c>
      <c r="P173" s="124" t="n">
        <f aca="false">D173/P$3</f>
        <v>0</v>
      </c>
      <c r="Q173" s="124" t="n">
        <f aca="false">E173/P$3</f>
        <v>0</v>
      </c>
      <c r="R173" s="124" t="n">
        <f aca="false">F173/R$3</f>
        <v>0</v>
      </c>
      <c r="S173" s="126" t="n">
        <f aca="false">J173/$R$3</f>
        <v>0</v>
      </c>
      <c r="T173" s="126" t="n">
        <f aca="false">L173/$R$3</f>
        <v>0</v>
      </c>
      <c r="U173" s="126" t="n">
        <f aca="false">I173/$R$3</f>
        <v>0</v>
      </c>
      <c r="V173" s="126" t="n">
        <f aca="false">M173/$R$3</f>
        <v>0</v>
      </c>
      <c r="W173" s="126" t="n">
        <f aca="false">N173/$R$3</f>
        <v>0</v>
      </c>
    </row>
    <row r="174" customFormat="false" ht="12.75" hidden="true" customHeight="false" outlineLevel="0" collapsed="false">
      <c r="A174" s="120" t="n">
        <f aca="false">A173+1</f>
        <v>37060</v>
      </c>
      <c r="B174" s="131" t="str">
        <f aca="false">INDEX('Master Data'!$A$2:$B$8,MATCH(WEEKDAY('BRA PWR Certificates'!A174,3),'Master Data'!$A$2:$A$8,0),2)</f>
        <v>M</v>
      </c>
      <c r="D174" s="124" t="n">
        <v>0</v>
      </c>
      <c r="E174" s="124" t="n">
        <v>0</v>
      </c>
      <c r="F174" s="124" t="n">
        <v>0</v>
      </c>
      <c r="G174" s="124" t="n">
        <v>0</v>
      </c>
      <c r="I174" s="124" t="n">
        <f aca="false">IF(MONTH($A174)=MONTH($A173),IF(G174=0,I173,G174),G174)</f>
        <v>0</v>
      </c>
      <c r="J174" s="124" t="n">
        <f aca="false">IF(MONTH($A174)=MONTH($A173),SUM(I174-I173),I174)</f>
        <v>0</v>
      </c>
      <c r="K174" s="124" t="n">
        <f aca="false">IF(WEEKDAY(A174,3)&gt;4,0,(IF(A174&lt;K$2,0,IF(A174&lt;=K$3,1,0))))</f>
        <v>0</v>
      </c>
      <c r="L174" s="124" t="n">
        <f aca="false">J174*K174</f>
        <v>0</v>
      </c>
      <c r="M174" s="124" t="n">
        <f aca="false">SUM(J$97:J174)</f>
        <v>0</v>
      </c>
      <c r="N174" s="124" t="n">
        <f aca="false">SUM(J$6:J174)</f>
        <v>0</v>
      </c>
      <c r="P174" s="124" t="n">
        <f aca="false">D174/P$3</f>
        <v>0</v>
      </c>
      <c r="Q174" s="124" t="n">
        <f aca="false">E174/P$3</f>
        <v>0</v>
      </c>
      <c r="R174" s="124" t="n">
        <f aca="false">F174/R$3</f>
        <v>0</v>
      </c>
      <c r="S174" s="126" t="n">
        <f aca="false">J174/$R$3</f>
        <v>0</v>
      </c>
      <c r="T174" s="126" t="n">
        <f aca="false">L174/$R$3</f>
        <v>0</v>
      </c>
      <c r="U174" s="126" t="n">
        <f aca="false">I174/$R$3</f>
        <v>0</v>
      </c>
      <c r="V174" s="126" t="n">
        <f aca="false">M174/$R$3</f>
        <v>0</v>
      </c>
      <c r="W174" s="126" t="n">
        <f aca="false">N174/$R$3</f>
        <v>0</v>
      </c>
    </row>
    <row r="175" customFormat="false" ht="12.75" hidden="true" customHeight="false" outlineLevel="0" collapsed="false">
      <c r="A175" s="120" t="n">
        <f aca="false">A174+1</f>
        <v>37061</v>
      </c>
      <c r="B175" s="131" t="str">
        <f aca="false">INDEX('Master Data'!$A$2:$B$8,MATCH(WEEKDAY('BRA PWR Certificates'!A175,3),'Master Data'!$A$2:$A$8,0),2)</f>
        <v>T</v>
      </c>
      <c r="D175" s="124" t="n">
        <v>0</v>
      </c>
      <c r="E175" s="124" t="n">
        <v>0</v>
      </c>
      <c r="F175" s="124" t="n">
        <v>0</v>
      </c>
      <c r="G175" s="124" t="n">
        <v>0</v>
      </c>
      <c r="I175" s="124" t="n">
        <f aca="false">IF(MONTH($A175)=MONTH($A174),IF(G175=0,I174,G175),G175)</f>
        <v>0</v>
      </c>
      <c r="J175" s="124" t="n">
        <f aca="false">IF(MONTH($A175)=MONTH($A174),SUM(I175-I174),I175)</f>
        <v>0</v>
      </c>
      <c r="K175" s="124" t="n">
        <f aca="false">IF(WEEKDAY(A175,3)&gt;4,0,(IF(A175&lt;K$2,0,IF(A175&lt;=K$3,1,0))))</f>
        <v>0</v>
      </c>
      <c r="L175" s="124" t="n">
        <f aca="false">J175*K175</f>
        <v>0</v>
      </c>
      <c r="M175" s="124" t="n">
        <f aca="false">SUM(J$97:J175)</f>
        <v>0</v>
      </c>
      <c r="N175" s="124" t="n">
        <f aca="false">SUM(J$6:J175)</f>
        <v>0</v>
      </c>
      <c r="P175" s="124" t="n">
        <f aca="false">D175/P$3</f>
        <v>0</v>
      </c>
      <c r="Q175" s="124" t="n">
        <f aca="false">E175/P$3</f>
        <v>0</v>
      </c>
      <c r="R175" s="124" t="n">
        <f aca="false">F175/R$3</f>
        <v>0</v>
      </c>
      <c r="S175" s="126" t="n">
        <f aca="false">J175/$R$3</f>
        <v>0</v>
      </c>
      <c r="T175" s="126" t="n">
        <f aca="false">L175/$R$3</f>
        <v>0</v>
      </c>
      <c r="U175" s="126" t="n">
        <f aca="false">I175/$R$3</f>
        <v>0</v>
      </c>
      <c r="V175" s="126" t="n">
        <f aca="false">M175/$R$3</f>
        <v>0</v>
      </c>
      <c r="W175" s="126" t="n">
        <f aca="false">N175/$R$3</f>
        <v>0</v>
      </c>
    </row>
    <row r="176" customFormat="false" ht="12.75" hidden="true" customHeight="false" outlineLevel="0" collapsed="false">
      <c r="A176" s="120" t="n">
        <f aca="false">A175+1</f>
        <v>37062</v>
      </c>
      <c r="B176" s="131" t="str">
        <f aca="false">INDEX('Master Data'!$A$2:$B$8,MATCH(WEEKDAY('BRA PWR Certificates'!A176,3),'Master Data'!$A$2:$A$8,0),2)</f>
        <v>W</v>
      </c>
      <c r="D176" s="124" t="n">
        <v>0</v>
      </c>
      <c r="E176" s="124" t="n">
        <v>0</v>
      </c>
      <c r="F176" s="124" t="n">
        <v>0</v>
      </c>
      <c r="G176" s="124" t="n">
        <v>0</v>
      </c>
      <c r="I176" s="124" t="n">
        <f aca="false">IF(MONTH($A176)=MONTH($A175),IF(G176=0,I175,G176),G176)</f>
        <v>0</v>
      </c>
      <c r="J176" s="124" t="n">
        <f aca="false">IF(MONTH($A176)=MONTH($A175),SUM(I176-I175),I176)</f>
        <v>0</v>
      </c>
      <c r="K176" s="124" t="n">
        <f aca="false">IF(WEEKDAY(A176,3)&gt;4,0,(IF(A176&lt;K$2,0,IF(A176&lt;=K$3,1,0))))</f>
        <v>0</v>
      </c>
      <c r="L176" s="124" t="n">
        <f aca="false">J176*K176</f>
        <v>0</v>
      </c>
      <c r="M176" s="124" t="n">
        <f aca="false">SUM(J$97:J176)</f>
        <v>0</v>
      </c>
      <c r="N176" s="124" t="n">
        <f aca="false">SUM(J$6:J176)</f>
        <v>0</v>
      </c>
      <c r="P176" s="124" t="n">
        <f aca="false">D176/P$3</f>
        <v>0</v>
      </c>
      <c r="Q176" s="124" t="n">
        <f aca="false">E176/P$3</f>
        <v>0</v>
      </c>
      <c r="R176" s="124" t="n">
        <f aca="false">F176/R$3</f>
        <v>0</v>
      </c>
      <c r="S176" s="126" t="n">
        <f aca="false">J176/$R$3</f>
        <v>0</v>
      </c>
      <c r="T176" s="126" t="n">
        <f aca="false">L176/$R$3</f>
        <v>0</v>
      </c>
      <c r="U176" s="126" t="n">
        <f aca="false">I176/$R$3</f>
        <v>0</v>
      </c>
      <c r="V176" s="126" t="n">
        <f aca="false">M176/$R$3</f>
        <v>0</v>
      </c>
      <c r="W176" s="126" t="n">
        <f aca="false">N176/$R$3</f>
        <v>0</v>
      </c>
    </row>
    <row r="177" customFormat="false" ht="12.75" hidden="true" customHeight="false" outlineLevel="0" collapsed="false">
      <c r="A177" s="120" t="n">
        <f aca="false">A176+1</f>
        <v>37063</v>
      </c>
      <c r="B177" s="131" t="str">
        <f aca="false">INDEX('Master Data'!$A$2:$B$8,MATCH(WEEKDAY('BRA PWR Certificates'!A177,3),'Master Data'!$A$2:$A$8,0),2)</f>
        <v>Th</v>
      </c>
      <c r="D177" s="124" t="n">
        <v>0</v>
      </c>
      <c r="E177" s="124" t="n">
        <v>0</v>
      </c>
      <c r="F177" s="124" t="n">
        <v>0</v>
      </c>
      <c r="G177" s="124" t="n">
        <v>0</v>
      </c>
      <c r="I177" s="124" t="n">
        <f aca="false">IF(MONTH($A177)=MONTH($A176),IF(G177=0,I176,G177),G177)</f>
        <v>0</v>
      </c>
      <c r="J177" s="124" t="n">
        <f aca="false">IF(MONTH($A177)=MONTH($A176),SUM(I177-I176),I177)</f>
        <v>0</v>
      </c>
      <c r="K177" s="124" t="n">
        <f aca="false">IF(WEEKDAY(A177,3)&gt;4,0,(IF(A177&lt;K$2,0,IF(A177&lt;=K$3,1,0))))</f>
        <v>0</v>
      </c>
      <c r="L177" s="124" t="n">
        <f aca="false">J177*K177</f>
        <v>0</v>
      </c>
      <c r="M177" s="124" t="n">
        <f aca="false">SUM(J$97:J177)</f>
        <v>0</v>
      </c>
      <c r="N177" s="124" t="n">
        <f aca="false">SUM(J$6:J177)</f>
        <v>0</v>
      </c>
      <c r="P177" s="124" t="n">
        <f aca="false">D177/P$3</f>
        <v>0</v>
      </c>
      <c r="Q177" s="124" t="n">
        <f aca="false">E177/P$3</f>
        <v>0</v>
      </c>
      <c r="R177" s="124" t="n">
        <f aca="false">F177/R$3</f>
        <v>0</v>
      </c>
      <c r="S177" s="126" t="n">
        <f aca="false">J177/$R$3</f>
        <v>0</v>
      </c>
      <c r="T177" s="126" t="n">
        <f aca="false">L177/$R$3</f>
        <v>0</v>
      </c>
      <c r="U177" s="126" t="n">
        <f aca="false">I177/$R$3</f>
        <v>0</v>
      </c>
      <c r="V177" s="126" t="n">
        <f aca="false">M177/$R$3</f>
        <v>0</v>
      </c>
      <c r="W177" s="126" t="n">
        <f aca="false">N177/$R$3</f>
        <v>0</v>
      </c>
    </row>
    <row r="178" customFormat="false" ht="12.75" hidden="true" customHeight="false" outlineLevel="0" collapsed="false">
      <c r="A178" s="120" t="n">
        <f aca="false">A177+1</f>
        <v>37064</v>
      </c>
      <c r="B178" s="131" t="str">
        <f aca="false">INDEX('Master Data'!$A$2:$B$8,MATCH(WEEKDAY('BRA PWR Certificates'!A178,3),'Master Data'!$A$2:$A$8,0),2)</f>
        <v>F</v>
      </c>
      <c r="D178" s="124" t="n">
        <v>0</v>
      </c>
      <c r="E178" s="124" t="n">
        <v>0</v>
      </c>
      <c r="F178" s="124" t="n">
        <v>0</v>
      </c>
      <c r="G178" s="124" t="n">
        <v>0</v>
      </c>
      <c r="I178" s="124" t="n">
        <f aca="false">IF(MONTH($A178)=MONTH($A177),IF(G178=0,I177,G178),G178)</f>
        <v>0</v>
      </c>
      <c r="J178" s="124" t="n">
        <f aca="false">IF(MONTH($A178)=MONTH($A177),SUM(I178-I177),I178)</f>
        <v>0</v>
      </c>
      <c r="K178" s="124" t="n">
        <f aca="false">IF(WEEKDAY(A178,3)&gt;4,0,(IF(A178&lt;K$2,0,IF(A178&lt;=K$3,1,0))))</f>
        <v>0</v>
      </c>
      <c r="L178" s="124" t="n">
        <f aca="false">J178*K178</f>
        <v>0</v>
      </c>
      <c r="M178" s="124" t="n">
        <f aca="false">SUM(J$97:J178)</f>
        <v>0</v>
      </c>
      <c r="N178" s="124" t="n">
        <f aca="false">SUM(J$6:J178)</f>
        <v>0</v>
      </c>
      <c r="P178" s="124" t="n">
        <f aca="false">D178/P$3</f>
        <v>0</v>
      </c>
      <c r="Q178" s="124" t="n">
        <f aca="false">E178/P$3</f>
        <v>0</v>
      </c>
      <c r="R178" s="124" t="n">
        <f aca="false">F178/R$3</f>
        <v>0</v>
      </c>
      <c r="S178" s="126" t="n">
        <f aca="false">J178/$R$3</f>
        <v>0</v>
      </c>
      <c r="T178" s="126" t="n">
        <f aca="false">L178/$R$3</f>
        <v>0</v>
      </c>
      <c r="U178" s="126" t="n">
        <f aca="false">I178/$R$3</f>
        <v>0</v>
      </c>
      <c r="V178" s="126" t="n">
        <f aca="false">M178/$R$3</f>
        <v>0</v>
      </c>
      <c r="W178" s="126" t="n">
        <f aca="false">N178/$R$3</f>
        <v>0</v>
      </c>
    </row>
    <row r="179" customFormat="false" ht="12.75" hidden="true" customHeight="false" outlineLevel="0" collapsed="false">
      <c r="A179" s="120" t="n">
        <f aca="false">A178+1</f>
        <v>37065</v>
      </c>
      <c r="B179" s="131" t="str">
        <f aca="false">INDEX('Master Data'!$A$2:$B$8,MATCH(WEEKDAY('BRA PWR Certificates'!A179,3),'Master Data'!$A$2:$A$8,0),2)</f>
        <v>Sa</v>
      </c>
      <c r="D179" s="124" t="n">
        <v>0</v>
      </c>
      <c r="E179" s="124" t="n">
        <v>0</v>
      </c>
      <c r="F179" s="124" t="n">
        <v>0</v>
      </c>
      <c r="G179" s="124" t="n">
        <v>0</v>
      </c>
      <c r="I179" s="124" t="n">
        <f aca="false">IF(MONTH($A179)=MONTH($A178),IF(G179=0,I178,G179),G179)</f>
        <v>0</v>
      </c>
      <c r="J179" s="124" t="n">
        <f aca="false">IF(MONTH($A179)=MONTH($A178),SUM(I179-I178),I179)</f>
        <v>0</v>
      </c>
      <c r="K179" s="124" t="n">
        <f aca="false">IF(WEEKDAY(A179,3)&gt;4,0,(IF(A179&lt;K$2,0,IF(A179&lt;=K$3,1,0))))</f>
        <v>0</v>
      </c>
      <c r="L179" s="124" t="n">
        <f aca="false">J179*K179</f>
        <v>0</v>
      </c>
      <c r="M179" s="124" t="n">
        <f aca="false">SUM(J$97:J179)</f>
        <v>0</v>
      </c>
      <c r="N179" s="124" t="n">
        <f aca="false">SUM(J$6:J179)</f>
        <v>0</v>
      </c>
      <c r="P179" s="124" t="n">
        <f aca="false">D179/P$3</f>
        <v>0</v>
      </c>
      <c r="Q179" s="124" t="n">
        <f aca="false">E179/P$3</f>
        <v>0</v>
      </c>
      <c r="R179" s="124" t="n">
        <f aca="false">F179/R$3</f>
        <v>0</v>
      </c>
      <c r="S179" s="126" t="n">
        <f aca="false">J179/$R$3</f>
        <v>0</v>
      </c>
      <c r="T179" s="126" t="n">
        <f aca="false">L179/$R$3</f>
        <v>0</v>
      </c>
      <c r="U179" s="126" t="n">
        <f aca="false">I179/$R$3</f>
        <v>0</v>
      </c>
      <c r="V179" s="126" t="n">
        <f aca="false">M179/$R$3</f>
        <v>0</v>
      </c>
      <c r="W179" s="126" t="n">
        <f aca="false">N179/$R$3</f>
        <v>0</v>
      </c>
    </row>
    <row r="180" customFormat="false" ht="12.75" hidden="true" customHeight="false" outlineLevel="0" collapsed="false">
      <c r="A180" s="120" t="n">
        <f aca="false">A179+1</f>
        <v>37066</v>
      </c>
      <c r="B180" s="131" t="str">
        <f aca="false">INDEX('Master Data'!$A$2:$B$8,MATCH(WEEKDAY('BRA PWR Certificates'!A180,3),'Master Data'!$A$2:$A$8,0),2)</f>
        <v>Su</v>
      </c>
      <c r="D180" s="124" t="n">
        <v>0</v>
      </c>
      <c r="E180" s="124" t="n">
        <v>0</v>
      </c>
      <c r="F180" s="124" t="n">
        <v>0</v>
      </c>
      <c r="G180" s="124" t="n">
        <v>0</v>
      </c>
      <c r="I180" s="124" t="n">
        <f aca="false">IF(MONTH($A180)=MONTH($A179),IF(G180=0,I179,G180),G180)</f>
        <v>0</v>
      </c>
      <c r="J180" s="124" t="n">
        <f aca="false">IF(MONTH($A180)=MONTH($A179),SUM(I180-I179),I180)</f>
        <v>0</v>
      </c>
      <c r="K180" s="124" t="n">
        <f aca="false">IF(WEEKDAY(A180,3)&gt;4,0,(IF(A180&lt;K$2,0,IF(A180&lt;=K$3,1,0))))</f>
        <v>0</v>
      </c>
      <c r="L180" s="124" t="n">
        <f aca="false">J180*K180</f>
        <v>0</v>
      </c>
      <c r="M180" s="124" t="n">
        <f aca="false">SUM(J$97:J180)</f>
        <v>0</v>
      </c>
      <c r="N180" s="124" t="n">
        <f aca="false">SUM(J$6:J180)</f>
        <v>0</v>
      </c>
      <c r="P180" s="124" t="n">
        <f aca="false">D180/P$3</f>
        <v>0</v>
      </c>
      <c r="Q180" s="124" t="n">
        <f aca="false">E180/P$3</f>
        <v>0</v>
      </c>
      <c r="R180" s="124" t="n">
        <f aca="false">F180/R$3</f>
        <v>0</v>
      </c>
      <c r="S180" s="126" t="n">
        <f aca="false">J180/$R$3</f>
        <v>0</v>
      </c>
      <c r="T180" s="126" t="n">
        <f aca="false">L180/$R$3</f>
        <v>0</v>
      </c>
      <c r="U180" s="126" t="n">
        <f aca="false">I180/$R$3</f>
        <v>0</v>
      </c>
      <c r="V180" s="126" t="n">
        <f aca="false">M180/$R$3</f>
        <v>0</v>
      </c>
      <c r="W180" s="126" t="n">
        <f aca="false">N180/$R$3</f>
        <v>0</v>
      </c>
    </row>
    <row r="181" customFormat="false" ht="12.75" hidden="true" customHeight="false" outlineLevel="0" collapsed="false">
      <c r="A181" s="120" t="n">
        <f aca="false">A180+1</f>
        <v>37067</v>
      </c>
      <c r="B181" s="131" t="str">
        <f aca="false">INDEX('Master Data'!$A$2:$B$8,MATCH(WEEKDAY('BRA PWR Certificates'!A181,3),'Master Data'!$A$2:$A$8,0),2)</f>
        <v>M</v>
      </c>
      <c r="D181" s="124" t="n">
        <v>0</v>
      </c>
      <c r="E181" s="124" t="n">
        <v>0</v>
      </c>
      <c r="F181" s="124" t="n">
        <v>0</v>
      </c>
      <c r="G181" s="124" t="n">
        <v>0</v>
      </c>
      <c r="I181" s="124" t="n">
        <f aca="false">IF(MONTH($A181)=MONTH($A180),IF(G181=0,I180,G181),G181)</f>
        <v>0</v>
      </c>
      <c r="J181" s="124" t="n">
        <f aca="false">IF(MONTH($A181)=MONTH($A180),SUM(I181-I180),I181)</f>
        <v>0</v>
      </c>
      <c r="K181" s="124" t="n">
        <f aca="false">IF(WEEKDAY(A181,3)&gt;4,0,(IF(A181&lt;K$2,0,IF(A181&lt;=K$3,1,0))))</f>
        <v>0</v>
      </c>
      <c r="L181" s="124" t="n">
        <f aca="false">J181*K181</f>
        <v>0</v>
      </c>
      <c r="M181" s="124" t="n">
        <f aca="false">SUM(J$97:J181)</f>
        <v>0</v>
      </c>
      <c r="N181" s="124" t="n">
        <f aca="false">SUM(J$6:J181)</f>
        <v>0</v>
      </c>
      <c r="P181" s="124" t="n">
        <f aca="false">D181/P$3</f>
        <v>0</v>
      </c>
      <c r="Q181" s="124" t="n">
        <f aca="false">E181/P$3</f>
        <v>0</v>
      </c>
      <c r="R181" s="124" t="n">
        <f aca="false">F181/R$3</f>
        <v>0</v>
      </c>
      <c r="S181" s="126" t="n">
        <f aca="false">J181/$R$3</f>
        <v>0</v>
      </c>
      <c r="T181" s="126" t="n">
        <f aca="false">L181/$R$3</f>
        <v>0</v>
      </c>
      <c r="U181" s="126" t="n">
        <f aca="false">I181/$R$3</f>
        <v>0</v>
      </c>
      <c r="V181" s="126" t="n">
        <f aca="false">M181/$R$3</f>
        <v>0</v>
      </c>
      <c r="W181" s="126" t="n">
        <f aca="false">N181/$R$3</f>
        <v>0</v>
      </c>
    </row>
    <row r="182" customFormat="false" ht="12.75" hidden="true" customHeight="false" outlineLevel="0" collapsed="false">
      <c r="A182" s="120" t="n">
        <f aca="false">A181+1</f>
        <v>37068</v>
      </c>
      <c r="B182" s="131" t="str">
        <f aca="false">INDEX('Master Data'!$A$2:$B$8,MATCH(WEEKDAY('BRA PWR Certificates'!A182,3),'Master Data'!$A$2:$A$8,0),2)</f>
        <v>T</v>
      </c>
      <c r="D182" s="124" t="n">
        <v>0</v>
      </c>
      <c r="E182" s="124" t="n">
        <v>0</v>
      </c>
      <c r="F182" s="124" t="n">
        <v>0</v>
      </c>
      <c r="G182" s="124" t="n">
        <v>0</v>
      </c>
      <c r="I182" s="124" t="n">
        <f aca="false">IF(MONTH($A182)=MONTH($A181),IF(G182=0,I181,G182),G182)</f>
        <v>0</v>
      </c>
      <c r="J182" s="124" t="n">
        <f aca="false">IF(MONTH($A182)=MONTH($A181),SUM(I182-I181),I182)</f>
        <v>0</v>
      </c>
      <c r="K182" s="124" t="n">
        <f aca="false">IF(WEEKDAY(A182,3)&gt;4,0,(IF(A182&lt;K$2,0,IF(A182&lt;=K$3,1,0))))</f>
        <v>0</v>
      </c>
      <c r="L182" s="124" t="n">
        <f aca="false">J182*K182</f>
        <v>0</v>
      </c>
      <c r="M182" s="124" t="n">
        <f aca="false">SUM(J$97:J182)</f>
        <v>0</v>
      </c>
      <c r="N182" s="124" t="n">
        <f aca="false">SUM(J$6:J182)</f>
        <v>0</v>
      </c>
      <c r="P182" s="124" t="n">
        <f aca="false">D182/P$3</f>
        <v>0</v>
      </c>
      <c r="Q182" s="124" t="n">
        <f aca="false">E182/P$3</f>
        <v>0</v>
      </c>
      <c r="R182" s="124" t="n">
        <f aca="false">F182/R$3</f>
        <v>0</v>
      </c>
      <c r="S182" s="126" t="n">
        <f aca="false">J182/$R$3</f>
        <v>0</v>
      </c>
      <c r="T182" s="126" t="n">
        <f aca="false">L182/$R$3</f>
        <v>0</v>
      </c>
      <c r="U182" s="126" t="n">
        <f aca="false">I182/$R$3</f>
        <v>0</v>
      </c>
      <c r="V182" s="126" t="n">
        <f aca="false">M182/$R$3</f>
        <v>0</v>
      </c>
      <c r="W182" s="126" t="n">
        <f aca="false">N182/$R$3</f>
        <v>0</v>
      </c>
    </row>
    <row r="183" customFormat="false" ht="12.75" hidden="true" customHeight="false" outlineLevel="0" collapsed="false">
      <c r="A183" s="120" t="n">
        <f aca="false">A182+1</f>
        <v>37069</v>
      </c>
      <c r="B183" s="131" t="str">
        <f aca="false">INDEX('Master Data'!$A$2:$B$8,MATCH(WEEKDAY('BRA PWR Certificates'!A183,3),'Master Data'!$A$2:$A$8,0),2)</f>
        <v>W</v>
      </c>
      <c r="D183" s="124" t="n">
        <v>0</v>
      </c>
      <c r="E183" s="124" t="n">
        <v>0</v>
      </c>
      <c r="F183" s="124" t="n">
        <v>0</v>
      </c>
      <c r="G183" s="124" t="n">
        <v>0</v>
      </c>
      <c r="I183" s="124" t="n">
        <f aca="false">IF(MONTH($A183)=MONTH($A182),IF(G183=0,I182,G183),G183)</f>
        <v>0</v>
      </c>
      <c r="J183" s="124" t="n">
        <f aca="false">IF(MONTH($A183)=MONTH($A182),SUM(I183-I182),I183)</f>
        <v>0</v>
      </c>
      <c r="K183" s="124" t="n">
        <f aca="false">IF(WEEKDAY(A183,3)&gt;4,0,(IF(A183&lt;K$2,0,IF(A183&lt;=K$3,1,0))))</f>
        <v>0</v>
      </c>
      <c r="L183" s="124" t="n">
        <f aca="false">J183*K183</f>
        <v>0</v>
      </c>
      <c r="M183" s="124" t="n">
        <f aca="false">SUM(J$97:J183)</f>
        <v>0</v>
      </c>
      <c r="N183" s="124" t="n">
        <f aca="false">SUM(J$6:J183)</f>
        <v>0</v>
      </c>
      <c r="P183" s="124" t="n">
        <f aca="false">D183/P$3</f>
        <v>0</v>
      </c>
      <c r="Q183" s="126" t="n">
        <f aca="false">E183/P$3</f>
        <v>0</v>
      </c>
      <c r="R183" s="124" t="n">
        <f aca="false">F183/R$3</f>
        <v>0</v>
      </c>
      <c r="S183" s="126" t="n">
        <f aca="false">J183/$R$3</f>
        <v>0</v>
      </c>
      <c r="T183" s="126" t="n">
        <f aca="false">L183/$R$3</f>
        <v>0</v>
      </c>
      <c r="U183" s="126" t="n">
        <f aca="false">I183/$R$3</f>
        <v>0</v>
      </c>
      <c r="V183" s="126" t="n">
        <f aca="false">M183/$R$3</f>
        <v>0</v>
      </c>
      <c r="W183" s="126" t="n">
        <f aca="false">N183/$R$3</f>
        <v>0</v>
      </c>
    </row>
    <row r="184" customFormat="false" ht="12.75" hidden="true" customHeight="false" outlineLevel="0" collapsed="false">
      <c r="A184" s="120" t="n">
        <f aca="false">A183+1</f>
        <v>37070</v>
      </c>
      <c r="B184" s="131" t="str">
        <f aca="false">INDEX('Master Data'!$A$2:$B$8,MATCH(WEEKDAY('BRA PWR Certificates'!A184,3),'Master Data'!$A$2:$A$8,0),2)</f>
        <v>Th</v>
      </c>
      <c r="D184" s="124" t="n">
        <v>0</v>
      </c>
      <c r="E184" s="124" t="n">
        <v>0</v>
      </c>
      <c r="F184" s="124" t="n">
        <v>0</v>
      </c>
      <c r="G184" s="124" t="n">
        <v>0</v>
      </c>
      <c r="I184" s="124" t="n">
        <f aca="false">IF(MONTH($A184)=MONTH($A183),IF(G184=0,I183,G184),G184)</f>
        <v>0</v>
      </c>
      <c r="J184" s="124" t="n">
        <f aca="false">IF(MONTH($A184)=MONTH($A183),SUM(I184-I183),I184)</f>
        <v>0</v>
      </c>
      <c r="K184" s="124" t="n">
        <f aca="false">IF(WEEKDAY(A184,3)&gt;4,0,(IF(A184&lt;K$2,0,IF(A184&lt;=K$3,1,0))))</f>
        <v>0</v>
      </c>
      <c r="L184" s="124" t="n">
        <f aca="false">J184*K184</f>
        <v>0</v>
      </c>
      <c r="M184" s="124" t="n">
        <f aca="false">SUM(J$97:J184)</f>
        <v>0</v>
      </c>
      <c r="N184" s="124" t="n">
        <f aca="false">SUM(J$6:J184)</f>
        <v>0</v>
      </c>
      <c r="P184" s="124" t="n">
        <f aca="false">D184/P$3</f>
        <v>0</v>
      </c>
      <c r="Q184" s="124" t="n">
        <f aca="false">E184/P$3</f>
        <v>0</v>
      </c>
      <c r="R184" s="124" t="n">
        <f aca="false">F184/R$3</f>
        <v>0</v>
      </c>
      <c r="S184" s="126" t="n">
        <f aca="false">J184/$R$3</f>
        <v>0</v>
      </c>
      <c r="T184" s="126" t="n">
        <f aca="false">L184/$R$3</f>
        <v>0</v>
      </c>
      <c r="U184" s="126" t="n">
        <f aca="false">I184/$R$3</f>
        <v>0</v>
      </c>
      <c r="V184" s="126" t="n">
        <f aca="false">M184/$R$3</f>
        <v>0</v>
      </c>
      <c r="W184" s="126" t="n">
        <f aca="false">N184/$R$3</f>
        <v>0</v>
      </c>
    </row>
    <row r="185" customFormat="false" ht="12.75" hidden="true" customHeight="false" outlineLevel="0" collapsed="false">
      <c r="A185" s="120" t="n">
        <f aca="false">A184+1</f>
        <v>37071</v>
      </c>
      <c r="B185" s="131" t="str">
        <f aca="false">INDEX('Master Data'!$A$2:$B$8,MATCH(WEEKDAY('BRA PWR Certificates'!A185,3),'Master Data'!$A$2:$A$8,0),2)</f>
        <v>F</v>
      </c>
      <c r="D185" s="124" t="n">
        <v>0</v>
      </c>
      <c r="E185" s="124" t="n">
        <v>0</v>
      </c>
      <c r="F185" s="124" t="n">
        <v>0</v>
      </c>
      <c r="G185" s="124" t="n">
        <v>0</v>
      </c>
      <c r="I185" s="124" t="n">
        <f aca="false">IF(MONTH($A185)=MONTH($A184),IF(G185=0,I184,G185),G185)</f>
        <v>0</v>
      </c>
      <c r="J185" s="124" t="n">
        <f aca="false">IF(MONTH($A185)=MONTH($A184),SUM(I185-I184),I185)</f>
        <v>0</v>
      </c>
      <c r="K185" s="124" t="n">
        <f aca="false">IF(WEEKDAY(A185,3)&gt;4,0,(IF(A185&lt;K$2,0,IF(A185&lt;=K$3,1,0))))</f>
        <v>0</v>
      </c>
      <c r="L185" s="124" t="n">
        <f aca="false">J185*K185</f>
        <v>0</v>
      </c>
      <c r="M185" s="124" t="n">
        <f aca="false">SUM(J$97:J185)</f>
        <v>0</v>
      </c>
      <c r="N185" s="124" t="n">
        <f aca="false">SUM(J$6:J185)</f>
        <v>0</v>
      </c>
      <c r="P185" s="124" t="n">
        <f aca="false">D185/P$3</f>
        <v>0</v>
      </c>
      <c r="Q185" s="124" t="n">
        <f aca="false">E185/P$3</f>
        <v>0</v>
      </c>
      <c r="R185" s="124" t="n">
        <f aca="false">F185/R$3</f>
        <v>0</v>
      </c>
      <c r="S185" s="126" t="n">
        <f aca="false">J185/$R$3</f>
        <v>0</v>
      </c>
      <c r="T185" s="126" t="n">
        <f aca="false">L185/$R$3</f>
        <v>0</v>
      </c>
      <c r="U185" s="126" t="n">
        <f aca="false">I185/$R$3</f>
        <v>0</v>
      </c>
      <c r="V185" s="126" t="n">
        <f aca="false">M185/$R$3</f>
        <v>0</v>
      </c>
      <c r="W185" s="126" t="n">
        <f aca="false">N185/$R$3</f>
        <v>0</v>
      </c>
    </row>
    <row r="186" customFormat="false" ht="12.75" hidden="true" customHeight="false" outlineLevel="0" collapsed="false">
      <c r="A186" s="120" t="n">
        <f aca="false">A185+1</f>
        <v>37072</v>
      </c>
      <c r="B186" s="131" t="str">
        <f aca="false">INDEX('Master Data'!$A$2:$B$8,MATCH(WEEKDAY('BRA PWR Certificates'!A186,3),'Master Data'!$A$2:$A$8,0),2)</f>
        <v>Sa</v>
      </c>
      <c r="D186" s="124" t="n">
        <v>0</v>
      </c>
      <c r="E186" s="124" t="n">
        <v>0</v>
      </c>
      <c r="F186" s="124" t="n">
        <v>0</v>
      </c>
      <c r="G186" s="124" t="n">
        <v>0</v>
      </c>
      <c r="I186" s="124" t="n">
        <f aca="false">IF(MONTH($A186)=MONTH($A185),IF(G186=0,I185,G186),G186)</f>
        <v>0</v>
      </c>
      <c r="J186" s="124" t="n">
        <f aca="false">IF(MONTH($A186)=MONTH($A185),SUM(I186-I185),I186)</f>
        <v>0</v>
      </c>
      <c r="K186" s="124" t="n">
        <f aca="false">IF(WEEKDAY(A186,3)&gt;4,0,(IF(A186&lt;K$2,0,IF(A186&lt;=K$3,1,0))))</f>
        <v>0</v>
      </c>
      <c r="L186" s="124" t="n">
        <f aca="false">J186*K186</f>
        <v>0</v>
      </c>
      <c r="M186" s="124" t="n">
        <f aca="false">SUM(J$97:J186)</f>
        <v>0</v>
      </c>
      <c r="N186" s="124" t="n">
        <f aca="false">SUM(J$6:J186)</f>
        <v>0</v>
      </c>
      <c r="P186" s="124" t="n">
        <f aca="false">D186/P$3</f>
        <v>0</v>
      </c>
      <c r="Q186" s="124" t="n">
        <f aca="false">E186/P$3</f>
        <v>0</v>
      </c>
      <c r="R186" s="124" t="n">
        <f aca="false">F186/R$3</f>
        <v>0</v>
      </c>
      <c r="S186" s="126" t="n">
        <f aca="false">J186/$R$3</f>
        <v>0</v>
      </c>
      <c r="T186" s="126" t="n">
        <f aca="false">L186/$R$3</f>
        <v>0</v>
      </c>
      <c r="U186" s="126" t="n">
        <f aca="false">I186/$R$3</f>
        <v>0</v>
      </c>
      <c r="V186" s="126" t="n">
        <f aca="false">M186/$R$3</f>
        <v>0</v>
      </c>
      <c r="W186" s="126" t="n">
        <f aca="false">N186/$R$3</f>
        <v>0</v>
      </c>
    </row>
    <row r="187" customFormat="false" ht="12.75" hidden="false" customHeight="false" outlineLevel="0" collapsed="false">
      <c r="A187" s="120" t="n">
        <f aca="false">A186+1</f>
        <v>37073</v>
      </c>
      <c r="B187" s="131" t="str">
        <f aca="false">INDEX('Master Data'!$A$2:$B$8,MATCH(WEEKDAY('BRA PWR Certificates'!A187,3),'Master Data'!$A$2:$A$8,0),2)</f>
        <v>Su</v>
      </c>
      <c r="D187" s="124" t="n">
        <v>0</v>
      </c>
      <c r="E187" s="124" t="n">
        <v>0</v>
      </c>
      <c r="F187" s="124" t="n">
        <v>0</v>
      </c>
      <c r="G187" s="124" t="n">
        <v>0</v>
      </c>
      <c r="I187" s="124" t="n">
        <f aca="false">IF(MONTH($A187)=MONTH($A186),IF(G187=0,I186,G187),G187)</f>
        <v>0</v>
      </c>
      <c r="J187" s="124" t="n">
        <f aca="false">IF(MONTH($A187)=MONTH($A186),SUM(I187-I186),I187)</f>
        <v>0</v>
      </c>
      <c r="K187" s="124" t="n">
        <f aca="false">IF(WEEKDAY(A187,3)&gt;4,0,(IF(A187&lt;K$2,0,IF(A187&lt;=K$3,1,0))))</f>
        <v>0</v>
      </c>
      <c r="L187" s="124" t="n">
        <f aca="false">J187*K187</f>
        <v>0</v>
      </c>
      <c r="M187" s="124" t="n">
        <f aca="false">SUM(J$97:J187)</f>
        <v>0</v>
      </c>
      <c r="N187" s="124" t="n">
        <f aca="false">SUM(J$6:J187)</f>
        <v>0</v>
      </c>
      <c r="P187" s="124" t="n">
        <f aca="false">D187/P$3</f>
        <v>0</v>
      </c>
      <c r="Q187" s="124" t="n">
        <f aca="false">E187/P$3</f>
        <v>0</v>
      </c>
      <c r="R187" s="124" t="n">
        <f aca="false">F187/R$3</f>
        <v>0</v>
      </c>
      <c r="S187" s="126" t="n">
        <f aca="false">J187/$R$3</f>
        <v>0</v>
      </c>
      <c r="T187" s="126" t="n">
        <f aca="false">L187/$R$3</f>
        <v>0</v>
      </c>
      <c r="U187" s="126" t="n">
        <f aca="false">I187/$R$3</f>
        <v>0</v>
      </c>
      <c r="V187" s="126" t="n">
        <f aca="false">M187/$R$3</f>
        <v>0</v>
      </c>
      <c r="W187" s="126" t="n">
        <f aca="false">N187/$R$3</f>
        <v>0</v>
      </c>
    </row>
    <row r="188" customFormat="false" ht="12.75" hidden="true" customHeight="false" outlineLevel="0" collapsed="false">
      <c r="A188" s="120" t="n">
        <f aca="false">A187+1</f>
        <v>37074</v>
      </c>
      <c r="B188" s="131" t="str">
        <f aca="false">INDEX('Master Data'!$A$2:$B$8,MATCH(WEEKDAY('BRA PWR Certificates'!A188,3),'Master Data'!$A$2:$A$8,0),2)</f>
        <v>M</v>
      </c>
      <c r="D188" s="124" t="n">
        <v>0</v>
      </c>
      <c r="E188" s="124" t="n">
        <v>0</v>
      </c>
      <c r="F188" s="124" t="n">
        <v>0</v>
      </c>
      <c r="G188" s="124" t="n">
        <v>0</v>
      </c>
      <c r="I188" s="124" t="n">
        <f aca="false">IF(MONTH($A188)=MONTH($A187),IF(G188=0,I187,G188),G188)</f>
        <v>0</v>
      </c>
      <c r="J188" s="124" t="n">
        <f aca="false">IF(MONTH($A188)=MONTH($A187),SUM(I188-I187),I188)</f>
        <v>0</v>
      </c>
      <c r="K188" s="124" t="n">
        <f aca="false">IF(WEEKDAY(A188,3)&gt;4,0,(IF(A188&lt;K$2,0,IF(A188&lt;=K$3,1,0))))</f>
        <v>0</v>
      </c>
      <c r="L188" s="124" t="n">
        <f aca="false">J188*K188</f>
        <v>0</v>
      </c>
      <c r="M188" s="124" t="n">
        <f aca="false">SUM(J$188:J188)</f>
        <v>0</v>
      </c>
      <c r="N188" s="124" t="n">
        <f aca="false">SUM(J$6:J188)</f>
        <v>0</v>
      </c>
      <c r="P188" s="124" t="n">
        <f aca="false">D188/P$3</f>
        <v>0</v>
      </c>
      <c r="Q188" s="124" t="n">
        <f aca="false">E188/P$3</f>
        <v>0</v>
      </c>
      <c r="R188" s="124" t="n">
        <f aca="false">F188/R$3</f>
        <v>0</v>
      </c>
      <c r="S188" s="126" t="n">
        <f aca="false">J188/$R$3</f>
        <v>0</v>
      </c>
      <c r="T188" s="126" t="n">
        <f aca="false">L188/$R$3</f>
        <v>0</v>
      </c>
      <c r="U188" s="126" t="n">
        <f aca="false">I188/$R$3</f>
        <v>0</v>
      </c>
      <c r="V188" s="126" t="n">
        <f aca="false">M188/$R$3</f>
        <v>0</v>
      </c>
      <c r="W188" s="126" t="n">
        <f aca="false">N188/$R$3</f>
        <v>0</v>
      </c>
    </row>
    <row r="189" customFormat="false" ht="12.75" hidden="true" customHeight="false" outlineLevel="0" collapsed="false">
      <c r="A189" s="120" t="n">
        <f aca="false">A188+1</f>
        <v>37075</v>
      </c>
      <c r="B189" s="131" t="str">
        <f aca="false">INDEX('Master Data'!$A$2:$B$8,MATCH(WEEKDAY('BRA PWR Certificates'!A189,3),'Master Data'!$A$2:$A$8,0),2)</f>
        <v>T</v>
      </c>
      <c r="D189" s="124" t="n">
        <v>0</v>
      </c>
      <c r="E189" s="124" t="n">
        <v>0</v>
      </c>
      <c r="F189" s="124" t="n">
        <v>0</v>
      </c>
      <c r="G189" s="124" t="n">
        <v>0</v>
      </c>
      <c r="I189" s="124" t="n">
        <f aca="false">IF(MONTH($A189)=MONTH($A188),IF(G189=0,I188,G189),G189)</f>
        <v>0</v>
      </c>
      <c r="J189" s="124" t="n">
        <f aca="false">IF(MONTH($A189)=MONTH($A188),SUM(I189-I188),I189)</f>
        <v>0</v>
      </c>
      <c r="K189" s="124" t="n">
        <f aca="false">IF(WEEKDAY(A189,3)&gt;4,0,(IF(A189&lt;K$2,0,IF(A189&lt;=K$3,1,0))))</f>
        <v>0</v>
      </c>
      <c r="L189" s="124" t="n">
        <f aca="false">J189*K189</f>
        <v>0</v>
      </c>
      <c r="M189" s="124" t="n">
        <f aca="false">SUM(J$188:J189)</f>
        <v>0</v>
      </c>
      <c r="N189" s="124" t="n">
        <f aca="false">SUM(J$6:J189)</f>
        <v>0</v>
      </c>
      <c r="P189" s="124" t="n">
        <f aca="false">D189/P$3</f>
        <v>0</v>
      </c>
      <c r="Q189" s="124" t="n">
        <f aca="false">E189/P$3</f>
        <v>0</v>
      </c>
      <c r="R189" s="124" t="n">
        <f aca="false">F189/R$3</f>
        <v>0</v>
      </c>
      <c r="S189" s="126" t="n">
        <f aca="false">J189/$R$3</f>
        <v>0</v>
      </c>
      <c r="T189" s="126" t="n">
        <f aca="false">L189/$R$3</f>
        <v>0</v>
      </c>
      <c r="U189" s="126" t="n">
        <f aca="false">I189/$R$3</f>
        <v>0</v>
      </c>
      <c r="V189" s="126" t="n">
        <f aca="false">M189/$R$3</f>
        <v>0</v>
      </c>
      <c r="W189" s="126" t="n">
        <f aca="false">N189/$R$3</f>
        <v>0</v>
      </c>
    </row>
    <row r="190" customFormat="false" ht="12.75" hidden="true" customHeight="false" outlineLevel="0" collapsed="false">
      <c r="A190" s="120" t="n">
        <f aca="false">A189+1</f>
        <v>37076</v>
      </c>
      <c r="B190" s="131" t="str">
        <f aca="false">INDEX('Master Data'!$A$2:$B$8,MATCH(WEEKDAY('BRA PWR Certificates'!A190,3),'Master Data'!$A$2:$A$8,0),2)</f>
        <v>W</v>
      </c>
      <c r="D190" s="124" t="n">
        <v>0</v>
      </c>
      <c r="E190" s="124" t="n">
        <v>0</v>
      </c>
      <c r="F190" s="124" t="n">
        <v>0</v>
      </c>
      <c r="G190" s="124" t="n">
        <v>0</v>
      </c>
      <c r="I190" s="124" t="n">
        <f aca="false">IF(MONTH($A190)=MONTH($A189),IF(G190=0,I189,G190),G190)</f>
        <v>0</v>
      </c>
      <c r="J190" s="124" t="n">
        <f aca="false">IF(MONTH($A190)=MONTH($A189),SUM(I190-I189),I190)</f>
        <v>0</v>
      </c>
      <c r="K190" s="124" t="n">
        <f aca="false">IF(WEEKDAY(A190,3)&gt;4,0,(IF(A190&lt;K$2,0,IF(A190&lt;=K$3,1,0))))</f>
        <v>0</v>
      </c>
      <c r="L190" s="124" t="n">
        <f aca="false">J190*K190</f>
        <v>0</v>
      </c>
      <c r="M190" s="124" t="n">
        <f aca="false">SUM(J$188:J190)</f>
        <v>0</v>
      </c>
      <c r="N190" s="124" t="n">
        <f aca="false">SUM(J$6:J190)</f>
        <v>0</v>
      </c>
      <c r="P190" s="124" t="n">
        <f aca="false">D190/P$3</f>
        <v>0</v>
      </c>
      <c r="Q190" s="124" t="n">
        <f aca="false">E190/P$3</f>
        <v>0</v>
      </c>
      <c r="R190" s="124" t="n">
        <f aca="false">F190/R$3</f>
        <v>0</v>
      </c>
      <c r="S190" s="126" t="n">
        <f aca="false">J190/$R$3</f>
        <v>0</v>
      </c>
      <c r="T190" s="126" t="n">
        <f aca="false">L190/$R$3</f>
        <v>0</v>
      </c>
      <c r="U190" s="126" t="n">
        <f aca="false">I190/$R$3</f>
        <v>0</v>
      </c>
      <c r="V190" s="126" t="n">
        <f aca="false">M190/$R$3</f>
        <v>0</v>
      </c>
      <c r="W190" s="126" t="n">
        <f aca="false">N190/$R$3</f>
        <v>0</v>
      </c>
    </row>
    <row r="191" customFormat="false" ht="12.75" hidden="true" customHeight="false" outlineLevel="0" collapsed="false">
      <c r="A191" s="120" t="n">
        <f aca="false">A190+1</f>
        <v>37077</v>
      </c>
      <c r="B191" s="131" t="str">
        <f aca="false">INDEX('Master Data'!$A$2:$B$8,MATCH(WEEKDAY('BRA PWR Certificates'!A191,3),'Master Data'!$A$2:$A$8,0),2)</f>
        <v>Th</v>
      </c>
      <c r="D191" s="124" t="n">
        <v>0</v>
      </c>
      <c r="E191" s="124" t="n">
        <v>0</v>
      </c>
      <c r="F191" s="124" t="n">
        <v>0</v>
      </c>
      <c r="G191" s="124" t="n">
        <v>0</v>
      </c>
      <c r="I191" s="124" t="n">
        <f aca="false">IF(MONTH($A191)=MONTH($A190),IF(G191=0,I190,G191),G191)</f>
        <v>0</v>
      </c>
      <c r="J191" s="124" t="n">
        <f aca="false">IF(MONTH($A191)=MONTH($A190),SUM(I191-I190),I191)</f>
        <v>0</v>
      </c>
      <c r="K191" s="124" t="n">
        <f aca="false">IF(WEEKDAY(A191,3)&gt;4,0,(IF(A191&lt;K$2,0,IF(A191&lt;=K$3,1,0))))</f>
        <v>0</v>
      </c>
      <c r="L191" s="124" t="n">
        <f aca="false">J191*K191</f>
        <v>0</v>
      </c>
      <c r="M191" s="124" t="n">
        <f aca="false">SUM(J$188:J191)</f>
        <v>0</v>
      </c>
      <c r="N191" s="124" t="n">
        <f aca="false">SUM(J$6:J191)</f>
        <v>0</v>
      </c>
      <c r="P191" s="124" t="n">
        <f aca="false">D191/P$3</f>
        <v>0</v>
      </c>
      <c r="Q191" s="124" t="n">
        <f aca="false">E191/P$3</f>
        <v>0</v>
      </c>
      <c r="R191" s="124" t="n">
        <f aca="false">F191/R$3</f>
        <v>0</v>
      </c>
      <c r="S191" s="126" t="n">
        <f aca="false">J191/$R$3</f>
        <v>0</v>
      </c>
      <c r="T191" s="126" t="n">
        <f aca="false">L191/$R$3</f>
        <v>0</v>
      </c>
      <c r="U191" s="126" t="n">
        <f aca="false">I191/$R$3</f>
        <v>0</v>
      </c>
      <c r="V191" s="126" t="n">
        <f aca="false">M191/$R$3</f>
        <v>0</v>
      </c>
      <c r="W191" s="126" t="n">
        <f aca="false">N191/$R$3</f>
        <v>0</v>
      </c>
    </row>
    <row r="192" customFormat="false" ht="12.75" hidden="true" customHeight="false" outlineLevel="0" collapsed="false">
      <c r="A192" s="120" t="n">
        <f aca="false">A191+1</f>
        <v>37078</v>
      </c>
      <c r="B192" s="131" t="str">
        <f aca="false">INDEX('Master Data'!$A$2:$B$8,MATCH(WEEKDAY('BRA PWR Certificates'!A192,3),'Master Data'!$A$2:$A$8,0),2)</f>
        <v>F</v>
      </c>
      <c r="D192" s="124" t="n">
        <v>0</v>
      </c>
      <c r="E192" s="124" t="n">
        <v>0</v>
      </c>
      <c r="F192" s="124" t="n">
        <v>0</v>
      </c>
      <c r="G192" s="124" t="n">
        <v>0</v>
      </c>
      <c r="I192" s="124" t="n">
        <f aca="false">IF(MONTH($A192)=MONTH($A191),IF(G192=0,I191,G192),G192)</f>
        <v>0</v>
      </c>
      <c r="J192" s="124" t="n">
        <f aca="false">IF(MONTH($A192)=MONTH($A191),SUM(I192-I191),I192)</f>
        <v>0</v>
      </c>
      <c r="K192" s="124" t="n">
        <f aca="false">IF(WEEKDAY(A192,3)&gt;4,0,(IF(A192&lt;K$2,0,IF(A192&lt;=K$3,1,0))))</f>
        <v>0</v>
      </c>
      <c r="L192" s="124" t="n">
        <f aca="false">J192*K192</f>
        <v>0</v>
      </c>
      <c r="M192" s="124" t="n">
        <f aca="false">SUM(J$188:J192)</f>
        <v>0</v>
      </c>
      <c r="N192" s="124" t="n">
        <f aca="false">SUM(J$6:J192)</f>
        <v>0</v>
      </c>
      <c r="P192" s="124" t="n">
        <f aca="false">D192/P$3</f>
        <v>0</v>
      </c>
      <c r="Q192" s="124" t="n">
        <f aca="false">E192/P$3</f>
        <v>0</v>
      </c>
      <c r="R192" s="124" t="n">
        <f aca="false">F192/R$3</f>
        <v>0</v>
      </c>
      <c r="S192" s="126" t="n">
        <f aca="false">J192/$R$3</f>
        <v>0</v>
      </c>
      <c r="T192" s="126" t="n">
        <f aca="false">L192/$R$3</f>
        <v>0</v>
      </c>
      <c r="U192" s="126" t="n">
        <f aca="false">I192/$R$3</f>
        <v>0</v>
      </c>
      <c r="V192" s="126" t="n">
        <f aca="false">M192/$R$3</f>
        <v>0</v>
      </c>
      <c r="W192" s="126" t="n">
        <f aca="false">N192/$R$3</f>
        <v>0</v>
      </c>
    </row>
    <row r="193" customFormat="false" ht="12.75" hidden="true" customHeight="false" outlineLevel="0" collapsed="false">
      <c r="A193" s="120" t="n">
        <f aca="false">A192+1</f>
        <v>37079</v>
      </c>
      <c r="B193" s="131" t="str">
        <f aca="false">INDEX('Master Data'!$A$2:$B$8,MATCH(WEEKDAY('BRA PWR Certificates'!A193,3),'Master Data'!$A$2:$A$8,0),2)</f>
        <v>Sa</v>
      </c>
      <c r="D193" s="124" t="n">
        <v>0</v>
      </c>
      <c r="E193" s="124" t="n">
        <v>0</v>
      </c>
      <c r="F193" s="124" t="n">
        <v>0</v>
      </c>
      <c r="G193" s="124" t="n">
        <v>0</v>
      </c>
      <c r="I193" s="124" t="n">
        <f aca="false">IF(MONTH($A193)=MONTH($A192),IF(G193=0,I192,G193),G193)</f>
        <v>0</v>
      </c>
      <c r="J193" s="124" t="n">
        <f aca="false">IF(MONTH($A193)=MONTH($A192),SUM(I193-I192),I193)</f>
        <v>0</v>
      </c>
      <c r="K193" s="124" t="n">
        <f aca="false">IF(WEEKDAY(A193,3)&gt;4,0,(IF(A193&lt;K$2,0,IF(A193&lt;=K$3,1,0))))</f>
        <v>0</v>
      </c>
      <c r="L193" s="124" t="n">
        <f aca="false">J193*K193</f>
        <v>0</v>
      </c>
      <c r="M193" s="124" t="n">
        <f aca="false">SUM(J$188:J193)</f>
        <v>0</v>
      </c>
      <c r="N193" s="124" t="n">
        <f aca="false">SUM(J$6:J193)</f>
        <v>0</v>
      </c>
      <c r="P193" s="124" t="n">
        <f aca="false">D193/P$3</f>
        <v>0</v>
      </c>
      <c r="Q193" s="124" t="n">
        <f aca="false">E193/P$3</f>
        <v>0</v>
      </c>
      <c r="R193" s="124" t="n">
        <f aca="false">F193/R$3</f>
        <v>0</v>
      </c>
      <c r="S193" s="126" t="n">
        <f aca="false">J193/$R$3</f>
        <v>0</v>
      </c>
      <c r="T193" s="126" t="n">
        <f aca="false">L193/$R$3</f>
        <v>0</v>
      </c>
      <c r="U193" s="126" t="n">
        <f aca="false">I193/$R$3</f>
        <v>0</v>
      </c>
      <c r="V193" s="126" t="n">
        <f aca="false">M193/$R$3</f>
        <v>0</v>
      </c>
      <c r="W193" s="126" t="n">
        <f aca="false">N193/$R$3</f>
        <v>0</v>
      </c>
    </row>
    <row r="194" customFormat="false" ht="12.75" hidden="true" customHeight="false" outlineLevel="0" collapsed="false">
      <c r="A194" s="120" t="n">
        <f aca="false">A193+1</f>
        <v>37080</v>
      </c>
      <c r="B194" s="131" t="str">
        <f aca="false">INDEX('Master Data'!$A$2:$B$8,MATCH(WEEKDAY('BRA PWR Certificates'!A194,3),'Master Data'!$A$2:$A$8,0),2)</f>
        <v>Su</v>
      </c>
      <c r="D194" s="124" t="n">
        <v>0</v>
      </c>
      <c r="E194" s="124" t="n">
        <v>0</v>
      </c>
      <c r="F194" s="124" t="n">
        <v>0</v>
      </c>
      <c r="G194" s="124" t="n">
        <v>0</v>
      </c>
      <c r="I194" s="124" t="n">
        <f aca="false">IF(MONTH($A194)=MONTH($A193),IF(G194=0,I193,G194),G194)</f>
        <v>0</v>
      </c>
      <c r="J194" s="124" t="n">
        <f aca="false">IF(MONTH($A194)=MONTH($A193),SUM(I194-I193),I194)</f>
        <v>0</v>
      </c>
      <c r="K194" s="124" t="n">
        <f aca="false">IF(WEEKDAY(A194,3)&gt;4,0,(IF(A194&lt;K$2,0,IF(A194&lt;=K$3,1,0))))</f>
        <v>0</v>
      </c>
      <c r="L194" s="124" t="n">
        <f aca="false">J194*K194</f>
        <v>0</v>
      </c>
      <c r="M194" s="124" t="n">
        <f aca="false">SUM(J$188:J194)</f>
        <v>0</v>
      </c>
      <c r="N194" s="124" t="n">
        <f aca="false">SUM(J$6:J194)</f>
        <v>0</v>
      </c>
      <c r="P194" s="124" t="n">
        <f aca="false">D194/P$3</f>
        <v>0</v>
      </c>
      <c r="Q194" s="124" t="n">
        <f aca="false">E194/P$3</f>
        <v>0</v>
      </c>
      <c r="R194" s="124" t="n">
        <f aca="false">F194/R$3</f>
        <v>0</v>
      </c>
      <c r="S194" s="126" t="n">
        <f aca="false">J194/$R$3</f>
        <v>0</v>
      </c>
      <c r="T194" s="126" t="n">
        <f aca="false">L194/$R$3</f>
        <v>0</v>
      </c>
      <c r="U194" s="126" t="n">
        <f aca="false">I194/$R$3</f>
        <v>0</v>
      </c>
      <c r="V194" s="126" t="n">
        <f aca="false">M194/$R$3</f>
        <v>0</v>
      </c>
      <c r="W194" s="126" t="n">
        <f aca="false">N194/$R$3</f>
        <v>0</v>
      </c>
    </row>
    <row r="195" customFormat="false" ht="12.75" hidden="true" customHeight="false" outlineLevel="0" collapsed="false">
      <c r="A195" s="120" t="n">
        <f aca="false">A194+1</f>
        <v>37081</v>
      </c>
      <c r="B195" s="131" t="str">
        <f aca="false">INDEX('Master Data'!$A$2:$B$8,MATCH(WEEKDAY('BRA PWR Certificates'!A195,3),'Master Data'!$A$2:$A$8,0),2)</f>
        <v>M</v>
      </c>
      <c r="D195" s="124" t="n">
        <v>0</v>
      </c>
      <c r="E195" s="124" t="n">
        <v>0</v>
      </c>
      <c r="F195" s="124" t="n">
        <v>0</v>
      </c>
      <c r="G195" s="124" t="n">
        <v>0</v>
      </c>
      <c r="I195" s="124" t="n">
        <f aca="false">IF(MONTH($A195)=MONTH($A194),IF(G195=0,I194,G195),G195)</f>
        <v>0</v>
      </c>
      <c r="J195" s="124" t="n">
        <f aca="false">IF(MONTH($A195)=MONTH($A194),SUM(I195-I194),I195)</f>
        <v>0</v>
      </c>
      <c r="K195" s="124" t="n">
        <f aca="false">IF(WEEKDAY(A195,3)&gt;4,0,(IF(A195&lt;K$2,0,IF(A195&lt;=K$3,1,0))))</f>
        <v>0</v>
      </c>
      <c r="L195" s="124" t="n">
        <f aca="false">J195*K195</f>
        <v>0</v>
      </c>
      <c r="M195" s="124" t="n">
        <f aca="false">SUM(J$188:J195)</f>
        <v>0</v>
      </c>
      <c r="N195" s="124" t="n">
        <f aca="false">SUM(J$6:J195)</f>
        <v>0</v>
      </c>
      <c r="P195" s="124" t="n">
        <f aca="false">D195/P$3</f>
        <v>0</v>
      </c>
      <c r="Q195" s="124" t="n">
        <f aca="false">E195/P$3</f>
        <v>0</v>
      </c>
      <c r="R195" s="124" t="n">
        <f aca="false">F195/R$3</f>
        <v>0</v>
      </c>
      <c r="S195" s="126" t="n">
        <f aca="false">J195/$R$3</f>
        <v>0</v>
      </c>
      <c r="T195" s="126" t="n">
        <f aca="false">L195/$R$3</f>
        <v>0</v>
      </c>
      <c r="U195" s="126" t="n">
        <f aca="false">I195/$R$3</f>
        <v>0</v>
      </c>
      <c r="V195" s="126" t="n">
        <f aca="false">M195/$R$3</f>
        <v>0</v>
      </c>
      <c r="W195" s="126" t="n">
        <f aca="false">N195/$R$3</f>
        <v>0</v>
      </c>
    </row>
    <row r="196" customFormat="false" ht="12.75" hidden="true" customHeight="false" outlineLevel="0" collapsed="false">
      <c r="A196" s="120" t="n">
        <f aca="false">A195+1</f>
        <v>37082</v>
      </c>
      <c r="B196" s="131" t="str">
        <f aca="false">INDEX('Master Data'!$A$2:$B$8,MATCH(WEEKDAY('BRA PWR Certificates'!A196,3),'Master Data'!$A$2:$A$8,0),2)</f>
        <v>T</v>
      </c>
      <c r="D196" s="124" t="n">
        <v>0</v>
      </c>
      <c r="E196" s="124" t="n">
        <v>0</v>
      </c>
      <c r="F196" s="124" t="n">
        <v>0</v>
      </c>
      <c r="G196" s="124" t="n">
        <v>0</v>
      </c>
      <c r="I196" s="124" t="n">
        <f aca="false">IF(MONTH($A196)=MONTH($A195),IF(G196=0,I195,G196),G196)</f>
        <v>0</v>
      </c>
      <c r="J196" s="124" t="n">
        <f aca="false">IF(MONTH($A196)=MONTH($A195),SUM(I196-I195),I196)</f>
        <v>0</v>
      </c>
      <c r="K196" s="124" t="n">
        <f aca="false">IF(WEEKDAY(A196,3)&gt;4,0,(IF(A196&lt;K$2,0,IF(A196&lt;=K$3,1,0))))</f>
        <v>0</v>
      </c>
      <c r="L196" s="124" t="n">
        <f aca="false">J196*K196</f>
        <v>0</v>
      </c>
      <c r="M196" s="124" t="n">
        <f aca="false">SUM(J$188:J196)</f>
        <v>0</v>
      </c>
      <c r="N196" s="124" t="n">
        <f aca="false">SUM(J$6:J196)</f>
        <v>0</v>
      </c>
      <c r="P196" s="124" t="n">
        <f aca="false">D196/P$3</f>
        <v>0</v>
      </c>
      <c r="Q196" s="124" t="n">
        <f aca="false">E196/P$3</f>
        <v>0</v>
      </c>
      <c r="R196" s="124" t="n">
        <f aca="false">F196/R$3</f>
        <v>0</v>
      </c>
      <c r="S196" s="126" t="n">
        <f aca="false">J196/$R$3</f>
        <v>0</v>
      </c>
      <c r="T196" s="126" t="n">
        <f aca="false">L196/$R$3</f>
        <v>0</v>
      </c>
      <c r="U196" s="126" t="n">
        <f aca="false">I196/$R$3</f>
        <v>0</v>
      </c>
      <c r="V196" s="126" t="n">
        <f aca="false">M196/$R$3</f>
        <v>0</v>
      </c>
      <c r="W196" s="126" t="n">
        <f aca="false">N196/$R$3</f>
        <v>0</v>
      </c>
    </row>
    <row r="197" customFormat="false" ht="12.75" hidden="true" customHeight="false" outlineLevel="0" collapsed="false">
      <c r="A197" s="120" t="n">
        <f aca="false">A196+1</f>
        <v>37083</v>
      </c>
      <c r="B197" s="131" t="str">
        <f aca="false">INDEX('Master Data'!$A$2:$B$8,MATCH(WEEKDAY('BRA PWR Certificates'!A197,3),'Master Data'!$A$2:$A$8,0),2)</f>
        <v>W</v>
      </c>
      <c r="D197" s="124" t="n">
        <v>0</v>
      </c>
      <c r="E197" s="124" t="n">
        <v>0</v>
      </c>
      <c r="F197" s="124" t="n">
        <v>0</v>
      </c>
      <c r="G197" s="124" t="n">
        <v>0</v>
      </c>
      <c r="I197" s="124" t="n">
        <f aca="false">IF(MONTH($A197)=MONTH($A196),IF(G197=0,I196,G197),G197)</f>
        <v>0</v>
      </c>
      <c r="J197" s="124" t="n">
        <f aca="false">IF(MONTH($A197)=MONTH($A196),SUM(I197-I196),I197)</f>
        <v>0</v>
      </c>
      <c r="K197" s="124" t="n">
        <f aca="false">IF(WEEKDAY(A197,3)&gt;4,0,(IF(A197&lt;K$2,0,IF(A197&lt;=K$3,1,0))))</f>
        <v>0</v>
      </c>
      <c r="L197" s="124" t="n">
        <f aca="false">J197*K197</f>
        <v>0</v>
      </c>
      <c r="M197" s="124" t="n">
        <f aca="false">SUM(J$188:J197)</f>
        <v>0</v>
      </c>
      <c r="N197" s="124" t="n">
        <f aca="false">SUM(J$6:J197)</f>
        <v>0</v>
      </c>
      <c r="P197" s="124" t="n">
        <f aca="false">D197/P$3</f>
        <v>0</v>
      </c>
      <c r="Q197" s="124" t="n">
        <f aca="false">E197/P$3</f>
        <v>0</v>
      </c>
      <c r="R197" s="124" t="n">
        <f aca="false">F197/R$3</f>
        <v>0</v>
      </c>
      <c r="S197" s="126" t="n">
        <f aca="false">J197/$R$3</f>
        <v>0</v>
      </c>
      <c r="T197" s="126" t="n">
        <f aca="false">L197/$R$3</f>
        <v>0</v>
      </c>
      <c r="U197" s="126" t="n">
        <f aca="false">I197/$R$3</f>
        <v>0</v>
      </c>
      <c r="V197" s="126" t="n">
        <f aca="false">M197/$R$3</f>
        <v>0</v>
      </c>
      <c r="W197" s="126" t="n">
        <f aca="false">N197/$R$3</f>
        <v>0</v>
      </c>
    </row>
    <row r="198" customFormat="false" ht="12.75" hidden="true" customHeight="false" outlineLevel="0" collapsed="false">
      <c r="A198" s="120" t="n">
        <f aca="false">A197+1</f>
        <v>37084</v>
      </c>
      <c r="B198" s="131" t="str">
        <f aca="false">INDEX('Master Data'!$A$2:$B$8,MATCH(WEEKDAY('BRA PWR Certificates'!A198,3),'Master Data'!$A$2:$A$8,0),2)</f>
        <v>Th</v>
      </c>
      <c r="D198" s="124" t="n">
        <v>0</v>
      </c>
      <c r="E198" s="124" t="n">
        <v>0</v>
      </c>
      <c r="F198" s="124" t="n">
        <v>0</v>
      </c>
      <c r="G198" s="124" t="n">
        <v>0</v>
      </c>
      <c r="I198" s="124" t="n">
        <f aca="false">IF(MONTH($A198)=MONTH($A197),IF(G198=0,I197,G198),G198)</f>
        <v>0</v>
      </c>
      <c r="J198" s="124" t="n">
        <f aca="false">IF(MONTH($A198)=MONTH($A197),SUM(I198-I197),I198)</f>
        <v>0</v>
      </c>
      <c r="K198" s="124" t="n">
        <f aca="false">IF(WEEKDAY(A198,3)&gt;4,0,(IF(A198&lt;K$2,0,IF(A198&lt;=K$3,1,0))))</f>
        <v>0</v>
      </c>
      <c r="L198" s="124" t="n">
        <f aca="false">J198*K198</f>
        <v>0</v>
      </c>
      <c r="M198" s="124" t="n">
        <f aca="false">SUM(J$188:J198)</f>
        <v>0</v>
      </c>
      <c r="N198" s="124" t="n">
        <f aca="false">SUM(J$6:J198)</f>
        <v>0</v>
      </c>
      <c r="P198" s="124" t="n">
        <f aca="false">D198/P$3</f>
        <v>0</v>
      </c>
      <c r="Q198" s="124" t="n">
        <f aca="false">E198/P$3</f>
        <v>0</v>
      </c>
      <c r="R198" s="124" t="n">
        <f aca="false">F198/R$3</f>
        <v>0</v>
      </c>
      <c r="S198" s="126" t="n">
        <f aca="false">J198/$R$3</f>
        <v>0</v>
      </c>
      <c r="T198" s="126" t="n">
        <f aca="false">L198/$R$3</f>
        <v>0</v>
      </c>
      <c r="U198" s="126" t="n">
        <f aca="false">I198/$R$3</f>
        <v>0</v>
      </c>
      <c r="V198" s="126" t="n">
        <f aca="false">M198/$R$3</f>
        <v>0</v>
      </c>
      <c r="W198" s="126" t="n">
        <f aca="false">N198/$R$3</f>
        <v>0</v>
      </c>
    </row>
    <row r="199" customFormat="false" ht="12.75" hidden="true" customHeight="false" outlineLevel="0" collapsed="false">
      <c r="A199" s="120" t="n">
        <f aca="false">A198+1</f>
        <v>37085</v>
      </c>
      <c r="B199" s="131" t="str">
        <f aca="false">INDEX('Master Data'!$A$2:$B$8,MATCH(WEEKDAY('BRA PWR Certificates'!A199,3),'Master Data'!$A$2:$A$8,0),2)</f>
        <v>F</v>
      </c>
      <c r="D199" s="124" t="n">
        <v>0</v>
      </c>
      <c r="E199" s="124" t="n">
        <v>0</v>
      </c>
      <c r="F199" s="124" t="n">
        <v>0</v>
      </c>
      <c r="G199" s="124" t="n">
        <v>0</v>
      </c>
      <c r="I199" s="124" t="n">
        <f aca="false">IF(MONTH($A199)=MONTH($A198),IF(G199=0,I198,G199),G199)</f>
        <v>0</v>
      </c>
      <c r="J199" s="124" t="n">
        <f aca="false">IF(MONTH($A199)=MONTH($A198),SUM(I199-I198),I199)</f>
        <v>0</v>
      </c>
      <c r="K199" s="124" t="n">
        <f aca="false">IF(WEEKDAY(A199,3)&gt;4,0,(IF(A199&lt;K$2,0,IF(A199&lt;=K$3,1,0))))</f>
        <v>0</v>
      </c>
      <c r="L199" s="124" t="n">
        <f aca="false">J199*K199</f>
        <v>0</v>
      </c>
      <c r="M199" s="124" t="n">
        <f aca="false">SUM(J$188:J199)</f>
        <v>0</v>
      </c>
      <c r="N199" s="124" t="n">
        <f aca="false">SUM(J$6:J199)</f>
        <v>0</v>
      </c>
      <c r="P199" s="124" t="n">
        <f aca="false">D199/P$3</f>
        <v>0</v>
      </c>
      <c r="Q199" s="124" t="n">
        <f aca="false">E199/P$3</f>
        <v>0</v>
      </c>
      <c r="R199" s="124" t="n">
        <f aca="false">F199/R$3</f>
        <v>0</v>
      </c>
      <c r="S199" s="126" t="n">
        <f aca="false">J199/$R$3</f>
        <v>0</v>
      </c>
      <c r="T199" s="126" t="n">
        <f aca="false">L199/$R$3</f>
        <v>0</v>
      </c>
      <c r="U199" s="126" t="n">
        <f aca="false">I199/$R$3</f>
        <v>0</v>
      </c>
      <c r="V199" s="126" t="n">
        <f aca="false">M199/$R$3</f>
        <v>0</v>
      </c>
      <c r="W199" s="126" t="n">
        <f aca="false">N199/$R$3</f>
        <v>0</v>
      </c>
    </row>
    <row r="200" customFormat="false" ht="12.75" hidden="true" customHeight="false" outlineLevel="0" collapsed="false">
      <c r="A200" s="120" t="n">
        <f aca="false">A199+1</f>
        <v>37086</v>
      </c>
      <c r="B200" s="131" t="str">
        <f aca="false">INDEX('Master Data'!$A$2:$B$8,MATCH(WEEKDAY('BRA PWR Certificates'!A200,3),'Master Data'!$A$2:$A$8,0),2)</f>
        <v>Sa</v>
      </c>
      <c r="D200" s="124" t="n">
        <v>0</v>
      </c>
      <c r="E200" s="124" t="n">
        <v>0</v>
      </c>
      <c r="F200" s="124" t="n">
        <v>0</v>
      </c>
      <c r="G200" s="124" t="n">
        <v>0</v>
      </c>
      <c r="I200" s="124" t="n">
        <f aca="false">IF(MONTH($A200)=MONTH($A199),IF(G200=0,I199,G200),G200)</f>
        <v>0</v>
      </c>
      <c r="J200" s="124" t="n">
        <f aca="false">IF(MONTH($A200)=MONTH($A199),SUM(I200-I199),I200)</f>
        <v>0</v>
      </c>
      <c r="K200" s="124" t="n">
        <f aca="false">IF(WEEKDAY(A200,3)&gt;4,0,(IF(A200&lt;K$2,0,IF(A200&lt;=K$3,1,0))))</f>
        <v>0</v>
      </c>
      <c r="L200" s="124" t="n">
        <f aca="false">J200*K200</f>
        <v>0</v>
      </c>
      <c r="M200" s="124" t="n">
        <f aca="false">SUM(J$188:J200)</f>
        <v>0</v>
      </c>
      <c r="N200" s="124" t="n">
        <f aca="false">SUM(J$6:J200)</f>
        <v>0</v>
      </c>
      <c r="P200" s="124" t="n">
        <f aca="false">D200/P$3</f>
        <v>0</v>
      </c>
      <c r="Q200" s="124" t="n">
        <f aca="false">E200/P$3</f>
        <v>0</v>
      </c>
      <c r="R200" s="124" t="n">
        <f aca="false">F200/R$3</f>
        <v>0</v>
      </c>
      <c r="S200" s="126" t="n">
        <f aca="false">J200/$R$3</f>
        <v>0</v>
      </c>
      <c r="T200" s="126" t="n">
        <f aca="false">L200/$R$3</f>
        <v>0</v>
      </c>
      <c r="U200" s="126" t="n">
        <f aca="false">I200/$R$3</f>
        <v>0</v>
      </c>
      <c r="V200" s="126" t="n">
        <f aca="false">M200/$R$3</f>
        <v>0</v>
      </c>
      <c r="W200" s="126" t="n">
        <f aca="false">N200/$R$3</f>
        <v>0</v>
      </c>
    </row>
    <row r="201" customFormat="false" ht="12.75" hidden="true" customHeight="false" outlineLevel="0" collapsed="false">
      <c r="A201" s="120" t="n">
        <f aca="false">A200+1</f>
        <v>37087</v>
      </c>
      <c r="B201" s="131" t="str">
        <f aca="false">INDEX('Master Data'!$A$2:$B$8,MATCH(WEEKDAY('BRA PWR Certificates'!A201,3),'Master Data'!$A$2:$A$8,0),2)</f>
        <v>Su</v>
      </c>
      <c r="D201" s="124" t="n">
        <v>0</v>
      </c>
      <c r="E201" s="124" t="n">
        <v>0</v>
      </c>
      <c r="F201" s="124" t="n">
        <v>0</v>
      </c>
      <c r="G201" s="124" t="n">
        <v>0</v>
      </c>
      <c r="I201" s="124" t="n">
        <f aca="false">IF(MONTH($A201)=MONTH($A200),IF(G201=0,I200,G201),G201)</f>
        <v>0</v>
      </c>
      <c r="J201" s="124" t="n">
        <f aca="false">IF(MONTH($A201)=MONTH($A200),SUM(I201-I200),I201)</f>
        <v>0</v>
      </c>
      <c r="K201" s="124" t="n">
        <f aca="false">IF(WEEKDAY(A201,3)&gt;4,0,(IF(A201&lt;K$2,0,IF(A201&lt;=K$3,1,0))))</f>
        <v>0</v>
      </c>
      <c r="L201" s="124" t="n">
        <f aca="false">J201*K201</f>
        <v>0</v>
      </c>
      <c r="M201" s="124" t="n">
        <f aca="false">SUM(J$188:J201)</f>
        <v>0</v>
      </c>
      <c r="N201" s="124" t="n">
        <f aca="false">SUM(J$6:J201)</f>
        <v>0</v>
      </c>
      <c r="P201" s="124" t="n">
        <f aca="false">D201/P$3</f>
        <v>0</v>
      </c>
      <c r="Q201" s="124" t="n">
        <f aca="false">E201/P$3</f>
        <v>0</v>
      </c>
      <c r="R201" s="124" t="n">
        <f aca="false">F201/R$3</f>
        <v>0</v>
      </c>
      <c r="S201" s="126" t="n">
        <f aca="false">J201/$R$3</f>
        <v>0</v>
      </c>
      <c r="T201" s="126" t="n">
        <f aca="false">L201/$R$3</f>
        <v>0</v>
      </c>
      <c r="U201" s="126" t="n">
        <f aca="false">I201/$R$3</f>
        <v>0</v>
      </c>
      <c r="V201" s="126" t="n">
        <f aca="false">M201/$R$3</f>
        <v>0</v>
      </c>
      <c r="W201" s="126" t="n">
        <f aca="false">N201/$R$3</f>
        <v>0</v>
      </c>
    </row>
    <row r="202" customFormat="false" ht="12.75" hidden="true" customHeight="false" outlineLevel="0" collapsed="false">
      <c r="A202" s="120" t="n">
        <f aca="false">A201+1</f>
        <v>37088</v>
      </c>
      <c r="B202" s="131" t="str">
        <f aca="false">INDEX('Master Data'!$A$2:$B$8,MATCH(WEEKDAY('BRA PWR Certificates'!A202,3),'Master Data'!$A$2:$A$8,0),2)</f>
        <v>M</v>
      </c>
      <c r="D202" s="124" t="n">
        <v>0</v>
      </c>
      <c r="E202" s="124" t="n">
        <v>0</v>
      </c>
      <c r="F202" s="124" t="n">
        <v>0</v>
      </c>
      <c r="G202" s="124" t="n">
        <v>0</v>
      </c>
      <c r="I202" s="124" t="n">
        <f aca="false">IF(MONTH($A202)=MONTH($A201),IF(G202=0,I201,G202),G202)</f>
        <v>0</v>
      </c>
      <c r="J202" s="124" t="n">
        <f aca="false">IF(MONTH($A202)=MONTH($A201),SUM(I202-I201),I202)</f>
        <v>0</v>
      </c>
      <c r="K202" s="124" t="n">
        <f aca="false">IF(WEEKDAY(A202,3)&gt;4,0,(IF(A202&lt;K$2,0,IF(A202&lt;=K$3,1,0))))</f>
        <v>0</v>
      </c>
      <c r="L202" s="124" t="n">
        <f aca="false">J202*K202</f>
        <v>0</v>
      </c>
      <c r="M202" s="124" t="n">
        <f aca="false">SUM(J$188:J202)</f>
        <v>0</v>
      </c>
      <c r="N202" s="124" t="n">
        <f aca="false">SUM(J$6:J202)</f>
        <v>0</v>
      </c>
      <c r="P202" s="124" t="n">
        <f aca="false">D202/P$3</f>
        <v>0</v>
      </c>
      <c r="Q202" s="124" t="n">
        <f aca="false">E202/P$3</f>
        <v>0</v>
      </c>
      <c r="R202" s="124" t="n">
        <f aca="false">F202/R$3</f>
        <v>0</v>
      </c>
      <c r="S202" s="126" t="n">
        <f aca="false">J202/$R$3</f>
        <v>0</v>
      </c>
      <c r="T202" s="126" t="n">
        <f aca="false">L202/$R$3</f>
        <v>0</v>
      </c>
      <c r="U202" s="126" t="n">
        <f aca="false">I202/$R$3</f>
        <v>0</v>
      </c>
      <c r="V202" s="126" t="n">
        <f aca="false">M202/$R$3</f>
        <v>0</v>
      </c>
      <c r="W202" s="126" t="n">
        <f aca="false">N202/$R$3</f>
        <v>0</v>
      </c>
    </row>
    <row r="203" customFormat="false" ht="12.75" hidden="true" customHeight="false" outlineLevel="0" collapsed="false">
      <c r="A203" s="120" t="n">
        <f aca="false">A202+1</f>
        <v>37089</v>
      </c>
      <c r="B203" s="131" t="str">
        <f aca="false">INDEX('Master Data'!$A$2:$B$8,MATCH(WEEKDAY('BRA PWR Certificates'!A203,3),'Master Data'!$A$2:$A$8,0),2)</f>
        <v>T</v>
      </c>
      <c r="D203" s="124" t="n">
        <v>0</v>
      </c>
      <c r="E203" s="124" t="n">
        <v>0</v>
      </c>
      <c r="F203" s="124" t="n">
        <v>0</v>
      </c>
      <c r="G203" s="124" t="n">
        <v>0</v>
      </c>
      <c r="I203" s="124" t="n">
        <f aca="false">IF(MONTH($A203)=MONTH($A202),IF(G203=0,I202,G203),G203)</f>
        <v>0</v>
      </c>
      <c r="J203" s="124" t="n">
        <f aca="false">IF(MONTH($A203)=MONTH($A202),SUM(I203-I202),I203)</f>
        <v>0</v>
      </c>
      <c r="K203" s="124" t="n">
        <f aca="false">IF(WEEKDAY(A203,3)&gt;4,0,(IF(A203&lt;K$2,0,IF(A203&lt;=K$3,1,0))))</f>
        <v>0</v>
      </c>
      <c r="L203" s="124" t="n">
        <f aca="false">J203*K203</f>
        <v>0</v>
      </c>
      <c r="M203" s="124" t="n">
        <f aca="false">SUM(J$188:J203)</f>
        <v>0</v>
      </c>
      <c r="N203" s="124" t="n">
        <f aca="false">SUM(J$6:J203)</f>
        <v>0</v>
      </c>
      <c r="P203" s="124" t="n">
        <f aca="false">D203/P$3</f>
        <v>0</v>
      </c>
      <c r="Q203" s="124" t="n">
        <f aca="false">E203/P$3</f>
        <v>0</v>
      </c>
      <c r="R203" s="124" t="n">
        <f aca="false">F203/R$3</f>
        <v>0</v>
      </c>
      <c r="S203" s="126" t="n">
        <f aca="false">J203/$R$3</f>
        <v>0</v>
      </c>
      <c r="T203" s="126" t="n">
        <f aca="false">L203/$R$3</f>
        <v>0</v>
      </c>
      <c r="U203" s="126" t="n">
        <f aca="false">I203/$R$3</f>
        <v>0</v>
      </c>
      <c r="V203" s="126" t="n">
        <f aca="false">M203/$R$3</f>
        <v>0</v>
      </c>
      <c r="W203" s="126" t="n">
        <f aca="false">N203/$R$3</f>
        <v>0</v>
      </c>
    </row>
    <row r="204" customFormat="false" ht="12.75" hidden="true" customHeight="false" outlineLevel="0" collapsed="false">
      <c r="A204" s="120" t="n">
        <f aca="false">A203+1</f>
        <v>37090</v>
      </c>
      <c r="B204" s="131" t="str">
        <f aca="false">INDEX('Master Data'!$A$2:$B$8,MATCH(WEEKDAY('BRA PWR Certificates'!A204,3),'Master Data'!$A$2:$A$8,0),2)</f>
        <v>W</v>
      </c>
      <c r="D204" s="124" t="n">
        <v>0</v>
      </c>
      <c r="E204" s="124" t="n">
        <v>0</v>
      </c>
      <c r="F204" s="124" t="n">
        <v>0</v>
      </c>
      <c r="G204" s="124" t="n">
        <v>0</v>
      </c>
      <c r="I204" s="124" t="n">
        <f aca="false">IF(MONTH($A204)=MONTH($A203),IF(G204=0,I203,G204),G204)</f>
        <v>0</v>
      </c>
      <c r="J204" s="124" t="n">
        <f aca="false">IF(MONTH($A204)=MONTH($A203),SUM(I204-I203),I204)</f>
        <v>0</v>
      </c>
      <c r="K204" s="124" t="n">
        <f aca="false">IF(WEEKDAY(A204,3)&gt;4,0,(IF(A204&lt;K$2,0,IF(A204&lt;=K$3,1,0))))</f>
        <v>0</v>
      </c>
      <c r="L204" s="124" t="n">
        <f aca="false">J204*K204</f>
        <v>0</v>
      </c>
      <c r="M204" s="124" t="n">
        <f aca="false">SUM(J$188:J204)</f>
        <v>0</v>
      </c>
      <c r="N204" s="124" t="n">
        <f aca="false">SUM(J$6:J204)</f>
        <v>0</v>
      </c>
      <c r="P204" s="124" t="n">
        <f aca="false">D204/P$3</f>
        <v>0</v>
      </c>
      <c r="Q204" s="124" t="n">
        <f aca="false">E204/P$3</f>
        <v>0</v>
      </c>
      <c r="R204" s="124" t="n">
        <f aca="false">F204/R$3</f>
        <v>0</v>
      </c>
      <c r="S204" s="126" t="n">
        <f aca="false">J204/$R$3</f>
        <v>0</v>
      </c>
      <c r="T204" s="126" t="n">
        <f aca="false">L204/$R$3</f>
        <v>0</v>
      </c>
      <c r="U204" s="126" t="n">
        <f aca="false">I204/$R$3</f>
        <v>0</v>
      </c>
      <c r="V204" s="126" t="n">
        <f aca="false">M204/$R$3</f>
        <v>0</v>
      </c>
      <c r="W204" s="126" t="n">
        <f aca="false">N204/$R$3</f>
        <v>0</v>
      </c>
    </row>
    <row r="205" customFormat="false" ht="12.75" hidden="true" customHeight="false" outlineLevel="0" collapsed="false">
      <c r="A205" s="120" t="n">
        <f aca="false">A204+1</f>
        <v>37091</v>
      </c>
      <c r="B205" s="131" t="str">
        <f aca="false">INDEX('Master Data'!$A$2:$B$8,MATCH(WEEKDAY('BRA PWR Certificates'!A205,3),'Master Data'!$A$2:$A$8,0),2)</f>
        <v>Th</v>
      </c>
      <c r="D205" s="124" t="n">
        <v>0</v>
      </c>
      <c r="E205" s="124" t="n">
        <v>0</v>
      </c>
      <c r="F205" s="124" t="n">
        <v>0</v>
      </c>
      <c r="G205" s="124" t="n">
        <v>0</v>
      </c>
      <c r="I205" s="124" t="n">
        <f aca="false">IF(MONTH($A205)=MONTH($A204),IF(G205=0,I204,G205),G205)</f>
        <v>0</v>
      </c>
      <c r="J205" s="124" t="n">
        <f aca="false">IF(MONTH($A205)=MONTH($A204),SUM(I205-I204),I205)</f>
        <v>0</v>
      </c>
      <c r="K205" s="124" t="n">
        <f aca="false">IF(WEEKDAY(A205,3)&gt;4,0,(IF(A205&lt;K$2,0,IF(A205&lt;=K$3,1,0))))</f>
        <v>0</v>
      </c>
      <c r="L205" s="124" t="n">
        <f aca="false">J205*K205</f>
        <v>0</v>
      </c>
      <c r="M205" s="124" t="n">
        <f aca="false">SUM(J$188:J205)</f>
        <v>0</v>
      </c>
      <c r="N205" s="124" t="n">
        <f aca="false">SUM(J$6:J205)</f>
        <v>0</v>
      </c>
      <c r="P205" s="124" t="n">
        <f aca="false">D205/P$3</f>
        <v>0</v>
      </c>
      <c r="Q205" s="124" t="n">
        <f aca="false">E205/P$3</f>
        <v>0</v>
      </c>
      <c r="R205" s="124" t="n">
        <f aca="false">F205/R$3</f>
        <v>0</v>
      </c>
      <c r="S205" s="126" t="n">
        <f aca="false">J205/$R$3</f>
        <v>0</v>
      </c>
      <c r="T205" s="126" t="n">
        <f aca="false">L205/$R$3</f>
        <v>0</v>
      </c>
      <c r="U205" s="126" t="n">
        <f aca="false">I205/$R$3</f>
        <v>0</v>
      </c>
      <c r="V205" s="126" t="n">
        <f aca="false">M205/$R$3</f>
        <v>0</v>
      </c>
      <c r="W205" s="126" t="n">
        <f aca="false">N205/$R$3</f>
        <v>0</v>
      </c>
    </row>
    <row r="206" customFormat="false" ht="12.75" hidden="true" customHeight="false" outlineLevel="0" collapsed="false">
      <c r="A206" s="120" t="n">
        <f aca="false">A205+1</f>
        <v>37092</v>
      </c>
      <c r="B206" s="131" t="str">
        <f aca="false">INDEX('Master Data'!$A$2:$B$8,MATCH(WEEKDAY('BRA PWR Certificates'!A206,3),'Master Data'!$A$2:$A$8,0),2)</f>
        <v>F</v>
      </c>
      <c r="D206" s="124" t="n">
        <v>0</v>
      </c>
      <c r="E206" s="124" t="n">
        <v>0</v>
      </c>
      <c r="F206" s="124" t="n">
        <v>0</v>
      </c>
      <c r="G206" s="124" t="n">
        <v>0</v>
      </c>
      <c r="I206" s="124" t="n">
        <f aca="false">IF(MONTH($A206)=MONTH($A205),IF(G206=0,I205,G206),G206)</f>
        <v>0</v>
      </c>
      <c r="J206" s="124" t="n">
        <f aca="false">IF(MONTH($A206)=MONTH($A205),SUM(I206-I205),I206)</f>
        <v>0</v>
      </c>
      <c r="K206" s="124" t="n">
        <f aca="false">IF(WEEKDAY(A206,3)&gt;4,0,(IF(A206&lt;K$2,0,IF(A206&lt;=K$3,1,0))))</f>
        <v>0</v>
      </c>
      <c r="L206" s="124" t="n">
        <f aca="false">J206*K206</f>
        <v>0</v>
      </c>
      <c r="M206" s="124" t="n">
        <f aca="false">SUM(J$188:J206)</f>
        <v>0</v>
      </c>
      <c r="N206" s="124" t="n">
        <f aca="false">SUM(J$6:J206)</f>
        <v>0</v>
      </c>
      <c r="P206" s="124" t="n">
        <f aca="false">D206/P$3</f>
        <v>0</v>
      </c>
      <c r="Q206" s="124" t="n">
        <f aca="false">E206/P$3</f>
        <v>0</v>
      </c>
      <c r="R206" s="124" t="n">
        <f aca="false">F206/R$3</f>
        <v>0</v>
      </c>
      <c r="S206" s="126" t="n">
        <f aca="false">J206/$R$3</f>
        <v>0</v>
      </c>
      <c r="T206" s="126" t="n">
        <f aca="false">L206/$R$3</f>
        <v>0</v>
      </c>
      <c r="U206" s="126" t="n">
        <f aca="false">I206/$R$3</f>
        <v>0</v>
      </c>
      <c r="V206" s="126" t="n">
        <f aca="false">M206/$R$3</f>
        <v>0</v>
      </c>
      <c r="W206" s="126" t="n">
        <f aca="false">N206/$R$3</f>
        <v>0</v>
      </c>
    </row>
    <row r="207" customFormat="false" ht="12.75" hidden="true" customHeight="false" outlineLevel="0" collapsed="false">
      <c r="A207" s="120" t="n">
        <f aca="false">A206+1</f>
        <v>37093</v>
      </c>
      <c r="B207" s="131" t="str">
        <f aca="false">INDEX('Master Data'!$A$2:$B$8,MATCH(WEEKDAY('BRA PWR Certificates'!A207,3),'Master Data'!$A$2:$A$8,0),2)</f>
        <v>Sa</v>
      </c>
      <c r="D207" s="124" t="n">
        <v>0</v>
      </c>
      <c r="E207" s="124" t="n">
        <v>0</v>
      </c>
      <c r="F207" s="124" t="n">
        <v>0</v>
      </c>
      <c r="G207" s="124" t="n">
        <v>0</v>
      </c>
      <c r="I207" s="124" t="n">
        <f aca="false">IF(MONTH($A207)=MONTH($A206),IF(G207=0,I206,G207),G207)</f>
        <v>0</v>
      </c>
      <c r="J207" s="124" t="n">
        <f aca="false">IF(MONTH($A207)=MONTH($A206),SUM(I207-I206),I207)</f>
        <v>0</v>
      </c>
      <c r="K207" s="124" t="n">
        <f aca="false">IF(WEEKDAY(A207,3)&gt;4,0,(IF(A207&lt;K$2,0,IF(A207&lt;=K$3,1,0))))</f>
        <v>0</v>
      </c>
      <c r="L207" s="124" t="n">
        <f aca="false">J207*K207</f>
        <v>0</v>
      </c>
      <c r="M207" s="124" t="n">
        <f aca="false">SUM(J$188:J207)</f>
        <v>0</v>
      </c>
      <c r="N207" s="124" t="n">
        <f aca="false">SUM(J$6:J207)</f>
        <v>0</v>
      </c>
      <c r="P207" s="124" t="n">
        <f aca="false">D207/P$3</f>
        <v>0</v>
      </c>
      <c r="Q207" s="124" t="n">
        <f aca="false">E207/P$3</f>
        <v>0</v>
      </c>
      <c r="R207" s="124" t="n">
        <f aca="false">F207/R$3</f>
        <v>0</v>
      </c>
      <c r="S207" s="126" t="n">
        <f aca="false">J207/$R$3</f>
        <v>0</v>
      </c>
      <c r="T207" s="126" t="n">
        <f aca="false">L207/$R$3</f>
        <v>0</v>
      </c>
      <c r="U207" s="126" t="n">
        <f aca="false">I207/$R$3</f>
        <v>0</v>
      </c>
      <c r="V207" s="126" t="n">
        <f aca="false">M207/$R$3</f>
        <v>0</v>
      </c>
      <c r="W207" s="126" t="n">
        <f aca="false">N207/$R$3</f>
        <v>0</v>
      </c>
    </row>
    <row r="208" customFormat="false" ht="12.75" hidden="true" customHeight="false" outlineLevel="0" collapsed="false">
      <c r="A208" s="120" t="n">
        <f aca="false">A207+1</f>
        <v>37094</v>
      </c>
      <c r="B208" s="131" t="str">
        <f aca="false">INDEX('Master Data'!$A$2:$B$8,MATCH(WEEKDAY('BRA PWR Certificates'!A208,3),'Master Data'!$A$2:$A$8,0),2)</f>
        <v>Su</v>
      </c>
      <c r="D208" s="124" t="n">
        <v>0</v>
      </c>
      <c r="E208" s="124" t="n">
        <v>0</v>
      </c>
      <c r="F208" s="124" t="n">
        <v>0</v>
      </c>
      <c r="G208" s="124" t="n">
        <v>0</v>
      </c>
      <c r="I208" s="124" t="n">
        <f aca="false">IF(MONTH($A208)=MONTH($A207),IF(G208=0,I207,G208),G208)</f>
        <v>0</v>
      </c>
      <c r="J208" s="124" t="n">
        <f aca="false">IF(MONTH($A208)=MONTH($A207),SUM(I208-I207),I208)</f>
        <v>0</v>
      </c>
      <c r="K208" s="124" t="n">
        <f aca="false">IF(WEEKDAY(A208,3)&gt;4,0,(IF(A208&lt;K$2,0,IF(A208&lt;=K$3,1,0))))</f>
        <v>0</v>
      </c>
      <c r="L208" s="124" t="n">
        <f aca="false">J208*K208</f>
        <v>0</v>
      </c>
      <c r="M208" s="124" t="n">
        <f aca="false">SUM(J$188:J208)</f>
        <v>0</v>
      </c>
      <c r="N208" s="124" t="n">
        <f aca="false">SUM(J$6:J208)</f>
        <v>0</v>
      </c>
      <c r="P208" s="124" t="n">
        <f aca="false">D208/P$3</f>
        <v>0</v>
      </c>
      <c r="Q208" s="124" t="n">
        <f aca="false">E208/P$3</f>
        <v>0</v>
      </c>
      <c r="R208" s="124" t="n">
        <f aca="false">F208/R$3</f>
        <v>0</v>
      </c>
      <c r="S208" s="126" t="n">
        <f aca="false">J208/$R$3</f>
        <v>0</v>
      </c>
      <c r="T208" s="126" t="n">
        <f aca="false">L208/$R$3</f>
        <v>0</v>
      </c>
      <c r="U208" s="126" t="n">
        <f aca="false">I208/$R$3</f>
        <v>0</v>
      </c>
      <c r="V208" s="126" t="n">
        <f aca="false">M208/$R$3</f>
        <v>0</v>
      </c>
      <c r="W208" s="126" t="n">
        <f aca="false">N208/$R$3</f>
        <v>0</v>
      </c>
    </row>
    <row r="209" customFormat="false" ht="12.75" hidden="true" customHeight="false" outlineLevel="0" collapsed="false">
      <c r="A209" s="120" t="n">
        <f aca="false">A208+1</f>
        <v>37095</v>
      </c>
      <c r="B209" s="131" t="str">
        <f aca="false">INDEX('Master Data'!$A$2:$B$8,MATCH(WEEKDAY('BRA PWR Certificates'!A209,3),'Master Data'!$A$2:$A$8,0),2)</f>
        <v>M</v>
      </c>
      <c r="D209" s="124" t="n">
        <v>0</v>
      </c>
      <c r="E209" s="124" t="n">
        <v>0</v>
      </c>
      <c r="F209" s="124" t="n">
        <v>0</v>
      </c>
      <c r="G209" s="124" t="n">
        <v>0</v>
      </c>
      <c r="I209" s="124" t="n">
        <f aca="false">IF(MONTH($A209)=MONTH($A208),IF(G209=0,I208,G209),G209)</f>
        <v>0</v>
      </c>
      <c r="J209" s="124" t="n">
        <f aca="false">IF(MONTH($A209)=MONTH($A208),SUM(I209-I208),I209)</f>
        <v>0</v>
      </c>
      <c r="K209" s="124" t="n">
        <f aca="false">IF(WEEKDAY(A209,3)&gt;4,0,(IF(A209&lt;K$2,0,IF(A209&lt;=K$3,1,0))))</f>
        <v>0</v>
      </c>
      <c r="L209" s="124" t="n">
        <f aca="false">J209*K209</f>
        <v>0</v>
      </c>
      <c r="M209" s="124" t="n">
        <f aca="false">SUM(J$188:J209)</f>
        <v>0</v>
      </c>
      <c r="N209" s="124" t="n">
        <f aca="false">SUM(J$6:J209)</f>
        <v>0</v>
      </c>
      <c r="P209" s="124" t="n">
        <f aca="false">D209/P$3</f>
        <v>0</v>
      </c>
      <c r="Q209" s="124" t="n">
        <f aca="false">E209/P$3</f>
        <v>0</v>
      </c>
      <c r="R209" s="124" t="n">
        <f aca="false">F209/R$3</f>
        <v>0</v>
      </c>
      <c r="S209" s="126" t="n">
        <f aca="false">J209/$R$3</f>
        <v>0</v>
      </c>
      <c r="T209" s="126" t="n">
        <f aca="false">L209/$R$3</f>
        <v>0</v>
      </c>
      <c r="U209" s="126" t="n">
        <f aca="false">I209/$R$3</f>
        <v>0</v>
      </c>
      <c r="V209" s="126" t="n">
        <f aca="false">M209/$R$3</f>
        <v>0</v>
      </c>
      <c r="W209" s="126" t="n">
        <f aca="false">N209/$R$3</f>
        <v>0</v>
      </c>
    </row>
    <row r="210" customFormat="false" ht="12.75" hidden="true" customHeight="false" outlineLevel="0" collapsed="false">
      <c r="A210" s="120" t="n">
        <f aca="false">A209+1</f>
        <v>37096</v>
      </c>
      <c r="B210" s="131" t="str">
        <f aca="false">INDEX('Master Data'!$A$2:$B$8,MATCH(WEEKDAY('BRA PWR Certificates'!A210,3),'Master Data'!$A$2:$A$8,0),2)</f>
        <v>T</v>
      </c>
      <c r="D210" s="124" t="n">
        <v>0</v>
      </c>
      <c r="E210" s="124" t="n">
        <v>0</v>
      </c>
      <c r="F210" s="124" t="n">
        <v>0</v>
      </c>
      <c r="G210" s="124" t="n">
        <v>0</v>
      </c>
      <c r="I210" s="124" t="n">
        <f aca="false">IF(MONTH($A210)=MONTH($A209),IF(G210=0,I209,G210),G210)</f>
        <v>0</v>
      </c>
      <c r="J210" s="124" t="n">
        <f aca="false">IF(MONTH($A210)=MONTH($A209),SUM(I210-I209),I210)</f>
        <v>0</v>
      </c>
      <c r="K210" s="124" t="n">
        <f aca="false">IF(WEEKDAY(A210,3)&gt;4,0,(IF(A210&lt;K$2,0,IF(A210&lt;=K$3,1,0))))</f>
        <v>0</v>
      </c>
      <c r="L210" s="124" t="n">
        <f aca="false">J210*K210</f>
        <v>0</v>
      </c>
      <c r="M210" s="124" t="n">
        <f aca="false">SUM(J$188:J210)</f>
        <v>0</v>
      </c>
      <c r="N210" s="124" t="n">
        <f aca="false">SUM(J$6:J210)</f>
        <v>0</v>
      </c>
      <c r="P210" s="124" t="n">
        <f aca="false">D210/P$3</f>
        <v>0</v>
      </c>
      <c r="Q210" s="124" t="n">
        <f aca="false">E210/P$3</f>
        <v>0</v>
      </c>
      <c r="R210" s="124" t="n">
        <f aca="false">F210/R$3</f>
        <v>0</v>
      </c>
      <c r="S210" s="126" t="n">
        <f aca="false">J210/$R$3</f>
        <v>0</v>
      </c>
      <c r="T210" s="126" t="n">
        <f aca="false">L210/$R$3</f>
        <v>0</v>
      </c>
      <c r="U210" s="126" t="n">
        <f aca="false">I210/$R$3</f>
        <v>0</v>
      </c>
      <c r="V210" s="126" t="n">
        <f aca="false">M210/$R$3</f>
        <v>0</v>
      </c>
      <c r="W210" s="126" t="n">
        <f aca="false">N210/$R$3</f>
        <v>0</v>
      </c>
    </row>
    <row r="211" customFormat="false" ht="12.75" hidden="true" customHeight="false" outlineLevel="0" collapsed="false">
      <c r="A211" s="120" t="n">
        <f aca="false">A210+1</f>
        <v>37097</v>
      </c>
      <c r="B211" s="131" t="str">
        <f aca="false">INDEX('Master Data'!$A$2:$B$8,MATCH(WEEKDAY('BRA PWR Certificates'!A211,3),'Master Data'!$A$2:$A$8,0),2)</f>
        <v>W</v>
      </c>
      <c r="D211" s="124" t="n">
        <v>0</v>
      </c>
      <c r="E211" s="124" t="n">
        <v>0</v>
      </c>
      <c r="F211" s="124" t="n">
        <v>0</v>
      </c>
      <c r="G211" s="124" t="n">
        <v>0</v>
      </c>
      <c r="I211" s="124" t="n">
        <f aca="false">IF(MONTH($A211)=MONTH($A210),IF(G211=0,I210,G211),G211)</f>
        <v>0</v>
      </c>
      <c r="J211" s="124" t="n">
        <f aca="false">IF(MONTH($A211)=MONTH($A210),SUM(I211-I210),I211)</f>
        <v>0</v>
      </c>
      <c r="K211" s="124" t="n">
        <f aca="false">IF(WEEKDAY(A211,3)&gt;4,0,(IF(A211&lt;K$2,0,IF(A211&lt;=K$3,1,0))))</f>
        <v>0</v>
      </c>
      <c r="L211" s="124" t="n">
        <f aca="false">J211*K211</f>
        <v>0</v>
      </c>
      <c r="M211" s="124" t="n">
        <f aca="false">SUM(J$188:J211)</f>
        <v>0</v>
      </c>
      <c r="N211" s="124" t="n">
        <f aca="false">SUM(J$6:J211)</f>
        <v>0</v>
      </c>
      <c r="P211" s="124" t="n">
        <f aca="false">D211/P$3</f>
        <v>0</v>
      </c>
      <c r="Q211" s="124" t="n">
        <f aca="false">E211/P$3</f>
        <v>0</v>
      </c>
      <c r="R211" s="124" t="n">
        <f aca="false">F211/R$3</f>
        <v>0</v>
      </c>
      <c r="S211" s="126" t="n">
        <f aca="false">J211/$R$3</f>
        <v>0</v>
      </c>
      <c r="T211" s="126" t="n">
        <f aca="false">L211/$R$3</f>
        <v>0</v>
      </c>
      <c r="U211" s="126" t="n">
        <f aca="false">I211/$R$3</f>
        <v>0</v>
      </c>
      <c r="V211" s="126" t="n">
        <f aca="false">M211/$R$3</f>
        <v>0</v>
      </c>
      <c r="W211" s="126" t="n">
        <f aca="false">N211/$R$3</f>
        <v>0</v>
      </c>
    </row>
    <row r="212" customFormat="false" ht="12.75" hidden="true" customHeight="false" outlineLevel="0" collapsed="false">
      <c r="A212" s="120" t="n">
        <f aca="false">A211+1</f>
        <v>37098</v>
      </c>
      <c r="B212" s="131" t="str">
        <f aca="false">INDEX('Master Data'!$A$2:$B$8,MATCH(WEEKDAY('BRA PWR Certificates'!A212,3),'Master Data'!$A$2:$A$8,0),2)</f>
        <v>Th</v>
      </c>
      <c r="D212" s="124" t="n">
        <v>0</v>
      </c>
      <c r="E212" s="124" t="n">
        <v>0</v>
      </c>
      <c r="F212" s="124" t="n">
        <v>0</v>
      </c>
      <c r="G212" s="124" t="n">
        <v>0</v>
      </c>
      <c r="I212" s="124" t="n">
        <f aca="false">IF(MONTH($A212)=MONTH($A211),IF(G212=0,I211,G212),G212)</f>
        <v>0</v>
      </c>
      <c r="J212" s="124" t="n">
        <f aca="false">IF(MONTH($A212)=MONTH($A211),SUM(I212-I211),I212)</f>
        <v>0</v>
      </c>
      <c r="K212" s="124" t="n">
        <f aca="false">IF(WEEKDAY(A212,3)&gt;4,0,(IF(A212&lt;K$2,0,IF(A212&lt;=K$3,1,0))))</f>
        <v>0</v>
      </c>
      <c r="L212" s="124" t="n">
        <f aca="false">J212*K212</f>
        <v>0</v>
      </c>
      <c r="M212" s="124" t="n">
        <f aca="false">SUM(J$188:J212)</f>
        <v>0</v>
      </c>
      <c r="N212" s="124" t="n">
        <f aca="false">SUM(J$6:J212)</f>
        <v>0</v>
      </c>
      <c r="P212" s="124" t="n">
        <f aca="false">D212/P$3</f>
        <v>0</v>
      </c>
      <c r="Q212" s="124" t="n">
        <f aca="false">E212/P$3</f>
        <v>0</v>
      </c>
      <c r="R212" s="124" t="n">
        <f aca="false">F212/R$3</f>
        <v>0</v>
      </c>
      <c r="S212" s="126" t="n">
        <f aca="false">J212/$R$3</f>
        <v>0</v>
      </c>
      <c r="T212" s="126" t="n">
        <f aca="false">L212/$R$3</f>
        <v>0</v>
      </c>
      <c r="U212" s="126" t="n">
        <f aca="false">I212/$R$3</f>
        <v>0</v>
      </c>
      <c r="V212" s="126" t="n">
        <f aca="false">M212/$R$3</f>
        <v>0</v>
      </c>
      <c r="W212" s="126" t="n">
        <f aca="false">N212/$R$3</f>
        <v>0</v>
      </c>
    </row>
    <row r="213" customFormat="false" ht="12.75" hidden="true" customHeight="false" outlineLevel="0" collapsed="false">
      <c r="A213" s="120" t="n">
        <f aca="false">A212+1</f>
        <v>37099</v>
      </c>
      <c r="B213" s="131" t="str">
        <f aca="false">INDEX('Master Data'!$A$2:$B$8,MATCH(WEEKDAY('BRA PWR Certificates'!A213,3),'Master Data'!$A$2:$A$8,0),2)</f>
        <v>F</v>
      </c>
      <c r="D213" s="124" t="n">
        <v>0</v>
      </c>
      <c r="E213" s="124" t="n">
        <v>0</v>
      </c>
      <c r="F213" s="124" t="n">
        <v>0</v>
      </c>
      <c r="G213" s="124" t="n">
        <v>0</v>
      </c>
      <c r="I213" s="124" t="n">
        <f aca="false">IF(MONTH($A213)=MONTH($A212),IF(G213=0,I212,G213),G213)</f>
        <v>0</v>
      </c>
      <c r="J213" s="124" t="n">
        <f aca="false">IF(MONTH($A213)=MONTH($A212),SUM(I213-I212),I213)</f>
        <v>0</v>
      </c>
      <c r="K213" s="124" t="n">
        <f aca="false">IF(WEEKDAY(A213,3)&gt;4,0,(IF(A213&lt;K$2,0,IF(A213&lt;=K$3,1,0))))</f>
        <v>0</v>
      </c>
      <c r="L213" s="124" t="n">
        <f aca="false">J213*K213</f>
        <v>0</v>
      </c>
      <c r="M213" s="124" t="n">
        <f aca="false">SUM(J$188:J213)</f>
        <v>0</v>
      </c>
      <c r="N213" s="124" t="n">
        <f aca="false">SUM(J$6:J213)</f>
        <v>0</v>
      </c>
      <c r="P213" s="124" t="n">
        <f aca="false">D213/P$3</f>
        <v>0</v>
      </c>
      <c r="Q213" s="124" t="n">
        <f aca="false">E213/P$3</f>
        <v>0</v>
      </c>
      <c r="R213" s="124" t="n">
        <f aca="false">F213/R$3</f>
        <v>0</v>
      </c>
      <c r="S213" s="126" t="n">
        <f aca="false">J213/$R$3</f>
        <v>0</v>
      </c>
      <c r="T213" s="126" t="n">
        <f aca="false">L213/$R$3</f>
        <v>0</v>
      </c>
      <c r="U213" s="126" t="n">
        <f aca="false">I213/$R$3</f>
        <v>0</v>
      </c>
      <c r="V213" s="126" t="n">
        <f aca="false">M213/$R$3</f>
        <v>0</v>
      </c>
      <c r="W213" s="126" t="n">
        <f aca="false">N213/$R$3</f>
        <v>0</v>
      </c>
    </row>
    <row r="214" customFormat="false" ht="12.75" hidden="true" customHeight="false" outlineLevel="0" collapsed="false">
      <c r="A214" s="120" t="n">
        <f aca="false">A213+1</f>
        <v>37100</v>
      </c>
      <c r="B214" s="131" t="str">
        <f aca="false">INDEX('Master Data'!$A$2:$B$8,MATCH(WEEKDAY('BRA PWR Certificates'!A214,3),'Master Data'!$A$2:$A$8,0),2)</f>
        <v>Sa</v>
      </c>
      <c r="D214" s="124" t="n">
        <v>0</v>
      </c>
      <c r="E214" s="124" t="n">
        <v>0</v>
      </c>
      <c r="F214" s="124" t="n">
        <v>0</v>
      </c>
      <c r="G214" s="124" t="n">
        <v>0</v>
      </c>
      <c r="I214" s="124" t="n">
        <f aca="false">IF(MONTH($A214)=MONTH($A213),IF(G214=0,I213,G214),G214)</f>
        <v>0</v>
      </c>
      <c r="J214" s="124" t="n">
        <f aca="false">IF(MONTH($A214)=MONTH($A213),SUM(I214-I213),I214)</f>
        <v>0</v>
      </c>
      <c r="K214" s="124" t="n">
        <f aca="false">IF(WEEKDAY(A214,3)&gt;4,0,(IF(A214&lt;K$2,0,IF(A214&lt;=K$3,1,0))))</f>
        <v>0</v>
      </c>
      <c r="L214" s="124" t="n">
        <f aca="false">J214*K214</f>
        <v>0</v>
      </c>
      <c r="M214" s="124" t="n">
        <f aca="false">SUM(J$188:J214)</f>
        <v>0</v>
      </c>
      <c r="N214" s="124" t="n">
        <f aca="false">SUM(J$6:J214)</f>
        <v>0</v>
      </c>
      <c r="P214" s="124" t="n">
        <f aca="false">D214/P$3</f>
        <v>0</v>
      </c>
      <c r="Q214" s="124" t="n">
        <f aca="false">E214/P$3</f>
        <v>0</v>
      </c>
      <c r="R214" s="124" t="n">
        <f aca="false">F214/R$3</f>
        <v>0</v>
      </c>
      <c r="S214" s="126" t="n">
        <f aca="false">J214/$R$3</f>
        <v>0</v>
      </c>
      <c r="T214" s="126" t="n">
        <f aca="false">L214/$R$3</f>
        <v>0</v>
      </c>
      <c r="U214" s="126" t="n">
        <f aca="false">I214/$R$3</f>
        <v>0</v>
      </c>
      <c r="V214" s="126" t="n">
        <f aca="false">M214/$R$3</f>
        <v>0</v>
      </c>
      <c r="W214" s="126" t="n">
        <f aca="false">N214/$R$3</f>
        <v>0</v>
      </c>
    </row>
    <row r="215" customFormat="false" ht="12.75" hidden="true" customHeight="false" outlineLevel="0" collapsed="false">
      <c r="A215" s="120" t="n">
        <f aca="false">A214+1</f>
        <v>37101</v>
      </c>
      <c r="B215" s="131" t="str">
        <f aca="false">INDEX('Master Data'!$A$2:$B$8,MATCH(WEEKDAY('BRA PWR Certificates'!A215,3),'Master Data'!$A$2:$A$8,0),2)</f>
        <v>Su</v>
      </c>
      <c r="D215" s="124" t="n">
        <v>0</v>
      </c>
      <c r="E215" s="124" t="n">
        <v>0</v>
      </c>
      <c r="F215" s="124" t="n">
        <v>0</v>
      </c>
      <c r="G215" s="124" t="n">
        <v>0</v>
      </c>
      <c r="I215" s="124" t="n">
        <f aca="false">IF(MONTH($A215)=MONTH($A214),IF(G215=0,I214,G215),G215)</f>
        <v>0</v>
      </c>
      <c r="J215" s="124" t="n">
        <f aca="false">IF(MONTH($A215)=MONTH($A214),SUM(I215-I214),I215)</f>
        <v>0</v>
      </c>
      <c r="K215" s="124" t="n">
        <f aca="false">IF(WEEKDAY(A215,3)&gt;4,0,(IF(A215&lt;K$2,0,IF(A215&lt;=K$3,1,0))))</f>
        <v>0</v>
      </c>
      <c r="L215" s="124" t="n">
        <f aca="false">J215*K215</f>
        <v>0</v>
      </c>
      <c r="M215" s="124" t="n">
        <f aca="false">SUM(J$188:J215)</f>
        <v>0</v>
      </c>
      <c r="N215" s="124" t="n">
        <f aca="false">SUM(J$6:J215)</f>
        <v>0</v>
      </c>
      <c r="P215" s="124" t="n">
        <f aca="false">D215/P$3</f>
        <v>0</v>
      </c>
      <c r="Q215" s="124" t="n">
        <f aca="false">E215/P$3</f>
        <v>0</v>
      </c>
      <c r="R215" s="124" t="n">
        <f aca="false">F215/R$3</f>
        <v>0</v>
      </c>
      <c r="S215" s="126" t="n">
        <f aca="false">J215/$R$3</f>
        <v>0</v>
      </c>
      <c r="T215" s="126" t="n">
        <f aca="false">L215/$R$3</f>
        <v>0</v>
      </c>
      <c r="U215" s="126" t="n">
        <f aca="false">I215/$R$3</f>
        <v>0</v>
      </c>
      <c r="V215" s="126" t="n">
        <f aca="false">M215/$R$3</f>
        <v>0</v>
      </c>
      <c r="W215" s="126" t="n">
        <f aca="false">N215/$R$3</f>
        <v>0</v>
      </c>
    </row>
    <row r="216" customFormat="false" ht="12.75" hidden="true" customHeight="false" outlineLevel="0" collapsed="false">
      <c r="A216" s="120" t="n">
        <f aca="false">A215+1</f>
        <v>37102</v>
      </c>
      <c r="B216" s="131" t="str">
        <f aca="false">INDEX('Master Data'!$A$2:$B$8,MATCH(WEEKDAY('BRA PWR Certificates'!A216,3),'Master Data'!$A$2:$A$8,0),2)</f>
        <v>M</v>
      </c>
      <c r="D216" s="124" t="n">
        <v>0</v>
      </c>
      <c r="E216" s="124" t="n">
        <v>0</v>
      </c>
      <c r="F216" s="124" t="n">
        <v>0</v>
      </c>
      <c r="G216" s="124" t="n">
        <v>0</v>
      </c>
      <c r="I216" s="124" t="n">
        <f aca="false">IF(MONTH($A216)=MONTH($A215),IF(G216=0,I215,G216),G216)</f>
        <v>0</v>
      </c>
      <c r="J216" s="124" t="n">
        <f aca="false">IF(MONTH($A216)=MONTH($A215),SUM(I216-I215),I216)</f>
        <v>0</v>
      </c>
      <c r="K216" s="124" t="n">
        <f aca="false">IF(WEEKDAY(A216,3)&gt;4,0,(IF(A216&lt;K$2,0,IF(A216&lt;=K$3,1,0))))</f>
        <v>0</v>
      </c>
      <c r="L216" s="124" t="n">
        <f aca="false">J216*K216</f>
        <v>0</v>
      </c>
      <c r="M216" s="124" t="n">
        <f aca="false">SUM(J$188:J216)</f>
        <v>0</v>
      </c>
      <c r="N216" s="124" t="n">
        <f aca="false">SUM(J$6:J216)</f>
        <v>0</v>
      </c>
      <c r="P216" s="124" t="n">
        <f aca="false">D216/P$3</f>
        <v>0</v>
      </c>
      <c r="Q216" s="124" t="n">
        <f aca="false">E216/P$3</f>
        <v>0</v>
      </c>
      <c r="R216" s="124" t="n">
        <f aca="false">F216/R$3</f>
        <v>0</v>
      </c>
      <c r="S216" s="126" t="n">
        <f aca="false">J216/$R$3</f>
        <v>0</v>
      </c>
      <c r="T216" s="126" t="n">
        <f aca="false">L216/$R$3</f>
        <v>0</v>
      </c>
      <c r="U216" s="126" t="n">
        <f aca="false">I216/$R$3</f>
        <v>0</v>
      </c>
      <c r="V216" s="126" t="n">
        <f aca="false">M216/$R$3</f>
        <v>0</v>
      </c>
      <c r="W216" s="126" t="n">
        <f aca="false">N216/$R$3</f>
        <v>0</v>
      </c>
    </row>
    <row r="217" customFormat="false" ht="12.75" hidden="false" customHeight="false" outlineLevel="0" collapsed="false">
      <c r="A217" s="120" t="n">
        <f aca="false">A216+1</f>
        <v>37103</v>
      </c>
      <c r="B217" s="131" t="str">
        <f aca="false">INDEX('Master Data'!$A$2:$B$8,MATCH(WEEKDAY('BRA PWR Certificates'!A217,3),'Master Data'!$A$2:$A$8,0),2)</f>
        <v>T</v>
      </c>
      <c r="D217" s="124" t="n">
        <v>0</v>
      </c>
      <c r="E217" s="124" t="n">
        <v>0</v>
      </c>
      <c r="F217" s="124" t="n">
        <v>0</v>
      </c>
      <c r="G217" s="124" t="n">
        <v>655204.258888889</v>
      </c>
      <c r="I217" s="124" t="n">
        <f aca="false">IF(MONTH($A217)=MONTH($A216),IF(G217=0,I216,G217),G217)</f>
        <v>655204.258888889</v>
      </c>
      <c r="J217" s="124" t="n">
        <f aca="false">IF(MONTH($A217)=MONTH($A216),SUM(I217-I216),I217)</f>
        <v>655204.258888889</v>
      </c>
      <c r="K217" s="124" t="n">
        <f aca="false">IF(WEEKDAY(A217,3)&gt;4,0,(IF(A217&lt;K$2,0,IF(A217&lt;=K$3,1,0))))</f>
        <v>0</v>
      </c>
      <c r="L217" s="124" t="n">
        <f aca="false">J217*K217</f>
        <v>0</v>
      </c>
      <c r="M217" s="124" t="n">
        <f aca="false">SUM(J$188:J217)</f>
        <v>655204.258888889</v>
      </c>
      <c r="N217" s="124" t="n">
        <f aca="false">SUM(J$6:J217)</f>
        <v>655204.258888889</v>
      </c>
      <c r="P217" s="124" t="n">
        <f aca="false">D217/P$3</f>
        <v>0</v>
      </c>
      <c r="Q217" s="124" t="n">
        <f aca="false">E217/P$3</f>
        <v>0</v>
      </c>
      <c r="R217" s="124" t="n">
        <f aca="false">F217/R$3</f>
        <v>0</v>
      </c>
      <c r="S217" s="126" t="n">
        <f aca="false">J217/$R$3</f>
        <v>655.204258888889</v>
      </c>
      <c r="T217" s="126" t="n">
        <f aca="false">L217/$R$3</f>
        <v>0</v>
      </c>
      <c r="U217" s="126" t="n">
        <f aca="false">I217/$R$3</f>
        <v>655.204258888889</v>
      </c>
      <c r="V217" s="126" t="n">
        <f aca="false">M217/$R$3</f>
        <v>655.204258888889</v>
      </c>
      <c r="W217" s="126" t="n">
        <f aca="false">N217/$R$3</f>
        <v>655.204258888889</v>
      </c>
    </row>
    <row r="218" customFormat="false" ht="12.75" hidden="false" customHeight="false" outlineLevel="0" collapsed="false">
      <c r="A218" s="120" t="n">
        <f aca="false">A217+1</f>
        <v>37104</v>
      </c>
      <c r="B218" s="131" t="str">
        <f aca="false">INDEX('Master Data'!$A$2:$B$8,MATCH(WEEKDAY('BRA PWR Certificates'!A218,3),'Master Data'!$A$2:$A$8,0),2)</f>
        <v>W</v>
      </c>
      <c r="D218" s="124" t="n">
        <v>0</v>
      </c>
      <c r="E218" s="124" t="n">
        <v>0</v>
      </c>
      <c r="F218" s="124" t="n">
        <v>0</v>
      </c>
      <c r="G218" s="124" t="n">
        <v>0</v>
      </c>
      <c r="I218" s="124" t="n">
        <f aca="false">IF(MONTH($A218)=MONTH($A217),IF(G218=0,I217,G218),G218)</f>
        <v>0</v>
      </c>
      <c r="J218" s="124" t="n">
        <f aca="false">IF(MONTH($A218)=MONTH($A217),SUM(I218-I217),I218)</f>
        <v>0</v>
      </c>
      <c r="K218" s="124" t="n">
        <f aca="false">IF(WEEKDAY(A218,3)&gt;4,0,(IF(A218&lt;K$2,0,IF(A218&lt;=K$3,1,0))))</f>
        <v>0</v>
      </c>
      <c r="L218" s="124" t="n">
        <f aca="false">J218*K218</f>
        <v>0</v>
      </c>
      <c r="M218" s="124" t="n">
        <f aca="false">SUM(J$188:J218)</f>
        <v>655204.258888889</v>
      </c>
      <c r="N218" s="124" t="n">
        <f aca="false">SUM(J$6:J218)</f>
        <v>655204.258888889</v>
      </c>
      <c r="P218" s="124" t="n">
        <f aca="false">D218/P$3</f>
        <v>0</v>
      </c>
      <c r="Q218" s="124" t="n">
        <f aca="false">E218/P$3</f>
        <v>0</v>
      </c>
      <c r="R218" s="124" t="n">
        <f aca="false">F218/R$3</f>
        <v>0</v>
      </c>
      <c r="S218" s="126" t="n">
        <f aca="false">J218/$R$3</f>
        <v>0</v>
      </c>
      <c r="T218" s="126" t="n">
        <f aca="false">L218/$R$3</f>
        <v>0</v>
      </c>
      <c r="U218" s="126" t="n">
        <f aca="false">I218/$R$3</f>
        <v>0</v>
      </c>
      <c r="V218" s="126" t="n">
        <f aca="false">M218/$R$3</f>
        <v>655.204258888889</v>
      </c>
      <c r="W218" s="126" t="n">
        <f aca="false">N218/$R$3</f>
        <v>655.204258888889</v>
      </c>
    </row>
    <row r="219" customFormat="false" ht="12.75" hidden="true" customHeight="false" outlineLevel="0" collapsed="false">
      <c r="A219" s="120" t="n">
        <f aca="false">A218+1</f>
        <v>37105</v>
      </c>
      <c r="B219" s="131" t="str">
        <f aca="false">INDEX('Master Data'!$A$2:$B$8,MATCH(WEEKDAY('BRA PWR Certificates'!A219,3),'Master Data'!$A$2:$A$8,0),2)</f>
        <v>Th</v>
      </c>
      <c r="D219" s="124" t="n">
        <v>0</v>
      </c>
      <c r="E219" s="124" t="n">
        <v>0</v>
      </c>
      <c r="F219" s="124" t="n">
        <v>0</v>
      </c>
      <c r="G219" s="124" t="n">
        <v>0</v>
      </c>
      <c r="I219" s="124" t="n">
        <f aca="false">IF(MONTH($A219)=MONTH($A218),IF(G219=0,I218,G219),G219)</f>
        <v>0</v>
      </c>
      <c r="J219" s="124" t="n">
        <f aca="false">IF(MONTH($A219)=MONTH($A218),SUM(I219-I218),I219)</f>
        <v>0</v>
      </c>
      <c r="K219" s="124" t="n">
        <f aca="false">IF(WEEKDAY(A219,3)&gt;4,0,(IF(A219&lt;K$2,0,IF(A219&lt;=K$3,1,0))))</f>
        <v>0</v>
      </c>
      <c r="L219" s="124" t="n">
        <f aca="false">J219*K219</f>
        <v>0</v>
      </c>
      <c r="M219" s="124" t="n">
        <f aca="false">SUM(J$188:J219)</f>
        <v>655204.258888889</v>
      </c>
      <c r="N219" s="124" t="n">
        <f aca="false">SUM(J$6:J219)</f>
        <v>655204.258888889</v>
      </c>
      <c r="P219" s="124" t="n">
        <f aca="false">D219/P$3</f>
        <v>0</v>
      </c>
      <c r="Q219" s="124" t="n">
        <f aca="false">E219/P$3</f>
        <v>0</v>
      </c>
      <c r="R219" s="124" t="n">
        <f aca="false">F219/R$3</f>
        <v>0</v>
      </c>
      <c r="S219" s="126" t="n">
        <f aca="false">J219/$R$3</f>
        <v>0</v>
      </c>
      <c r="T219" s="126" t="n">
        <f aca="false">L219/$R$3</f>
        <v>0</v>
      </c>
      <c r="U219" s="126" t="n">
        <f aca="false">I219/$R$3</f>
        <v>0</v>
      </c>
      <c r="V219" s="126" t="n">
        <f aca="false">M219/$R$3</f>
        <v>655.204258888889</v>
      </c>
      <c r="W219" s="126" t="n">
        <f aca="false">N219/$R$3</f>
        <v>655.204258888889</v>
      </c>
    </row>
    <row r="220" customFormat="false" ht="12.75" hidden="true" customHeight="false" outlineLevel="0" collapsed="false">
      <c r="A220" s="120" t="n">
        <f aca="false">A219+1</f>
        <v>37106</v>
      </c>
      <c r="B220" s="131" t="str">
        <f aca="false">INDEX('Master Data'!$A$2:$B$8,MATCH(WEEKDAY('BRA PWR Certificates'!A220,3),'Master Data'!$A$2:$A$8,0),2)</f>
        <v>F</v>
      </c>
      <c r="D220" s="124" t="n">
        <v>0</v>
      </c>
      <c r="E220" s="124" t="n">
        <v>0</v>
      </c>
      <c r="F220" s="124" t="n">
        <v>0</v>
      </c>
      <c r="G220" s="124" t="n">
        <v>0</v>
      </c>
      <c r="I220" s="124" t="n">
        <f aca="false">IF(MONTH($A220)=MONTH($A219),IF(G220=0,I219,G220),G220)</f>
        <v>0</v>
      </c>
      <c r="J220" s="124" t="n">
        <f aca="false">IF(MONTH($A220)=MONTH($A219),SUM(I220-I219),I220)</f>
        <v>0</v>
      </c>
      <c r="K220" s="124" t="n">
        <f aca="false">IF(WEEKDAY(A220,3)&gt;4,0,(IF(A220&lt;K$2,0,IF(A220&lt;=K$3,1,0))))</f>
        <v>0</v>
      </c>
      <c r="L220" s="124" t="n">
        <f aca="false">J220*K220</f>
        <v>0</v>
      </c>
      <c r="M220" s="124" t="n">
        <f aca="false">SUM(J$188:J220)</f>
        <v>655204.258888889</v>
      </c>
      <c r="N220" s="124" t="n">
        <f aca="false">SUM(J$6:J220)</f>
        <v>655204.258888889</v>
      </c>
      <c r="P220" s="124" t="n">
        <f aca="false">D220/P$3</f>
        <v>0</v>
      </c>
      <c r="Q220" s="124" t="n">
        <f aca="false">E220/P$3</f>
        <v>0</v>
      </c>
      <c r="R220" s="124" t="n">
        <f aca="false">F220/R$3</f>
        <v>0</v>
      </c>
      <c r="S220" s="126" t="n">
        <f aca="false">J220/$R$3</f>
        <v>0</v>
      </c>
      <c r="T220" s="126" t="n">
        <f aca="false">L220/$R$3</f>
        <v>0</v>
      </c>
      <c r="U220" s="126" t="n">
        <f aca="false">I220/$R$3</f>
        <v>0</v>
      </c>
      <c r="V220" s="126" t="n">
        <f aca="false">M220/$R$3</f>
        <v>655.204258888889</v>
      </c>
      <c r="W220" s="126" t="n">
        <f aca="false">N220/$R$3</f>
        <v>655.204258888889</v>
      </c>
    </row>
    <row r="221" customFormat="false" ht="12.75" hidden="true" customHeight="false" outlineLevel="0" collapsed="false">
      <c r="A221" s="120" t="n">
        <f aca="false">A220+1</f>
        <v>37107</v>
      </c>
      <c r="B221" s="131" t="str">
        <f aca="false">INDEX('Master Data'!$A$2:$B$8,MATCH(WEEKDAY('BRA PWR Certificates'!A221,3),'Master Data'!$A$2:$A$8,0),2)</f>
        <v>Sa</v>
      </c>
      <c r="D221" s="124" t="n">
        <v>0</v>
      </c>
      <c r="E221" s="124" t="n">
        <v>0</v>
      </c>
      <c r="F221" s="124" t="n">
        <v>0</v>
      </c>
      <c r="G221" s="124" t="n">
        <v>0</v>
      </c>
      <c r="I221" s="124" t="n">
        <f aca="false">IF(MONTH($A221)=MONTH($A220),IF(G221=0,I220,G221),G221)</f>
        <v>0</v>
      </c>
      <c r="J221" s="124" t="n">
        <f aca="false">IF(MONTH($A221)=MONTH($A220),SUM(I221-I220),I221)</f>
        <v>0</v>
      </c>
      <c r="K221" s="124" t="n">
        <f aca="false">IF(WEEKDAY(A221,3)&gt;4,0,(IF(A221&lt;K$2,0,IF(A221&lt;=K$3,1,0))))</f>
        <v>0</v>
      </c>
      <c r="L221" s="124" t="n">
        <f aca="false">J221*K221</f>
        <v>0</v>
      </c>
      <c r="M221" s="124" t="n">
        <f aca="false">SUM(J$188:J221)</f>
        <v>655204.258888889</v>
      </c>
      <c r="N221" s="124" t="n">
        <f aca="false">SUM(J$6:J221)</f>
        <v>655204.258888889</v>
      </c>
      <c r="P221" s="124" t="n">
        <f aca="false">D221/P$3</f>
        <v>0</v>
      </c>
      <c r="Q221" s="124" t="n">
        <f aca="false">E221/P$3</f>
        <v>0</v>
      </c>
      <c r="R221" s="124" t="n">
        <f aca="false">F221/R$3</f>
        <v>0</v>
      </c>
      <c r="S221" s="126" t="n">
        <f aca="false">J221/$R$3</f>
        <v>0</v>
      </c>
      <c r="T221" s="126" t="n">
        <f aca="false">L221/$R$3</f>
        <v>0</v>
      </c>
      <c r="U221" s="126" t="n">
        <f aca="false">I221/$R$3</f>
        <v>0</v>
      </c>
      <c r="V221" s="126" t="n">
        <f aca="false">M221/$R$3</f>
        <v>655.204258888889</v>
      </c>
      <c r="W221" s="126" t="n">
        <f aca="false">N221/$R$3</f>
        <v>655.204258888889</v>
      </c>
    </row>
    <row r="222" customFormat="false" ht="12.75" hidden="true" customHeight="false" outlineLevel="0" collapsed="false">
      <c r="A222" s="120" t="n">
        <f aca="false">A221+1</f>
        <v>37108</v>
      </c>
      <c r="B222" s="131" t="str">
        <f aca="false">INDEX('Master Data'!$A$2:$B$8,MATCH(WEEKDAY('BRA PWR Certificates'!A222,3),'Master Data'!$A$2:$A$8,0),2)</f>
        <v>Su</v>
      </c>
      <c r="D222" s="124" t="n">
        <v>0</v>
      </c>
      <c r="E222" s="124" t="n">
        <v>0</v>
      </c>
      <c r="F222" s="124" t="n">
        <v>0</v>
      </c>
      <c r="G222" s="124" t="n">
        <v>0</v>
      </c>
      <c r="I222" s="124" t="n">
        <f aca="false">IF(MONTH($A222)=MONTH($A221),IF(G222=0,I221,G222),G222)</f>
        <v>0</v>
      </c>
      <c r="J222" s="124" t="n">
        <f aca="false">IF(MONTH($A222)=MONTH($A221),SUM(I222-I221),I222)</f>
        <v>0</v>
      </c>
      <c r="K222" s="124" t="n">
        <f aca="false">IF(WEEKDAY(A222,3)&gt;4,0,(IF(A222&lt;K$2,0,IF(A222&lt;=K$3,1,0))))</f>
        <v>0</v>
      </c>
      <c r="L222" s="124" t="n">
        <f aca="false">J222*K222</f>
        <v>0</v>
      </c>
      <c r="M222" s="124" t="n">
        <f aca="false">SUM(J$188:J222)</f>
        <v>655204.258888889</v>
      </c>
      <c r="N222" s="124" t="n">
        <f aca="false">SUM(J$6:J222)</f>
        <v>655204.258888889</v>
      </c>
      <c r="P222" s="124" t="n">
        <f aca="false">D222/P$3</f>
        <v>0</v>
      </c>
      <c r="Q222" s="124" t="n">
        <f aca="false">E222/P$3</f>
        <v>0</v>
      </c>
      <c r="R222" s="124" t="n">
        <f aca="false">F222/R$3</f>
        <v>0</v>
      </c>
      <c r="S222" s="126" t="n">
        <f aca="false">J222/$R$3</f>
        <v>0</v>
      </c>
      <c r="T222" s="126" t="n">
        <f aca="false">L222/$R$3</f>
        <v>0</v>
      </c>
      <c r="U222" s="126" t="n">
        <f aca="false">I222/$R$3</f>
        <v>0</v>
      </c>
      <c r="V222" s="126" t="n">
        <f aca="false">M222/$R$3</f>
        <v>655.204258888889</v>
      </c>
      <c r="W222" s="126" t="n">
        <f aca="false">N222/$R$3</f>
        <v>655.204258888889</v>
      </c>
    </row>
    <row r="223" customFormat="false" ht="12.75" hidden="true" customHeight="false" outlineLevel="0" collapsed="false">
      <c r="A223" s="120" t="n">
        <f aca="false">A222+1</f>
        <v>37109</v>
      </c>
      <c r="B223" s="131" t="str">
        <f aca="false">INDEX('Master Data'!$A$2:$B$8,MATCH(WEEKDAY('BRA PWR Certificates'!A223,3),'Master Data'!$A$2:$A$8,0),2)</f>
        <v>M</v>
      </c>
      <c r="D223" s="124" t="n">
        <v>0</v>
      </c>
      <c r="E223" s="124" t="n">
        <v>0</v>
      </c>
      <c r="F223" s="124" t="n">
        <v>0</v>
      </c>
      <c r="G223" s="124" t="n">
        <v>0</v>
      </c>
      <c r="I223" s="124" t="n">
        <f aca="false">IF(MONTH($A223)=MONTH($A222),IF(G223=0,I222,G223),G223)</f>
        <v>0</v>
      </c>
      <c r="J223" s="124" t="n">
        <f aca="false">IF(MONTH($A223)=MONTH($A222),SUM(I223-I222),I223)</f>
        <v>0</v>
      </c>
      <c r="K223" s="124" t="n">
        <f aca="false">IF(WEEKDAY(A223,3)&gt;4,0,(IF(A223&lt;K$2,0,IF(A223&lt;=K$3,1,0))))</f>
        <v>0</v>
      </c>
      <c r="L223" s="124" t="n">
        <f aca="false">J223*K223</f>
        <v>0</v>
      </c>
      <c r="M223" s="124" t="n">
        <f aca="false">SUM(J$188:J223)</f>
        <v>655204.258888889</v>
      </c>
      <c r="N223" s="124" t="n">
        <f aca="false">SUM(J$6:J223)</f>
        <v>655204.258888889</v>
      </c>
      <c r="P223" s="124" t="n">
        <f aca="false">D223/P$3</f>
        <v>0</v>
      </c>
      <c r="Q223" s="124" t="n">
        <f aca="false">E223/P$3</f>
        <v>0</v>
      </c>
      <c r="R223" s="124" t="n">
        <f aca="false">F223/R$3</f>
        <v>0</v>
      </c>
      <c r="S223" s="126" t="n">
        <f aca="false">J223/$R$3</f>
        <v>0</v>
      </c>
      <c r="T223" s="126" t="n">
        <f aca="false">L223/$R$3</f>
        <v>0</v>
      </c>
      <c r="U223" s="126" t="n">
        <f aca="false">I223/$R$3</f>
        <v>0</v>
      </c>
      <c r="V223" s="126" t="n">
        <f aca="false">M223/$R$3</f>
        <v>655.204258888889</v>
      </c>
      <c r="W223" s="126" t="n">
        <f aca="false">N223/$R$3</f>
        <v>655.204258888889</v>
      </c>
    </row>
    <row r="224" customFormat="false" ht="12.75" hidden="true" customHeight="false" outlineLevel="0" collapsed="false">
      <c r="A224" s="120" t="n">
        <f aca="false">A223+1</f>
        <v>37110</v>
      </c>
      <c r="B224" s="131" t="str">
        <f aca="false">INDEX('Master Data'!$A$2:$B$8,MATCH(WEEKDAY('BRA PWR Certificates'!A224,3),'Master Data'!$A$2:$A$8,0),2)</f>
        <v>T</v>
      </c>
      <c r="D224" s="124" t="n">
        <v>0</v>
      </c>
      <c r="E224" s="124" t="n">
        <v>0</v>
      </c>
      <c r="F224" s="124" t="n">
        <v>0</v>
      </c>
      <c r="G224" s="124" t="n">
        <v>0</v>
      </c>
      <c r="I224" s="124" t="n">
        <f aca="false">IF(MONTH($A224)=MONTH($A223),IF(G224=0,I223,G224),G224)</f>
        <v>0</v>
      </c>
      <c r="J224" s="124" t="n">
        <f aca="false">IF(MONTH($A224)=MONTH($A223),SUM(I224-I223),I224)</f>
        <v>0</v>
      </c>
      <c r="K224" s="124" t="n">
        <f aca="false">IF(WEEKDAY(A224,3)&gt;4,0,(IF(A224&lt;K$2,0,IF(A224&lt;=K$3,1,0))))</f>
        <v>0</v>
      </c>
      <c r="L224" s="124" t="n">
        <f aca="false">J224*K224</f>
        <v>0</v>
      </c>
      <c r="M224" s="124" t="n">
        <f aca="false">SUM(J$188:J224)</f>
        <v>655204.258888889</v>
      </c>
      <c r="N224" s="124" t="n">
        <f aca="false">SUM(J$6:J224)</f>
        <v>655204.258888889</v>
      </c>
      <c r="P224" s="124" t="n">
        <f aca="false">D224/P$3</f>
        <v>0</v>
      </c>
      <c r="Q224" s="124" t="n">
        <f aca="false">E224/P$3</f>
        <v>0</v>
      </c>
      <c r="R224" s="124" t="n">
        <f aca="false">F224/R$3</f>
        <v>0</v>
      </c>
      <c r="S224" s="126" t="n">
        <f aca="false">J224/$R$3</f>
        <v>0</v>
      </c>
      <c r="T224" s="126" t="n">
        <f aca="false">L224/$R$3</f>
        <v>0</v>
      </c>
      <c r="U224" s="126" t="n">
        <f aca="false">I224/$R$3</f>
        <v>0</v>
      </c>
      <c r="V224" s="126" t="n">
        <f aca="false">M224/$R$3</f>
        <v>655.204258888889</v>
      </c>
      <c r="W224" s="126" t="n">
        <f aca="false">N224/$R$3</f>
        <v>655.204258888889</v>
      </c>
    </row>
    <row r="225" customFormat="false" ht="12.75" hidden="true" customHeight="false" outlineLevel="0" collapsed="false">
      <c r="A225" s="120" t="n">
        <f aca="false">A224+1</f>
        <v>37111</v>
      </c>
      <c r="B225" s="131" t="str">
        <f aca="false">INDEX('Master Data'!$A$2:$B$8,MATCH(WEEKDAY('BRA PWR Certificates'!A225,3),'Master Data'!$A$2:$A$8,0),2)</f>
        <v>W</v>
      </c>
      <c r="D225" s="124" t="n">
        <v>0</v>
      </c>
      <c r="E225" s="124" t="n">
        <v>0</v>
      </c>
      <c r="F225" s="124" t="n">
        <v>0</v>
      </c>
      <c r="G225" s="124" t="n">
        <v>0</v>
      </c>
      <c r="I225" s="124" t="n">
        <f aca="false">IF(MONTH($A225)=MONTH($A224),IF(G225=0,I224,G225),G225)</f>
        <v>0</v>
      </c>
      <c r="J225" s="124" t="n">
        <f aca="false">IF(MONTH($A225)=MONTH($A224),SUM(I225-I224),I225)</f>
        <v>0</v>
      </c>
      <c r="K225" s="124" t="n">
        <f aca="false">IF(WEEKDAY(A225,3)&gt;4,0,(IF(A225&lt;K$2,0,IF(A225&lt;=K$3,1,0))))</f>
        <v>0</v>
      </c>
      <c r="L225" s="124" t="n">
        <f aca="false">J225*K225</f>
        <v>0</v>
      </c>
      <c r="M225" s="124" t="n">
        <f aca="false">SUM(J$188:J225)</f>
        <v>655204.258888889</v>
      </c>
      <c r="N225" s="124" t="n">
        <f aca="false">SUM(J$6:J225)</f>
        <v>655204.258888889</v>
      </c>
      <c r="P225" s="124" t="n">
        <f aca="false">D225/P$3</f>
        <v>0</v>
      </c>
      <c r="Q225" s="124" t="n">
        <f aca="false">E225/P$3</f>
        <v>0</v>
      </c>
      <c r="R225" s="124" t="n">
        <f aca="false">F225/R$3</f>
        <v>0</v>
      </c>
      <c r="S225" s="126" t="n">
        <f aca="false">J225/$R$3</f>
        <v>0</v>
      </c>
      <c r="T225" s="126" t="n">
        <f aca="false">L225/$R$3</f>
        <v>0</v>
      </c>
      <c r="U225" s="126" t="n">
        <f aca="false">I225/$R$3</f>
        <v>0</v>
      </c>
      <c r="V225" s="126" t="n">
        <f aca="false">M225/$R$3</f>
        <v>655.204258888889</v>
      </c>
      <c r="W225" s="126" t="n">
        <f aca="false">N225/$R$3</f>
        <v>655.204258888889</v>
      </c>
    </row>
    <row r="226" customFormat="false" ht="12.75" hidden="true" customHeight="false" outlineLevel="0" collapsed="false">
      <c r="A226" s="120" t="n">
        <f aca="false">A225+1</f>
        <v>37112</v>
      </c>
      <c r="B226" s="131" t="str">
        <f aca="false">INDEX('Master Data'!$A$2:$B$8,MATCH(WEEKDAY('BRA PWR Certificates'!A226,3),'Master Data'!$A$2:$A$8,0),2)</f>
        <v>Th</v>
      </c>
      <c r="D226" s="124" t="n">
        <v>0</v>
      </c>
      <c r="E226" s="124" t="n">
        <v>0</v>
      </c>
      <c r="F226" s="124" t="n">
        <v>0</v>
      </c>
      <c r="G226" s="124" t="n">
        <v>0</v>
      </c>
      <c r="I226" s="124" t="n">
        <f aca="false">IF(MONTH($A226)=MONTH($A225),IF(G226=0,I225,G226),G226)</f>
        <v>0</v>
      </c>
      <c r="J226" s="124" t="n">
        <f aca="false">IF(MONTH($A226)=MONTH($A225),SUM(I226-I225),I226)</f>
        <v>0</v>
      </c>
      <c r="K226" s="124" t="n">
        <f aca="false">IF(WEEKDAY(A226,3)&gt;4,0,(IF(A226&lt;K$2,0,IF(A226&lt;=K$3,1,0))))</f>
        <v>0</v>
      </c>
      <c r="L226" s="124" t="n">
        <f aca="false">J226*K226</f>
        <v>0</v>
      </c>
      <c r="M226" s="124" t="n">
        <f aca="false">SUM(J$188:J226)</f>
        <v>655204.258888889</v>
      </c>
      <c r="N226" s="124" t="n">
        <f aca="false">SUM(J$6:J226)</f>
        <v>655204.258888889</v>
      </c>
      <c r="P226" s="124" t="n">
        <f aca="false">D226/P$3</f>
        <v>0</v>
      </c>
      <c r="Q226" s="124" t="n">
        <f aca="false">E226/P$3</f>
        <v>0</v>
      </c>
      <c r="R226" s="124" t="n">
        <f aca="false">F226/R$3</f>
        <v>0</v>
      </c>
      <c r="S226" s="126" t="n">
        <f aca="false">J226/$R$3</f>
        <v>0</v>
      </c>
      <c r="T226" s="126" t="n">
        <f aca="false">L226/$R$3</f>
        <v>0</v>
      </c>
      <c r="U226" s="126" t="n">
        <f aca="false">I226/$R$3</f>
        <v>0</v>
      </c>
      <c r="V226" s="126" t="n">
        <f aca="false">M226/$R$3</f>
        <v>655.204258888889</v>
      </c>
      <c r="W226" s="126" t="n">
        <f aca="false">N226/$R$3</f>
        <v>655.204258888889</v>
      </c>
    </row>
    <row r="227" customFormat="false" ht="12.75" hidden="true" customHeight="false" outlineLevel="0" collapsed="false">
      <c r="A227" s="120" t="n">
        <f aca="false">A226+1</f>
        <v>37113</v>
      </c>
      <c r="B227" s="131" t="str">
        <f aca="false">INDEX('Master Data'!$A$2:$B$8,MATCH(WEEKDAY('BRA PWR Certificates'!A227,3),'Master Data'!$A$2:$A$8,0),2)</f>
        <v>F</v>
      </c>
      <c r="D227" s="124" t="n">
        <v>0</v>
      </c>
      <c r="E227" s="124" t="n">
        <v>0</v>
      </c>
      <c r="F227" s="124" t="n">
        <v>0</v>
      </c>
      <c r="G227" s="124" t="n">
        <v>0</v>
      </c>
      <c r="I227" s="124" t="n">
        <f aca="false">IF(MONTH($A227)=MONTH($A226),IF(G227=0,I226,G227),G227)</f>
        <v>0</v>
      </c>
      <c r="J227" s="124" t="n">
        <f aca="false">IF(MONTH($A227)=MONTH($A226),SUM(I227-I226),I227)</f>
        <v>0</v>
      </c>
      <c r="K227" s="124" t="n">
        <f aca="false">IF(WEEKDAY(A227,3)&gt;4,0,(IF(A227&lt;K$2,0,IF(A227&lt;=K$3,1,0))))</f>
        <v>0</v>
      </c>
      <c r="L227" s="124" t="n">
        <f aca="false">J227*K227</f>
        <v>0</v>
      </c>
      <c r="M227" s="124" t="n">
        <f aca="false">SUM(J$188:J227)</f>
        <v>655204.258888889</v>
      </c>
      <c r="N227" s="124" t="n">
        <f aca="false">SUM(J$6:J227)</f>
        <v>655204.258888889</v>
      </c>
      <c r="P227" s="124" t="n">
        <f aca="false">D227/P$3</f>
        <v>0</v>
      </c>
      <c r="Q227" s="124" t="n">
        <f aca="false">E227/P$3</f>
        <v>0</v>
      </c>
      <c r="R227" s="124" t="n">
        <f aca="false">F227/R$3</f>
        <v>0</v>
      </c>
      <c r="S227" s="126" t="n">
        <f aca="false">J227/$R$3</f>
        <v>0</v>
      </c>
      <c r="T227" s="126" t="n">
        <f aca="false">L227/$R$3</f>
        <v>0</v>
      </c>
      <c r="U227" s="126" t="n">
        <f aca="false">I227/$R$3</f>
        <v>0</v>
      </c>
      <c r="V227" s="126" t="n">
        <f aca="false">M227/$R$3</f>
        <v>655.204258888889</v>
      </c>
      <c r="W227" s="126" t="n">
        <f aca="false">N227/$R$3</f>
        <v>655.204258888889</v>
      </c>
    </row>
    <row r="228" customFormat="false" ht="12.75" hidden="true" customHeight="false" outlineLevel="0" collapsed="false">
      <c r="A228" s="120" t="n">
        <f aca="false">A227+1</f>
        <v>37114</v>
      </c>
      <c r="B228" s="131" t="str">
        <f aca="false">INDEX('Master Data'!$A$2:$B$8,MATCH(WEEKDAY('BRA PWR Certificates'!A228,3),'Master Data'!$A$2:$A$8,0),2)</f>
        <v>Sa</v>
      </c>
      <c r="D228" s="124" t="n">
        <v>0</v>
      </c>
      <c r="E228" s="124" t="n">
        <v>0</v>
      </c>
      <c r="F228" s="124" t="n">
        <v>0</v>
      </c>
      <c r="G228" s="124" t="n">
        <v>0</v>
      </c>
      <c r="I228" s="124" t="n">
        <f aca="false">IF(MONTH($A228)=MONTH($A227),IF(G228=0,I227,G228),G228)</f>
        <v>0</v>
      </c>
      <c r="J228" s="124" t="n">
        <f aca="false">IF(MONTH($A228)=MONTH($A227),SUM(I228-I227),I228)</f>
        <v>0</v>
      </c>
      <c r="K228" s="124" t="n">
        <f aca="false">IF(WEEKDAY(A228,3)&gt;4,0,(IF(A228&lt;K$2,0,IF(A228&lt;=K$3,1,0))))</f>
        <v>0</v>
      </c>
      <c r="L228" s="124" t="n">
        <f aca="false">J228*K228</f>
        <v>0</v>
      </c>
      <c r="M228" s="124" t="n">
        <f aca="false">SUM(J$188:J228)</f>
        <v>655204.258888889</v>
      </c>
      <c r="N228" s="124" t="n">
        <f aca="false">SUM(J$6:J228)</f>
        <v>655204.258888889</v>
      </c>
      <c r="P228" s="124" t="n">
        <f aca="false">D228/P$3</f>
        <v>0</v>
      </c>
      <c r="Q228" s="124" t="n">
        <f aca="false">E228/P$3</f>
        <v>0</v>
      </c>
      <c r="R228" s="124" t="n">
        <f aca="false">F228/R$3</f>
        <v>0</v>
      </c>
      <c r="S228" s="126" t="n">
        <f aca="false">J228/$R$3</f>
        <v>0</v>
      </c>
      <c r="T228" s="126" t="n">
        <f aca="false">L228/$R$3</f>
        <v>0</v>
      </c>
      <c r="U228" s="126" t="n">
        <f aca="false">I228/$R$3</f>
        <v>0</v>
      </c>
      <c r="V228" s="126" t="n">
        <f aca="false">M228/$R$3</f>
        <v>655.204258888889</v>
      </c>
      <c r="W228" s="126" t="n">
        <f aca="false">N228/$R$3</f>
        <v>655.204258888889</v>
      </c>
    </row>
    <row r="229" customFormat="false" ht="12.75" hidden="true" customHeight="false" outlineLevel="0" collapsed="false">
      <c r="A229" s="120" t="n">
        <f aca="false">A228+1</f>
        <v>37115</v>
      </c>
      <c r="B229" s="131" t="str">
        <f aca="false">INDEX('Master Data'!$A$2:$B$8,MATCH(WEEKDAY('BRA PWR Certificates'!A229,3),'Master Data'!$A$2:$A$8,0),2)</f>
        <v>Su</v>
      </c>
      <c r="D229" s="124" t="n">
        <v>0</v>
      </c>
      <c r="E229" s="124" t="n">
        <v>0</v>
      </c>
      <c r="F229" s="124" t="n">
        <v>0</v>
      </c>
      <c r="G229" s="124" t="n">
        <v>0</v>
      </c>
      <c r="I229" s="124" t="n">
        <f aca="false">IF(MONTH($A229)=MONTH($A228),IF(G229=0,I228,G229),G229)</f>
        <v>0</v>
      </c>
      <c r="J229" s="124" t="n">
        <f aca="false">IF(MONTH($A229)=MONTH($A228),SUM(I229-I228),I229)</f>
        <v>0</v>
      </c>
      <c r="K229" s="124" t="n">
        <f aca="false">IF(WEEKDAY(A229,3)&gt;4,0,(IF(A229&lt;K$2,0,IF(A229&lt;=K$3,1,0))))</f>
        <v>0</v>
      </c>
      <c r="L229" s="124" t="n">
        <f aca="false">J229*K229</f>
        <v>0</v>
      </c>
      <c r="M229" s="124" t="n">
        <f aca="false">SUM(J$188:J229)</f>
        <v>655204.258888889</v>
      </c>
      <c r="N229" s="124" t="n">
        <f aca="false">SUM(J$6:J229)</f>
        <v>655204.258888889</v>
      </c>
      <c r="P229" s="124" t="n">
        <f aca="false">D229/P$3</f>
        <v>0</v>
      </c>
      <c r="Q229" s="124" t="n">
        <f aca="false">E229/P$3</f>
        <v>0</v>
      </c>
      <c r="R229" s="124" t="n">
        <f aca="false">F229/R$3</f>
        <v>0</v>
      </c>
      <c r="S229" s="126" t="n">
        <f aca="false">J229/$R$3</f>
        <v>0</v>
      </c>
      <c r="T229" s="126" t="n">
        <f aca="false">L229/$R$3</f>
        <v>0</v>
      </c>
      <c r="U229" s="126" t="n">
        <f aca="false">I229/$R$3</f>
        <v>0</v>
      </c>
      <c r="V229" s="126" t="n">
        <f aca="false">M229/$R$3</f>
        <v>655.204258888889</v>
      </c>
      <c r="W229" s="126" t="n">
        <f aca="false">N229/$R$3</f>
        <v>655.204258888889</v>
      </c>
    </row>
    <row r="230" customFormat="false" ht="12.75" hidden="true" customHeight="false" outlineLevel="0" collapsed="false">
      <c r="A230" s="120" t="n">
        <f aca="false">A229+1</f>
        <v>37116</v>
      </c>
      <c r="B230" s="131" t="str">
        <f aca="false">INDEX('Master Data'!$A$2:$B$8,MATCH(WEEKDAY('BRA PWR Certificates'!A230,3),'Master Data'!$A$2:$A$8,0),2)</f>
        <v>M</v>
      </c>
      <c r="D230" s="124" t="n">
        <v>0</v>
      </c>
      <c r="E230" s="124" t="n">
        <v>0</v>
      </c>
      <c r="F230" s="124" t="n">
        <v>0</v>
      </c>
      <c r="G230" s="124" t="n">
        <v>0</v>
      </c>
      <c r="I230" s="124" t="n">
        <f aca="false">IF(MONTH($A230)=MONTH($A229),IF(G230=0,I229,G230),G230)</f>
        <v>0</v>
      </c>
      <c r="J230" s="124" t="n">
        <f aca="false">IF(MONTH($A230)=MONTH($A229),SUM(I230-I229),I230)</f>
        <v>0</v>
      </c>
      <c r="K230" s="124" t="n">
        <f aca="false">IF(WEEKDAY(A230,3)&gt;4,0,(IF(A230&lt;K$2,0,IF(A230&lt;=K$3,1,0))))</f>
        <v>0</v>
      </c>
      <c r="L230" s="124" t="n">
        <f aca="false">J230*K230</f>
        <v>0</v>
      </c>
      <c r="M230" s="124" t="n">
        <f aca="false">SUM(J$188:J230)</f>
        <v>655204.258888889</v>
      </c>
      <c r="N230" s="124" t="n">
        <f aca="false">SUM(J$6:J230)</f>
        <v>655204.258888889</v>
      </c>
      <c r="P230" s="124" t="n">
        <f aca="false">D230/P$3</f>
        <v>0</v>
      </c>
      <c r="Q230" s="124" t="n">
        <f aca="false">E230/P$3</f>
        <v>0</v>
      </c>
      <c r="R230" s="124" t="n">
        <f aca="false">F230/R$3</f>
        <v>0</v>
      </c>
      <c r="S230" s="126" t="n">
        <f aca="false">J230/$R$3</f>
        <v>0</v>
      </c>
      <c r="T230" s="126" t="n">
        <f aca="false">L230/$R$3</f>
        <v>0</v>
      </c>
      <c r="U230" s="126" t="n">
        <f aca="false">I230/$R$3</f>
        <v>0</v>
      </c>
      <c r="V230" s="126" t="n">
        <f aca="false">M230/$R$3</f>
        <v>655.204258888889</v>
      </c>
      <c r="W230" s="126" t="n">
        <f aca="false">N230/$R$3</f>
        <v>655.204258888889</v>
      </c>
    </row>
    <row r="231" customFormat="false" ht="12.75" hidden="false" customHeight="false" outlineLevel="0" collapsed="false">
      <c r="A231" s="120" t="n">
        <f aca="false">A230+1</f>
        <v>37117</v>
      </c>
      <c r="B231" s="131" t="str">
        <f aca="false">INDEX('Master Data'!$A$2:$B$8,MATCH(WEEKDAY('BRA PWR Certificates'!A231,3),'Master Data'!$A$2:$A$8,0),2)</f>
        <v>T</v>
      </c>
      <c r="D231" s="124" t="n">
        <v>930</v>
      </c>
      <c r="E231" s="124" t="n">
        <v>930</v>
      </c>
      <c r="F231" s="124" t="n">
        <v>0</v>
      </c>
      <c r="G231" s="124" t="n">
        <v>42569.23</v>
      </c>
      <c r="I231" s="124" t="n">
        <f aca="false">IF(MONTH($A231)=MONTH($A230),IF(G231=0,I230,G231),G231)</f>
        <v>42569.23</v>
      </c>
      <c r="J231" s="124" t="n">
        <f aca="false">IF(MONTH($A231)=MONTH($A230),SUM(I231-I230),I231)</f>
        <v>42569.23</v>
      </c>
      <c r="K231" s="124" t="n">
        <f aca="false">IF(WEEKDAY(A231,3)&gt;4,0,(IF(A231&lt;K$2,0,IF(A231&lt;=K$3,1,0))))</f>
        <v>0</v>
      </c>
      <c r="L231" s="124" t="n">
        <f aca="false">J231*K231</f>
        <v>0</v>
      </c>
      <c r="M231" s="124" t="n">
        <f aca="false">SUM(J$188:J231)</f>
        <v>697773.488888889</v>
      </c>
      <c r="N231" s="124" t="n">
        <f aca="false">SUM(J$6:J231)</f>
        <v>697773.488888889</v>
      </c>
      <c r="P231" s="124" t="n">
        <f aca="false">D231/P$3</f>
        <v>0.00093</v>
      </c>
      <c r="Q231" s="124" t="n">
        <f aca="false">E231/P$3</f>
        <v>0.00093</v>
      </c>
      <c r="R231" s="124" t="n">
        <f aca="false">F231/R$3</f>
        <v>0</v>
      </c>
      <c r="S231" s="126" t="n">
        <f aca="false">J231/$R$3</f>
        <v>42.56923</v>
      </c>
      <c r="T231" s="126" t="n">
        <f aca="false">L231/$R$3</f>
        <v>0</v>
      </c>
      <c r="U231" s="126" t="n">
        <f aca="false">I231/$R$3</f>
        <v>42.56923</v>
      </c>
      <c r="V231" s="126" t="n">
        <f aca="false">M231/$R$3</f>
        <v>697.773488888889</v>
      </c>
      <c r="W231" s="126" t="n">
        <f aca="false">N231/$R$3</f>
        <v>697.773488888889</v>
      </c>
    </row>
    <row r="232" customFormat="false" ht="12.75" hidden="true" customHeight="false" outlineLevel="0" collapsed="false">
      <c r="A232" s="120" t="n">
        <f aca="false">A231+1</f>
        <v>37118</v>
      </c>
      <c r="B232" s="131" t="str">
        <f aca="false">INDEX('Master Data'!$A$2:$B$8,MATCH(WEEKDAY('BRA PWR Certificates'!A232,3),'Master Data'!$A$2:$A$8,0),2)</f>
        <v>W</v>
      </c>
      <c r="D232" s="124" t="n">
        <v>930</v>
      </c>
      <c r="E232" s="124" t="n">
        <v>930</v>
      </c>
      <c r="F232" s="124" t="n">
        <v>0</v>
      </c>
      <c r="G232" s="124" t="n">
        <v>42569.23</v>
      </c>
      <c r="I232" s="124" t="n">
        <f aca="false">IF(MONTH($A232)=MONTH($A231),IF(G232=0,I231,G232),G232)</f>
        <v>42569.23</v>
      </c>
      <c r="J232" s="124" t="n">
        <f aca="false">IF(MONTH($A232)=MONTH($A231),SUM(I232-I231),I232)</f>
        <v>0</v>
      </c>
      <c r="K232" s="124" t="n">
        <f aca="false">IF(WEEKDAY(A232,3)&gt;4,0,(IF(A232&lt;K$2,0,IF(A232&lt;=K$3,1,0))))</f>
        <v>0</v>
      </c>
      <c r="L232" s="124" t="n">
        <f aca="false">J232*K232</f>
        <v>0</v>
      </c>
      <c r="M232" s="124" t="n">
        <f aca="false">SUM(J$188:J232)</f>
        <v>697773.488888889</v>
      </c>
      <c r="N232" s="124" t="n">
        <f aca="false">SUM(J$6:J232)</f>
        <v>697773.488888889</v>
      </c>
      <c r="P232" s="124" t="n">
        <f aca="false">D232/P$3</f>
        <v>0.00093</v>
      </c>
      <c r="Q232" s="124" t="n">
        <f aca="false">E232/P$3</f>
        <v>0.00093</v>
      </c>
      <c r="R232" s="124" t="n">
        <f aca="false">F232/R$3</f>
        <v>0</v>
      </c>
      <c r="S232" s="126" t="n">
        <f aca="false">J232/$R$3</f>
        <v>0</v>
      </c>
      <c r="T232" s="126" t="n">
        <f aca="false">L232/$R$3</f>
        <v>0</v>
      </c>
      <c r="U232" s="126" t="n">
        <f aca="false">I232/$R$3</f>
        <v>42.56923</v>
      </c>
      <c r="V232" s="126" t="n">
        <f aca="false">M232/$R$3</f>
        <v>697.773488888889</v>
      </c>
      <c r="W232" s="126" t="n">
        <f aca="false">N232/$R$3</f>
        <v>697.773488888889</v>
      </c>
    </row>
    <row r="233" customFormat="false" ht="12.75" hidden="true" customHeight="false" outlineLevel="0" collapsed="false">
      <c r="A233" s="120" t="n">
        <f aca="false">A232+1</f>
        <v>37119</v>
      </c>
      <c r="B233" s="131" t="str">
        <f aca="false">INDEX('Master Data'!$A$2:$B$8,MATCH(WEEKDAY('BRA PWR Certificates'!A233,3),'Master Data'!$A$2:$A$8,0),2)</f>
        <v>Th</v>
      </c>
      <c r="D233" s="124" t="n">
        <v>930</v>
      </c>
      <c r="E233" s="124" t="n">
        <v>930</v>
      </c>
      <c r="F233" s="124" t="n">
        <v>0</v>
      </c>
      <c r="G233" s="124" t="n">
        <v>42569.23</v>
      </c>
      <c r="I233" s="124" t="n">
        <f aca="false">IF(MONTH($A233)=MONTH($A232),IF(G233=0,I232,G233),G233)</f>
        <v>42569.23</v>
      </c>
      <c r="J233" s="124" t="n">
        <f aca="false">IF(MONTH($A233)=MONTH($A232),SUM(I233-I232),I233)</f>
        <v>0</v>
      </c>
      <c r="K233" s="124" t="n">
        <f aca="false">IF(WEEKDAY(A233,3)&gt;4,0,(IF(A233&lt;K$2,0,IF(A233&lt;=K$3,1,0))))</f>
        <v>0</v>
      </c>
      <c r="L233" s="124" t="n">
        <f aca="false">J233*K233</f>
        <v>0</v>
      </c>
      <c r="M233" s="124" t="n">
        <f aca="false">SUM(J$188:J233)</f>
        <v>697773.488888889</v>
      </c>
      <c r="N233" s="124" t="n">
        <f aca="false">SUM(J$6:J233)</f>
        <v>697773.488888889</v>
      </c>
      <c r="P233" s="124" t="n">
        <f aca="false">D233/P$3</f>
        <v>0.00093</v>
      </c>
      <c r="Q233" s="124" t="n">
        <f aca="false">E233/P$3</f>
        <v>0.00093</v>
      </c>
      <c r="R233" s="124" t="n">
        <f aca="false">F233/R$3</f>
        <v>0</v>
      </c>
      <c r="S233" s="126" t="n">
        <f aca="false">J233/$R$3</f>
        <v>0</v>
      </c>
      <c r="T233" s="126" t="n">
        <f aca="false">L233/$R$3</f>
        <v>0</v>
      </c>
      <c r="U233" s="126" t="n">
        <f aca="false">I233/$R$3</f>
        <v>42.56923</v>
      </c>
      <c r="V233" s="126" t="n">
        <f aca="false">M233/$R$3</f>
        <v>697.773488888889</v>
      </c>
      <c r="W233" s="126" t="n">
        <f aca="false">N233/$R$3</f>
        <v>697.773488888889</v>
      </c>
    </row>
    <row r="234" customFormat="false" ht="12.75" hidden="true" customHeight="false" outlineLevel="0" collapsed="false">
      <c r="A234" s="120" t="n">
        <f aca="false">A233+1</f>
        <v>37120</v>
      </c>
      <c r="B234" s="131" t="str">
        <f aca="false">INDEX('Master Data'!$A$2:$B$8,MATCH(WEEKDAY('BRA PWR Certificates'!A234,3),'Master Data'!$A$2:$A$8,0),2)</f>
        <v>F</v>
      </c>
      <c r="D234" s="124" t="n">
        <v>930</v>
      </c>
      <c r="E234" s="124" t="n">
        <v>930</v>
      </c>
      <c r="F234" s="124" t="n">
        <v>0</v>
      </c>
      <c r="G234" s="124" t="n">
        <v>42569.23</v>
      </c>
      <c r="I234" s="124" t="n">
        <f aca="false">IF(MONTH($A234)=MONTH($A233),IF(G234=0,I233,G234),G234)</f>
        <v>42569.23</v>
      </c>
      <c r="J234" s="124" t="n">
        <f aca="false">IF(MONTH($A234)=MONTH($A233),SUM(I234-I233),I234)</f>
        <v>0</v>
      </c>
      <c r="K234" s="124" t="n">
        <f aca="false">IF(WEEKDAY(A234,3)&gt;4,0,(IF(A234&lt;K$2,0,IF(A234&lt;=K$3,1,0))))</f>
        <v>0</v>
      </c>
      <c r="L234" s="124" t="n">
        <f aca="false">J234*K234</f>
        <v>0</v>
      </c>
      <c r="M234" s="124" t="n">
        <f aca="false">SUM(J$188:J234)</f>
        <v>697773.488888889</v>
      </c>
      <c r="N234" s="124" t="n">
        <f aca="false">SUM(J$6:J234)</f>
        <v>697773.488888889</v>
      </c>
      <c r="P234" s="124" t="n">
        <f aca="false">D234/P$3</f>
        <v>0.00093</v>
      </c>
      <c r="Q234" s="124" t="n">
        <f aca="false">E234/P$3</f>
        <v>0.00093</v>
      </c>
      <c r="R234" s="124" t="n">
        <f aca="false">F234/R$3</f>
        <v>0</v>
      </c>
      <c r="S234" s="126" t="n">
        <f aca="false">J234/$R$3</f>
        <v>0</v>
      </c>
      <c r="T234" s="126" t="n">
        <f aca="false">L234/$R$3</f>
        <v>0</v>
      </c>
      <c r="U234" s="126" t="n">
        <f aca="false">I234/$R$3</f>
        <v>42.56923</v>
      </c>
      <c r="V234" s="126" t="n">
        <f aca="false">M234/$R$3</f>
        <v>697.773488888889</v>
      </c>
      <c r="W234" s="126" t="n">
        <f aca="false">N234/$R$3</f>
        <v>697.773488888889</v>
      </c>
    </row>
    <row r="235" customFormat="false" ht="12.75" hidden="true" customHeight="false" outlineLevel="0" collapsed="false">
      <c r="A235" s="120" t="n">
        <f aca="false">A234+1</f>
        <v>37121</v>
      </c>
      <c r="B235" s="131" t="str">
        <f aca="false">INDEX('Master Data'!$A$2:$B$8,MATCH(WEEKDAY('BRA PWR Certificates'!A235,3),'Master Data'!$A$2:$A$8,0),2)</f>
        <v>Sa</v>
      </c>
      <c r="D235" s="124" t="n">
        <v>0</v>
      </c>
      <c r="E235" s="124" t="n">
        <v>0</v>
      </c>
      <c r="F235" s="124" t="n">
        <v>0</v>
      </c>
      <c r="G235" s="124" t="n">
        <v>0</v>
      </c>
      <c r="I235" s="124" t="n">
        <f aca="false">IF(MONTH($A235)=MONTH($A234),IF(G235=0,I234,G235),G235)</f>
        <v>42569.23</v>
      </c>
      <c r="J235" s="124" t="n">
        <f aca="false">IF(MONTH($A235)=MONTH($A234),SUM(I235-I234),I235)</f>
        <v>0</v>
      </c>
      <c r="K235" s="124" t="n">
        <f aca="false">IF(WEEKDAY(A235,3)&gt;4,0,(IF(A235&lt;K$2,0,IF(A235&lt;=K$3,1,0))))</f>
        <v>0</v>
      </c>
      <c r="L235" s="124" t="n">
        <f aca="false">J235*K235</f>
        <v>0</v>
      </c>
      <c r="M235" s="124" t="n">
        <f aca="false">SUM(J$188:J235)</f>
        <v>697773.488888889</v>
      </c>
      <c r="N235" s="124" t="n">
        <f aca="false">SUM(J$6:J235)</f>
        <v>697773.488888889</v>
      </c>
      <c r="P235" s="124" t="n">
        <f aca="false">D235/P$3</f>
        <v>0</v>
      </c>
      <c r="Q235" s="124" t="n">
        <f aca="false">E235/P$3</f>
        <v>0</v>
      </c>
      <c r="R235" s="124" t="n">
        <f aca="false">F235/R$3</f>
        <v>0</v>
      </c>
      <c r="S235" s="126" t="n">
        <f aca="false">J235/$R$3</f>
        <v>0</v>
      </c>
      <c r="T235" s="126" t="n">
        <f aca="false">L235/$R$3</f>
        <v>0</v>
      </c>
      <c r="U235" s="126" t="n">
        <f aca="false">I235/$R$3</f>
        <v>42.56923</v>
      </c>
      <c r="V235" s="126" t="n">
        <f aca="false">M235/$R$3</f>
        <v>697.773488888889</v>
      </c>
      <c r="W235" s="126" t="n">
        <f aca="false">N235/$R$3</f>
        <v>697.773488888889</v>
      </c>
    </row>
    <row r="236" customFormat="false" ht="12.75" hidden="true" customHeight="false" outlineLevel="0" collapsed="false">
      <c r="A236" s="120" t="n">
        <f aca="false">A235+1</f>
        <v>37122</v>
      </c>
      <c r="B236" s="131" t="str">
        <f aca="false">INDEX('Master Data'!$A$2:$B$8,MATCH(WEEKDAY('BRA PWR Certificates'!A236,3),'Master Data'!$A$2:$A$8,0),2)</f>
        <v>Su</v>
      </c>
      <c r="D236" s="124" t="n">
        <v>0</v>
      </c>
      <c r="E236" s="124" t="n">
        <v>0</v>
      </c>
      <c r="F236" s="124" t="n">
        <v>0</v>
      </c>
      <c r="G236" s="124" t="n">
        <v>0</v>
      </c>
      <c r="I236" s="124" t="n">
        <f aca="false">IF(MONTH($A236)=MONTH($A235),IF(G236=0,I235,G236),G236)</f>
        <v>42569.23</v>
      </c>
      <c r="J236" s="124" t="n">
        <f aca="false">IF(MONTH($A236)=MONTH($A235),SUM(I236-I235),I236)</f>
        <v>0</v>
      </c>
      <c r="K236" s="124" t="n">
        <f aca="false">IF(WEEKDAY(A236,3)&gt;4,0,(IF(A236&lt;K$2,0,IF(A236&lt;=K$3,1,0))))</f>
        <v>0</v>
      </c>
      <c r="L236" s="124" t="n">
        <f aca="false">J236*K236</f>
        <v>0</v>
      </c>
      <c r="M236" s="124" t="n">
        <f aca="false">SUM(J$188:J236)</f>
        <v>697773.488888889</v>
      </c>
      <c r="N236" s="124" t="n">
        <f aca="false">SUM(J$6:J236)</f>
        <v>697773.488888889</v>
      </c>
      <c r="P236" s="124" t="n">
        <f aca="false">D236/P$3</f>
        <v>0</v>
      </c>
      <c r="Q236" s="124" t="n">
        <f aca="false">E236/P$3</f>
        <v>0</v>
      </c>
      <c r="R236" s="124" t="n">
        <f aca="false">F236/R$3</f>
        <v>0</v>
      </c>
      <c r="S236" s="126" t="n">
        <f aca="false">J236/$R$3</f>
        <v>0</v>
      </c>
      <c r="T236" s="126" t="n">
        <f aca="false">L236/$R$3</f>
        <v>0</v>
      </c>
      <c r="U236" s="126" t="n">
        <f aca="false">I236/$R$3</f>
        <v>42.56923</v>
      </c>
      <c r="V236" s="126" t="n">
        <f aca="false">M236/$R$3</f>
        <v>697.773488888889</v>
      </c>
      <c r="W236" s="126" t="n">
        <f aca="false">N236/$R$3</f>
        <v>697.773488888889</v>
      </c>
    </row>
    <row r="237" customFormat="false" ht="12.75" hidden="true" customHeight="false" outlineLevel="0" collapsed="false">
      <c r="A237" s="120" t="n">
        <f aca="false">A236+1</f>
        <v>37123</v>
      </c>
      <c r="B237" s="131" t="str">
        <f aca="false">INDEX('Master Data'!$A$2:$B$8,MATCH(WEEKDAY('BRA PWR Certificates'!A237,3),'Master Data'!$A$2:$A$8,0),2)</f>
        <v>M</v>
      </c>
      <c r="D237" s="124" t="n">
        <v>930</v>
      </c>
      <c r="E237" s="124" t="n">
        <v>930</v>
      </c>
      <c r="F237" s="124" t="n">
        <v>0</v>
      </c>
      <c r="G237" s="124" t="n">
        <v>42569.23</v>
      </c>
      <c r="I237" s="124" t="n">
        <f aca="false">IF(MONTH($A237)=MONTH($A236),IF(G237=0,I236,G237),G237)</f>
        <v>42569.23</v>
      </c>
      <c r="J237" s="124" t="n">
        <f aca="false">IF(MONTH($A237)=MONTH($A236),SUM(I237-I236),I237)</f>
        <v>0</v>
      </c>
      <c r="K237" s="124" t="n">
        <f aca="false">IF(WEEKDAY(A237,3)&gt;4,0,(IF(A237&lt;K$2,0,IF(A237&lt;=K$3,1,0))))</f>
        <v>0</v>
      </c>
      <c r="L237" s="124" t="n">
        <f aca="false">J237*K237</f>
        <v>0</v>
      </c>
      <c r="M237" s="124" t="n">
        <f aca="false">SUM(J$188:J237)</f>
        <v>697773.488888889</v>
      </c>
      <c r="N237" s="124" t="n">
        <f aca="false">SUM(J$6:J237)</f>
        <v>697773.488888889</v>
      </c>
      <c r="P237" s="124" t="n">
        <f aca="false">D237/P$3</f>
        <v>0.00093</v>
      </c>
      <c r="Q237" s="124" t="n">
        <f aca="false">E237/P$3</f>
        <v>0.00093</v>
      </c>
      <c r="R237" s="124" t="n">
        <f aca="false">F237/R$3</f>
        <v>0</v>
      </c>
      <c r="S237" s="126" t="n">
        <f aca="false">J237/$R$3</f>
        <v>0</v>
      </c>
      <c r="T237" s="126" t="n">
        <f aca="false">L237/$R$3</f>
        <v>0</v>
      </c>
      <c r="U237" s="126" t="n">
        <f aca="false">I237/$R$3</f>
        <v>42.56923</v>
      </c>
      <c r="V237" s="126" t="n">
        <f aca="false">M237/$R$3</f>
        <v>697.773488888889</v>
      </c>
      <c r="W237" s="126" t="n">
        <f aca="false">N237/$R$3</f>
        <v>697.773488888889</v>
      </c>
    </row>
    <row r="238" customFormat="false" ht="12.75" hidden="true" customHeight="false" outlineLevel="0" collapsed="false">
      <c r="A238" s="120" t="n">
        <f aca="false">A237+1</f>
        <v>37124</v>
      </c>
      <c r="B238" s="131" t="str">
        <f aca="false">INDEX('Master Data'!$A$2:$B$8,MATCH(WEEKDAY('BRA PWR Certificates'!A238,3),'Master Data'!$A$2:$A$8,0),2)</f>
        <v>T</v>
      </c>
      <c r="D238" s="124" t="n">
        <v>930</v>
      </c>
      <c r="E238" s="124" t="n">
        <v>930</v>
      </c>
      <c r="F238" s="124" t="n">
        <v>0</v>
      </c>
      <c r="G238" s="124" t="n">
        <v>42569.23</v>
      </c>
      <c r="I238" s="124" t="n">
        <f aca="false">IF(MONTH($A238)=MONTH($A237),IF(G238=0,I237,G238),G238)</f>
        <v>42569.23</v>
      </c>
      <c r="J238" s="124" t="n">
        <f aca="false">IF(MONTH($A238)=MONTH($A237),SUM(I238-I237),I238)</f>
        <v>0</v>
      </c>
      <c r="K238" s="124" t="n">
        <f aca="false">IF(WEEKDAY(A238,3)&gt;4,0,(IF(A238&lt;K$2,0,IF(A238&lt;=K$3,1,0))))</f>
        <v>0</v>
      </c>
      <c r="L238" s="124" t="n">
        <f aca="false">J238*K238</f>
        <v>0</v>
      </c>
      <c r="M238" s="124" t="n">
        <f aca="false">SUM(J$188:J238)</f>
        <v>697773.488888889</v>
      </c>
      <c r="N238" s="124" t="n">
        <f aca="false">SUM(J$6:J238)</f>
        <v>697773.488888889</v>
      </c>
      <c r="P238" s="124" t="n">
        <f aca="false">D238/P$3</f>
        <v>0.00093</v>
      </c>
      <c r="Q238" s="124" t="n">
        <f aca="false">E238/P$3</f>
        <v>0.00093</v>
      </c>
      <c r="R238" s="124" t="n">
        <f aca="false">F238/R$3</f>
        <v>0</v>
      </c>
      <c r="S238" s="126" t="n">
        <f aca="false">J238/$R$3</f>
        <v>0</v>
      </c>
      <c r="T238" s="126" t="n">
        <f aca="false">L238/$R$3</f>
        <v>0</v>
      </c>
      <c r="U238" s="126" t="n">
        <f aca="false">I238/$R$3</f>
        <v>42.56923</v>
      </c>
      <c r="V238" s="126" t="n">
        <f aca="false">M238/$R$3</f>
        <v>697.773488888889</v>
      </c>
      <c r="W238" s="126" t="n">
        <f aca="false">N238/$R$3</f>
        <v>697.773488888889</v>
      </c>
    </row>
    <row r="239" customFormat="false" ht="12.75" hidden="true" customHeight="false" outlineLevel="0" collapsed="false">
      <c r="A239" s="120" t="n">
        <f aca="false">A238+1</f>
        <v>37125</v>
      </c>
      <c r="B239" s="131" t="str">
        <f aca="false">INDEX('Master Data'!$A$2:$B$8,MATCH(WEEKDAY('BRA PWR Certificates'!A239,3),'Master Data'!$A$2:$A$8,0),2)</f>
        <v>W</v>
      </c>
      <c r="D239" s="124" t="n">
        <v>930</v>
      </c>
      <c r="E239" s="124" t="n">
        <v>930</v>
      </c>
      <c r="F239" s="124" t="n">
        <v>0</v>
      </c>
      <c r="G239" s="124" t="n">
        <v>42569.23</v>
      </c>
      <c r="I239" s="124" t="n">
        <f aca="false">IF(MONTH($A239)=MONTH($A238),IF(G239=0,I238,G239),G239)</f>
        <v>42569.23</v>
      </c>
      <c r="J239" s="124" t="n">
        <f aca="false">IF(MONTH($A239)=MONTH($A238),SUM(I239-I238),I239)</f>
        <v>0</v>
      </c>
      <c r="K239" s="124" t="n">
        <f aca="false">IF(WEEKDAY(A239,3)&gt;4,0,(IF(A239&lt;K$2,0,IF(A239&lt;=K$3,1,0))))</f>
        <v>0</v>
      </c>
      <c r="L239" s="124" t="n">
        <f aca="false">J239*K239</f>
        <v>0</v>
      </c>
      <c r="M239" s="124" t="n">
        <f aca="false">SUM(J$188:J239)</f>
        <v>697773.488888889</v>
      </c>
      <c r="N239" s="124" t="n">
        <f aca="false">SUM(J$6:J239)</f>
        <v>697773.488888889</v>
      </c>
      <c r="P239" s="124" t="n">
        <f aca="false">D239/P$3</f>
        <v>0.00093</v>
      </c>
      <c r="Q239" s="124" t="n">
        <f aca="false">E239/P$3</f>
        <v>0.00093</v>
      </c>
      <c r="R239" s="124" t="n">
        <f aca="false">F239/R$3</f>
        <v>0</v>
      </c>
      <c r="S239" s="126" t="n">
        <f aca="false">J239/$R$3</f>
        <v>0</v>
      </c>
      <c r="T239" s="126" t="n">
        <f aca="false">L239/$R$3</f>
        <v>0</v>
      </c>
      <c r="U239" s="126" t="n">
        <f aca="false">I239/$R$3</f>
        <v>42.56923</v>
      </c>
      <c r="V239" s="126" t="n">
        <f aca="false">M239/$R$3</f>
        <v>697.773488888889</v>
      </c>
      <c r="W239" s="126" t="n">
        <f aca="false">N239/$R$3</f>
        <v>697.773488888889</v>
      </c>
    </row>
    <row r="240" customFormat="false" ht="12.75" hidden="true" customHeight="false" outlineLevel="0" collapsed="false">
      <c r="A240" s="120" t="n">
        <f aca="false">A239+1</f>
        <v>37126</v>
      </c>
      <c r="B240" s="131" t="str">
        <f aca="false">INDEX('Master Data'!$A$2:$B$8,MATCH(WEEKDAY('BRA PWR Certificates'!A240,3),'Master Data'!$A$2:$A$8,0),2)</f>
        <v>Th</v>
      </c>
      <c r="D240" s="124" t="n">
        <v>930</v>
      </c>
      <c r="E240" s="124" t="n">
        <v>930</v>
      </c>
      <c r="F240" s="124" t="n">
        <v>0</v>
      </c>
      <c r="G240" s="124" t="n">
        <v>42569.23</v>
      </c>
      <c r="I240" s="124" t="n">
        <f aca="false">IF(MONTH($A240)=MONTH($A239),IF(G240=0,I239,G240),G240)</f>
        <v>42569.23</v>
      </c>
      <c r="J240" s="124" t="n">
        <f aca="false">IF(MONTH($A240)=MONTH($A239),SUM(I240-I239),I240)</f>
        <v>0</v>
      </c>
      <c r="K240" s="124" t="n">
        <f aca="false">IF(WEEKDAY(A240,3)&gt;4,0,(IF(A240&lt;K$2,0,IF(A240&lt;=K$3,1,0))))</f>
        <v>0</v>
      </c>
      <c r="L240" s="124" t="n">
        <f aca="false">J240*K240</f>
        <v>0</v>
      </c>
      <c r="M240" s="124" t="n">
        <f aca="false">SUM(J$188:J240)</f>
        <v>697773.488888889</v>
      </c>
      <c r="N240" s="124" t="n">
        <f aca="false">SUM(J$6:J240)</f>
        <v>697773.488888889</v>
      </c>
      <c r="P240" s="124" t="n">
        <f aca="false">D240/P$3</f>
        <v>0.00093</v>
      </c>
      <c r="Q240" s="124" t="n">
        <f aca="false">E240/P$3</f>
        <v>0.00093</v>
      </c>
      <c r="R240" s="124" t="n">
        <f aca="false">F240/R$3</f>
        <v>0</v>
      </c>
      <c r="S240" s="126" t="n">
        <f aca="false">J240/$R$3</f>
        <v>0</v>
      </c>
      <c r="T240" s="126" t="n">
        <f aca="false">L240/$R$3</f>
        <v>0</v>
      </c>
      <c r="U240" s="126" t="n">
        <f aca="false">I240/$R$3</f>
        <v>42.56923</v>
      </c>
      <c r="V240" s="126" t="n">
        <f aca="false">M240/$R$3</f>
        <v>697.773488888889</v>
      </c>
      <c r="W240" s="126" t="n">
        <f aca="false">N240/$R$3</f>
        <v>697.773488888889</v>
      </c>
    </row>
    <row r="241" customFormat="false" ht="12.75" hidden="true" customHeight="false" outlineLevel="0" collapsed="false">
      <c r="A241" s="120" t="n">
        <f aca="false">A240+1</f>
        <v>37127</v>
      </c>
      <c r="B241" s="131" t="str">
        <f aca="false">INDEX('Master Data'!$A$2:$B$8,MATCH(WEEKDAY('BRA PWR Certificates'!A241,3),'Master Data'!$A$2:$A$8,0),2)</f>
        <v>F</v>
      </c>
      <c r="D241" s="124" t="n">
        <v>930</v>
      </c>
      <c r="E241" s="124" t="n">
        <v>930</v>
      </c>
      <c r="F241" s="124" t="n">
        <v>0</v>
      </c>
      <c r="G241" s="124" t="n">
        <v>42569.23</v>
      </c>
      <c r="I241" s="124" t="n">
        <f aca="false">IF(MONTH($A241)=MONTH($A240),IF(G241=0,I240,G241),G241)</f>
        <v>42569.23</v>
      </c>
      <c r="J241" s="124" t="n">
        <f aca="false">IF(MONTH($A241)=MONTH($A240),SUM(I241-I240),I241)</f>
        <v>0</v>
      </c>
      <c r="K241" s="124" t="n">
        <f aca="false">IF(WEEKDAY(A241,3)&gt;4,0,(IF(A241&lt;K$2,0,IF(A241&lt;=K$3,1,0))))</f>
        <v>0</v>
      </c>
      <c r="L241" s="124" t="n">
        <f aca="false">J241*K241</f>
        <v>0</v>
      </c>
      <c r="M241" s="124" t="n">
        <f aca="false">SUM(J$188:J241)</f>
        <v>697773.488888889</v>
      </c>
      <c r="N241" s="124" t="n">
        <f aca="false">SUM(J$6:J241)</f>
        <v>697773.488888889</v>
      </c>
      <c r="P241" s="124" t="n">
        <f aca="false">D241/P$3</f>
        <v>0.00093</v>
      </c>
      <c r="Q241" s="124" t="n">
        <f aca="false">E241/P$3</f>
        <v>0.00093</v>
      </c>
      <c r="R241" s="124" t="n">
        <f aca="false">F241/R$3</f>
        <v>0</v>
      </c>
      <c r="S241" s="126" t="n">
        <f aca="false">J241/$R$3</f>
        <v>0</v>
      </c>
      <c r="T241" s="126" t="n">
        <f aca="false">L241/$R$3</f>
        <v>0</v>
      </c>
      <c r="U241" s="126" t="n">
        <f aca="false">I241/$R$3</f>
        <v>42.56923</v>
      </c>
      <c r="V241" s="126" t="n">
        <f aca="false">M241/$R$3</f>
        <v>697.773488888889</v>
      </c>
      <c r="W241" s="126" t="n">
        <f aca="false">N241/$R$3</f>
        <v>697.773488888889</v>
      </c>
    </row>
    <row r="242" customFormat="false" ht="12.75" hidden="true" customHeight="false" outlineLevel="0" collapsed="false">
      <c r="A242" s="120" t="n">
        <f aca="false">A241+1</f>
        <v>37128</v>
      </c>
      <c r="B242" s="131" t="str">
        <f aca="false">INDEX('Master Data'!$A$2:$B$8,MATCH(WEEKDAY('BRA PWR Certificates'!A242,3),'Master Data'!$A$2:$A$8,0),2)</f>
        <v>Sa</v>
      </c>
      <c r="D242" s="124" t="n">
        <v>0</v>
      </c>
      <c r="E242" s="124" t="n">
        <v>0</v>
      </c>
      <c r="F242" s="124" t="n">
        <v>0</v>
      </c>
      <c r="G242" s="124" t="n">
        <v>0</v>
      </c>
      <c r="I242" s="124" t="n">
        <f aca="false">IF(MONTH($A242)=MONTH($A241),IF(G242=0,I241,G242),G242)</f>
        <v>42569.23</v>
      </c>
      <c r="J242" s="124" t="n">
        <f aca="false">IF(MONTH($A242)=MONTH($A241),SUM(I242-I241),I242)</f>
        <v>0</v>
      </c>
      <c r="K242" s="124" t="n">
        <f aca="false">IF(WEEKDAY(A242,3)&gt;4,0,(IF(A242&lt;K$2,0,IF(A242&lt;=K$3,1,0))))</f>
        <v>0</v>
      </c>
      <c r="L242" s="124" t="n">
        <f aca="false">J242*K242</f>
        <v>0</v>
      </c>
      <c r="M242" s="124" t="n">
        <f aca="false">SUM(J$188:J242)</f>
        <v>697773.488888889</v>
      </c>
      <c r="N242" s="124" t="n">
        <f aca="false">SUM(J$6:J242)</f>
        <v>697773.488888889</v>
      </c>
      <c r="P242" s="124" t="n">
        <f aca="false">D242/P$3</f>
        <v>0</v>
      </c>
      <c r="Q242" s="124" t="n">
        <f aca="false">E242/P$3</f>
        <v>0</v>
      </c>
      <c r="R242" s="124" t="n">
        <f aca="false">F242/R$3</f>
        <v>0</v>
      </c>
      <c r="S242" s="126" t="n">
        <f aca="false">J242/$R$3</f>
        <v>0</v>
      </c>
      <c r="T242" s="126" t="n">
        <f aca="false">L242/$R$3</f>
        <v>0</v>
      </c>
      <c r="U242" s="126" t="n">
        <f aca="false">I242/$R$3</f>
        <v>42.56923</v>
      </c>
      <c r="V242" s="126" t="n">
        <f aca="false">M242/$R$3</f>
        <v>697.773488888889</v>
      </c>
      <c r="W242" s="126" t="n">
        <f aca="false">N242/$R$3</f>
        <v>697.773488888889</v>
      </c>
    </row>
    <row r="243" customFormat="false" ht="12.75" hidden="true" customHeight="false" outlineLevel="0" collapsed="false">
      <c r="A243" s="120" t="n">
        <f aca="false">A242+1</f>
        <v>37129</v>
      </c>
      <c r="B243" s="131" t="str">
        <f aca="false">INDEX('Master Data'!$A$2:$B$8,MATCH(WEEKDAY('BRA PWR Certificates'!A243,3),'Master Data'!$A$2:$A$8,0),2)</f>
        <v>Su</v>
      </c>
      <c r="D243" s="124" t="n">
        <v>0</v>
      </c>
      <c r="E243" s="124" t="n">
        <v>0</v>
      </c>
      <c r="F243" s="124" t="n">
        <v>0</v>
      </c>
      <c r="G243" s="124" t="n">
        <v>0</v>
      </c>
      <c r="I243" s="124" t="n">
        <f aca="false">IF(MONTH($A243)=MONTH($A242),IF(G243=0,I242,G243),G243)</f>
        <v>42569.23</v>
      </c>
      <c r="J243" s="124" t="n">
        <f aca="false">IF(MONTH($A243)=MONTH($A242),SUM(I243-I242),I243)</f>
        <v>0</v>
      </c>
      <c r="K243" s="124" t="n">
        <f aca="false">IF(WEEKDAY(A243,3)&gt;4,0,(IF(A243&lt;K$2,0,IF(A243&lt;=K$3,1,0))))</f>
        <v>0</v>
      </c>
      <c r="L243" s="124" t="n">
        <f aca="false">J243*K243</f>
        <v>0</v>
      </c>
      <c r="M243" s="124" t="n">
        <f aca="false">SUM(J$188:J243)</f>
        <v>697773.488888889</v>
      </c>
      <c r="N243" s="124" t="n">
        <f aca="false">SUM(J$6:J243)</f>
        <v>697773.488888889</v>
      </c>
      <c r="P243" s="124" t="n">
        <f aca="false">D243/P$3</f>
        <v>0</v>
      </c>
      <c r="Q243" s="124" t="n">
        <f aca="false">E243/P$3</f>
        <v>0</v>
      </c>
      <c r="R243" s="124" t="n">
        <f aca="false">F243/R$3</f>
        <v>0</v>
      </c>
      <c r="S243" s="126" t="n">
        <f aca="false">J243/$R$3</f>
        <v>0</v>
      </c>
      <c r="T243" s="126" t="n">
        <f aca="false">L243/$R$3</f>
        <v>0</v>
      </c>
      <c r="U243" s="126" t="n">
        <f aca="false">I243/$R$3</f>
        <v>42.56923</v>
      </c>
      <c r="V243" s="126" t="n">
        <f aca="false">M243/$R$3</f>
        <v>697.773488888889</v>
      </c>
      <c r="W243" s="126" t="n">
        <f aca="false">N243/$R$3</f>
        <v>697.773488888889</v>
      </c>
    </row>
    <row r="244" customFormat="false" ht="12.75" hidden="true" customHeight="false" outlineLevel="0" collapsed="false">
      <c r="A244" s="120" t="n">
        <f aca="false">A243+1</f>
        <v>37130</v>
      </c>
      <c r="B244" s="131" t="str">
        <f aca="false">INDEX('Master Data'!$A$2:$B$8,MATCH(WEEKDAY('BRA PWR Certificates'!A244,3),'Master Data'!$A$2:$A$8,0),2)</f>
        <v>M</v>
      </c>
      <c r="D244" s="124" t="n">
        <v>930</v>
      </c>
      <c r="E244" s="124" t="n">
        <v>930</v>
      </c>
      <c r="F244" s="124" t="n">
        <v>0</v>
      </c>
      <c r="G244" s="124" t="n">
        <v>42569.23</v>
      </c>
      <c r="I244" s="124" t="n">
        <f aca="false">IF(MONTH($A244)=MONTH($A243),IF(G244=0,I243,G244),G244)</f>
        <v>42569.23</v>
      </c>
      <c r="J244" s="124" t="n">
        <f aca="false">IF(MONTH($A244)=MONTH($A243),SUM(I244-I243),I244)</f>
        <v>0</v>
      </c>
      <c r="K244" s="124" t="n">
        <f aca="false">IF(WEEKDAY(A244,3)&gt;4,0,(IF(A244&lt;K$2,0,IF(A244&lt;=K$3,1,0))))</f>
        <v>0</v>
      </c>
      <c r="L244" s="124" t="n">
        <f aca="false">J244*K244</f>
        <v>0</v>
      </c>
      <c r="M244" s="124" t="n">
        <f aca="false">SUM(J$188:J244)</f>
        <v>697773.488888889</v>
      </c>
      <c r="N244" s="124" t="n">
        <f aca="false">SUM(J$6:J244)</f>
        <v>697773.488888889</v>
      </c>
      <c r="P244" s="124" t="n">
        <f aca="false">D244/P$3</f>
        <v>0.00093</v>
      </c>
      <c r="Q244" s="124" t="n">
        <f aca="false">E244/P$3</f>
        <v>0.00093</v>
      </c>
      <c r="R244" s="124" t="n">
        <f aca="false">F244/R$3</f>
        <v>0</v>
      </c>
      <c r="S244" s="126" t="n">
        <f aca="false">J244/$R$3</f>
        <v>0</v>
      </c>
      <c r="T244" s="126" t="n">
        <f aca="false">L244/$R$3</f>
        <v>0</v>
      </c>
      <c r="U244" s="126" t="n">
        <f aca="false">I244/$R$3</f>
        <v>42.56923</v>
      </c>
      <c r="V244" s="126" t="n">
        <f aca="false">M244/$R$3</f>
        <v>697.773488888889</v>
      </c>
      <c r="W244" s="126" t="n">
        <f aca="false">N244/$R$3</f>
        <v>697.773488888889</v>
      </c>
    </row>
    <row r="245" customFormat="false" ht="12.75" hidden="true" customHeight="false" outlineLevel="0" collapsed="false">
      <c r="A245" s="120" t="n">
        <f aca="false">A244+1</f>
        <v>37131</v>
      </c>
      <c r="B245" s="131" t="str">
        <f aca="false">INDEX('Master Data'!$A$2:$B$8,MATCH(WEEKDAY('BRA PWR Certificates'!A245,3),'Master Data'!$A$2:$A$8,0),2)</f>
        <v>T</v>
      </c>
      <c r="D245" s="124" t="n">
        <v>930</v>
      </c>
      <c r="E245" s="124" t="n">
        <v>930</v>
      </c>
      <c r="F245" s="124" t="n">
        <v>0</v>
      </c>
      <c r="G245" s="124" t="n">
        <v>42569.23</v>
      </c>
      <c r="I245" s="124" t="n">
        <f aca="false">IF(MONTH($A245)=MONTH($A244),IF(G245=0,I244,G245),G245)</f>
        <v>42569.23</v>
      </c>
      <c r="J245" s="124" t="n">
        <f aca="false">IF(MONTH($A245)=MONTH($A244),SUM(I245-I244),I245)</f>
        <v>0</v>
      </c>
      <c r="K245" s="124" t="n">
        <f aca="false">IF(WEEKDAY(A245,3)&gt;4,0,(IF(A245&lt;K$2,0,IF(A245&lt;=K$3,1,0))))</f>
        <v>0</v>
      </c>
      <c r="L245" s="124" t="n">
        <f aca="false">J245*K245</f>
        <v>0</v>
      </c>
      <c r="M245" s="124" t="n">
        <f aca="false">SUM(J$188:J245)</f>
        <v>697773.488888889</v>
      </c>
      <c r="N245" s="124" t="n">
        <f aca="false">SUM(J$6:J245)</f>
        <v>697773.488888889</v>
      </c>
      <c r="P245" s="124" t="n">
        <f aca="false">D245/P$3</f>
        <v>0.00093</v>
      </c>
      <c r="Q245" s="124" t="n">
        <f aca="false">E245/P$3</f>
        <v>0.00093</v>
      </c>
      <c r="R245" s="124" t="n">
        <f aca="false">F245/R$3</f>
        <v>0</v>
      </c>
      <c r="S245" s="126" t="n">
        <f aca="false">J245/$R$3</f>
        <v>0</v>
      </c>
      <c r="T245" s="126" t="n">
        <f aca="false">L245/$R$3</f>
        <v>0</v>
      </c>
      <c r="U245" s="126" t="n">
        <f aca="false">I245/$R$3</f>
        <v>42.56923</v>
      </c>
      <c r="V245" s="126" t="n">
        <f aca="false">M245/$R$3</f>
        <v>697.773488888889</v>
      </c>
      <c r="W245" s="126" t="n">
        <f aca="false">N245/$R$3</f>
        <v>697.773488888889</v>
      </c>
    </row>
    <row r="246" customFormat="false" ht="12.75" hidden="true" customHeight="false" outlineLevel="0" collapsed="false">
      <c r="A246" s="120" t="n">
        <f aca="false">A245+1</f>
        <v>37132</v>
      </c>
      <c r="B246" s="131" t="str">
        <f aca="false">INDEX('Master Data'!$A$2:$B$8,MATCH(WEEKDAY('BRA PWR Certificates'!A246,3),'Master Data'!$A$2:$A$8,0),2)</f>
        <v>W</v>
      </c>
      <c r="D246" s="124" t="n">
        <v>930</v>
      </c>
      <c r="E246" s="124" t="n">
        <v>930</v>
      </c>
      <c r="F246" s="124" t="n">
        <v>0</v>
      </c>
      <c r="G246" s="124" t="n">
        <v>42569.23</v>
      </c>
      <c r="I246" s="124" t="n">
        <f aca="false">IF(MONTH($A246)=MONTH($A245),IF(G246=0,I245,G246),G246)</f>
        <v>42569.23</v>
      </c>
      <c r="J246" s="124" t="n">
        <f aca="false">IF(MONTH($A246)=MONTH($A245),SUM(I246-I245),I246)</f>
        <v>0</v>
      </c>
      <c r="K246" s="124" t="n">
        <f aca="false">IF(WEEKDAY(A246,3)&gt;4,0,(IF(A246&lt;K$2,0,IF(A246&lt;=K$3,1,0))))</f>
        <v>0</v>
      </c>
      <c r="L246" s="124" t="n">
        <f aca="false">J246*K246</f>
        <v>0</v>
      </c>
      <c r="M246" s="124" t="n">
        <f aca="false">SUM(J$188:J246)</f>
        <v>697773.488888889</v>
      </c>
      <c r="N246" s="124" t="n">
        <f aca="false">SUM(J$6:J246)</f>
        <v>697773.488888889</v>
      </c>
      <c r="P246" s="124" t="n">
        <f aca="false">D246/P$3</f>
        <v>0.00093</v>
      </c>
      <c r="Q246" s="124" t="n">
        <f aca="false">E246/P$3</f>
        <v>0.00093</v>
      </c>
      <c r="R246" s="124" t="n">
        <f aca="false">F246/R$3</f>
        <v>0</v>
      </c>
      <c r="S246" s="126" t="n">
        <f aca="false">J246/$R$3</f>
        <v>0</v>
      </c>
      <c r="T246" s="126" t="n">
        <f aca="false">L246/$R$3</f>
        <v>0</v>
      </c>
      <c r="U246" s="126" t="n">
        <f aca="false">I246/$R$3</f>
        <v>42.56923</v>
      </c>
      <c r="V246" s="126" t="n">
        <f aca="false">M246/$R$3</f>
        <v>697.773488888889</v>
      </c>
      <c r="W246" s="126" t="n">
        <f aca="false">N246/$R$3</f>
        <v>697.773488888889</v>
      </c>
    </row>
    <row r="247" customFormat="false" ht="12.75" hidden="false" customHeight="false" outlineLevel="0" collapsed="false">
      <c r="A247" s="120" t="n">
        <f aca="false">A246+1</f>
        <v>37133</v>
      </c>
      <c r="B247" s="131" t="str">
        <f aca="false">INDEX('Master Data'!$A$2:$B$8,MATCH(WEEKDAY('BRA PWR Certificates'!A247,3),'Master Data'!$A$2:$A$8,0),2)</f>
        <v>Th</v>
      </c>
      <c r="D247" s="124" t="n">
        <v>930</v>
      </c>
      <c r="E247" s="124" t="n">
        <v>930</v>
      </c>
      <c r="F247" s="124" t="n">
        <v>0</v>
      </c>
      <c r="G247" s="124" t="n">
        <v>42569.23</v>
      </c>
      <c r="I247" s="124" t="n">
        <f aca="false">IF(MONTH($A247)=MONTH($A246),IF(G247=0,I246,G247),G247)</f>
        <v>42569.23</v>
      </c>
      <c r="J247" s="124" t="n">
        <f aca="false">IF(MONTH($A247)=MONTH($A246),SUM(I247-I246),I247)</f>
        <v>0</v>
      </c>
      <c r="K247" s="124" t="n">
        <f aca="false">IF(WEEKDAY(A247,3)&gt;4,0,(IF(A247&lt;K$2,0,IF(A247&lt;=K$3,1,0))))</f>
        <v>0</v>
      </c>
      <c r="L247" s="124" t="n">
        <f aca="false">J247*K247</f>
        <v>0</v>
      </c>
      <c r="M247" s="124" t="n">
        <f aca="false">SUM(J$188:J247)</f>
        <v>697773.488888889</v>
      </c>
      <c r="N247" s="124" t="n">
        <f aca="false">SUM(J$6:J247)</f>
        <v>697773.488888889</v>
      </c>
      <c r="P247" s="124" t="n">
        <f aca="false">D247/P$3</f>
        <v>0.00093</v>
      </c>
      <c r="Q247" s="124" t="n">
        <f aca="false">E247/P$3</f>
        <v>0.00093</v>
      </c>
      <c r="R247" s="124" t="n">
        <f aca="false">F247/R$3</f>
        <v>0</v>
      </c>
      <c r="S247" s="126" t="n">
        <f aca="false">J247/$R$3</f>
        <v>0</v>
      </c>
      <c r="T247" s="126" t="n">
        <f aca="false">L247/$R$3</f>
        <v>0</v>
      </c>
      <c r="U247" s="126" t="n">
        <f aca="false">I247/$R$3</f>
        <v>42.56923</v>
      </c>
      <c r="V247" s="126" t="n">
        <f aca="false">M247/$R$3</f>
        <v>697.773488888889</v>
      </c>
      <c r="W247" s="126" t="n">
        <f aca="false">N247/$R$3</f>
        <v>697.773488888889</v>
      </c>
    </row>
    <row r="248" customFormat="false" ht="12.75" hidden="false" customHeight="false" outlineLevel="0" collapsed="false">
      <c r="A248" s="120" t="n">
        <f aca="false">A247+1</f>
        <v>37134</v>
      </c>
      <c r="B248" s="131" t="str">
        <f aca="false">INDEX('Master Data'!$A$2:$B$8,MATCH(WEEKDAY('BRA PWR Certificates'!A248,3),'Master Data'!$A$2:$A$8,0),2)</f>
        <v>F</v>
      </c>
      <c r="D248" s="124" t="n">
        <v>930</v>
      </c>
      <c r="E248" s="124" t="n">
        <v>930</v>
      </c>
      <c r="F248" s="124" t="n">
        <v>0</v>
      </c>
      <c r="G248" s="124" t="n">
        <v>42569.23</v>
      </c>
      <c r="I248" s="124" t="n">
        <f aca="false">IF(MONTH($A248)=MONTH($A247),IF(G248=0,I247,G248),G248)</f>
        <v>42569.23</v>
      </c>
      <c r="J248" s="124" t="n">
        <f aca="false">IF(MONTH($A248)=MONTH($A247),SUM(I248-I247),I248)</f>
        <v>0</v>
      </c>
      <c r="K248" s="124" t="n">
        <f aca="false">IF(WEEKDAY(A248,3)&gt;4,0,(IF(A248&lt;K$2,0,IF(A248&lt;=K$3,1,0))))</f>
        <v>0</v>
      </c>
      <c r="L248" s="124" t="n">
        <f aca="false">J248*K248</f>
        <v>0</v>
      </c>
      <c r="M248" s="124" t="n">
        <f aca="false">SUM(J$188:J248)</f>
        <v>697773.488888889</v>
      </c>
      <c r="N248" s="124" t="n">
        <f aca="false">SUM(J$6:J248)</f>
        <v>697773.488888889</v>
      </c>
      <c r="P248" s="124" t="n">
        <f aca="false">D248/P$3</f>
        <v>0.00093</v>
      </c>
      <c r="Q248" s="124" t="n">
        <f aca="false">E248/P$3</f>
        <v>0.00093</v>
      </c>
      <c r="R248" s="124" t="n">
        <f aca="false">F248/R$3</f>
        <v>0</v>
      </c>
      <c r="S248" s="126" t="n">
        <f aca="false">J248/$R$3</f>
        <v>0</v>
      </c>
      <c r="T248" s="126" t="n">
        <f aca="false">L248/$R$3</f>
        <v>0</v>
      </c>
      <c r="U248" s="126" t="n">
        <f aca="false">I248/$R$3</f>
        <v>42.56923</v>
      </c>
      <c r="V248" s="126" t="n">
        <f aca="false">M248/$R$3</f>
        <v>697.773488888889</v>
      </c>
      <c r="W248" s="126" t="n">
        <f aca="false">N248/$R$3</f>
        <v>697.773488888889</v>
      </c>
    </row>
    <row r="249" customFormat="false" ht="12.75" hidden="true" customHeight="false" outlineLevel="0" collapsed="false">
      <c r="A249" s="120" t="n">
        <f aca="false">A248+1</f>
        <v>37135</v>
      </c>
      <c r="B249" s="131" t="str">
        <f aca="false">INDEX('Master Data'!$A$2:$B$8,MATCH(WEEKDAY('BRA PWR Certificates'!A249,3),'Master Data'!$A$2:$A$8,0),2)</f>
        <v>Sa</v>
      </c>
      <c r="D249" s="124" t="n">
        <v>0</v>
      </c>
      <c r="E249" s="124" t="n">
        <v>0</v>
      </c>
      <c r="F249" s="124" t="n">
        <v>0</v>
      </c>
      <c r="G249" s="124" t="n">
        <v>0</v>
      </c>
      <c r="I249" s="124" t="n">
        <f aca="false">IF(MONTH($A249)=MONTH($A248),IF(G249=0,I248,G249),G249)</f>
        <v>0</v>
      </c>
      <c r="J249" s="124" t="n">
        <f aca="false">IF(MONTH($A249)=MONTH($A248),SUM(I249-I248),I249)</f>
        <v>0</v>
      </c>
      <c r="K249" s="124" t="n">
        <f aca="false">IF(WEEKDAY(A249,3)&gt;4,0,(IF(A249&lt;K$2,0,IF(A249&lt;=K$3,1,0))))</f>
        <v>0</v>
      </c>
      <c r="L249" s="124" t="n">
        <f aca="false">J249*K249</f>
        <v>0</v>
      </c>
      <c r="M249" s="124" t="n">
        <f aca="false">SUM(J$188:J249)</f>
        <v>697773.488888889</v>
      </c>
      <c r="N249" s="124" t="n">
        <f aca="false">SUM(J$6:J249)</f>
        <v>697773.488888889</v>
      </c>
      <c r="P249" s="124" t="n">
        <f aca="false">D249/P$3</f>
        <v>0</v>
      </c>
      <c r="Q249" s="124" t="n">
        <f aca="false">E249/P$3</f>
        <v>0</v>
      </c>
      <c r="R249" s="124" t="n">
        <f aca="false">F249/R$3</f>
        <v>0</v>
      </c>
      <c r="S249" s="126" t="n">
        <f aca="false">J249/$R$3</f>
        <v>0</v>
      </c>
      <c r="T249" s="126" t="n">
        <f aca="false">L249/$R$3</f>
        <v>0</v>
      </c>
      <c r="U249" s="126" t="n">
        <f aca="false">I249/$R$3</f>
        <v>0</v>
      </c>
      <c r="V249" s="126" t="n">
        <f aca="false">M249/$R$3</f>
        <v>697.773488888889</v>
      </c>
      <c r="W249" s="126" t="n">
        <f aca="false">N249/$R$3</f>
        <v>697.773488888889</v>
      </c>
    </row>
    <row r="250" customFormat="false" ht="12.75" hidden="true" customHeight="false" outlineLevel="0" collapsed="false">
      <c r="A250" s="120" t="n">
        <f aca="false">A249+1</f>
        <v>37136</v>
      </c>
      <c r="B250" s="131" t="str">
        <f aca="false">INDEX('Master Data'!$A$2:$B$8,MATCH(WEEKDAY('BRA PWR Certificates'!A250,3),'Master Data'!$A$2:$A$8,0),2)</f>
        <v>Su</v>
      </c>
      <c r="D250" s="124" t="n">
        <v>0</v>
      </c>
      <c r="E250" s="124" t="n">
        <v>0</v>
      </c>
      <c r="F250" s="124" t="n">
        <v>0</v>
      </c>
      <c r="G250" s="124" t="n">
        <v>0</v>
      </c>
      <c r="I250" s="124" t="n">
        <f aca="false">IF(MONTH($A250)=MONTH($A249),IF(G250=0,I249,G250),G250)</f>
        <v>0</v>
      </c>
      <c r="J250" s="124" t="n">
        <f aca="false">IF(MONTH($A250)=MONTH($A249),SUM(I250-I249),I250)</f>
        <v>0</v>
      </c>
      <c r="K250" s="124" t="n">
        <f aca="false">IF(WEEKDAY(A250,3)&gt;4,0,(IF(A250&lt;K$2,0,IF(A250&lt;=K$3,1,0))))</f>
        <v>0</v>
      </c>
      <c r="L250" s="124" t="n">
        <f aca="false">J250*K250</f>
        <v>0</v>
      </c>
      <c r="M250" s="124" t="n">
        <f aca="false">SUM(J$188:J250)</f>
        <v>697773.488888889</v>
      </c>
      <c r="N250" s="124" t="n">
        <f aca="false">SUM(J$6:J250)</f>
        <v>697773.488888889</v>
      </c>
      <c r="P250" s="124" t="n">
        <f aca="false">D250/P$3</f>
        <v>0</v>
      </c>
      <c r="Q250" s="124" t="n">
        <f aca="false">E250/P$3</f>
        <v>0</v>
      </c>
      <c r="R250" s="124" t="n">
        <f aca="false">F250/R$3</f>
        <v>0</v>
      </c>
      <c r="S250" s="126" t="n">
        <f aca="false">J250/$R$3</f>
        <v>0</v>
      </c>
      <c r="T250" s="126" t="n">
        <f aca="false">L250/$R$3</f>
        <v>0</v>
      </c>
      <c r="U250" s="126" t="n">
        <f aca="false">I250/$R$3</f>
        <v>0</v>
      </c>
      <c r="V250" s="126" t="n">
        <f aca="false">M250/$R$3</f>
        <v>697.773488888889</v>
      </c>
      <c r="W250" s="126" t="n">
        <f aca="false">N250/$R$3</f>
        <v>697.773488888889</v>
      </c>
    </row>
    <row r="251" customFormat="false" ht="12.75" hidden="true" customHeight="false" outlineLevel="0" collapsed="false">
      <c r="A251" s="120" t="n">
        <f aca="false">A250+1</f>
        <v>37137</v>
      </c>
      <c r="B251" s="131" t="str">
        <f aca="false">INDEX('Master Data'!$A$2:$B$8,MATCH(WEEKDAY('BRA PWR Certificates'!A251,3),'Master Data'!$A$2:$A$8,0),2)</f>
        <v>M</v>
      </c>
      <c r="D251" s="124" t="n">
        <v>0</v>
      </c>
      <c r="E251" s="124" t="n">
        <v>0</v>
      </c>
      <c r="F251" s="124" t="n">
        <v>0</v>
      </c>
      <c r="G251" s="124" t="n">
        <v>0</v>
      </c>
      <c r="I251" s="124" t="n">
        <f aca="false">IF(MONTH($A251)=MONTH($A250),IF(G251=0,I250,G251),G251)</f>
        <v>0</v>
      </c>
      <c r="J251" s="124" t="n">
        <f aca="false">IF(MONTH($A251)=MONTH($A250),SUM(I251-I250),I251)</f>
        <v>0</v>
      </c>
      <c r="K251" s="124" t="n">
        <f aca="false">IF(WEEKDAY(A251,3)&gt;4,0,(IF(A251&lt;K$2,0,IF(A251&lt;=K$3,1,0))))</f>
        <v>0</v>
      </c>
      <c r="L251" s="124" t="n">
        <f aca="false">J251*K251</f>
        <v>0</v>
      </c>
      <c r="M251" s="124" t="n">
        <f aca="false">SUM(J$188:J251)</f>
        <v>697773.488888889</v>
      </c>
      <c r="N251" s="124" t="n">
        <f aca="false">SUM(J$6:J251)</f>
        <v>697773.488888889</v>
      </c>
      <c r="P251" s="124" t="n">
        <f aca="false">D251/P$3</f>
        <v>0</v>
      </c>
      <c r="Q251" s="124" t="n">
        <f aca="false">E251/P$3</f>
        <v>0</v>
      </c>
      <c r="R251" s="124" t="n">
        <f aca="false">F251/R$3</f>
        <v>0</v>
      </c>
      <c r="S251" s="126" t="n">
        <f aca="false">J251/$R$3</f>
        <v>0</v>
      </c>
      <c r="T251" s="126" t="n">
        <f aca="false">L251/$R$3</f>
        <v>0</v>
      </c>
      <c r="U251" s="126" t="n">
        <f aca="false">I251/$R$3</f>
        <v>0</v>
      </c>
      <c r="V251" s="126" t="n">
        <f aca="false">M251/$R$3</f>
        <v>697.773488888889</v>
      </c>
      <c r="W251" s="126" t="n">
        <f aca="false">N251/$R$3</f>
        <v>697.773488888889</v>
      </c>
    </row>
    <row r="252" customFormat="false" ht="12.75" hidden="true" customHeight="false" outlineLevel="0" collapsed="false">
      <c r="A252" s="120" t="n">
        <f aca="false">A251+1</f>
        <v>37138</v>
      </c>
      <c r="B252" s="131" t="str">
        <f aca="false">INDEX('Master Data'!$A$2:$B$8,MATCH(WEEKDAY('BRA PWR Certificates'!A252,3),'Master Data'!$A$2:$A$8,0),2)</f>
        <v>T</v>
      </c>
      <c r="D252" s="124" t="n">
        <v>930</v>
      </c>
      <c r="E252" s="124" t="n">
        <v>930</v>
      </c>
      <c r="F252" s="124" t="n">
        <v>0</v>
      </c>
      <c r="G252" s="124" t="n">
        <v>0</v>
      </c>
      <c r="I252" s="124" t="n">
        <f aca="false">IF(MONTH($A252)=MONTH($A251),IF(G252=0,I251,G252),G252)</f>
        <v>0</v>
      </c>
      <c r="J252" s="124" t="n">
        <f aca="false">IF(MONTH($A252)=MONTH($A251),SUM(I252-I251),I252)</f>
        <v>0</v>
      </c>
      <c r="K252" s="124" t="n">
        <f aca="false">IF(WEEKDAY(A252,3)&gt;4,0,(IF(A252&lt;K$2,0,IF(A252&lt;=K$3,1,0))))</f>
        <v>0</v>
      </c>
      <c r="L252" s="124" t="n">
        <f aca="false">J252*K252</f>
        <v>0</v>
      </c>
      <c r="M252" s="124" t="n">
        <f aca="false">SUM(J$188:J252)</f>
        <v>697773.488888889</v>
      </c>
      <c r="N252" s="124" t="n">
        <f aca="false">SUM(J$6:J252)</f>
        <v>697773.488888889</v>
      </c>
      <c r="P252" s="124" t="n">
        <f aca="false">D252/P$3</f>
        <v>0.00093</v>
      </c>
      <c r="Q252" s="124" t="n">
        <f aca="false">E252/P$3</f>
        <v>0.00093</v>
      </c>
      <c r="R252" s="124" t="n">
        <f aca="false">F252/R$3</f>
        <v>0</v>
      </c>
      <c r="S252" s="126" t="n">
        <f aca="false">J252/$R$3</f>
        <v>0</v>
      </c>
      <c r="T252" s="126" t="n">
        <f aca="false">L252/$R$3</f>
        <v>0</v>
      </c>
      <c r="U252" s="126" t="n">
        <f aca="false">I252/$R$3</f>
        <v>0</v>
      </c>
      <c r="V252" s="126" t="n">
        <f aca="false">M252/$R$3</f>
        <v>697.773488888889</v>
      </c>
      <c r="W252" s="126" t="n">
        <f aca="false">N252/$R$3</f>
        <v>697.773488888889</v>
      </c>
    </row>
    <row r="253" customFormat="false" ht="12.75" hidden="true" customHeight="false" outlineLevel="0" collapsed="false">
      <c r="A253" s="120" t="n">
        <f aca="false">A252+1</f>
        <v>37139</v>
      </c>
      <c r="B253" s="131" t="str">
        <f aca="false">INDEX('Master Data'!$A$2:$B$8,MATCH(WEEKDAY('BRA PWR Certificates'!A253,3),'Master Data'!$A$2:$A$8,0),2)</f>
        <v>W</v>
      </c>
      <c r="D253" s="124" t="n">
        <v>71626</v>
      </c>
      <c r="E253" s="124" t="n">
        <v>71626</v>
      </c>
      <c r="F253" s="124" t="n">
        <v>0</v>
      </c>
      <c r="G253" s="124" t="n">
        <v>-11609.78</v>
      </c>
      <c r="I253" s="124" t="n">
        <f aca="false">IF(MONTH($A253)=MONTH($A252),IF(G253=0,I252,G253),G253)</f>
        <v>-11609.78</v>
      </c>
      <c r="J253" s="124" t="n">
        <f aca="false">IF(MONTH($A253)=MONTH($A252),SUM(I253-I252),I253)</f>
        <v>-11609.78</v>
      </c>
      <c r="K253" s="124" t="n">
        <f aca="false">IF(WEEKDAY(A253,3)&gt;4,0,(IF(A253&lt;K$2,0,IF(A253&lt;=K$3,1,0))))</f>
        <v>0</v>
      </c>
      <c r="L253" s="124" t="n">
        <f aca="false">J253*K253</f>
        <v>-0</v>
      </c>
      <c r="M253" s="124" t="n">
        <f aca="false">SUM(J$188:J253)</f>
        <v>686163.708888889</v>
      </c>
      <c r="N253" s="124" t="n">
        <f aca="false">SUM(J$6:J253)</f>
        <v>686163.708888889</v>
      </c>
      <c r="P253" s="124" t="n">
        <f aca="false">D253/P$3</f>
        <v>0.071626</v>
      </c>
      <c r="Q253" s="124" t="n">
        <f aca="false">E253/P$3</f>
        <v>0.071626</v>
      </c>
      <c r="R253" s="124" t="n">
        <f aca="false">F253/R$3</f>
        <v>0</v>
      </c>
      <c r="S253" s="126" t="n">
        <f aca="false">J253/$R$3</f>
        <v>-11.60978</v>
      </c>
      <c r="T253" s="126" t="n">
        <f aca="false">L253/$R$3</f>
        <v>-0</v>
      </c>
      <c r="U253" s="126" t="n">
        <f aca="false">I253/$R$3</f>
        <v>-11.60978</v>
      </c>
      <c r="V253" s="126" t="n">
        <f aca="false">M253/$R$3</f>
        <v>686.163708888889</v>
      </c>
      <c r="W253" s="126" t="n">
        <f aca="false">N253/$R$3</f>
        <v>686.163708888889</v>
      </c>
    </row>
    <row r="254" customFormat="false" ht="12.75" hidden="true" customHeight="false" outlineLevel="0" collapsed="false">
      <c r="A254" s="120" t="n">
        <f aca="false">A253+1</f>
        <v>37140</v>
      </c>
      <c r="B254" s="131" t="str">
        <f aca="false">INDEX('Master Data'!$A$2:$B$8,MATCH(WEEKDAY('BRA PWR Certificates'!A254,3),'Master Data'!$A$2:$A$8,0),2)</f>
        <v>Th</v>
      </c>
      <c r="D254" s="124" t="n">
        <v>71626</v>
      </c>
      <c r="E254" s="124" t="n">
        <v>71626</v>
      </c>
      <c r="F254" s="124" t="n">
        <v>0</v>
      </c>
      <c r="G254" s="124" t="n">
        <v>-11614.19</v>
      </c>
      <c r="I254" s="124" t="n">
        <f aca="false">IF(MONTH($A254)=MONTH($A253),IF(G254=0,I253,G254),G254)</f>
        <v>-11614.19</v>
      </c>
      <c r="J254" s="124" t="n">
        <f aca="false">IF(MONTH($A254)=MONTH($A253),SUM(I254-I253),I254)</f>
        <v>-4.40999999999985</v>
      </c>
      <c r="K254" s="124" t="n">
        <f aca="false">IF(WEEKDAY(A254,3)&gt;4,0,(IF(A254&lt;K$2,0,IF(A254&lt;=K$3,1,0))))</f>
        <v>0</v>
      </c>
      <c r="L254" s="124" t="n">
        <f aca="false">J254*K254</f>
        <v>-0</v>
      </c>
      <c r="M254" s="124" t="n">
        <f aca="false">SUM(J$188:J254)</f>
        <v>686159.298888889</v>
      </c>
      <c r="N254" s="124" t="n">
        <f aca="false">SUM(J$6:J254)</f>
        <v>686159.298888889</v>
      </c>
      <c r="P254" s="124" t="n">
        <f aca="false">D254/P$3</f>
        <v>0.071626</v>
      </c>
      <c r="Q254" s="124" t="n">
        <f aca="false">E254/P$3</f>
        <v>0.071626</v>
      </c>
      <c r="R254" s="124" t="n">
        <f aca="false">F254/R$3</f>
        <v>0</v>
      </c>
      <c r="S254" s="126" t="n">
        <f aca="false">J254/$R$3</f>
        <v>-0.00440999999999985</v>
      </c>
      <c r="T254" s="126" t="n">
        <f aca="false">L254/$R$3</f>
        <v>-0</v>
      </c>
      <c r="U254" s="126" t="n">
        <f aca="false">I254/$R$3</f>
        <v>-11.61419</v>
      </c>
      <c r="V254" s="126" t="n">
        <f aca="false">M254/$R$3</f>
        <v>686.159298888889</v>
      </c>
      <c r="W254" s="126" t="n">
        <f aca="false">N254/$R$3</f>
        <v>686.159298888889</v>
      </c>
    </row>
    <row r="255" customFormat="false" ht="12.75" hidden="true" customHeight="false" outlineLevel="0" collapsed="false">
      <c r="A255" s="120" t="n">
        <f aca="false">A254+1</f>
        <v>37141</v>
      </c>
      <c r="B255" s="131" t="str">
        <f aca="false">INDEX('Master Data'!$A$2:$B$8,MATCH(WEEKDAY('BRA PWR Certificates'!A255,3),'Master Data'!$A$2:$A$8,0),2)</f>
        <v>F</v>
      </c>
      <c r="D255" s="124" t="n">
        <v>71626</v>
      </c>
      <c r="E255" s="124" t="n">
        <v>71626</v>
      </c>
      <c r="F255" s="124" t="n">
        <v>0</v>
      </c>
      <c r="G255" s="124" t="n">
        <v>-11618.59</v>
      </c>
      <c r="I255" s="124" t="n">
        <f aca="false">IF(MONTH($A255)=MONTH($A254),IF(G255=0,I254,G255),G255)</f>
        <v>-11618.59</v>
      </c>
      <c r="J255" s="124" t="n">
        <f aca="false">IF(MONTH($A255)=MONTH($A254),SUM(I255-I254),I255)</f>
        <v>-4.39999999999964</v>
      </c>
      <c r="K255" s="124" t="n">
        <f aca="false">IF(WEEKDAY(A255,3)&gt;4,0,(IF(A255&lt;K$2,0,IF(A255&lt;=K$3,1,0))))</f>
        <v>0</v>
      </c>
      <c r="L255" s="124" t="n">
        <f aca="false">J255*K255</f>
        <v>-0</v>
      </c>
      <c r="M255" s="124" t="n">
        <f aca="false">SUM(J$188:J255)</f>
        <v>686154.898888889</v>
      </c>
      <c r="N255" s="124" t="n">
        <f aca="false">SUM(J$6:J255)</f>
        <v>686154.898888889</v>
      </c>
      <c r="P255" s="124" t="n">
        <f aca="false">D255/P$3</f>
        <v>0.071626</v>
      </c>
      <c r="Q255" s="124" t="n">
        <f aca="false">E255/P$3</f>
        <v>0.071626</v>
      </c>
      <c r="R255" s="124" t="n">
        <f aca="false">F255/R$3</f>
        <v>0</v>
      </c>
      <c r="S255" s="126" t="n">
        <f aca="false">J255/$R$3</f>
        <v>-0.00439999999999964</v>
      </c>
      <c r="T255" s="126" t="n">
        <f aca="false">L255/$R$3</f>
        <v>-0</v>
      </c>
      <c r="U255" s="126" t="n">
        <f aca="false">I255/$R$3</f>
        <v>-11.61859</v>
      </c>
      <c r="V255" s="126" t="n">
        <f aca="false">M255/$R$3</f>
        <v>686.154898888889</v>
      </c>
      <c r="W255" s="126" t="n">
        <f aca="false">N255/$R$3</f>
        <v>686.154898888889</v>
      </c>
    </row>
    <row r="256" customFormat="false" ht="12.75" hidden="true" customHeight="false" outlineLevel="0" collapsed="false">
      <c r="A256" s="120" t="n">
        <f aca="false">A255+1</f>
        <v>37142</v>
      </c>
      <c r="B256" s="131" t="str">
        <f aca="false">INDEX('Master Data'!$A$2:$B$8,MATCH(WEEKDAY('BRA PWR Certificates'!A256,3),'Master Data'!$A$2:$A$8,0),2)</f>
        <v>Sa</v>
      </c>
      <c r="D256" s="124" t="n">
        <v>0</v>
      </c>
      <c r="E256" s="124" t="n">
        <v>0</v>
      </c>
      <c r="F256" s="124" t="n">
        <v>0</v>
      </c>
      <c r="G256" s="124" t="n">
        <v>0</v>
      </c>
      <c r="I256" s="124" t="n">
        <f aca="false">IF(MONTH($A256)=MONTH($A255),IF(G256=0,I255,G256),G256)</f>
        <v>-11618.59</v>
      </c>
      <c r="J256" s="124" t="n">
        <f aca="false">IF(MONTH($A256)=MONTH($A255),SUM(I256-I255),I256)</f>
        <v>0</v>
      </c>
      <c r="K256" s="124" t="n">
        <f aca="false">IF(WEEKDAY(A256,3)&gt;4,0,(IF(A256&lt;K$2,0,IF(A256&lt;=K$3,1,0))))</f>
        <v>0</v>
      </c>
      <c r="L256" s="124" t="n">
        <f aca="false">J256*K256</f>
        <v>0</v>
      </c>
      <c r="M256" s="124" t="n">
        <f aca="false">SUM(J$188:J256)</f>
        <v>686154.898888889</v>
      </c>
      <c r="N256" s="124" t="n">
        <f aca="false">SUM(J$6:J256)</f>
        <v>686154.898888889</v>
      </c>
      <c r="P256" s="124" t="n">
        <f aca="false">D256/P$3</f>
        <v>0</v>
      </c>
      <c r="Q256" s="124" t="n">
        <f aca="false">E256/P$3</f>
        <v>0</v>
      </c>
      <c r="R256" s="124" t="n">
        <f aca="false">F256/R$3</f>
        <v>0</v>
      </c>
      <c r="S256" s="126" t="n">
        <f aca="false">J256/$R$3</f>
        <v>0</v>
      </c>
      <c r="T256" s="126" t="n">
        <f aca="false">L256/$R$3</f>
        <v>0</v>
      </c>
      <c r="U256" s="126" t="n">
        <f aca="false">I256/$R$3</f>
        <v>-11.61859</v>
      </c>
      <c r="V256" s="126" t="n">
        <f aca="false">M256/$R$3</f>
        <v>686.154898888889</v>
      </c>
      <c r="W256" s="126" t="n">
        <f aca="false">N256/$R$3</f>
        <v>686.154898888889</v>
      </c>
    </row>
    <row r="257" customFormat="false" ht="12.75" hidden="true" customHeight="false" outlineLevel="0" collapsed="false">
      <c r="A257" s="120" t="n">
        <f aca="false">A256+1</f>
        <v>37143</v>
      </c>
      <c r="B257" s="131" t="str">
        <f aca="false">INDEX('Master Data'!$A$2:$B$8,MATCH(WEEKDAY('BRA PWR Certificates'!A257,3),'Master Data'!$A$2:$A$8,0),2)</f>
        <v>Su</v>
      </c>
      <c r="D257" s="124" t="n">
        <v>0</v>
      </c>
      <c r="E257" s="124" t="n">
        <v>0</v>
      </c>
      <c r="F257" s="124" t="n">
        <v>0</v>
      </c>
      <c r="G257" s="124" t="n">
        <v>0</v>
      </c>
      <c r="I257" s="124" t="n">
        <f aca="false">IF(MONTH($A257)=MONTH($A256),IF(G257=0,I256,G257),G257)</f>
        <v>-11618.59</v>
      </c>
      <c r="J257" s="124" t="n">
        <f aca="false">IF(MONTH($A257)=MONTH($A256),SUM(I257-I256),I257)</f>
        <v>0</v>
      </c>
      <c r="K257" s="124" t="n">
        <f aca="false">IF(WEEKDAY(A257,3)&gt;4,0,(IF(A257&lt;K$2,0,IF(A257&lt;=K$3,1,0))))</f>
        <v>0</v>
      </c>
      <c r="L257" s="124" t="n">
        <f aca="false">J257*K257</f>
        <v>0</v>
      </c>
      <c r="M257" s="124" t="n">
        <f aca="false">SUM(J$188:J257)</f>
        <v>686154.898888889</v>
      </c>
      <c r="N257" s="124" t="n">
        <f aca="false">SUM(J$6:J257)</f>
        <v>686154.898888889</v>
      </c>
      <c r="P257" s="124" t="n">
        <f aca="false">D257/P$3</f>
        <v>0</v>
      </c>
      <c r="Q257" s="124" t="n">
        <f aca="false">E257/P$3</f>
        <v>0</v>
      </c>
      <c r="R257" s="124" t="n">
        <f aca="false">F257/R$3</f>
        <v>0</v>
      </c>
      <c r="S257" s="126" t="n">
        <f aca="false">J257/$R$3</f>
        <v>0</v>
      </c>
      <c r="T257" s="126" t="n">
        <f aca="false">L257/$R$3</f>
        <v>0</v>
      </c>
      <c r="U257" s="126" t="n">
        <f aca="false">I257/$R$3</f>
        <v>-11.61859</v>
      </c>
      <c r="V257" s="126" t="n">
        <f aca="false">M257/$R$3</f>
        <v>686.154898888889</v>
      </c>
      <c r="W257" s="126" t="n">
        <f aca="false">N257/$R$3</f>
        <v>686.154898888889</v>
      </c>
    </row>
    <row r="258" customFormat="false" ht="12.75" hidden="true" customHeight="false" outlineLevel="0" collapsed="false">
      <c r="A258" s="120" t="n">
        <f aca="false">A257+1</f>
        <v>37144</v>
      </c>
      <c r="B258" s="131" t="str">
        <f aca="false">INDEX('Master Data'!$A$2:$B$8,MATCH(WEEKDAY('BRA PWR Certificates'!A258,3),'Master Data'!$A$2:$A$8,0),2)</f>
        <v>M</v>
      </c>
      <c r="D258" s="124" t="n">
        <v>71626</v>
      </c>
      <c r="E258" s="124" t="n">
        <v>71626</v>
      </c>
      <c r="F258" s="124" t="n">
        <v>0</v>
      </c>
      <c r="G258" s="124" t="n">
        <v>-61514.33</v>
      </c>
      <c r="I258" s="124" t="n">
        <f aca="false">IF(MONTH($A258)=MONTH($A257),IF(G258=0,I257,G258),G258)</f>
        <v>-61514.33</v>
      </c>
      <c r="J258" s="124" t="n">
        <f aca="false">IF(MONTH($A258)=MONTH($A257),SUM(I258-I257),I258)</f>
        <v>-49895.74</v>
      </c>
      <c r="K258" s="124" t="n">
        <f aca="false">IF(WEEKDAY(A258,3)&gt;4,0,(IF(A258&lt;K$2,0,IF(A258&lt;=K$3,1,0))))</f>
        <v>0</v>
      </c>
      <c r="L258" s="124" t="n">
        <f aca="false">J258*K258</f>
        <v>-0</v>
      </c>
      <c r="M258" s="124" t="n">
        <f aca="false">SUM(J$188:J258)</f>
        <v>636259.158888889</v>
      </c>
      <c r="N258" s="124" t="n">
        <f aca="false">SUM(J$6:J258)</f>
        <v>636259.158888889</v>
      </c>
      <c r="P258" s="124" t="n">
        <f aca="false">D258/P$3</f>
        <v>0.071626</v>
      </c>
      <c r="Q258" s="124" t="n">
        <f aca="false">E258/P$3</f>
        <v>0.071626</v>
      </c>
      <c r="R258" s="124" t="n">
        <f aca="false">F258/R$3</f>
        <v>0</v>
      </c>
      <c r="S258" s="126" t="n">
        <f aca="false">J258/$R$3</f>
        <v>-49.89574</v>
      </c>
      <c r="T258" s="126" t="n">
        <f aca="false">L258/$R$3</f>
        <v>-0</v>
      </c>
      <c r="U258" s="126" t="n">
        <f aca="false">I258/$R$3</f>
        <v>-61.51433</v>
      </c>
      <c r="V258" s="126" t="n">
        <f aca="false">M258/$R$3</f>
        <v>636.259158888889</v>
      </c>
      <c r="W258" s="126" t="n">
        <f aca="false">N258/$R$3</f>
        <v>636.259158888889</v>
      </c>
    </row>
    <row r="259" customFormat="false" ht="12.75" hidden="true" customHeight="false" outlineLevel="0" collapsed="false">
      <c r="A259" s="120" t="n">
        <f aca="false">A258+1</f>
        <v>37145</v>
      </c>
      <c r="B259" s="131" t="str">
        <f aca="false">INDEX('Master Data'!$A$2:$B$8,MATCH(WEEKDAY('BRA PWR Certificates'!A259,3),'Master Data'!$A$2:$A$8,0),2)</f>
        <v>T</v>
      </c>
      <c r="D259" s="124" t="n">
        <v>0</v>
      </c>
      <c r="E259" s="124" t="n">
        <v>0</v>
      </c>
      <c r="F259" s="124" t="n">
        <v>0</v>
      </c>
      <c r="G259" s="124" t="n">
        <v>0</v>
      </c>
      <c r="I259" s="124" t="n">
        <f aca="false">IF(MONTH($A259)=MONTH($A258),IF(G259=0,I258,G259),G259)</f>
        <v>-61514.33</v>
      </c>
      <c r="J259" s="124" t="n">
        <f aca="false">IF(MONTH($A259)=MONTH($A258),SUM(I259-I258),I259)</f>
        <v>0</v>
      </c>
      <c r="K259" s="124" t="n">
        <f aca="false">IF(WEEKDAY(A259,3)&gt;4,0,(IF(A259&lt;K$2,0,IF(A259&lt;=K$3,1,0))))</f>
        <v>0</v>
      </c>
      <c r="L259" s="124" t="n">
        <f aca="false">J259*K259</f>
        <v>0</v>
      </c>
      <c r="M259" s="124" t="n">
        <f aca="false">SUM(J$188:J259)</f>
        <v>636259.158888889</v>
      </c>
      <c r="N259" s="124" t="n">
        <f aca="false">SUM(J$6:J259)</f>
        <v>636259.158888889</v>
      </c>
      <c r="P259" s="124" t="n">
        <f aca="false">D259/P$3</f>
        <v>0</v>
      </c>
      <c r="Q259" s="124" t="n">
        <f aca="false">E259/P$3</f>
        <v>0</v>
      </c>
      <c r="R259" s="124" t="n">
        <f aca="false">F259/R$3</f>
        <v>0</v>
      </c>
      <c r="S259" s="126" t="n">
        <f aca="false">J259/$R$3</f>
        <v>0</v>
      </c>
      <c r="T259" s="126" t="n">
        <f aca="false">L259/$R$3</f>
        <v>0</v>
      </c>
      <c r="U259" s="126" t="n">
        <f aca="false">I259/$R$3</f>
        <v>-61.51433</v>
      </c>
      <c r="V259" s="126" t="n">
        <f aca="false">M259/$R$3</f>
        <v>636.259158888889</v>
      </c>
      <c r="W259" s="126" t="n">
        <f aca="false">N259/$R$3</f>
        <v>636.259158888889</v>
      </c>
    </row>
    <row r="260" customFormat="false" ht="12.75" hidden="true" customHeight="false" outlineLevel="0" collapsed="false">
      <c r="A260" s="120" t="n">
        <f aca="false">A259+1</f>
        <v>37146</v>
      </c>
      <c r="B260" s="131" t="str">
        <f aca="false">INDEX('Master Data'!$A$2:$B$8,MATCH(WEEKDAY('BRA PWR Certificates'!A260,3),'Master Data'!$A$2:$A$8,0),2)</f>
        <v>W</v>
      </c>
      <c r="D260" s="124" t="n">
        <v>71626</v>
      </c>
      <c r="E260" s="124" t="n">
        <v>71626</v>
      </c>
      <c r="F260" s="124" t="n">
        <v>0</v>
      </c>
      <c r="G260" s="124" t="n">
        <v>-61523.15</v>
      </c>
      <c r="I260" s="124" t="n">
        <f aca="false">IF(MONTH($A260)=MONTH($A259),IF(G260=0,I259,G260),G260)</f>
        <v>-61523.15</v>
      </c>
      <c r="J260" s="124" t="n">
        <f aca="false">IF(MONTH($A260)=MONTH($A259),SUM(I260-I259),I260)</f>
        <v>-8.81999999999971</v>
      </c>
      <c r="K260" s="124" t="n">
        <f aca="false">IF(WEEKDAY(A260,3)&gt;4,0,(IF(A260&lt;K$2,0,IF(A260&lt;=K$3,1,0))))</f>
        <v>0</v>
      </c>
      <c r="L260" s="124" t="n">
        <f aca="false">J260*K260</f>
        <v>-0</v>
      </c>
      <c r="M260" s="124" t="n">
        <f aca="false">SUM(J$188:J260)</f>
        <v>636250.338888889</v>
      </c>
      <c r="N260" s="124" t="n">
        <f aca="false">SUM(J$6:J260)</f>
        <v>636250.338888889</v>
      </c>
      <c r="P260" s="124" t="n">
        <f aca="false">D260/P$3</f>
        <v>0.071626</v>
      </c>
      <c r="Q260" s="124" t="n">
        <f aca="false">E260/P$3</f>
        <v>0.071626</v>
      </c>
      <c r="R260" s="124" t="n">
        <f aca="false">F260/R$3</f>
        <v>0</v>
      </c>
      <c r="S260" s="126" t="n">
        <f aca="false">J260/$R$3</f>
        <v>-0.00881999999999971</v>
      </c>
      <c r="T260" s="126" t="n">
        <f aca="false">L260/$R$3</f>
        <v>-0</v>
      </c>
      <c r="U260" s="126" t="n">
        <f aca="false">I260/$R$3</f>
        <v>-61.52315</v>
      </c>
      <c r="V260" s="126" t="n">
        <f aca="false">M260/$R$3</f>
        <v>636.250338888889</v>
      </c>
      <c r="W260" s="126" t="n">
        <f aca="false">N260/$R$3</f>
        <v>636.250338888889</v>
      </c>
    </row>
    <row r="261" customFormat="false" ht="12.75" hidden="true" customHeight="false" outlineLevel="0" collapsed="false">
      <c r="A261" s="120" t="n">
        <f aca="false">A260+1</f>
        <v>37147</v>
      </c>
      <c r="B261" s="131" t="str">
        <f aca="false">INDEX('Master Data'!$A$2:$B$8,MATCH(WEEKDAY('BRA PWR Certificates'!A261,3),'Master Data'!$A$2:$A$8,0),2)</f>
        <v>Th</v>
      </c>
      <c r="D261" s="124" t="n">
        <v>71626</v>
      </c>
      <c r="E261" s="124" t="n">
        <v>71626</v>
      </c>
      <c r="F261" s="124" t="n">
        <v>0</v>
      </c>
      <c r="G261" s="124" t="n">
        <v>-61527.57</v>
      </c>
      <c r="I261" s="124" t="n">
        <f aca="false">IF(MONTH($A261)=MONTH($A260),IF(G261=0,I260,G261),G261)</f>
        <v>-61527.57</v>
      </c>
      <c r="J261" s="124" t="n">
        <f aca="false">IF(MONTH($A261)=MONTH($A260),SUM(I261-I260),I261)</f>
        <v>-4.41999999999825</v>
      </c>
      <c r="K261" s="124" t="n">
        <f aca="false">IF(WEEKDAY(A261,3)&gt;4,0,(IF(A261&lt;K$2,0,IF(A261&lt;=K$3,1,0))))</f>
        <v>0</v>
      </c>
      <c r="L261" s="124" t="n">
        <f aca="false">J261*K261</f>
        <v>-0</v>
      </c>
      <c r="M261" s="124" t="n">
        <f aca="false">SUM(J$188:J261)</f>
        <v>636245.918888889</v>
      </c>
      <c r="N261" s="124" t="n">
        <f aca="false">SUM(J$6:J261)</f>
        <v>636245.918888889</v>
      </c>
      <c r="P261" s="124" t="n">
        <f aca="false">D261/P$3</f>
        <v>0.071626</v>
      </c>
      <c r="Q261" s="124" t="n">
        <f aca="false">E261/P$3</f>
        <v>0.071626</v>
      </c>
      <c r="R261" s="124" t="n">
        <f aca="false">F261/R$3</f>
        <v>0</v>
      </c>
      <c r="S261" s="126" t="n">
        <f aca="false">J261/$R$3</f>
        <v>-0.00441999999999825</v>
      </c>
      <c r="T261" s="126" t="n">
        <f aca="false">L261/$R$3</f>
        <v>-0</v>
      </c>
      <c r="U261" s="126" t="n">
        <f aca="false">I261/$R$3</f>
        <v>-61.52757</v>
      </c>
      <c r="V261" s="126" t="n">
        <f aca="false">M261/$R$3</f>
        <v>636.245918888889</v>
      </c>
      <c r="W261" s="126" t="n">
        <f aca="false">N261/$R$3</f>
        <v>636.245918888889</v>
      </c>
    </row>
    <row r="262" customFormat="false" ht="12.75" hidden="true" customHeight="false" outlineLevel="0" collapsed="false">
      <c r="A262" s="120" t="n">
        <f aca="false">A261+1</f>
        <v>37148</v>
      </c>
      <c r="B262" s="131" t="str">
        <f aca="false">INDEX('Master Data'!$A$2:$B$8,MATCH(WEEKDAY('BRA PWR Certificates'!A262,3),'Master Data'!$A$2:$A$8,0),2)</f>
        <v>F</v>
      </c>
      <c r="D262" s="124" t="n">
        <v>71626</v>
      </c>
      <c r="E262" s="124" t="n">
        <v>71626</v>
      </c>
      <c r="F262" s="124" t="n">
        <v>0</v>
      </c>
      <c r="G262" s="124" t="n">
        <v>-71713.0145710834</v>
      </c>
      <c r="I262" s="124" t="n">
        <f aca="false">IF(MONTH($A262)=MONTH($A261),IF(G262=0,I261,G262),G262)</f>
        <v>-71713.0145710834</v>
      </c>
      <c r="J262" s="124" t="n">
        <f aca="false">IF(MONTH($A262)=MONTH($A261),SUM(I262-I261),I262)</f>
        <v>-10185.4445710834</v>
      </c>
      <c r="K262" s="124" t="n">
        <f aca="false">IF(WEEKDAY(A262,3)&gt;4,0,(IF(A262&lt;K$2,0,IF(A262&lt;=K$3,1,0))))</f>
        <v>0</v>
      </c>
      <c r="L262" s="124" t="n">
        <f aca="false">J262*K262</f>
        <v>-0</v>
      </c>
      <c r="M262" s="124" t="n">
        <f aca="false">SUM(J$188:J262)</f>
        <v>626060.474317806</v>
      </c>
      <c r="N262" s="124" t="n">
        <f aca="false">SUM(J$6:J262)</f>
        <v>626060.474317806</v>
      </c>
      <c r="P262" s="124" t="n">
        <f aca="false">D262/P$3</f>
        <v>0.071626</v>
      </c>
      <c r="Q262" s="124" t="n">
        <f aca="false">E262/P$3</f>
        <v>0.071626</v>
      </c>
      <c r="R262" s="124" t="n">
        <f aca="false">F262/R$3</f>
        <v>0</v>
      </c>
      <c r="S262" s="126" t="n">
        <f aca="false">J262/$R$3</f>
        <v>-10.1854445710834</v>
      </c>
      <c r="T262" s="126" t="n">
        <f aca="false">L262/$R$3</f>
        <v>-0</v>
      </c>
      <c r="U262" s="126" t="n">
        <f aca="false">I262/$R$3</f>
        <v>-71.7130145710834</v>
      </c>
      <c r="V262" s="126" t="n">
        <f aca="false">M262/$R$3</f>
        <v>626.060474317806</v>
      </c>
      <c r="W262" s="126" t="n">
        <f aca="false">N262/$R$3</f>
        <v>626.060474317806</v>
      </c>
    </row>
    <row r="263" customFormat="false" ht="12.75" hidden="true" customHeight="false" outlineLevel="0" collapsed="false">
      <c r="A263" s="120" t="n">
        <f aca="false">A262+1</f>
        <v>37149</v>
      </c>
      <c r="B263" s="131" t="str">
        <f aca="false">INDEX('Master Data'!$A$2:$B$8,MATCH(WEEKDAY('BRA PWR Certificates'!A263,3),'Master Data'!$A$2:$A$8,0),2)</f>
        <v>Sa</v>
      </c>
      <c r="D263" s="124" t="n">
        <v>0</v>
      </c>
      <c r="E263" s="124" t="n">
        <v>0</v>
      </c>
      <c r="F263" s="124" t="n">
        <v>0</v>
      </c>
      <c r="G263" s="124" t="n">
        <v>0</v>
      </c>
      <c r="I263" s="124" t="n">
        <f aca="false">IF(MONTH($A263)=MONTH($A262),IF(G263=0,I262,G263),G263)</f>
        <v>-71713.0145710834</v>
      </c>
      <c r="J263" s="124" t="n">
        <f aca="false">IF(MONTH($A263)=MONTH($A262),SUM(I263-I262),I263)</f>
        <v>0</v>
      </c>
      <c r="K263" s="124" t="n">
        <f aca="false">IF(WEEKDAY(A263,3)&gt;4,0,(IF(A263&lt;K$2,0,IF(A263&lt;=K$3,1,0))))</f>
        <v>0</v>
      </c>
      <c r="L263" s="124" t="n">
        <f aca="false">J263*K263</f>
        <v>0</v>
      </c>
      <c r="M263" s="124" t="n">
        <f aca="false">SUM(J$188:J263)</f>
        <v>626060.474317806</v>
      </c>
      <c r="N263" s="124" t="n">
        <f aca="false">SUM(J$6:J263)</f>
        <v>626060.474317806</v>
      </c>
      <c r="P263" s="124" t="n">
        <f aca="false">D263/P$3</f>
        <v>0</v>
      </c>
      <c r="Q263" s="124" t="n">
        <f aca="false">E263/P$3</f>
        <v>0</v>
      </c>
      <c r="R263" s="124" t="n">
        <f aca="false">F263/R$3</f>
        <v>0</v>
      </c>
      <c r="S263" s="126" t="n">
        <f aca="false">J263/$R$3</f>
        <v>0</v>
      </c>
      <c r="T263" s="126" t="n">
        <f aca="false">L263/$R$3</f>
        <v>0</v>
      </c>
      <c r="U263" s="126" t="n">
        <f aca="false">I263/$R$3</f>
        <v>-71.7130145710834</v>
      </c>
      <c r="V263" s="126" t="n">
        <f aca="false">M263/$R$3</f>
        <v>626.060474317806</v>
      </c>
      <c r="W263" s="126" t="n">
        <f aca="false">N263/$R$3</f>
        <v>626.060474317806</v>
      </c>
    </row>
    <row r="264" customFormat="false" ht="12.75" hidden="true" customHeight="false" outlineLevel="0" collapsed="false">
      <c r="A264" s="120" t="n">
        <f aca="false">A263+1</f>
        <v>37150</v>
      </c>
      <c r="B264" s="131" t="str">
        <f aca="false">INDEX('Master Data'!$A$2:$B$8,MATCH(WEEKDAY('BRA PWR Certificates'!A264,3),'Master Data'!$A$2:$A$8,0),2)</f>
        <v>Su</v>
      </c>
      <c r="D264" s="124" t="n">
        <v>0</v>
      </c>
      <c r="E264" s="124" t="n">
        <v>0</v>
      </c>
      <c r="F264" s="124" t="n">
        <v>0</v>
      </c>
      <c r="G264" s="124" t="n">
        <v>0</v>
      </c>
      <c r="I264" s="124" t="n">
        <f aca="false">IF(MONTH($A264)=MONTH($A263),IF(G264=0,I263,G264),G264)</f>
        <v>-71713.0145710834</v>
      </c>
      <c r="J264" s="124" t="n">
        <f aca="false">IF(MONTH($A264)=MONTH($A263),SUM(I264-I263),I264)</f>
        <v>0</v>
      </c>
      <c r="K264" s="124" t="n">
        <f aca="false">IF(WEEKDAY(A264,3)&gt;4,0,(IF(A264&lt;K$2,0,IF(A264&lt;=K$3,1,0))))</f>
        <v>0</v>
      </c>
      <c r="L264" s="124" t="n">
        <f aca="false">J264*K264</f>
        <v>0</v>
      </c>
      <c r="M264" s="124" t="n">
        <f aca="false">SUM(J$188:J264)</f>
        <v>626060.474317806</v>
      </c>
      <c r="N264" s="124" t="n">
        <f aca="false">SUM(J$6:J264)</f>
        <v>626060.474317806</v>
      </c>
      <c r="P264" s="124" t="n">
        <f aca="false">D264/P$3</f>
        <v>0</v>
      </c>
      <c r="Q264" s="124" t="n">
        <f aca="false">E264/P$3</f>
        <v>0</v>
      </c>
      <c r="R264" s="124" t="n">
        <f aca="false">F264/R$3</f>
        <v>0</v>
      </c>
      <c r="S264" s="126" t="n">
        <f aca="false">J264/$R$3</f>
        <v>0</v>
      </c>
      <c r="T264" s="126" t="n">
        <f aca="false">L264/$R$3</f>
        <v>0</v>
      </c>
      <c r="U264" s="126" t="n">
        <f aca="false">I264/$R$3</f>
        <v>-71.7130145710834</v>
      </c>
      <c r="V264" s="126" t="n">
        <f aca="false">M264/$R$3</f>
        <v>626.060474317806</v>
      </c>
      <c r="W264" s="126" t="n">
        <f aca="false">N264/$R$3</f>
        <v>626.060474317806</v>
      </c>
    </row>
    <row r="265" customFormat="false" ht="12.75" hidden="true" customHeight="false" outlineLevel="0" collapsed="false">
      <c r="A265" s="120" t="n">
        <f aca="false">A264+1</f>
        <v>37151</v>
      </c>
      <c r="B265" s="131" t="str">
        <f aca="false">INDEX('Master Data'!$A$2:$B$8,MATCH(WEEKDAY('BRA PWR Certificates'!A265,3),'Master Data'!$A$2:$A$8,0),2)</f>
        <v>M</v>
      </c>
      <c r="D265" s="124" t="n">
        <v>71626</v>
      </c>
      <c r="E265" s="124" t="n">
        <v>71626</v>
      </c>
      <c r="F265" s="124" t="n">
        <v>0</v>
      </c>
      <c r="G265" s="124" t="n">
        <v>-128757.604571083</v>
      </c>
      <c r="I265" s="124" t="n">
        <f aca="false">IF(MONTH($A265)=MONTH($A264),IF(G265=0,I264,G265),G265)</f>
        <v>-128757.604571083</v>
      </c>
      <c r="J265" s="124" t="n">
        <f aca="false">IF(MONTH($A265)=MONTH($A264),SUM(I265-I264),I265)</f>
        <v>-57044.59</v>
      </c>
      <c r="K265" s="124" t="n">
        <f aca="false">IF(WEEKDAY(A265,3)&gt;4,0,(IF(A265&lt;K$2,0,IF(A265&lt;=K$3,1,0))))</f>
        <v>0</v>
      </c>
      <c r="L265" s="124" t="n">
        <f aca="false">J265*K265</f>
        <v>-0</v>
      </c>
      <c r="M265" s="124" t="n">
        <f aca="false">SUM(J$188:J265)</f>
        <v>569015.884317806</v>
      </c>
      <c r="N265" s="124" t="n">
        <f aca="false">SUM(J$6:J265)</f>
        <v>569015.884317806</v>
      </c>
      <c r="P265" s="124" t="n">
        <f aca="false">D265/P$3</f>
        <v>0.071626</v>
      </c>
      <c r="Q265" s="124" t="n">
        <f aca="false">E265/P$3</f>
        <v>0.071626</v>
      </c>
      <c r="R265" s="124" t="n">
        <f aca="false">F265/R$3</f>
        <v>0</v>
      </c>
      <c r="S265" s="126" t="n">
        <f aca="false">J265/$R$3</f>
        <v>-57.04459</v>
      </c>
      <c r="T265" s="126" t="n">
        <f aca="false">L265/$R$3</f>
        <v>-0</v>
      </c>
      <c r="U265" s="126" t="n">
        <f aca="false">I265/$R$3</f>
        <v>-128.757604571083</v>
      </c>
      <c r="V265" s="126" t="n">
        <f aca="false">M265/$R$3</f>
        <v>569.015884317806</v>
      </c>
      <c r="W265" s="126" t="n">
        <f aca="false">N265/$R$3</f>
        <v>569.015884317806</v>
      </c>
    </row>
    <row r="266" customFormat="false" ht="12.75" hidden="true" customHeight="false" outlineLevel="0" collapsed="false">
      <c r="A266" s="120" t="n">
        <f aca="false">A265+1</f>
        <v>37152</v>
      </c>
      <c r="B266" s="131" t="str">
        <f aca="false">INDEX('Master Data'!$A$2:$B$8,MATCH(WEEKDAY('BRA PWR Certificates'!A266,3),'Master Data'!$A$2:$A$8,0),2)</f>
        <v>T</v>
      </c>
      <c r="D266" s="124" t="n">
        <v>71626</v>
      </c>
      <c r="E266" s="124" t="n">
        <v>71626</v>
      </c>
      <c r="F266" s="124" t="n">
        <v>0</v>
      </c>
      <c r="G266" s="124" t="n">
        <v>-103878.104571083</v>
      </c>
      <c r="I266" s="124" t="n">
        <f aca="false">IF(MONTH($A266)=MONTH($A265),IF(G266=0,I265,G266),G266)</f>
        <v>-103878.104571083</v>
      </c>
      <c r="J266" s="124" t="n">
        <f aca="false">IF(MONTH($A266)=MONTH($A265),SUM(I266-I265),I266)</f>
        <v>24879.5</v>
      </c>
      <c r="K266" s="124" t="n">
        <f aca="false">IF(WEEKDAY(A266,3)&gt;4,0,(IF(A266&lt;K$2,0,IF(A266&lt;=K$3,1,0))))</f>
        <v>0</v>
      </c>
      <c r="L266" s="124" t="n">
        <f aca="false">J266*K266</f>
        <v>0</v>
      </c>
      <c r="M266" s="124" t="n">
        <f aca="false">SUM(J$188:J266)</f>
        <v>593895.384317805</v>
      </c>
      <c r="N266" s="124" t="n">
        <f aca="false">SUM(J$6:J266)</f>
        <v>593895.384317805</v>
      </c>
      <c r="P266" s="124" t="n">
        <f aca="false">D266/P$3</f>
        <v>0.071626</v>
      </c>
      <c r="Q266" s="124" t="n">
        <f aca="false">E266/P$3</f>
        <v>0.071626</v>
      </c>
      <c r="R266" s="124" t="n">
        <f aca="false">F266/R$3</f>
        <v>0</v>
      </c>
      <c r="S266" s="126" t="n">
        <f aca="false">J266/$R$3</f>
        <v>24.8795</v>
      </c>
      <c r="T266" s="126" t="n">
        <f aca="false">L266/$R$3</f>
        <v>0</v>
      </c>
      <c r="U266" s="126" t="n">
        <f aca="false">I266/$R$3</f>
        <v>-103.878104571083</v>
      </c>
      <c r="V266" s="126" t="n">
        <f aca="false">M266/$R$3</f>
        <v>593.895384317806</v>
      </c>
      <c r="W266" s="126" t="n">
        <f aca="false">N266/$R$3</f>
        <v>593.895384317806</v>
      </c>
    </row>
    <row r="267" customFormat="false" ht="12.75" hidden="true" customHeight="false" outlineLevel="0" collapsed="false">
      <c r="A267" s="120" t="n">
        <f aca="false">A266+1</f>
        <v>37153</v>
      </c>
      <c r="B267" s="131" t="str">
        <f aca="false">INDEX('Master Data'!$A$2:$B$8,MATCH(WEEKDAY('BRA PWR Certificates'!A267,3),'Master Data'!$A$2:$A$8,0),2)</f>
        <v>W</v>
      </c>
      <c r="D267" s="124" t="n">
        <v>71626</v>
      </c>
      <c r="E267" s="124" t="n">
        <v>71626</v>
      </c>
      <c r="F267" s="124" t="n">
        <v>0</v>
      </c>
      <c r="G267" s="124" t="n">
        <v>-114944.024571083</v>
      </c>
      <c r="I267" s="124" t="n">
        <f aca="false">IF(MONTH($A267)=MONTH($A266),IF(G267=0,I266,G267),G267)</f>
        <v>-114944.024571083</v>
      </c>
      <c r="J267" s="124" t="n">
        <f aca="false">IF(MONTH($A267)=MONTH($A266),SUM(I267-I266),I267)</f>
        <v>-11065.92</v>
      </c>
      <c r="K267" s="124" t="n">
        <f aca="false">IF(WEEKDAY(A267,3)&gt;4,0,(IF(A267&lt;K$2,0,IF(A267&lt;=K$3,1,0))))</f>
        <v>0</v>
      </c>
      <c r="L267" s="124" t="n">
        <f aca="false">J267*K267</f>
        <v>-0</v>
      </c>
      <c r="M267" s="124" t="n">
        <f aca="false">SUM(J$188:J267)</f>
        <v>582829.464317805</v>
      </c>
      <c r="N267" s="124" t="n">
        <f aca="false">SUM(J$6:J267)</f>
        <v>582829.464317805</v>
      </c>
      <c r="P267" s="124" t="n">
        <f aca="false">D267/P$3</f>
        <v>0.071626</v>
      </c>
      <c r="Q267" s="124" t="n">
        <f aca="false">E267/P$3</f>
        <v>0.071626</v>
      </c>
      <c r="R267" s="124" t="n">
        <f aca="false">F267/R$3</f>
        <v>0</v>
      </c>
      <c r="S267" s="126" t="n">
        <f aca="false">J267/$R$3</f>
        <v>-11.06592</v>
      </c>
      <c r="T267" s="126" t="n">
        <f aca="false">L267/$R$3</f>
        <v>-0</v>
      </c>
      <c r="U267" s="126" t="n">
        <f aca="false">I267/$R$3</f>
        <v>-114.944024571083</v>
      </c>
      <c r="V267" s="126" t="n">
        <f aca="false">M267/$R$3</f>
        <v>582.829464317805</v>
      </c>
      <c r="W267" s="126" t="n">
        <f aca="false">N267/$R$3</f>
        <v>582.829464317805</v>
      </c>
    </row>
    <row r="268" customFormat="false" ht="12.75" hidden="true" customHeight="false" outlineLevel="0" collapsed="false">
      <c r="A268" s="120" t="n">
        <f aca="false">A267+1</f>
        <v>37154</v>
      </c>
      <c r="B268" s="131" t="str">
        <f aca="false">INDEX('Master Data'!$A$2:$B$8,MATCH(WEEKDAY('BRA PWR Certificates'!A268,3),'Master Data'!$A$2:$A$8,0),2)</f>
        <v>Th</v>
      </c>
      <c r="D268" s="124" t="n">
        <v>71626</v>
      </c>
      <c r="E268" s="124" t="n">
        <v>71626</v>
      </c>
      <c r="F268" s="124" t="n">
        <v>0</v>
      </c>
      <c r="G268" s="124" t="n">
        <v>-55714.0945710834</v>
      </c>
      <c r="I268" s="124" t="n">
        <f aca="false">IF(MONTH($A268)=MONTH($A267),IF(G268=0,I267,G268),G268)</f>
        <v>-55714.0945710834</v>
      </c>
      <c r="J268" s="124" t="n">
        <f aca="false">IF(MONTH($A268)=MONTH($A267),SUM(I268-I267),I268)</f>
        <v>59229.93</v>
      </c>
      <c r="K268" s="124" t="n">
        <f aca="false">IF(WEEKDAY(A268,3)&gt;4,0,(IF(A268&lt;K$2,0,IF(A268&lt;=K$3,1,0))))</f>
        <v>0</v>
      </c>
      <c r="L268" s="124" t="n">
        <f aca="false">J268*K268</f>
        <v>0</v>
      </c>
      <c r="M268" s="124" t="n">
        <f aca="false">SUM(J$188:J268)</f>
        <v>642059.394317806</v>
      </c>
      <c r="N268" s="124" t="n">
        <f aca="false">SUM(J$6:J268)</f>
        <v>642059.394317806</v>
      </c>
      <c r="P268" s="124" t="n">
        <f aca="false">D268/P$3</f>
        <v>0.071626</v>
      </c>
      <c r="Q268" s="124" t="n">
        <f aca="false">E268/P$3</f>
        <v>0.071626</v>
      </c>
      <c r="R268" s="124" t="n">
        <f aca="false">F268/R$3</f>
        <v>0</v>
      </c>
      <c r="S268" s="126" t="n">
        <f aca="false">J268/$R$3</f>
        <v>59.22993</v>
      </c>
      <c r="T268" s="126" t="n">
        <f aca="false">L268/$R$3</f>
        <v>0</v>
      </c>
      <c r="U268" s="126" t="n">
        <f aca="false">I268/$R$3</f>
        <v>-55.7140945710834</v>
      </c>
      <c r="V268" s="126" t="n">
        <f aca="false">M268/$R$3</f>
        <v>642.059394317806</v>
      </c>
      <c r="W268" s="126" t="n">
        <f aca="false">N268/$R$3</f>
        <v>642.059394317806</v>
      </c>
    </row>
    <row r="269" customFormat="false" ht="12.75" hidden="true" customHeight="false" outlineLevel="0" collapsed="false">
      <c r="A269" s="120" t="n">
        <f aca="false">A268+1</f>
        <v>37155</v>
      </c>
      <c r="B269" s="131" t="str">
        <f aca="false">INDEX('Master Data'!$A$2:$B$8,MATCH(WEEKDAY('BRA PWR Certificates'!A269,3),'Master Data'!$A$2:$A$8,0),2)</f>
        <v>F</v>
      </c>
      <c r="D269" s="124" t="n">
        <v>71626</v>
      </c>
      <c r="E269" s="124" t="n">
        <v>71626</v>
      </c>
      <c r="F269" s="124" t="n">
        <v>0</v>
      </c>
      <c r="G269" s="124" t="n">
        <v>-55718.9645710834</v>
      </c>
      <c r="I269" s="124" t="n">
        <f aca="false">IF(MONTH($A269)=MONTH($A268),IF(G269=0,I268,G269),G269)</f>
        <v>-55718.9645710834</v>
      </c>
      <c r="J269" s="124" t="n">
        <f aca="false">IF(MONTH($A269)=MONTH($A268),SUM(I269-I268),I269)</f>
        <v>-4.8700000000099</v>
      </c>
      <c r="K269" s="124" t="n">
        <f aca="false">IF(WEEKDAY(A269,3)&gt;4,0,(IF(A269&lt;K$2,0,IF(A269&lt;=K$3,1,0))))</f>
        <v>0</v>
      </c>
      <c r="L269" s="124" t="n">
        <f aca="false">J269*K269</f>
        <v>-0</v>
      </c>
      <c r="M269" s="124" t="n">
        <f aca="false">SUM(J$188:J269)</f>
        <v>642054.524317805</v>
      </c>
      <c r="N269" s="124" t="n">
        <f aca="false">SUM(J$6:J269)</f>
        <v>642054.524317805</v>
      </c>
      <c r="P269" s="124" t="n">
        <f aca="false">D269/P$3</f>
        <v>0.071626</v>
      </c>
      <c r="Q269" s="124" t="n">
        <f aca="false">E269/P$3</f>
        <v>0.071626</v>
      </c>
      <c r="R269" s="124" t="n">
        <f aca="false">F269/R$3</f>
        <v>0</v>
      </c>
      <c r="S269" s="126" t="n">
        <f aca="false">J269/$R$3</f>
        <v>-0.0048700000000099</v>
      </c>
      <c r="T269" s="126" t="n">
        <f aca="false">L269/$R$3</f>
        <v>-0</v>
      </c>
      <c r="U269" s="126" t="n">
        <f aca="false">I269/$R$3</f>
        <v>-55.7189645710834</v>
      </c>
      <c r="V269" s="126" t="n">
        <f aca="false">M269/$R$3</f>
        <v>642.054524317805</v>
      </c>
      <c r="W269" s="126" t="n">
        <f aca="false">N269/$R$3</f>
        <v>642.054524317805</v>
      </c>
    </row>
    <row r="270" customFormat="false" ht="12.75" hidden="true" customHeight="false" outlineLevel="0" collapsed="false">
      <c r="A270" s="120" t="n">
        <f aca="false">A269+1</f>
        <v>37156</v>
      </c>
      <c r="B270" s="131" t="str">
        <f aca="false">INDEX('Master Data'!$A$2:$B$8,MATCH(WEEKDAY('BRA PWR Certificates'!A270,3),'Master Data'!$A$2:$A$8,0),2)</f>
        <v>Sa</v>
      </c>
      <c r="D270" s="124" t="n">
        <v>0</v>
      </c>
      <c r="E270" s="124" t="n">
        <v>0</v>
      </c>
      <c r="F270" s="124" t="n">
        <v>0</v>
      </c>
      <c r="G270" s="124" t="n">
        <v>0</v>
      </c>
      <c r="I270" s="124" t="n">
        <f aca="false">IF(MONTH($A270)=MONTH($A269),IF(G270=0,I269,G270),G270)</f>
        <v>-55718.9645710834</v>
      </c>
      <c r="J270" s="124" t="n">
        <f aca="false">IF(MONTH($A270)=MONTH($A269),SUM(I270-I269),I270)</f>
        <v>0</v>
      </c>
      <c r="K270" s="124" t="n">
        <f aca="false">IF(WEEKDAY(A270,3)&gt;4,0,(IF(A270&lt;K$2,0,IF(A270&lt;=K$3,1,0))))</f>
        <v>0</v>
      </c>
      <c r="L270" s="124" t="n">
        <f aca="false">J270*K270</f>
        <v>0</v>
      </c>
      <c r="M270" s="124" t="n">
        <f aca="false">SUM(J$188:J270)</f>
        <v>642054.524317805</v>
      </c>
      <c r="N270" s="124" t="n">
        <f aca="false">SUM(J$6:J270)</f>
        <v>642054.524317805</v>
      </c>
      <c r="P270" s="124" t="n">
        <f aca="false">D270/P$3</f>
        <v>0</v>
      </c>
      <c r="Q270" s="124" t="n">
        <f aca="false">E270/P$3</f>
        <v>0</v>
      </c>
      <c r="R270" s="124" t="n">
        <f aca="false">F270/R$3</f>
        <v>0</v>
      </c>
      <c r="S270" s="126" t="n">
        <f aca="false">J270/$R$3</f>
        <v>0</v>
      </c>
      <c r="T270" s="126" t="n">
        <f aca="false">L270/$R$3</f>
        <v>0</v>
      </c>
      <c r="U270" s="126" t="n">
        <f aca="false">I270/$R$3</f>
        <v>-55.7189645710834</v>
      </c>
      <c r="V270" s="126" t="n">
        <f aca="false">M270/$R$3</f>
        <v>642.054524317805</v>
      </c>
      <c r="W270" s="126" t="n">
        <f aca="false">N270/$R$3</f>
        <v>642.054524317805</v>
      </c>
    </row>
    <row r="271" customFormat="false" ht="12.75" hidden="true" customHeight="false" outlineLevel="0" collapsed="false">
      <c r="A271" s="120" t="n">
        <f aca="false">A270+1</f>
        <v>37157</v>
      </c>
      <c r="B271" s="131" t="str">
        <f aca="false">INDEX('Master Data'!$A$2:$B$8,MATCH(WEEKDAY('BRA PWR Certificates'!A271,3),'Master Data'!$A$2:$A$8,0),2)</f>
        <v>Su</v>
      </c>
      <c r="D271" s="124" t="n">
        <v>0</v>
      </c>
      <c r="E271" s="124" t="n">
        <v>0</v>
      </c>
      <c r="F271" s="124" t="n">
        <v>0</v>
      </c>
      <c r="G271" s="124" t="n">
        <v>0</v>
      </c>
      <c r="I271" s="124" t="n">
        <f aca="false">IF(MONTH($A271)=MONTH($A270),IF(G271=0,I270,G271),G271)</f>
        <v>-55718.9645710834</v>
      </c>
      <c r="J271" s="124" t="n">
        <f aca="false">IF(MONTH($A271)=MONTH($A270),SUM(I271-I270),I271)</f>
        <v>0</v>
      </c>
      <c r="K271" s="124" t="n">
        <f aca="false">IF(WEEKDAY(A271,3)&gt;4,0,(IF(A271&lt;K$2,0,IF(A271&lt;=K$3,1,0))))</f>
        <v>0</v>
      </c>
      <c r="L271" s="124" t="n">
        <f aca="false">J271*K271</f>
        <v>0</v>
      </c>
      <c r="M271" s="124" t="n">
        <f aca="false">SUM(J$188:J271)</f>
        <v>642054.524317805</v>
      </c>
      <c r="N271" s="124" t="n">
        <f aca="false">SUM(J$6:J271)</f>
        <v>642054.524317805</v>
      </c>
      <c r="P271" s="124" t="n">
        <f aca="false">D271/P$3</f>
        <v>0</v>
      </c>
      <c r="Q271" s="124" t="n">
        <f aca="false">E271/P$3</f>
        <v>0</v>
      </c>
      <c r="R271" s="124" t="n">
        <f aca="false">F271/R$3</f>
        <v>0</v>
      </c>
      <c r="S271" s="126" t="n">
        <f aca="false">J271/$R$3</f>
        <v>0</v>
      </c>
      <c r="T271" s="126" t="n">
        <f aca="false">L271/$R$3</f>
        <v>0</v>
      </c>
      <c r="U271" s="126" t="n">
        <f aca="false">I271/$R$3</f>
        <v>-55.7189645710834</v>
      </c>
      <c r="V271" s="126" t="n">
        <f aca="false">M271/$R$3</f>
        <v>642.054524317805</v>
      </c>
      <c r="W271" s="126" t="n">
        <f aca="false">N271/$R$3</f>
        <v>642.054524317805</v>
      </c>
    </row>
    <row r="272" customFormat="false" ht="12.75" hidden="true" customHeight="false" outlineLevel="0" collapsed="false">
      <c r="A272" s="120" t="n">
        <f aca="false">A271+1</f>
        <v>37158</v>
      </c>
      <c r="B272" s="131" t="str">
        <f aca="false">INDEX('Master Data'!$A$2:$B$8,MATCH(WEEKDAY('BRA PWR Certificates'!A272,3),'Master Data'!$A$2:$A$8,0),2)</f>
        <v>M</v>
      </c>
      <c r="D272" s="124" t="n">
        <v>71626</v>
      </c>
      <c r="E272" s="124" t="n">
        <v>71626</v>
      </c>
      <c r="F272" s="124" t="n">
        <v>0</v>
      </c>
      <c r="G272" s="124" t="n">
        <v>-55733.5845710834</v>
      </c>
      <c r="I272" s="124" t="n">
        <f aca="false">IF(MONTH($A272)=MONTH($A271),IF(G272=0,I271,G272),G272)</f>
        <v>-55733.5845710834</v>
      </c>
      <c r="J272" s="124" t="n">
        <f aca="false">IF(MONTH($A272)=MONTH($A271),SUM(I272-I271),I272)</f>
        <v>-14.6199999999953</v>
      </c>
      <c r="K272" s="124" t="n">
        <f aca="false">IF(WEEKDAY(A272,3)&gt;4,0,(IF(A272&lt;K$2,0,IF(A272&lt;=K$3,1,0))))</f>
        <v>0</v>
      </c>
      <c r="L272" s="124" t="n">
        <f aca="false">J272*K272</f>
        <v>-0</v>
      </c>
      <c r="M272" s="124" t="n">
        <f aca="false">SUM(J$188:J272)</f>
        <v>642039.904317805</v>
      </c>
      <c r="N272" s="124" t="n">
        <f aca="false">SUM(J$6:J272)</f>
        <v>642039.904317805</v>
      </c>
      <c r="P272" s="124" t="n">
        <f aca="false">D272/P$3</f>
        <v>0.071626</v>
      </c>
      <c r="Q272" s="124" t="n">
        <f aca="false">E272/P$3</f>
        <v>0.071626</v>
      </c>
      <c r="R272" s="124" t="n">
        <f aca="false">F272/R$3</f>
        <v>0</v>
      </c>
      <c r="S272" s="126" t="n">
        <f aca="false">J272/$R$3</f>
        <v>-0.0146199999999953</v>
      </c>
      <c r="T272" s="126" t="n">
        <f aca="false">L272/$R$3</f>
        <v>-0</v>
      </c>
      <c r="U272" s="126" t="n">
        <f aca="false">I272/$R$3</f>
        <v>-55.7335845710834</v>
      </c>
      <c r="V272" s="126" t="n">
        <f aca="false">M272/$R$3</f>
        <v>642.039904317805</v>
      </c>
      <c r="W272" s="126" t="n">
        <f aca="false">N272/$R$3</f>
        <v>642.039904317805</v>
      </c>
    </row>
    <row r="273" customFormat="false" ht="12.75" hidden="true" customHeight="false" outlineLevel="0" collapsed="false">
      <c r="A273" s="120" t="n">
        <f aca="false">A272+1</f>
        <v>37159</v>
      </c>
      <c r="B273" s="131" t="str">
        <f aca="false">INDEX('Master Data'!$A$2:$B$8,MATCH(WEEKDAY('BRA PWR Certificates'!A273,3),'Master Data'!$A$2:$A$8,0),2)</f>
        <v>T</v>
      </c>
      <c r="D273" s="124" t="n">
        <v>71626</v>
      </c>
      <c r="E273" s="124" t="n">
        <v>71626</v>
      </c>
      <c r="F273" s="124" t="n">
        <v>0</v>
      </c>
      <c r="G273" s="124" t="n">
        <v>19642.7854289166</v>
      </c>
      <c r="I273" s="124" t="n">
        <f aca="false">IF(MONTH($A273)=MONTH($A272),IF(G273=0,I272,G273),G273)</f>
        <v>19642.7854289166</v>
      </c>
      <c r="J273" s="124" t="n">
        <f aca="false">IF(MONTH($A273)=MONTH($A272),SUM(I273-I272),I273)</f>
        <v>75376.37</v>
      </c>
      <c r="K273" s="124" t="n">
        <f aca="false">IF(WEEKDAY(A273,3)&gt;4,0,(IF(A273&lt;K$2,0,IF(A273&lt;=K$3,1,0))))</f>
        <v>0</v>
      </c>
      <c r="L273" s="124" t="n">
        <f aca="false">J273*K273</f>
        <v>0</v>
      </c>
      <c r="M273" s="124" t="n">
        <f aca="false">SUM(J$188:J273)</f>
        <v>717416.274317805</v>
      </c>
      <c r="N273" s="124" t="n">
        <f aca="false">SUM(J$6:J273)</f>
        <v>717416.274317805</v>
      </c>
      <c r="P273" s="124" t="n">
        <f aca="false">D273/P$3</f>
        <v>0.071626</v>
      </c>
      <c r="Q273" s="124" t="n">
        <f aca="false">E273/P$3</f>
        <v>0.071626</v>
      </c>
      <c r="R273" s="124" t="n">
        <f aca="false">F273/R$3</f>
        <v>0</v>
      </c>
      <c r="S273" s="126" t="n">
        <f aca="false">J273/$R$3</f>
        <v>75.37637</v>
      </c>
      <c r="T273" s="126" t="n">
        <f aca="false">L273/$R$3</f>
        <v>0</v>
      </c>
      <c r="U273" s="126" t="n">
        <f aca="false">I273/$R$3</f>
        <v>19.6427854289166</v>
      </c>
      <c r="V273" s="126" t="n">
        <f aca="false">M273/$R$3</f>
        <v>717.416274317806</v>
      </c>
      <c r="W273" s="126" t="n">
        <f aca="false">N273/$R$3</f>
        <v>717.416274317806</v>
      </c>
    </row>
    <row r="274" customFormat="false" ht="12.75" hidden="true" customHeight="false" outlineLevel="0" collapsed="false">
      <c r="A274" s="120" t="n">
        <f aca="false">A273+1</f>
        <v>37160</v>
      </c>
      <c r="B274" s="131" t="str">
        <f aca="false">INDEX('Master Data'!$A$2:$B$8,MATCH(WEEKDAY('BRA PWR Certificates'!A274,3),'Master Data'!$A$2:$A$8,0),2)</f>
        <v>W</v>
      </c>
      <c r="D274" s="124" t="n">
        <v>71626</v>
      </c>
      <c r="E274" s="124" t="n">
        <v>71626</v>
      </c>
      <c r="F274" s="124" t="n">
        <v>0</v>
      </c>
      <c r="G274" s="124" t="n">
        <v>19637.9054289166</v>
      </c>
      <c r="I274" s="124" t="n">
        <f aca="false">IF(MONTH($A274)=MONTH($A273),IF(G274=0,I273,G274),G274)</f>
        <v>19637.9054289166</v>
      </c>
      <c r="J274" s="124" t="n">
        <f aca="false">IF(MONTH($A274)=MONTH($A273),SUM(I274-I273),I274)</f>
        <v>-4.88000000000466</v>
      </c>
      <c r="K274" s="124" t="n">
        <f aca="false">IF(WEEKDAY(A274,3)&gt;4,0,(IF(A274&lt;K$2,0,IF(A274&lt;=K$3,1,0))))</f>
        <v>0</v>
      </c>
      <c r="L274" s="124" t="n">
        <f aca="false">J274*K274</f>
        <v>-0</v>
      </c>
      <c r="M274" s="124" t="n">
        <f aca="false">SUM(J$188:J274)</f>
        <v>717411.394317805</v>
      </c>
      <c r="N274" s="124" t="n">
        <f aca="false">SUM(J$6:J274)</f>
        <v>717411.394317805</v>
      </c>
      <c r="P274" s="124" t="n">
        <f aca="false">D274/P$3</f>
        <v>0.071626</v>
      </c>
      <c r="Q274" s="124" t="n">
        <f aca="false">E274/P$3</f>
        <v>0.071626</v>
      </c>
      <c r="R274" s="124" t="n">
        <f aca="false">F274/R$3</f>
        <v>0</v>
      </c>
      <c r="S274" s="126" t="n">
        <f aca="false">J274/$R$3</f>
        <v>-0.00488000000000466</v>
      </c>
      <c r="T274" s="126" t="n">
        <f aca="false">L274/$R$3</f>
        <v>-0</v>
      </c>
      <c r="U274" s="126" t="n">
        <f aca="false">I274/$R$3</f>
        <v>19.6379054289166</v>
      </c>
      <c r="V274" s="126" t="n">
        <f aca="false">M274/$R$3</f>
        <v>717.411394317805</v>
      </c>
      <c r="W274" s="126" t="n">
        <f aca="false">N274/$R$3</f>
        <v>717.411394317805</v>
      </c>
    </row>
    <row r="275" customFormat="false" ht="12.75" hidden="true" customHeight="false" outlineLevel="0" collapsed="false">
      <c r="A275" s="120" t="n">
        <f aca="false">A274+1</f>
        <v>37161</v>
      </c>
      <c r="B275" s="131" t="str">
        <f aca="false">INDEX('Master Data'!$A$2:$B$8,MATCH(WEEKDAY('BRA PWR Certificates'!A275,3),'Master Data'!$A$2:$A$8,0),2)</f>
        <v>Th</v>
      </c>
      <c r="D275" s="124" t="n">
        <v>71626</v>
      </c>
      <c r="E275" s="124" t="n">
        <v>71626</v>
      </c>
      <c r="F275" s="124" t="n">
        <v>0</v>
      </c>
      <c r="G275" s="124" t="n">
        <v>-387284.806427883</v>
      </c>
      <c r="I275" s="124" t="n">
        <f aca="false">IF(MONTH($A275)=MONTH($A274),IF(G275=0,I274,G275),G275)</f>
        <v>-387284.806427883</v>
      </c>
      <c r="J275" s="124" t="n">
        <f aca="false">IF(MONTH($A275)=MONTH($A274),SUM(I275-I274),I275)</f>
        <v>-406922.711856799</v>
      </c>
      <c r="K275" s="124" t="n">
        <f aca="false">IF(WEEKDAY(A275,3)&gt;4,0,(IF(A275&lt;K$2,0,IF(A275&lt;=K$3,1,0))))</f>
        <v>0</v>
      </c>
      <c r="L275" s="124" t="n">
        <f aca="false">J275*K275</f>
        <v>-0</v>
      </c>
      <c r="M275" s="124" t="n">
        <f aca="false">SUM(J$188:J275)</f>
        <v>310488.682461006</v>
      </c>
      <c r="N275" s="124" t="n">
        <f aca="false">SUM(J$6:J275)</f>
        <v>310488.682461006</v>
      </c>
      <c r="P275" s="124" t="n">
        <f aca="false">D275/P$3</f>
        <v>0.071626</v>
      </c>
      <c r="Q275" s="124" t="n">
        <f aca="false">E275/P$3</f>
        <v>0.071626</v>
      </c>
      <c r="R275" s="124" t="n">
        <f aca="false">F275/R$3</f>
        <v>0</v>
      </c>
      <c r="S275" s="126" t="n">
        <f aca="false">J275/$R$3</f>
        <v>-406.922711856799</v>
      </c>
      <c r="T275" s="126" t="n">
        <f aca="false">L275/$R$3</f>
        <v>-0</v>
      </c>
      <c r="U275" s="126" t="n">
        <f aca="false">I275/$R$3</f>
        <v>-387.284806427883</v>
      </c>
      <c r="V275" s="126" t="n">
        <f aca="false">M275/$R$3</f>
        <v>310.488682461006</v>
      </c>
      <c r="W275" s="126" t="n">
        <f aca="false">N275/$R$3</f>
        <v>310.488682461006</v>
      </c>
    </row>
    <row r="276" customFormat="false" ht="12.75" hidden="false" customHeight="false" outlineLevel="0" collapsed="false">
      <c r="A276" s="120" t="n">
        <f aca="false">A275+1</f>
        <v>37162</v>
      </c>
      <c r="B276" s="131" t="str">
        <f aca="false">INDEX('Master Data'!$A$2:$B$8,MATCH(WEEKDAY('BRA PWR Certificates'!A276,3),'Master Data'!$A$2:$A$8,0),2)</f>
        <v>F</v>
      </c>
      <c r="D276" s="124" t="n">
        <v>71626</v>
      </c>
      <c r="E276" s="124" t="n">
        <v>71626</v>
      </c>
      <c r="F276" s="124" t="n">
        <v>0</v>
      </c>
      <c r="G276" s="124" t="n">
        <v>-693703.42137972</v>
      </c>
      <c r="I276" s="124" t="n">
        <f aca="false">IF(MONTH($A276)=MONTH($A275),IF(G276=0,I275,G276),G276)</f>
        <v>-693703.42137972</v>
      </c>
      <c r="J276" s="124" t="n">
        <f aca="false">IF(MONTH($A276)=MONTH($A275),SUM(I276-I275),I276)</f>
        <v>-306418.614951837</v>
      </c>
      <c r="K276" s="124" t="n">
        <f aca="false">IF(WEEKDAY(A276,3)&gt;4,0,(IF(A276&lt;K$2,0,IF(A276&lt;=K$3,1,0))))</f>
        <v>0</v>
      </c>
      <c r="L276" s="124" t="n">
        <f aca="false">J276*K276</f>
        <v>-0</v>
      </c>
      <c r="M276" s="124" t="n">
        <f aca="false">SUM(J$188:J276)</f>
        <v>4070.06750916922</v>
      </c>
      <c r="N276" s="124" t="n">
        <f aca="false">SUM(J$6:J276)</f>
        <v>4070.06750916922</v>
      </c>
      <c r="P276" s="124" t="n">
        <f aca="false">D276/P$3</f>
        <v>0.071626</v>
      </c>
      <c r="Q276" s="124" t="n">
        <f aca="false">E276/P$3</f>
        <v>0.071626</v>
      </c>
      <c r="R276" s="124" t="n">
        <f aca="false">F276/R$3</f>
        <v>0</v>
      </c>
      <c r="S276" s="126" t="n">
        <f aca="false">J276/$R$3</f>
        <v>-306.418614951837</v>
      </c>
      <c r="T276" s="126" t="n">
        <f aca="false">L276/$R$3</f>
        <v>-0</v>
      </c>
      <c r="U276" s="126" t="n">
        <f aca="false">I276/$R$3</f>
        <v>-693.70342137972</v>
      </c>
      <c r="V276" s="126" t="n">
        <f aca="false">M276/$R$3</f>
        <v>4.07006750916923</v>
      </c>
      <c r="W276" s="126" t="n">
        <f aca="false">N276/$R$3</f>
        <v>4.07006750916923</v>
      </c>
    </row>
    <row r="277" customFormat="false" ht="12.75" hidden="false" customHeight="false" outlineLevel="0" collapsed="false">
      <c r="A277" s="120" t="n">
        <f aca="false">A276+1</f>
        <v>37163</v>
      </c>
      <c r="B277" s="131" t="str">
        <f aca="false">INDEX('Master Data'!$A$2:$B$8,MATCH(WEEKDAY('BRA PWR Certificates'!A277,3),'Master Data'!$A$2:$A$8,0),2)</f>
        <v>Sa</v>
      </c>
      <c r="D277" s="124" t="n">
        <v>0</v>
      </c>
      <c r="E277" s="124" t="n">
        <v>0</v>
      </c>
      <c r="F277" s="124" t="n">
        <v>0</v>
      </c>
      <c r="G277" s="124" t="n">
        <v>0</v>
      </c>
      <c r="I277" s="124" t="n">
        <f aca="false">IF(MONTH($A277)=MONTH($A276),IF(G277=0,I276,G277),G277)</f>
        <v>-693703.42137972</v>
      </c>
      <c r="J277" s="124" t="n">
        <f aca="false">IF(MONTH($A277)=MONTH($A276),SUM(I277-I276),I277)</f>
        <v>0</v>
      </c>
      <c r="K277" s="124" t="n">
        <f aca="false">IF(WEEKDAY(A277,3)&gt;4,0,(IF(A277&lt;K$2,0,IF(A277&lt;=K$3,1,0))))</f>
        <v>0</v>
      </c>
      <c r="L277" s="124" t="n">
        <f aca="false">J277*K277</f>
        <v>0</v>
      </c>
      <c r="M277" s="124" t="n">
        <f aca="false">SUM(J$188:J277)</f>
        <v>4070.06750916922</v>
      </c>
      <c r="N277" s="124" t="n">
        <f aca="false">SUM(J$6:J277)</f>
        <v>4070.06750916922</v>
      </c>
      <c r="P277" s="124" t="n">
        <f aca="false">D277/P$3</f>
        <v>0</v>
      </c>
      <c r="Q277" s="124" t="n">
        <f aca="false">E277/P$3</f>
        <v>0</v>
      </c>
      <c r="R277" s="124" t="n">
        <f aca="false">F277/R$3</f>
        <v>0</v>
      </c>
      <c r="S277" s="126" t="n">
        <f aca="false">J277/$R$3</f>
        <v>0</v>
      </c>
      <c r="T277" s="126" t="n">
        <f aca="false">L277/$R$3</f>
        <v>0</v>
      </c>
      <c r="U277" s="126" t="n">
        <f aca="false">I277/$R$3</f>
        <v>-693.70342137972</v>
      </c>
      <c r="V277" s="126" t="n">
        <f aca="false">M277/$R$3</f>
        <v>4.07006750916923</v>
      </c>
      <c r="W277" s="126" t="n">
        <f aca="false">N277/$R$3</f>
        <v>4.07006750916923</v>
      </c>
    </row>
    <row r="278" customFormat="false" ht="12.75" hidden="false" customHeight="false" outlineLevel="0" collapsed="false">
      <c r="A278" s="120" t="n">
        <f aca="false">A277+1</f>
        <v>37164</v>
      </c>
      <c r="B278" s="131" t="str">
        <f aca="false">INDEX('Master Data'!$A$2:$B$8,MATCH(WEEKDAY('BRA PWR Certificates'!A278,3),'Master Data'!$A$2:$A$8,0),2)</f>
        <v>Su</v>
      </c>
      <c r="D278" s="124" t="n">
        <v>0</v>
      </c>
      <c r="E278" s="124" t="n">
        <v>0</v>
      </c>
      <c r="F278" s="124" t="n">
        <v>0</v>
      </c>
      <c r="G278" s="124" t="n">
        <v>0</v>
      </c>
      <c r="I278" s="124" t="n">
        <f aca="false">IF(MONTH($A278)=MONTH($A277),IF(G278=0,I277,G278),G278)</f>
        <v>-693703.42137972</v>
      </c>
      <c r="J278" s="124" t="n">
        <f aca="false">IF(MONTH($A278)=MONTH($A277),SUM(I278-I277),I278)</f>
        <v>0</v>
      </c>
      <c r="K278" s="124" t="n">
        <f aca="false">IF(WEEKDAY(A278,3)&gt;4,0,(IF(A278&lt;K$2,0,IF(A278&lt;=K$3,1,0))))</f>
        <v>0</v>
      </c>
      <c r="L278" s="124" t="n">
        <f aca="false">J278*K278</f>
        <v>0</v>
      </c>
      <c r="M278" s="124" t="n">
        <f aca="false">SUM(J$188:J278)</f>
        <v>4070.06750916922</v>
      </c>
      <c r="N278" s="124" t="n">
        <f aca="false">SUM(J$6:J278)</f>
        <v>4070.06750916922</v>
      </c>
      <c r="P278" s="124" t="n">
        <f aca="false">D278/P$3</f>
        <v>0</v>
      </c>
      <c r="Q278" s="124" t="n">
        <f aca="false">E278/P$3</f>
        <v>0</v>
      </c>
      <c r="R278" s="124" t="n">
        <f aca="false">F278/R$3</f>
        <v>0</v>
      </c>
      <c r="S278" s="126" t="n">
        <f aca="false">J278/$R$3</f>
        <v>0</v>
      </c>
      <c r="T278" s="126" t="n">
        <f aca="false">L278/$R$3</f>
        <v>0</v>
      </c>
      <c r="U278" s="126" t="n">
        <f aca="false">I278/$R$3</f>
        <v>-693.70342137972</v>
      </c>
      <c r="V278" s="126" t="n">
        <f aca="false">M278/$R$3</f>
        <v>4.07006750916923</v>
      </c>
      <c r="W278" s="126" t="n">
        <f aca="false">N278/$R$3</f>
        <v>4.07006750916923</v>
      </c>
    </row>
    <row r="279" customFormat="false" ht="12.75" hidden="true" customHeight="false" outlineLevel="0" collapsed="false">
      <c r="A279" s="120" t="n">
        <f aca="false">A278+1</f>
        <v>37165</v>
      </c>
      <c r="B279" s="131" t="str">
        <f aca="false">INDEX('Master Data'!$A$2:$B$8,MATCH(WEEKDAY('BRA PWR Certificates'!A279,3),'Master Data'!$A$2:$A$8,0),2)</f>
        <v>M</v>
      </c>
      <c r="D279" s="124" t="n">
        <v>71626</v>
      </c>
      <c r="E279" s="124" t="n">
        <v>71626</v>
      </c>
      <c r="F279" s="124" t="n">
        <v>0</v>
      </c>
      <c r="G279" s="124" t="n">
        <v>10947.3450997</v>
      </c>
      <c r="I279" s="124" t="n">
        <f aca="false">IF(MONTH($A279)=MONTH($A278),IF(G279=0,I278,G279),G279)</f>
        <v>10947.3450997</v>
      </c>
      <c r="J279" s="124" t="n">
        <f aca="false">IF(MONTH($A279)=MONTH($A278),SUM(I279-I278),I279)</f>
        <v>10947.3450997</v>
      </c>
      <c r="K279" s="124" t="n">
        <f aca="false">IF(WEEKDAY(A279,3)&gt;4,0,(IF(A279&lt;K$2,0,IF(A279&lt;=K$3,1,0))))</f>
        <v>0</v>
      </c>
      <c r="L279" s="124" t="n">
        <f aca="false">J279*K279</f>
        <v>0</v>
      </c>
      <c r="M279" s="124" t="n">
        <f aca="false">SUM(J$188:J279)</f>
        <v>15017.4126088692</v>
      </c>
      <c r="N279" s="124" t="n">
        <f aca="false">SUM(J$6:J279)</f>
        <v>15017.4126088692</v>
      </c>
      <c r="P279" s="124" t="n">
        <f aca="false">D279/P$3</f>
        <v>0.071626</v>
      </c>
      <c r="Q279" s="124" t="n">
        <f aca="false">E279/P$3</f>
        <v>0.071626</v>
      </c>
      <c r="R279" s="124" t="n">
        <f aca="false">F279/R$3</f>
        <v>0</v>
      </c>
      <c r="S279" s="126" t="n">
        <f aca="false">J279/$R$3</f>
        <v>10.9473450997</v>
      </c>
      <c r="T279" s="126" t="n">
        <f aca="false">L279/$R$3</f>
        <v>0</v>
      </c>
      <c r="U279" s="126" t="n">
        <f aca="false">I279/$R$3</f>
        <v>10.9473450997</v>
      </c>
      <c r="V279" s="126" t="n">
        <f aca="false">M279/$R$3</f>
        <v>15.0174126088692</v>
      </c>
      <c r="W279" s="126" t="n">
        <f aca="false">N279/$R$3</f>
        <v>15.0174126088692</v>
      </c>
    </row>
    <row r="280" customFormat="false" ht="12.75" hidden="true" customHeight="false" outlineLevel="0" collapsed="false">
      <c r="A280" s="120" t="n">
        <f aca="false">A279+1</f>
        <v>37166</v>
      </c>
      <c r="B280" s="131" t="str">
        <f aca="false">INDEX('Master Data'!$A$2:$B$8,MATCH(WEEKDAY('BRA PWR Certificates'!A280,3),'Master Data'!$A$2:$A$8,0),2)</f>
        <v>T</v>
      </c>
      <c r="D280" s="124" t="n">
        <v>71626</v>
      </c>
      <c r="E280" s="124" t="n">
        <v>71626</v>
      </c>
      <c r="F280" s="124" t="n">
        <v>0</v>
      </c>
      <c r="G280" s="124" t="n">
        <v>18659.4350997</v>
      </c>
      <c r="I280" s="124" t="n">
        <f aca="false">IF(MONTH($A280)=MONTH($A279),IF(G280=0,I279,G280),G280)</f>
        <v>18659.4350997</v>
      </c>
      <c r="J280" s="124" t="n">
        <f aca="false">IF(MONTH($A280)=MONTH($A279),SUM(I280-I279),I280)</f>
        <v>7712.09</v>
      </c>
      <c r="K280" s="124" t="n">
        <f aca="false">IF(WEEKDAY(A280,3)&gt;4,0,(IF(A280&lt;K$2,0,IF(A280&lt;=K$3,1,0))))</f>
        <v>0</v>
      </c>
      <c r="L280" s="124" t="n">
        <f aca="false">J280*K280</f>
        <v>0</v>
      </c>
      <c r="M280" s="124" t="n">
        <f aca="false">SUM(J$280:J280)</f>
        <v>7712.09</v>
      </c>
      <c r="N280" s="124" t="n">
        <f aca="false">SUM(J$6:J280)</f>
        <v>22729.5026088692</v>
      </c>
      <c r="P280" s="124" t="n">
        <f aca="false">D280/P$3</f>
        <v>0.071626</v>
      </c>
      <c r="Q280" s="124" t="n">
        <f aca="false">E280/P$3</f>
        <v>0.071626</v>
      </c>
      <c r="R280" s="124" t="n">
        <f aca="false">F280/R$3</f>
        <v>0</v>
      </c>
      <c r="S280" s="126" t="n">
        <f aca="false">J280/$R$3</f>
        <v>7.71209</v>
      </c>
      <c r="T280" s="126" t="n">
        <f aca="false">L280/$R$3</f>
        <v>0</v>
      </c>
      <c r="U280" s="126" t="n">
        <f aca="false">I280/$R$3</f>
        <v>18.6594350997</v>
      </c>
      <c r="V280" s="126" t="n">
        <f aca="false">M280/$R$3</f>
        <v>7.71209</v>
      </c>
      <c r="W280" s="126" t="n">
        <f aca="false">N280/$R$3</f>
        <v>22.7295026088692</v>
      </c>
    </row>
    <row r="281" customFormat="false" ht="12.75" hidden="true" customHeight="false" outlineLevel="0" collapsed="false">
      <c r="A281" s="120" t="n">
        <f aca="false">A280+1</f>
        <v>37167</v>
      </c>
      <c r="B281" s="131" t="str">
        <f aca="false">INDEX('Master Data'!$A$2:$B$8,MATCH(WEEKDAY('BRA PWR Certificates'!A281,3),'Master Data'!$A$2:$A$8,0),2)</f>
        <v>W</v>
      </c>
      <c r="D281" s="124" t="n">
        <v>71626</v>
      </c>
      <c r="E281" s="124" t="n">
        <v>71626</v>
      </c>
      <c r="F281" s="124" t="n">
        <v>0</v>
      </c>
      <c r="G281" s="124" t="n">
        <v>18656.29</v>
      </c>
      <c r="I281" s="124" t="n">
        <f aca="false">IF(MONTH($A281)=MONTH($A280),IF(G281=0,I280,G281),G281)</f>
        <v>18656.29</v>
      </c>
      <c r="J281" s="124" t="n">
        <f aca="false">IF(MONTH($A281)=MONTH($A280),SUM(I281-I280),I281)</f>
        <v>-3.14509969999926</v>
      </c>
      <c r="K281" s="124" t="n">
        <f aca="false">IF(WEEKDAY(A281,3)&gt;4,0,(IF(A281&lt;K$2,0,IF(A281&lt;=K$3,1,0))))</f>
        <v>0</v>
      </c>
      <c r="L281" s="124" t="n">
        <f aca="false">J281*K281</f>
        <v>-0</v>
      </c>
      <c r="M281" s="124" t="n">
        <f aca="false">SUM(J$280:J281)</f>
        <v>7708.9449003</v>
      </c>
      <c r="N281" s="124" t="n">
        <f aca="false">SUM(J$6:J281)</f>
        <v>22726.3575091692</v>
      </c>
      <c r="P281" s="124" t="n">
        <f aca="false">D281/P$3</f>
        <v>0.071626</v>
      </c>
      <c r="Q281" s="124" t="n">
        <f aca="false">E281/P$3</f>
        <v>0.071626</v>
      </c>
      <c r="R281" s="124" t="n">
        <f aca="false">F281/R$3</f>
        <v>0</v>
      </c>
      <c r="S281" s="126" t="n">
        <f aca="false">J281/$R$3</f>
        <v>-0.00314509969999926</v>
      </c>
      <c r="T281" s="126" t="n">
        <f aca="false">L281/$R$3</f>
        <v>-0</v>
      </c>
      <c r="U281" s="126" t="n">
        <f aca="false">I281/$R$3</f>
        <v>18.65629</v>
      </c>
      <c r="V281" s="126" t="n">
        <f aca="false">M281/$R$3</f>
        <v>7.7089449003</v>
      </c>
      <c r="W281" s="126" t="n">
        <f aca="false">N281/$R$3</f>
        <v>22.7263575091692</v>
      </c>
    </row>
    <row r="282" customFormat="false" ht="12.75" hidden="true" customHeight="false" outlineLevel="0" collapsed="false">
      <c r="A282" s="120" t="n">
        <f aca="false">A281+1</f>
        <v>37168</v>
      </c>
      <c r="B282" s="131" t="str">
        <f aca="false">INDEX('Master Data'!$A$2:$B$8,MATCH(WEEKDAY('BRA PWR Certificates'!A282,3),'Master Data'!$A$2:$A$8,0),2)</f>
        <v>Th</v>
      </c>
      <c r="D282" s="124" t="n">
        <v>71626</v>
      </c>
      <c r="E282" s="124" t="n">
        <v>71626</v>
      </c>
      <c r="F282" s="124" t="n">
        <v>0</v>
      </c>
      <c r="G282" s="124" t="n">
        <v>15463.4859478715</v>
      </c>
      <c r="I282" s="124" t="n">
        <f aca="false">IF(MONTH($A282)=MONTH($A281),IF(G282=0,I281,G282),G282)</f>
        <v>15463.4859478715</v>
      </c>
      <c r="J282" s="124" t="n">
        <f aca="false">IF(MONTH($A282)=MONTH($A281),SUM(I282-I281),I282)</f>
        <v>-3192.80405212851</v>
      </c>
      <c r="K282" s="124" t="n">
        <f aca="false">IF(WEEKDAY(A282,3)&gt;4,0,(IF(A282&lt;K$2,0,IF(A282&lt;=K$3,1,0))))</f>
        <v>0</v>
      </c>
      <c r="L282" s="124" t="n">
        <f aca="false">J282*K282</f>
        <v>-0</v>
      </c>
      <c r="M282" s="124" t="n">
        <f aca="false">SUM(J$280:J282)</f>
        <v>4516.14084817149</v>
      </c>
      <c r="N282" s="124" t="n">
        <f aca="false">SUM(J$6:J282)</f>
        <v>19533.5534570407</v>
      </c>
      <c r="P282" s="124" t="n">
        <f aca="false">D282/P$3</f>
        <v>0.071626</v>
      </c>
      <c r="Q282" s="124" t="n">
        <f aca="false">E282/P$3</f>
        <v>0.071626</v>
      </c>
      <c r="R282" s="124" t="n">
        <f aca="false">F282/R$3</f>
        <v>0</v>
      </c>
      <c r="S282" s="126" t="n">
        <f aca="false">J282/$R$3</f>
        <v>-3.19280405212851</v>
      </c>
      <c r="T282" s="126" t="n">
        <f aca="false">L282/$R$3</f>
        <v>-0</v>
      </c>
      <c r="U282" s="126" t="n">
        <f aca="false">I282/$R$3</f>
        <v>15.4634859478715</v>
      </c>
      <c r="V282" s="126" t="n">
        <f aca="false">M282/$R$3</f>
        <v>4.51614084817149</v>
      </c>
      <c r="W282" s="126" t="n">
        <f aca="false">N282/$R$3</f>
        <v>19.5335534570407</v>
      </c>
    </row>
    <row r="283" customFormat="false" ht="12.75" hidden="true" customHeight="false" outlineLevel="0" collapsed="false">
      <c r="A283" s="120" t="n">
        <f aca="false">A282+1</f>
        <v>37169</v>
      </c>
      <c r="B283" s="131" t="str">
        <f aca="false">INDEX('Master Data'!$A$2:$B$8,MATCH(WEEKDAY('BRA PWR Certificates'!A283,3),'Master Data'!$A$2:$A$8,0),2)</f>
        <v>F</v>
      </c>
      <c r="D283" s="124" t="n">
        <v>71626</v>
      </c>
      <c r="E283" s="124" t="n">
        <v>71626</v>
      </c>
      <c r="F283" s="124" t="n">
        <v>0</v>
      </c>
      <c r="G283" s="124" t="n">
        <v>15460.3391445856</v>
      </c>
      <c r="I283" s="124" t="n">
        <f aca="false">IF(MONTH($A283)=MONTH($A282),IF(G283=0,I282,G283),G283)</f>
        <v>15460.3391445856</v>
      </c>
      <c r="J283" s="124" t="n">
        <f aca="false">IF(MONTH($A283)=MONTH($A282),SUM(I283-I282),I283)</f>
        <v>-3.14680328585382</v>
      </c>
      <c r="K283" s="124" t="n">
        <f aca="false">IF(WEEKDAY(A283,3)&gt;4,0,(IF(A283&lt;K$2,0,IF(A283&lt;=K$3,1,0))))</f>
        <v>0</v>
      </c>
      <c r="L283" s="124" t="n">
        <f aca="false">J283*K283</f>
        <v>-0</v>
      </c>
      <c r="M283" s="124" t="n">
        <f aca="false">SUM(J$280:J283)</f>
        <v>4512.99404488564</v>
      </c>
      <c r="N283" s="124" t="n">
        <f aca="false">SUM(J$6:J283)</f>
        <v>19530.4066537549</v>
      </c>
      <c r="P283" s="124" t="n">
        <f aca="false">D283/P$3</f>
        <v>0.071626</v>
      </c>
      <c r="Q283" s="124" t="n">
        <f aca="false">E283/P$3</f>
        <v>0.071626</v>
      </c>
      <c r="R283" s="124" t="n">
        <f aca="false">F283/R$3</f>
        <v>0</v>
      </c>
      <c r="S283" s="126" t="n">
        <f aca="false">J283/$R$3</f>
        <v>-0.00314680328585382</v>
      </c>
      <c r="T283" s="126" t="n">
        <f aca="false">L283/$R$3</f>
        <v>-0</v>
      </c>
      <c r="U283" s="126" t="n">
        <f aca="false">I283/$R$3</f>
        <v>15.4603391445856</v>
      </c>
      <c r="V283" s="126" t="n">
        <f aca="false">M283/$R$3</f>
        <v>4.51299404488564</v>
      </c>
      <c r="W283" s="126" t="n">
        <f aca="false">N283/$R$3</f>
        <v>19.5304066537549</v>
      </c>
    </row>
    <row r="284" customFormat="false" ht="12.75" hidden="true" customHeight="false" outlineLevel="0" collapsed="false">
      <c r="A284" s="120" t="n">
        <f aca="false">A283+1</f>
        <v>37170</v>
      </c>
      <c r="B284" s="131" t="str">
        <f aca="false">INDEX('Master Data'!$A$2:$B$8,MATCH(WEEKDAY('BRA PWR Certificates'!A284,3),'Master Data'!$A$2:$A$8,0),2)</f>
        <v>Sa</v>
      </c>
      <c r="D284" s="124" t="n">
        <v>0</v>
      </c>
      <c r="E284" s="124" t="n">
        <v>0</v>
      </c>
      <c r="F284" s="124" t="n">
        <v>0</v>
      </c>
      <c r="G284" s="124" t="n">
        <v>0</v>
      </c>
      <c r="I284" s="124" t="n">
        <f aca="false">IF(MONTH($A284)=MONTH($A283),IF(G284=0,I283,G284),G284)</f>
        <v>15460.3391445856</v>
      </c>
      <c r="J284" s="124" t="n">
        <f aca="false">IF(MONTH($A284)=MONTH($A283),SUM(I284-I283),I284)</f>
        <v>0</v>
      </c>
      <c r="K284" s="124" t="n">
        <f aca="false">IF(WEEKDAY(A284,3)&gt;4,0,(IF(A284&lt;K$2,0,IF(A284&lt;=K$3,1,0))))</f>
        <v>0</v>
      </c>
      <c r="L284" s="124" t="n">
        <f aca="false">J284*K284</f>
        <v>0</v>
      </c>
      <c r="M284" s="124" t="n">
        <f aca="false">SUM(J$280:J284)</f>
        <v>4512.99404488564</v>
      </c>
      <c r="N284" s="124" t="n">
        <f aca="false">SUM(J$6:J284)</f>
        <v>19530.4066537549</v>
      </c>
      <c r="P284" s="124" t="n">
        <f aca="false">D284/P$3</f>
        <v>0</v>
      </c>
      <c r="Q284" s="124" t="n">
        <f aca="false">E284/P$3</f>
        <v>0</v>
      </c>
      <c r="R284" s="124" t="n">
        <f aca="false">F284/R$3</f>
        <v>0</v>
      </c>
      <c r="S284" s="126" t="n">
        <f aca="false">J284/$R$3</f>
        <v>0</v>
      </c>
      <c r="T284" s="126" t="n">
        <f aca="false">L284/$R$3</f>
        <v>0</v>
      </c>
      <c r="U284" s="126" t="n">
        <f aca="false">I284/$R$3</f>
        <v>15.4603391445856</v>
      </c>
      <c r="V284" s="126" t="n">
        <f aca="false">M284/$R$3</f>
        <v>4.51299404488564</v>
      </c>
      <c r="W284" s="126" t="n">
        <f aca="false">N284/$R$3</f>
        <v>19.5304066537549</v>
      </c>
    </row>
    <row r="285" customFormat="false" ht="12.75" hidden="true" customHeight="false" outlineLevel="0" collapsed="false">
      <c r="A285" s="120" t="n">
        <f aca="false">A284+1</f>
        <v>37171</v>
      </c>
      <c r="B285" s="131" t="str">
        <f aca="false">INDEX('Master Data'!$A$2:$B$8,MATCH(WEEKDAY('BRA PWR Certificates'!A285,3),'Master Data'!$A$2:$A$8,0),2)</f>
        <v>Su</v>
      </c>
      <c r="D285" s="124" t="n">
        <v>0</v>
      </c>
      <c r="E285" s="124" t="n">
        <v>0</v>
      </c>
      <c r="F285" s="124" t="n">
        <v>0</v>
      </c>
      <c r="G285" s="124" t="n">
        <v>0</v>
      </c>
      <c r="I285" s="124" t="n">
        <f aca="false">IF(MONTH($A285)=MONTH($A284),IF(G285=0,I284,G285),G285)</f>
        <v>15460.3391445856</v>
      </c>
      <c r="J285" s="124" t="n">
        <f aca="false">IF(MONTH($A285)=MONTH($A284),SUM(I285-I284),I285)</f>
        <v>0</v>
      </c>
      <c r="K285" s="124" t="n">
        <f aca="false">IF(WEEKDAY(A285,3)&gt;4,0,(IF(A285&lt;K$2,0,IF(A285&lt;=K$3,1,0))))</f>
        <v>0</v>
      </c>
      <c r="L285" s="124" t="n">
        <f aca="false">J285*K285</f>
        <v>0</v>
      </c>
      <c r="M285" s="124" t="n">
        <f aca="false">SUM(J$280:J285)</f>
        <v>4512.99404488564</v>
      </c>
      <c r="N285" s="124" t="n">
        <f aca="false">SUM(J$6:J285)</f>
        <v>19530.4066537549</v>
      </c>
      <c r="P285" s="124" t="n">
        <f aca="false">D285/P$3</f>
        <v>0</v>
      </c>
      <c r="Q285" s="124" t="n">
        <f aca="false">E285/P$3</f>
        <v>0</v>
      </c>
      <c r="R285" s="124" t="n">
        <f aca="false">F285/R$3</f>
        <v>0</v>
      </c>
      <c r="S285" s="126" t="n">
        <f aca="false">J285/$R$3</f>
        <v>0</v>
      </c>
      <c r="T285" s="126" t="n">
        <f aca="false">L285/$R$3</f>
        <v>0</v>
      </c>
      <c r="U285" s="126" t="n">
        <f aca="false">I285/$R$3</f>
        <v>15.4603391445856</v>
      </c>
      <c r="V285" s="126" t="n">
        <f aca="false">M285/$R$3</f>
        <v>4.51299404488564</v>
      </c>
      <c r="W285" s="126" t="n">
        <f aca="false">N285/$R$3</f>
        <v>19.5304066537549</v>
      </c>
    </row>
    <row r="286" customFormat="false" ht="12.75" hidden="true" customHeight="false" outlineLevel="0" collapsed="false">
      <c r="A286" s="120" t="n">
        <f aca="false">A285+1</f>
        <v>37172</v>
      </c>
      <c r="B286" s="131" t="str">
        <f aca="false">INDEX('Master Data'!$A$2:$B$8,MATCH(WEEKDAY('BRA PWR Certificates'!A286,3),'Master Data'!$A$2:$A$8,0),2)</f>
        <v>M</v>
      </c>
      <c r="D286" s="124" t="n">
        <v>71626</v>
      </c>
      <c r="E286" s="124" t="n">
        <v>71626</v>
      </c>
      <c r="F286" s="124" t="n">
        <v>0</v>
      </c>
      <c r="G286" s="124" t="n">
        <v>18951.0391445856</v>
      </c>
      <c r="I286" s="124" t="n">
        <f aca="false">IF(MONTH($A286)=MONTH($A285),IF(G286=0,I285,G286),G286)</f>
        <v>18951.0391445856</v>
      </c>
      <c r="J286" s="124" t="n">
        <f aca="false">IF(MONTH($A286)=MONTH($A285),SUM(I286-I285),I286)</f>
        <v>3490.7</v>
      </c>
      <c r="K286" s="124" t="n">
        <f aca="false">IF(WEEKDAY(A286,3)&gt;4,0,(IF(A286&lt;K$2,0,IF(A286&lt;=K$3,1,0))))</f>
        <v>0</v>
      </c>
      <c r="L286" s="124" t="n">
        <f aca="false">J286*K286</f>
        <v>0</v>
      </c>
      <c r="M286" s="124" t="n">
        <f aca="false">SUM(J$280:J286)</f>
        <v>8003.69404488564</v>
      </c>
      <c r="N286" s="124" t="n">
        <f aca="false">SUM(J$6:J286)</f>
        <v>23021.1066537549</v>
      </c>
      <c r="P286" s="124" t="n">
        <f aca="false">D286/P$3</f>
        <v>0.071626</v>
      </c>
      <c r="Q286" s="124" t="n">
        <f aca="false">E286/P$3</f>
        <v>0.071626</v>
      </c>
      <c r="R286" s="124" t="n">
        <f aca="false">F286/R$3</f>
        <v>0</v>
      </c>
      <c r="S286" s="126" t="n">
        <f aca="false">J286/$R$3</f>
        <v>3.4907</v>
      </c>
      <c r="T286" s="126" t="n">
        <f aca="false">L286/$R$3</f>
        <v>0</v>
      </c>
      <c r="U286" s="126" t="n">
        <f aca="false">I286/$R$3</f>
        <v>18.9510391445856</v>
      </c>
      <c r="V286" s="126" t="n">
        <f aca="false">M286/$R$3</f>
        <v>8.00369404488564</v>
      </c>
      <c r="W286" s="126" t="n">
        <f aca="false">N286/$R$3</f>
        <v>23.0211066537549</v>
      </c>
    </row>
    <row r="287" customFormat="false" ht="12.75" hidden="true" customHeight="false" outlineLevel="0" collapsed="false">
      <c r="A287" s="120" t="n">
        <f aca="false">A286+1</f>
        <v>37173</v>
      </c>
      <c r="B287" s="131" t="str">
        <f aca="false">INDEX('Master Data'!$A$2:$B$8,MATCH(WEEKDAY('BRA PWR Certificates'!A287,3),'Master Data'!$A$2:$A$8,0),2)</f>
        <v>T</v>
      </c>
      <c r="D287" s="124" t="n">
        <v>71626</v>
      </c>
      <c r="E287" s="124" t="n">
        <v>71626</v>
      </c>
      <c r="F287" s="124" t="n">
        <v>0</v>
      </c>
      <c r="G287" s="124" t="n">
        <v>21374.2991445856</v>
      </c>
      <c r="I287" s="124" t="n">
        <f aca="false">IF(MONTH($A287)=MONTH($A286),IF(G287=0,I286,G287),G287)</f>
        <v>21374.2991445856</v>
      </c>
      <c r="J287" s="124" t="n">
        <f aca="false">IF(MONTH($A287)=MONTH($A286),SUM(I287-I286),I287)</f>
        <v>2423.26</v>
      </c>
      <c r="K287" s="124" t="n">
        <f aca="false">IF(WEEKDAY(A287,3)&gt;4,0,(IF(A287&lt;K$2,0,IF(A287&lt;=K$3,1,0))))</f>
        <v>0</v>
      </c>
      <c r="L287" s="124" t="n">
        <f aca="false">J287*K287</f>
        <v>0</v>
      </c>
      <c r="M287" s="124" t="n">
        <f aca="false">SUM(J$280:J287)</f>
        <v>10426.9540448856</v>
      </c>
      <c r="N287" s="124" t="n">
        <f aca="false">SUM(J$6:J287)</f>
        <v>25444.3666537549</v>
      </c>
      <c r="P287" s="124" t="n">
        <f aca="false">D287/P$3</f>
        <v>0.071626</v>
      </c>
      <c r="Q287" s="124" t="n">
        <f aca="false">E287/P$3</f>
        <v>0.071626</v>
      </c>
      <c r="R287" s="124" t="n">
        <f aca="false">F287/R$3</f>
        <v>0</v>
      </c>
      <c r="S287" s="126" t="n">
        <f aca="false">J287/$R$3</f>
        <v>2.42326</v>
      </c>
      <c r="T287" s="126" t="n">
        <f aca="false">L287/$R$3</f>
        <v>0</v>
      </c>
      <c r="U287" s="126" t="n">
        <f aca="false">I287/$R$3</f>
        <v>21.3742991445856</v>
      </c>
      <c r="V287" s="126" t="n">
        <f aca="false">M287/$R$3</f>
        <v>10.4269540448856</v>
      </c>
      <c r="W287" s="126" t="n">
        <f aca="false">N287/$R$3</f>
        <v>25.4443666537549</v>
      </c>
    </row>
    <row r="288" customFormat="false" ht="12.75" hidden="true" customHeight="false" outlineLevel="0" collapsed="false">
      <c r="A288" s="120" t="n">
        <f aca="false">A287+1</f>
        <v>37174</v>
      </c>
      <c r="B288" s="131" t="str">
        <f aca="false">INDEX('Master Data'!$A$2:$B$8,MATCH(WEEKDAY('BRA PWR Certificates'!A288,3),'Master Data'!$A$2:$A$8,0),2)</f>
        <v>W</v>
      </c>
      <c r="D288" s="124" t="n">
        <v>71626</v>
      </c>
      <c r="E288" s="124" t="n">
        <v>71626</v>
      </c>
      <c r="F288" s="124" t="n">
        <v>0</v>
      </c>
      <c r="G288" s="124" t="n">
        <v>21371.1391445856</v>
      </c>
      <c r="I288" s="124" t="n">
        <f aca="false">IF(MONTH($A288)=MONTH($A287),IF(G288=0,I287,G288),G288)</f>
        <v>21371.1391445856</v>
      </c>
      <c r="J288" s="124" t="n">
        <f aca="false">IF(MONTH($A288)=MONTH($A287),SUM(I288-I287),I288)</f>
        <v>-3.15999999999985</v>
      </c>
      <c r="K288" s="124" t="n">
        <f aca="false">IF(WEEKDAY(A288,3)&gt;4,0,(IF(A288&lt;K$2,0,IF(A288&lt;=K$3,1,0))))</f>
        <v>0</v>
      </c>
      <c r="L288" s="124" t="n">
        <f aca="false">J288*K288</f>
        <v>-0</v>
      </c>
      <c r="M288" s="124" t="n">
        <f aca="false">SUM(J$280:J288)</f>
        <v>10423.7940448856</v>
      </c>
      <c r="N288" s="124" t="n">
        <f aca="false">SUM(J$6:J288)</f>
        <v>25441.2066537549</v>
      </c>
      <c r="P288" s="124" t="n">
        <f aca="false">D288/P$3</f>
        <v>0.071626</v>
      </c>
      <c r="Q288" s="124" t="n">
        <f aca="false">E288/P$3</f>
        <v>0.071626</v>
      </c>
      <c r="R288" s="124" t="n">
        <f aca="false">F288/R$3</f>
        <v>0</v>
      </c>
      <c r="S288" s="126" t="n">
        <f aca="false">J288/$R$3</f>
        <v>-0.00315999999999985</v>
      </c>
      <c r="T288" s="126" t="n">
        <f aca="false">L288/$R$3</f>
        <v>-0</v>
      </c>
      <c r="U288" s="126" t="n">
        <f aca="false">I288/$R$3</f>
        <v>21.3711391445856</v>
      </c>
      <c r="V288" s="126" t="n">
        <f aca="false">M288/$R$3</f>
        <v>10.4237940448856</v>
      </c>
      <c r="W288" s="126" t="n">
        <f aca="false">N288/$R$3</f>
        <v>25.4412066537549</v>
      </c>
    </row>
    <row r="289" customFormat="false" ht="12.75" hidden="true" customHeight="false" outlineLevel="0" collapsed="false">
      <c r="A289" s="120" t="n">
        <f aca="false">A288+1</f>
        <v>37175</v>
      </c>
      <c r="B289" s="131" t="str">
        <f aca="false">INDEX('Master Data'!$A$2:$B$8,MATCH(WEEKDAY('BRA PWR Certificates'!A289,3),'Master Data'!$A$2:$A$8,0),2)</f>
        <v>Th</v>
      </c>
      <c r="D289" s="124" t="n">
        <v>71626</v>
      </c>
      <c r="E289" s="124" t="n">
        <v>71626</v>
      </c>
      <c r="F289" s="124" t="n">
        <v>0</v>
      </c>
      <c r="G289" s="124" t="n">
        <v>21367.9791445856</v>
      </c>
      <c r="I289" s="124" t="n">
        <f aca="false">IF(MONTH($A289)=MONTH($A288),IF(G289=0,I288,G289),G289)</f>
        <v>21367.9791445856</v>
      </c>
      <c r="J289" s="124" t="n">
        <f aca="false">IF(MONTH($A289)=MONTH($A288),SUM(I289-I288),I289)</f>
        <v>-3.15999999999985</v>
      </c>
      <c r="K289" s="124" t="n">
        <f aca="false">IF(WEEKDAY(A289,3)&gt;4,0,(IF(A289&lt;K$2,0,IF(A289&lt;=K$3,1,0))))</f>
        <v>0</v>
      </c>
      <c r="L289" s="124" t="n">
        <f aca="false">J289*K289</f>
        <v>-0</v>
      </c>
      <c r="M289" s="124" t="n">
        <f aca="false">SUM(J$280:J289)</f>
        <v>10420.6340448856</v>
      </c>
      <c r="N289" s="124" t="n">
        <f aca="false">SUM(J$6:J289)</f>
        <v>25438.0466537549</v>
      </c>
      <c r="P289" s="124" t="n">
        <f aca="false">D289/P$3</f>
        <v>0.071626</v>
      </c>
      <c r="Q289" s="124" t="n">
        <f aca="false">E289/P$3</f>
        <v>0.071626</v>
      </c>
      <c r="R289" s="124" t="n">
        <f aca="false">F289/R$3</f>
        <v>0</v>
      </c>
      <c r="S289" s="126" t="n">
        <f aca="false">J289/$R$3</f>
        <v>-0.00315999999999985</v>
      </c>
      <c r="T289" s="126" t="n">
        <f aca="false">L289/$R$3</f>
        <v>-0</v>
      </c>
      <c r="U289" s="126" t="n">
        <f aca="false">I289/$R$3</f>
        <v>21.3679791445856</v>
      </c>
      <c r="V289" s="126" t="n">
        <f aca="false">M289/$R$3</f>
        <v>10.4206340448856</v>
      </c>
      <c r="W289" s="126" t="n">
        <f aca="false">N289/$R$3</f>
        <v>25.4380466537549</v>
      </c>
    </row>
    <row r="290" customFormat="false" ht="12.75" hidden="true" customHeight="false" outlineLevel="0" collapsed="false">
      <c r="A290" s="120" t="n">
        <f aca="false">A289+1</f>
        <v>37176</v>
      </c>
      <c r="B290" s="131" t="str">
        <f aca="false">INDEX('Master Data'!$A$2:$B$8,MATCH(WEEKDAY('BRA PWR Certificates'!A290,3),'Master Data'!$A$2:$A$8,0),2)</f>
        <v>F</v>
      </c>
      <c r="D290" s="124" t="n">
        <v>71626</v>
      </c>
      <c r="E290" s="124" t="n">
        <v>71626</v>
      </c>
      <c r="F290" s="124" t="n">
        <v>0</v>
      </c>
      <c r="G290" s="124" t="n">
        <v>21364.8291445856</v>
      </c>
      <c r="I290" s="124" t="n">
        <f aca="false">IF(MONTH($A290)=MONTH($A289),IF(G290=0,I289,G290),G290)</f>
        <v>21364.8291445856</v>
      </c>
      <c r="J290" s="124" t="n">
        <f aca="false">IF(MONTH($A290)=MONTH($A289),SUM(I290-I289),I290)</f>
        <v>-3.14999999999782</v>
      </c>
      <c r="K290" s="124" t="n">
        <f aca="false">IF(WEEKDAY(A290,3)&gt;4,0,(IF(A290&lt;K$2,0,IF(A290&lt;=K$3,1,0))))</f>
        <v>0</v>
      </c>
      <c r="L290" s="124" t="n">
        <f aca="false">J290*K290</f>
        <v>-0</v>
      </c>
      <c r="M290" s="124" t="n">
        <f aca="false">SUM(J$280:J290)</f>
        <v>10417.4840448856</v>
      </c>
      <c r="N290" s="124" t="n">
        <f aca="false">SUM(J$6:J290)</f>
        <v>25434.8966537549</v>
      </c>
      <c r="P290" s="124" t="n">
        <f aca="false">D290/P$3</f>
        <v>0.071626</v>
      </c>
      <c r="Q290" s="124" t="n">
        <f aca="false">E290/P$3</f>
        <v>0.071626</v>
      </c>
      <c r="R290" s="124" t="n">
        <f aca="false">F290/R$3</f>
        <v>0</v>
      </c>
      <c r="S290" s="126" t="n">
        <f aca="false">J290/$R$3</f>
        <v>-0.00314999999999782</v>
      </c>
      <c r="T290" s="126" t="n">
        <f aca="false">L290/$R$3</f>
        <v>-0</v>
      </c>
      <c r="U290" s="126" t="n">
        <f aca="false">I290/$R$3</f>
        <v>21.3648291445856</v>
      </c>
      <c r="V290" s="126" t="n">
        <f aca="false">M290/$R$3</f>
        <v>10.4174840448856</v>
      </c>
      <c r="W290" s="126" t="n">
        <f aca="false">N290/$R$3</f>
        <v>25.4348966537549</v>
      </c>
    </row>
    <row r="291" customFormat="false" ht="12.75" hidden="true" customHeight="false" outlineLevel="0" collapsed="false">
      <c r="A291" s="120" t="n">
        <f aca="false">A290+1</f>
        <v>37177</v>
      </c>
      <c r="B291" s="131" t="str">
        <f aca="false">INDEX('Master Data'!$A$2:$B$8,MATCH(WEEKDAY('BRA PWR Certificates'!A291,3),'Master Data'!$A$2:$A$8,0),2)</f>
        <v>Sa</v>
      </c>
      <c r="D291" s="124" t="n">
        <v>0</v>
      </c>
      <c r="E291" s="124" t="n">
        <v>0</v>
      </c>
      <c r="F291" s="124" t="n">
        <v>0</v>
      </c>
      <c r="G291" s="124" t="n">
        <v>0</v>
      </c>
      <c r="I291" s="124" t="n">
        <f aca="false">IF(MONTH($A291)=MONTH($A290),IF(G291=0,I290,G291),G291)</f>
        <v>21364.8291445856</v>
      </c>
      <c r="J291" s="124" t="n">
        <f aca="false">IF(MONTH($A291)=MONTH($A290),SUM(I291-I290),I291)</f>
        <v>0</v>
      </c>
      <c r="K291" s="124" t="n">
        <f aca="false">IF(WEEKDAY(A291,3)&gt;4,0,(IF(A291&lt;K$2,0,IF(A291&lt;=K$3,1,0))))</f>
        <v>0</v>
      </c>
      <c r="L291" s="124" t="n">
        <f aca="false">J291*K291</f>
        <v>0</v>
      </c>
      <c r="M291" s="124" t="n">
        <f aca="false">SUM(J$280:J291)</f>
        <v>10417.4840448856</v>
      </c>
      <c r="N291" s="124" t="n">
        <f aca="false">SUM(J$6:J291)</f>
        <v>25434.8966537549</v>
      </c>
      <c r="P291" s="124" t="n">
        <f aca="false">D291/P$3</f>
        <v>0</v>
      </c>
      <c r="Q291" s="124" t="n">
        <f aca="false">E291/P$3</f>
        <v>0</v>
      </c>
      <c r="R291" s="124" t="n">
        <f aca="false">F291/R$3</f>
        <v>0</v>
      </c>
      <c r="S291" s="126" t="n">
        <f aca="false">J291/$R$3</f>
        <v>0</v>
      </c>
      <c r="T291" s="126" t="n">
        <f aca="false">L291/$R$3</f>
        <v>0</v>
      </c>
      <c r="U291" s="126" t="n">
        <f aca="false">I291/$R$3</f>
        <v>21.3648291445856</v>
      </c>
      <c r="V291" s="126" t="n">
        <f aca="false">M291/$R$3</f>
        <v>10.4174840448856</v>
      </c>
      <c r="W291" s="126" t="n">
        <f aca="false">N291/$R$3</f>
        <v>25.4348966537549</v>
      </c>
    </row>
    <row r="292" customFormat="false" ht="12.75" hidden="true" customHeight="false" outlineLevel="0" collapsed="false">
      <c r="A292" s="120" t="n">
        <f aca="false">A291+1</f>
        <v>37178</v>
      </c>
      <c r="B292" s="131" t="str">
        <f aca="false">INDEX('Master Data'!$A$2:$B$8,MATCH(WEEKDAY('BRA PWR Certificates'!A292,3),'Master Data'!$A$2:$A$8,0),2)</f>
        <v>Su</v>
      </c>
      <c r="D292" s="124" t="n">
        <v>0</v>
      </c>
      <c r="E292" s="124" t="n">
        <v>0</v>
      </c>
      <c r="F292" s="124" t="n">
        <v>0</v>
      </c>
      <c r="G292" s="124" t="n">
        <v>0</v>
      </c>
      <c r="I292" s="124" t="n">
        <f aca="false">IF(MONTH($A292)=MONTH($A291),IF(G292=0,I291,G292),G292)</f>
        <v>21364.8291445856</v>
      </c>
      <c r="J292" s="124" t="n">
        <f aca="false">IF(MONTH($A292)=MONTH($A291),SUM(I292-I291),I292)</f>
        <v>0</v>
      </c>
      <c r="K292" s="124" t="n">
        <f aca="false">IF(WEEKDAY(A292,3)&gt;4,0,(IF(A292&lt;K$2,0,IF(A292&lt;=K$3,1,0))))</f>
        <v>0</v>
      </c>
      <c r="L292" s="124" t="n">
        <f aca="false">J292*K292</f>
        <v>0</v>
      </c>
      <c r="M292" s="124" t="n">
        <f aca="false">SUM(J$280:J292)</f>
        <v>10417.4840448856</v>
      </c>
      <c r="N292" s="124" t="n">
        <f aca="false">SUM(J$6:J292)</f>
        <v>25434.8966537549</v>
      </c>
      <c r="P292" s="124" t="n">
        <f aca="false">D292/P$3</f>
        <v>0</v>
      </c>
      <c r="Q292" s="124" t="n">
        <f aca="false">E292/P$3</f>
        <v>0</v>
      </c>
      <c r="R292" s="124" t="n">
        <f aca="false">F292/R$3</f>
        <v>0</v>
      </c>
      <c r="S292" s="126" t="n">
        <f aca="false">J292/$R$3</f>
        <v>0</v>
      </c>
      <c r="T292" s="126" t="n">
        <f aca="false">L292/$R$3</f>
        <v>0</v>
      </c>
      <c r="U292" s="126" t="n">
        <f aca="false">I292/$R$3</f>
        <v>21.3648291445856</v>
      </c>
      <c r="V292" s="126" t="n">
        <f aca="false">M292/$R$3</f>
        <v>10.4174840448856</v>
      </c>
      <c r="W292" s="126" t="n">
        <f aca="false">N292/$R$3</f>
        <v>25.4348966537549</v>
      </c>
    </row>
    <row r="293" customFormat="false" ht="12.75" hidden="true" customHeight="false" outlineLevel="0" collapsed="false">
      <c r="A293" s="120" t="n">
        <f aca="false">A292+1</f>
        <v>37179</v>
      </c>
      <c r="B293" s="131" t="str">
        <f aca="false">INDEX('Master Data'!$A$2:$B$8,MATCH(WEEKDAY('BRA PWR Certificates'!A293,3),'Master Data'!$A$2:$A$8,0),2)</f>
        <v>M</v>
      </c>
      <c r="D293" s="124" t="n">
        <v>71626</v>
      </c>
      <c r="E293" s="124" t="n">
        <v>71626</v>
      </c>
      <c r="F293" s="124" t="n">
        <v>0</v>
      </c>
      <c r="G293" s="124" t="n">
        <v>21355.3391445856</v>
      </c>
      <c r="I293" s="124" t="n">
        <f aca="false">IF(MONTH($A293)=MONTH($A292),IF(G293=0,I292,G293),G293)</f>
        <v>21355.3391445856</v>
      </c>
      <c r="J293" s="124" t="n">
        <f aca="false">IF(MONTH($A293)=MONTH($A292),SUM(I293-I292),I293)</f>
        <v>-9.4900000000016</v>
      </c>
      <c r="K293" s="124" t="n">
        <f aca="false">IF(WEEKDAY(A293,3)&gt;4,0,(IF(A293&lt;K$2,0,IF(A293&lt;=K$3,1,0))))</f>
        <v>0</v>
      </c>
      <c r="L293" s="124" t="n">
        <f aca="false">J293*K293</f>
        <v>-0</v>
      </c>
      <c r="M293" s="124" t="n">
        <f aca="false">SUM(J$280:J293)</f>
        <v>10407.9940448856</v>
      </c>
      <c r="N293" s="124" t="n">
        <f aca="false">SUM(J$6:J293)</f>
        <v>25425.4066537549</v>
      </c>
      <c r="P293" s="124" t="n">
        <f aca="false">D293/P$3</f>
        <v>0.071626</v>
      </c>
      <c r="Q293" s="124" t="n">
        <f aca="false">E293/P$3</f>
        <v>0.071626</v>
      </c>
      <c r="R293" s="124" t="n">
        <f aca="false">F293/R$3</f>
        <v>0</v>
      </c>
      <c r="S293" s="126" t="n">
        <f aca="false">J293/$R$3</f>
        <v>-0.0094900000000016</v>
      </c>
      <c r="T293" s="126" t="n">
        <f aca="false">L293/$R$3</f>
        <v>-0</v>
      </c>
      <c r="U293" s="126" t="n">
        <f aca="false">I293/$R$3</f>
        <v>21.3553391445856</v>
      </c>
      <c r="V293" s="126" t="n">
        <f aca="false">M293/$R$3</f>
        <v>10.4079940448856</v>
      </c>
      <c r="W293" s="126" t="n">
        <f aca="false">N293/$R$3</f>
        <v>25.4254066537549</v>
      </c>
    </row>
    <row r="294" customFormat="false" ht="12.75" hidden="true" customHeight="false" outlineLevel="0" collapsed="false">
      <c r="A294" s="120" t="n">
        <f aca="false">A293+1</f>
        <v>37180</v>
      </c>
      <c r="B294" s="131" t="str">
        <f aca="false">INDEX('Master Data'!$A$2:$B$8,MATCH(WEEKDAY('BRA PWR Certificates'!A294,3),'Master Data'!$A$2:$A$8,0),2)</f>
        <v>T</v>
      </c>
      <c r="D294" s="124" t="n">
        <v>71626</v>
      </c>
      <c r="E294" s="124" t="n">
        <v>71626</v>
      </c>
      <c r="F294" s="124" t="n">
        <v>0</v>
      </c>
      <c r="G294" s="124" t="n">
        <v>21352.1691445856</v>
      </c>
      <c r="I294" s="124" t="n">
        <f aca="false">IF(MONTH($A294)=MONTH($A293),IF(G294=0,I293,G294),G294)</f>
        <v>21352.1691445856</v>
      </c>
      <c r="J294" s="124" t="n">
        <f aca="false">IF(MONTH($A294)=MONTH($A293),SUM(I294-I293),I294)</f>
        <v>-3.16999999999825</v>
      </c>
      <c r="K294" s="124" t="n">
        <f aca="false">IF(WEEKDAY(A294,3)&gt;4,0,(IF(A294&lt;K$2,0,IF(A294&lt;=K$3,1,0))))</f>
        <v>0</v>
      </c>
      <c r="L294" s="124" t="n">
        <f aca="false">J294*K294</f>
        <v>-0</v>
      </c>
      <c r="M294" s="124" t="n">
        <f aca="false">SUM(J$280:J294)</f>
        <v>10404.8240448856</v>
      </c>
      <c r="N294" s="124" t="n">
        <f aca="false">SUM(J$6:J294)</f>
        <v>25422.2366537549</v>
      </c>
      <c r="P294" s="124" t="n">
        <f aca="false">D294/P$3</f>
        <v>0.071626</v>
      </c>
      <c r="Q294" s="124" t="n">
        <f aca="false">E294/P$3</f>
        <v>0.071626</v>
      </c>
      <c r="R294" s="124" t="n">
        <f aca="false">F294/R$3</f>
        <v>0</v>
      </c>
      <c r="S294" s="126" t="n">
        <f aca="false">J294/$R$3</f>
        <v>-0.00316999999999825</v>
      </c>
      <c r="T294" s="126" t="n">
        <f aca="false">L294/$R$3</f>
        <v>-0</v>
      </c>
      <c r="U294" s="126" t="n">
        <f aca="false">I294/$R$3</f>
        <v>21.3521691445856</v>
      </c>
      <c r="V294" s="126" t="n">
        <f aca="false">M294/$R$3</f>
        <v>10.4048240448856</v>
      </c>
      <c r="W294" s="126" t="n">
        <f aca="false">N294/$R$3</f>
        <v>25.4222366537549</v>
      </c>
    </row>
    <row r="295" customFormat="false" ht="12.75" hidden="true" customHeight="false" outlineLevel="0" collapsed="false">
      <c r="A295" s="120" t="n">
        <f aca="false">A294+1</f>
        <v>37181</v>
      </c>
      <c r="B295" s="131" t="str">
        <f aca="false">INDEX('Master Data'!$A$2:$B$8,MATCH(WEEKDAY('BRA PWR Certificates'!A295,3),'Master Data'!$A$2:$A$8,0),2)</f>
        <v>W</v>
      </c>
      <c r="D295" s="124" t="n">
        <v>71626</v>
      </c>
      <c r="E295" s="124" t="n">
        <v>71626</v>
      </c>
      <c r="F295" s="124" t="n">
        <v>0</v>
      </c>
      <c r="G295" s="124" t="n">
        <v>21349.0091445856</v>
      </c>
      <c r="I295" s="124" t="n">
        <f aca="false">IF(MONTH($A295)=MONTH($A294),IF(G295=0,I294,G295),G295)</f>
        <v>21349.0091445856</v>
      </c>
      <c r="J295" s="124" t="n">
        <f aca="false">IF(MONTH($A295)=MONTH($A294),SUM(I295-I294),I295)</f>
        <v>-3.15999999999985</v>
      </c>
      <c r="K295" s="124" t="n">
        <f aca="false">IF(WEEKDAY(A295,3)&gt;4,0,(IF(A295&lt;K$2,0,IF(A295&lt;=K$3,1,0))))</f>
        <v>0</v>
      </c>
      <c r="L295" s="124" t="n">
        <f aca="false">J295*K295</f>
        <v>-0</v>
      </c>
      <c r="M295" s="124" t="n">
        <f aca="false">SUM(J$280:J295)</f>
        <v>10401.6640448856</v>
      </c>
      <c r="N295" s="124" t="n">
        <f aca="false">SUM(J$6:J295)</f>
        <v>25419.0766537549</v>
      </c>
      <c r="P295" s="124" t="n">
        <f aca="false">D295/P$3</f>
        <v>0.071626</v>
      </c>
      <c r="Q295" s="124" t="n">
        <f aca="false">E295/P$3</f>
        <v>0.071626</v>
      </c>
      <c r="R295" s="124" t="n">
        <f aca="false">F295/R$3</f>
        <v>0</v>
      </c>
      <c r="S295" s="126" t="n">
        <f aca="false">J295/$R$3</f>
        <v>-0.00315999999999985</v>
      </c>
      <c r="T295" s="126" t="n">
        <f aca="false">L295/$R$3</f>
        <v>-0</v>
      </c>
      <c r="U295" s="126" t="n">
        <f aca="false">I295/$R$3</f>
        <v>21.3490091445856</v>
      </c>
      <c r="V295" s="126" t="n">
        <f aca="false">M295/$R$3</f>
        <v>10.4016640448856</v>
      </c>
      <c r="W295" s="126" t="n">
        <f aca="false">N295/$R$3</f>
        <v>25.4190766537549</v>
      </c>
    </row>
    <row r="296" customFormat="false" ht="12.75" hidden="true" customHeight="false" outlineLevel="0" collapsed="false">
      <c r="A296" s="120" t="n">
        <f aca="false">A295+1</f>
        <v>37182</v>
      </c>
      <c r="B296" s="131" t="str">
        <f aca="false">INDEX('Master Data'!$A$2:$B$8,MATCH(WEEKDAY('BRA PWR Certificates'!A296,3),'Master Data'!$A$2:$A$8,0),2)</f>
        <v>Th</v>
      </c>
      <c r="D296" s="124" t="n">
        <v>71626</v>
      </c>
      <c r="E296" s="124" t="n">
        <v>71626</v>
      </c>
      <c r="F296" s="124" t="n">
        <v>0</v>
      </c>
      <c r="G296" s="124" t="n">
        <v>21345.8391445856</v>
      </c>
      <c r="I296" s="124" t="n">
        <f aca="false">IF(MONTH($A296)=MONTH($A295),IF(G296=0,I295,G296),G296)</f>
        <v>21345.8391445856</v>
      </c>
      <c r="J296" s="124" t="n">
        <f aca="false">IF(MONTH($A296)=MONTH($A295),SUM(I296-I295),I296)</f>
        <v>-3.17000000000189</v>
      </c>
      <c r="K296" s="124" t="n">
        <f aca="false">IF(WEEKDAY(A296,3)&gt;4,0,(IF(A296&lt;K$2,0,IF(A296&lt;=K$3,1,0))))</f>
        <v>0</v>
      </c>
      <c r="L296" s="124" t="n">
        <f aca="false">J296*K296</f>
        <v>-0</v>
      </c>
      <c r="M296" s="124" t="n">
        <f aca="false">SUM(J$280:J296)</f>
        <v>10398.4940448856</v>
      </c>
      <c r="N296" s="124" t="n">
        <f aca="false">SUM(J$6:J296)</f>
        <v>25415.9066537549</v>
      </c>
      <c r="P296" s="124" t="n">
        <f aca="false">D296/P$3</f>
        <v>0.071626</v>
      </c>
      <c r="Q296" s="124" t="n">
        <f aca="false">E296/P$3</f>
        <v>0.071626</v>
      </c>
      <c r="R296" s="124" t="n">
        <f aca="false">F296/R$3</f>
        <v>0</v>
      </c>
      <c r="S296" s="126" t="n">
        <f aca="false">J296/$R$3</f>
        <v>-0.00317000000000189</v>
      </c>
      <c r="T296" s="126" t="n">
        <f aca="false">L296/$R$3</f>
        <v>-0</v>
      </c>
      <c r="U296" s="126" t="n">
        <f aca="false">I296/$R$3</f>
        <v>21.3458391445856</v>
      </c>
      <c r="V296" s="126" t="n">
        <f aca="false">M296/$R$3</f>
        <v>10.3984940448856</v>
      </c>
      <c r="W296" s="126" t="n">
        <f aca="false">N296/$R$3</f>
        <v>25.4159066537549</v>
      </c>
    </row>
    <row r="297" customFormat="false" ht="12.75" hidden="true" customHeight="false" outlineLevel="0" collapsed="false">
      <c r="A297" s="120" t="n">
        <f aca="false">A296+1</f>
        <v>37183</v>
      </c>
      <c r="B297" s="131" t="str">
        <f aca="false">INDEX('Master Data'!$A$2:$B$8,MATCH(WEEKDAY('BRA PWR Certificates'!A297,3),'Master Data'!$A$2:$A$8,0),2)</f>
        <v>F</v>
      </c>
      <c r="D297" s="124" t="n">
        <v>71626</v>
      </c>
      <c r="E297" s="124" t="n">
        <v>71626</v>
      </c>
      <c r="F297" s="124" t="n">
        <v>0</v>
      </c>
      <c r="G297" s="124" t="n">
        <v>21342.6691445856</v>
      </c>
      <c r="I297" s="124" t="n">
        <f aca="false">IF(MONTH($A297)=MONTH($A296),IF(G297=0,I296,G297),G297)</f>
        <v>21342.6691445856</v>
      </c>
      <c r="J297" s="124" t="n">
        <f aca="false">IF(MONTH($A297)=MONTH($A296),SUM(I297-I296),I297)</f>
        <v>-3.16999999999825</v>
      </c>
      <c r="K297" s="124" t="n">
        <f aca="false">IF(WEEKDAY(A297,3)&gt;4,0,(IF(A297&lt;K$2,0,IF(A297&lt;=K$3,1,0))))</f>
        <v>0</v>
      </c>
      <c r="L297" s="124" t="n">
        <f aca="false">J297*K297</f>
        <v>-0</v>
      </c>
      <c r="M297" s="124" t="n">
        <f aca="false">SUM(J$280:J297)</f>
        <v>10395.3240448856</v>
      </c>
      <c r="N297" s="124" t="n">
        <f aca="false">SUM(J$6:J297)</f>
        <v>25412.7366537549</v>
      </c>
      <c r="P297" s="124" t="n">
        <f aca="false">D297/P$3</f>
        <v>0.071626</v>
      </c>
      <c r="Q297" s="124" t="n">
        <f aca="false">E297/P$3</f>
        <v>0.071626</v>
      </c>
      <c r="R297" s="124" t="n">
        <f aca="false">F297/R$3</f>
        <v>0</v>
      </c>
      <c r="S297" s="126" t="n">
        <f aca="false">J297/$R$3</f>
        <v>-0.00316999999999825</v>
      </c>
      <c r="T297" s="126" t="n">
        <f aca="false">L297/$R$3</f>
        <v>-0</v>
      </c>
      <c r="U297" s="126" t="n">
        <f aca="false">I297/$R$3</f>
        <v>21.3426691445856</v>
      </c>
      <c r="V297" s="126" t="n">
        <f aca="false">M297/$R$3</f>
        <v>10.3953240448856</v>
      </c>
      <c r="W297" s="126" t="n">
        <f aca="false">N297/$R$3</f>
        <v>25.4127366537549</v>
      </c>
    </row>
    <row r="298" customFormat="false" ht="12.75" hidden="true" customHeight="false" outlineLevel="0" collapsed="false">
      <c r="A298" s="120" t="n">
        <f aca="false">A297+1</f>
        <v>37184</v>
      </c>
      <c r="B298" s="131" t="str">
        <f aca="false">INDEX('Master Data'!$A$2:$B$8,MATCH(WEEKDAY('BRA PWR Certificates'!A298,3),'Master Data'!$A$2:$A$8,0),2)</f>
        <v>Sa</v>
      </c>
      <c r="D298" s="124" t="n">
        <v>0</v>
      </c>
      <c r="E298" s="124" t="n">
        <v>0</v>
      </c>
      <c r="F298" s="124" t="n">
        <v>0</v>
      </c>
      <c r="G298" s="124" t="n">
        <v>0</v>
      </c>
      <c r="I298" s="124" t="n">
        <f aca="false">IF(MONTH($A298)=MONTH($A297),IF(G298=0,I297,G298),G298)</f>
        <v>21342.6691445856</v>
      </c>
      <c r="J298" s="124" t="n">
        <f aca="false">IF(MONTH($A298)=MONTH($A297),SUM(I298-I297),I298)</f>
        <v>0</v>
      </c>
      <c r="K298" s="124" t="n">
        <f aca="false">IF(WEEKDAY(A298,3)&gt;4,0,(IF(A298&lt;K$2,0,IF(A298&lt;=K$3,1,0))))</f>
        <v>0</v>
      </c>
      <c r="L298" s="124" t="n">
        <f aca="false">J298*K298</f>
        <v>0</v>
      </c>
      <c r="M298" s="124" t="n">
        <f aca="false">SUM(J$280:J298)</f>
        <v>10395.3240448856</v>
      </c>
      <c r="N298" s="124" t="n">
        <f aca="false">SUM(J$6:J298)</f>
        <v>25412.7366537549</v>
      </c>
      <c r="P298" s="124" t="n">
        <f aca="false">D298/P$3</f>
        <v>0</v>
      </c>
      <c r="Q298" s="124" t="n">
        <f aca="false">E298/P$3</f>
        <v>0</v>
      </c>
      <c r="R298" s="124" t="n">
        <f aca="false">F298/R$3</f>
        <v>0</v>
      </c>
      <c r="S298" s="126" t="n">
        <f aca="false">J298/$R$3</f>
        <v>0</v>
      </c>
      <c r="T298" s="126" t="n">
        <f aca="false">L298/$R$3</f>
        <v>0</v>
      </c>
      <c r="U298" s="126" t="n">
        <f aca="false">I298/$R$3</f>
        <v>21.3426691445856</v>
      </c>
      <c r="V298" s="126" t="n">
        <f aca="false">M298/$R$3</f>
        <v>10.3953240448856</v>
      </c>
      <c r="W298" s="126" t="n">
        <f aca="false">N298/$R$3</f>
        <v>25.4127366537549</v>
      </c>
    </row>
    <row r="299" customFormat="false" ht="12.75" hidden="true" customHeight="false" outlineLevel="0" collapsed="false">
      <c r="A299" s="120" t="n">
        <f aca="false">A298+1</f>
        <v>37185</v>
      </c>
      <c r="B299" s="131" t="str">
        <f aca="false">INDEX('Master Data'!$A$2:$B$8,MATCH(WEEKDAY('BRA PWR Certificates'!A299,3),'Master Data'!$A$2:$A$8,0),2)</f>
        <v>Su</v>
      </c>
      <c r="D299" s="124" t="n">
        <v>0</v>
      </c>
      <c r="E299" s="124" t="n">
        <v>0</v>
      </c>
      <c r="F299" s="124" t="n">
        <v>0</v>
      </c>
      <c r="G299" s="124" t="n">
        <v>0</v>
      </c>
      <c r="I299" s="124" t="n">
        <f aca="false">IF(MONTH($A299)=MONTH($A298),IF(G299=0,I298,G299),G299)</f>
        <v>21342.6691445856</v>
      </c>
      <c r="J299" s="124" t="n">
        <f aca="false">IF(MONTH($A299)=MONTH($A298),SUM(I299-I298),I299)</f>
        <v>0</v>
      </c>
      <c r="K299" s="124" t="n">
        <f aca="false">IF(WEEKDAY(A299,3)&gt;4,0,(IF(A299&lt;K$2,0,IF(A299&lt;=K$3,1,0))))</f>
        <v>0</v>
      </c>
      <c r="L299" s="124" t="n">
        <f aca="false">J299*K299</f>
        <v>0</v>
      </c>
      <c r="M299" s="124" t="n">
        <f aca="false">SUM(J$280:J299)</f>
        <v>10395.3240448856</v>
      </c>
      <c r="N299" s="124" t="n">
        <f aca="false">SUM(J$6:J299)</f>
        <v>25412.7366537549</v>
      </c>
      <c r="P299" s="124" t="n">
        <f aca="false">D299/P$3</f>
        <v>0</v>
      </c>
      <c r="Q299" s="124" t="n">
        <f aca="false">E299/P$3</f>
        <v>0</v>
      </c>
      <c r="R299" s="124" t="n">
        <f aca="false">F299/R$3</f>
        <v>0</v>
      </c>
      <c r="S299" s="126" t="n">
        <f aca="false">J299/$R$3</f>
        <v>0</v>
      </c>
      <c r="T299" s="126" t="n">
        <f aca="false">L299/$R$3</f>
        <v>0</v>
      </c>
      <c r="U299" s="126" t="n">
        <f aca="false">I299/$R$3</f>
        <v>21.3426691445856</v>
      </c>
      <c r="V299" s="126" t="n">
        <f aca="false">M299/$R$3</f>
        <v>10.3953240448856</v>
      </c>
      <c r="W299" s="126" t="n">
        <f aca="false">N299/$R$3</f>
        <v>25.4127366537549</v>
      </c>
    </row>
    <row r="300" customFormat="false" ht="12.75" hidden="true" customHeight="false" outlineLevel="0" collapsed="false">
      <c r="A300" s="120" t="n">
        <f aca="false">A299+1</f>
        <v>37186</v>
      </c>
      <c r="B300" s="131" t="str">
        <f aca="false">INDEX('Master Data'!$A$2:$B$8,MATCH(WEEKDAY('BRA PWR Certificates'!A300,3),'Master Data'!$A$2:$A$8,0),2)</f>
        <v>M</v>
      </c>
      <c r="D300" s="124" t="n">
        <v>71626</v>
      </c>
      <c r="E300" s="124" t="n">
        <v>71626</v>
      </c>
      <c r="F300" s="124" t="n">
        <v>0</v>
      </c>
      <c r="G300" s="124" t="n">
        <v>21333.1491445856</v>
      </c>
      <c r="I300" s="124" t="n">
        <f aca="false">IF(MONTH($A300)=MONTH($A299),IF(G300=0,I299,G300),G300)</f>
        <v>21333.1491445856</v>
      </c>
      <c r="J300" s="124" t="n">
        <f aca="false">IF(MONTH($A300)=MONTH($A299),SUM(I300-I299),I300)</f>
        <v>-9.52000000000044</v>
      </c>
      <c r="K300" s="124" t="n">
        <f aca="false">IF(WEEKDAY(A300,3)&gt;4,0,(IF(A300&lt;K$2,0,IF(A300&lt;=K$3,1,0))))</f>
        <v>0</v>
      </c>
      <c r="L300" s="124" t="n">
        <f aca="false">J300*K300</f>
        <v>-0</v>
      </c>
      <c r="M300" s="124" t="n">
        <f aca="false">SUM(J$280:J300)</f>
        <v>10385.8040448856</v>
      </c>
      <c r="N300" s="124" t="n">
        <f aca="false">SUM(J$6:J300)</f>
        <v>25403.2166537549</v>
      </c>
      <c r="P300" s="124" t="n">
        <f aca="false">D300/P$3</f>
        <v>0.071626</v>
      </c>
      <c r="Q300" s="124" t="n">
        <f aca="false">E300/P$3</f>
        <v>0.071626</v>
      </c>
      <c r="R300" s="124" t="n">
        <f aca="false">F300/R$3</f>
        <v>0</v>
      </c>
      <c r="S300" s="126" t="n">
        <f aca="false">J300/$R$3</f>
        <v>-0.00952000000000044</v>
      </c>
      <c r="T300" s="126" t="n">
        <f aca="false">L300/$R$3</f>
        <v>-0</v>
      </c>
      <c r="U300" s="126" t="n">
        <f aca="false">I300/$R$3</f>
        <v>21.3331491445856</v>
      </c>
      <c r="V300" s="126" t="n">
        <f aca="false">M300/$R$3</f>
        <v>10.3858040448856</v>
      </c>
      <c r="W300" s="126" t="n">
        <f aca="false">N300/$R$3</f>
        <v>25.4032166537549</v>
      </c>
    </row>
    <row r="301" customFormat="false" ht="12.75" hidden="true" customHeight="false" outlineLevel="0" collapsed="false">
      <c r="A301" s="120" t="n">
        <f aca="false">A300+1</f>
        <v>37187</v>
      </c>
      <c r="B301" s="131" t="str">
        <f aca="false">INDEX('Master Data'!$A$2:$B$8,MATCH(WEEKDAY('BRA PWR Certificates'!A301,3),'Master Data'!$A$2:$A$8,0),2)</f>
        <v>T</v>
      </c>
      <c r="D301" s="124" t="n">
        <v>71626</v>
      </c>
      <c r="E301" s="124" t="n">
        <v>71626</v>
      </c>
      <c r="F301" s="124" t="n">
        <v>0</v>
      </c>
      <c r="G301" s="124" t="n">
        <v>21329.9691445856</v>
      </c>
      <c r="I301" s="124" t="n">
        <f aca="false">IF(MONTH($A301)=MONTH($A300),IF(G301=0,I300,G301),G301)</f>
        <v>21329.9691445856</v>
      </c>
      <c r="J301" s="124" t="n">
        <f aca="false">IF(MONTH($A301)=MONTH($A300),SUM(I301-I300),I301)</f>
        <v>-3.18000000000029</v>
      </c>
      <c r="K301" s="124" t="n">
        <f aca="false">IF(WEEKDAY(A301,3)&gt;4,0,(IF(A301&lt;K$2,0,IF(A301&lt;=K$3,1,0))))</f>
        <v>0</v>
      </c>
      <c r="L301" s="124" t="n">
        <f aca="false">J301*K301</f>
        <v>-0</v>
      </c>
      <c r="M301" s="124" t="n">
        <f aca="false">SUM(J$280:J301)</f>
        <v>10382.6240448856</v>
      </c>
      <c r="N301" s="124" t="n">
        <f aca="false">SUM(J$6:J301)</f>
        <v>25400.0366537549</v>
      </c>
      <c r="P301" s="124" t="n">
        <f aca="false">D301/P$3</f>
        <v>0.071626</v>
      </c>
      <c r="Q301" s="124" t="n">
        <f aca="false">E301/P$3</f>
        <v>0.071626</v>
      </c>
      <c r="R301" s="124" t="n">
        <f aca="false">F301/R$3</f>
        <v>0</v>
      </c>
      <c r="S301" s="126" t="n">
        <f aca="false">J301/$R$3</f>
        <v>-0.00318000000000029</v>
      </c>
      <c r="T301" s="126" t="n">
        <f aca="false">L301/$R$3</f>
        <v>-0</v>
      </c>
      <c r="U301" s="126" t="n">
        <f aca="false">I301/$R$3</f>
        <v>21.3299691445856</v>
      </c>
      <c r="V301" s="126" t="n">
        <f aca="false">M301/$R$3</f>
        <v>10.3826240448856</v>
      </c>
      <c r="W301" s="126" t="n">
        <f aca="false">N301/$R$3</f>
        <v>25.4000366537549</v>
      </c>
    </row>
    <row r="302" customFormat="false" ht="12.75" hidden="true" customHeight="false" outlineLevel="0" collapsed="false">
      <c r="A302" s="120" t="n">
        <f aca="false">A301+1</f>
        <v>37188</v>
      </c>
      <c r="B302" s="131" t="str">
        <f aca="false">INDEX('Master Data'!$A$2:$B$8,MATCH(WEEKDAY('BRA PWR Certificates'!A302,3),'Master Data'!$A$2:$A$8,0),2)</f>
        <v>W</v>
      </c>
      <c r="D302" s="124" t="n">
        <v>71626</v>
      </c>
      <c r="E302" s="124" t="n">
        <v>71626</v>
      </c>
      <c r="F302" s="124" t="n">
        <v>0</v>
      </c>
      <c r="G302" s="124" t="n">
        <v>21326.7891445856</v>
      </c>
      <c r="I302" s="124" t="n">
        <f aca="false">IF(MONTH($A302)=MONTH($A301),IF(G302=0,I301,G302),G302)</f>
        <v>21326.7891445856</v>
      </c>
      <c r="J302" s="124" t="n">
        <f aca="false">IF(MONTH($A302)=MONTH($A301),SUM(I302-I301),I302)</f>
        <v>-3.18000000000029</v>
      </c>
      <c r="K302" s="124" t="n">
        <f aca="false">IF(WEEKDAY(A302,3)&gt;4,0,(IF(A302&lt;K$2,0,IF(A302&lt;=K$3,1,0))))</f>
        <v>0</v>
      </c>
      <c r="L302" s="124" t="n">
        <f aca="false">J302*K302</f>
        <v>-0</v>
      </c>
      <c r="M302" s="124" t="n">
        <f aca="false">SUM(J$280:J302)</f>
        <v>10379.4440448856</v>
      </c>
      <c r="N302" s="124" t="n">
        <f aca="false">SUM(J$6:J302)</f>
        <v>25396.8566537549</v>
      </c>
      <c r="P302" s="124" t="n">
        <f aca="false">D302/P$3</f>
        <v>0.071626</v>
      </c>
      <c r="Q302" s="124" t="n">
        <f aca="false">E302/P$3</f>
        <v>0.071626</v>
      </c>
      <c r="R302" s="124" t="n">
        <f aca="false">F302/R$3</f>
        <v>0</v>
      </c>
      <c r="S302" s="126" t="n">
        <f aca="false">J302/$R$3</f>
        <v>-0.00318000000000029</v>
      </c>
      <c r="T302" s="126" t="n">
        <f aca="false">L302/$R$3</f>
        <v>-0</v>
      </c>
      <c r="U302" s="126" t="n">
        <f aca="false">I302/$R$3</f>
        <v>21.3267891445856</v>
      </c>
      <c r="V302" s="126" t="n">
        <f aca="false">M302/$R$3</f>
        <v>10.3794440448856</v>
      </c>
      <c r="W302" s="126" t="n">
        <f aca="false">N302/$R$3</f>
        <v>25.3968566537549</v>
      </c>
    </row>
    <row r="303" customFormat="false" ht="12.75" hidden="true" customHeight="false" outlineLevel="0" collapsed="false">
      <c r="A303" s="120" t="n">
        <f aca="false">A302+1</f>
        <v>37189</v>
      </c>
      <c r="B303" s="131" t="str">
        <f aca="false">INDEX('Master Data'!$A$2:$B$8,MATCH(WEEKDAY('BRA PWR Certificates'!A303,3),'Master Data'!$A$2:$A$8,0),2)</f>
        <v>Th</v>
      </c>
      <c r="D303" s="124" t="n">
        <v>71626</v>
      </c>
      <c r="E303" s="124" t="n">
        <v>71626</v>
      </c>
      <c r="F303" s="124" t="n">
        <v>0</v>
      </c>
      <c r="G303" s="124" t="n">
        <v>21323.6091445856</v>
      </c>
      <c r="I303" s="124" t="n">
        <f aca="false">IF(MONTH($A303)=MONTH($A302),IF(G303=0,I302,G303),G303)</f>
        <v>21323.6091445856</v>
      </c>
      <c r="J303" s="124" t="n">
        <f aca="false">IF(MONTH($A303)=MONTH($A302),SUM(I303-I302),I303)</f>
        <v>-3.18000000000029</v>
      </c>
      <c r="K303" s="124" t="n">
        <f aca="false">IF(WEEKDAY(A303,3)&gt;4,0,(IF(A303&lt;K$2,0,IF(A303&lt;=K$3,1,0))))</f>
        <v>0</v>
      </c>
      <c r="L303" s="124" t="n">
        <f aca="false">J303*K303</f>
        <v>-0</v>
      </c>
      <c r="M303" s="124" t="n">
        <f aca="false">SUM(J$280:J303)</f>
        <v>10376.2640448856</v>
      </c>
      <c r="N303" s="124" t="n">
        <f aca="false">SUM(J$6:J303)</f>
        <v>25393.6766537549</v>
      </c>
      <c r="P303" s="124" t="n">
        <f aca="false">D303/P$3</f>
        <v>0.071626</v>
      </c>
      <c r="Q303" s="124" t="n">
        <f aca="false">E303/P$3</f>
        <v>0.071626</v>
      </c>
      <c r="R303" s="124" t="n">
        <f aca="false">F303/R$3</f>
        <v>0</v>
      </c>
      <c r="S303" s="126" t="n">
        <f aca="false">J303/$R$3</f>
        <v>-0.00318000000000029</v>
      </c>
      <c r="T303" s="126" t="n">
        <f aca="false">L303/$R$3</f>
        <v>-0</v>
      </c>
      <c r="U303" s="126" t="n">
        <f aca="false">I303/$R$3</f>
        <v>21.3236091445856</v>
      </c>
      <c r="V303" s="126" t="n">
        <f aca="false">M303/$R$3</f>
        <v>10.3762640448856</v>
      </c>
      <c r="W303" s="126" t="n">
        <f aca="false">N303/$R$3</f>
        <v>25.3936766537549</v>
      </c>
    </row>
    <row r="304" customFormat="false" ht="12.75" hidden="false" customHeight="false" outlineLevel="0" collapsed="false">
      <c r="A304" s="120" t="n">
        <f aca="false">A303+1</f>
        <v>37190</v>
      </c>
      <c r="B304" s="131" t="str">
        <f aca="false">INDEX('Master Data'!$A$2:$B$8,MATCH(WEEKDAY('BRA PWR Certificates'!A304,3),'Master Data'!$A$2:$A$8,0),2)</f>
        <v>F</v>
      </c>
      <c r="D304" s="124" t="n">
        <v>71626</v>
      </c>
      <c r="E304" s="124" t="n">
        <v>71626</v>
      </c>
      <c r="F304" s="124" t="n">
        <v>0</v>
      </c>
      <c r="G304" s="124" t="n">
        <v>21320.4291445856</v>
      </c>
      <c r="I304" s="124" t="n">
        <f aca="false">IF(MONTH($A304)=MONTH($A303),IF(G304=0,I303,G304),G304)</f>
        <v>21320.4291445856</v>
      </c>
      <c r="J304" s="124" t="n">
        <f aca="false">IF(MONTH($A304)=MONTH($A303),SUM(I304-I303),I304)</f>
        <v>-3.18000000000029</v>
      </c>
      <c r="K304" s="124" t="n">
        <f aca="false">IF(WEEKDAY(A304,3)&gt;4,0,(IF(A304&lt;K$2,0,IF(A304&lt;=K$3,1,0))))</f>
        <v>1</v>
      </c>
      <c r="L304" s="124" t="n">
        <f aca="false">J304*K304</f>
        <v>-3.18000000000029</v>
      </c>
      <c r="M304" s="124" t="n">
        <f aca="false">SUM(J$280:J304)</f>
        <v>10373.0840448856</v>
      </c>
      <c r="N304" s="124" t="n">
        <f aca="false">SUM(J$6:J304)</f>
        <v>25390.4966537549</v>
      </c>
      <c r="P304" s="124" t="n">
        <f aca="false">D304/P$3</f>
        <v>0.071626</v>
      </c>
      <c r="Q304" s="124" t="n">
        <f aca="false">E304/P$3</f>
        <v>0.071626</v>
      </c>
      <c r="R304" s="124" t="n">
        <f aca="false">F304/R$3</f>
        <v>0</v>
      </c>
      <c r="S304" s="126" t="n">
        <f aca="false">J304/$R$3</f>
        <v>-0.00318000000000029</v>
      </c>
      <c r="T304" s="126" t="n">
        <f aca="false">L304/$R$3</f>
        <v>-0.00318000000000029</v>
      </c>
      <c r="U304" s="126" t="n">
        <f aca="false">I304/$R$3</f>
        <v>21.3204291445856</v>
      </c>
      <c r="V304" s="126" t="n">
        <f aca="false">M304/$R$3</f>
        <v>10.3730840448856</v>
      </c>
      <c r="W304" s="126" t="n">
        <f aca="false">N304/$R$3</f>
        <v>25.3904966537549</v>
      </c>
    </row>
    <row r="305" customFormat="false" ht="12.75" hidden="false" customHeight="false" outlineLevel="0" collapsed="false">
      <c r="A305" s="120" t="n">
        <f aca="false">A304+1</f>
        <v>37191</v>
      </c>
      <c r="B305" s="131" t="str">
        <f aca="false">INDEX('Master Data'!$A$2:$B$8,MATCH(WEEKDAY('BRA PWR Certificates'!A305,3),'Master Data'!$A$2:$A$8,0),2)</f>
        <v>Sa</v>
      </c>
      <c r="D305" s="124" t="n">
        <v>0</v>
      </c>
      <c r="E305" s="124" t="n">
        <v>0</v>
      </c>
      <c r="F305" s="124" t="n">
        <v>0</v>
      </c>
      <c r="G305" s="124" t="n">
        <v>0</v>
      </c>
      <c r="I305" s="124" t="n">
        <f aca="false">IF(MONTH($A305)=MONTH($A304),IF(G305=0,I304,G305),G305)</f>
        <v>21320.4291445856</v>
      </c>
      <c r="J305" s="124" t="n">
        <f aca="false">IF(MONTH($A305)=MONTH($A304),SUM(I305-I304),I305)</f>
        <v>0</v>
      </c>
      <c r="K305" s="124" t="n">
        <f aca="false">IF(WEEKDAY(A305,3)&gt;4,0,(IF(A305&lt;K$2,0,IF(A305&lt;=K$3,1,0))))</f>
        <v>0</v>
      </c>
      <c r="L305" s="124" t="n">
        <f aca="false">J305*K305</f>
        <v>0</v>
      </c>
      <c r="M305" s="124" t="n">
        <f aca="false">SUM(J$280:J305)</f>
        <v>10373.0840448856</v>
      </c>
      <c r="N305" s="124" t="n">
        <f aca="false">SUM(J$6:J305)</f>
        <v>25390.4966537549</v>
      </c>
      <c r="P305" s="124" t="n">
        <f aca="false">D305/P$3</f>
        <v>0</v>
      </c>
      <c r="Q305" s="124" t="n">
        <f aca="false">E305/P$3</f>
        <v>0</v>
      </c>
      <c r="R305" s="124" t="n">
        <f aca="false">F305/R$3</f>
        <v>0</v>
      </c>
      <c r="S305" s="126" t="n">
        <f aca="false">J305/$R$3</f>
        <v>0</v>
      </c>
      <c r="T305" s="126" t="n">
        <f aca="false">L305/$R$3</f>
        <v>0</v>
      </c>
      <c r="U305" s="126" t="n">
        <f aca="false">I305/$R$3</f>
        <v>21.3204291445856</v>
      </c>
      <c r="V305" s="126" t="n">
        <f aca="false">M305/$R$3</f>
        <v>10.3730840448856</v>
      </c>
      <c r="W305" s="126" t="n">
        <f aca="false">N305/$R$3</f>
        <v>25.3904966537549</v>
      </c>
    </row>
    <row r="306" customFormat="false" ht="12.75" hidden="false" customHeight="false" outlineLevel="0" collapsed="false">
      <c r="A306" s="120" t="n">
        <f aca="false">A305+1</f>
        <v>37192</v>
      </c>
      <c r="B306" s="131" t="str">
        <f aca="false">INDEX('Master Data'!$A$2:$B$8,MATCH(WEEKDAY('BRA PWR Certificates'!A306,3),'Master Data'!$A$2:$A$8,0),2)</f>
        <v>Su</v>
      </c>
      <c r="D306" s="124" t="n">
        <v>0</v>
      </c>
      <c r="E306" s="124" t="n">
        <v>0</v>
      </c>
      <c r="F306" s="124" t="n">
        <v>0</v>
      </c>
      <c r="G306" s="124" t="n">
        <v>0</v>
      </c>
      <c r="I306" s="124" t="n">
        <f aca="false">IF(MONTH($A306)=MONTH($A305),IF(G306=0,I305,G306),G306)</f>
        <v>21320.4291445856</v>
      </c>
      <c r="J306" s="124" t="n">
        <f aca="false">IF(MONTH($A306)=MONTH($A305),SUM(I306-I305),I306)</f>
        <v>0</v>
      </c>
      <c r="K306" s="124" t="n">
        <f aca="false">IF(WEEKDAY(A306,3)&gt;4,0,(IF(A306&lt;K$2,0,IF(A306&lt;=K$3,1,0))))</f>
        <v>0</v>
      </c>
      <c r="L306" s="124" t="n">
        <f aca="false">J306*K306</f>
        <v>0</v>
      </c>
      <c r="M306" s="124" t="n">
        <f aca="false">SUM(J$280:J306)</f>
        <v>10373.0840448856</v>
      </c>
      <c r="N306" s="124" t="n">
        <f aca="false">SUM(J$6:J306)</f>
        <v>25390.4966537549</v>
      </c>
      <c r="P306" s="124" t="n">
        <f aca="false">D306/P$3</f>
        <v>0</v>
      </c>
      <c r="Q306" s="124" t="n">
        <f aca="false">E306/P$3</f>
        <v>0</v>
      </c>
      <c r="R306" s="124" t="n">
        <f aca="false">F306/R$3</f>
        <v>0</v>
      </c>
      <c r="S306" s="126" t="n">
        <f aca="false">J306/$R$3</f>
        <v>0</v>
      </c>
      <c r="T306" s="126" t="n">
        <f aca="false">L306/$R$3</f>
        <v>0</v>
      </c>
      <c r="U306" s="126" t="n">
        <f aca="false">I306/$R$3</f>
        <v>21.3204291445856</v>
      </c>
      <c r="V306" s="126" t="n">
        <f aca="false">M306/$R$3</f>
        <v>10.3730840448856</v>
      </c>
      <c r="W306" s="126" t="n">
        <f aca="false">N306/$R$3</f>
        <v>25.3904966537549</v>
      </c>
    </row>
    <row r="307" customFormat="false" ht="12.75" hidden="false" customHeight="false" outlineLevel="0" collapsed="false">
      <c r="A307" s="120" t="n">
        <f aca="false">A306+1</f>
        <v>37193</v>
      </c>
      <c r="B307" s="131" t="str">
        <f aca="false">INDEX('Master Data'!$A$2:$B$8,MATCH(WEEKDAY('BRA PWR Certificates'!A307,3),'Master Data'!$A$2:$A$8,0),2)</f>
        <v>M</v>
      </c>
      <c r="D307" s="124" t="n">
        <v>71626</v>
      </c>
      <c r="E307" s="124" t="n">
        <v>71626</v>
      </c>
      <c r="F307" s="124" t="n">
        <v>0</v>
      </c>
      <c r="G307" s="124" t="n">
        <v>-1466405.85519945</v>
      </c>
      <c r="I307" s="124" t="n">
        <f aca="false">IF(MONTH($A307)=MONTH($A306),IF(G307=0,I306,G307),G307)</f>
        <v>-1466405.85519945</v>
      </c>
      <c r="J307" s="124" t="n">
        <f aca="false">IF(MONTH($A307)=MONTH($A306),SUM(I307-I306),I307)</f>
        <v>-1487726.28434404</v>
      </c>
      <c r="K307" s="124" t="n">
        <f aca="false">IF(WEEKDAY(A307,3)&gt;4,0,(IF(A307&lt;K$2,0,IF(A307&lt;=K$3,1,0))))</f>
        <v>1</v>
      </c>
      <c r="L307" s="124" t="n">
        <f aca="false">J307*K307</f>
        <v>-1487726.28434404</v>
      </c>
      <c r="M307" s="124" t="n">
        <f aca="false">SUM(J$280:J307)</f>
        <v>-1477353.20029915</v>
      </c>
      <c r="N307" s="124" t="n">
        <f aca="false">SUM(J$6:J307)</f>
        <v>-1462335.78769028</v>
      </c>
      <c r="P307" s="124" t="n">
        <f aca="false">D307/P$3</f>
        <v>0.071626</v>
      </c>
      <c r="Q307" s="124" t="n">
        <f aca="false">E307/P$3</f>
        <v>0.071626</v>
      </c>
      <c r="R307" s="124" t="n">
        <f aca="false">F307/R$3</f>
        <v>0</v>
      </c>
      <c r="S307" s="126" t="n">
        <f aca="false">J307/$R$3</f>
        <v>-1487.72628434404</v>
      </c>
      <c r="T307" s="126" t="n">
        <f aca="false">L307/$R$3</f>
        <v>-1487.72628434404</v>
      </c>
      <c r="U307" s="126" t="n">
        <f aca="false">I307/$R$3</f>
        <v>-1466.40585519945</v>
      </c>
      <c r="V307" s="126" t="n">
        <f aca="false">M307/$R$3</f>
        <v>-1477.35320029915</v>
      </c>
      <c r="W307" s="126" t="n">
        <f aca="false">N307/$R$3</f>
        <v>-1462.33578769028</v>
      </c>
    </row>
    <row r="308" customFormat="false" ht="12.75" hidden="false" customHeight="false" outlineLevel="0" collapsed="false">
      <c r="A308" s="120" t="n">
        <f aca="false">A307+1</f>
        <v>37194</v>
      </c>
      <c r="B308" s="131" t="str">
        <f aca="false">INDEX('Master Data'!$A$2:$B$8,MATCH(WEEKDAY('BRA PWR Certificates'!A308,3),'Master Data'!$A$2:$A$8,0),2)</f>
        <v>T</v>
      </c>
      <c r="D308" s="124" t="n">
        <v>0</v>
      </c>
      <c r="E308" s="124" t="n">
        <v>0</v>
      </c>
      <c r="F308" s="124" t="n">
        <v>0</v>
      </c>
      <c r="G308" s="124" t="n">
        <v>-1467172.70519945</v>
      </c>
      <c r="I308" s="124" t="n">
        <f aca="false">IF(MONTH($A308)=MONTH($A307),IF(G308=0,I307,G308),G308)</f>
        <v>-1467172.70519945</v>
      </c>
      <c r="J308" s="124" t="n">
        <f aca="false">IF(MONTH($A308)=MONTH($A307),SUM(I308-I307),I308)</f>
        <v>-766.84999999986</v>
      </c>
      <c r="K308" s="124" t="n">
        <f aca="false">IF(WEEKDAY(A308,3)&gt;4,0,(IF(A308&lt;K$2,0,IF(A308&lt;=K$3,1,0))))</f>
        <v>1</v>
      </c>
      <c r="L308" s="124" t="n">
        <f aca="false">J308*K308</f>
        <v>-766.84999999986</v>
      </c>
      <c r="M308" s="124" t="n">
        <f aca="false">SUM(J$280:J308)</f>
        <v>-1478120.05029915</v>
      </c>
      <c r="N308" s="124" t="n">
        <f aca="false">SUM(J$6:J308)</f>
        <v>-1463102.63769028</v>
      </c>
      <c r="P308" s="124" t="n">
        <f aca="false">D308/P$3</f>
        <v>0</v>
      </c>
      <c r="Q308" s="124" t="n">
        <f aca="false">E308/P$3</f>
        <v>0</v>
      </c>
      <c r="R308" s="124" t="n">
        <f aca="false">F308/R$3</f>
        <v>0</v>
      </c>
      <c r="S308" s="126" t="n">
        <f aca="false">J308/$R$3</f>
        <v>-0.76684999999986</v>
      </c>
      <c r="T308" s="126" t="n">
        <f aca="false">L308/$R$3</f>
        <v>-0.76684999999986</v>
      </c>
      <c r="U308" s="126" t="n">
        <f aca="false">I308/$R$3</f>
        <v>-1467.17270519945</v>
      </c>
      <c r="V308" s="126" t="n">
        <f aca="false">M308/$R$3</f>
        <v>-1478.12005029915</v>
      </c>
      <c r="W308" s="126" t="n">
        <f aca="false">N308/$R$3</f>
        <v>-1463.10263769028</v>
      </c>
    </row>
    <row r="309" customFormat="false" ht="12.75" hidden="false" customHeight="false" outlineLevel="0" collapsed="false">
      <c r="A309" s="120" t="n">
        <f aca="false">A308+1</f>
        <v>37195</v>
      </c>
      <c r="B309" s="131" t="str">
        <f aca="false">INDEX('Master Data'!$A$2:$B$8,MATCH(WEEKDAY('BRA PWR Certificates'!A309,3),'Master Data'!$A$2:$A$8,0),2)</f>
        <v>W</v>
      </c>
      <c r="D309" s="124" t="n">
        <v>0</v>
      </c>
      <c r="E309" s="124" t="n">
        <v>0</v>
      </c>
      <c r="F309" s="124" t="n">
        <v>0</v>
      </c>
      <c r="G309" s="124" t="n">
        <v>-1512718.95793805</v>
      </c>
      <c r="I309" s="124" t="n">
        <f aca="false">IF(MONTH($A309)=MONTH($A308),IF(G309=0,I308,G309),G309)</f>
        <v>-1512718.95793805</v>
      </c>
      <c r="J309" s="124" t="n">
        <f aca="false">IF(MONTH($A309)=MONTH($A308),SUM(I309-I308),I309)</f>
        <v>-45546.252738595</v>
      </c>
      <c r="K309" s="124" t="n">
        <f aca="false">IF(WEEKDAY(A309,3)&gt;4,0,(IF(A309&lt;K$2,0,IF(A309&lt;=K$3,1,0))))</f>
        <v>1</v>
      </c>
      <c r="L309" s="124" t="n">
        <f aca="false">J309*K309</f>
        <v>-45546.252738595</v>
      </c>
      <c r="M309" s="124" t="n">
        <f aca="false">SUM(J$280:J309)</f>
        <v>-1523666.30303775</v>
      </c>
      <c r="N309" s="124" t="n">
        <f aca="false">SUM(J$6:J309)</f>
        <v>-1508648.89042888</v>
      </c>
      <c r="P309" s="124" t="n">
        <f aca="false">D309/P$3</f>
        <v>0</v>
      </c>
      <c r="Q309" s="124" t="n">
        <f aca="false">E309/P$3</f>
        <v>0</v>
      </c>
      <c r="R309" s="124" t="n">
        <f aca="false">F309/R$3</f>
        <v>0</v>
      </c>
      <c r="S309" s="126" t="n">
        <f aca="false">J309/$R$3</f>
        <v>-45.546252738595</v>
      </c>
      <c r="T309" s="126" t="n">
        <f aca="false">L309/$R$3</f>
        <v>-45.546252738595</v>
      </c>
      <c r="U309" s="126" t="n">
        <f aca="false">I309/$R$3</f>
        <v>-1512.71895793805</v>
      </c>
      <c r="V309" s="126" t="n">
        <f aca="false">M309/$R$3</f>
        <v>-1523.66630303775</v>
      </c>
      <c r="W309" s="126" t="n">
        <f aca="false">N309/$R$3</f>
        <v>-1508.64889042888</v>
      </c>
    </row>
    <row r="310" customFormat="false" ht="12.75" hidden="false" customHeight="false" outlineLevel="0" collapsed="false">
      <c r="A310" s="120" t="n">
        <f aca="false">A309+1</f>
        <v>37196</v>
      </c>
      <c r="B310" s="131" t="str">
        <f aca="false">INDEX('Master Data'!$A$2:$B$8,MATCH(WEEKDAY('BRA PWR Certificates'!A310,3),'Master Data'!$A$2:$A$8,0),2)</f>
        <v>Th</v>
      </c>
      <c r="D310" s="124" t="n">
        <v>0</v>
      </c>
      <c r="E310" s="124" t="n">
        <v>0</v>
      </c>
      <c r="F310" s="124" t="n">
        <v>0</v>
      </c>
      <c r="G310" s="124" t="n">
        <v>-705.14</v>
      </c>
      <c r="I310" s="124" t="n">
        <f aca="false">IF(MONTH($A310)=MONTH($A309),IF(G310=0,I309,G310),G310)</f>
        <v>-705.14</v>
      </c>
      <c r="J310" s="124" t="n">
        <f aca="false">IF(MONTH($A310)=MONTH($A309),SUM(I310-I309),I310)</f>
        <v>-705.14</v>
      </c>
      <c r="K310" s="124" t="n">
        <f aca="false">IF(WEEKDAY(A310,3)&gt;4,0,(IF(A310&lt;K$2,0,IF(A310&lt;=K$3,1,0))))</f>
        <v>1</v>
      </c>
      <c r="L310" s="124" t="n">
        <f aca="false">J310*K310</f>
        <v>-705.14</v>
      </c>
      <c r="M310" s="124" t="n">
        <f aca="false">SUM(J$280:J310)</f>
        <v>-1524371.44303775</v>
      </c>
      <c r="N310" s="124" t="n">
        <f aca="false">SUM(J$6:J310)</f>
        <v>-1509354.03042888</v>
      </c>
      <c r="P310" s="124" t="n">
        <f aca="false">D310/P$3</f>
        <v>0</v>
      </c>
      <c r="Q310" s="124" t="n">
        <f aca="false">E310/P$3</f>
        <v>0</v>
      </c>
      <c r="R310" s="124" t="n">
        <f aca="false">F310/R$3</f>
        <v>0</v>
      </c>
      <c r="S310" s="126" t="n">
        <f aca="false">J310/$R$3</f>
        <v>-0.70514</v>
      </c>
      <c r="T310" s="126" t="n">
        <f aca="false">L310/$R$3</f>
        <v>-0.70514</v>
      </c>
      <c r="U310" s="126" t="n">
        <f aca="false">I310/$R$3</f>
        <v>-0.70514</v>
      </c>
      <c r="V310" s="126" t="n">
        <f aca="false">M310/$R$3</f>
        <v>-1524.37144303775</v>
      </c>
      <c r="W310" s="126" t="n">
        <f aca="false">N310/$R$3</f>
        <v>-1509.35403042888</v>
      </c>
    </row>
    <row r="311" customFormat="false" ht="12.75" hidden="false" customHeight="false" outlineLevel="0" collapsed="false">
      <c r="A311" s="120" t="n">
        <f aca="false">A310+1</f>
        <v>37197</v>
      </c>
      <c r="B311" s="131" t="str">
        <f aca="false">INDEX('Master Data'!$A$2:$B$8,MATCH(WEEKDAY('BRA PWR Certificates'!A311,3),'Master Data'!$A$2:$A$8,0),2)</f>
        <v>F</v>
      </c>
      <c r="D311" s="124" t="n">
        <v>0</v>
      </c>
      <c r="E311" s="124" t="n">
        <v>0</v>
      </c>
      <c r="F311" s="124" t="n">
        <v>0</v>
      </c>
      <c r="G311" s="124" t="n">
        <v>0</v>
      </c>
      <c r="I311" s="124" t="n">
        <f aca="false">IF(MONTH($A311)=MONTH($A310),IF(G311=0,I310,G311),G311)</f>
        <v>-705.14</v>
      </c>
      <c r="J311" s="124" t="n">
        <f aca="false">IF(MONTH($A311)=MONTH($A310),SUM(I311-I310),I311)</f>
        <v>0</v>
      </c>
      <c r="K311" s="124" t="n">
        <f aca="false">IF(WEEKDAY(A311,3)&gt;4,0,(IF(A311&lt;K$2,0,IF(A311&lt;=K$3,1,0))))</f>
        <v>0</v>
      </c>
      <c r="L311" s="124" t="n">
        <f aca="false">J311*K311</f>
        <v>0</v>
      </c>
      <c r="M311" s="124" t="n">
        <f aca="false">SUM(J$280:J311)</f>
        <v>-1524371.44303775</v>
      </c>
      <c r="N311" s="124" t="n">
        <f aca="false">SUM(J$6:J311)</f>
        <v>-1509354.03042888</v>
      </c>
      <c r="P311" s="124" t="n">
        <f aca="false">D311/P$3</f>
        <v>0</v>
      </c>
      <c r="Q311" s="124" t="n">
        <f aca="false">E311/P$3</f>
        <v>0</v>
      </c>
      <c r="R311" s="124" t="n">
        <f aca="false">F311/R$3</f>
        <v>0</v>
      </c>
      <c r="S311" s="126" t="n">
        <f aca="false">J311/$R$3</f>
        <v>0</v>
      </c>
      <c r="T311" s="126" t="n">
        <f aca="false">L311/$R$3</f>
        <v>0</v>
      </c>
      <c r="U311" s="126" t="n">
        <f aca="false">I311/$R$3</f>
        <v>-0.70514</v>
      </c>
      <c r="V311" s="126" t="n">
        <f aca="false">M311/$R$3</f>
        <v>-1524.37144303775</v>
      </c>
      <c r="W311" s="126" t="n">
        <f aca="false">N311/$R$3</f>
        <v>-1509.35403042888</v>
      </c>
    </row>
    <row r="312" customFormat="false" ht="12.75" hidden="false" customHeight="false" outlineLevel="0" collapsed="false">
      <c r="A312" s="120" t="n">
        <f aca="false">A311+1</f>
        <v>37198</v>
      </c>
      <c r="B312" s="131" t="str">
        <f aca="false">INDEX('Master Data'!$A$2:$B$8,MATCH(WEEKDAY('BRA PWR Certificates'!A312,3),'Master Data'!$A$2:$A$8,0),2)</f>
        <v>Sa</v>
      </c>
      <c r="D312" s="124" t="n">
        <v>0</v>
      </c>
      <c r="E312" s="124" t="n">
        <v>0</v>
      </c>
      <c r="F312" s="124" t="n">
        <v>0</v>
      </c>
      <c r="G312" s="124" t="n">
        <v>0</v>
      </c>
      <c r="I312" s="124" t="n">
        <f aca="false">IF(MONTH($A312)=MONTH($A311),IF(G312=0,I311,G312),G312)</f>
        <v>-705.14</v>
      </c>
      <c r="J312" s="124" t="n">
        <f aca="false">IF(MONTH($A312)=MONTH($A311),SUM(I312-I311),I312)</f>
        <v>0</v>
      </c>
      <c r="K312" s="124" t="n">
        <f aca="false">IF(WEEKDAY(A312,3)&gt;4,0,(IF(A312&lt;K$2,0,IF(A312&lt;=K$3,1,0))))</f>
        <v>0</v>
      </c>
      <c r="L312" s="124" t="n">
        <f aca="false">J312*K312</f>
        <v>0</v>
      </c>
      <c r="M312" s="124" t="n">
        <f aca="false">SUM(J$280:J312)</f>
        <v>-1524371.44303775</v>
      </c>
      <c r="N312" s="124" t="n">
        <f aca="false">SUM(J$6:J312)</f>
        <v>-1509354.03042888</v>
      </c>
      <c r="P312" s="124" t="n">
        <f aca="false">D312/P$3</f>
        <v>0</v>
      </c>
      <c r="Q312" s="124" t="n">
        <f aca="false">E312/P$3</f>
        <v>0</v>
      </c>
      <c r="R312" s="124" t="n">
        <f aca="false">F312/R$3</f>
        <v>0</v>
      </c>
      <c r="S312" s="126" t="n">
        <f aca="false">J312/$R$3</f>
        <v>0</v>
      </c>
      <c r="T312" s="126" t="n">
        <f aca="false">L312/$R$3</f>
        <v>0</v>
      </c>
      <c r="U312" s="126" t="n">
        <f aca="false">I312/$R$3</f>
        <v>-0.70514</v>
      </c>
      <c r="V312" s="126" t="n">
        <f aca="false">M312/$R$3</f>
        <v>-1524.37144303775</v>
      </c>
      <c r="W312" s="126" t="n">
        <f aca="false">N312/$R$3</f>
        <v>-1509.35403042888</v>
      </c>
    </row>
    <row r="313" customFormat="false" ht="12.75" hidden="false" customHeight="false" outlineLevel="0" collapsed="false">
      <c r="A313" s="120" t="n">
        <f aca="false">A312+1</f>
        <v>37199</v>
      </c>
      <c r="B313" s="131" t="str">
        <f aca="false">INDEX('Master Data'!$A$2:$B$8,MATCH(WEEKDAY('BRA PWR Certificates'!A313,3),'Master Data'!$A$2:$A$8,0),2)</f>
        <v>Su</v>
      </c>
      <c r="D313" s="124" t="n">
        <v>0</v>
      </c>
      <c r="E313" s="124" t="n">
        <v>0</v>
      </c>
      <c r="F313" s="124" t="n">
        <v>0</v>
      </c>
      <c r="G313" s="124" t="n">
        <v>0</v>
      </c>
      <c r="I313" s="124" t="n">
        <f aca="false">IF(MONTH($A313)=MONTH($A312),IF(G313=0,I312,G313),G313)</f>
        <v>-705.14</v>
      </c>
      <c r="J313" s="124" t="n">
        <f aca="false">IF(MONTH($A313)=MONTH($A312),SUM(I313-I312),I313)</f>
        <v>0</v>
      </c>
      <c r="K313" s="124" t="n">
        <f aca="false">IF(WEEKDAY(A313,3)&gt;4,0,(IF(A313&lt;K$2,0,IF(A313&lt;=K$3,1,0))))</f>
        <v>0</v>
      </c>
      <c r="L313" s="124" t="n">
        <f aca="false">J313*K313</f>
        <v>0</v>
      </c>
      <c r="M313" s="124" t="n">
        <f aca="false">SUM(J$280:J313)</f>
        <v>-1524371.44303775</v>
      </c>
      <c r="N313" s="124" t="n">
        <f aca="false">SUM(J$6:J313)</f>
        <v>-1509354.03042888</v>
      </c>
      <c r="P313" s="124" t="n">
        <f aca="false">D313/P$3</f>
        <v>0</v>
      </c>
      <c r="Q313" s="124" t="n">
        <f aca="false">E313/P$3</f>
        <v>0</v>
      </c>
      <c r="R313" s="124" t="n">
        <f aca="false">F313/R$3</f>
        <v>0</v>
      </c>
      <c r="S313" s="126" t="n">
        <f aca="false">J313/$R$3</f>
        <v>0</v>
      </c>
      <c r="T313" s="126" t="n">
        <f aca="false">L313/$R$3</f>
        <v>0</v>
      </c>
      <c r="U313" s="126" t="n">
        <f aca="false">I313/$R$3</f>
        <v>-0.70514</v>
      </c>
      <c r="V313" s="126" t="n">
        <f aca="false">M313/$R$3</f>
        <v>-1524.37144303775</v>
      </c>
      <c r="W313" s="126" t="n">
        <f aca="false">N313/$R$3</f>
        <v>-1509.35403042888</v>
      </c>
    </row>
    <row r="314" customFormat="false" ht="12.75" hidden="false" customHeight="false" outlineLevel="0" collapsed="false">
      <c r="A314" s="120" t="n">
        <f aca="false">A313+1</f>
        <v>37200</v>
      </c>
      <c r="B314" s="131" t="str">
        <f aca="false">INDEX('Master Data'!$A$2:$B$8,MATCH(WEEKDAY('BRA PWR Certificates'!A314,3),'Master Data'!$A$2:$A$8,0),2)</f>
        <v>M</v>
      </c>
      <c r="D314" s="124" t="n">
        <v>0</v>
      </c>
      <c r="E314" s="124" t="n">
        <v>0</v>
      </c>
      <c r="F314" s="124" t="n">
        <v>0</v>
      </c>
      <c r="G314" s="124" t="n">
        <v>0</v>
      </c>
      <c r="I314" s="124" t="n">
        <f aca="false">IF(MONTH($A314)=MONTH($A313),IF(G314=0,I313,G314),G314)</f>
        <v>-705.14</v>
      </c>
      <c r="J314" s="124" t="n">
        <f aca="false">IF(MONTH($A314)=MONTH($A313),SUM(I314-I313),I314)</f>
        <v>0</v>
      </c>
      <c r="K314" s="124" t="n">
        <f aca="false">IF(WEEKDAY(A314,3)&gt;4,0,(IF(A314&lt;K$2,0,IF(A314&lt;=K$3,1,0))))</f>
        <v>0</v>
      </c>
      <c r="L314" s="124" t="n">
        <f aca="false">J314*K314</f>
        <v>0</v>
      </c>
      <c r="M314" s="124" t="n">
        <f aca="false">SUM(J$280:J314)</f>
        <v>-1524371.44303775</v>
      </c>
      <c r="N314" s="124" t="n">
        <f aca="false">SUM(J$6:J314)</f>
        <v>-1509354.03042888</v>
      </c>
      <c r="P314" s="124" t="n">
        <f aca="false">D314/P$3</f>
        <v>0</v>
      </c>
      <c r="Q314" s="124" t="n">
        <f aca="false">E314/P$3</f>
        <v>0</v>
      </c>
      <c r="R314" s="124" t="n">
        <f aca="false">F314/R$3</f>
        <v>0</v>
      </c>
      <c r="S314" s="126" t="n">
        <f aca="false">J314/$R$3</f>
        <v>0</v>
      </c>
      <c r="T314" s="126" t="n">
        <f aca="false">L314/$R$3</f>
        <v>0</v>
      </c>
      <c r="U314" s="126" t="n">
        <f aca="false">I314/$R$3</f>
        <v>-0.70514</v>
      </c>
      <c r="V314" s="126" t="n">
        <f aca="false">M314/$R$3</f>
        <v>-1524.37144303775</v>
      </c>
      <c r="W314" s="126" t="n">
        <f aca="false">N314/$R$3</f>
        <v>-1509.35403042888</v>
      </c>
    </row>
    <row r="315" customFormat="false" ht="12.75" hidden="false" customHeight="false" outlineLevel="0" collapsed="false">
      <c r="A315" s="120" t="n">
        <f aca="false">A314+1</f>
        <v>37201</v>
      </c>
      <c r="B315" s="131" t="str">
        <f aca="false">INDEX('Master Data'!$A$2:$B$8,MATCH(WEEKDAY('BRA PWR Certificates'!A315,3),'Master Data'!$A$2:$A$8,0),2)</f>
        <v>T</v>
      </c>
      <c r="D315" s="124" t="n">
        <v>0</v>
      </c>
      <c r="E315" s="124" t="n">
        <v>0</v>
      </c>
      <c r="F315" s="124" t="n">
        <v>0</v>
      </c>
      <c r="G315" s="124" t="n">
        <v>0</v>
      </c>
      <c r="I315" s="124" t="n">
        <f aca="false">IF(MONTH($A315)=MONTH($A314),IF(G315=0,I314,G315),G315)</f>
        <v>-705.14</v>
      </c>
      <c r="J315" s="124" t="n">
        <f aca="false">IF(MONTH($A315)=MONTH($A314),SUM(I315-I314),I315)</f>
        <v>0</v>
      </c>
      <c r="K315" s="124" t="n">
        <f aca="false">IF(WEEKDAY(A315,3)&gt;4,0,(IF(A315&lt;K$2,0,IF(A315&lt;=K$3,1,0))))</f>
        <v>0</v>
      </c>
      <c r="L315" s="124" t="n">
        <f aca="false">J315*K315</f>
        <v>0</v>
      </c>
      <c r="M315" s="124" t="n">
        <f aca="false">SUM(J$280:J315)</f>
        <v>-1524371.44303775</v>
      </c>
      <c r="N315" s="124" t="n">
        <f aca="false">SUM(J$6:J315)</f>
        <v>-1509354.03042888</v>
      </c>
      <c r="P315" s="124" t="n">
        <f aca="false">D315/P$3</f>
        <v>0</v>
      </c>
      <c r="Q315" s="124" t="n">
        <f aca="false">E315/P$3</f>
        <v>0</v>
      </c>
      <c r="R315" s="124" t="n">
        <f aca="false">F315/R$3</f>
        <v>0</v>
      </c>
      <c r="S315" s="126" t="n">
        <f aca="false">J315/$R$3</f>
        <v>0</v>
      </c>
      <c r="T315" s="126" t="n">
        <f aca="false">L315/$R$3</f>
        <v>0</v>
      </c>
      <c r="U315" s="126" t="n">
        <f aca="false">I315/$R$3</f>
        <v>-0.70514</v>
      </c>
      <c r="V315" s="126" t="n">
        <f aca="false">M315/$R$3</f>
        <v>-1524.37144303775</v>
      </c>
      <c r="W315" s="126" t="n">
        <f aca="false">N315/$R$3</f>
        <v>-1509.35403042888</v>
      </c>
    </row>
    <row r="316" customFormat="false" ht="12.75" hidden="false" customHeight="false" outlineLevel="0" collapsed="false">
      <c r="A316" s="120" t="n">
        <f aca="false">A315+1</f>
        <v>37202</v>
      </c>
      <c r="B316" s="131" t="str">
        <f aca="false">INDEX('Master Data'!$A$2:$B$8,MATCH(WEEKDAY('BRA PWR Certificates'!A316,3),'Master Data'!$A$2:$A$8,0),2)</f>
        <v>W</v>
      </c>
      <c r="D316" s="124" t="n">
        <v>0</v>
      </c>
      <c r="E316" s="124" t="n">
        <v>0</v>
      </c>
      <c r="F316" s="124" t="n">
        <v>0</v>
      </c>
      <c r="G316" s="124" t="n">
        <v>0</v>
      </c>
      <c r="I316" s="124" t="n">
        <f aca="false">IF(MONTH($A316)=MONTH($A315),IF(G316=0,I315,G316),G316)</f>
        <v>-705.14</v>
      </c>
      <c r="J316" s="124" t="n">
        <f aca="false">IF(MONTH($A316)=MONTH($A315),SUM(I316-I315),I316)</f>
        <v>0</v>
      </c>
      <c r="K316" s="124" t="n">
        <f aca="false">IF(WEEKDAY(A316,3)&gt;4,0,(IF(A316&lt;K$2,0,IF(A316&lt;=K$3,1,0))))</f>
        <v>0</v>
      </c>
      <c r="L316" s="124" t="n">
        <f aca="false">J316*K316</f>
        <v>0</v>
      </c>
      <c r="M316" s="124" t="n">
        <f aca="false">SUM(J$280:J316)</f>
        <v>-1524371.44303775</v>
      </c>
      <c r="N316" s="124" t="n">
        <f aca="false">SUM(J$6:J316)</f>
        <v>-1509354.03042888</v>
      </c>
      <c r="P316" s="124" t="n">
        <f aca="false">D316/P$3</f>
        <v>0</v>
      </c>
      <c r="Q316" s="124" t="n">
        <f aca="false">E316/P$3</f>
        <v>0</v>
      </c>
      <c r="R316" s="124" t="n">
        <f aca="false">F316/R$3</f>
        <v>0</v>
      </c>
      <c r="S316" s="126" t="n">
        <f aca="false">J316/$R$3</f>
        <v>0</v>
      </c>
      <c r="T316" s="126" t="n">
        <f aca="false">L316/$R$3</f>
        <v>0</v>
      </c>
      <c r="U316" s="126" t="n">
        <f aca="false">I316/$R$3</f>
        <v>-0.70514</v>
      </c>
      <c r="V316" s="126" t="n">
        <f aca="false">M316/$R$3</f>
        <v>-1524.37144303775</v>
      </c>
      <c r="W316" s="126" t="n">
        <f aca="false">N316/$R$3</f>
        <v>-1509.35403042888</v>
      </c>
    </row>
    <row r="317" customFormat="false" ht="12.75" hidden="false" customHeight="false" outlineLevel="0" collapsed="false">
      <c r="A317" s="120" t="n">
        <f aca="false">A316+1</f>
        <v>37203</v>
      </c>
      <c r="B317" s="131" t="str">
        <f aca="false">INDEX('Master Data'!$A$2:$B$8,MATCH(WEEKDAY('BRA PWR Certificates'!A317,3),'Master Data'!$A$2:$A$8,0),2)</f>
        <v>Th</v>
      </c>
      <c r="D317" s="124" t="n">
        <v>0</v>
      </c>
      <c r="E317" s="124" t="n">
        <v>0</v>
      </c>
      <c r="F317" s="124" t="n">
        <v>0</v>
      </c>
      <c r="G317" s="124" t="n">
        <v>0</v>
      </c>
      <c r="I317" s="124" t="n">
        <f aca="false">IF(MONTH($A317)=MONTH($A316),IF(G317=0,I316,G317),G317)</f>
        <v>-705.14</v>
      </c>
      <c r="J317" s="124" t="n">
        <f aca="false">IF(MONTH($A317)=MONTH($A316),SUM(I317-I316),I317)</f>
        <v>0</v>
      </c>
      <c r="K317" s="124" t="n">
        <f aca="false">IF(WEEKDAY(A317,3)&gt;4,0,(IF(A317&lt;K$2,0,IF(A317&lt;=K$3,1,0))))</f>
        <v>0</v>
      </c>
      <c r="L317" s="124" t="n">
        <f aca="false">J317*K317</f>
        <v>0</v>
      </c>
      <c r="M317" s="124" t="n">
        <f aca="false">SUM(J$280:J317)</f>
        <v>-1524371.44303775</v>
      </c>
      <c r="N317" s="124" t="n">
        <f aca="false">SUM(J$6:J317)</f>
        <v>-1509354.03042888</v>
      </c>
      <c r="P317" s="124" t="n">
        <f aca="false">D317/P$3</f>
        <v>0</v>
      </c>
      <c r="Q317" s="124" t="n">
        <f aca="false">E317/P$3</f>
        <v>0</v>
      </c>
      <c r="R317" s="124" t="n">
        <f aca="false">F317/R$3</f>
        <v>0</v>
      </c>
      <c r="S317" s="126" t="n">
        <f aca="false">J317/$R$3</f>
        <v>0</v>
      </c>
      <c r="T317" s="126" t="n">
        <f aca="false">L317/$R$3</f>
        <v>0</v>
      </c>
      <c r="U317" s="126" t="n">
        <f aca="false">I317/$R$3</f>
        <v>-0.70514</v>
      </c>
      <c r="V317" s="126" t="n">
        <f aca="false">M317/$R$3</f>
        <v>-1524.37144303775</v>
      </c>
      <c r="W317" s="126" t="n">
        <f aca="false">N317/$R$3</f>
        <v>-1509.35403042888</v>
      </c>
    </row>
    <row r="318" customFormat="false" ht="12.75" hidden="false" customHeight="false" outlineLevel="0" collapsed="false">
      <c r="A318" s="120" t="n">
        <f aca="false">A317+1</f>
        <v>37204</v>
      </c>
      <c r="B318" s="131" t="str">
        <f aca="false">INDEX('Master Data'!$A$2:$B$8,MATCH(WEEKDAY('BRA PWR Certificates'!A318,3),'Master Data'!$A$2:$A$8,0),2)</f>
        <v>F</v>
      </c>
      <c r="D318" s="124" t="n">
        <v>0</v>
      </c>
      <c r="E318" s="124" t="n">
        <v>0</v>
      </c>
      <c r="F318" s="124" t="n">
        <v>0</v>
      </c>
      <c r="G318" s="124" t="n">
        <v>0</v>
      </c>
      <c r="I318" s="124" t="n">
        <f aca="false">IF(MONTH($A318)=MONTH($A317),IF(G318=0,I317,G318),G318)</f>
        <v>-705.14</v>
      </c>
      <c r="J318" s="124" t="n">
        <f aca="false">IF(MONTH($A318)=MONTH($A317),SUM(I318-I317),I318)</f>
        <v>0</v>
      </c>
      <c r="K318" s="124" t="n">
        <f aca="false">IF(WEEKDAY(A318,3)&gt;4,0,(IF(A318&lt;K$2,0,IF(A318&lt;=K$3,1,0))))</f>
        <v>0</v>
      </c>
      <c r="L318" s="124" t="n">
        <f aca="false">J318*K318</f>
        <v>0</v>
      </c>
      <c r="M318" s="124" t="n">
        <f aca="false">SUM(J$280:J318)</f>
        <v>-1524371.44303775</v>
      </c>
      <c r="N318" s="124" t="n">
        <f aca="false">SUM(J$6:J318)</f>
        <v>-1509354.03042888</v>
      </c>
      <c r="P318" s="124" t="n">
        <f aca="false">D318/P$3</f>
        <v>0</v>
      </c>
      <c r="Q318" s="124" t="n">
        <f aca="false">E318/P$3</f>
        <v>0</v>
      </c>
      <c r="R318" s="124" t="n">
        <f aca="false">F318/R$3</f>
        <v>0</v>
      </c>
      <c r="S318" s="126" t="n">
        <f aca="false">J318/$R$3</f>
        <v>0</v>
      </c>
      <c r="T318" s="126" t="n">
        <f aca="false">L318/$R$3</f>
        <v>0</v>
      </c>
      <c r="U318" s="126" t="n">
        <f aca="false">I318/$R$3</f>
        <v>-0.70514</v>
      </c>
      <c r="V318" s="126" t="n">
        <f aca="false">M318/$R$3</f>
        <v>-1524.37144303775</v>
      </c>
      <c r="W318" s="126" t="n">
        <f aca="false">N318/$R$3</f>
        <v>-1509.35403042888</v>
      </c>
    </row>
    <row r="319" customFormat="false" ht="12.75" hidden="false" customHeight="false" outlineLevel="0" collapsed="false">
      <c r="A319" s="120" t="n">
        <f aca="false">A318+1</f>
        <v>37205</v>
      </c>
      <c r="B319" s="131" t="str">
        <f aca="false">INDEX('Master Data'!$A$2:$B$8,MATCH(WEEKDAY('BRA PWR Certificates'!A319,3),'Master Data'!$A$2:$A$8,0),2)</f>
        <v>Sa</v>
      </c>
      <c r="D319" s="124" t="n">
        <v>0</v>
      </c>
      <c r="E319" s="124" t="n">
        <v>0</v>
      </c>
      <c r="F319" s="124" t="n">
        <v>0</v>
      </c>
      <c r="G319" s="124" t="n">
        <v>0</v>
      </c>
      <c r="I319" s="124" t="n">
        <f aca="false">IF(MONTH($A319)=MONTH($A318),IF(G319=0,I318,G319),G319)</f>
        <v>-705.14</v>
      </c>
      <c r="J319" s="124" t="n">
        <f aca="false">IF(MONTH($A319)=MONTH($A318),SUM(I319-I318),I319)</f>
        <v>0</v>
      </c>
      <c r="K319" s="124" t="n">
        <f aca="false">IF(WEEKDAY(A319,3)&gt;4,0,(IF(A319&lt;K$2,0,IF(A319&lt;=K$3,1,0))))</f>
        <v>0</v>
      </c>
      <c r="L319" s="124" t="n">
        <f aca="false">J319*K319</f>
        <v>0</v>
      </c>
      <c r="M319" s="124" t="n">
        <f aca="false">SUM(J$280:J319)</f>
        <v>-1524371.44303775</v>
      </c>
      <c r="N319" s="124" t="n">
        <f aca="false">SUM(J$6:J319)</f>
        <v>-1509354.03042888</v>
      </c>
      <c r="P319" s="124" t="n">
        <f aca="false">D319/P$3</f>
        <v>0</v>
      </c>
      <c r="Q319" s="124" t="n">
        <f aca="false">E319/P$3</f>
        <v>0</v>
      </c>
      <c r="R319" s="124" t="n">
        <f aca="false">F319/R$3</f>
        <v>0</v>
      </c>
      <c r="S319" s="126" t="n">
        <f aca="false">J319/$R$3</f>
        <v>0</v>
      </c>
      <c r="T319" s="126" t="n">
        <f aca="false">L319/$R$3</f>
        <v>0</v>
      </c>
      <c r="U319" s="126" t="n">
        <f aca="false">I319/$R$3</f>
        <v>-0.70514</v>
      </c>
      <c r="V319" s="126" t="n">
        <f aca="false">M319/$R$3</f>
        <v>-1524.37144303775</v>
      </c>
      <c r="W319" s="126" t="n">
        <f aca="false">N319/$R$3</f>
        <v>-1509.35403042888</v>
      </c>
    </row>
    <row r="320" customFormat="false" ht="12.75" hidden="false" customHeight="false" outlineLevel="0" collapsed="false">
      <c r="A320" s="120" t="n">
        <f aca="false">A319+1</f>
        <v>37206</v>
      </c>
      <c r="B320" s="131" t="str">
        <f aca="false">INDEX('Master Data'!$A$2:$B$8,MATCH(WEEKDAY('BRA PWR Certificates'!A320,3),'Master Data'!$A$2:$A$8,0),2)</f>
        <v>Su</v>
      </c>
      <c r="D320" s="124" t="n">
        <v>0</v>
      </c>
      <c r="E320" s="124" t="n">
        <v>0</v>
      </c>
      <c r="F320" s="124" t="n">
        <v>0</v>
      </c>
      <c r="G320" s="124" t="n">
        <v>0</v>
      </c>
      <c r="I320" s="124" t="n">
        <f aca="false">IF(MONTH($A320)=MONTH($A319),IF(G320=0,I319,G320),G320)</f>
        <v>-705.14</v>
      </c>
      <c r="J320" s="124" t="n">
        <f aca="false">IF(MONTH($A320)=MONTH($A319),SUM(I320-I319),I320)</f>
        <v>0</v>
      </c>
      <c r="K320" s="124" t="n">
        <f aca="false">IF(WEEKDAY(A320,3)&gt;4,0,(IF(A320&lt;K$2,0,IF(A320&lt;=K$3,1,0))))</f>
        <v>0</v>
      </c>
      <c r="L320" s="124" t="n">
        <f aca="false">J320*K320</f>
        <v>0</v>
      </c>
      <c r="M320" s="124" t="n">
        <f aca="false">SUM(J$280:J320)</f>
        <v>-1524371.44303775</v>
      </c>
      <c r="N320" s="124" t="n">
        <f aca="false">SUM(J$6:J320)</f>
        <v>-1509354.03042888</v>
      </c>
      <c r="P320" s="124" t="n">
        <f aca="false">D320/P$3</f>
        <v>0</v>
      </c>
      <c r="Q320" s="124" t="n">
        <f aca="false">E320/P$3</f>
        <v>0</v>
      </c>
      <c r="R320" s="124" t="n">
        <f aca="false">F320/R$3</f>
        <v>0</v>
      </c>
      <c r="S320" s="126" t="n">
        <f aca="false">J320/$R$3</f>
        <v>0</v>
      </c>
      <c r="T320" s="126" t="n">
        <f aca="false">L320/$R$3</f>
        <v>0</v>
      </c>
      <c r="U320" s="126" t="n">
        <f aca="false">I320/$R$3</f>
        <v>-0.70514</v>
      </c>
      <c r="V320" s="126" t="n">
        <f aca="false">M320/$R$3</f>
        <v>-1524.37144303775</v>
      </c>
      <c r="W320" s="126" t="n">
        <f aca="false">N320/$R$3</f>
        <v>-1509.35403042888</v>
      </c>
    </row>
    <row r="321" customFormat="false" ht="12.75" hidden="false" customHeight="false" outlineLevel="0" collapsed="false">
      <c r="A321" s="120" t="n">
        <f aca="false">A320+1</f>
        <v>37207</v>
      </c>
      <c r="B321" s="131" t="str">
        <f aca="false">INDEX('Master Data'!$A$2:$B$8,MATCH(WEEKDAY('BRA PWR Certificates'!A321,3),'Master Data'!$A$2:$A$8,0),2)</f>
        <v>M</v>
      </c>
      <c r="D321" s="124" t="n">
        <v>0</v>
      </c>
      <c r="E321" s="124" t="n">
        <v>0</v>
      </c>
      <c r="F321" s="124" t="n">
        <v>0</v>
      </c>
      <c r="G321" s="124" t="n">
        <v>0</v>
      </c>
      <c r="I321" s="124" t="n">
        <f aca="false">IF(MONTH($A321)=MONTH($A320),IF(G321=0,I320,G321),G321)</f>
        <v>-705.14</v>
      </c>
      <c r="J321" s="124" t="n">
        <f aca="false">IF(MONTH($A321)=MONTH($A320),SUM(I321-I320),I321)</f>
        <v>0</v>
      </c>
      <c r="K321" s="124" t="n">
        <f aca="false">IF(WEEKDAY(A321,3)&gt;4,0,(IF(A321&lt;K$2,0,IF(A321&lt;=K$3,1,0))))</f>
        <v>0</v>
      </c>
      <c r="L321" s="124" t="n">
        <f aca="false">J321*K321</f>
        <v>0</v>
      </c>
      <c r="M321" s="124" t="n">
        <f aca="false">SUM(J$280:J321)</f>
        <v>-1524371.44303775</v>
      </c>
      <c r="N321" s="124" t="n">
        <f aca="false">SUM(J$6:J321)</f>
        <v>-1509354.03042888</v>
      </c>
      <c r="P321" s="124" t="n">
        <f aca="false">D321/P$3</f>
        <v>0</v>
      </c>
      <c r="Q321" s="124" t="n">
        <f aca="false">E321/P$3</f>
        <v>0</v>
      </c>
      <c r="R321" s="124" t="n">
        <f aca="false">F321/R$3</f>
        <v>0</v>
      </c>
      <c r="S321" s="126" t="n">
        <f aca="false">J321/$R$3</f>
        <v>0</v>
      </c>
      <c r="T321" s="126" t="n">
        <f aca="false">L321/$R$3</f>
        <v>0</v>
      </c>
      <c r="U321" s="126" t="n">
        <f aca="false">I321/$R$3</f>
        <v>-0.70514</v>
      </c>
      <c r="V321" s="126" t="n">
        <f aca="false">M321/$R$3</f>
        <v>-1524.37144303775</v>
      </c>
      <c r="W321" s="126" t="n">
        <f aca="false">N321/$R$3</f>
        <v>-1509.35403042888</v>
      </c>
    </row>
    <row r="322" customFormat="false" ht="12.75" hidden="false" customHeight="false" outlineLevel="0" collapsed="false">
      <c r="A322" s="120" t="n">
        <f aca="false">A321+1</f>
        <v>37208</v>
      </c>
      <c r="B322" s="131" t="str">
        <f aca="false">INDEX('Master Data'!$A$2:$B$8,MATCH(WEEKDAY('BRA PWR Certificates'!A322,3),'Master Data'!$A$2:$A$8,0),2)</f>
        <v>T</v>
      </c>
      <c r="D322" s="124" t="n">
        <v>0</v>
      </c>
      <c r="E322" s="124" t="n">
        <v>0</v>
      </c>
      <c r="F322" s="124" t="n">
        <v>0</v>
      </c>
      <c r="G322" s="124" t="n">
        <v>0</v>
      </c>
      <c r="I322" s="124" t="n">
        <f aca="false">IF(MONTH($A322)=MONTH($A321),IF(G322=0,I321,G322),G322)</f>
        <v>-705.14</v>
      </c>
      <c r="J322" s="124" t="n">
        <f aca="false">IF(MONTH($A322)=MONTH($A321),SUM(I322-I321),I322)</f>
        <v>0</v>
      </c>
      <c r="K322" s="124" t="n">
        <f aca="false">IF(WEEKDAY(A322,3)&gt;4,0,(IF(A322&lt;K$2,0,IF(A322&lt;=K$3,1,0))))</f>
        <v>0</v>
      </c>
      <c r="L322" s="124" t="n">
        <f aca="false">J322*K322</f>
        <v>0</v>
      </c>
      <c r="M322" s="124" t="n">
        <f aca="false">SUM(J$280:J322)</f>
        <v>-1524371.44303775</v>
      </c>
      <c r="N322" s="124" t="n">
        <f aca="false">SUM(J$6:J322)</f>
        <v>-1509354.03042888</v>
      </c>
      <c r="P322" s="124" t="n">
        <f aca="false">D322/P$3</f>
        <v>0</v>
      </c>
      <c r="Q322" s="124" t="n">
        <f aca="false">E322/P$3</f>
        <v>0</v>
      </c>
      <c r="R322" s="124" t="n">
        <f aca="false">F322/R$3</f>
        <v>0</v>
      </c>
      <c r="S322" s="126" t="n">
        <f aca="false">J322/$R$3</f>
        <v>0</v>
      </c>
      <c r="T322" s="126" t="n">
        <f aca="false">L322/$R$3</f>
        <v>0</v>
      </c>
      <c r="U322" s="126" t="n">
        <f aca="false">I322/$R$3</f>
        <v>-0.70514</v>
      </c>
      <c r="V322" s="126" t="n">
        <f aca="false">M322/$R$3</f>
        <v>-1524.37144303775</v>
      </c>
      <c r="W322" s="126" t="n">
        <f aca="false">N322/$R$3</f>
        <v>-1509.35403042888</v>
      </c>
    </row>
    <row r="323" customFormat="false" ht="12.75" hidden="false" customHeight="false" outlineLevel="0" collapsed="false">
      <c r="A323" s="120" t="n">
        <f aca="false">A322+1</f>
        <v>37209</v>
      </c>
      <c r="B323" s="131" t="str">
        <f aca="false">INDEX('Master Data'!$A$2:$B$8,MATCH(WEEKDAY('BRA PWR Certificates'!A323,3),'Master Data'!$A$2:$A$8,0),2)</f>
        <v>W</v>
      </c>
      <c r="D323" s="124" t="n">
        <v>0</v>
      </c>
      <c r="E323" s="124" t="n">
        <v>0</v>
      </c>
      <c r="F323" s="124" t="n">
        <v>0</v>
      </c>
      <c r="G323" s="124" t="n">
        <v>0</v>
      </c>
      <c r="I323" s="124" t="n">
        <f aca="false">IF(MONTH($A323)=MONTH($A322),IF(G323=0,I322,G323),G323)</f>
        <v>-705.14</v>
      </c>
      <c r="J323" s="124" t="n">
        <f aca="false">IF(MONTH($A323)=MONTH($A322),SUM(I323-I322),I323)</f>
        <v>0</v>
      </c>
      <c r="K323" s="124" t="n">
        <f aca="false">IF(WEEKDAY(A323,3)&gt;4,0,(IF(A323&lt;K$2,0,IF(A323&lt;=K$3,1,0))))</f>
        <v>0</v>
      </c>
      <c r="L323" s="124" t="n">
        <f aca="false">J323*K323</f>
        <v>0</v>
      </c>
      <c r="M323" s="124" t="n">
        <f aca="false">SUM(J$280:J323)</f>
        <v>-1524371.44303775</v>
      </c>
      <c r="N323" s="124" t="n">
        <f aca="false">SUM(J$6:J323)</f>
        <v>-1509354.03042888</v>
      </c>
      <c r="P323" s="124" t="n">
        <f aca="false">D323/P$3</f>
        <v>0</v>
      </c>
      <c r="Q323" s="124" t="n">
        <f aca="false">E323/P$3</f>
        <v>0</v>
      </c>
      <c r="R323" s="124" t="n">
        <f aca="false">F323/R$3</f>
        <v>0</v>
      </c>
      <c r="S323" s="126" t="n">
        <f aca="false">J323/$R$3</f>
        <v>0</v>
      </c>
      <c r="T323" s="126" t="n">
        <f aca="false">L323/$R$3</f>
        <v>0</v>
      </c>
      <c r="U323" s="126" t="n">
        <f aca="false">I323/$R$3</f>
        <v>-0.70514</v>
      </c>
      <c r="V323" s="126" t="n">
        <f aca="false">M323/$R$3</f>
        <v>-1524.37144303775</v>
      </c>
      <c r="W323" s="126" t="n">
        <f aca="false">N323/$R$3</f>
        <v>-1509.35403042888</v>
      </c>
    </row>
    <row r="324" customFormat="false" ht="12.75" hidden="false" customHeight="false" outlineLevel="0" collapsed="false">
      <c r="A324" s="120" t="n">
        <f aca="false">A323+1</f>
        <v>37210</v>
      </c>
      <c r="B324" s="131" t="str">
        <f aca="false">INDEX('Master Data'!$A$2:$B$8,MATCH(WEEKDAY('BRA PWR Certificates'!A324,3),'Master Data'!$A$2:$A$8,0),2)</f>
        <v>Th</v>
      </c>
      <c r="D324" s="124" t="n">
        <v>0</v>
      </c>
      <c r="E324" s="124" t="n">
        <v>0</v>
      </c>
      <c r="F324" s="124" t="n">
        <v>0</v>
      </c>
      <c r="G324" s="124" t="n">
        <v>0</v>
      </c>
      <c r="I324" s="124" t="n">
        <f aca="false">IF(MONTH($A324)=MONTH($A323),IF(G324=0,I323,G324),G324)</f>
        <v>-705.14</v>
      </c>
      <c r="J324" s="124" t="n">
        <f aca="false">IF(MONTH($A324)=MONTH($A323),SUM(I324-I323),I324)</f>
        <v>0</v>
      </c>
      <c r="K324" s="124" t="n">
        <f aca="false">IF(WEEKDAY(A324,3)&gt;4,0,(IF(A324&lt;K$2,0,IF(A324&lt;=K$3,1,0))))</f>
        <v>0</v>
      </c>
      <c r="L324" s="124" t="n">
        <f aca="false">J324*K324</f>
        <v>0</v>
      </c>
      <c r="M324" s="124" t="n">
        <f aca="false">SUM(J$280:J324)</f>
        <v>-1524371.44303775</v>
      </c>
      <c r="N324" s="124" t="n">
        <f aca="false">SUM(J$6:J324)</f>
        <v>-1509354.03042888</v>
      </c>
      <c r="P324" s="124" t="n">
        <f aca="false">D324/P$3</f>
        <v>0</v>
      </c>
      <c r="Q324" s="124" t="n">
        <f aca="false">E324/P$3</f>
        <v>0</v>
      </c>
      <c r="R324" s="124" t="n">
        <f aca="false">F324/R$3</f>
        <v>0</v>
      </c>
      <c r="S324" s="126" t="n">
        <f aca="false">J324/$R$3</f>
        <v>0</v>
      </c>
      <c r="T324" s="126" t="n">
        <f aca="false">L324/$R$3</f>
        <v>0</v>
      </c>
      <c r="U324" s="126" t="n">
        <f aca="false">I324/$R$3</f>
        <v>-0.70514</v>
      </c>
      <c r="V324" s="126" t="n">
        <f aca="false">M324/$R$3</f>
        <v>-1524.37144303775</v>
      </c>
      <c r="W324" s="126" t="n">
        <f aca="false">N324/$R$3</f>
        <v>-1509.35403042888</v>
      </c>
    </row>
    <row r="325" customFormat="false" ht="12.75" hidden="false" customHeight="false" outlineLevel="0" collapsed="false">
      <c r="A325" s="120" t="n">
        <f aca="false">A324+1</f>
        <v>37211</v>
      </c>
      <c r="B325" s="131" t="str">
        <f aca="false">INDEX('Master Data'!$A$2:$B$8,MATCH(WEEKDAY('BRA PWR Certificates'!A325,3),'Master Data'!$A$2:$A$8,0),2)</f>
        <v>F</v>
      </c>
      <c r="D325" s="124" t="n">
        <v>0</v>
      </c>
      <c r="E325" s="124" t="n">
        <v>0</v>
      </c>
      <c r="F325" s="124" t="n">
        <v>0</v>
      </c>
      <c r="G325" s="124" t="n">
        <v>0</v>
      </c>
      <c r="I325" s="124" t="n">
        <f aca="false">IF(MONTH($A325)=MONTH($A324),IF(G325=0,I324,G325),G325)</f>
        <v>-705.14</v>
      </c>
      <c r="J325" s="124" t="n">
        <f aca="false">IF(MONTH($A325)=MONTH($A324),SUM(I325-I324),I325)</f>
        <v>0</v>
      </c>
      <c r="K325" s="124" t="n">
        <f aca="false">IF(WEEKDAY(A325,3)&gt;4,0,(IF(A325&lt;K$2,0,IF(A325&lt;=K$3,1,0))))</f>
        <v>0</v>
      </c>
      <c r="L325" s="124" t="n">
        <f aca="false">J325*K325</f>
        <v>0</v>
      </c>
      <c r="M325" s="124" t="n">
        <f aca="false">SUM(J$280:J325)</f>
        <v>-1524371.44303775</v>
      </c>
      <c r="N325" s="124" t="n">
        <f aca="false">SUM(J$6:J325)</f>
        <v>-1509354.03042888</v>
      </c>
      <c r="P325" s="124" t="n">
        <f aca="false">D325/P$3</f>
        <v>0</v>
      </c>
      <c r="Q325" s="124" t="n">
        <f aca="false">E325/P$3</f>
        <v>0</v>
      </c>
      <c r="R325" s="124" t="n">
        <f aca="false">F325/R$3</f>
        <v>0</v>
      </c>
      <c r="S325" s="126" t="n">
        <f aca="false">J325/$R$3</f>
        <v>0</v>
      </c>
      <c r="T325" s="126" t="n">
        <f aca="false">L325/$R$3</f>
        <v>0</v>
      </c>
      <c r="U325" s="126" t="n">
        <f aca="false">I325/$R$3</f>
        <v>-0.70514</v>
      </c>
      <c r="V325" s="126" t="n">
        <f aca="false">M325/$R$3</f>
        <v>-1524.37144303775</v>
      </c>
      <c r="W325" s="126" t="n">
        <f aca="false">N325/$R$3</f>
        <v>-1509.35403042888</v>
      </c>
    </row>
    <row r="326" customFormat="false" ht="12.75" hidden="false" customHeight="false" outlineLevel="0" collapsed="false">
      <c r="A326" s="120" t="n">
        <f aca="false">A325+1</f>
        <v>37212</v>
      </c>
      <c r="B326" s="131" t="str">
        <f aca="false">INDEX('Master Data'!$A$2:$B$8,MATCH(WEEKDAY('BRA PWR Certificates'!A326,3),'Master Data'!$A$2:$A$8,0),2)</f>
        <v>Sa</v>
      </c>
      <c r="D326" s="124" t="n">
        <v>0</v>
      </c>
      <c r="E326" s="124" t="n">
        <v>0</v>
      </c>
      <c r="F326" s="124" t="n">
        <v>0</v>
      </c>
      <c r="G326" s="124" t="n">
        <v>0</v>
      </c>
      <c r="I326" s="124" t="n">
        <f aca="false">IF(MONTH($A326)=MONTH($A325),IF(G326=0,I325,G326),G326)</f>
        <v>-705.14</v>
      </c>
      <c r="J326" s="124" t="n">
        <f aca="false">IF(MONTH($A326)=MONTH($A325),SUM(I326-I325),I326)</f>
        <v>0</v>
      </c>
      <c r="K326" s="124" t="n">
        <f aca="false">IF(WEEKDAY(A326,3)&gt;4,0,(IF(A326&lt;K$2,0,IF(A326&lt;=K$3,1,0))))</f>
        <v>0</v>
      </c>
      <c r="L326" s="124" t="n">
        <f aca="false">J326*K326</f>
        <v>0</v>
      </c>
      <c r="M326" s="124" t="n">
        <f aca="false">SUM(J$280:J326)</f>
        <v>-1524371.44303775</v>
      </c>
      <c r="N326" s="124" t="n">
        <f aca="false">SUM(J$6:J326)</f>
        <v>-1509354.03042888</v>
      </c>
      <c r="P326" s="124" t="n">
        <f aca="false">D326/P$3</f>
        <v>0</v>
      </c>
      <c r="Q326" s="124" t="n">
        <f aca="false">E326/P$3</f>
        <v>0</v>
      </c>
      <c r="R326" s="124" t="n">
        <f aca="false">F326/R$3</f>
        <v>0</v>
      </c>
      <c r="S326" s="126" t="n">
        <f aca="false">J326/$R$3</f>
        <v>0</v>
      </c>
      <c r="T326" s="126" t="n">
        <f aca="false">L326/$R$3</f>
        <v>0</v>
      </c>
      <c r="U326" s="126" t="n">
        <f aca="false">I326/$R$3</f>
        <v>-0.70514</v>
      </c>
      <c r="V326" s="126" t="n">
        <f aca="false">M326/$R$3</f>
        <v>-1524.37144303775</v>
      </c>
      <c r="W326" s="126" t="n">
        <f aca="false">N326/$R$3</f>
        <v>-1509.35403042888</v>
      </c>
    </row>
    <row r="327" customFormat="false" ht="12.75" hidden="false" customHeight="false" outlineLevel="0" collapsed="false">
      <c r="A327" s="120" t="n">
        <f aca="false">A326+1</f>
        <v>37213</v>
      </c>
      <c r="B327" s="131" t="str">
        <f aca="false">INDEX('Master Data'!$A$2:$B$8,MATCH(WEEKDAY('BRA PWR Certificates'!A327,3),'Master Data'!$A$2:$A$8,0),2)</f>
        <v>Su</v>
      </c>
      <c r="D327" s="124" t="n">
        <v>0</v>
      </c>
      <c r="E327" s="124" t="n">
        <v>0</v>
      </c>
      <c r="F327" s="124" t="n">
        <v>0</v>
      </c>
      <c r="G327" s="124" t="n">
        <v>0</v>
      </c>
      <c r="I327" s="124" t="n">
        <f aca="false">IF(MONTH($A327)=MONTH($A326),IF(G327=0,I326,G327),G327)</f>
        <v>-705.14</v>
      </c>
      <c r="J327" s="124" t="n">
        <f aca="false">IF(MONTH($A327)=MONTH($A326),SUM(I327-I326),I327)</f>
        <v>0</v>
      </c>
      <c r="K327" s="124" t="n">
        <f aca="false">IF(WEEKDAY(A327,3)&gt;4,0,(IF(A327&lt;K$2,0,IF(A327&lt;=K$3,1,0))))</f>
        <v>0</v>
      </c>
      <c r="L327" s="124" t="n">
        <f aca="false">J327*K327</f>
        <v>0</v>
      </c>
      <c r="M327" s="124" t="n">
        <f aca="false">SUM(J$280:J327)</f>
        <v>-1524371.44303775</v>
      </c>
      <c r="N327" s="124" t="n">
        <f aca="false">SUM(J$6:J327)</f>
        <v>-1509354.03042888</v>
      </c>
      <c r="P327" s="124" t="n">
        <f aca="false">D327/P$3</f>
        <v>0</v>
      </c>
      <c r="Q327" s="124" t="n">
        <f aca="false">E327/P$3</f>
        <v>0</v>
      </c>
      <c r="R327" s="124" t="n">
        <f aca="false">F327/R$3</f>
        <v>0</v>
      </c>
      <c r="S327" s="126" t="n">
        <f aca="false">J327/$R$3</f>
        <v>0</v>
      </c>
      <c r="T327" s="126" t="n">
        <f aca="false">L327/$R$3</f>
        <v>0</v>
      </c>
      <c r="U327" s="126" t="n">
        <f aca="false">I327/$R$3</f>
        <v>-0.70514</v>
      </c>
      <c r="V327" s="126" t="n">
        <f aca="false">M327/$R$3</f>
        <v>-1524.37144303775</v>
      </c>
      <c r="W327" s="126" t="n">
        <f aca="false">N327/$R$3</f>
        <v>-1509.35403042888</v>
      </c>
    </row>
    <row r="328" customFormat="false" ht="12.75" hidden="false" customHeight="false" outlineLevel="0" collapsed="false">
      <c r="A328" s="120" t="n">
        <f aca="false">A327+1</f>
        <v>37214</v>
      </c>
      <c r="B328" s="131" t="str">
        <f aca="false">INDEX('Master Data'!$A$2:$B$8,MATCH(WEEKDAY('BRA PWR Certificates'!A328,3),'Master Data'!$A$2:$A$8,0),2)</f>
        <v>M</v>
      </c>
      <c r="D328" s="124" t="n">
        <v>0</v>
      </c>
      <c r="E328" s="124" t="n">
        <v>0</v>
      </c>
      <c r="F328" s="124" t="n">
        <v>0</v>
      </c>
      <c r="G328" s="124" t="n">
        <v>0</v>
      </c>
      <c r="I328" s="124" t="n">
        <f aca="false">IF(MONTH($A328)=MONTH($A327),IF(G328=0,I327,G328),G328)</f>
        <v>-705.14</v>
      </c>
      <c r="J328" s="124" t="n">
        <f aca="false">IF(MONTH($A328)=MONTH($A327),SUM(I328-I327),I328)</f>
        <v>0</v>
      </c>
      <c r="K328" s="124" t="n">
        <f aca="false">IF(WEEKDAY(A328,3)&gt;4,0,(IF(A328&lt;K$2,0,IF(A328&lt;=K$3,1,0))))</f>
        <v>0</v>
      </c>
      <c r="L328" s="124" t="n">
        <f aca="false">J328*K328</f>
        <v>0</v>
      </c>
      <c r="M328" s="124" t="n">
        <f aca="false">SUM(J$280:J328)</f>
        <v>-1524371.44303775</v>
      </c>
      <c r="N328" s="124" t="n">
        <f aca="false">SUM(J$6:J328)</f>
        <v>-1509354.03042888</v>
      </c>
      <c r="P328" s="124" t="n">
        <f aca="false">D328/P$3</f>
        <v>0</v>
      </c>
      <c r="Q328" s="124" t="n">
        <f aca="false">E328/P$3</f>
        <v>0</v>
      </c>
      <c r="R328" s="124" t="n">
        <f aca="false">F328/R$3</f>
        <v>0</v>
      </c>
      <c r="S328" s="126" t="n">
        <f aca="false">J328/$R$3</f>
        <v>0</v>
      </c>
      <c r="T328" s="126" t="n">
        <f aca="false">L328/$R$3</f>
        <v>0</v>
      </c>
      <c r="U328" s="126" t="n">
        <f aca="false">I328/$R$3</f>
        <v>-0.70514</v>
      </c>
      <c r="V328" s="126" t="n">
        <f aca="false">M328/$R$3</f>
        <v>-1524.37144303775</v>
      </c>
      <c r="W328" s="126" t="n">
        <f aca="false">N328/$R$3</f>
        <v>-1509.35403042888</v>
      </c>
    </row>
    <row r="329" customFormat="false" ht="12.75" hidden="false" customHeight="false" outlineLevel="0" collapsed="false">
      <c r="A329" s="120" t="n">
        <f aca="false">A328+1</f>
        <v>37215</v>
      </c>
      <c r="B329" s="131" t="str">
        <f aca="false">INDEX('Master Data'!$A$2:$B$8,MATCH(WEEKDAY('BRA PWR Certificates'!A329,3),'Master Data'!$A$2:$A$8,0),2)</f>
        <v>T</v>
      </c>
      <c r="D329" s="124" t="n">
        <v>0</v>
      </c>
      <c r="E329" s="124" t="n">
        <v>0</v>
      </c>
      <c r="F329" s="124" t="n">
        <v>0</v>
      </c>
      <c r="G329" s="124" t="n">
        <v>0</v>
      </c>
      <c r="I329" s="124" t="n">
        <f aca="false">IF(MONTH($A329)=MONTH($A328),IF(G329=0,I328,G329),G329)</f>
        <v>-705.14</v>
      </c>
      <c r="J329" s="124" t="n">
        <f aca="false">IF(MONTH($A329)=MONTH($A328),SUM(I329-I328),I329)</f>
        <v>0</v>
      </c>
      <c r="K329" s="124" t="n">
        <f aca="false">IF(WEEKDAY(A329,3)&gt;4,0,(IF(A329&lt;K$2,0,IF(A329&lt;=K$3,1,0))))</f>
        <v>0</v>
      </c>
      <c r="L329" s="124" t="n">
        <f aca="false">J329*K329</f>
        <v>0</v>
      </c>
      <c r="M329" s="124" t="n">
        <f aca="false">SUM(J$280:J329)</f>
        <v>-1524371.44303775</v>
      </c>
      <c r="N329" s="124" t="n">
        <f aca="false">SUM(J$6:J329)</f>
        <v>-1509354.03042888</v>
      </c>
      <c r="P329" s="124" t="n">
        <f aca="false">D329/P$3</f>
        <v>0</v>
      </c>
      <c r="Q329" s="124" t="n">
        <f aca="false">E329/P$3</f>
        <v>0</v>
      </c>
      <c r="R329" s="124" t="n">
        <f aca="false">F329/R$3</f>
        <v>0</v>
      </c>
      <c r="S329" s="126" t="n">
        <f aca="false">J329/$R$3</f>
        <v>0</v>
      </c>
      <c r="T329" s="126" t="n">
        <f aca="false">L329/$R$3</f>
        <v>0</v>
      </c>
      <c r="U329" s="126" t="n">
        <f aca="false">I329/$R$3</f>
        <v>-0.70514</v>
      </c>
      <c r="V329" s="126" t="n">
        <f aca="false">M329/$R$3</f>
        <v>-1524.37144303775</v>
      </c>
      <c r="W329" s="126" t="n">
        <f aca="false">N329/$R$3</f>
        <v>-1509.35403042888</v>
      </c>
    </row>
    <row r="330" customFormat="false" ht="12.75" hidden="false" customHeight="false" outlineLevel="0" collapsed="false">
      <c r="A330" s="120" t="n">
        <f aca="false">A329+1</f>
        <v>37216</v>
      </c>
      <c r="B330" s="131" t="str">
        <f aca="false">INDEX('Master Data'!$A$2:$B$8,MATCH(WEEKDAY('BRA PWR Certificates'!A330,3),'Master Data'!$A$2:$A$8,0),2)</f>
        <v>W</v>
      </c>
      <c r="D330" s="124" t="n">
        <v>0</v>
      </c>
      <c r="E330" s="124" t="n">
        <v>0</v>
      </c>
      <c r="F330" s="124" t="n">
        <v>0</v>
      </c>
      <c r="G330" s="124" t="n">
        <v>0</v>
      </c>
      <c r="I330" s="124" t="n">
        <f aca="false">IF(MONTH($A330)=MONTH($A329),IF(G330=0,I329,G330),G330)</f>
        <v>-705.14</v>
      </c>
      <c r="J330" s="124" t="n">
        <f aca="false">IF(MONTH($A330)=MONTH($A329),SUM(I330-I329),I330)</f>
        <v>0</v>
      </c>
      <c r="K330" s="124" t="n">
        <f aca="false">IF(WEEKDAY(A330,3)&gt;4,0,(IF(A330&lt;K$2,0,IF(A330&lt;=K$3,1,0))))</f>
        <v>0</v>
      </c>
      <c r="L330" s="124" t="n">
        <f aca="false">J330*K330</f>
        <v>0</v>
      </c>
      <c r="M330" s="124" t="n">
        <f aca="false">SUM(J$280:J330)</f>
        <v>-1524371.44303775</v>
      </c>
      <c r="N330" s="124" t="n">
        <f aca="false">SUM(J$6:J330)</f>
        <v>-1509354.03042888</v>
      </c>
      <c r="P330" s="124" t="n">
        <f aca="false">D330/P$3</f>
        <v>0</v>
      </c>
      <c r="Q330" s="124" t="n">
        <f aca="false">E330/P$3</f>
        <v>0</v>
      </c>
      <c r="R330" s="124" t="n">
        <f aca="false">F330/R$3</f>
        <v>0</v>
      </c>
      <c r="S330" s="126" t="n">
        <f aca="false">J330/$R$3</f>
        <v>0</v>
      </c>
      <c r="T330" s="126" t="n">
        <f aca="false">L330/$R$3</f>
        <v>0</v>
      </c>
      <c r="U330" s="126" t="n">
        <f aca="false">I330/$R$3</f>
        <v>-0.70514</v>
      </c>
      <c r="V330" s="126" t="n">
        <f aca="false">M330/$R$3</f>
        <v>-1524.37144303775</v>
      </c>
      <c r="W330" s="126" t="n">
        <f aca="false">N330/$R$3</f>
        <v>-1509.35403042888</v>
      </c>
    </row>
    <row r="331" customFormat="false" ht="12.75" hidden="false" customHeight="false" outlineLevel="0" collapsed="false">
      <c r="A331" s="120" t="n">
        <f aca="false">A330+1</f>
        <v>37217</v>
      </c>
      <c r="B331" s="131" t="str">
        <f aca="false">INDEX('Master Data'!$A$2:$B$8,MATCH(WEEKDAY('BRA PWR Certificates'!A331,3),'Master Data'!$A$2:$A$8,0),2)</f>
        <v>Th</v>
      </c>
      <c r="D331" s="124" t="n">
        <v>0</v>
      </c>
      <c r="E331" s="124" t="n">
        <v>0</v>
      </c>
      <c r="F331" s="124" t="n">
        <v>0</v>
      </c>
      <c r="G331" s="124" t="n">
        <v>0</v>
      </c>
      <c r="I331" s="124" t="n">
        <f aca="false">IF(MONTH($A331)=MONTH($A330),IF(G331=0,I330,G331),G331)</f>
        <v>-705.14</v>
      </c>
      <c r="J331" s="124" t="n">
        <f aca="false">IF(MONTH($A331)=MONTH($A330),SUM(I331-I330),I331)</f>
        <v>0</v>
      </c>
      <c r="K331" s="124" t="n">
        <f aca="false">IF(WEEKDAY(A331,3)&gt;4,0,(IF(A331&lt;K$2,0,IF(A331&lt;=K$3,1,0))))</f>
        <v>0</v>
      </c>
      <c r="L331" s="124" t="n">
        <f aca="false">J331*K331</f>
        <v>0</v>
      </c>
      <c r="M331" s="124" t="n">
        <f aca="false">SUM(J$280:J331)</f>
        <v>-1524371.44303775</v>
      </c>
      <c r="N331" s="124" t="n">
        <f aca="false">SUM(J$6:J331)</f>
        <v>-1509354.03042888</v>
      </c>
      <c r="P331" s="124" t="n">
        <f aca="false">D331/P$3</f>
        <v>0</v>
      </c>
      <c r="Q331" s="124" t="n">
        <f aca="false">E331/P$3</f>
        <v>0</v>
      </c>
      <c r="R331" s="124" t="n">
        <f aca="false">F331/R$3</f>
        <v>0</v>
      </c>
      <c r="S331" s="126" t="n">
        <f aca="false">J331/$R$3</f>
        <v>0</v>
      </c>
      <c r="T331" s="126" t="n">
        <f aca="false">L331/$R$3</f>
        <v>0</v>
      </c>
      <c r="U331" s="126" t="n">
        <f aca="false">I331/$R$3</f>
        <v>-0.70514</v>
      </c>
      <c r="V331" s="126" t="n">
        <f aca="false">M331/$R$3</f>
        <v>-1524.37144303775</v>
      </c>
      <c r="W331" s="126" t="n">
        <f aca="false">N331/$R$3</f>
        <v>-1509.35403042888</v>
      </c>
    </row>
    <row r="332" customFormat="false" ht="12.75" hidden="false" customHeight="false" outlineLevel="0" collapsed="false">
      <c r="A332" s="120" t="n">
        <f aca="false">A331+1</f>
        <v>37218</v>
      </c>
      <c r="B332" s="131" t="str">
        <f aca="false">INDEX('Master Data'!$A$2:$B$8,MATCH(WEEKDAY('BRA PWR Certificates'!A332,3),'Master Data'!$A$2:$A$8,0),2)</f>
        <v>F</v>
      </c>
      <c r="D332" s="124" t="n">
        <v>0</v>
      </c>
      <c r="E332" s="124" t="n">
        <v>0</v>
      </c>
      <c r="F332" s="124" t="n">
        <v>0</v>
      </c>
      <c r="G332" s="124" t="n">
        <v>0</v>
      </c>
      <c r="I332" s="124" t="n">
        <f aca="false">IF(MONTH($A332)=MONTH($A331),IF(G332=0,I331,G332),G332)</f>
        <v>-705.14</v>
      </c>
      <c r="J332" s="124" t="n">
        <f aca="false">IF(MONTH($A332)=MONTH($A331),SUM(I332-I331),I332)</f>
        <v>0</v>
      </c>
      <c r="K332" s="124" t="n">
        <f aca="false">IF(WEEKDAY(A332,3)&gt;4,0,(IF(A332&lt;K$2,0,IF(A332&lt;=K$3,1,0))))</f>
        <v>0</v>
      </c>
      <c r="L332" s="124" t="n">
        <f aca="false">J332*K332</f>
        <v>0</v>
      </c>
      <c r="M332" s="124" t="n">
        <f aca="false">SUM(J$280:J332)</f>
        <v>-1524371.44303775</v>
      </c>
      <c r="N332" s="124" t="n">
        <f aca="false">SUM(J$6:J332)</f>
        <v>-1509354.03042888</v>
      </c>
      <c r="P332" s="124" t="n">
        <f aca="false">D332/P$3</f>
        <v>0</v>
      </c>
      <c r="Q332" s="124" t="n">
        <f aca="false">E332/P$3</f>
        <v>0</v>
      </c>
      <c r="R332" s="124" t="n">
        <f aca="false">F332/R$3</f>
        <v>0</v>
      </c>
      <c r="S332" s="126" t="n">
        <f aca="false">J332/$R$3</f>
        <v>0</v>
      </c>
      <c r="T332" s="126" t="n">
        <f aca="false">L332/$R$3</f>
        <v>0</v>
      </c>
      <c r="U332" s="126" t="n">
        <f aca="false">I332/$R$3</f>
        <v>-0.70514</v>
      </c>
      <c r="V332" s="126" t="n">
        <f aca="false">M332/$R$3</f>
        <v>-1524.37144303775</v>
      </c>
      <c r="W332" s="126" t="n">
        <f aca="false">N332/$R$3</f>
        <v>-1509.35403042888</v>
      </c>
    </row>
    <row r="333" customFormat="false" ht="12.75" hidden="false" customHeight="false" outlineLevel="0" collapsed="false">
      <c r="A333" s="120" t="n">
        <f aca="false">A332+1</f>
        <v>37219</v>
      </c>
      <c r="B333" s="131" t="str">
        <f aca="false">INDEX('Master Data'!$A$2:$B$8,MATCH(WEEKDAY('BRA PWR Certificates'!A333,3),'Master Data'!$A$2:$A$8,0),2)</f>
        <v>Sa</v>
      </c>
      <c r="D333" s="124" t="n">
        <v>0</v>
      </c>
      <c r="E333" s="124" t="n">
        <v>0</v>
      </c>
      <c r="F333" s="124" t="n">
        <v>0</v>
      </c>
      <c r="G333" s="124" t="n">
        <v>0</v>
      </c>
      <c r="I333" s="124" t="n">
        <f aca="false">IF(MONTH($A333)=MONTH($A332),IF(G333=0,I332,G333),G333)</f>
        <v>-705.14</v>
      </c>
      <c r="J333" s="124" t="n">
        <f aca="false">IF(MONTH($A333)=MONTH($A332),SUM(I333-I332),I333)</f>
        <v>0</v>
      </c>
      <c r="K333" s="124" t="n">
        <f aca="false">IF(WEEKDAY(A333,3)&gt;4,0,(IF(A333&lt;K$2,0,IF(A333&lt;=K$3,1,0))))</f>
        <v>0</v>
      </c>
      <c r="L333" s="124" t="n">
        <f aca="false">J333*K333</f>
        <v>0</v>
      </c>
      <c r="M333" s="124" t="n">
        <f aca="false">SUM(J$280:J333)</f>
        <v>-1524371.44303775</v>
      </c>
      <c r="N333" s="124" t="n">
        <f aca="false">SUM(J$6:J333)</f>
        <v>-1509354.03042888</v>
      </c>
      <c r="P333" s="124" t="n">
        <f aca="false">D333/P$3</f>
        <v>0</v>
      </c>
      <c r="Q333" s="124" t="n">
        <f aca="false">E333/P$3</f>
        <v>0</v>
      </c>
      <c r="R333" s="124" t="n">
        <f aca="false">F333/R$3</f>
        <v>0</v>
      </c>
      <c r="S333" s="126" t="n">
        <f aca="false">J333/$R$3</f>
        <v>0</v>
      </c>
      <c r="T333" s="126" t="n">
        <f aca="false">L333/$R$3</f>
        <v>0</v>
      </c>
      <c r="U333" s="126" t="n">
        <f aca="false">I333/$R$3</f>
        <v>-0.70514</v>
      </c>
      <c r="V333" s="126" t="n">
        <f aca="false">M333/$R$3</f>
        <v>-1524.37144303775</v>
      </c>
      <c r="W333" s="126" t="n">
        <f aca="false">N333/$R$3</f>
        <v>-1509.35403042888</v>
      </c>
    </row>
    <row r="334" customFormat="false" ht="12.75" hidden="false" customHeight="false" outlineLevel="0" collapsed="false">
      <c r="A334" s="120" t="n">
        <f aca="false">A333+1</f>
        <v>37220</v>
      </c>
      <c r="B334" s="131" t="str">
        <f aca="false">INDEX('Master Data'!$A$2:$B$8,MATCH(WEEKDAY('BRA PWR Certificates'!A334,3),'Master Data'!$A$2:$A$8,0),2)</f>
        <v>Su</v>
      </c>
      <c r="D334" s="124" t="n">
        <v>0</v>
      </c>
      <c r="E334" s="124" t="n">
        <v>0</v>
      </c>
      <c r="F334" s="124" t="n">
        <v>0</v>
      </c>
      <c r="G334" s="124" t="n">
        <v>0</v>
      </c>
      <c r="I334" s="124" t="n">
        <f aca="false">IF(MONTH($A334)=MONTH($A333),IF(G334=0,I333,G334),G334)</f>
        <v>-705.14</v>
      </c>
      <c r="J334" s="124" t="n">
        <f aca="false">IF(MONTH($A334)=MONTH($A333),SUM(I334-I333),I334)</f>
        <v>0</v>
      </c>
      <c r="K334" s="124" t="n">
        <f aca="false">IF(WEEKDAY(A334,3)&gt;4,0,(IF(A334&lt;K$2,0,IF(A334&lt;=K$3,1,0))))</f>
        <v>0</v>
      </c>
      <c r="L334" s="124" t="n">
        <f aca="false">J334*K334</f>
        <v>0</v>
      </c>
      <c r="M334" s="124" t="n">
        <f aca="false">SUM(J$280:J334)</f>
        <v>-1524371.44303775</v>
      </c>
      <c r="N334" s="124" t="n">
        <f aca="false">SUM(J$6:J334)</f>
        <v>-1509354.03042888</v>
      </c>
      <c r="P334" s="124" t="n">
        <f aca="false">D334/P$3</f>
        <v>0</v>
      </c>
      <c r="Q334" s="124" t="n">
        <f aca="false">E334/P$3</f>
        <v>0</v>
      </c>
      <c r="R334" s="124" t="n">
        <f aca="false">F334/R$3</f>
        <v>0</v>
      </c>
      <c r="S334" s="126" t="n">
        <f aca="false">J334/$R$3</f>
        <v>0</v>
      </c>
      <c r="T334" s="126" t="n">
        <f aca="false">L334/$R$3</f>
        <v>0</v>
      </c>
      <c r="U334" s="126" t="n">
        <f aca="false">I334/$R$3</f>
        <v>-0.70514</v>
      </c>
      <c r="V334" s="126" t="n">
        <f aca="false">M334/$R$3</f>
        <v>-1524.37144303775</v>
      </c>
      <c r="W334" s="126" t="n">
        <f aca="false">N334/$R$3</f>
        <v>-1509.35403042888</v>
      </c>
    </row>
    <row r="335" customFormat="false" ht="12.75" hidden="false" customHeight="false" outlineLevel="0" collapsed="false">
      <c r="A335" s="120" t="n">
        <f aca="false">A334+1</f>
        <v>37221</v>
      </c>
      <c r="B335" s="131" t="str">
        <f aca="false">INDEX('Master Data'!$A$2:$B$8,MATCH(WEEKDAY('BRA PWR Certificates'!A335,3),'Master Data'!$A$2:$A$8,0),2)</f>
        <v>M</v>
      </c>
      <c r="D335" s="124" t="n">
        <v>0</v>
      </c>
      <c r="E335" s="124" t="n">
        <v>0</v>
      </c>
      <c r="F335" s="124" t="n">
        <v>0</v>
      </c>
      <c r="G335" s="124" t="n">
        <v>0</v>
      </c>
      <c r="I335" s="124" t="n">
        <f aca="false">IF(MONTH($A335)=MONTH($A334),IF(G335=0,I334,G335),G335)</f>
        <v>-705.14</v>
      </c>
      <c r="J335" s="124" t="n">
        <f aca="false">IF(MONTH($A335)=MONTH($A334),SUM(I335-I334),I335)</f>
        <v>0</v>
      </c>
      <c r="K335" s="124" t="n">
        <f aca="false">IF(WEEKDAY(A335,3)&gt;4,0,(IF(A335&lt;K$2,0,IF(A335&lt;=K$3,1,0))))</f>
        <v>0</v>
      </c>
      <c r="L335" s="124" t="n">
        <f aca="false">J335*K335</f>
        <v>0</v>
      </c>
      <c r="M335" s="124" t="n">
        <f aca="false">SUM(J$280:J335)</f>
        <v>-1524371.44303775</v>
      </c>
      <c r="N335" s="124" t="n">
        <f aca="false">SUM(J$6:J335)</f>
        <v>-1509354.03042888</v>
      </c>
      <c r="P335" s="124" t="n">
        <f aca="false">D335/P$3</f>
        <v>0</v>
      </c>
      <c r="Q335" s="124" t="n">
        <f aca="false">E335/P$3</f>
        <v>0</v>
      </c>
      <c r="R335" s="124" t="n">
        <f aca="false">F335/R$3</f>
        <v>0</v>
      </c>
      <c r="S335" s="126" t="n">
        <f aca="false">J335/$R$3</f>
        <v>0</v>
      </c>
      <c r="T335" s="126" t="n">
        <f aca="false">L335/$R$3</f>
        <v>0</v>
      </c>
      <c r="U335" s="126" t="n">
        <f aca="false">I335/$R$3</f>
        <v>-0.70514</v>
      </c>
      <c r="V335" s="126" t="n">
        <f aca="false">M335/$R$3</f>
        <v>-1524.37144303775</v>
      </c>
      <c r="W335" s="126" t="n">
        <f aca="false">N335/$R$3</f>
        <v>-1509.35403042888</v>
      </c>
    </row>
    <row r="336" customFormat="false" ht="12.75" hidden="false" customHeight="false" outlineLevel="0" collapsed="false">
      <c r="A336" s="120" t="n">
        <f aca="false">A335+1</f>
        <v>37222</v>
      </c>
      <c r="B336" s="131" t="str">
        <f aca="false">INDEX('Master Data'!$A$2:$B$8,MATCH(WEEKDAY('BRA PWR Certificates'!A336,3),'Master Data'!$A$2:$A$8,0),2)</f>
        <v>T</v>
      </c>
      <c r="D336" s="124" t="n">
        <v>0</v>
      </c>
      <c r="E336" s="124" t="n">
        <v>0</v>
      </c>
      <c r="F336" s="124" t="n">
        <v>0</v>
      </c>
      <c r="G336" s="124" t="n">
        <v>0</v>
      </c>
      <c r="I336" s="124" t="n">
        <f aca="false">IF(MONTH($A336)=MONTH($A335),IF(G336=0,I335,G336),G336)</f>
        <v>-705.14</v>
      </c>
      <c r="J336" s="124" t="n">
        <f aca="false">IF(MONTH($A336)=MONTH($A335),SUM(I336-I335),I336)</f>
        <v>0</v>
      </c>
      <c r="K336" s="124" t="n">
        <f aca="false">IF(WEEKDAY(A336,3)&gt;4,0,(IF(A336&lt;K$2,0,IF(A336&lt;=K$3,1,0))))</f>
        <v>0</v>
      </c>
      <c r="L336" s="124" t="n">
        <f aca="false">J336*K336</f>
        <v>0</v>
      </c>
      <c r="M336" s="124" t="n">
        <f aca="false">SUM(J$280:J336)</f>
        <v>-1524371.44303775</v>
      </c>
      <c r="N336" s="124" t="n">
        <f aca="false">SUM(J$6:J336)</f>
        <v>-1509354.03042888</v>
      </c>
      <c r="P336" s="124" t="n">
        <f aca="false">D336/P$3</f>
        <v>0</v>
      </c>
      <c r="Q336" s="124" t="n">
        <f aca="false">E336/P$3</f>
        <v>0</v>
      </c>
      <c r="R336" s="124" t="n">
        <f aca="false">F336/R$3</f>
        <v>0</v>
      </c>
      <c r="S336" s="126" t="n">
        <f aca="false">J336/$R$3</f>
        <v>0</v>
      </c>
      <c r="T336" s="126" t="n">
        <f aca="false">L336/$R$3</f>
        <v>0</v>
      </c>
      <c r="U336" s="126" t="n">
        <f aca="false">I336/$R$3</f>
        <v>-0.70514</v>
      </c>
      <c r="V336" s="126" t="n">
        <f aca="false">M336/$R$3</f>
        <v>-1524.37144303775</v>
      </c>
      <c r="W336" s="126" t="n">
        <f aca="false">N336/$R$3</f>
        <v>-1509.35403042888</v>
      </c>
    </row>
    <row r="337" customFormat="false" ht="12.75" hidden="false" customHeight="false" outlineLevel="0" collapsed="false">
      <c r="A337" s="120" t="n">
        <f aca="false">A336+1</f>
        <v>37223</v>
      </c>
      <c r="B337" s="131" t="str">
        <f aca="false">INDEX('Master Data'!$A$2:$B$8,MATCH(WEEKDAY('BRA PWR Certificates'!A337,3),'Master Data'!$A$2:$A$8,0),2)</f>
        <v>W</v>
      </c>
      <c r="D337" s="124" t="n">
        <v>0</v>
      </c>
      <c r="E337" s="124" t="n">
        <v>0</v>
      </c>
      <c r="F337" s="124" t="n">
        <v>0</v>
      </c>
      <c r="G337" s="124" t="n">
        <v>0</v>
      </c>
      <c r="I337" s="124" t="n">
        <f aca="false">IF(MONTH($A337)=MONTH($A336),IF(G337=0,I336,G337),G337)</f>
        <v>-705.14</v>
      </c>
      <c r="J337" s="124" t="n">
        <f aca="false">IF(MONTH($A337)=MONTH($A336),SUM(I337-I336),I337)</f>
        <v>0</v>
      </c>
      <c r="K337" s="124" t="n">
        <f aca="false">IF(WEEKDAY(A337,3)&gt;4,0,(IF(A337&lt;K$2,0,IF(A337&lt;=K$3,1,0))))</f>
        <v>0</v>
      </c>
      <c r="L337" s="124" t="n">
        <f aca="false">J337*K337</f>
        <v>0</v>
      </c>
      <c r="M337" s="124" t="n">
        <f aca="false">SUM(J$280:J337)</f>
        <v>-1524371.44303775</v>
      </c>
      <c r="N337" s="124" t="n">
        <f aca="false">SUM(J$6:J337)</f>
        <v>-1509354.03042888</v>
      </c>
      <c r="P337" s="124" t="n">
        <f aca="false">D337/P$3</f>
        <v>0</v>
      </c>
      <c r="Q337" s="124" t="n">
        <f aca="false">E337/P$3</f>
        <v>0</v>
      </c>
      <c r="R337" s="124" t="n">
        <f aca="false">F337/R$3</f>
        <v>0</v>
      </c>
      <c r="S337" s="126" t="n">
        <f aca="false">J337/$R$3</f>
        <v>0</v>
      </c>
      <c r="T337" s="126" t="n">
        <f aca="false">L337/$R$3</f>
        <v>0</v>
      </c>
      <c r="U337" s="126" t="n">
        <f aca="false">I337/$R$3</f>
        <v>-0.70514</v>
      </c>
      <c r="V337" s="126" t="n">
        <f aca="false">M337/$R$3</f>
        <v>-1524.37144303775</v>
      </c>
      <c r="W337" s="126" t="n">
        <f aca="false">N337/$R$3</f>
        <v>-1509.35403042888</v>
      </c>
    </row>
    <row r="338" customFormat="false" ht="12.75" hidden="false" customHeight="false" outlineLevel="0" collapsed="false">
      <c r="A338" s="120" t="n">
        <f aca="false">A337+1</f>
        <v>37224</v>
      </c>
      <c r="B338" s="131" t="str">
        <f aca="false">INDEX('Master Data'!$A$2:$B$8,MATCH(WEEKDAY('BRA PWR Certificates'!A338,3),'Master Data'!$A$2:$A$8,0),2)</f>
        <v>Th</v>
      </c>
      <c r="D338" s="124" t="n">
        <v>0</v>
      </c>
      <c r="E338" s="124" t="n">
        <v>0</v>
      </c>
      <c r="F338" s="124" t="n">
        <v>0</v>
      </c>
      <c r="G338" s="124" t="n">
        <v>0</v>
      </c>
      <c r="I338" s="124" t="n">
        <f aca="false">IF(MONTH($A338)=MONTH($A337),IF(G338=0,I337,G338),G338)</f>
        <v>-705.14</v>
      </c>
      <c r="J338" s="124" t="n">
        <f aca="false">IF(MONTH($A338)=MONTH($A337),SUM(I338-I337),I338)</f>
        <v>0</v>
      </c>
      <c r="K338" s="124" t="n">
        <f aca="false">IF(WEEKDAY(A338,3)&gt;4,0,(IF(A338&lt;K$2,0,IF(A338&lt;=K$3,1,0))))</f>
        <v>0</v>
      </c>
      <c r="L338" s="124" t="n">
        <f aca="false">J338*K338</f>
        <v>0</v>
      </c>
      <c r="M338" s="124" t="n">
        <f aca="false">SUM(J$280:J338)</f>
        <v>-1524371.44303775</v>
      </c>
      <c r="N338" s="124" t="n">
        <f aca="false">SUM(J$6:J338)</f>
        <v>-1509354.03042888</v>
      </c>
      <c r="P338" s="124" t="n">
        <f aca="false">D338/P$3</f>
        <v>0</v>
      </c>
      <c r="Q338" s="124" t="n">
        <f aca="false">E338/P$3</f>
        <v>0</v>
      </c>
      <c r="R338" s="124" t="n">
        <f aca="false">F338/R$3</f>
        <v>0</v>
      </c>
      <c r="S338" s="126" t="n">
        <f aca="false">J338/$R$3</f>
        <v>0</v>
      </c>
      <c r="T338" s="126" t="n">
        <f aca="false">L338/$R$3</f>
        <v>0</v>
      </c>
      <c r="U338" s="126" t="n">
        <f aca="false">I338/$R$3</f>
        <v>-0.70514</v>
      </c>
      <c r="V338" s="126" t="n">
        <f aca="false">M338/$R$3</f>
        <v>-1524.37144303775</v>
      </c>
      <c r="W338" s="126" t="n">
        <f aca="false">N338/$R$3</f>
        <v>-1509.35403042888</v>
      </c>
    </row>
    <row r="339" customFormat="false" ht="12.75" hidden="false" customHeight="false" outlineLevel="0" collapsed="false">
      <c r="A339" s="120" t="n">
        <f aca="false">A338+1</f>
        <v>37225</v>
      </c>
      <c r="B339" s="131" t="str">
        <f aca="false">INDEX('Master Data'!$A$2:$B$8,MATCH(WEEKDAY('BRA PWR Certificates'!A339,3),'Master Data'!$A$2:$A$8,0),2)</f>
        <v>F</v>
      </c>
      <c r="D339" s="124" t="n">
        <v>0</v>
      </c>
      <c r="E339" s="124" t="n">
        <v>0</v>
      </c>
      <c r="F339" s="124" t="n">
        <v>0</v>
      </c>
      <c r="G339" s="124" t="n">
        <v>0</v>
      </c>
      <c r="I339" s="124" t="n">
        <f aca="false">IF(MONTH($A339)=MONTH($A338),IF(G339=0,I338,G339),G339)</f>
        <v>-705.14</v>
      </c>
      <c r="J339" s="124" t="n">
        <f aca="false">IF(MONTH($A339)=MONTH($A338),SUM(I339-I338),I339)</f>
        <v>0</v>
      </c>
      <c r="K339" s="124" t="n">
        <f aca="false">IF(WEEKDAY(A339,3)&gt;4,0,(IF(A339&lt;K$2,0,IF(A339&lt;=K$3,1,0))))</f>
        <v>0</v>
      </c>
      <c r="L339" s="124" t="n">
        <f aca="false">J339*K339</f>
        <v>0</v>
      </c>
      <c r="M339" s="124" t="n">
        <f aca="false">SUM(J$280:J339)</f>
        <v>-1524371.44303775</v>
      </c>
      <c r="N339" s="124" t="n">
        <f aca="false">SUM(J$6:J339)</f>
        <v>-1509354.03042888</v>
      </c>
      <c r="P339" s="124" t="n">
        <f aca="false">D339/P$3</f>
        <v>0</v>
      </c>
      <c r="Q339" s="124" t="n">
        <f aca="false">E339/P$3</f>
        <v>0</v>
      </c>
      <c r="R339" s="124" t="n">
        <f aca="false">F339/R$3</f>
        <v>0</v>
      </c>
      <c r="S339" s="126" t="n">
        <f aca="false">J339/$R$3</f>
        <v>0</v>
      </c>
      <c r="T339" s="126" t="n">
        <f aca="false">L339/$R$3</f>
        <v>0</v>
      </c>
      <c r="U339" s="126" t="n">
        <f aca="false">I339/$R$3</f>
        <v>-0.70514</v>
      </c>
      <c r="V339" s="126" t="n">
        <f aca="false">M339/$R$3</f>
        <v>-1524.37144303775</v>
      </c>
      <c r="W339" s="126" t="n">
        <f aca="false">N339/$R$3</f>
        <v>-1509.35403042888</v>
      </c>
    </row>
    <row r="340" customFormat="false" ht="12.75" hidden="false" customHeight="false" outlineLevel="0" collapsed="false">
      <c r="A340" s="120" t="n">
        <f aca="false">A339+1</f>
        <v>37226</v>
      </c>
      <c r="B340" s="131" t="str">
        <f aca="false">INDEX('Master Data'!$A$2:$B$8,MATCH(WEEKDAY('BRA PWR Certificates'!A340,3),'Master Data'!$A$2:$A$8,0),2)</f>
        <v>Sa</v>
      </c>
      <c r="D340" s="124" t="n">
        <v>0</v>
      </c>
      <c r="E340" s="124" t="n">
        <v>0</v>
      </c>
      <c r="F340" s="124" t="n">
        <v>0</v>
      </c>
      <c r="G340" s="124" t="n">
        <v>0</v>
      </c>
      <c r="I340" s="124" t="n">
        <f aca="false">IF(MONTH($A340)=MONTH($A339),IF(G340=0,I339,G340),G340)</f>
        <v>0</v>
      </c>
      <c r="J340" s="124" t="n">
        <f aca="false">IF(MONTH($A340)=MONTH($A339),SUM(I340-I339),I340)</f>
        <v>0</v>
      </c>
      <c r="K340" s="124" t="n">
        <f aca="false">IF(WEEKDAY(A340,3)&gt;4,0,(IF(A340&lt;K$2,0,IF(A340&lt;=K$3,1,0))))</f>
        <v>0</v>
      </c>
      <c r="L340" s="124" t="n">
        <f aca="false">J340*K340</f>
        <v>0</v>
      </c>
      <c r="M340" s="124" t="n">
        <f aca="false">SUM(J$280:J340)</f>
        <v>-1524371.44303775</v>
      </c>
      <c r="N340" s="124" t="n">
        <f aca="false">SUM(J$6:J340)</f>
        <v>-1509354.03042888</v>
      </c>
      <c r="P340" s="124" t="n">
        <f aca="false">D340/P$3</f>
        <v>0</v>
      </c>
      <c r="Q340" s="124" t="n">
        <f aca="false">E340/P$3</f>
        <v>0</v>
      </c>
      <c r="R340" s="124" t="n">
        <f aca="false">F340/R$3</f>
        <v>0</v>
      </c>
      <c r="S340" s="126" t="n">
        <f aca="false">J340/$R$3</f>
        <v>0</v>
      </c>
      <c r="T340" s="126" t="n">
        <f aca="false">L340/$R$3</f>
        <v>0</v>
      </c>
      <c r="U340" s="126" t="n">
        <f aca="false">I340/$R$3</f>
        <v>0</v>
      </c>
      <c r="V340" s="126" t="n">
        <f aca="false">M340/$R$3</f>
        <v>-1524.37144303775</v>
      </c>
      <c r="W340" s="126" t="n">
        <f aca="false">N340/$R$3</f>
        <v>-1509.35403042888</v>
      </c>
    </row>
    <row r="341" customFormat="false" ht="12.75" hidden="false" customHeight="false" outlineLevel="0" collapsed="false">
      <c r="A341" s="120" t="n">
        <f aca="false">A340+1</f>
        <v>37227</v>
      </c>
      <c r="B341" s="131" t="str">
        <f aca="false">INDEX('Master Data'!$A$2:$B$8,MATCH(WEEKDAY('BRA PWR Certificates'!A341,3),'Master Data'!$A$2:$A$8,0),2)</f>
        <v>Su</v>
      </c>
      <c r="D341" s="124" t="n">
        <v>0</v>
      </c>
      <c r="E341" s="124" t="n">
        <v>0</v>
      </c>
      <c r="F341" s="124" t="n">
        <v>0</v>
      </c>
      <c r="G341" s="124" t="n">
        <v>0</v>
      </c>
      <c r="I341" s="124" t="n">
        <f aca="false">IF(MONTH($A341)=MONTH($A340),IF(G341=0,I340,G341),G341)</f>
        <v>0</v>
      </c>
      <c r="J341" s="124" t="n">
        <f aca="false">IF(MONTH($A341)=MONTH($A340),SUM(I341-I340),I341)</f>
        <v>0</v>
      </c>
      <c r="K341" s="124" t="n">
        <f aca="false">IF(WEEKDAY(A341,3)&gt;4,0,(IF(A341&lt;K$2,0,IF(A341&lt;=K$3,1,0))))</f>
        <v>0</v>
      </c>
      <c r="L341" s="124" t="n">
        <f aca="false">J341*K341</f>
        <v>0</v>
      </c>
      <c r="M341" s="124" t="n">
        <f aca="false">SUM(J$280:J341)</f>
        <v>-1524371.44303775</v>
      </c>
      <c r="N341" s="124" t="n">
        <f aca="false">SUM(J$6:J341)</f>
        <v>-1509354.03042888</v>
      </c>
      <c r="P341" s="124" t="n">
        <f aca="false">D341/P$3</f>
        <v>0</v>
      </c>
      <c r="Q341" s="124" t="n">
        <f aca="false">E341/P$3</f>
        <v>0</v>
      </c>
      <c r="R341" s="124" t="n">
        <f aca="false">F341/R$3</f>
        <v>0</v>
      </c>
      <c r="S341" s="126" t="n">
        <f aca="false">J341/$R$3</f>
        <v>0</v>
      </c>
      <c r="T341" s="126" t="n">
        <f aca="false">L341/$R$3</f>
        <v>0</v>
      </c>
      <c r="U341" s="126" t="n">
        <f aca="false">I341/$R$3</f>
        <v>0</v>
      </c>
      <c r="V341" s="126" t="n">
        <f aca="false">M341/$R$3</f>
        <v>-1524.37144303775</v>
      </c>
      <c r="W341" s="126" t="n">
        <f aca="false">N341/$R$3</f>
        <v>-1509.35403042888</v>
      </c>
    </row>
    <row r="342" customFormat="false" ht="12.75" hidden="false" customHeight="false" outlineLevel="0" collapsed="false">
      <c r="A342" s="120" t="n">
        <f aca="false">A341+1</f>
        <v>37228</v>
      </c>
      <c r="B342" s="131" t="str">
        <f aca="false">INDEX('Master Data'!$A$2:$B$8,MATCH(WEEKDAY('BRA PWR Certificates'!A342,3),'Master Data'!$A$2:$A$8,0),2)</f>
        <v>M</v>
      </c>
      <c r="D342" s="124" t="n">
        <v>0</v>
      </c>
      <c r="E342" s="124" t="n">
        <v>0</v>
      </c>
      <c r="F342" s="124" t="n">
        <v>0</v>
      </c>
      <c r="G342" s="124" t="n">
        <v>0</v>
      </c>
      <c r="I342" s="124" t="n">
        <f aca="false">IF(MONTH($A342)=MONTH($A341),IF(G342=0,I341,G342),G342)</f>
        <v>0</v>
      </c>
      <c r="J342" s="124" t="n">
        <f aca="false">IF(MONTH($A342)=MONTH($A341),SUM(I342-I341),I342)</f>
        <v>0</v>
      </c>
      <c r="K342" s="124" t="n">
        <f aca="false">IF(WEEKDAY(A342,3)&gt;4,0,(IF(A342&lt;K$2,0,IF(A342&lt;=K$3,1,0))))</f>
        <v>0</v>
      </c>
      <c r="L342" s="124" t="n">
        <f aca="false">J342*K342</f>
        <v>0</v>
      </c>
      <c r="M342" s="124" t="n">
        <f aca="false">SUM(J$280:J342)</f>
        <v>-1524371.44303775</v>
      </c>
      <c r="N342" s="124" t="n">
        <f aca="false">SUM(J$6:J342)</f>
        <v>-1509354.03042888</v>
      </c>
      <c r="P342" s="124" t="n">
        <f aca="false">D342/P$3</f>
        <v>0</v>
      </c>
      <c r="Q342" s="124" t="n">
        <f aca="false">E342/P$3</f>
        <v>0</v>
      </c>
      <c r="R342" s="124" t="n">
        <f aca="false">F342/R$3</f>
        <v>0</v>
      </c>
      <c r="S342" s="126" t="n">
        <f aca="false">J342/$R$3</f>
        <v>0</v>
      </c>
      <c r="T342" s="126" t="n">
        <f aca="false">L342/$R$3</f>
        <v>0</v>
      </c>
      <c r="U342" s="126" t="n">
        <f aca="false">I342/$R$3</f>
        <v>0</v>
      </c>
      <c r="V342" s="126" t="n">
        <f aca="false">M342/$R$3</f>
        <v>-1524.37144303775</v>
      </c>
      <c r="W342" s="126" t="n">
        <f aca="false">N342/$R$3</f>
        <v>-1509.35403042888</v>
      </c>
    </row>
    <row r="343" customFormat="false" ht="12.75" hidden="false" customHeight="false" outlineLevel="0" collapsed="false">
      <c r="A343" s="120" t="n">
        <f aca="false">A342+1</f>
        <v>37229</v>
      </c>
      <c r="B343" s="131" t="str">
        <f aca="false">INDEX('Master Data'!$A$2:$B$8,MATCH(WEEKDAY('BRA PWR Certificates'!A343,3),'Master Data'!$A$2:$A$8,0),2)</f>
        <v>T</v>
      </c>
      <c r="D343" s="124" t="n">
        <v>0</v>
      </c>
      <c r="E343" s="124" t="n">
        <v>0</v>
      </c>
      <c r="F343" s="124" t="n">
        <v>0</v>
      </c>
      <c r="G343" s="124" t="n">
        <v>0</v>
      </c>
      <c r="I343" s="124" t="n">
        <f aca="false">IF(MONTH($A343)=MONTH($A342),IF(G343=0,I342,G343),G343)</f>
        <v>0</v>
      </c>
      <c r="J343" s="124" t="n">
        <f aca="false">IF(MONTH($A343)=MONTH($A342),SUM(I343-I342),I343)</f>
        <v>0</v>
      </c>
      <c r="K343" s="124" t="n">
        <f aca="false">IF(WEEKDAY(A343,3)&gt;4,0,(IF(A343&lt;K$2,0,IF(A343&lt;=K$3,1,0))))</f>
        <v>0</v>
      </c>
      <c r="L343" s="124" t="n">
        <f aca="false">J343*K343</f>
        <v>0</v>
      </c>
      <c r="M343" s="124" t="n">
        <f aca="false">SUM(J$280:J343)</f>
        <v>-1524371.44303775</v>
      </c>
      <c r="N343" s="124" t="n">
        <f aca="false">SUM(J$6:J343)</f>
        <v>-1509354.03042888</v>
      </c>
      <c r="P343" s="124" t="n">
        <f aca="false">D343/P$3</f>
        <v>0</v>
      </c>
      <c r="Q343" s="124" t="n">
        <f aca="false">E343/P$3</f>
        <v>0</v>
      </c>
      <c r="R343" s="124" t="n">
        <f aca="false">F343/R$3</f>
        <v>0</v>
      </c>
      <c r="S343" s="126" t="n">
        <f aca="false">J343/$R$3</f>
        <v>0</v>
      </c>
      <c r="T343" s="126" t="n">
        <f aca="false">L343/$R$3</f>
        <v>0</v>
      </c>
      <c r="U343" s="126" t="n">
        <f aca="false">I343/$R$3</f>
        <v>0</v>
      </c>
      <c r="V343" s="126" t="n">
        <f aca="false">M343/$R$3</f>
        <v>-1524.37144303775</v>
      </c>
      <c r="W343" s="126" t="n">
        <f aca="false">N343/$R$3</f>
        <v>-1509.35403042888</v>
      </c>
    </row>
    <row r="344" customFormat="false" ht="12.75" hidden="false" customHeight="false" outlineLevel="0" collapsed="false">
      <c r="A344" s="120" t="n">
        <f aca="false">A343+1</f>
        <v>37230</v>
      </c>
      <c r="B344" s="131" t="str">
        <f aca="false">INDEX('Master Data'!$A$2:$B$8,MATCH(WEEKDAY('BRA PWR Certificates'!A344,3),'Master Data'!$A$2:$A$8,0),2)</f>
        <v>W</v>
      </c>
      <c r="D344" s="124" t="n">
        <v>0</v>
      </c>
      <c r="E344" s="124" t="n">
        <v>0</v>
      </c>
      <c r="F344" s="124" t="n">
        <v>0</v>
      </c>
      <c r="G344" s="124" t="n">
        <v>0</v>
      </c>
      <c r="I344" s="124" t="n">
        <f aca="false">IF(MONTH($A344)=MONTH($A343),IF(G344=0,I343,G344),G344)</f>
        <v>0</v>
      </c>
      <c r="J344" s="124" t="n">
        <f aca="false">IF(MONTH($A344)=MONTH($A343),SUM(I344-I343),I344)</f>
        <v>0</v>
      </c>
      <c r="K344" s="124" t="n">
        <f aca="false">IF(WEEKDAY(A344,3)&gt;4,0,(IF(A344&lt;K$2,0,IF(A344&lt;=K$3,1,0))))</f>
        <v>0</v>
      </c>
      <c r="L344" s="124" t="n">
        <f aca="false">J344*K344</f>
        <v>0</v>
      </c>
      <c r="M344" s="124" t="n">
        <f aca="false">SUM(J$280:J344)</f>
        <v>-1524371.44303775</v>
      </c>
      <c r="N344" s="124" t="n">
        <f aca="false">SUM(J$6:J344)</f>
        <v>-1509354.03042888</v>
      </c>
      <c r="P344" s="124" t="n">
        <f aca="false">D344/P$3</f>
        <v>0</v>
      </c>
      <c r="Q344" s="124" t="n">
        <f aca="false">E344/P$3</f>
        <v>0</v>
      </c>
      <c r="R344" s="124" t="n">
        <f aca="false">F344/R$3</f>
        <v>0</v>
      </c>
      <c r="S344" s="126" t="n">
        <f aca="false">J344/$R$3</f>
        <v>0</v>
      </c>
      <c r="T344" s="126" t="n">
        <f aca="false">L344/$R$3</f>
        <v>0</v>
      </c>
      <c r="U344" s="126" t="n">
        <f aca="false">I344/$R$3</f>
        <v>0</v>
      </c>
      <c r="V344" s="126" t="n">
        <f aca="false">M344/$R$3</f>
        <v>-1524.37144303775</v>
      </c>
      <c r="W344" s="126" t="n">
        <f aca="false">N344/$R$3</f>
        <v>-1509.35403042888</v>
      </c>
    </row>
    <row r="345" customFormat="false" ht="12.75" hidden="false" customHeight="false" outlineLevel="0" collapsed="false">
      <c r="A345" s="120" t="n">
        <f aca="false">A344+1</f>
        <v>37231</v>
      </c>
      <c r="B345" s="131" t="str">
        <f aca="false">INDEX('Master Data'!$A$2:$B$8,MATCH(WEEKDAY('BRA PWR Certificates'!A345,3),'Master Data'!$A$2:$A$8,0),2)</f>
        <v>Th</v>
      </c>
      <c r="D345" s="124" t="n">
        <v>0</v>
      </c>
      <c r="E345" s="124" t="n">
        <v>0</v>
      </c>
      <c r="F345" s="124" t="n">
        <v>0</v>
      </c>
      <c r="G345" s="124" t="n">
        <v>0</v>
      </c>
      <c r="I345" s="124" t="n">
        <f aca="false">IF(MONTH($A345)=MONTH($A344),IF(G345=0,I344,G345),G345)</f>
        <v>0</v>
      </c>
      <c r="J345" s="124" t="n">
        <f aca="false">IF(MONTH($A345)=MONTH($A344),SUM(I345-I344),I345)</f>
        <v>0</v>
      </c>
      <c r="K345" s="124" t="n">
        <f aca="false">IF(WEEKDAY(A345,3)&gt;4,0,(IF(A345&lt;K$2,0,IF(A345&lt;=K$3,1,0))))</f>
        <v>0</v>
      </c>
      <c r="L345" s="124" t="n">
        <f aca="false">J345*K345</f>
        <v>0</v>
      </c>
      <c r="M345" s="124" t="n">
        <f aca="false">SUM(J$280:J345)</f>
        <v>-1524371.44303775</v>
      </c>
      <c r="N345" s="124" t="n">
        <f aca="false">SUM(J$6:J345)</f>
        <v>-1509354.03042888</v>
      </c>
      <c r="P345" s="124" t="n">
        <f aca="false">D345/P$3</f>
        <v>0</v>
      </c>
      <c r="Q345" s="124" t="n">
        <f aca="false">E345/P$3</f>
        <v>0</v>
      </c>
      <c r="R345" s="124" t="n">
        <f aca="false">F345/R$3</f>
        <v>0</v>
      </c>
      <c r="S345" s="126" t="n">
        <f aca="false">J345/$R$3</f>
        <v>0</v>
      </c>
      <c r="T345" s="126" t="n">
        <f aca="false">L345/$R$3</f>
        <v>0</v>
      </c>
      <c r="U345" s="126" t="n">
        <f aca="false">I345/$R$3</f>
        <v>0</v>
      </c>
      <c r="V345" s="126" t="n">
        <f aca="false">M345/$R$3</f>
        <v>-1524.37144303775</v>
      </c>
      <c r="W345" s="126" t="n">
        <f aca="false">N345/$R$3</f>
        <v>-1509.35403042888</v>
      </c>
    </row>
    <row r="346" customFormat="false" ht="12.75" hidden="false" customHeight="false" outlineLevel="0" collapsed="false">
      <c r="A346" s="120" t="n">
        <f aca="false">A345+1</f>
        <v>37232</v>
      </c>
      <c r="B346" s="131" t="str">
        <f aca="false">INDEX('Master Data'!$A$2:$B$8,MATCH(WEEKDAY('BRA PWR Certificates'!A346,3),'Master Data'!$A$2:$A$8,0),2)</f>
        <v>F</v>
      </c>
      <c r="D346" s="124" t="n">
        <v>0</v>
      </c>
      <c r="E346" s="124" t="n">
        <v>0</v>
      </c>
      <c r="F346" s="124" t="n">
        <v>0</v>
      </c>
      <c r="G346" s="124" t="n">
        <v>0</v>
      </c>
      <c r="I346" s="124" t="n">
        <f aca="false">IF(MONTH($A346)=MONTH($A345),IF(G346=0,I345,G346),G346)</f>
        <v>0</v>
      </c>
      <c r="J346" s="124" t="n">
        <f aca="false">IF(MONTH($A346)=MONTH($A345),SUM(I346-I345),I346)</f>
        <v>0</v>
      </c>
      <c r="K346" s="124" t="n">
        <f aca="false">IF(WEEKDAY(A346,3)&gt;4,0,(IF(A346&lt;K$2,0,IF(A346&lt;=K$3,1,0))))</f>
        <v>0</v>
      </c>
      <c r="L346" s="124" t="n">
        <f aca="false">J346*K346</f>
        <v>0</v>
      </c>
      <c r="M346" s="124" t="n">
        <f aca="false">SUM(J$280:J346)</f>
        <v>-1524371.44303775</v>
      </c>
      <c r="N346" s="124" t="n">
        <f aca="false">SUM(J$6:J346)</f>
        <v>-1509354.03042888</v>
      </c>
      <c r="P346" s="124" t="n">
        <f aca="false">D346/P$3</f>
        <v>0</v>
      </c>
      <c r="Q346" s="124" t="n">
        <f aca="false">E346/P$3</f>
        <v>0</v>
      </c>
      <c r="R346" s="124" t="n">
        <f aca="false">F346/R$3</f>
        <v>0</v>
      </c>
      <c r="S346" s="126" t="n">
        <f aca="false">J346/$R$3</f>
        <v>0</v>
      </c>
      <c r="T346" s="126" t="n">
        <f aca="false">L346/$R$3</f>
        <v>0</v>
      </c>
      <c r="U346" s="126" t="n">
        <f aca="false">I346/$R$3</f>
        <v>0</v>
      </c>
      <c r="V346" s="126" t="n">
        <f aca="false">M346/$R$3</f>
        <v>-1524.37144303775</v>
      </c>
      <c r="W346" s="126" t="n">
        <f aca="false">N346/$R$3</f>
        <v>-1509.35403042888</v>
      </c>
    </row>
    <row r="347" customFormat="false" ht="12.75" hidden="false" customHeight="false" outlineLevel="0" collapsed="false">
      <c r="A347" s="120" t="n">
        <f aca="false">A346+1</f>
        <v>37233</v>
      </c>
      <c r="B347" s="131" t="str">
        <f aca="false">INDEX('Master Data'!$A$2:$B$8,MATCH(WEEKDAY('BRA PWR Certificates'!A347,3),'Master Data'!$A$2:$A$8,0),2)</f>
        <v>Sa</v>
      </c>
      <c r="D347" s="124" t="n">
        <v>0</v>
      </c>
      <c r="E347" s="124" t="n">
        <v>0</v>
      </c>
      <c r="F347" s="124" t="n">
        <v>0</v>
      </c>
      <c r="G347" s="124" t="n">
        <v>0</v>
      </c>
      <c r="I347" s="124" t="n">
        <f aca="false">IF(MONTH($A347)=MONTH($A346),IF(G347=0,I346,G347),G347)</f>
        <v>0</v>
      </c>
      <c r="J347" s="124" t="n">
        <f aca="false">IF(MONTH($A347)=MONTH($A346),SUM(I347-I346),I347)</f>
        <v>0</v>
      </c>
      <c r="K347" s="124" t="n">
        <f aca="false">IF(WEEKDAY(A347,3)&gt;4,0,(IF(A347&lt;K$2,0,IF(A347&lt;=K$3,1,0))))</f>
        <v>0</v>
      </c>
      <c r="L347" s="124" t="n">
        <f aca="false">J347*K347</f>
        <v>0</v>
      </c>
      <c r="M347" s="124" t="n">
        <f aca="false">SUM(J$280:J347)</f>
        <v>-1524371.44303775</v>
      </c>
      <c r="N347" s="124" t="n">
        <f aca="false">SUM(J$6:J347)</f>
        <v>-1509354.03042888</v>
      </c>
      <c r="P347" s="124" t="n">
        <f aca="false">D347/P$3</f>
        <v>0</v>
      </c>
      <c r="Q347" s="124" t="n">
        <f aca="false">E347/P$3</f>
        <v>0</v>
      </c>
      <c r="R347" s="124" t="n">
        <f aca="false">F347/R$3</f>
        <v>0</v>
      </c>
      <c r="S347" s="126" t="n">
        <f aca="false">J347/$R$3</f>
        <v>0</v>
      </c>
      <c r="T347" s="126" t="n">
        <f aca="false">L347/$R$3</f>
        <v>0</v>
      </c>
      <c r="U347" s="126" t="n">
        <f aca="false">I347/$R$3</f>
        <v>0</v>
      </c>
      <c r="V347" s="126" t="n">
        <f aca="false">M347/$R$3</f>
        <v>-1524.37144303775</v>
      </c>
      <c r="W347" s="126" t="n">
        <f aca="false">N347/$R$3</f>
        <v>-1509.35403042888</v>
      </c>
    </row>
    <row r="348" customFormat="false" ht="12.75" hidden="false" customHeight="false" outlineLevel="0" collapsed="false">
      <c r="A348" s="120" t="n">
        <f aca="false">A347+1</f>
        <v>37234</v>
      </c>
      <c r="B348" s="131" t="str">
        <f aca="false">INDEX('Master Data'!$A$2:$B$8,MATCH(WEEKDAY('BRA PWR Certificates'!A348,3),'Master Data'!$A$2:$A$8,0),2)</f>
        <v>Su</v>
      </c>
      <c r="D348" s="124" t="n">
        <v>0</v>
      </c>
      <c r="E348" s="124" t="n">
        <v>0</v>
      </c>
      <c r="F348" s="124" t="n">
        <v>0</v>
      </c>
      <c r="G348" s="124" t="n">
        <v>0</v>
      </c>
      <c r="I348" s="124" t="n">
        <f aca="false">IF(MONTH($A348)=MONTH($A347),IF(G348=0,I347,G348),G348)</f>
        <v>0</v>
      </c>
      <c r="J348" s="124" t="n">
        <f aca="false">IF(MONTH($A348)=MONTH($A347),SUM(I348-I347),I348)</f>
        <v>0</v>
      </c>
      <c r="K348" s="124" t="n">
        <f aca="false">IF(WEEKDAY(A348,3)&gt;4,0,(IF(A348&lt;K$2,0,IF(A348&lt;=K$3,1,0))))</f>
        <v>0</v>
      </c>
      <c r="L348" s="124" t="n">
        <f aca="false">J348*K348</f>
        <v>0</v>
      </c>
      <c r="M348" s="124" t="n">
        <f aca="false">SUM(J$280:J348)</f>
        <v>-1524371.44303775</v>
      </c>
      <c r="N348" s="124" t="n">
        <f aca="false">SUM(J$6:J348)</f>
        <v>-1509354.03042888</v>
      </c>
      <c r="P348" s="124" t="n">
        <f aca="false">D348/P$3</f>
        <v>0</v>
      </c>
      <c r="Q348" s="124" t="n">
        <f aca="false">E348/P$3</f>
        <v>0</v>
      </c>
      <c r="R348" s="124" t="n">
        <f aca="false">F348/R$3</f>
        <v>0</v>
      </c>
      <c r="S348" s="126" t="n">
        <f aca="false">J348/$R$3</f>
        <v>0</v>
      </c>
      <c r="T348" s="126" t="n">
        <f aca="false">L348/$R$3</f>
        <v>0</v>
      </c>
      <c r="U348" s="126" t="n">
        <f aca="false">I348/$R$3</f>
        <v>0</v>
      </c>
      <c r="V348" s="126" t="n">
        <f aca="false">M348/$R$3</f>
        <v>-1524.37144303775</v>
      </c>
      <c r="W348" s="126" t="n">
        <f aca="false">N348/$R$3</f>
        <v>-1509.35403042888</v>
      </c>
    </row>
    <row r="349" customFormat="false" ht="12.75" hidden="false" customHeight="false" outlineLevel="0" collapsed="false">
      <c r="A349" s="120" t="n">
        <f aca="false">A348+1</f>
        <v>37235</v>
      </c>
      <c r="B349" s="131" t="str">
        <f aca="false">INDEX('Master Data'!$A$2:$B$8,MATCH(WEEKDAY('BRA PWR Certificates'!A349,3),'Master Data'!$A$2:$A$8,0),2)</f>
        <v>M</v>
      </c>
      <c r="D349" s="124" t="n">
        <v>0</v>
      </c>
      <c r="E349" s="124" t="n">
        <v>0</v>
      </c>
      <c r="F349" s="124" t="n">
        <v>0</v>
      </c>
      <c r="G349" s="124" t="n">
        <v>0</v>
      </c>
      <c r="I349" s="124" t="n">
        <f aca="false">IF(MONTH($A349)=MONTH($A348),IF(G349=0,I348,G349),G349)</f>
        <v>0</v>
      </c>
      <c r="J349" s="124" t="n">
        <f aca="false">IF(MONTH($A349)=MONTH($A348),SUM(I349-I348),I349)</f>
        <v>0</v>
      </c>
      <c r="K349" s="124" t="n">
        <f aca="false">IF(WEEKDAY(A349,3)&gt;4,0,(IF(A349&lt;K$2,0,IF(A349&lt;=K$3,1,0))))</f>
        <v>0</v>
      </c>
      <c r="L349" s="124" t="n">
        <f aca="false">J349*K349</f>
        <v>0</v>
      </c>
      <c r="M349" s="124" t="n">
        <f aca="false">SUM(J$280:J349)</f>
        <v>-1524371.44303775</v>
      </c>
      <c r="N349" s="124" t="n">
        <f aca="false">SUM(J$6:J349)</f>
        <v>-1509354.03042888</v>
      </c>
      <c r="P349" s="124" t="n">
        <f aca="false">D349/P$3</f>
        <v>0</v>
      </c>
      <c r="Q349" s="124" t="n">
        <f aca="false">E349/P$3</f>
        <v>0</v>
      </c>
      <c r="R349" s="124" t="n">
        <f aca="false">F349/R$3</f>
        <v>0</v>
      </c>
      <c r="S349" s="126" t="n">
        <f aca="false">J349/$R$3</f>
        <v>0</v>
      </c>
      <c r="T349" s="126" t="n">
        <f aca="false">L349/$R$3</f>
        <v>0</v>
      </c>
      <c r="U349" s="126" t="n">
        <f aca="false">I349/$R$3</f>
        <v>0</v>
      </c>
      <c r="V349" s="126" t="n">
        <f aca="false">M349/$R$3</f>
        <v>-1524.37144303775</v>
      </c>
      <c r="W349" s="126" t="n">
        <f aca="false">N349/$R$3</f>
        <v>-1509.35403042888</v>
      </c>
    </row>
    <row r="350" customFormat="false" ht="12.75" hidden="false" customHeight="false" outlineLevel="0" collapsed="false">
      <c r="A350" s="120" t="n">
        <f aca="false">A349+1</f>
        <v>37236</v>
      </c>
      <c r="B350" s="131" t="str">
        <f aca="false">INDEX('Master Data'!$A$2:$B$8,MATCH(WEEKDAY('BRA PWR Certificates'!A350,3),'Master Data'!$A$2:$A$8,0),2)</f>
        <v>T</v>
      </c>
      <c r="D350" s="124" t="n">
        <v>0</v>
      </c>
      <c r="E350" s="124" t="n">
        <v>0</v>
      </c>
      <c r="F350" s="124" t="n">
        <v>0</v>
      </c>
      <c r="G350" s="124" t="n">
        <v>0</v>
      </c>
      <c r="I350" s="124" t="n">
        <f aca="false">IF(MONTH($A350)=MONTH($A349),IF(G350=0,I349,G350),G350)</f>
        <v>0</v>
      </c>
      <c r="J350" s="124" t="n">
        <f aca="false">IF(MONTH($A350)=MONTH($A349),SUM(I350-I349),I350)</f>
        <v>0</v>
      </c>
      <c r="K350" s="124" t="n">
        <f aca="false">IF(WEEKDAY(A350,3)&gt;4,0,(IF(A350&lt;K$2,0,IF(A350&lt;=K$3,1,0))))</f>
        <v>0</v>
      </c>
      <c r="L350" s="124" t="n">
        <f aca="false">J350*K350</f>
        <v>0</v>
      </c>
      <c r="M350" s="124" t="n">
        <f aca="false">SUM(J$280:J350)</f>
        <v>-1524371.44303775</v>
      </c>
      <c r="N350" s="124" t="n">
        <f aca="false">SUM(J$6:J350)</f>
        <v>-1509354.03042888</v>
      </c>
      <c r="P350" s="124" t="n">
        <f aca="false">D350/P$3</f>
        <v>0</v>
      </c>
      <c r="Q350" s="124" t="n">
        <f aca="false">E350/P$3</f>
        <v>0</v>
      </c>
      <c r="R350" s="124" t="n">
        <f aca="false">F350/R$3</f>
        <v>0</v>
      </c>
      <c r="S350" s="126" t="n">
        <f aca="false">J350/$R$3</f>
        <v>0</v>
      </c>
      <c r="T350" s="126" t="n">
        <f aca="false">L350/$R$3</f>
        <v>0</v>
      </c>
      <c r="U350" s="126" t="n">
        <f aca="false">I350/$R$3</f>
        <v>0</v>
      </c>
      <c r="V350" s="126" t="n">
        <f aca="false">M350/$R$3</f>
        <v>-1524.37144303775</v>
      </c>
      <c r="W350" s="126" t="n">
        <f aca="false">N350/$R$3</f>
        <v>-1509.35403042888</v>
      </c>
    </row>
    <row r="351" customFormat="false" ht="12.75" hidden="false" customHeight="false" outlineLevel="0" collapsed="false">
      <c r="A351" s="120" t="n">
        <f aca="false">A350+1</f>
        <v>37237</v>
      </c>
      <c r="B351" s="131" t="str">
        <f aca="false">INDEX('Master Data'!$A$2:$B$8,MATCH(WEEKDAY('BRA PWR Certificates'!A351,3),'Master Data'!$A$2:$A$8,0),2)</f>
        <v>W</v>
      </c>
      <c r="D351" s="124" t="n">
        <v>0</v>
      </c>
      <c r="E351" s="124" t="n">
        <v>0</v>
      </c>
      <c r="F351" s="124" t="n">
        <v>0</v>
      </c>
      <c r="G351" s="124" t="n">
        <v>0</v>
      </c>
      <c r="I351" s="124" t="n">
        <f aca="false">IF(MONTH($A351)=MONTH($A350),IF(G351=0,I350,G351),G351)</f>
        <v>0</v>
      </c>
      <c r="J351" s="124" t="n">
        <f aca="false">IF(MONTH($A351)=MONTH($A350),SUM(I351-I350),I351)</f>
        <v>0</v>
      </c>
      <c r="K351" s="124" t="n">
        <f aca="false">IF(WEEKDAY(A351,3)&gt;4,0,(IF(A351&lt;K$2,0,IF(A351&lt;=K$3,1,0))))</f>
        <v>0</v>
      </c>
      <c r="L351" s="124" t="n">
        <f aca="false">J351*K351</f>
        <v>0</v>
      </c>
      <c r="M351" s="124" t="n">
        <f aca="false">SUM(J$280:J351)</f>
        <v>-1524371.44303775</v>
      </c>
      <c r="N351" s="124" t="n">
        <f aca="false">SUM(J$6:J351)</f>
        <v>-1509354.03042888</v>
      </c>
      <c r="P351" s="124" t="n">
        <f aca="false">D351/P$3</f>
        <v>0</v>
      </c>
      <c r="Q351" s="124" t="n">
        <f aca="false">E351/P$3</f>
        <v>0</v>
      </c>
      <c r="R351" s="124" t="n">
        <f aca="false">F351/R$3</f>
        <v>0</v>
      </c>
      <c r="S351" s="126" t="n">
        <f aca="false">J351/$R$3</f>
        <v>0</v>
      </c>
      <c r="T351" s="126" t="n">
        <f aca="false">L351/$R$3</f>
        <v>0</v>
      </c>
      <c r="U351" s="126" t="n">
        <f aca="false">I351/$R$3</f>
        <v>0</v>
      </c>
      <c r="V351" s="126" t="n">
        <f aca="false">M351/$R$3</f>
        <v>-1524.37144303775</v>
      </c>
      <c r="W351" s="126" t="n">
        <f aca="false">N351/$R$3</f>
        <v>-1509.35403042888</v>
      </c>
    </row>
    <row r="352" customFormat="false" ht="12.75" hidden="false" customHeight="false" outlineLevel="0" collapsed="false">
      <c r="A352" s="120" t="n">
        <f aca="false">A351+1</f>
        <v>37238</v>
      </c>
      <c r="B352" s="131" t="str">
        <f aca="false">INDEX('Master Data'!$A$2:$B$8,MATCH(WEEKDAY('BRA PWR Certificates'!A352,3),'Master Data'!$A$2:$A$8,0),2)</f>
        <v>Th</v>
      </c>
      <c r="D352" s="124" t="n">
        <v>0</v>
      </c>
      <c r="E352" s="124" t="n">
        <v>0</v>
      </c>
      <c r="F352" s="124" t="n">
        <v>0</v>
      </c>
      <c r="G352" s="124" t="n">
        <v>0</v>
      </c>
      <c r="I352" s="124" t="n">
        <f aca="false">IF(MONTH($A352)=MONTH($A351),IF(G352=0,I351,G352),G352)</f>
        <v>0</v>
      </c>
      <c r="J352" s="124" t="n">
        <f aca="false">IF(MONTH($A352)=MONTH($A351),SUM(I352-I351),I352)</f>
        <v>0</v>
      </c>
      <c r="K352" s="124" t="n">
        <f aca="false">IF(WEEKDAY(A352,3)&gt;4,0,(IF(A352&lt;K$2,0,IF(A352&lt;=K$3,1,0))))</f>
        <v>0</v>
      </c>
      <c r="L352" s="124" t="n">
        <f aca="false">J352*K352</f>
        <v>0</v>
      </c>
      <c r="M352" s="124" t="n">
        <f aca="false">SUM(J$280:J352)</f>
        <v>-1524371.44303775</v>
      </c>
      <c r="N352" s="124" t="n">
        <f aca="false">SUM(J$6:J352)</f>
        <v>-1509354.03042888</v>
      </c>
      <c r="P352" s="124" t="n">
        <f aca="false">D352/P$3</f>
        <v>0</v>
      </c>
      <c r="Q352" s="124" t="n">
        <f aca="false">E352/P$3</f>
        <v>0</v>
      </c>
      <c r="R352" s="124" t="n">
        <f aca="false">F352/R$3</f>
        <v>0</v>
      </c>
      <c r="S352" s="126" t="n">
        <f aca="false">J352/$R$3</f>
        <v>0</v>
      </c>
      <c r="T352" s="126" t="n">
        <f aca="false">L352/$R$3</f>
        <v>0</v>
      </c>
      <c r="U352" s="126" t="n">
        <f aca="false">I352/$R$3</f>
        <v>0</v>
      </c>
      <c r="V352" s="126" t="n">
        <f aca="false">M352/$R$3</f>
        <v>-1524.37144303775</v>
      </c>
      <c r="W352" s="126" t="n">
        <f aca="false">N352/$R$3</f>
        <v>-1509.35403042888</v>
      </c>
    </row>
    <row r="353" customFormat="false" ht="12.75" hidden="false" customHeight="false" outlineLevel="0" collapsed="false">
      <c r="A353" s="120" t="n">
        <f aca="false">A352+1</f>
        <v>37239</v>
      </c>
      <c r="B353" s="131" t="str">
        <f aca="false">INDEX('Master Data'!$A$2:$B$8,MATCH(WEEKDAY('BRA PWR Certificates'!A353,3),'Master Data'!$A$2:$A$8,0),2)</f>
        <v>F</v>
      </c>
      <c r="D353" s="124" t="n">
        <v>0</v>
      </c>
      <c r="E353" s="124" t="n">
        <v>0</v>
      </c>
      <c r="F353" s="124" t="n">
        <v>0</v>
      </c>
      <c r="G353" s="124" t="n">
        <v>0</v>
      </c>
      <c r="I353" s="124" t="n">
        <f aca="false">IF(MONTH($A353)=MONTH($A352),IF(G353=0,I352,G353),G353)</f>
        <v>0</v>
      </c>
      <c r="J353" s="124" t="n">
        <f aca="false">IF(MONTH($A353)=MONTH($A352),SUM(I353-I352),I353)</f>
        <v>0</v>
      </c>
      <c r="K353" s="124" t="n">
        <f aca="false">IF(WEEKDAY(A353,3)&gt;4,0,(IF(A353&lt;K$2,0,IF(A353&lt;=K$3,1,0))))</f>
        <v>0</v>
      </c>
      <c r="L353" s="124" t="n">
        <f aca="false">J353*K353</f>
        <v>0</v>
      </c>
      <c r="M353" s="124" t="n">
        <f aca="false">SUM(J$280:J353)</f>
        <v>-1524371.44303775</v>
      </c>
      <c r="N353" s="124" t="n">
        <f aca="false">SUM(J$6:J353)</f>
        <v>-1509354.03042888</v>
      </c>
      <c r="P353" s="124" t="n">
        <f aca="false">D353/P$3</f>
        <v>0</v>
      </c>
      <c r="Q353" s="124" t="n">
        <f aca="false">E353/P$3</f>
        <v>0</v>
      </c>
      <c r="R353" s="124" t="n">
        <f aca="false">F353/R$3</f>
        <v>0</v>
      </c>
      <c r="S353" s="126" t="n">
        <f aca="false">J353/$R$3</f>
        <v>0</v>
      </c>
      <c r="T353" s="126" t="n">
        <f aca="false">L353/$R$3</f>
        <v>0</v>
      </c>
      <c r="U353" s="126" t="n">
        <f aca="false">I353/$R$3</f>
        <v>0</v>
      </c>
      <c r="V353" s="126" t="n">
        <f aca="false">M353/$R$3</f>
        <v>-1524.37144303775</v>
      </c>
      <c r="W353" s="126" t="n">
        <f aca="false">N353/$R$3</f>
        <v>-1509.35403042888</v>
      </c>
    </row>
    <row r="354" customFormat="false" ht="12.75" hidden="false" customHeight="false" outlineLevel="0" collapsed="false">
      <c r="A354" s="120" t="n">
        <f aca="false">A353+1</f>
        <v>37240</v>
      </c>
      <c r="B354" s="131" t="str">
        <f aca="false">INDEX('Master Data'!$A$2:$B$8,MATCH(WEEKDAY('BRA PWR Certificates'!A354,3),'Master Data'!$A$2:$A$8,0),2)</f>
        <v>Sa</v>
      </c>
      <c r="D354" s="124" t="n">
        <v>0</v>
      </c>
      <c r="E354" s="124" t="n">
        <v>0</v>
      </c>
      <c r="F354" s="124" t="n">
        <v>0</v>
      </c>
      <c r="G354" s="124" t="n">
        <v>0</v>
      </c>
      <c r="I354" s="124" t="n">
        <f aca="false">IF(MONTH($A354)=MONTH($A353),IF(G354=0,I353,G354),G354)</f>
        <v>0</v>
      </c>
      <c r="J354" s="124" t="n">
        <f aca="false">IF(MONTH($A354)=MONTH($A353),SUM(I354-I353),I354)</f>
        <v>0</v>
      </c>
      <c r="K354" s="124" t="n">
        <f aca="false">IF(WEEKDAY(A354,3)&gt;4,0,(IF(A354&lt;K$2,0,IF(A354&lt;=K$3,1,0))))</f>
        <v>0</v>
      </c>
      <c r="L354" s="124" t="n">
        <f aca="false">J354*K354</f>
        <v>0</v>
      </c>
      <c r="M354" s="124" t="n">
        <f aca="false">SUM(J$280:J354)</f>
        <v>-1524371.44303775</v>
      </c>
      <c r="N354" s="124" t="n">
        <f aca="false">SUM(J$6:J354)</f>
        <v>-1509354.03042888</v>
      </c>
      <c r="P354" s="124" t="n">
        <f aca="false">D354/P$3</f>
        <v>0</v>
      </c>
      <c r="Q354" s="124" t="n">
        <f aca="false">E354/P$3</f>
        <v>0</v>
      </c>
      <c r="R354" s="124" t="n">
        <f aca="false">F354/R$3</f>
        <v>0</v>
      </c>
      <c r="S354" s="126" t="n">
        <f aca="false">J354/$R$3</f>
        <v>0</v>
      </c>
      <c r="T354" s="126" t="n">
        <f aca="false">L354/$R$3</f>
        <v>0</v>
      </c>
      <c r="U354" s="126" t="n">
        <f aca="false">I354/$R$3</f>
        <v>0</v>
      </c>
      <c r="V354" s="126" t="n">
        <f aca="false">M354/$R$3</f>
        <v>-1524.37144303775</v>
      </c>
      <c r="W354" s="126" t="n">
        <f aca="false">N354/$R$3</f>
        <v>-1509.35403042888</v>
      </c>
    </row>
    <row r="355" customFormat="false" ht="12.75" hidden="false" customHeight="false" outlineLevel="0" collapsed="false">
      <c r="A355" s="120" t="n">
        <f aca="false">A354+1</f>
        <v>37241</v>
      </c>
      <c r="B355" s="131" t="str">
        <f aca="false">INDEX('Master Data'!$A$2:$B$8,MATCH(WEEKDAY('BRA PWR Certificates'!A355,3),'Master Data'!$A$2:$A$8,0),2)</f>
        <v>Su</v>
      </c>
      <c r="D355" s="124" t="n">
        <v>0</v>
      </c>
      <c r="E355" s="124" t="n">
        <v>0</v>
      </c>
      <c r="F355" s="124" t="n">
        <v>0</v>
      </c>
      <c r="G355" s="124" t="n">
        <v>0</v>
      </c>
      <c r="I355" s="124" t="n">
        <f aca="false">IF(MONTH($A355)=MONTH($A354),IF(G355=0,I354,G355),G355)</f>
        <v>0</v>
      </c>
      <c r="J355" s="124" t="n">
        <f aca="false">IF(MONTH($A355)=MONTH($A354),SUM(I355-I354),I355)</f>
        <v>0</v>
      </c>
      <c r="K355" s="124" t="n">
        <f aca="false">IF(WEEKDAY(A355,3)&gt;4,0,(IF(A355&lt;K$2,0,IF(A355&lt;=K$3,1,0))))</f>
        <v>0</v>
      </c>
      <c r="L355" s="124" t="n">
        <f aca="false">J355*K355</f>
        <v>0</v>
      </c>
      <c r="M355" s="124" t="n">
        <f aca="false">SUM(J$280:J355)</f>
        <v>-1524371.44303775</v>
      </c>
      <c r="N355" s="124" t="n">
        <f aca="false">SUM(J$6:J355)</f>
        <v>-1509354.03042888</v>
      </c>
      <c r="P355" s="124" t="n">
        <f aca="false">D355/P$3</f>
        <v>0</v>
      </c>
      <c r="Q355" s="124" t="n">
        <f aca="false">E355/P$3</f>
        <v>0</v>
      </c>
      <c r="R355" s="124" t="n">
        <f aca="false">F355/R$3</f>
        <v>0</v>
      </c>
      <c r="S355" s="126" t="n">
        <f aca="false">J355/$R$3</f>
        <v>0</v>
      </c>
      <c r="T355" s="126" t="n">
        <f aca="false">L355/$R$3</f>
        <v>0</v>
      </c>
      <c r="U355" s="126" t="n">
        <f aca="false">I355/$R$3</f>
        <v>0</v>
      </c>
      <c r="V355" s="126" t="n">
        <f aca="false">M355/$R$3</f>
        <v>-1524.37144303775</v>
      </c>
      <c r="W355" s="126" t="n">
        <f aca="false">N355/$R$3</f>
        <v>-1509.35403042888</v>
      </c>
    </row>
    <row r="356" customFormat="false" ht="12.75" hidden="false" customHeight="false" outlineLevel="0" collapsed="false">
      <c r="A356" s="120" t="n">
        <f aca="false">A355+1</f>
        <v>37242</v>
      </c>
      <c r="B356" s="131" t="str">
        <f aca="false">INDEX('Master Data'!$A$2:$B$8,MATCH(WEEKDAY('BRA PWR Certificates'!A356,3),'Master Data'!$A$2:$A$8,0),2)</f>
        <v>M</v>
      </c>
      <c r="D356" s="124" t="n">
        <v>0</v>
      </c>
      <c r="E356" s="124" t="n">
        <v>0</v>
      </c>
      <c r="F356" s="124" t="n">
        <v>0</v>
      </c>
      <c r="G356" s="124" t="n">
        <v>0</v>
      </c>
      <c r="I356" s="124" t="n">
        <f aca="false">IF(MONTH($A356)=MONTH($A355),IF(G356=0,I355,G356),G356)</f>
        <v>0</v>
      </c>
      <c r="J356" s="124" t="n">
        <f aca="false">IF(MONTH($A356)=MONTH($A355),SUM(I356-I355),I356)</f>
        <v>0</v>
      </c>
      <c r="K356" s="124" t="n">
        <f aca="false">IF(WEEKDAY(A356,3)&gt;4,0,(IF(A356&lt;K$2,0,IF(A356&lt;=K$3,1,0))))</f>
        <v>0</v>
      </c>
      <c r="L356" s="124" t="n">
        <f aca="false">J356*K356</f>
        <v>0</v>
      </c>
      <c r="M356" s="124" t="n">
        <f aca="false">SUM(J$280:J356)</f>
        <v>-1524371.44303775</v>
      </c>
      <c r="N356" s="124" t="n">
        <f aca="false">SUM(J$6:J356)</f>
        <v>-1509354.03042888</v>
      </c>
      <c r="P356" s="124" t="n">
        <f aca="false">D356/P$3</f>
        <v>0</v>
      </c>
      <c r="Q356" s="124" t="n">
        <f aca="false">E356/P$3</f>
        <v>0</v>
      </c>
      <c r="R356" s="124" t="n">
        <f aca="false">F356/R$3</f>
        <v>0</v>
      </c>
      <c r="S356" s="126" t="n">
        <f aca="false">J356/$R$3</f>
        <v>0</v>
      </c>
      <c r="T356" s="126" t="n">
        <f aca="false">L356/$R$3</f>
        <v>0</v>
      </c>
      <c r="U356" s="126" t="n">
        <f aca="false">I356/$R$3</f>
        <v>0</v>
      </c>
      <c r="V356" s="126" t="n">
        <f aca="false">M356/$R$3</f>
        <v>-1524.37144303775</v>
      </c>
      <c r="W356" s="126" t="n">
        <f aca="false">N356/$R$3</f>
        <v>-1509.35403042888</v>
      </c>
    </row>
    <row r="357" customFormat="false" ht="12.75" hidden="false" customHeight="false" outlineLevel="0" collapsed="false">
      <c r="A357" s="120" t="n">
        <f aca="false">A356+1</f>
        <v>37243</v>
      </c>
      <c r="B357" s="131" t="str">
        <f aca="false">INDEX('Master Data'!$A$2:$B$8,MATCH(WEEKDAY('BRA PWR Certificates'!A357,3),'Master Data'!$A$2:$A$8,0),2)</f>
        <v>T</v>
      </c>
      <c r="D357" s="124" t="n">
        <v>0</v>
      </c>
      <c r="E357" s="124" t="n">
        <v>0</v>
      </c>
      <c r="F357" s="124" t="n">
        <v>0</v>
      </c>
      <c r="G357" s="124" t="n">
        <v>0</v>
      </c>
      <c r="I357" s="124" t="n">
        <f aca="false">IF(MONTH($A357)=MONTH($A356),IF(G357=0,I356,G357),G357)</f>
        <v>0</v>
      </c>
      <c r="J357" s="124" t="n">
        <f aca="false">IF(MONTH($A357)=MONTH($A356),SUM(I357-I356),I357)</f>
        <v>0</v>
      </c>
      <c r="K357" s="124" t="n">
        <f aca="false">IF(WEEKDAY(A357,3)&gt;4,0,(IF(A357&lt;K$2,0,IF(A357&lt;=K$3,1,0))))</f>
        <v>0</v>
      </c>
      <c r="L357" s="124" t="n">
        <f aca="false">J357*K357</f>
        <v>0</v>
      </c>
      <c r="M357" s="124" t="n">
        <f aca="false">SUM(J$280:J357)</f>
        <v>-1524371.44303775</v>
      </c>
      <c r="N357" s="124" t="n">
        <f aca="false">SUM(J$6:J357)</f>
        <v>-1509354.03042888</v>
      </c>
      <c r="P357" s="124" t="n">
        <f aca="false">D357/P$3</f>
        <v>0</v>
      </c>
      <c r="Q357" s="124" t="n">
        <f aca="false">E357/P$3</f>
        <v>0</v>
      </c>
      <c r="R357" s="124" t="n">
        <f aca="false">F357/R$3</f>
        <v>0</v>
      </c>
      <c r="S357" s="126" t="n">
        <f aca="false">J357/$R$3</f>
        <v>0</v>
      </c>
      <c r="T357" s="126" t="n">
        <f aca="false">L357/$R$3</f>
        <v>0</v>
      </c>
      <c r="U357" s="126" t="n">
        <f aca="false">I357/$R$3</f>
        <v>0</v>
      </c>
      <c r="V357" s="126" t="n">
        <f aca="false">M357/$R$3</f>
        <v>-1524.37144303775</v>
      </c>
      <c r="W357" s="126" t="n">
        <f aca="false">N357/$R$3</f>
        <v>-1509.35403042888</v>
      </c>
    </row>
    <row r="358" customFormat="false" ht="12.75" hidden="false" customHeight="false" outlineLevel="0" collapsed="false">
      <c r="A358" s="120" t="n">
        <f aca="false">A357+1</f>
        <v>37244</v>
      </c>
      <c r="B358" s="131" t="str">
        <f aca="false">INDEX('Master Data'!$A$2:$B$8,MATCH(WEEKDAY('BRA PWR Certificates'!A358,3),'Master Data'!$A$2:$A$8,0),2)</f>
        <v>W</v>
      </c>
      <c r="D358" s="124" t="n">
        <v>0</v>
      </c>
      <c r="E358" s="124" t="n">
        <v>0</v>
      </c>
      <c r="F358" s="124" t="n">
        <v>0</v>
      </c>
      <c r="G358" s="124" t="n">
        <v>0</v>
      </c>
      <c r="I358" s="124" t="n">
        <f aca="false">IF(MONTH($A358)=MONTH($A357),IF(G358=0,I357,G358),G358)</f>
        <v>0</v>
      </c>
      <c r="J358" s="124" t="n">
        <f aca="false">IF(MONTH($A358)=MONTH($A357),SUM(I358-I357),I358)</f>
        <v>0</v>
      </c>
      <c r="K358" s="124" t="n">
        <f aca="false">IF(WEEKDAY(A358,3)&gt;4,0,(IF(A358&lt;K$2,0,IF(A358&lt;=K$3,1,0))))</f>
        <v>0</v>
      </c>
      <c r="L358" s="124" t="n">
        <f aca="false">J358*K358</f>
        <v>0</v>
      </c>
      <c r="M358" s="124" t="n">
        <f aca="false">SUM(J$280:J358)</f>
        <v>-1524371.44303775</v>
      </c>
      <c r="N358" s="124" t="n">
        <f aca="false">SUM(J$6:J358)</f>
        <v>-1509354.03042888</v>
      </c>
      <c r="P358" s="124" t="n">
        <f aca="false">D358/P$3</f>
        <v>0</v>
      </c>
      <c r="Q358" s="124" t="n">
        <f aca="false">E358/P$3</f>
        <v>0</v>
      </c>
      <c r="R358" s="124" t="n">
        <f aca="false">F358/R$3</f>
        <v>0</v>
      </c>
      <c r="S358" s="126" t="n">
        <f aca="false">J358/$R$3</f>
        <v>0</v>
      </c>
      <c r="T358" s="126" t="n">
        <f aca="false">L358/$R$3</f>
        <v>0</v>
      </c>
      <c r="U358" s="126" t="n">
        <f aca="false">I358/$R$3</f>
        <v>0</v>
      </c>
      <c r="V358" s="126" t="n">
        <f aca="false">M358/$R$3</f>
        <v>-1524.37144303775</v>
      </c>
      <c r="W358" s="126" t="n">
        <f aca="false">N358/$R$3</f>
        <v>-1509.35403042888</v>
      </c>
    </row>
    <row r="359" customFormat="false" ht="12.75" hidden="false" customHeight="false" outlineLevel="0" collapsed="false">
      <c r="A359" s="120" t="n">
        <f aca="false">A358+1</f>
        <v>37245</v>
      </c>
      <c r="B359" s="131" t="str">
        <f aca="false">INDEX('Master Data'!$A$2:$B$8,MATCH(WEEKDAY('BRA PWR Certificates'!A359,3),'Master Data'!$A$2:$A$8,0),2)</f>
        <v>Th</v>
      </c>
      <c r="D359" s="124" t="n">
        <v>0</v>
      </c>
      <c r="E359" s="124" t="n">
        <v>0</v>
      </c>
      <c r="F359" s="124" t="n">
        <v>0</v>
      </c>
      <c r="G359" s="124" t="n">
        <v>0</v>
      </c>
      <c r="I359" s="124" t="n">
        <f aca="false">IF(MONTH($A359)=MONTH($A358),IF(G359=0,I358,G359),G359)</f>
        <v>0</v>
      </c>
      <c r="J359" s="124" t="n">
        <f aca="false">IF(MONTH($A359)=MONTH($A358),SUM(I359-I358),I359)</f>
        <v>0</v>
      </c>
      <c r="K359" s="124" t="n">
        <f aca="false">IF(WEEKDAY(A359,3)&gt;4,0,(IF(A359&lt;K$2,0,IF(A359&lt;=K$3,1,0))))</f>
        <v>0</v>
      </c>
      <c r="L359" s="124" t="n">
        <f aca="false">J359*K359</f>
        <v>0</v>
      </c>
      <c r="M359" s="124" t="n">
        <f aca="false">SUM(J$280:J359)</f>
        <v>-1524371.44303775</v>
      </c>
      <c r="N359" s="124" t="n">
        <f aca="false">SUM(J$6:J359)</f>
        <v>-1509354.03042888</v>
      </c>
      <c r="P359" s="124" t="n">
        <f aca="false">D359/P$3</f>
        <v>0</v>
      </c>
      <c r="Q359" s="124" t="n">
        <f aca="false">E359/P$3</f>
        <v>0</v>
      </c>
      <c r="R359" s="124" t="n">
        <f aca="false">F359/R$3</f>
        <v>0</v>
      </c>
      <c r="S359" s="126" t="n">
        <f aca="false">J359/$R$3</f>
        <v>0</v>
      </c>
      <c r="T359" s="126" t="n">
        <f aca="false">L359/$R$3</f>
        <v>0</v>
      </c>
      <c r="U359" s="126" t="n">
        <f aca="false">I359/$R$3</f>
        <v>0</v>
      </c>
      <c r="V359" s="126" t="n">
        <f aca="false">M359/$R$3</f>
        <v>-1524.37144303775</v>
      </c>
      <c r="W359" s="126" t="n">
        <f aca="false">N359/$R$3</f>
        <v>-1509.35403042888</v>
      </c>
    </row>
    <row r="360" customFormat="false" ht="12.75" hidden="false" customHeight="false" outlineLevel="0" collapsed="false">
      <c r="A360" s="120" t="n">
        <f aca="false">A359+1</f>
        <v>37246</v>
      </c>
      <c r="B360" s="131" t="str">
        <f aca="false">INDEX('Master Data'!$A$2:$B$8,MATCH(WEEKDAY('BRA PWR Certificates'!A360,3),'Master Data'!$A$2:$A$8,0),2)</f>
        <v>F</v>
      </c>
      <c r="D360" s="124" t="n">
        <v>0</v>
      </c>
      <c r="E360" s="124" t="n">
        <v>0</v>
      </c>
      <c r="F360" s="124" t="n">
        <v>0</v>
      </c>
      <c r="G360" s="124" t="n">
        <v>0</v>
      </c>
      <c r="I360" s="124" t="n">
        <f aca="false">IF(MONTH($A360)=MONTH($A359),IF(G360=0,I359,G360),G360)</f>
        <v>0</v>
      </c>
      <c r="J360" s="124" t="n">
        <f aca="false">IF(MONTH($A360)=MONTH($A359),SUM(I360-I359),I360)</f>
        <v>0</v>
      </c>
      <c r="K360" s="124" t="n">
        <f aca="false">IF(WEEKDAY(A360,3)&gt;4,0,(IF(A360&lt;K$2,0,IF(A360&lt;=K$3,1,0))))</f>
        <v>0</v>
      </c>
      <c r="L360" s="124" t="n">
        <f aca="false">J360*K360</f>
        <v>0</v>
      </c>
      <c r="M360" s="124" t="n">
        <f aca="false">SUM(J$280:J360)</f>
        <v>-1524371.44303775</v>
      </c>
      <c r="N360" s="124" t="n">
        <f aca="false">SUM(J$6:J360)</f>
        <v>-1509354.03042888</v>
      </c>
      <c r="P360" s="124" t="n">
        <f aca="false">D360/P$3</f>
        <v>0</v>
      </c>
      <c r="Q360" s="124" t="n">
        <f aca="false">E360/P$3</f>
        <v>0</v>
      </c>
      <c r="R360" s="124" t="n">
        <f aca="false">F360/R$3</f>
        <v>0</v>
      </c>
      <c r="S360" s="126" t="n">
        <f aca="false">J360/$R$3</f>
        <v>0</v>
      </c>
      <c r="T360" s="126" t="n">
        <f aca="false">L360/$R$3</f>
        <v>0</v>
      </c>
      <c r="U360" s="126" t="n">
        <f aca="false">I360/$R$3</f>
        <v>0</v>
      </c>
      <c r="V360" s="126" t="n">
        <f aca="false">M360/$R$3</f>
        <v>-1524.37144303775</v>
      </c>
      <c r="W360" s="126" t="n">
        <f aca="false">N360/$R$3</f>
        <v>-1509.35403042888</v>
      </c>
    </row>
    <row r="361" customFormat="false" ht="12.75" hidden="false" customHeight="false" outlineLevel="0" collapsed="false">
      <c r="A361" s="120" t="n">
        <f aca="false">A360+1</f>
        <v>37247</v>
      </c>
      <c r="B361" s="131" t="str">
        <f aca="false">INDEX('Master Data'!$A$2:$B$8,MATCH(WEEKDAY('BRA PWR Certificates'!A361,3),'Master Data'!$A$2:$A$8,0),2)</f>
        <v>Sa</v>
      </c>
      <c r="D361" s="124" t="n">
        <v>0</v>
      </c>
      <c r="E361" s="124" t="n">
        <v>0</v>
      </c>
      <c r="F361" s="124" t="n">
        <v>0</v>
      </c>
      <c r="G361" s="124" t="n">
        <v>0</v>
      </c>
      <c r="I361" s="124" t="n">
        <f aca="false">IF(MONTH($A361)=MONTH($A360),IF(G361=0,I360,G361),G361)</f>
        <v>0</v>
      </c>
      <c r="J361" s="124" t="n">
        <f aca="false">IF(MONTH($A361)=MONTH($A360),SUM(I361-I360),I361)</f>
        <v>0</v>
      </c>
      <c r="K361" s="124" t="n">
        <f aca="false">IF(WEEKDAY(A361,3)&gt;4,0,(IF(A361&lt;K$2,0,IF(A361&lt;=K$3,1,0))))</f>
        <v>0</v>
      </c>
      <c r="L361" s="124" t="n">
        <f aca="false">J361*K361</f>
        <v>0</v>
      </c>
      <c r="M361" s="124" t="n">
        <f aca="false">SUM(J$280:J361)</f>
        <v>-1524371.44303775</v>
      </c>
      <c r="N361" s="124" t="n">
        <f aca="false">SUM(J$6:J361)</f>
        <v>-1509354.03042888</v>
      </c>
      <c r="P361" s="124" t="n">
        <f aca="false">D361/P$3</f>
        <v>0</v>
      </c>
      <c r="Q361" s="124" t="n">
        <f aca="false">E361/P$3</f>
        <v>0</v>
      </c>
      <c r="R361" s="124" t="n">
        <f aca="false">F361/R$3</f>
        <v>0</v>
      </c>
      <c r="S361" s="126" t="n">
        <f aca="false">J361/$R$3</f>
        <v>0</v>
      </c>
      <c r="T361" s="126" t="n">
        <f aca="false">L361/$R$3</f>
        <v>0</v>
      </c>
      <c r="U361" s="126" t="n">
        <f aca="false">I361/$R$3</f>
        <v>0</v>
      </c>
      <c r="V361" s="126" t="n">
        <f aca="false">M361/$R$3</f>
        <v>-1524.37144303775</v>
      </c>
      <c r="W361" s="126" t="n">
        <f aca="false">N361/$R$3</f>
        <v>-1509.35403042888</v>
      </c>
    </row>
    <row r="362" customFormat="false" ht="12.75" hidden="false" customHeight="false" outlineLevel="0" collapsed="false">
      <c r="A362" s="120" t="n">
        <f aca="false">A361+1</f>
        <v>37248</v>
      </c>
      <c r="B362" s="131" t="str">
        <f aca="false">INDEX('Master Data'!$A$2:$B$8,MATCH(WEEKDAY('BRA PWR Certificates'!A362,3),'Master Data'!$A$2:$A$8,0),2)</f>
        <v>Su</v>
      </c>
      <c r="D362" s="124" t="n">
        <v>0</v>
      </c>
      <c r="E362" s="124" t="n">
        <v>0</v>
      </c>
      <c r="F362" s="124" t="n">
        <v>0</v>
      </c>
      <c r="G362" s="124" t="n">
        <v>0</v>
      </c>
      <c r="I362" s="124" t="n">
        <f aca="false">IF(MONTH($A362)=MONTH($A361),IF(G362=0,I361,G362),G362)</f>
        <v>0</v>
      </c>
      <c r="J362" s="124" t="n">
        <f aca="false">IF(MONTH($A362)=MONTH($A361),SUM(I362-I361),I362)</f>
        <v>0</v>
      </c>
      <c r="K362" s="124" t="n">
        <f aca="false">IF(WEEKDAY(A362,3)&gt;4,0,(IF(A362&lt;K$2,0,IF(A362&lt;=K$3,1,0))))</f>
        <v>0</v>
      </c>
      <c r="L362" s="124" t="n">
        <f aca="false">J362*K362</f>
        <v>0</v>
      </c>
      <c r="M362" s="124" t="n">
        <f aca="false">SUM(J$280:J362)</f>
        <v>-1524371.44303775</v>
      </c>
      <c r="N362" s="124" t="n">
        <f aca="false">SUM(J$6:J362)</f>
        <v>-1509354.03042888</v>
      </c>
      <c r="P362" s="124" t="n">
        <f aca="false">D362/P$3</f>
        <v>0</v>
      </c>
      <c r="Q362" s="124" t="n">
        <f aca="false">E362/P$3</f>
        <v>0</v>
      </c>
      <c r="R362" s="124" t="n">
        <f aca="false">F362/R$3</f>
        <v>0</v>
      </c>
      <c r="S362" s="126" t="n">
        <f aca="false">J362/$R$3</f>
        <v>0</v>
      </c>
      <c r="T362" s="126" t="n">
        <f aca="false">L362/$R$3</f>
        <v>0</v>
      </c>
      <c r="U362" s="126" t="n">
        <f aca="false">I362/$R$3</f>
        <v>0</v>
      </c>
      <c r="V362" s="126" t="n">
        <f aca="false">M362/$R$3</f>
        <v>-1524.37144303775</v>
      </c>
      <c r="W362" s="126" t="n">
        <f aca="false">N362/$R$3</f>
        <v>-1509.35403042888</v>
      </c>
    </row>
    <row r="363" customFormat="false" ht="12.75" hidden="false" customHeight="false" outlineLevel="0" collapsed="false">
      <c r="A363" s="120" t="n">
        <f aca="false">A362+1</f>
        <v>37249</v>
      </c>
      <c r="B363" s="131" t="str">
        <f aca="false">INDEX('Master Data'!$A$2:$B$8,MATCH(WEEKDAY('BRA PWR Certificates'!A363,3),'Master Data'!$A$2:$A$8,0),2)</f>
        <v>M</v>
      </c>
      <c r="D363" s="124" t="n">
        <v>0</v>
      </c>
      <c r="E363" s="124" t="n">
        <v>0</v>
      </c>
      <c r="F363" s="124" t="n">
        <v>0</v>
      </c>
      <c r="G363" s="124" t="n">
        <v>0</v>
      </c>
      <c r="I363" s="124" t="n">
        <f aca="false">IF(MONTH($A363)=MONTH($A362),IF(G363=0,I362,G363),G363)</f>
        <v>0</v>
      </c>
      <c r="J363" s="124" t="n">
        <f aca="false">IF(MONTH($A363)=MONTH($A362),SUM(I363-I362),I363)</f>
        <v>0</v>
      </c>
      <c r="K363" s="124" t="n">
        <f aca="false">IF(WEEKDAY(A363,3)&gt;4,0,(IF(A363&lt;K$2,0,IF(A363&lt;=K$3,1,0))))</f>
        <v>0</v>
      </c>
      <c r="L363" s="124" t="n">
        <f aca="false">J363*K363</f>
        <v>0</v>
      </c>
      <c r="M363" s="124" t="n">
        <f aca="false">SUM(J$280:J363)</f>
        <v>-1524371.44303775</v>
      </c>
      <c r="N363" s="124" t="n">
        <f aca="false">SUM(J$6:J363)</f>
        <v>-1509354.03042888</v>
      </c>
      <c r="P363" s="124" t="n">
        <f aca="false">D363/P$3</f>
        <v>0</v>
      </c>
      <c r="Q363" s="124" t="n">
        <f aca="false">E363/P$3</f>
        <v>0</v>
      </c>
      <c r="R363" s="124" t="n">
        <f aca="false">F363/R$3</f>
        <v>0</v>
      </c>
      <c r="S363" s="126" t="n">
        <f aca="false">J363/$R$3</f>
        <v>0</v>
      </c>
      <c r="T363" s="126" t="n">
        <f aca="false">L363/$R$3</f>
        <v>0</v>
      </c>
      <c r="U363" s="126" t="n">
        <f aca="false">I363/$R$3</f>
        <v>0</v>
      </c>
      <c r="V363" s="126" t="n">
        <f aca="false">M363/$R$3</f>
        <v>-1524.37144303775</v>
      </c>
      <c r="W363" s="126" t="n">
        <f aca="false">N363/$R$3</f>
        <v>-1509.35403042888</v>
      </c>
    </row>
    <row r="364" customFormat="false" ht="12.75" hidden="false" customHeight="false" outlineLevel="0" collapsed="false">
      <c r="A364" s="120" t="n">
        <f aca="false">A363+1</f>
        <v>37250</v>
      </c>
      <c r="B364" s="131" t="str">
        <f aca="false">INDEX('Master Data'!$A$2:$B$8,MATCH(WEEKDAY('BRA PWR Certificates'!A364,3),'Master Data'!$A$2:$A$8,0),2)</f>
        <v>T</v>
      </c>
      <c r="D364" s="124" t="n">
        <v>0</v>
      </c>
      <c r="E364" s="124" t="n">
        <v>0</v>
      </c>
      <c r="F364" s="124" t="n">
        <v>0</v>
      </c>
      <c r="G364" s="124" t="n">
        <v>0</v>
      </c>
      <c r="I364" s="124" t="n">
        <f aca="false">IF(MONTH($A364)=MONTH($A363),IF(G364=0,I363,G364),G364)</f>
        <v>0</v>
      </c>
      <c r="J364" s="124" t="n">
        <f aca="false">IF(MONTH($A364)=MONTH($A363),SUM(I364-I363),I364)</f>
        <v>0</v>
      </c>
      <c r="K364" s="124" t="n">
        <f aca="false">IF(WEEKDAY(A364,3)&gt;4,0,(IF(A364&lt;K$2,0,IF(A364&lt;=K$3,1,0))))</f>
        <v>0</v>
      </c>
      <c r="L364" s="124" t="n">
        <f aca="false">J364*K364</f>
        <v>0</v>
      </c>
      <c r="M364" s="124" t="n">
        <f aca="false">SUM(J$280:J364)</f>
        <v>-1524371.44303775</v>
      </c>
      <c r="N364" s="124" t="n">
        <f aca="false">SUM(J$6:J364)</f>
        <v>-1509354.03042888</v>
      </c>
      <c r="P364" s="124" t="n">
        <f aca="false">D364/P$3</f>
        <v>0</v>
      </c>
      <c r="Q364" s="124" t="n">
        <f aca="false">E364/P$3</f>
        <v>0</v>
      </c>
      <c r="R364" s="124" t="n">
        <f aca="false">F364/R$3</f>
        <v>0</v>
      </c>
      <c r="S364" s="126" t="n">
        <f aca="false">J364/$R$3</f>
        <v>0</v>
      </c>
      <c r="T364" s="126" t="n">
        <f aca="false">L364/$R$3</f>
        <v>0</v>
      </c>
      <c r="U364" s="126" t="n">
        <f aca="false">I364/$R$3</f>
        <v>0</v>
      </c>
      <c r="V364" s="126" t="n">
        <f aca="false">M364/$R$3</f>
        <v>-1524.37144303775</v>
      </c>
      <c r="W364" s="126" t="n">
        <f aca="false">N364/$R$3</f>
        <v>-1509.35403042888</v>
      </c>
    </row>
    <row r="365" customFormat="false" ht="12.75" hidden="false" customHeight="false" outlineLevel="0" collapsed="false">
      <c r="A365" s="120" t="n">
        <f aca="false">A364+1</f>
        <v>37251</v>
      </c>
      <c r="B365" s="131" t="str">
        <f aca="false">INDEX('Master Data'!$A$2:$B$8,MATCH(WEEKDAY('BRA PWR Certificates'!A365,3),'Master Data'!$A$2:$A$8,0),2)</f>
        <v>W</v>
      </c>
      <c r="D365" s="124" t="n">
        <v>0</v>
      </c>
      <c r="E365" s="124" t="n">
        <v>0</v>
      </c>
      <c r="F365" s="124" t="n">
        <v>0</v>
      </c>
      <c r="G365" s="124" t="n">
        <v>0</v>
      </c>
      <c r="I365" s="124" t="n">
        <f aca="false">IF(MONTH($A365)=MONTH($A364),IF(G365=0,I364,G365),G365)</f>
        <v>0</v>
      </c>
      <c r="J365" s="124" t="n">
        <f aca="false">IF(MONTH($A365)=MONTH($A364),SUM(I365-I364),I365)</f>
        <v>0</v>
      </c>
      <c r="K365" s="124" t="n">
        <f aca="false">IF(WEEKDAY(A365,3)&gt;4,0,(IF(A365&lt;K$2,0,IF(A365&lt;=K$3,1,0))))</f>
        <v>0</v>
      </c>
      <c r="L365" s="124" t="n">
        <f aca="false">J365*K365</f>
        <v>0</v>
      </c>
      <c r="M365" s="124" t="n">
        <f aca="false">SUM(J$280:J365)</f>
        <v>-1524371.44303775</v>
      </c>
      <c r="N365" s="124" t="n">
        <f aca="false">SUM(J$6:J365)</f>
        <v>-1509354.03042888</v>
      </c>
      <c r="P365" s="124" t="n">
        <f aca="false">D365/P$3</f>
        <v>0</v>
      </c>
      <c r="Q365" s="124" t="n">
        <f aca="false">E365/P$3</f>
        <v>0</v>
      </c>
      <c r="R365" s="124" t="n">
        <f aca="false">F365/R$3</f>
        <v>0</v>
      </c>
      <c r="S365" s="126" t="n">
        <f aca="false">J365/$R$3</f>
        <v>0</v>
      </c>
      <c r="T365" s="126" t="n">
        <f aca="false">L365/$R$3</f>
        <v>0</v>
      </c>
      <c r="U365" s="126" t="n">
        <f aca="false">I365/$R$3</f>
        <v>0</v>
      </c>
      <c r="V365" s="126" t="n">
        <f aca="false">M365/$R$3</f>
        <v>-1524.37144303775</v>
      </c>
      <c r="W365" s="126" t="n">
        <f aca="false">N365/$R$3</f>
        <v>-1509.35403042888</v>
      </c>
    </row>
    <row r="366" customFormat="false" ht="12.75" hidden="false" customHeight="false" outlineLevel="0" collapsed="false">
      <c r="A366" s="120" t="n">
        <f aca="false">A365+1</f>
        <v>37252</v>
      </c>
      <c r="B366" s="131" t="str">
        <f aca="false">INDEX('Master Data'!$A$2:$B$8,MATCH(WEEKDAY('BRA PWR Certificates'!A366,3),'Master Data'!$A$2:$A$8,0),2)</f>
        <v>Th</v>
      </c>
      <c r="D366" s="124" t="n">
        <v>0</v>
      </c>
      <c r="E366" s="124" t="n">
        <v>0</v>
      </c>
      <c r="F366" s="124" t="n">
        <v>0</v>
      </c>
      <c r="G366" s="124" t="n">
        <v>0</v>
      </c>
      <c r="I366" s="124" t="n">
        <f aca="false">IF(MONTH($A366)=MONTH($A365),IF(G366=0,I365,G366),G366)</f>
        <v>0</v>
      </c>
      <c r="J366" s="124" t="n">
        <f aca="false">IF(MONTH($A366)=MONTH($A365),SUM(I366-I365),I366)</f>
        <v>0</v>
      </c>
      <c r="K366" s="124" t="n">
        <f aca="false">IF(WEEKDAY(A366,3)&gt;4,0,(IF(A366&lt;K$2,0,IF(A366&lt;=K$3,1,0))))</f>
        <v>0</v>
      </c>
      <c r="L366" s="124" t="n">
        <f aca="false">J366*K366</f>
        <v>0</v>
      </c>
      <c r="M366" s="124" t="n">
        <f aca="false">SUM(J$280:J366)</f>
        <v>-1524371.44303775</v>
      </c>
      <c r="N366" s="124" t="n">
        <f aca="false">SUM(J$6:J366)</f>
        <v>-1509354.03042888</v>
      </c>
      <c r="P366" s="124" t="n">
        <f aca="false">D366/P$3</f>
        <v>0</v>
      </c>
      <c r="Q366" s="124" t="n">
        <f aca="false">E366/P$3</f>
        <v>0</v>
      </c>
      <c r="R366" s="124" t="n">
        <f aca="false">F366/R$3</f>
        <v>0</v>
      </c>
      <c r="S366" s="126" t="n">
        <f aca="false">J366/$R$3</f>
        <v>0</v>
      </c>
      <c r="T366" s="126" t="n">
        <f aca="false">L366/$R$3</f>
        <v>0</v>
      </c>
      <c r="U366" s="126" t="n">
        <f aca="false">I366/$R$3</f>
        <v>0</v>
      </c>
      <c r="V366" s="126" t="n">
        <f aca="false">M366/$R$3</f>
        <v>-1524.37144303775</v>
      </c>
      <c r="W366" s="126" t="n">
        <f aca="false">N366/$R$3</f>
        <v>-1509.35403042888</v>
      </c>
    </row>
    <row r="367" customFormat="false" ht="12.75" hidden="false" customHeight="false" outlineLevel="0" collapsed="false">
      <c r="A367" s="120" t="n">
        <f aca="false">A366+1</f>
        <v>37253</v>
      </c>
      <c r="B367" s="131" t="str">
        <f aca="false">INDEX('Master Data'!$A$2:$B$8,MATCH(WEEKDAY('BRA PWR Certificates'!A367,3),'Master Data'!$A$2:$A$8,0),2)</f>
        <v>F</v>
      </c>
      <c r="D367" s="124" t="n">
        <v>0</v>
      </c>
      <c r="E367" s="124" t="n">
        <v>0</v>
      </c>
      <c r="F367" s="124" t="n">
        <v>0</v>
      </c>
      <c r="G367" s="124" t="n">
        <v>0</v>
      </c>
      <c r="I367" s="124" t="n">
        <f aca="false">IF(MONTH($A367)=MONTH($A366),IF(G367=0,I366,G367),G367)</f>
        <v>0</v>
      </c>
      <c r="J367" s="124" t="n">
        <f aca="false">IF(MONTH($A367)=MONTH($A366),SUM(I367-I366),I367)</f>
        <v>0</v>
      </c>
      <c r="K367" s="124" t="n">
        <f aca="false">IF(WEEKDAY(A367,3)&gt;4,0,(IF(A367&lt;K$2,0,IF(A367&lt;=K$3,1,0))))</f>
        <v>0</v>
      </c>
      <c r="L367" s="124" t="n">
        <f aca="false">J367*K367</f>
        <v>0</v>
      </c>
      <c r="M367" s="124" t="n">
        <f aca="false">SUM(J$280:J367)</f>
        <v>-1524371.44303775</v>
      </c>
      <c r="N367" s="124" t="n">
        <f aca="false">SUM(J$6:J367)</f>
        <v>-1509354.03042888</v>
      </c>
      <c r="P367" s="124" t="n">
        <f aca="false">D367/P$3</f>
        <v>0</v>
      </c>
      <c r="Q367" s="124" t="n">
        <f aca="false">E367/P$3</f>
        <v>0</v>
      </c>
      <c r="R367" s="124" t="n">
        <f aca="false">F367/R$3</f>
        <v>0</v>
      </c>
      <c r="S367" s="126" t="n">
        <f aca="false">J367/$R$3</f>
        <v>0</v>
      </c>
      <c r="T367" s="126" t="n">
        <f aca="false">L367/$R$3</f>
        <v>0</v>
      </c>
      <c r="U367" s="126" t="n">
        <f aca="false">I367/$R$3</f>
        <v>0</v>
      </c>
      <c r="V367" s="126" t="n">
        <f aca="false">M367/$R$3</f>
        <v>-1524.37144303775</v>
      </c>
      <c r="W367" s="126" t="n">
        <f aca="false">N367/$R$3</f>
        <v>-1509.35403042888</v>
      </c>
    </row>
    <row r="368" customFormat="false" ht="12.75" hidden="false" customHeight="false" outlineLevel="0" collapsed="false">
      <c r="A368" s="120" t="n">
        <f aca="false">A367+1</f>
        <v>37254</v>
      </c>
      <c r="B368" s="131" t="str">
        <f aca="false">INDEX('Master Data'!$A$2:$B$8,MATCH(WEEKDAY('BRA PWR Certificates'!A368,3),'Master Data'!$A$2:$A$8,0),2)</f>
        <v>Sa</v>
      </c>
      <c r="D368" s="124" t="n">
        <v>0</v>
      </c>
      <c r="E368" s="124" t="n">
        <v>0</v>
      </c>
      <c r="F368" s="124" t="n">
        <v>0</v>
      </c>
      <c r="G368" s="124" t="n">
        <v>0</v>
      </c>
      <c r="I368" s="124" t="n">
        <f aca="false">IF(MONTH($A368)=MONTH($A367),IF(G368=0,I367,G368),G368)</f>
        <v>0</v>
      </c>
      <c r="J368" s="124" t="n">
        <f aca="false">IF(MONTH($A368)=MONTH($A367),SUM(I368-I367),I368)</f>
        <v>0</v>
      </c>
      <c r="K368" s="124" t="n">
        <f aca="false">IF(WEEKDAY(A368,3)&gt;4,0,(IF(A368&lt;K$2,0,IF(A368&lt;=K$3,1,0))))</f>
        <v>0</v>
      </c>
      <c r="L368" s="124" t="n">
        <f aca="false">J368*K368</f>
        <v>0</v>
      </c>
      <c r="M368" s="124" t="n">
        <f aca="false">SUM(J$280:J368)</f>
        <v>-1524371.44303775</v>
      </c>
      <c r="N368" s="124" t="n">
        <f aca="false">SUM(J$6:J368)</f>
        <v>-1509354.03042888</v>
      </c>
      <c r="P368" s="124" t="n">
        <f aca="false">D368/P$3</f>
        <v>0</v>
      </c>
      <c r="Q368" s="124" t="n">
        <f aca="false">E368/P$3</f>
        <v>0</v>
      </c>
      <c r="R368" s="124" t="n">
        <f aca="false">F368/R$3</f>
        <v>0</v>
      </c>
      <c r="S368" s="126" t="n">
        <f aca="false">J368/$R$3</f>
        <v>0</v>
      </c>
      <c r="T368" s="126" t="n">
        <f aca="false">L368/$R$3</f>
        <v>0</v>
      </c>
      <c r="U368" s="126" t="n">
        <f aca="false">I368/$R$3</f>
        <v>0</v>
      </c>
      <c r="V368" s="126" t="n">
        <f aca="false">M368/$R$3</f>
        <v>-1524.37144303775</v>
      </c>
      <c r="W368" s="126" t="n">
        <f aca="false">N368/$R$3</f>
        <v>-1509.35403042888</v>
      </c>
    </row>
    <row r="369" customFormat="false" ht="12.75" hidden="false" customHeight="false" outlineLevel="0" collapsed="false">
      <c r="A369" s="120" t="n">
        <f aca="false">A368+1</f>
        <v>37255</v>
      </c>
      <c r="B369" s="131" t="str">
        <f aca="false">INDEX('Master Data'!$A$2:$B$8,MATCH(WEEKDAY('BRA PWR Certificates'!A369,3),'Master Data'!$A$2:$A$8,0),2)</f>
        <v>Su</v>
      </c>
      <c r="D369" s="124" t="n">
        <v>0</v>
      </c>
      <c r="E369" s="124" t="n">
        <v>0</v>
      </c>
      <c r="F369" s="124" t="n">
        <v>0</v>
      </c>
      <c r="G369" s="124" t="n">
        <v>0</v>
      </c>
      <c r="I369" s="124" t="n">
        <f aca="false">IF(MONTH($A369)=MONTH($A368),IF(G369=0,I368,G369),G369)</f>
        <v>0</v>
      </c>
      <c r="J369" s="124" t="n">
        <f aca="false">IF(MONTH($A369)=MONTH($A368),SUM(I369-I368),I369)</f>
        <v>0</v>
      </c>
      <c r="K369" s="124" t="n">
        <f aca="false">IF(WEEKDAY(A369,3)&gt;4,0,(IF(A369&lt;K$2,0,IF(A369&lt;=K$3,1,0))))</f>
        <v>0</v>
      </c>
      <c r="L369" s="124" t="n">
        <f aca="false">J369*K369</f>
        <v>0</v>
      </c>
      <c r="M369" s="124" t="n">
        <f aca="false">SUM(J$280:J369)</f>
        <v>-1524371.44303775</v>
      </c>
      <c r="N369" s="124" t="n">
        <f aca="false">SUM(J$6:J369)</f>
        <v>-1509354.03042888</v>
      </c>
      <c r="P369" s="124" t="n">
        <f aca="false">D369/P$3</f>
        <v>0</v>
      </c>
      <c r="Q369" s="124" t="n">
        <f aca="false">E369/P$3</f>
        <v>0</v>
      </c>
      <c r="R369" s="124" t="n">
        <f aca="false">F369/R$3</f>
        <v>0</v>
      </c>
      <c r="S369" s="126" t="n">
        <f aca="false">J369/$R$3</f>
        <v>0</v>
      </c>
      <c r="T369" s="126" t="n">
        <f aca="false">L369/$R$3</f>
        <v>0</v>
      </c>
      <c r="U369" s="126" t="n">
        <f aca="false">I369/$R$3</f>
        <v>0</v>
      </c>
      <c r="V369" s="126" t="n">
        <f aca="false">M369/$R$3</f>
        <v>-1524.37144303775</v>
      </c>
      <c r="W369" s="126" t="n">
        <f aca="false">N369/$R$3</f>
        <v>-1509.35403042888</v>
      </c>
    </row>
    <row r="370" customFormat="false" ht="12.75" hidden="false" customHeight="false" outlineLevel="0" collapsed="false">
      <c r="A370" s="120" t="n">
        <f aca="false">A369+1</f>
        <v>37256</v>
      </c>
      <c r="B370" s="131" t="str">
        <f aca="false">INDEX('Master Data'!$A$2:$B$8,MATCH(WEEKDAY('BRA PWR Certificates'!A370,3),'Master Data'!$A$2:$A$8,0),2)</f>
        <v>M</v>
      </c>
      <c r="D370" s="124" t="n">
        <v>0</v>
      </c>
      <c r="E370" s="124" t="n">
        <v>0</v>
      </c>
      <c r="F370" s="124" t="n">
        <v>0</v>
      </c>
      <c r="G370" s="124" t="n">
        <v>0</v>
      </c>
      <c r="I370" s="124" t="n">
        <f aca="false">IF(MONTH($A370)=MONTH($A369),IF(G370=0,I369,G370),G370)</f>
        <v>0</v>
      </c>
      <c r="J370" s="124" t="n">
        <f aca="false">IF(MONTH($A370)=MONTH($A369),SUM(I370-I369),I370)</f>
        <v>0</v>
      </c>
      <c r="K370" s="124" t="n">
        <f aca="false">IF(WEEKDAY(A370,3)&gt;4,0,(IF(A370&lt;K$2,0,IF(A370&lt;=K$3,1,0))))</f>
        <v>0</v>
      </c>
      <c r="L370" s="124" t="n">
        <f aca="false">J370*K370</f>
        <v>0</v>
      </c>
      <c r="M370" s="124" t="n">
        <f aca="false">SUM(J$280:J370)</f>
        <v>-1524371.44303775</v>
      </c>
      <c r="N370" s="124" t="n">
        <f aca="false">SUM(J$6:J370)</f>
        <v>-1509354.03042888</v>
      </c>
      <c r="P370" s="124" t="n">
        <f aca="false">D370/P$3</f>
        <v>0</v>
      </c>
      <c r="Q370" s="124" t="n">
        <f aca="false">E370/P$3</f>
        <v>0</v>
      </c>
      <c r="R370" s="124" t="n">
        <f aca="false">F370/R$3</f>
        <v>0</v>
      </c>
      <c r="S370" s="126" t="n">
        <f aca="false">J370/$R$3</f>
        <v>0</v>
      </c>
      <c r="T370" s="126" t="n">
        <f aca="false">L370/$R$3</f>
        <v>0</v>
      </c>
      <c r="U370" s="126" t="n">
        <f aca="false">I370/$R$3</f>
        <v>0</v>
      </c>
      <c r="V370" s="126" t="n">
        <f aca="false">M370/$R$3</f>
        <v>-1524.37144303775</v>
      </c>
      <c r="W370" s="126" t="n">
        <f aca="false">N370/$R$3</f>
        <v>-1509.35403042888</v>
      </c>
    </row>
    <row r="371" customFormat="false" ht="12.75" hidden="false" customHeight="false" outlineLevel="0" collapsed="false">
      <c r="A371" s="120" t="n">
        <f aca="false">A370+1</f>
        <v>37257</v>
      </c>
      <c r="B371" s="131" t="str">
        <f aca="false">INDEX('Master Data'!$A$2:$B$8,MATCH(WEEKDAY('BRA PWR Certificates'!A371,3),'Master Data'!$A$2:$A$8,0),2)</f>
        <v>T</v>
      </c>
      <c r="D371" s="124" t="n">
        <v>0</v>
      </c>
      <c r="E371" s="124" t="n">
        <v>0</v>
      </c>
      <c r="F371" s="124" t="n">
        <v>0</v>
      </c>
      <c r="G371" s="124" t="n">
        <v>0</v>
      </c>
      <c r="I371" s="124" t="n">
        <f aca="false">IF(MONTH($A371)=MONTH($A370),IF(G371=0,I370,G371),G371)</f>
        <v>0</v>
      </c>
      <c r="J371" s="124" t="n">
        <f aca="false">IF(MONTH($A371)=MONTH($A370),SUM(I371-I370),I371)</f>
        <v>0</v>
      </c>
      <c r="K371" s="124" t="n">
        <f aca="false">IF(WEEKDAY(A371,3)&gt;4,0,(IF(A371&lt;K$2,0,IF(A371&lt;=K$3,1,0))))</f>
        <v>0</v>
      </c>
      <c r="L371" s="124" t="n">
        <f aca="false">J371*K371</f>
        <v>0</v>
      </c>
      <c r="M371" s="124" t="n">
        <f aca="false">SUM(J$280:J371)</f>
        <v>-1524371.44303775</v>
      </c>
      <c r="N371" s="124" t="n">
        <f aca="false">SUM(J$6:J371)</f>
        <v>-1509354.03042888</v>
      </c>
      <c r="P371" s="124" t="n">
        <f aca="false">D371/P$3</f>
        <v>0</v>
      </c>
      <c r="Q371" s="124" t="n">
        <f aca="false">E371/P$3</f>
        <v>0</v>
      </c>
      <c r="R371" s="124" t="n">
        <f aca="false">F371/R$3</f>
        <v>0</v>
      </c>
      <c r="S371" s="126" t="n">
        <f aca="false">J371/$R$3</f>
        <v>0</v>
      </c>
      <c r="T371" s="126" t="n">
        <f aca="false">L371/$R$3</f>
        <v>0</v>
      </c>
      <c r="U371" s="126" t="n">
        <f aca="false">I371/$R$3</f>
        <v>0</v>
      </c>
      <c r="V371" s="126" t="n">
        <f aca="false">M371/$R$3</f>
        <v>-1524.37144303775</v>
      </c>
      <c r="W371" s="126" t="n">
        <f aca="false">N371/$R$3</f>
        <v>-1509.35403042888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31" activeCellId="0" sqref="D3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20" width="7.28"/>
    <col collapsed="false" customWidth="true" hidden="false" outlineLevel="0" max="2" min="2" style="121" width="4.14"/>
    <col collapsed="false" customWidth="true" hidden="false" outlineLevel="0" max="3" min="3" style="122" width="2.7"/>
    <col collapsed="false" customWidth="true" hidden="false" outlineLevel="0" max="7" min="4" style="121" width="14.99"/>
    <col collapsed="false" customWidth="true" hidden="false" outlineLevel="0" max="8" min="8" style="122" width="2.7"/>
    <col collapsed="false" customWidth="true" hidden="false" outlineLevel="0" max="9" min="9" style="123" width="13.14"/>
    <col collapsed="false" customWidth="true" hidden="false" outlineLevel="0" max="10" min="10" style="124" width="13.14"/>
    <col collapsed="false" customWidth="true" hidden="false" outlineLevel="0" max="11" min="11" style="124" width="10.99"/>
    <col collapsed="false" customWidth="true" hidden="false" outlineLevel="0" max="14" min="12" style="124" width="13.14"/>
    <col collapsed="false" customWidth="true" hidden="false" outlineLevel="0" max="15" min="15" style="125" width="2.7"/>
    <col collapsed="false" customWidth="true" hidden="false" outlineLevel="0" max="18" min="16" style="121" width="16.13"/>
    <col collapsed="false" customWidth="true" hidden="false" outlineLevel="0" max="23" min="19" style="126" width="12.7"/>
    <col collapsed="false" customWidth="false" hidden="false" outlineLevel="0" max="257" min="24" style="121" width="9.14"/>
  </cols>
  <sheetData>
    <row r="1" customFormat="false" ht="12.75" hidden="false" customHeight="false" outlineLevel="0" collapsed="false">
      <c r="A1" s="127" t="n">
        <v>1</v>
      </c>
      <c r="B1" s="121" t="n">
        <f aca="false">+A1+1</f>
        <v>2</v>
      </c>
      <c r="C1" s="122" t="n">
        <f aca="false">+B1+1</f>
        <v>3</v>
      </c>
      <c r="D1" s="121" t="n">
        <f aca="false">+C1+1</f>
        <v>4</v>
      </c>
      <c r="E1" s="121" t="n">
        <f aca="false">+D1+1</f>
        <v>5</v>
      </c>
      <c r="F1" s="121" t="n">
        <f aca="false">+E1+1</f>
        <v>6</v>
      </c>
      <c r="G1" s="121" t="n">
        <f aca="false">+F1+1</f>
        <v>7</v>
      </c>
      <c r="H1" s="122" t="n">
        <f aca="false">+G1+1</f>
        <v>8</v>
      </c>
      <c r="I1" s="123" t="n">
        <f aca="false">+H1+1</f>
        <v>9</v>
      </c>
      <c r="J1" s="124" t="n">
        <f aca="false">+I1+1</f>
        <v>10</v>
      </c>
      <c r="K1" s="124" t="n">
        <f aca="false">+J1+1</f>
        <v>11</v>
      </c>
      <c r="L1" s="124" t="n">
        <f aca="false">+K1+1</f>
        <v>12</v>
      </c>
      <c r="M1" s="124" t="n">
        <f aca="false">+L1+1</f>
        <v>13</v>
      </c>
      <c r="N1" s="124" t="n">
        <f aca="false">+M1+1</f>
        <v>14</v>
      </c>
      <c r="O1" s="125" t="n">
        <f aca="false">+N1+1</f>
        <v>15</v>
      </c>
      <c r="P1" s="121" t="n">
        <f aca="false">+O1+1</f>
        <v>16</v>
      </c>
      <c r="Q1" s="121" t="n">
        <f aca="false">+P1+1</f>
        <v>17</v>
      </c>
      <c r="R1" s="121" t="n">
        <f aca="false">+Q1+1</f>
        <v>18</v>
      </c>
      <c r="S1" s="121" t="n">
        <f aca="false">+R1+1</f>
        <v>19</v>
      </c>
      <c r="T1" s="121" t="n">
        <f aca="false">+S1+1</f>
        <v>20</v>
      </c>
      <c r="U1" s="121" t="n">
        <f aca="false">+T1+1</f>
        <v>21</v>
      </c>
      <c r="V1" s="121" t="n">
        <f aca="false">+U1+1</f>
        <v>22</v>
      </c>
      <c r="W1" s="121" t="n">
        <f aca="false">+V1+1</f>
        <v>23</v>
      </c>
    </row>
    <row r="2" customFormat="false" ht="12.75" hidden="false" customHeight="false" outlineLevel="0" collapsed="false">
      <c r="K2" s="128" t="n">
        <f aca="false">WORKDAY(K3,-4)</f>
        <v>36966</v>
      </c>
    </row>
    <row r="3" customFormat="false" ht="12.75" hidden="false" customHeight="false" outlineLevel="0" collapsed="false">
      <c r="K3" s="128" t="n">
        <f aca="false">[4]Summary!B8</f>
        <v>36972</v>
      </c>
      <c r="L3" s="129" t="n">
        <f aca="false">SUM(L6:L371)</f>
        <v>0</v>
      </c>
      <c r="P3" s="124" t="n">
        <v>1000</v>
      </c>
      <c r="Q3" s="124"/>
      <c r="R3" s="124" t="n">
        <v>1000</v>
      </c>
      <c r="S3" s="121"/>
      <c r="T3" s="130" t="n">
        <f aca="false">SUM(T6:T371)</f>
        <v>0</v>
      </c>
    </row>
    <row r="4" customFormat="false" ht="12.75" hidden="false" customHeight="false" outlineLevel="0" collapsed="false">
      <c r="D4" s="131" t="s">
        <v>86</v>
      </c>
      <c r="E4" s="131" t="s">
        <v>86</v>
      </c>
      <c r="F4" s="131" t="s">
        <v>58</v>
      </c>
      <c r="G4" s="131" t="s">
        <v>58</v>
      </c>
      <c r="I4" s="132" t="s">
        <v>58</v>
      </c>
      <c r="J4" s="132"/>
      <c r="K4" s="132"/>
      <c r="L4" s="132"/>
      <c r="M4" s="132"/>
      <c r="N4" s="132"/>
      <c r="O4" s="133"/>
      <c r="P4" s="134" t="s">
        <v>87</v>
      </c>
      <c r="Q4" s="134"/>
      <c r="R4" s="135" t="s">
        <v>60</v>
      </c>
      <c r="S4" s="135"/>
      <c r="T4" s="135"/>
      <c r="U4" s="135"/>
      <c r="V4" s="135"/>
      <c r="W4" s="135"/>
    </row>
    <row r="5" customFormat="false" ht="12.75" hidden="false" customHeight="false" outlineLevel="0" collapsed="false">
      <c r="A5" s="136" t="s">
        <v>61</v>
      </c>
      <c r="B5" s="131" t="s">
        <v>62</v>
      </c>
      <c r="C5" s="137"/>
      <c r="D5" s="138" t="s">
        <v>63</v>
      </c>
      <c r="E5" s="138" t="s">
        <v>64</v>
      </c>
      <c r="F5" s="138" t="s">
        <v>65</v>
      </c>
      <c r="G5" s="138" t="s">
        <v>66</v>
      </c>
      <c r="H5" s="139"/>
      <c r="I5" s="138" t="s">
        <v>67</v>
      </c>
      <c r="J5" s="140" t="s">
        <v>68</v>
      </c>
      <c r="K5" s="140" t="s">
        <v>69</v>
      </c>
      <c r="L5" s="140" t="s">
        <v>70</v>
      </c>
      <c r="M5" s="140" t="s">
        <v>71</v>
      </c>
      <c r="N5" s="140" t="s">
        <v>72</v>
      </c>
      <c r="O5" s="141"/>
      <c r="P5" s="138" t="s">
        <v>63</v>
      </c>
      <c r="Q5" s="138" t="s">
        <v>64</v>
      </c>
      <c r="R5" s="138" t="s">
        <v>65</v>
      </c>
      <c r="S5" s="142" t="s">
        <v>68</v>
      </c>
      <c r="T5" s="140" t="s">
        <v>70</v>
      </c>
      <c r="U5" s="142" t="s">
        <v>66</v>
      </c>
      <c r="V5" s="142" t="s">
        <v>71</v>
      </c>
      <c r="W5" s="142" t="s">
        <v>72</v>
      </c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1"/>
      <c r="AW5" s="131"/>
      <c r="AX5" s="131"/>
      <c r="AY5" s="131"/>
      <c r="AZ5" s="131"/>
      <c r="BA5" s="131"/>
      <c r="BB5" s="131"/>
      <c r="BC5" s="131"/>
      <c r="BD5" s="131"/>
      <c r="BE5" s="131"/>
      <c r="BF5" s="131"/>
      <c r="BG5" s="131"/>
      <c r="BH5" s="131"/>
      <c r="BI5" s="131"/>
      <c r="BJ5" s="131"/>
      <c r="BK5" s="131"/>
      <c r="BL5" s="131"/>
      <c r="BM5" s="131"/>
      <c r="BN5" s="131"/>
      <c r="BO5" s="131"/>
      <c r="BP5" s="131"/>
      <c r="BQ5" s="131"/>
      <c r="BR5" s="131"/>
      <c r="BS5" s="131"/>
      <c r="BT5" s="131"/>
      <c r="BU5" s="131"/>
      <c r="BV5" s="131"/>
      <c r="BW5" s="131"/>
      <c r="BX5" s="131"/>
      <c r="BY5" s="131"/>
      <c r="BZ5" s="131"/>
      <c r="CA5" s="131"/>
      <c r="CB5" s="131"/>
      <c r="CC5" s="131"/>
      <c r="CD5" s="131"/>
      <c r="CE5" s="131"/>
      <c r="CF5" s="131"/>
      <c r="CG5" s="131"/>
      <c r="CH5" s="131"/>
      <c r="CI5" s="131"/>
      <c r="CJ5" s="131"/>
      <c r="CK5" s="131"/>
      <c r="CL5" s="131"/>
      <c r="CM5" s="131"/>
      <c r="CN5" s="131"/>
      <c r="CO5" s="131"/>
      <c r="CP5" s="131"/>
      <c r="CQ5" s="131"/>
      <c r="CR5" s="131"/>
      <c r="CS5" s="131"/>
      <c r="CT5" s="131"/>
      <c r="CU5" s="131"/>
      <c r="CV5" s="131"/>
      <c r="CW5" s="131"/>
      <c r="CX5" s="131"/>
      <c r="CY5" s="131"/>
      <c r="CZ5" s="131"/>
      <c r="DA5" s="131"/>
      <c r="DB5" s="131"/>
      <c r="DC5" s="131"/>
      <c r="DD5" s="131"/>
      <c r="DE5" s="131"/>
      <c r="DF5" s="131"/>
      <c r="DG5" s="131"/>
      <c r="DH5" s="131"/>
      <c r="DI5" s="131"/>
      <c r="DJ5" s="131"/>
      <c r="DK5" s="131"/>
      <c r="DL5" s="131"/>
      <c r="DM5" s="131"/>
      <c r="DN5" s="131"/>
      <c r="DO5" s="131"/>
      <c r="DP5" s="131"/>
      <c r="DQ5" s="131"/>
      <c r="DR5" s="131"/>
      <c r="DS5" s="131"/>
      <c r="DT5" s="131"/>
      <c r="DU5" s="131"/>
      <c r="DV5" s="131"/>
      <c r="DW5" s="131"/>
      <c r="DX5" s="131"/>
      <c r="DY5" s="131"/>
      <c r="DZ5" s="131"/>
      <c r="EA5" s="131"/>
      <c r="EB5" s="131"/>
      <c r="EC5" s="131"/>
      <c r="ED5" s="131"/>
      <c r="EE5" s="131"/>
      <c r="EF5" s="131"/>
      <c r="EG5" s="131"/>
      <c r="EH5" s="131"/>
      <c r="EI5" s="131"/>
      <c r="EJ5" s="131"/>
      <c r="EK5" s="131"/>
      <c r="EL5" s="131"/>
      <c r="EM5" s="131"/>
      <c r="EN5" s="131"/>
      <c r="EO5" s="131"/>
      <c r="EP5" s="131"/>
      <c r="EQ5" s="131"/>
      <c r="ER5" s="131"/>
      <c r="ES5" s="131"/>
      <c r="ET5" s="131"/>
      <c r="EU5" s="131"/>
      <c r="EV5" s="131"/>
      <c r="EW5" s="131"/>
      <c r="EX5" s="131"/>
      <c r="EY5" s="131"/>
      <c r="EZ5" s="131"/>
      <c r="FA5" s="131"/>
      <c r="FB5" s="131"/>
      <c r="FC5" s="131"/>
      <c r="FD5" s="131"/>
      <c r="FE5" s="131"/>
      <c r="FF5" s="131"/>
      <c r="FG5" s="131"/>
      <c r="FH5" s="131"/>
      <c r="FI5" s="131"/>
      <c r="FJ5" s="131"/>
      <c r="FK5" s="131"/>
      <c r="FL5" s="131"/>
      <c r="FM5" s="131"/>
      <c r="FN5" s="131"/>
      <c r="FO5" s="131"/>
      <c r="FP5" s="131"/>
      <c r="FQ5" s="131"/>
      <c r="FR5" s="131"/>
      <c r="FS5" s="131"/>
      <c r="FT5" s="131"/>
      <c r="FU5" s="131"/>
      <c r="FV5" s="131"/>
      <c r="FW5" s="131"/>
      <c r="FX5" s="131"/>
      <c r="FY5" s="131"/>
      <c r="FZ5" s="131"/>
      <c r="GA5" s="131"/>
      <c r="GB5" s="131"/>
      <c r="GC5" s="131"/>
      <c r="GD5" s="131"/>
      <c r="GE5" s="131"/>
      <c r="GF5" s="131"/>
      <c r="GG5" s="131"/>
      <c r="GH5" s="131"/>
      <c r="GI5" s="131"/>
      <c r="GJ5" s="131"/>
      <c r="GK5" s="131"/>
      <c r="GL5" s="131"/>
      <c r="GM5" s="131"/>
      <c r="GN5" s="131"/>
      <c r="GO5" s="131"/>
      <c r="GP5" s="131"/>
      <c r="GQ5" s="131"/>
      <c r="GR5" s="131"/>
      <c r="GS5" s="131"/>
      <c r="GT5" s="131"/>
      <c r="GU5" s="131"/>
      <c r="GV5" s="131"/>
      <c r="GW5" s="131"/>
      <c r="GX5" s="131"/>
      <c r="GY5" s="131"/>
      <c r="GZ5" s="131"/>
      <c r="HA5" s="131"/>
      <c r="HB5" s="131"/>
      <c r="HC5" s="131"/>
      <c r="HD5" s="131"/>
      <c r="HE5" s="131"/>
      <c r="HF5" s="131"/>
      <c r="HG5" s="131"/>
      <c r="HH5" s="131"/>
      <c r="HI5" s="131"/>
      <c r="HJ5" s="131"/>
      <c r="HK5" s="131"/>
      <c r="HL5" s="131"/>
      <c r="HM5" s="131"/>
      <c r="HN5" s="131"/>
      <c r="HO5" s="131"/>
      <c r="HP5" s="131"/>
      <c r="HQ5" s="131"/>
      <c r="HR5" s="131"/>
      <c r="HS5" s="131"/>
      <c r="HT5" s="131"/>
      <c r="HU5" s="131"/>
      <c r="HV5" s="131"/>
      <c r="HW5" s="131"/>
      <c r="HX5" s="131"/>
      <c r="HY5" s="131"/>
      <c r="HZ5" s="131"/>
      <c r="IA5" s="131"/>
      <c r="IB5" s="131"/>
      <c r="IC5" s="131"/>
      <c r="ID5" s="131"/>
      <c r="IE5" s="131"/>
      <c r="IF5" s="131"/>
      <c r="IG5" s="131"/>
      <c r="IH5" s="131"/>
      <c r="II5" s="131"/>
      <c r="IJ5" s="131"/>
      <c r="IK5" s="131"/>
      <c r="IL5" s="131"/>
      <c r="IM5" s="131"/>
      <c r="IN5" s="131"/>
      <c r="IO5" s="131"/>
      <c r="IP5" s="131"/>
      <c r="IQ5" s="131"/>
      <c r="IR5" s="131"/>
      <c r="IS5" s="131"/>
      <c r="IT5" s="131"/>
      <c r="IU5" s="131"/>
      <c r="IV5" s="131"/>
      <c r="IW5" s="131"/>
    </row>
    <row r="6" customFormat="false" ht="12.75" hidden="false" customHeight="false" outlineLevel="0" collapsed="false">
      <c r="A6" s="120" t="n">
        <v>36892</v>
      </c>
      <c r="B6" s="131" t="str">
        <f aca="false">INDEX('[4]Master Data'!$A$2:$B$8,MATCH(WEEKDAY('CRD Hedge'!A6,3),'[4]Master Data'!$A$2:$A$8,0),2)</f>
        <v>M</v>
      </c>
      <c r="D6" s="124" t="n">
        <v>0</v>
      </c>
      <c r="E6" s="124" t="n">
        <v>0</v>
      </c>
      <c r="F6" s="124" t="n">
        <v>0</v>
      </c>
      <c r="G6" s="124" t="n">
        <v>0</v>
      </c>
      <c r="I6" s="124" t="n">
        <f aca="false">G6</f>
        <v>0</v>
      </c>
      <c r="J6" s="124" t="n">
        <f aca="false">I6</f>
        <v>0</v>
      </c>
      <c r="K6" s="124" t="n">
        <f aca="false">IF(WEEKDAY(A6,3)&gt;4,0,(IF(A6&lt;K$2,0,IF(A6&lt;=K$3,1,0))))</f>
        <v>0</v>
      </c>
      <c r="L6" s="124" t="n">
        <f aca="false">J6*K6</f>
        <v>0</v>
      </c>
      <c r="M6" s="124" t="n">
        <f aca="false">SUM(J$6:J6)</f>
        <v>0</v>
      </c>
      <c r="N6" s="124" t="n">
        <f aca="false">SUM(J$6:J6)</f>
        <v>0</v>
      </c>
      <c r="P6" s="124" t="n">
        <f aca="false">D6/P$3</f>
        <v>0</v>
      </c>
      <c r="Q6" s="124" t="n">
        <f aca="false">E6/P$3</f>
        <v>0</v>
      </c>
      <c r="R6" s="124" t="n">
        <f aca="false">F6/R$3</f>
        <v>0</v>
      </c>
      <c r="S6" s="126" t="n">
        <f aca="false">J6/$R$3</f>
        <v>0</v>
      </c>
      <c r="T6" s="126" t="n">
        <f aca="false">L6/$R$3</f>
        <v>0</v>
      </c>
      <c r="U6" s="126" t="n">
        <f aca="false">I6/$R$3</f>
        <v>0</v>
      </c>
      <c r="V6" s="126" t="n">
        <f aca="false">M6/$R$3</f>
        <v>0</v>
      </c>
      <c r="W6" s="126" t="n">
        <f aca="false">N6/$R$3</f>
        <v>0</v>
      </c>
    </row>
    <row r="7" customFormat="false" ht="12.75" hidden="false" customHeight="false" outlineLevel="0" collapsed="false">
      <c r="A7" s="120" t="n">
        <f aca="false">A6+1</f>
        <v>36893</v>
      </c>
      <c r="B7" s="131" t="str">
        <f aca="false">INDEX('[4]Master Data'!$A$2:$B$8,MATCH(WEEKDAY('CRD Hedge'!A7,3),'[4]Master Data'!$A$2:$A$8,0),2)</f>
        <v>T</v>
      </c>
      <c r="D7" s="124" t="n">
        <v>0</v>
      </c>
      <c r="E7" s="124" t="n">
        <v>0</v>
      </c>
      <c r="F7" s="124" t="n">
        <v>0</v>
      </c>
      <c r="G7" s="124" t="n">
        <v>0</v>
      </c>
      <c r="I7" s="124" t="n">
        <f aca="false">IF(MONTH($A7)=MONTH($A6),IF(G7=0,I6,G7),0)</f>
        <v>0</v>
      </c>
      <c r="J7" s="124" t="n">
        <f aca="false">IF(MONTH($A7)=MONTH($A6),SUM(I7-I6),I7)</f>
        <v>0</v>
      </c>
      <c r="K7" s="124" t="n">
        <f aca="false">IF(WEEKDAY(A7,3)&gt;4,0,(IF(A7&lt;K$2,0,IF(A7&lt;=K$3,1,0))))</f>
        <v>0</v>
      </c>
      <c r="L7" s="124" t="n">
        <f aca="false">J7*K7</f>
        <v>0</v>
      </c>
      <c r="M7" s="124" t="n">
        <f aca="false">SUM(J$6:J7)</f>
        <v>0</v>
      </c>
      <c r="N7" s="124" t="n">
        <f aca="false">SUM(J$6:J7)</f>
        <v>0</v>
      </c>
      <c r="P7" s="124" t="n">
        <f aca="false">D7/P$3</f>
        <v>0</v>
      </c>
      <c r="Q7" s="124" t="n">
        <f aca="false">E7/P$3</f>
        <v>0</v>
      </c>
      <c r="R7" s="124" t="n">
        <f aca="false">F7/R$3</f>
        <v>0</v>
      </c>
      <c r="S7" s="126" t="n">
        <f aca="false">J7/$R$3</f>
        <v>0</v>
      </c>
      <c r="T7" s="126" t="n">
        <f aca="false">L7/$R$3</f>
        <v>0</v>
      </c>
      <c r="U7" s="126" t="n">
        <f aca="false">I7/$R$3</f>
        <v>0</v>
      </c>
      <c r="V7" s="126" t="n">
        <f aca="false">M7/$R$3</f>
        <v>0</v>
      </c>
      <c r="W7" s="126" t="n">
        <f aca="false">N7/$R$3</f>
        <v>0</v>
      </c>
    </row>
    <row r="8" customFormat="false" ht="12.75" hidden="false" customHeight="false" outlineLevel="0" collapsed="false">
      <c r="A8" s="120" t="n">
        <f aca="false">A7+1</f>
        <v>36894</v>
      </c>
      <c r="B8" s="131" t="str">
        <f aca="false">INDEX('[4]Master Data'!$A$2:$B$8,MATCH(WEEKDAY('CRD Hedge'!A8,3),'[4]Master Data'!$A$2:$A$8,0),2)</f>
        <v>W</v>
      </c>
      <c r="D8" s="124" t="n">
        <v>0</v>
      </c>
      <c r="E8" s="124" t="n">
        <v>0</v>
      </c>
      <c r="F8" s="124" t="n">
        <v>0</v>
      </c>
      <c r="G8" s="124" t="n">
        <v>0</v>
      </c>
      <c r="I8" s="124" t="n">
        <f aca="false">IF(MONTH($A8)=MONTH($A7),IF(G8=0,I7,G8),0)</f>
        <v>0</v>
      </c>
      <c r="J8" s="124" t="n">
        <f aca="false">IF(MONTH($A8)=MONTH($A7),SUM(I8-I7),I8)</f>
        <v>0</v>
      </c>
      <c r="K8" s="124" t="n">
        <f aca="false">IF(WEEKDAY(A8,3)&gt;4,0,(IF(A8&lt;K$2,0,IF(A8&lt;=K$3,1,0))))</f>
        <v>0</v>
      </c>
      <c r="L8" s="124" t="n">
        <f aca="false">J8*K8</f>
        <v>0</v>
      </c>
      <c r="M8" s="124" t="n">
        <f aca="false">SUM(J$6:J8)</f>
        <v>0</v>
      </c>
      <c r="N8" s="124" t="n">
        <f aca="false">SUM(J$6:J8)</f>
        <v>0</v>
      </c>
      <c r="P8" s="124" t="n">
        <f aca="false">D8/P$3</f>
        <v>0</v>
      </c>
      <c r="Q8" s="124" t="n">
        <f aca="false">E8/P$3</f>
        <v>0</v>
      </c>
      <c r="R8" s="124" t="n">
        <f aca="false">F8/R$3</f>
        <v>0</v>
      </c>
      <c r="S8" s="126" t="n">
        <f aca="false">J8/$R$3</f>
        <v>0</v>
      </c>
      <c r="T8" s="126" t="n">
        <f aca="false">L8/$R$3</f>
        <v>0</v>
      </c>
      <c r="U8" s="126" t="n">
        <f aca="false">I8/$R$3</f>
        <v>0</v>
      </c>
      <c r="V8" s="126" t="n">
        <f aca="false">M8/$R$3</f>
        <v>0</v>
      </c>
      <c r="W8" s="126" t="n">
        <f aca="false">N8/$R$3</f>
        <v>0</v>
      </c>
    </row>
    <row r="9" customFormat="false" ht="12.75" hidden="false" customHeight="false" outlineLevel="0" collapsed="false">
      <c r="A9" s="120" t="n">
        <f aca="false">A8+1</f>
        <v>36895</v>
      </c>
      <c r="B9" s="131" t="str">
        <f aca="false">INDEX('[4]Master Data'!$A$2:$B$8,MATCH(WEEKDAY('CRD Hedge'!A9,3),'[4]Master Data'!$A$2:$A$8,0),2)</f>
        <v>Th</v>
      </c>
      <c r="D9" s="124" t="n">
        <v>0</v>
      </c>
      <c r="E9" s="124" t="n">
        <v>0</v>
      </c>
      <c r="F9" s="124" t="n">
        <v>0</v>
      </c>
      <c r="G9" s="124" t="n">
        <v>0</v>
      </c>
      <c r="I9" s="124" t="n">
        <f aca="false">IF(MONTH($A9)=MONTH($A8),IF(G9=0,I8,G9),0)</f>
        <v>0</v>
      </c>
      <c r="J9" s="124" t="n">
        <f aca="false">IF(MONTH($A9)=MONTH($A8),SUM(I9-I8),I9)</f>
        <v>0</v>
      </c>
      <c r="K9" s="124" t="n">
        <f aca="false">IF(WEEKDAY(A9,3)&gt;4,0,(IF(A9&lt;K$2,0,IF(A9&lt;=K$3,1,0))))</f>
        <v>0</v>
      </c>
      <c r="L9" s="124" t="n">
        <f aca="false">J9*K9</f>
        <v>0</v>
      </c>
      <c r="M9" s="124" t="n">
        <f aca="false">SUM(J$6:J9)</f>
        <v>0</v>
      </c>
      <c r="N9" s="124" t="n">
        <f aca="false">SUM(J$6:J9)</f>
        <v>0</v>
      </c>
      <c r="P9" s="124" t="n">
        <f aca="false">D9/P$3</f>
        <v>0</v>
      </c>
      <c r="Q9" s="124" t="n">
        <f aca="false">E9/P$3</f>
        <v>0</v>
      </c>
      <c r="R9" s="124" t="n">
        <f aca="false">F9/R$3</f>
        <v>0</v>
      </c>
      <c r="S9" s="126" t="n">
        <f aca="false">J9/$R$3</f>
        <v>0</v>
      </c>
      <c r="T9" s="126" t="n">
        <f aca="false">L9/$R$3</f>
        <v>0</v>
      </c>
      <c r="U9" s="126" t="n">
        <f aca="false">I9/$R$3</f>
        <v>0</v>
      </c>
      <c r="V9" s="126" t="n">
        <f aca="false">M9/$R$3</f>
        <v>0</v>
      </c>
      <c r="W9" s="126" t="n">
        <f aca="false">N9/$R$3</f>
        <v>0</v>
      </c>
    </row>
    <row r="10" customFormat="false" ht="12.75" hidden="false" customHeight="false" outlineLevel="0" collapsed="false">
      <c r="A10" s="120" t="n">
        <f aca="false">A9+1</f>
        <v>36896</v>
      </c>
      <c r="B10" s="131" t="str">
        <f aca="false">INDEX('[4]Master Data'!$A$2:$B$8,MATCH(WEEKDAY('CRD Hedge'!A10,3),'[4]Master Data'!$A$2:$A$8,0),2)</f>
        <v>F</v>
      </c>
      <c r="D10" s="124" t="n">
        <v>0</v>
      </c>
      <c r="E10" s="124" t="n">
        <v>0</v>
      </c>
      <c r="F10" s="124" t="n">
        <v>0</v>
      </c>
      <c r="G10" s="124" t="n">
        <v>0</v>
      </c>
      <c r="I10" s="124" t="n">
        <f aca="false">IF(MONTH($A10)=MONTH($A9),IF(G10=0,I9,G10),0)</f>
        <v>0</v>
      </c>
      <c r="J10" s="124" t="n">
        <f aca="false">IF(MONTH($A10)=MONTH($A9),SUM(I10-I9),I10)</f>
        <v>0</v>
      </c>
      <c r="K10" s="124" t="n">
        <f aca="false">IF(WEEKDAY(A10,3)&gt;4,0,(IF(A10&lt;K$2,0,IF(A10&lt;=K$3,1,0))))</f>
        <v>0</v>
      </c>
      <c r="L10" s="124" t="n">
        <f aca="false">J10*K10</f>
        <v>0</v>
      </c>
      <c r="M10" s="124" t="n">
        <f aca="false">SUM(J$6:J10)</f>
        <v>0</v>
      </c>
      <c r="N10" s="124" t="n">
        <f aca="false">SUM(J$6:J10)</f>
        <v>0</v>
      </c>
      <c r="P10" s="124" t="n">
        <f aca="false">D10/P$3</f>
        <v>0</v>
      </c>
      <c r="Q10" s="124" t="n">
        <f aca="false">E10/P$3</f>
        <v>0</v>
      </c>
      <c r="R10" s="124" t="n">
        <f aca="false">F10/R$3</f>
        <v>0</v>
      </c>
      <c r="S10" s="126" t="n">
        <f aca="false">J10/$R$3</f>
        <v>0</v>
      </c>
      <c r="T10" s="126" t="n">
        <f aca="false">L10/$R$3</f>
        <v>0</v>
      </c>
      <c r="U10" s="126" t="n">
        <f aca="false">I10/$R$3</f>
        <v>0</v>
      </c>
      <c r="V10" s="126" t="n">
        <f aca="false">M10/$R$3</f>
        <v>0</v>
      </c>
      <c r="W10" s="126" t="n">
        <f aca="false">N10/$R$3</f>
        <v>0</v>
      </c>
    </row>
    <row r="11" customFormat="false" ht="12.75" hidden="false" customHeight="false" outlineLevel="0" collapsed="false">
      <c r="A11" s="120" t="n">
        <f aca="false">A10+1</f>
        <v>36897</v>
      </c>
      <c r="B11" s="131" t="str">
        <f aca="false">INDEX('[4]Master Data'!$A$2:$B$8,MATCH(WEEKDAY('CRD Hedge'!A11,3),'[4]Master Data'!$A$2:$A$8,0),2)</f>
        <v>Sa</v>
      </c>
      <c r="D11" s="124" t="n">
        <v>0</v>
      </c>
      <c r="E11" s="124" t="n">
        <v>0</v>
      </c>
      <c r="F11" s="124" t="n">
        <v>0</v>
      </c>
      <c r="G11" s="124" t="n">
        <v>0</v>
      </c>
      <c r="I11" s="124" t="n">
        <f aca="false">IF(MONTH($A11)=MONTH($A10),IF(G11=0,I10,G11),0)</f>
        <v>0</v>
      </c>
      <c r="J11" s="124" t="n">
        <f aca="false">IF(MONTH($A11)=MONTH($A10),SUM(I11-I10),I11)</f>
        <v>0</v>
      </c>
      <c r="K11" s="124" t="n">
        <f aca="false">IF(WEEKDAY(A11,3)&gt;4,0,(IF(A11&lt;K$2,0,IF(A11&lt;=K$3,1,0))))</f>
        <v>0</v>
      </c>
      <c r="L11" s="124" t="n">
        <f aca="false">J11*K11</f>
        <v>0</v>
      </c>
      <c r="M11" s="124" t="n">
        <f aca="false">SUM(J$6:J11)</f>
        <v>0</v>
      </c>
      <c r="N11" s="124" t="n">
        <f aca="false">SUM(J$6:J11)</f>
        <v>0</v>
      </c>
      <c r="P11" s="124" t="n">
        <f aca="false">D11/P$3</f>
        <v>0</v>
      </c>
      <c r="Q11" s="124" t="n">
        <f aca="false">E11/P$3</f>
        <v>0</v>
      </c>
      <c r="R11" s="124" t="n">
        <f aca="false">F11/R$3</f>
        <v>0</v>
      </c>
      <c r="S11" s="126" t="n">
        <f aca="false">J11/$R$3</f>
        <v>0</v>
      </c>
      <c r="T11" s="126" t="n">
        <f aca="false">L11/$R$3</f>
        <v>0</v>
      </c>
      <c r="U11" s="126" t="n">
        <f aca="false">I11/$R$3</f>
        <v>0</v>
      </c>
      <c r="V11" s="126" t="n">
        <f aca="false">M11/$R$3</f>
        <v>0</v>
      </c>
      <c r="W11" s="126" t="n">
        <f aca="false">N11/$R$3</f>
        <v>0</v>
      </c>
    </row>
    <row r="12" customFormat="false" ht="12.75" hidden="false" customHeight="false" outlineLevel="0" collapsed="false">
      <c r="A12" s="120" t="n">
        <f aca="false">A11+1</f>
        <v>36898</v>
      </c>
      <c r="B12" s="131" t="str">
        <f aca="false">INDEX('[4]Master Data'!$A$2:$B$8,MATCH(WEEKDAY('CRD Hedge'!A12,3),'[4]Master Data'!$A$2:$A$8,0),2)</f>
        <v>Su</v>
      </c>
      <c r="D12" s="124" t="n">
        <v>0</v>
      </c>
      <c r="E12" s="124" t="n">
        <v>0</v>
      </c>
      <c r="F12" s="124" t="n">
        <v>0</v>
      </c>
      <c r="G12" s="124" t="n">
        <v>0</v>
      </c>
      <c r="I12" s="124" t="n">
        <f aca="false">IF(MONTH($A12)=MONTH($A11),IF(G12=0,I11,G12),0)</f>
        <v>0</v>
      </c>
      <c r="J12" s="124" t="n">
        <f aca="false">IF(MONTH($A12)=MONTH($A11),SUM(I12-I11),I12)</f>
        <v>0</v>
      </c>
      <c r="K12" s="124" t="n">
        <f aca="false">IF(WEEKDAY(A12,3)&gt;4,0,(IF(A12&lt;K$2,0,IF(A12&lt;=K$3,1,0))))</f>
        <v>0</v>
      </c>
      <c r="L12" s="124" t="n">
        <f aca="false">J12*K12</f>
        <v>0</v>
      </c>
      <c r="M12" s="124" t="n">
        <f aca="false">SUM(J$6:J12)</f>
        <v>0</v>
      </c>
      <c r="N12" s="124" t="n">
        <f aca="false">SUM(J$6:J12)</f>
        <v>0</v>
      </c>
      <c r="P12" s="124" t="n">
        <f aca="false">D12/P$3</f>
        <v>0</v>
      </c>
      <c r="Q12" s="124" t="n">
        <f aca="false">E12/P$3</f>
        <v>0</v>
      </c>
      <c r="R12" s="124" t="n">
        <f aca="false">F12/R$3</f>
        <v>0</v>
      </c>
      <c r="S12" s="126" t="n">
        <f aca="false">J12/$R$3</f>
        <v>0</v>
      </c>
      <c r="T12" s="126" t="n">
        <f aca="false">L12/$R$3</f>
        <v>0</v>
      </c>
      <c r="U12" s="126" t="n">
        <f aca="false">I12/$R$3</f>
        <v>0</v>
      </c>
      <c r="V12" s="126" t="n">
        <f aca="false">M12/$R$3</f>
        <v>0</v>
      </c>
      <c r="W12" s="126" t="n">
        <f aca="false">N12/$R$3</f>
        <v>0</v>
      </c>
    </row>
    <row r="13" customFormat="false" ht="12.75" hidden="false" customHeight="false" outlineLevel="0" collapsed="false">
      <c r="A13" s="120" t="n">
        <f aca="false">A12+1</f>
        <v>36899</v>
      </c>
      <c r="B13" s="131" t="str">
        <f aca="false">INDEX('[4]Master Data'!$A$2:$B$8,MATCH(WEEKDAY('CRD Hedge'!A13,3),'[4]Master Data'!$A$2:$A$8,0),2)</f>
        <v>M</v>
      </c>
      <c r="D13" s="124" t="n">
        <v>0</v>
      </c>
      <c r="E13" s="124" t="n">
        <v>0</v>
      </c>
      <c r="F13" s="124" t="n">
        <v>0</v>
      </c>
      <c r="G13" s="124" t="n">
        <v>0</v>
      </c>
      <c r="I13" s="124" t="n">
        <f aca="false">IF(MONTH($A13)=MONTH($A12),IF(G13=0,I12,G13),0)</f>
        <v>0</v>
      </c>
      <c r="J13" s="124" t="n">
        <f aca="false">IF(MONTH($A13)=MONTH($A12),SUM(I13-I12),I13)</f>
        <v>0</v>
      </c>
      <c r="K13" s="124" t="n">
        <f aca="false">IF(WEEKDAY(A13,3)&gt;4,0,(IF(A13&lt;K$2,0,IF(A13&lt;=K$3,1,0))))</f>
        <v>0</v>
      </c>
      <c r="L13" s="124" t="n">
        <f aca="false">J13*K13</f>
        <v>0</v>
      </c>
      <c r="M13" s="124" t="n">
        <f aca="false">SUM(J$6:J13)</f>
        <v>0</v>
      </c>
      <c r="N13" s="124" t="n">
        <f aca="false">SUM(J$6:J13)</f>
        <v>0</v>
      </c>
      <c r="P13" s="124" t="n">
        <f aca="false">D13/P$3</f>
        <v>0</v>
      </c>
      <c r="Q13" s="124" t="n">
        <f aca="false">E13/P$3</f>
        <v>0</v>
      </c>
      <c r="R13" s="124" t="n">
        <f aca="false">F13/R$3</f>
        <v>0</v>
      </c>
      <c r="S13" s="126" t="n">
        <f aca="false">J13/$R$3</f>
        <v>0</v>
      </c>
      <c r="T13" s="126" t="n">
        <f aca="false">L13/$R$3</f>
        <v>0</v>
      </c>
      <c r="U13" s="126" t="n">
        <f aca="false">I13/$R$3</f>
        <v>0</v>
      </c>
      <c r="V13" s="126" t="n">
        <f aca="false">M13/$R$3</f>
        <v>0</v>
      </c>
      <c r="W13" s="126" t="n">
        <f aca="false">N13/$R$3</f>
        <v>0</v>
      </c>
    </row>
    <row r="14" customFormat="false" ht="12.75" hidden="false" customHeight="false" outlineLevel="0" collapsed="false">
      <c r="A14" s="120" t="n">
        <f aca="false">A13+1</f>
        <v>36900</v>
      </c>
      <c r="B14" s="131" t="str">
        <f aca="false">INDEX('[4]Master Data'!$A$2:$B$8,MATCH(WEEKDAY('CRD Hedge'!A14,3),'[4]Master Data'!$A$2:$A$8,0),2)</f>
        <v>T</v>
      </c>
      <c r="D14" s="124" t="n">
        <v>0</v>
      </c>
      <c r="E14" s="124" t="n">
        <v>0</v>
      </c>
      <c r="F14" s="124" t="n">
        <v>0</v>
      </c>
      <c r="G14" s="124" t="n">
        <v>0</v>
      </c>
      <c r="I14" s="124" t="n">
        <f aca="false">IF(MONTH($A14)=MONTH($A13),IF(G14=0,I13,G14),0)</f>
        <v>0</v>
      </c>
      <c r="J14" s="124" t="n">
        <f aca="false">IF(MONTH($A14)=MONTH($A13),SUM(I14-I13),I14)</f>
        <v>0</v>
      </c>
      <c r="K14" s="124" t="n">
        <f aca="false">IF(WEEKDAY(A14,3)&gt;4,0,(IF(A14&lt;K$2,0,IF(A14&lt;=K$3,1,0))))</f>
        <v>0</v>
      </c>
      <c r="L14" s="124" t="n">
        <f aca="false">J14*K14</f>
        <v>0</v>
      </c>
      <c r="M14" s="124" t="n">
        <f aca="false">SUM(J$6:J14)</f>
        <v>0</v>
      </c>
      <c r="N14" s="124" t="n">
        <f aca="false">SUM(J$6:J14)</f>
        <v>0</v>
      </c>
      <c r="P14" s="124" t="n">
        <f aca="false">D14/P$3</f>
        <v>0</v>
      </c>
      <c r="Q14" s="124" t="n">
        <f aca="false">E14/P$3</f>
        <v>0</v>
      </c>
      <c r="R14" s="124" t="n">
        <f aca="false">F14/R$3</f>
        <v>0</v>
      </c>
      <c r="S14" s="126" t="n">
        <f aca="false">J14/$R$3</f>
        <v>0</v>
      </c>
      <c r="T14" s="126" t="n">
        <f aca="false">L14/$R$3</f>
        <v>0</v>
      </c>
      <c r="U14" s="126" t="n">
        <f aca="false">I14/$R$3</f>
        <v>0</v>
      </c>
      <c r="V14" s="126" t="n">
        <f aca="false">M14/$R$3</f>
        <v>0</v>
      </c>
      <c r="W14" s="126" t="n">
        <f aca="false">N14/$R$3</f>
        <v>0</v>
      </c>
    </row>
    <row r="15" customFormat="false" ht="12.75" hidden="false" customHeight="false" outlineLevel="0" collapsed="false">
      <c r="A15" s="120" t="n">
        <f aca="false">A14+1</f>
        <v>36901</v>
      </c>
      <c r="B15" s="131" t="str">
        <f aca="false">INDEX('[4]Master Data'!$A$2:$B$8,MATCH(WEEKDAY('CRD Hedge'!A15,3),'[4]Master Data'!$A$2:$A$8,0),2)</f>
        <v>W</v>
      </c>
      <c r="D15" s="124" t="n">
        <v>0</v>
      </c>
      <c r="E15" s="124" t="n">
        <v>0</v>
      </c>
      <c r="F15" s="124" t="n">
        <v>0</v>
      </c>
      <c r="G15" s="124" t="n">
        <v>0</v>
      </c>
      <c r="I15" s="124" t="n">
        <f aca="false">IF(MONTH($A15)=MONTH($A14),IF(G15=0,I14,G15),0)</f>
        <v>0</v>
      </c>
      <c r="J15" s="124" t="n">
        <f aca="false">IF(MONTH($A15)=MONTH($A14),SUM(I15-I14),I15)</f>
        <v>0</v>
      </c>
      <c r="K15" s="124" t="n">
        <f aca="false">IF(WEEKDAY(A15,3)&gt;4,0,(IF(A15&lt;K$2,0,IF(A15&lt;=K$3,1,0))))</f>
        <v>0</v>
      </c>
      <c r="L15" s="124" t="n">
        <f aca="false">J15*K15</f>
        <v>0</v>
      </c>
      <c r="M15" s="124" t="n">
        <f aca="false">SUM(J$6:J15)</f>
        <v>0</v>
      </c>
      <c r="N15" s="124" t="n">
        <f aca="false">SUM(J$6:J15)</f>
        <v>0</v>
      </c>
      <c r="P15" s="124" t="n">
        <f aca="false">D15/P$3</f>
        <v>0</v>
      </c>
      <c r="Q15" s="124" t="n">
        <f aca="false">E15/P$3</f>
        <v>0</v>
      </c>
      <c r="R15" s="124" t="n">
        <f aca="false">F15/R$3</f>
        <v>0</v>
      </c>
      <c r="S15" s="126" t="n">
        <f aca="false">J15/$R$3</f>
        <v>0</v>
      </c>
      <c r="T15" s="126" t="n">
        <f aca="false">L15/$R$3</f>
        <v>0</v>
      </c>
      <c r="U15" s="126" t="n">
        <f aca="false">I15/$R$3</f>
        <v>0</v>
      </c>
      <c r="V15" s="126" t="n">
        <f aca="false">M15/$R$3</f>
        <v>0</v>
      </c>
      <c r="W15" s="126" t="n">
        <f aca="false">N15/$R$3</f>
        <v>0</v>
      </c>
    </row>
    <row r="16" customFormat="false" ht="12.75" hidden="false" customHeight="false" outlineLevel="0" collapsed="false">
      <c r="A16" s="120" t="n">
        <f aca="false">A15+1</f>
        <v>36902</v>
      </c>
      <c r="B16" s="131" t="str">
        <f aca="false">INDEX('[4]Master Data'!$A$2:$B$8,MATCH(WEEKDAY('CRD Hedge'!A16,3),'[4]Master Data'!$A$2:$A$8,0),2)</f>
        <v>Th</v>
      </c>
      <c r="D16" s="124" t="n">
        <v>0</v>
      </c>
      <c r="E16" s="124" t="n">
        <v>0</v>
      </c>
      <c r="F16" s="124" t="n">
        <v>0</v>
      </c>
      <c r="G16" s="124" t="n">
        <v>0</v>
      </c>
      <c r="I16" s="124" t="n">
        <f aca="false">IF(MONTH($A16)=MONTH($A15),IF(G16=0,I15,G16),0)</f>
        <v>0</v>
      </c>
      <c r="J16" s="124" t="n">
        <f aca="false">IF(MONTH($A16)=MONTH($A15),SUM(I16-I15),I16)</f>
        <v>0</v>
      </c>
      <c r="K16" s="124" t="n">
        <f aca="false">IF(WEEKDAY(A16,3)&gt;4,0,(IF(A16&lt;K$2,0,IF(A16&lt;=K$3,1,0))))</f>
        <v>0</v>
      </c>
      <c r="L16" s="124" t="n">
        <f aca="false">J16*K16</f>
        <v>0</v>
      </c>
      <c r="M16" s="124" t="n">
        <f aca="false">SUM(J$6:J16)</f>
        <v>0</v>
      </c>
      <c r="N16" s="124" t="n">
        <f aca="false">SUM(J$6:J16)</f>
        <v>0</v>
      </c>
      <c r="P16" s="124" t="n">
        <f aca="false">D16/P$3</f>
        <v>0</v>
      </c>
      <c r="Q16" s="124" t="n">
        <f aca="false">E16/P$3</f>
        <v>0</v>
      </c>
      <c r="R16" s="124" t="n">
        <f aca="false">F16/R$3</f>
        <v>0</v>
      </c>
      <c r="S16" s="126" t="n">
        <f aca="false">J16/$R$3</f>
        <v>0</v>
      </c>
      <c r="T16" s="126" t="n">
        <f aca="false">L16/$R$3</f>
        <v>0</v>
      </c>
      <c r="U16" s="126" t="n">
        <f aca="false">I16/$R$3</f>
        <v>0</v>
      </c>
      <c r="V16" s="126" t="n">
        <f aca="false">M16/$R$3</f>
        <v>0</v>
      </c>
      <c r="W16" s="126" t="n">
        <f aca="false">N16/$R$3</f>
        <v>0</v>
      </c>
    </row>
    <row r="17" customFormat="false" ht="12.75" hidden="false" customHeight="false" outlineLevel="0" collapsed="false">
      <c r="A17" s="120" t="n">
        <f aca="false">A16+1</f>
        <v>36903</v>
      </c>
      <c r="B17" s="131" t="str">
        <f aca="false">INDEX('[4]Master Data'!$A$2:$B$8,MATCH(WEEKDAY('CRD Hedge'!A17,3),'[4]Master Data'!$A$2:$A$8,0),2)</f>
        <v>F</v>
      </c>
      <c r="D17" s="124" t="n">
        <v>0</v>
      </c>
      <c r="E17" s="124" t="n">
        <v>0</v>
      </c>
      <c r="F17" s="124" t="n">
        <v>0</v>
      </c>
      <c r="G17" s="124" t="n">
        <v>0</v>
      </c>
      <c r="I17" s="124" t="n">
        <f aca="false">IF(MONTH($A17)=MONTH($A16),IF(G17=0,I16,G17),0)</f>
        <v>0</v>
      </c>
      <c r="J17" s="124" t="n">
        <f aca="false">IF(MONTH($A17)=MONTH($A16),SUM(I17-I16),I17)</f>
        <v>0</v>
      </c>
      <c r="K17" s="124" t="n">
        <f aca="false">IF(WEEKDAY(A17,3)&gt;4,0,(IF(A17&lt;K$2,0,IF(A17&lt;=K$3,1,0))))</f>
        <v>0</v>
      </c>
      <c r="L17" s="124" t="n">
        <f aca="false">J17*K17</f>
        <v>0</v>
      </c>
      <c r="M17" s="124" t="n">
        <f aca="false">SUM(J$6:J17)</f>
        <v>0</v>
      </c>
      <c r="N17" s="124" t="n">
        <f aca="false">SUM(J$6:J17)</f>
        <v>0</v>
      </c>
      <c r="P17" s="124" t="n">
        <f aca="false">D17/P$3</f>
        <v>0</v>
      </c>
      <c r="Q17" s="124" t="n">
        <f aca="false">E17/P$3</f>
        <v>0</v>
      </c>
      <c r="R17" s="124" t="n">
        <f aca="false">F17/R$3</f>
        <v>0</v>
      </c>
      <c r="S17" s="126" t="n">
        <f aca="false">J17/$R$3</f>
        <v>0</v>
      </c>
      <c r="T17" s="126" t="n">
        <f aca="false">L17/$R$3</f>
        <v>0</v>
      </c>
      <c r="U17" s="126" t="n">
        <f aca="false">I17/$R$3</f>
        <v>0</v>
      </c>
      <c r="V17" s="126" t="n">
        <f aca="false">M17/$R$3</f>
        <v>0</v>
      </c>
      <c r="W17" s="126" t="n">
        <f aca="false">N17/$R$3</f>
        <v>0</v>
      </c>
    </row>
    <row r="18" customFormat="false" ht="12.75" hidden="false" customHeight="false" outlineLevel="0" collapsed="false">
      <c r="A18" s="120" t="n">
        <f aca="false">A17+1</f>
        <v>36904</v>
      </c>
      <c r="B18" s="131" t="str">
        <f aca="false">INDEX('[4]Master Data'!$A$2:$B$8,MATCH(WEEKDAY('CRD Hedge'!A18,3),'[4]Master Data'!$A$2:$A$8,0),2)</f>
        <v>Sa</v>
      </c>
      <c r="D18" s="124" t="n">
        <v>0</v>
      </c>
      <c r="E18" s="124" t="n">
        <v>0</v>
      </c>
      <c r="F18" s="124" t="n">
        <v>0</v>
      </c>
      <c r="G18" s="124" t="n">
        <v>0</v>
      </c>
      <c r="I18" s="124" t="n">
        <f aca="false">IF(MONTH($A18)=MONTH($A17),IF(G18=0,I17,G18),0)</f>
        <v>0</v>
      </c>
      <c r="J18" s="124" t="n">
        <f aca="false">IF(MONTH($A18)=MONTH($A17),SUM(I18-I17),I18)</f>
        <v>0</v>
      </c>
      <c r="K18" s="124" t="n">
        <f aca="false">IF(WEEKDAY(A18,3)&gt;4,0,(IF(A18&lt;K$2,0,IF(A18&lt;=K$3,1,0))))</f>
        <v>0</v>
      </c>
      <c r="L18" s="124" t="n">
        <f aca="false">J18*K18</f>
        <v>0</v>
      </c>
      <c r="M18" s="124" t="n">
        <f aca="false">SUM(J$6:J18)</f>
        <v>0</v>
      </c>
      <c r="N18" s="124" t="n">
        <f aca="false">SUM(J$6:J18)</f>
        <v>0</v>
      </c>
      <c r="P18" s="124" t="n">
        <f aca="false">D18/P$3</f>
        <v>0</v>
      </c>
      <c r="Q18" s="124" t="n">
        <f aca="false">E18/P$3</f>
        <v>0</v>
      </c>
      <c r="R18" s="124" t="n">
        <f aca="false">F18/R$3</f>
        <v>0</v>
      </c>
      <c r="S18" s="126" t="n">
        <f aca="false">J18/$R$3</f>
        <v>0</v>
      </c>
      <c r="T18" s="126" t="n">
        <f aca="false">L18/$R$3</f>
        <v>0</v>
      </c>
      <c r="U18" s="126" t="n">
        <f aca="false">I18/$R$3</f>
        <v>0</v>
      </c>
      <c r="V18" s="126" t="n">
        <f aca="false">M18/$R$3</f>
        <v>0</v>
      </c>
      <c r="W18" s="126" t="n">
        <f aca="false">N18/$R$3</f>
        <v>0</v>
      </c>
    </row>
    <row r="19" customFormat="false" ht="12.75" hidden="false" customHeight="false" outlineLevel="0" collapsed="false">
      <c r="A19" s="120" t="n">
        <f aca="false">A18+1</f>
        <v>36905</v>
      </c>
      <c r="B19" s="131" t="str">
        <f aca="false">INDEX('[4]Master Data'!$A$2:$B$8,MATCH(WEEKDAY('CRD Hedge'!A19,3),'[4]Master Data'!$A$2:$A$8,0),2)</f>
        <v>Su</v>
      </c>
      <c r="D19" s="124" t="n">
        <v>0</v>
      </c>
      <c r="E19" s="124" t="n">
        <v>0</v>
      </c>
      <c r="F19" s="124" t="n">
        <v>0</v>
      </c>
      <c r="G19" s="124" t="n">
        <v>0</v>
      </c>
      <c r="I19" s="124" t="n">
        <f aca="false">IF(MONTH($A19)=MONTH($A18),IF(G19=0,I18,G19),0)</f>
        <v>0</v>
      </c>
      <c r="J19" s="124" t="n">
        <f aca="false">IF(MONTH($A19)=MONTH($A18),SUM(I19-I18),I19)</f>
        <v>0</v>
      </c>
      <c r="K19" s="124" t="n">
        <f aca="false">IF(WEEKDAY(A19,3)&gt;4,0,(IF(A19&lt;K$2,0,IF(A19&lt;=K$3,1,0))))</f>
        <v>0</v>
      </c>
      <c r="L19" s="124" t="n">
        <f aca="false">J19*K19</f>
        <v>0</v>
      </c>
      <c r="M19" s="124" t="n">
        <f aca="false">SUM(J$6:J19)</f>
        <v>0</v>
      </c>
      <c r="N19" s="124" t="n">
        <f aca="false">SUM(J$6:J19)</f>
        <v>0</v>
      </c>
      <c r="P19" s="124" t="n">
        <f aca="false">D19/P$3</f>
        <v>0</v>
      </c>
      <c r="Q19" s="124" t="n">
        <f aca="false">E19/P$3</f>
        <v>0</v>
      </c>
      <c r="R19" s="124" t="n">
        <f aca="false">F19/R$3</f>
        <v>0</v>
      </c>
      <c r="S19" s="126" t="n">
        <f aca="false">J19/$R$3</f>
        <v>0</v>
      </c>
      <c r="T19" s="126" t="n">
        <f aca="false">L19/$R$3</f>
        <v>0</v>
      </c>
      <c r="U19" s="126" t="n">
        <f aca="false">I19/$R$3</f>
        <v>0</v>
      </c>
      <c r="V19" s="126" t="n">
        <f aca="false">M19/$R$3</f>
        <v>0</v>
      </c>
      <c r="W19" s="126" t="n">
        <f aca="false">N19/$R$3</f>
        <v>0</v>
      </c>
    </row>
    <row r="20" customFormat="false" ht="12.75" hidden="false" customHeight="false" outlineLevel="0" collapsed="false">
      <c r="A20" s="120" t="n">
        <f aca="false">A19+1</f>
        <v>36906</v>
      </c>
      <c r="B20" s="131" t="str">
        <f aca="false">INDEX('[4]Master Data'!$A$2:$B$8,MATCH(WEEKDAY('CRD Hedge'!A20,3),'[4]Master Data'!$A$2:$A$8,0),2)</f>
        <v>M</v>
      </c>
      <c r="D20" s="124" t="n">
        <v>0</v>
      </c>
      <c r="E20" s="124" t="n">
        <v>0</v>
      </c>
      <c r="F20" s="124" t="n">
        <v>0</v>
      </c>
      <c r="G20" s="124" t="n">
        <v>0</v>
      </c>
      <c r="I20" s="124" t="n">
        <f aca="false">IF(MONTH($A20)=MONTH($A19),IF(G20=0,I19,G20),0)</f>
        <v>0</v>
      </c>
      <c r="J20" s="124" t="n">
        <f aca="false">IF(MONTH($A20)=MONTH($A19),SUM(I20-I19),I20)</f>
        <v>0</v>
      </c>
      <c r="K20" s="124" t="n">
        <f aca="false">IF(WEEKDAY(A20,3)&gt;4,0,(IF(A20&lt;K$2,0,IF(A20&lt;=K$3,1,0))))</f>
        <v>0</v>
      </c>
      <c r="L20" s="124" t="n">
        <f aca="false">J20*K20</f>
        <v>0</v>
      </c>
      <c r="M20" s="124" t="n">
        <f aca="false">SUM(J$6:J20)</f>
        <v>0</v>
      </c>
      <c r="N20" s="124" t="n">
        <f aca="false">SUM(J$6:J20)</f>
        <v>0</v>
      </c>
      <c r="P20" s="124" t="n">
        <f aca="false">D20/P$3</f>
        <v>0</v>
      </c>
      <c r="Q20" s="124" t="n">
        <f aca="false">E20/P$3</f>
        <v>0</v>
      </c>
      <c r="R20" s="124" t="n">
        <f aca="false">F20/R$3</f>
        <v>0</v>
      </c>
      <c r="S20" s="126" t="n">
        <f aca="false">J20/$R$3</f>
        <v>0</v>
      </c>
      <c r="T20" s="126" t="n">
        <f aca="false">L20/$R$3</f>
        <v>0</v>
      </c>
      <c r="U20" s="126" t="n">
        <f aca="false">I20/$R$3</f>
        <v>0</v>
      </c>
      <c r="V20" s="126" t="n">
        <f aca="false">M20/$R$3</f>
        <v>0</v>
      </c>
      <c r="W20" s="126" t="n">
        <f aca="false">N20/$R$3</f>
        <v>0</v>
      </c>
    </row>
    <row r="21" customFormat="false" ht="12.75" hidden="false" customHeight="false" outlineLevel="0" collapsed="false">
      <c r="A21" s="120" t="n">
        <f aca="false">A20+1</f>
        <v>36907</v>
      </c>
      <c r="B21" s="131" t="str">
        <f aca="false">INDEX('[4]Master Data'!$A$2:$B$8,MATCH(WEEKDAY('CRD Hedge'!A21,3),'[4]Master Data'!$A$2:$A$8,0),2)</f>
        <v>T</v>
      </c>
      <c r="D21" s="124" t="n">
        <v>0</v>
      </c>
      <c r="E21" s="124" t="n">
        <v>0</v>
      </c>
      <c r="F21" s="124" t="n">
        <v>0</v>
      </c>
      <c r="G21" s="124" t="n">
        <v>0</v>
      </c>
      <c r="I21" s="124" t="n">
        <f aca="false">IF(MONTH($A21)=MONTH($A20),IF(G21=0,I20,G21),0)</f>
        <v>0</v>
      </c>
      <c r="J21" s="124" t="n">
        <f aca="false">IF(MONTH($A21)=MONTH($A20),SUM(I21-I20),I21)</f>
        <v>0</v>
      </c>
      <c r="K21" s="124" t="n">
        <f aca="false">IF(WEEKDAY(A21,3)&gt;4,0,(IF(A21&lt;K$2,0,IF(A21&lt;=K$3,1,0))))</f>
        <v>0</v>
      </c>
      <c r="L21" s="124" t="n">
        <f aca="false">J21*K21</f>
        <v>0</v>
      </c>
      <c r="M21" s="124" t="n">
        <f aca="false">SUM(J$6:J21)</f>
        <v>0</v>
      </c>
      <c r="N21" s="124" t="n">
        <f aca="false">SUM(J$6:J21)</f>
        <v>0</v>
      </c>
      <c r="P21" s="124" t="n">
        <f aca="false">D21/P$3</f>
        <v>0</v>
      </c>
      <c r="Q21" s="124" t="n">
        <f aca="false">E21/P$3</f>
        <v>0</v>
      </c>
      <c r="R21" s="124" t="n">
        <f aca="false">F21/R$3</f>
        <v>0</v>
      </c>
      <c r="S21" s="126" t="n">
        <f aca="false">J21/$R$3</f>
        <v>0</v>
      </c>
      <c r="T21" s="126" t="n">
        <f aca="false">L21/$R$3</f>
        <v>0</v>
      </c>
      <c r="U21" s="126" t="n">
        <f aca="false">I21/$R$3</f>
        <v>0</v>
      </c>
      <c r="V21" s="126" t="n">
        <f aca="false">M21/$R$3</f>
        <v>0</v>
      </c>
      <c r="W21" s="126" t="n">
        <f aca="false">N21/$R$3</f>
        <v>0</v>
      </c>
    </row>
    <row r="22" customFormat="false" ht="12.75" hidden="false" customHeight="false" outlineLevel="0" collapsed="false">
      <c r="A22" s="120" t="n">
        <f aca="false">A21+1</f>
        <v>36908</v>
      </c>
      <c r="B22" s="131" t="str">
        <f aca="false">INDEX('[4]Master Data'!$A$2:$B$8,MATCH(WEEKDAY('CRD Hedge'!A22,3),'[4]Master Data'!$A$2:$A$8,0),2)</f>
        <v>W</v>
      </c>
      <c r="D22" s="124" t="n">
        <v>0</v>
      </c>
      <c r="E22" s="124" t="n">
        <v>0</v>
      </c>
      <c r="F22" s="124" t="n">
        <v>0</v>
      </c>
      <c r="G22" s="124" t="n">
        <v>0</v>
      </c>
      <c r="I22" s="124" t="n">
        <f aca="false">IF(MONTH($A22)=MONTH($A21),IF(G22=0,I21,G22),0)</f>
        <v>0</v>
      </c>
      <c r="J22" s="124" t="n">
        <f aca="false">IF(MONTH($A22)=MONTH($A21),SUM(I22-I21),I22)</f>
        <v>0</v>
      </c>
      <c r="K22" s="124" t="n">
        <f aca="false">IF(WEEKDAY(A22,3)&gt;4,0,(IF(A22&lt;K$2,0,IF(A22&lt;=K$3,1,0))))</f>
        <v>0</v>
      </c>
      <c r="L22" s="124" t="n">
        <f aca="false">J22*K22</f>
        <v>0</v>
      </c>
      <c r="M22" s="124" t="n">
        <f aca="false">SUM(J$6:J22)</f>
        <v>0</v>
      </c>
      <c r="N22" s="124" t="n">
        <f aca="false">SUM(J$6:J22)</f>
        <v>0</v>
      </c>
      <c r="P22" s="124" t="n">
        <f aca="false">D22/P$3</f>
        <v>0</v>
      </c>
      <c r="Q22" s="124" t="n">
        <f aca="false">E22/P$3</f>
        <v>0</v>
      </c>
      <c r="R22" s="124" t="n">
        <f aca="false">F22/R$3</f>
        <v>0</v>
      </c>
      <c r="S22" s="126" t="n">
        <f aca="false">J22/$R$3</f>
        <v>0</v>
      </c>
      <c r="T22" s="126" t="n">
        <f aca="false">L22/$R$3</f>
        <v>0</v>
      </c>
      <c r="U22" s="126" t="n">
        <f aca="false">I22/$R$3</f>
        <v>0</v>
      </c>
      <c r="V22" s="126" t="n">
        <f aca="false">M22/$R$3</f>
        <v>0</v>
      </c>
      <c r="W22" s="126" t="n">
        <f aca="false">N22/$R$3</f>
        <v>0</v>
      </c>
    </row>
    <row r="23" customFormat="false" ht="12.75" hidden="false" customHeight="false" outlineLevel="0" collapsed="false">
      <c r="A23" s="120" t="n">
        <f aca="false">A22+1</f>
        <v>36909</v>
      </c>
      <c r="B23" s="131" t="str">
        <f aca="false">INDEX('[4]Master Data'!$A$2:$B$8,MATCH(WEEKDAY('CRD Hedge'!A23,3),'[4]Master Data'!$A$2:$A$8,0),2)</f>
        <v>Th</v>
      </c>
      <c r="D23" s="124" t="n">
        <v>0</v>
      </c>
      <c r="E23" s="124" t="n">
        <v>0</v>
      </c>
      <c r="F23" s="124" t="n">
        <v>0</v>
      </c>
      <c r="G23" s="124" t="n">
        <v>0</v>
      </c>
      <c r="I23" s="124" t="n">
        <f aca="false">IF(MONTH($A23)=MONTH($A22),IF(G23=0,I22,G23),0)</f>
        <v>0</v>
      </c>
      <c r="J23" s="124" t="n">
        <f aca="false">IF(MONTH($A23)=MONTH($A22),SUM(I23-I22),I23)</f>
        <v>0</v>
      </c>
      <c r="K23" s="124" t="n">
        <f aca="false">IF(WEEKDAY(A23,3)&gt;4,0,(IF(A23&lt;K$2,0,IF(A23&lt;=K$3,1,0))))</f>
        <v>0</v>
      </c>
      <c r="L23" s="124" t="n">
        <f aca="false">J23*K23</f>
        <v>0</v>
      </c>
      <c r="M23" s="124" t="n">
        <f aca="false">SUM(J$6:J23)</f>
        <v>0</v>
      </c>
      <c r="N23" s="124" t="n">
        <f aca="false">SUM(J$6:J23)</f>
        <v>0</v>
      </c>
      <c r="P23" s="124" t="n">
        <f aca="false">D23/P$3</f>
        <v>0</v>
      </c>
      <c r="Q23" s="124" t="n">
        <f aca="false">E23/P$3</f>
        <v>0</v>
      </c>
      <c r="R23" s="124" t="n">
        <f aca="false">F23/R$3</f>
        <v>0</v>
      </c>
      <c r="S23" s="126" t="n">
        <f aca="false">J23/$R$3</f>
        <v>0</v>
      </c>
      <c r="T23" s="126" t="n">
        <f aca="false">L23/$R$3</f>
        <v>0</v>
      </c>
      <c r="U23" s="126" t="n">
        <f aca="false">I23/$R$3</f>
        <v>0</v>
      </c>
      <c r="V23" s="126" t="n">
        <f aca="false">M23/$R$3</f>
        <v>0</v>
      </c>
      <c r="W23" s="126" t="n">
        <f aca="false">N23/$R$3</f>
        <v>0</v>
      </c>
    </row>
    <row r="24" customFormat="false" ht="12.75" hidden="false" customHeight="false" outlineLevel="0" collapsed="false">
      <c r="A24" s="120" t="n">
        <f aca="false">A23+1</f>
        <v>36910</v>
      </c>
      <c r="B24" s="131" t="str">
        <f aca="false">INDEX('[4]Master Data'!$A$2:$B$8,MATCH(WEEKDAY('CRD Hedge'!A24,3),'[4]Master Data'!$A$2:$A$8,0),2)</f>
        <v>F</v>
      </c>
      <c r="D24" s="124" t="n">
        <v>0</v>
      </c>
      <c r="E24" s="124" t="n">
        <v>0</v>
      </c>
      <c r="F24" s="124" t="n">
        <v>0</v>
      </c>
      <c r="G24" s="124" t="n">
        <v>0</v>
      </c>
      <c r="I24" s="124" t="n">
        <f aca="false">IF(MONTH($A24)=MONTH($A23),IF(G24=0,I23,G24),0)</f>
        <v>0</v>
      </c>
      <c r="J24" s="124" t="n">
        <f aca="false">IF(MONTH($A24)=MONTH($A23),SUM(I24-I23),I24)</f>
        <v>0</v>
      </c>
      <c r="K24" s="124" t="n">
        <f aca="false">IF(WEEKDAY(A24,3)&gt;4,0,(IF(A24&lt;K$2,0,IF(A24&lt;=K$3,1,0))))</f>
        <v>0</v>
      </c>
      <c r="L24" s="124" t="n">
        <f aca="false">J24*K24</f>
        <v>0</v>
      </c>
      <c r="M24" s="124" t="n">
        <f aca="false">SUM(J$6:J24)</f>
        <v>0</v>
      </c>
      <c r="N24" s="124" t="n">
        <f aca="false">SUM(J$6:J24)</f>
        <v>0</v>
      </c>
      <c r="P24" s="124" t="n">
        <f aca="false">D24/P$3</f>
        <v>0</v>
      </c>
      <c r="Q24" s="124" t="n">
        <f aca="false">E24/P$3</f>
        <v>0</v>
      </c>
      <c r="R24" s="124" t="n">
        <f aca="false">F24/R$3</f>
        <v>0</v>
      </c>
      <c r="S24" s="126" t="n">
        <f aca="false">J24/$R$3</f>
        <v>0</v>
      </c>
      <c r="T24" s="126" t="n">
        <f aca="false">L24/$R$3</f>
        <v>0</v>
      </c>
      <c r="U24" s="126" t="n">
        <f aca="false">I24/$R$3</f>
        <v>0</v>
      </c>
      <c r="V24" s="126" t="n">
        <f aca="false">M24/$R$3</f>
        <v>0</v>
      </c>
      <c r="W24" s="126" t="n">
        <f aca="false">N24/$R$3</f>
        <v>0</v>
      </c>
    </row>
    <row r="25" customFormat="false" ht="12.75" hidden="false" customHeight="false" outlineLevel="0" collapsed="false">
      <c r="A25" s="120" t="n">
        <f aca="false">A24+1</f>
        <v>36911</v>
      </c>
      <c r="B25" s="131" t="str">
        <f aca="false">INDEX('[4]Master Data'!$A$2:$B$8,MATCH(WEEKDAY('CRD Hedge'!A25,3),'[4]Master Data'!$A$2:$A$8,0),2)</f>
        <v>Sa</v>
      </c>
      <c r="D25" s="124" t="n">
        <v>0</v>
      </c>
      <c r="E25" s="124" t="n">
        <v>0</v>
      </c>
      <c r="F25" s="124" t="n">
        <v>0</v>
      </c>
      <c r="G25" s="124" t="n">
        <v>0</v>
      </c>
      <c r="I25" s="124" t="n">
        <f aca="false">IF(MONTH($A25)=MONTH($A24),IF(G25=0,I24,G25),0)</f>
        <v>0</v>
      </c>
      <c r="J25" s="124" t="n">
        <f aca="false">IF(MONTH($A25)=MONTH($A24),SUM(I25-I24),I25)</f>
        <v>0</v>
      </c>
      <c r="K25" s="124" t="n">
        <f aca="false">IF(WEEKDAY(A25,3)&gt;4,0,(IF(A25&lt;K$2,0,IF(A25&lt;=K$3,1,0))))</f>
        <v>0</v>
      </c>
      <c r="L25" s="124" t="n">
        <f aca="false">J25*K25</f>
        <v>0</v>
      </c>
      <c r="M25" s="124" t="n">
        <f aca="false">SUM(J$6:J25)</f>
        <v>0</v>
      </c>
      <c r="N25" s="124" t="n">
        <f aca="false">SUM(J$6:J25)</f>
        <v>0</v>
      </c>
      <c r="P25" s="124" t="n">
        <f aca="false">D25/P$3</f>
        <v>0</v>
      </c>
      <c r="Q25" s="124" t="n">
        <f aca="false">E25/P$3</f>
        <v>0</v>
      </c>
      <c r="R25" s="124" t="n">
        <f aca="false">F25/R$3</f>
        <v>0</v>
      </c>
      <c r="S25" s="126" t="n">
        <f aca="false">J25/$R$3</f>
        <v>0</v>
      </c>
      <c r="T25" s="126" t="n">
        <f aca="false">L25/$R$3</f>
        <v>0</v>
      </c>
      <c r="U25" s="126" t="n">
        <f aca="false">I25/$R$3</f>
        <v>0</v>
      </c>
      <c r="V25" s="126" t="n">
        <f aca="false">M25/$R$3</f>
        <v>0</v>
      </c>
      <c r="W25" s="126" t="n">
        <f aca="false">N25/$R$3</f>
        <v>0</v>
      </c>
    </row>
    <row r="26" customFormat="false" ht="12.75" hidden="false" customHeight="false" outlineLevel="0" collapsed="false">
      <c r="A26" s="120" t="n">
        <f aca="false">A25+1</f>
        <v>36912</v>
      </c>
      <c r="B26" s="131" t="str">
        <f aca="false">INDEX('[4]Master Data'!$A$2:$B$8,MATCH(WEEKDAY('CRD Hedge'!A26,3),'[4]Master Data'!$A$2:$A$8,0),2)</f>
        <v>Su</v>
      </c>
      <c r="D26" s="124" t="n">
        <v>0</v>
      </c>
      <c r="E26" s="124" t="n">
        <v>0</v>
      </c>
      <c r="F26" s="124" t="n">
        <v>0</v>
      </c>
      <c r="G26" s="124" t="n">
        <v>0</v>
      </c>
      <c r="I26" s="124" t="n">
        <f aca="false">IF(MONTH($A26)=MONTH($A25),IF(G26=0,I25,G26),0)</f>
        <v>0</v>
      </c>
      <c r="J26" s="124" t="n">
        <f aca="false">IF(MONTH($A26)=MONTH($A25),SUM(I26-I25),I26)</f>
        <v>0</v>
      </c>
      <c r="K26" s="124" t="n">
        <f aca="false">IF(WEEKDAY(A26,3)&gt;4,0,(IF(A26&lt;K$2,0,IF(A26&lt;=K$3,1,0))))</f>
        <v>0</v>
      </c>
      <c r="L26" s="124" t="n">
        <f aca="false">J26*K26</f>
        <v>0</v>
      </c>
      <c r="M26" s="124" t="n">
        <f aca="false">SUM(J$6:J26)</f>
        <v>0</v>
      </c>
      <c r="N26" s="124" t="n">
        <f aca="false">SUM(J$6:J26)</f>
        <v>0</v>
      </c>
      <c r="P26" s="124" t="n">
        <f aca="false">D26/P$3</f>
        <v>0</v>
      </c>
      <c r="Q26" s="124" t="n">
        <f aca="false">E26/P$3</f>
        <v>0</v>
      </c>
      <c r="R26" s="124" t="n">
        <f aca="false">F26/R$3</f>
        <v>0</v>
      </c>
      <c r="S26" s="126" t="n">
        <f aca="false">J26/$R$3</f>
        <v>0</v>
      </c>
      <c r="T26" s="126" t="n">
        <f aca="false">L26/$R$3</f>
        <v>0</v>
      </c>
      <c r="U26" s="126" t="n">
        <f aca="false">I26/$R$3</f>
        <v>0</v>
      </c>
      <c r="V26" s="126" t="n">
        <f aca="false">M26/$R$3</f>
        <v>0</v>
      </c>
      <c r="W26" s="126" t="n">
        <f aca="false">N26/$R$3</f>
        <v>0</v>
      </c>
    </row>
    <row r="27" customFormat="false" ht="12.75" hidden="false" customHeight="false" outlineLevel="0" collapsed="false">
      <c r="A27" s="120" t="n">
        <f aca="false">A26+1</f>
        <v>36913</v>
      </c>
      <c r="B27" s="131" t="str">
        <f aca="false">INDEX('[4]Master Data'!$A$2:$B$8,MATCH(WEEKDAY('CRD Hedge'!A27,3),'[4]Master Data'!$A$2:$A$8,0),2)</f>
        <v>M</v>
      </c>
      <c r="D27" s="124" t="n">
        <v>0</v>
      </c>
      <c r="E27" s="124" t="n">
        <v>0</v>
      </c>
      <c r="F27" s="124" t="n">
        <v>0</v>
      </c>
      <c r="G27" s="124" t="n">
        <v>0</v>
      </c>
      <c r="I27" s="124" t="n">
        <f aca="false">IF(MONTH($A27)=MONTH($A26),IF(G27=0,I26,G27),0)</f>
        <v>0</v>
      </c>
      <c r="J27" s="124" t="n">
        <f aca="false">IF(MONTH($A27)=MONTH($A26),SUM(I27-I26),I27)</f>
        <v>0</v>
      </c>
      <c r="K27" s="124" t="n">
        <f aca="false">IF(WEEKDAY(A27,3)&gt;4,0,(IF(A27&lt;K$2,0,IF(A27&lt;=K$3,1,0))))</f>
        <v>0</v>
      </c>
      <c r="L27" s="124" t="n">
        <f aca="false">J27*K27</f>
        <v>0</v>
      </c>
      <c r="M27" s="124" t="n">
        <f aca="false">SUM(J$6:J27)</f>
        <v>0</v>
      </c>
      <c r="N27" s="124" t="n">
        <f aca="false">SUM(J$6:J27)</f>
        <v>0</v>
      </c>
      <c r="P27" s="124" t="n">
        <f aca="false">D27/P$3</f>
        <v>0</v>
      </c>
      <c r="Q27" s="124" t="n">
        <f aca="false">E27/P$3</f>
        <v>0</v>
      </c>
      <c r="R27" s="124" t="n">
        <f aca="false">F27/R$3</f>
        <v>0</v>
      </c>
      <c r="S27" s="126" t="n">
        <f aca="false">J27/$R$3</f>
        <v>0</v>
      </c>
      <c r="T27" s="126" t="n">
        <f aca="false">L27/$R$3</f>
        <v>0</v>
      </c>
      <c r="U27" s="126" t="n">
        <f aca="false">I27/$R$3</f>
        <v>0</v>
      </c>
      <c r="V27" s="126" t="n">
        <f aca="false">M27/$R$3</f>
        <v>0</v>
      </c>
      <c r="W27" s="126" t="n">
        <f aca="false">N27/$R$3</f>
        <v>0</v>
      </c>
    </row>
    <row r="28" customFormat="false" ht="12.75" hidden="false" customHeight="false" outlineLevel="0" collapsed="false">
      <c r="A28" s="120" t="n">
        <f aca="false">A27+1</f>
        <v>36914</v>
      </c>
      <c r="B28" s="131" t="str">
        <f aca="false">INDEX('[4]Master Data'!$A$2:$B$8,MATCH(WEEKDAY('CRD Hedge'!A28,3),'[4]Master Data'!$A$2:$A$8,0),2)</f>
        <v>T</v>
      </c>
      <c r="D28" s="124" t="n">
        <v>0</v>
      </c>
      <c r="E28" s="124" t="n">
        <v>0</v>
      </c>
      <c r="F28" s="124" t="n">
        <v>0</v>
      </c>
      <c r="G28" s="124" t="n">
        <v>0</v>
      </c>
      <c r="I28" s="124" t="n">
        <f aca="false">IF(MONTH($A28)=MONTH($A27),IF(G28=0,I27,G28),0)</f>
        <v>0</v>
      </c>
      <c r="J28" s="124" t="n">
        <f aca="false">IF(MONTH($A28)=MONTH($A27),SUM(I28-I27),I28)</f>
        <v>0</v>
      </c>
      <c r="K28" s="124" t="n">
        <f aca="false">IF(WEEKDAY(A28,3)&gt;4,0,(IF(A28&lt;K$2,0,IF(A28&lt;=K$3,1,0))))</f>
        <v>0</v>
      </c>
      <c r="L28" s="124" t="n">
        <f aca="false">J28*K28</f>
        <v>0</v>
      </c>
      <c r="M28" s="124" t="n">
        <f aca="false">SUM(J$6:J28)</f>
        <v>0</v>
      </c>
      <c r="N28" s="124" t="n">
        <f aca="false">SUM(J$6:J28)</f>
        <v>0</v>
      </c>
      <c r="P28" s="124" t="n">
        <f aca="false">D28/P$3</f>
        <v>0</v>
      </c>
      <c r="Q28" s="124" t="n">
        <f aca="false">E28/P$3</f>
        <v>0</v>
      </c>
      <c r="R28" s="124" t="n">
        <f aca="false">F28/R$3</f>
        <v>0</v>
      </c>
      <c r="S28" s="126" t="n">
        <f aca="false">J28/$R$3</f>
        <v>0</v>
      </c>
      <c r="T28" s="126" t="n">
        <f aca="false">L28/$R$3</f>
        <v>0</v>
      </c>
      <c r="U28" s="126" t="n">
        <f aca="false">I28/$R$3</f>
        <v>0</v>
      </c>
      <c r="V28" s="126" t="n">
        <f aca="false">M28/$R$3</f>
        <v>0</v>
      </c>
      <c r="W28" s="126" t="n">
        <f aca="false">N28/$R$3</f>
        <v>0</v>
      </c>
    </row>
    <row r="29" customFormat="false" ht="12.75" hidden="false" customHeight="false" outlineLevel="0" collapsed="false">
      <c r="A29" s="120" t="n">
        <f aca="false">A28+1</f>
        <v>36915</v>
      </c>
      <c r="B29" s="131" t="str">
        <f aca="false">INDEX('[4]Master Data'!$A$2:$B$8,MATCH(WEEKDAY('CRD Hedge'!A29,3),'[4]Master Data'!$A$2:$A$8,0),2)</f>
        <v>W</v>
      </c>
      <c r="D29" s="124" t="n">
        <v>0</v>
      </c>
      <c r="E29" s="124" t="n">
        <v>0</v>
      </c>
      <c r="F29" s="124" t="n">
        <v>0</v>
      </c>
      <c r="G29" s="124" t="n">
        <v>0</v>
      </c>
      <c r="I29" s="124" t="n">
        <f aca="false">IF(MONTH($A29)=MONTH($A28),IF(G29=0,I28,G29),0)</f>
        <v>0</v>
      </c>
      <c r="J29" s="124" t="n">
        <f aca="false">IF(MONTH($A29)=MONTH($A28),SUM(I29-I28),I29)</f>
        <v>0</v>
      </c>
      <c r="K29" s="124" t="n">
        <f aca="false">IF(WEEKDAY(A29,3)&gt;4,0,(IF(A29&lt;K$2,0,IF(A29&lt;=K$3,1,0))))</f>
        <v>0</v>
      </c>
      <c r="L29" s="124" t="n">
        <f aca="false">J29*K29</f>
        <v>0</v>
      </c>
      <c r="M29" s="124" t="n">
        <f aca="false">SUM(J$6:J29)</f>
        <v>0</v>
      </c>
      <c r="N29" s="124" t="n">
        <f aca="false">SUM(J$6:J29)</f>
        <v>0</v>
      </c>
      <c r="P29" s="124" t="n">
        <f aca="false">D29/P$3</f>
        <v>0</v>
      </c>
      <c r="Q29" s="124" t="n">
        <f aca="false">E29/P$3</f>
        <v>0</v>
      </c>
      <c r="R29" s="124" t="n">
        <f aca="false">F29/R$3</f>
        <v>0</v>
      </c>
      <c r="S29" s="126" t="n">
        <f aca="false">J29/$R$3</f>
        <v>0</v>
      </c>
      <c r="T29" s="126" t="n">
        <f aca="false">L29/$R$3</f>
        <v>0</v>
      </c>
      <c r="U29" s="126" t="n">
        <f aca="false">I29/$R$3</f>
        <v>0</v>
      </c>
      <c r="V29" s="126" t="n">
        <f aca="false">M29/$R$3</f>
        <v>0</v>
      </c>
      <c r="W29" s="126" t="n">
        <f aca="false">N29/$R$3</f>
        <v>0</v>
      </c>
    </row>
    <row r="30" customFormat="false" ht="12.75" hidden="false" customHeight="false" outlineLevel="0" collapsed="false">
      <c r="A30" s="120" t="n">
        <f aca="false">A29+1</f>
        <v>36916</v>
      </c>
      <c r="B30" s="131" t="str">
        <f aca="false">INDEX('[4]Master Data'!$A$2:$B$8,MATCH(WEEKDAY('CRD Hedge'!A30,3),'[4]Master Data'!$A$2:$A$8,0),2)</f>
        <v>Th</v>
      </c>
      <c r="D30" s="124" t="n">
        <v>0</v>
      </c>
      <c r="E30" s="124" t="n">
        <v>0</v>
      </c>
      <c r="F30" s="124" t="n">
        <v>0</v>
      </c>
      <c r="G30" s="124" t="n">
        <v>0</v>
      </c>
      <c r="I30" s="124" t="n">
        <f aca="false">IF(MONTH($A30)=MONTH($A29),IF(G30=0,I29,G30),0)</f>
        <v>0</v>
      </c>
      <c r="J30" s="124" t="n">
        <f aca="false">IF(MONTH($A30)=MONTH($A29),SUM(I30-I29),I30)</f>
        <v>0</v>
      </c>
      <c r="K30" s="124" t="n">
        <f aca="false">IF(WEEKDAY(A30,3)&gt;4,0,(IF(A30&lt;K$2,0,IF(A30&lt;=K$3,1,0))))</f>
        <v>0</v>
      </c>
      <c r="L30" s="124" t="n">
        <f aca="false">J30*K30</f>
        <v>0</v>
      </c>
      <c r="M30" s="124" t="n">
        <f aca="false">SUM(J$6:J30)</f>
        <v>0</v>
      </c>
      <c r="N30" s="124" t="n">
        <f aca="false">SUM(J$6:J30)</f>
        <v>0</v>
      </c>
      <c r="P30" s="124" t="n">
        <f aca="false">D30/P$3</f>
        <v>0</v>
      </c>
      <c r="Q30" s="124" t="n">
        <f aca="false">E30/P$3</f>
        <v>0</v>
      </c>
      <c r="R30" s="124" t="n">
        <f aca="false">F30/R$3</f>
        <v>0</v>
      </c>
      <c r="S30" s="126" t="n">
        <f aca="false">J30/$R$3</f>
        <v>0</v>
      </c>
      <c r="T30" s="126" t="n">
        <f aca="false">L30/$R$3</f>
        <v>0</v>
      </c>
      <c r="U30" s="126" t="n">
        <f aca="false">I30/$R$3</f>
        <v>0</v>
      </c>
      <c r="V30" s="126" t="n">
        <f aca="false">M30/$R$3</f>
        <v>0</v>
      </c>
      <c r="W30" s="126" t="n">
        <f aca="false">N30/$R$3</f>
        <v>0</v>
      </c>
    </row>
    <row r="31" customFormat="false" ht="12.75" hidden="false" customHeight="false" outlineLevel="0" collapsed="false">
      <c r="A31" s="120" t="n">
        <f aca="false">A30+1</f>
        <v>36917</v>
      </c>
      <c r="B31" s="131" t="str">
        <f aca="false">INDEX('[4]Master Data'!$A$2:$B$8,MATCH(WEEKDAY('CRD Hedge'!A31,3),'[4]Master Data'!$A$2:$A$8,0),2)</f>
        <v>F</v>
      </c>
      <c r="D31" s="124" t="n">
        <v>0</v>
      </c>
      <c r="E31" s="124" t="n">
        <v>0</v>
      </c>
      <c r="F31" s="124" t="n">
        <v>0</v>
      </c>
      <c r="G31" s="124" t="n">
        <v>0</v>
      </c>
      <c r="I31" s="124" t="n">
        <f aca="false">IF(MONTH($A31)=MONTH($A30),IF(G31=0,I30,G31),0)</f>
        <v>0</v>
      </c>
      <c r="J31" s="124" t="n">
        <f aca="false">IF(MONTH($A31)=MONTH($A30),SUM(I31-I30),I31)</f>
        <v>0</v>
      </c>
      <c r="K31" s="124" t="n">
        <f aca="false">IF(WEEKDAY(A31,3)&gt;4,0,(IF(A31&lt;K$2,0,IF(A31&lt;=K$3,1,0))))</f>
        <v>0</v>
      </c>
      <c r="L31" s="124" t="n">
        <f aca="false">J31*K31</f>
        <v>0</v>
      </c>
      <c r="M31" s="124" t="n">
        <f aca="false">SUM(J$6:J31)</f>
        <v>0</v>
      </c>
      <c r="N31" s="124" t="n">
        <f aca="false">SUM(J$6:J31)</f>
        <v>0</v>
      </c>
      <c r="P31" s="124" t="n">
        <f aca="false">D31/P$3</f>
        <v>0</v>
      </c>
      <c r="Q31" s="124" t="n">
        <f aca="false">E31/P$3</f>
        <v>0</v>
      </c>
      <c r="R31" s="124" t="n">
        <f aca="false">F31/R$3</f>
        <v>0</v>
      </c>
      <c r="S31" s="126" t="n">
        <f aca="false">J31/$R$3</f>
        <v>0</v>
      </c>
      <c r="T31" s="126" t="n">
        <f aca="false">L31/$R$3</f>
        <v>0</v>
      </c>
      <c r="U31" s="126" t="n">
        <f aca="false">I31/$R$3</f>
        <v>0</v>
      </c>
      <c r="V31" s="126" t="n">
        <f aca="false">M31/$R$3</f>
        <v>0</v>
      </c>
      <c r="W31" s="126" t="n">
        <f aca="false">N31/$R$3</f>
        <v>0</v>
      </c>
    </row>
    <row r="32" customFormat="false" ht="12.75" hidden="false" customHeight="false" outlineLevel="0" collapsed="false">
      <c r="A32" s="120" t="n">
        <f aca="false">A31+1</f>
        <v>36918</v>
      </c>
      <c r="B32" s="131" t="str">
        <f aca="false">INDEX('[4]Master Data'!$A$2:$B$8,MATCH(WEEKDAY('CRD Hedge'!A32,3),'[4]Master Data'!$A$2:$A$8,0),2)</f>
        <v>Sa</v>
      </c>
      <c r="D32" s="124" t="n">
        <v>0</v>
      </c>
      <c r="E32" s="124" t="n">
        <v>0</v>
      </c>
      <c r="F32" s="124" t="n">
        <v>0</v>
      </c>
      <c r="G32" s="124" t="n">
        <v>0</v>
      </c>
      <c r="I32" s="124" t="n">
        <f aca="false">IF(MONTH($A32)=MONTH($A31),IF(G32=0,I31,G32),0)</f>
        <v>0</v>
      </c>
      <c r="J32" s="124" t="n">
        <f aca="false">IF(MONTH($A32)=MONTH($A31),SUM(I32-I31),I32)</f>
        <v>0</v>
      </c>
      <c r="K32" s="124" t="n">
        <f aca="false">IF(WEEKDAY(A32,3)&gt;4,0,(IF(A32&lt;K$2,0,IF(A32&lt;=K$3,1,0))))</f>
        <v>0</v>
      </c>
      <c r="L32" s="124" t="n">
        <f aca="false">J32*K32</f>
        <v>0</v>
      </c>
      <c r="M32" s="124" t="n">
        <f aca="false">SUM(J$6:J32)</f>
        <v>0</v>
      </c>
      <c r="N32" s="124" t="n">
        <f aca="false">SUM(J$6:J32)</f>
        <v>0</v>
      </c>
      <c r="P32" s="124" t="n">
        <f aca="false">D32/P$3</f>
        <v>0</v>
      </c>
      <c r="Q32" s="124" t="n">
        <f aca="false">E32/P$3</f>
        <v>0</v>
      </c>
      <c r="R32" s="124" t="n">
        <f aca="false">F32/R$3</f>
        <v>0</v>
      </c>
      <c r="S32" s="126" t="n">
        <f aca="false">J32/$R$3</f>
        <v>0</v>
      </c>
      <c r="T32" s="126" t="n">
        <f aca="false">L32/$R$3</f>
        <v>0</v>
      </c>
      <c r="U32" s="126" t="n">
        <f aca="false">I32/$R$3</f>
        <v>0</v>
      </c>
      <c r="V32" s="126" t="n">
        <f aca="false">M32/$R$3</f>
        <v>0</v>
      </c>
      <c r="W32" s="126" t="n">
        <f aca="false">N32/$R$3</f>
        <v>0</v>
      </c>
    </row>
    <row r="33" customFormat="false" ht="12.75" hidden="false" customHeight="false" outlineLevel="0" collapsed="false">
      <c r="A33" s="120" t="n">
        <f aca="false">A32+1</f>
        <v>36919</v>
      </c>
      <c r="B33" s="131" t="str">
        <f aca="false">INDEX('[4]Master Data'!$A$2:$B$8,MATCH(WEEKDAY('CRD Hedge'!A33,3),'[4]Master Data'!$A$2:$A$8,0),2)</f>
        <v>Su</v>
      </c>
      <c r="D33" s="124" t="n">
        <v>0</v>
      </c>
      <c r="E33" s="124" t="n">
        <v>0</v>
      </c>
      <c r="F33" s="124" t="n">
        <v>0</v>
      </c>
      <c r="G33" s="124" t="n">
        <v>0</v>
      </c>
      <c r="I33" s="124" t="n">
        <f aca="false">IF(MONTH($A33)=MONTH($A32),IF(G33=0,I32,G33),0)</f>
        <v>0</v>
      </c>
      <c r="J33" s="124" t="n">
        <f aca="false">IF(MONTH($A33)=MONTH($A32),SUM(I33-I32),I33)</f>
        <v>0</v>
      </c>
      <c r="K33" s="124" t="n">
        <f aca="false">IF(WEEKDAY(A33,3)&gt;4,0,(IF(A33&lt;K$2,0,IF(A33&lt;=K$3,1,0))))</f>
        <v>0</v>
      </c>
      <c r="L33" s="124" t="n">
        <f aca="false">J33*K33</f>
        <v>0</v>
      </c>
      <c r="M33" s="124" t="n">
        <f aca="false">SUM(J$6:J33)</f>
        <v>0</v>
      </c>
      <c r="N33" s="124" t="n">
        <f aca="false">SUM(J$6:J33)</f>
        <v>0</v>
      </c>
      <c r="P33" s="124" t="n">
        <f aca="false">D33/P$3</f>
        <v>0</v>
      </c>
      <c r="Q33" s="124" t="n">
        <f aca="false">E33/P$3</f>
        <v>0</v>
      </c>
      <c r="R33" s="124" t="n">
        <f aca="false">F33/R$3</f>
        <v>0</v>
      </c>
      <c r="S33" s="126" t="n">
        <f aca="false">J33/$R$3</f>
        <v>0</v>
      </c>
      <c r="T33" s="126" t="n">
        <f aca="false">L33/$R$3</f>
        <v>0</v>
      </c>
      <c r="U33" s="126" t="n">
        <f aca="false">I33/$R$3</f>
        <v>0</v>
      </c>
      <c r="V33" s="126" t="n">
        <f aca="false">M33/$R$3</f>
        <v>0</v>
      </c>
      <c r="W33" s="126" t="n">
        <f aca="false">N33/$R$3</f>
        <v>0</v>
      </c>
    </row>
    <row r="34" customFormat="false" ht="12.75" hidden="false" customHeight="false" outlineLevel="0" collapsed="false">
      <c r="A34" s="120" t="n">
        <f aca="false">A33+1</f>
        <v>36920</v>
      </c>
      <c r="B34" s="131" t="str">
        <f aca="false">INDEX('[4]Master Data'!$A$2:$B$8,MATCH(WEEKDAY('CRD Hedge'!A34,3),'[4]Master Data'!$A$2:$A$8,0),2)</f>
        <v>M</v>
      </c>
      <c r="D34" s="124" t="n">
        <v>0</v>
      </c>
      <c r="E34" s="124" t="n">
        <v>0</v>
      </c>
      <c r="F34" s="124" t="n">
        <v>0</v>
      </c>
      <c r="G34" s="124" t="n">
        <v>0</v>
      </c>
      <c r="I34" s="124" t="n">
        <f aca="false">IF(MONTH($A34)=MONTH($A33),IF(G34=0,I33,G34),0)</f>
        <v>0</v>
      </c>
      <c r="J34" s="124" t="n">
        <f aca="false">IF(MONTH($A34)=MONTH($A33),SUM(I34-I33),I34)</f>
        <v>0</v>
      </c>
      <c r="K34" s="124" t="n">
        <f aca="false">IF(WEEKDAY(A34,3)&gt;4,0,(IF(A34&lt;K$2,0,IF(A34&lt;=K$3,1,0))))</f>
        <v>0</v>
      </c>
      <c r="L34" s="124" t="n">
        <f aca="false">J34*K34</f>
        <v>0</v>
      </c>
      <c r="M34" s="124" t="n">
        <f aca="false">SUM(J$6:J34)</f>
        <v>0</v>
      </c>
      <c r="N34" s="124" t="n">
        <f aca="false">SUM(J$6:J34)</f>
        <v>0</v>
      </c>
      <c r="P34" s="124" t="n">
        <f aca="false">D34/P$3</f>
        <v>0</v>
      </c>
      <c r="Q34" s="124" t="n">
        <f aca="false">E34/P$3</f>
        <v>0</v>
      </c>
      <c r="R34" s="124" t="n">
        <f aca="false">F34/R$3</f>
        <v>0</v>
      </c>
      <c r="S34" s="126" t="n">
        <f aca="false">J34/$R$3</f>
        <v>0</v>
      </c>
      <c r="T34" s="126" t="n">
        <f aca="false">L34/$R$3</f>
        <v>0</v>
      </c>
      <c r="U34" s="126" t="n">
        <f aca="false">I34/$R$3</f>
        <v>0</v>
      </c>
      <c r="V34" s="126" t="n">
        <f aca="false">M34/$R$3</f>
        <v>0</v>
      </c>
      <c r="W34" s="126" t="n">
        <f aca="false">N34/$R$3</f>
        <v>0</v>
      </c>
    </row>
    <row r="35" customFormat="false" ht="12.75" hidden="false" customHeight="false" outlineLevel="0" collapsed="false">
      <c r="A35" s="120" t="n">
        <f aca="false">A34+1</f>
        <v>36921</v>
      </c>
      <c r="B35" s="131" t="str">
        <f aca="false">INDEX('[4]Master Data'!$A$2:$B$8,MATCH(WEEKDAY('CRD Hedge'!A35,3),'[4]Master Data'!$A$2:$A$8,0),2)</f>
        <v>T</v>
      </c>
      <c r="D35" s="124" t="n">
        <v>0</v>
      </c>
      <c r="E35" s="124" t="n">
        <v>0</v>
      </c>
      <c r="F35" s="124" t="n">
        <v>0</v>
      </c>
      <c r="G35" s="124" t="n">
        <v>0</v>
      </c>
      <c r="I35" s="124" t="n">
        <f aca="false">IF(MONTH($A35)=MONTH($A34),IF(G35=0,I34,G35),0)</f>
        <v>0</v>
      </c>
      <c r="J35" s="124" t="n">
        <f aca="false">IF(MONTH($A35)=MONTH($A34),SUM(I35-I34),I35)</f>
        <v>0</v>
      </c>
      <c r="K35" s="124" t="n">
        <f aca="false">IF(WEEKDAY(A35,3)&gt;4,0,(IF(A35&lt;K$2,0,IF(A35&lt;=K$3,1,0))))</f>
        <v>0</v>
      </c>
      <c r="L35" s="124" t="n">
        <f aca="false">J35*K35</f>
        <v>0</v>
      </c>
      <c r="M35" s="124" t="n">
        <f aca="false">SUM(J$6:J35)</f>
        <v>0</v>
      </c>
      <c r="N35" s="124" t="n">
        <f aca="false">SUM(J$6:J35)</f>
        <v>0</v>
      </c>
      <c r="P35" s="124" t="n">
        <f aca="false">D35/P$3</f>
        <v>0</v>
      </c>
      <c r="Q35" s="124" t="n">
        <f aca="false">E35/P$3</f>
        <v>0</v>
      </c>
      <c r="R35" s="124" t="n">
        <f aca="false">F35/R$3</f>
        <v>0</v>
      </c>
      <c r="S35" s="126" t="n">
        <f aca="false">J35/$R$3</f>
        <v>0</v>
      </c>
      <c r="T35" s="126" t="n">
        <f aca="false">L35/$R$3</f>
        <v>0</v>
      </c>
      <c r="U35" s="126" t="n">
        <f aca="false">I35/$R$3</f>
        <v>0</v>
      </c>
      <c r="V35" s="126" t="n">
        <f aca="false">M35/$R$3</f>
        <v>0</v>
      </c>
      <c r="W35" s="126" t="n">
        <f aca="false">N35/$R$3</f>
        <v>0</v>
      </c>
    </row>
    <row r="36" customFormat="false" ht="12.75" hidden="false" customHeight="false" outlineLevel="0" collapsed="false">
      <c r="A36" s="120" t="n">
        <f aca="false">A35+1</f>
        <v>36922</v>
      </c>
      <c r="B36" s="131" t="str">
        <f aca="false">INDEX('[4]Master Data'!$A$2:$B$8,MATCH(WEEKDAY('CRD Hedge'!A36,3),'[4]Master Data'!$A$2:$A$8,0),2)</f>
        <v>W</v>
      </c>
      <c r="D36" s="124" t="n">
        <v>0</v>
      </c>
      <c r="E36" s="124" t="n">
        <v>0</v>
      </c>
      <c r="F36" s="124" t="n">
        <v>0</v>
      </c>
      <c r="G36" s="124" t="n">
        <v>0</v>
      </c>
      <c r="I36" s="124" t="n">
        <f aca="false">IF(MONTH($A36)=MONTH($A35),IF(G36=0,I35,G36),0)</f>
        <v>0</v>
      </c>
      <c r="J36" s="124" t="n">
        <f aca="false">IF(MONTH($A36)=MONTH($A35),SUM(I36-I35),I36)</f>
        <v>0</v>
      </c>
      <c r="K36" s="124" t="n">
        <f aca="false">IF(WEEKDAY(A36,3)&gt;4,0,(IF(A36&lt;K$2,0,IF(A36&lt;=K$3,1,0))))</f>
        <v>0</v>
      </c>
      <c r="L36" s="124" t="n">
        <f aca="false">J36*K36</f>
        <v>0</v>
      </c>
      <c r="M36" s="124" t="n">
        <f aca="false">SUM(J$6:J36)</f>
        <v>0</v>
      </c>
      <c r="N36" s="124" t="n">
        <f aca="false">SUM(J$6:J36)</f>
        <v>0</v>
      </c>
      <c r="P36" s="148" t="n">
        <f aca="false">D36/P$3</f>
        <v>0</v>
      </c>
      <c r="Q36" s="124" t="n">
        <f aca="false">E36/P$3</f>
        <v>0</v>
      </c>
      <c r="R36" s="124" t="n">
        <f aca="false">F36/R$3</f>
        <v>0</v>
      </c>
      <c r="S36" s="126" t="n">
        <f aca="false">J36/$R$3</f>
        <v>0</v>
      </c>
      <c r="T36" s="126" t="n">
        <f aca="false">L36/$R$3</f>
        <v>0</v>
      </c>
      <c r="U36" s="126" t="n">
        <f aca="false">I36/$R$3</f>
        <v>0</v>
      </c>
      <c r="V36" s="126" t="n">
        <f aca="false">M36/$R$3</f>
        <v>0</v>
      </c>
      <c r="W36" s="126" t="n">
        <f aca="false">N36/$R$3</f>
        <v>0</v>
      </c>
    </row>
    <row r="37" customFormat="false" ht="12.75" hidden="false" customHeight="false" outlineLevel="0" collapsed="false">
      <c r="A37" s="120" t="n">
        <f aca="false">A36+1</f>
        <v>36923</v>
      </c>
      <c r="B37" s="131" t="str">
        <f aca="false">INDEX('[4]Master Data'!$A$2:$B$8,MATCH(WEEKDAY('CRD Hedge'!A37,3),'[4]Master Data'!$A$2:$A$8,0),2)</f>
        <v>Th</v>
      </c>
      <c r="D37" s="124" t="n">
        <v>0</v>
      </c>
      <c r="E37" s="124" t="n">
        <v>0</v>
      </c>
      <c r="F37" s="124" t="n">
        <v>0</v>
      </c>
      <c r="G37" s="124" t="n">
        <v>0</v>
      </c>
      <c r="I37" s="124" t="n">
        <f aca="false">IF(MONTH($A37)=MONTH($A36),IF(G37=0,I36,G37),G37)</f>
        <v>0</v>
      </c>
      <c r="J37" s="124" t="n">
        <f aca="false">IF(MONTH($A37)=MONTH($A36),SUM(I37-I36),I37)</f>
        <v>0</v>
      </c>
      <c r="K37" s="124" t="n">
        <f aca="false">IF(WEEKDAY(A37,3)&gt;4,0,(IF(A37&lt;K$2,0,IF(A37&lt;=K$3,1,0))))</f>
        <v>0</v>
      </c>
      <c r="L37" s="124" t="n">
        <f aca="false">J37*K37</f>
        <v>0</v>
      </c>
      <c r="M37" s="124" t="n">
        <f aca="false">SUM(J$6:J37)</f>
        <v>0</v>
      </c>
      <c r="N37" s="124" t="n">
        <f aca="false">SUM(J$6:J37)</f>
        <v>0</v>
      </c>
      <c r="P37" s="148" t="n">
        <f aca="false">D37/P$3</f>
        <v>0</v>
      </c>
      <c r="Q37" s="124" t="n">
        <f aca="false">E37/P$3</f>
        <v>0</v>
      </c>
      <c r="R37" s="124" t="n">
        <f aca="false">F37/R$3</f>
        <v>0</v>
      </c>
      <c r="S37" s="126" t="n">
        <f aca="false">J37/$R$3</f>
        <v>0</v>
      </c>
      <c r="T37" s="126" t="n">
        <f aca="false">L37/$R$3</f>
        <v>0</v>
      </c>
      <c r="U37" s="126" t="n">
        <f aca="false">I37/$R$3</f>
        <v>0</v>
      </c>
      <c r="V37" s="126" t="n">
        <f aca="false">M37/$R$3</f>
        <v>0</v>
      </c>
      <c r="W37" s="126" t="n">
        <f aca="false">N37/$R$3</f>
        <v>0</v>
      </c>
    </row>
    <row r="38" customFormat="false" ht="12.75" hidden="false" customHeight="false" outlineLevel="0" collapsed="false">
      <c r="A38" s="120" t="n">
        <f aca="false">A37+1</f>
        <v>36924</v>
      </c>
      <c r="B38" s="131" t="str">
        <f aca="false">INDEX('[4]Master Data'!$A$2:$B$8,MATCH(WEEKDAY('CRD Hedge'!A38,3),'[4]Master Data'!$A$2:$A$8,0),2)</f>
        <v>F</v>
      </c>
      <c r="D38" s="124" t="n">
        <v>0</v>
      </c>
      <c r="E38" s="124" t="n">
        <v>0</v>
      </c>
      <c r="F38" s="124" t="n">
        <v>0</v>
      </c>
      <c r="G38" s="124" t="n">
        <v>0</v>
      </c>
      <c r="I38" s="124" t="n">
        <f aca="false">IF(MONTH($A38)=MONTH($A37),IF(G38=0,I37,G38),G38)</f>
        <v>0</v>
      </c>
      <c r="J38" s="124" t="n">
        <f aca="false">IF(MONTH($A38)=MONTH($A37),SUM(I38-I37),I38)</f>
        <v>0</v>
      </c>
      <c r="K38" s="124" t="n">
        <f aca="false">IF(WEEKDAY(A38,3)&gt;4,0,(IF(A38&lt;K$2,0,IF(A38&lt;=K$3,1,0))))</f>
        <v>0</v>
      </c>
      <c r="L38" s="124" t="n">
        <f aca="false">J38*K38</f>
        <v>0</v>
      </c>
      <c r="M38" s="124" t="n">
        <f aca="false">SUM(J$6:J38)</f>
        <v>0</v>
      </c>
      <c r="N38" s="124" t="n">
        <f aca="false">SUM(J$6:J38)</f>
        <v>0</v>
      </c>
      <c r="P38" s="148" t="n">
        <f aca="false">D38/P$3</f>
        <v>0</v>
      </c>
      <c r="Q38" s="124" t="n">
        <f aca="false">E38/P$3</f>
        <v>0</v>
      </c>
      <c r="R38" s="124" t="n">
        <f aca="false">F38/R$3</f>
        <v>0</v>
      </c>
      <c r="S38" s="126" t="n">
        <f aca="false">J38/$R$3</f>
        <v>0</v>
      </c>
      <c r="T38" s="126" t="n">
        <f aca="false">L38/$R$3</f>
        <v>0</v>
      </c>
      <c r="U38" s="126" t="n">
        <f aca="false">I38/$R$3</f>
        <v>0</v>
      </c>
      <c r="V38" s="126" t="n">
        <f aca="false">M38/$R$3</f>
        <v>0</v>
      </c>
      <c r="W38" s="126" t="n">
        <f aca="false">N38/$R$3</f>
        <v>0</v>
      </c>
    </row>
    <row r="39" customFormat="false" ht="12.75" hidden="false" customHeight="false" outlineLevel="0" collapsed="false">
      <c r="A39" s="120" t="n">
        <f aca="false">A38+1</f>
        <v>36925</v>
      </c>
      <c r="B39" s="131" t="str">
        <f aca="false">INDEX('[4]Master Data'!$A$2:$B$8,MATCH(WEEKDAY('CRD Hedge'!A39,3),'[4]Master Data'!$A$2:$A$8,0),2)</f>
        <v>Sa</v>
      </c>
      <c r="D39" s="124" t="n">
        <v>0</v>
      </c>
      <c r="E39" s="124" t="n">
        <v>0</v>
      </c>
      <c r="F39" s="124" t="n">
        <v>0</v>
      </c>
      <c r="G39" s="124" t="n">
        <v>0</v>
      </c>
      <c r="I39" s="124" t="n">
        <f aca="false">IF(MONTH($A39)=MONTH($A38),IF(G39=0,I38,G39),G39)</f>
        <v>0</v>
      </c>
      <c r="J39" s="124" t="n">
        <f aca="false">IF(MONTH($A39)=MONTH($A38),SUM(I39-I38),I39)</f>
        <v>0</v>
      </c>
      <c r="K39" s="124" t="n">
        <f aca="false">IF(WEEKDAY(A39,3)&gt;4,0,(IF(A39&lt;K$2,0,IF(A39&lt;=K$3,1,0))))</f>
        <v>0</v>
      </c>
      <c r="L39" s="124" t="n">
        <f aca="false">J39*K39</f>
        <v>0</v>
      </c>
      <c r="M39" s="124" t="n">
        <f aca="false">SUM(J$6:J39)</f>
        <v>0</v>
      </c>
      <c r="N39" s="124" t="n">
        <f aca="false">SUM(J$6:J39)</f>
        <v>0</v>
      </c>
      <c r="P39" s="148" t="n">
        <f aca="false">D39/P$3</f>
        <v>0</v>
      </c>
      <c r="Q39" s="124" t="n">
        <f aca="false">E39/P$3</f>
        <v>0</v>
      </c>
      <c r="R39" s="124" t="n">
        <f aca="false">F39/R$3</f>
        <v>0</v>
      </c>
      <c r="S39" s="126" t="n">
        <f aca="false">J39/$R$3</f>
        <v>0</v>
      </c>
      <c r="T39" s="126" t="n">
        <f aca="false">L39/$R$3</f>
        <v>0</v>
      </c>
      <c r="U39" s="126" t="n">
        <f aca="false">I39/$R$3</f>
        <v>0</v>
      </c>
      <c r="V39" s="126" t="n">
        <f aca="false">M39/$R$3</f>
        <v>0</v>
      </c>
      <c r="W39" s="126" t="n">
        <f aca="false">N39/$R$3</f>
        <v>0</v>
      </c>
    </row>
    <row r="40" customFormat="false" ht="12.75" hidden="false" customHeight="false" outlineLevel="0" collapsed="false">
      <c r="A40" s="120" t="n">
        <f aca="false">A39+1</f>
        <v>36926</v>
      </c>
      <c r="B40" s="131" t="str">
        <f aca="false">INDEX('[4]Master Data'!$A$2:$B$8,MATCH(WEEKDAY('CRD Hedge'!A40,3),'[4]Master Data'!$A$2:$A$8,0),2)</f>
        <v>Su</v>
      </c>
      <c r="D40" s="124" t="n">
        <v>0</v>
      </c>
      <c r="E40" s="124" t="n">
        <v>0</v>
      </c>
      <c r="F40" s="124" t="n">
        <v>0</v>
      </c>
      <c r="G40" s="124" t="n">
        <v>0</v>
      </c>
      <c r="I40" s="124" t="n">
        <f aca="false">IF(MONTH($A40)=MONTH($A39),IF(G40=0,I39,G40),G40)</f>
        <v>0</v>
      </c>
      <c r="J40" s="124" t="n">
        <f aca="false">IF(MONTH($A40)=MONTH($A39),SUM(I40-I39),I40)</f>
        <v>0</v>
      </c>
      <c r="K40" s="124" t="n">
        <f aca="false">IF(WEEKDAY(A40,3)&gt;4,0,(IF(A40&lt;K$2,0,IF(A40&lt;=K$3,1,0))))</f>
        <v>0</v>
      </c>
      <c r="L40" s="124" t="n">
        <f aca="false">J40*K40</f>
        <v>0</v>
      </c>
      <c r="M40" s="124" t="n">
        <f aca="false">SUM(J$6:J40)</f>
        <v>0</v>
      </c>
      <c r="N40" s="124" t="n">
        <f aca="false">SUM(J$6:J40)</f>
        <v>0</v>
      </c>
      <c r="P40" s="148" t="n">
        <f aca="false">D40/P$3</f>
        <v>0</v>
      </c>
      <c r="Q40" s="124" t="n">
        <f aca="false">E40/P$3</f>
        <v>0</v>
      </c>
      <c r="R40" s="124" t="n">
        <f aca="false">F40/R$3</f>
        <v>0</v>
      </c>
      <c r="S40" s="126" t="n">
        <f aca="false">J40/$R$3</f>
        <v>0</v>
      </c>
      <c r="T40" s="126" t="n">
        <f aca="false">L40/$R$3</f>
        <v>0</v>
      </c>
      <c r="U40" s="126" t="n">
        <f aca="false">I40/$R$3</f>
        <v>0</v>
      </c>
      <c r="V40" s="126" t="n">
        <f aca="false">M40/$R$3</f>
        <v>0</v>
      </c>
      <c r="W40" s="126" t="n">
        <f aca="false">N40/$R$3</f>
        <v>0</v>
      </c>
    </row>
    <row r="41" customFormat="false" ht="12.75" hidden="false" customHeight="false" outlineLevel="0" collapsed="false">
      <c r="A41" s="120" t="n">
        <f aca="false">A40+1</f>
        <v>36927</v>
      </c>
      <c r="B41" s="131" t="str">
        <f aca="false">INDEX('[4]Master Data'!$A$2:$B$8,MATCH(WEEKDAY('CRD Hedge'!A41,3),'[4]Master Data'!$A$2:$A$8,0),2)</f>
        <v>M</v>
      </c>
      <c r="D41" s="124" t="n">
        <v>0</v>
      </c>
      <c r="E41" s="124" t="n">
        <v>0</v>
      </c>
      <c r="F41" s="124" t="n">
        <v>0</v>
      </c>
      <c r="G41" s="124" t="n">
        <v>0</v>
      </c>
      <c r="I41" s="124" t="n">
        <f aca="false">IF(MONTH($A41)=MONTH($A40),IF(G41=0,I40,G41),G41)</f>
        <v>0</v>
      </c>
      <c r="J41" s="124" t="n">
        <f aca="false">IF(MONTH($A41)=MONTH($A40),SUM(I41-I40),I41)</f>
        <v>0</v>
      </c>
      <c r="K41" s="124" t="n">
        <f aca="false">IF(WEEKDAY(A41,3)&gt;4,0,(IF(A41&lt;K$2,0,IF(A41&lt;=K$3,1,0))))</f>
        <v>0</v>
      </c>
      <c r="L41" s="124" t="n">
        <f aca="false">J41*K41</f>
        <v>0</v>
      </c>
      <c r="M41" s="124" t="n">
        <f aca="false">SUM(J$6:J41)</f>
        <v>0</v>
      </c>
      <c r="N41" s="124" t="n">
        <f aca="false">SUM(J$6:J41)</f>
        <v>0</v>
      </c>
      <c r="P41" s="148" t="n">
        <f aca="false">D41/P$3</f>
        <v>0</v>
      </c>
      <c r="Q41" s="124" t="n">
        <f aca="false">E41/P$3</f>
        <v>0</v>
      </c>
      <c r="R41" s="124" t="n">
        <f aca="false">F41/R$3</f>
        <v>0</v>
      </c>
      <c r="S41" s="126" t="n">
        <f aca="false">J41/$R$3</f>
        <v>0</v>
      </c>
      <c r="T41" s="126" t="n">
        <f aca="false">L41/$R$3</f>
        <v>0</v>
      </c>
      <c r="U41" s="126" t="n">
        <f aca="false">I41/$R$3</f>
        <v>0</v>
      </c>
      <c r="V41" s="126" t="n">
        <f aca="false">M41/$R$3</f>
        <v>0</v>
      </c>
      <c r="W41" s="126" t="n">
        <f aca="false">N41/$R$3</f>
        <v>0</v>
      </c>
    </row>
    <row r="42" customFormat="false" ht="12.75" hidden="false" customHeight="false" outlineLevel="0" collapsed="false">
      <c r="A42" s="120" t="n">
        <f aca="false">A41+1</f>
        <v>36928</v>
      </c>
      <c r="B42" s="131" t="str">
        <f aca="false">INDEX('[4]Master Data'!$A$2:$B$8,MATCH(WEEKDAY('CRD Hedge'!A42,3),'[4]Master Data'!$A$2:$A$8,0),2)</f>
        <v>T</v>
      </c>
      <c r="D42" s="124" t="n">
        <v>0</v>
      </c>
      <c r="E42" s="124" t="n">
        <v>0</v>
      </c>
      <c r="F42" s="124" t="n">
        <v>0</v>
      </c>
      <c r="G42" s="124" t="n">
        <v>0</v>
      </c>
      <c r="I42" s="124" t="n">
        <f aca="false">IF(MONTH($A42)=MONTH($A41),IF(G42=0,I41,G42),G42)</f>
        <v>0</v>
      </c>
      <c r="J42" s="124" t="n">
        <f aca="false">IF(MONTH($A42)=MONTH($A41),SUM(I42-I41),I42)</f>
        <v>0</v>
      </c>
      <c r="K42" s="124" t="n">
        <f aca="false">IF(WEEKDAY(A42,3)&gt;4,0,(IF(A42&lt;K$2,0,IF(A42&lt;=K$3,1,0))))</f>
        <v>0</v>
      </c>
      <c r="L42" s="124" t="n">
        <f aca="false">J42*K42</f>
        <v>0</v>
      </c>
      <c r="M42" s="124" t="n">
        <f aca="false">SUM(J$6:J42)</f>
        <v>0</v>
      </c>
      <c r="N42" s="124" t="n">
        <f aca="false">SUM(J$6:J42)</f>
        <v>0</v>
      </c>
      <c r="P42" s="148" t="n">
        <f aca="false">D42/P$3</f>
        <v>0</v>
      </c>
      <c r="Q42" s="124" t="n">
        <f aca="false">E42/P$3</f>
        <v>0</v>
      </c>
      <c r="R42" s="124" t="n">
        <f aca="false">F42/R$3</f>
        <v>0</v>
      </c>
      <c r="S42" s="126" t="n">
        <f aca="false">J42/$R$3</f>
        <v>0</v>
      </c>
      <c r="T42" s="126" t="n">
        <f aca="false">L42/$R$3</f>
        <v>0</v>
      </c>
      <c r="U42" s="126" t="n">
        <f aca="false">I42/$R$3</f>
        <v>0</v>
      </c>
      <c r="V42" s="126" t="n">
        <f aca="false">M42/$R$3</f>
        <v>0</v>
      </c>
      <c r="W42" s="126" t="n">
        <f aca="false">N42/$R$3</f>
        <v>0</v>
      </c>
    </row>
    <row r="43" customFormat="false" ht="12.75" hidden="false" customHeight="false" outlineLevel="0" collapsed="false">
      <c r="A43" s="120" t="n">
        <f aca="false">A42+1</f>
        <v>36929</v>
      </c>
      <c r="B43" s="131" t="str">
        <f aca="false">INDEX('[4]Master Data'!$A$2:$B$8,MATCH(WEEKDAY('CRD Hedge'!A43,3),'[4]Master Data'!$A$2:$A$8,0),2)</f>
        <v>W</v>
      </c>
      <c r="D43" s="124" t="n">
        <v>0</v>
      </c>
      <c r="E43" s="124" t="n">
        <v>0</v>
      </c>
      <c r="F43" s="124" t="n">
        <v>0</v>
      </c>
      <c r="G43" s="124" t="n">
        <v>0</v>
      </c>
      <c r="I43" s="124" t="n">
        <f aca="false">IF(MONTH($A43)=MONTH($A42),IF(G43=0,I42,G43),G43)</f>
        <v>0</v>
      </c>
      <c r="J43" s="124" t="n">
        <f aca="false">IF(MONTH($A43)=MONTH($A42),SUM(I43-I42),I43)</f>
        <v>0</v>
      </c>
      <c r="K43" s="124" t="n">
        <f aca="false">IF(WEEKDAY(A43,3)&gt;4,0,(IF(A43&lt;K$2,0,IF(A43&lt;=K$3,1,0))))</f>
        <v>0</v>
      </c>
      <c r="L43" s="124" t="n">
        <f aca="false">J43*K43</f>
        <v>0</v>
      </c>
      <c r="M43" s="124" t="n">
        <f aca="false">SUM(J$6:J43)</f>
        <v>0</v>
      </c>
      <c r="N43" s="124" t="n">
        <f aca="false">SUM(J$6:J43)</f>
        <v>0</v>
      </c>
      <c r="P43" s="148" t="n">
        <f aca="false">D43/P$3</f>
        <v>0</v>
      </c>
      <c r="Q43" s="124" t="n">
        <f aca="false">E43/P$3</f>
        <v>0</v>
      </c>
      <c r="R43" s="124" t="n">
        <f aca="false">F43/R$3</f>
        <v>0</v>
      </c>
      <c r="S43" s="126" t="n">
        <f aca="false">J43/$R$3</f>
        <v>0</v>
      </c>
      <c r="T43" s="126" t="n">
        <f aca="false">L43/$R$3</f>
        <v>0</v>
      </c>
      <c r="U43" s="126" t="n">
        <f aca="false">I43/$R$3</f>
        <v>0</v>
      </c>
      <c r="V43" s="126" t="n">
        <f aca="false">M43/$R$3</f>
        <v>0</v>
      </c>
      <c r="W43" s="126" t="n">
        <f aca="false">N43/$R$3</f>
        <v>0</v>
      </c>
    </row>
    <row r="44" customFormat="false" ht="12.75" hidden="false" customHeight="false" outlineLevel="0" collapsed="false">
      <c r="A44" s="120" t="n">
        <f aca="false">A43+1</f>
        <v>36930</v>
      </c>
      <c r="B44" s="131" t="str">
        <f aca="false">INDEX('[4]Master Data'!$A$2:$B$8,MATCH(WEEKDAY('CRD Hedge'!A44,3),'[4]Master Data'!$A$2:$A$8,0),2)</f>
        <v>Th</v>
      </c>
      <c r="D44" s="124" t="n">
        <v>0</v>
      </c>
      <c r="E44" s="124" t="n">
        <v>0</v>
      </c>
      <c r="F44" s="124" t="n">
        <v>0</v>
      </c>
      <c r="G44" s="124" t="n">
        <v>0</v>
      </c>
      <c r="I44" s="124" t="n">
        <f aca="false">IF(MONTH($A44)=MONTH($A43),IF(G44=0,I43,G44),G44)</f>
        <v>0</v>
      </c>
      <c r="J44" s="124" t="n">
        <f aca="false">IF(MONTH($A44)=MONTH($A43),SUM(I44-I43),I44)</f>
        <v>0</v>
      </c>
      <c r="K44" s="124" t="n">
        <f aca="false">IF(WEEKDAY(A44,3)&gt;4,0,(IF(A44&lt;K$2,0,IF(A44&lt;=K$3,1,0))))</f>
        <v>0</v>
      </c>
      <c r="L44" s="124" t="n">
        <f aca="false">J44*K44</f>
        <v>0</v>
      </c>
      <c r="M44" s="124" t="n">
        <f aca="false">SUM(J$6:J44)</f>
        <v>0</v>
      </c>
      <c r="N44" s="124" t="n">
        <f aca="false">SUM(J$6:J44)</f>
        <v>0</v>
      </c>
      <c r="P44" s="148" t="n">
        <f aca="false">D44/P$3</f>
        <v>0</v>
      </c>
      <c r="Q44" s="124" t="n">
        <f aca="false">E44/P$3</f>
        <v>0</v>
      </c>
      <c r="R44" s="124" t="n">
        <f aca="false">F44/R$3</f>
        <v>0</v>
      </c>
      <c r="S44" s="126" t="n">
        <f aca="false">J44/$R$3</f>
        <v>0</v>
      </c>
      <c r="T44" s="126" t="n">
        <f aca="false">L44/$R$3</f>
        <v>0</v>
      </c>
      <c r="U44" s="126" t="n">
        <f aca="false">I44/$R$3</f>
        <v>0</v>
      </c>
      <c r="V44" s="126" t="n">
        <f aca="false">M44/$R$3</f>
        <v>0</v>
      </c>
      <c r="W44" s="126" t="n">
        <f aca="false">N44/$R$3</f>
        <v>0</v>
      </c>
    </row>
    <row r="45" customFormat="false" ht="12.75" hidden="false" customHeight="false" outlineLevel="0" collapsed="false">
      <c r="A45" s="120" t="n">
        <f aca="false">A44+1</f>
        <v>36931</v>
      </c>
      <c r="B45" s="131" t="str">
        <f aca="false">INDEX('[4]Master Data'!$A$2:$B$8,MATCH(WEEKDAY('CRD Hedge'!A45,3),'[4]Master Data'!$A$2:$A$8,0),2)</f>
        <v>F</v>
      </c>
      <c r="D45" s="124" t="n">
        <v>0</v>
      </c>
      <c r="E45" s="124" t="n">
        <v>0</v>
      </c>
      <c r="F45" s="124" t="n">
        <v>0</v>
      </c>
      <c r="G45" s="124" t="n">
        <v>0</v>
      </c>
      <c r="I45" s="124" t="n">
        <f aca="false">IF(MONTH($A45)=MONTH($A44),IF(G45=0,I44,G45),G45)</f>
        <v>0</v>
      </c>
      <c r="J45" s="124" t="n">
        <f aca="false">IF(MONTH($A45)=MONTH($A44),SUM(I45-I44),I45)</f>
        <v>0</v>
      </c>
      <c r="K45" s="124" t="n">
        <f aca="false">IF(WEEKDAY(A45,3)&gt;4,0,(IF(A45&lt;K$2,0,IF(A45&lt;=K$3,1,0))))</f>
        <v>0</v>
      </c>
      <c r="L45" s="124" t="n">
        <f aca="false">J45*K45</f>
        <v>0</v>
      </c>
      <c r="M45" s="124" t="n">
        <f aca="false">SUM(J$6:J45)</f>
        <v>0</v>
      </c>
      <c r="N45" s="124" t="n">
        <f aca="false">SUM(J$6:J45)</f>
        <v>0</v>
      </c>
      <c r="P45" s="148" t="n">
        <f aca="false">D45/P$3</f>
        <v>0</v>
      </c>
      <c r="Q45" s="124" t="n">
        <f aca="false">E45/P$3</f>
        <v>0</v>
      </c>
      <c r="R45" s="124" t="n">
        <f aca="false">F45/R$3</f>
        <v>0</v>
      </c>
      <c r="S45" s="126" t="n">
        <f aca="false">J45/$R$3</f>
        <v>0</v>
      </c>
      <c r="T45" s="126" t="n">
        <f aca="false">L45/$R$3</f>
        <v>0</v>
      </c>
      <c r="U45" s="126" t="n">
        <f aca="false">I45/$R$3</f>
        <v>0</v>
      </c>
      <c r="V45" s="126" t="n">
        <f aca="false">M45/$R$3</f>
        <v>0</v>
      </c>
      <c r="W45" s="126" t="n">
        <f aca="false">N45/$R$3</f>
        <v>0</v>
      </c>
    </row>
    <row r="46" customFormat="false" ht="12.75" hidden="false" customHeight="false" outlineLevel="0" collapsed="false">
      <c r="A46" s="120" t="n">
        <f aca="false">A45+1</f>
        <v>36932</v>
      </c>
      <c r="B46" s="131" t="str">
        <f aca="false">INDEX('[4]Master Data'!$A$2:$B$8,MATCH(WEEKDAY('CRD Hedge'!A46,3),'[4]Master Data'!$A$2:$A$8,0),2)</f>
        <v>Sa</v>
      </c>
      <c r="D46" s="124" t="n">
        <v>0</v>
      </c>
      <c r="E46" s="124" t="n">
        <v>0</v>
      </c>
      <c r="F46" s="124" t="n">
        <v>0</v>
      </c>
      <c r="G46" s="124" t="n">
        <v>0</v>
      </c>
      <c r="I46" s="124" t="n">
        <f aca="false">IF(MONTH($A46)=MONTH($A45),IF(G46=0,I45,G46),G46)</f>
        <v>0</v>
      </c>
      <c r="J46" s="124" t="n">
        <f aca="false">IF(MONTH($A46)=MONTH($A45),SUM(I46-I45),I46)</f>
        <v>0</v>
      </c>
      <c r="K46" s="124" t="n">
        <f aca="false">IF(WEEKDAY(A46,3)&gt;4,0,(IF(A46&lt;K$2,0,IF(A46&lt;=K$3,1,0))))</f>
        <v>0</v>
      </c>
      <c r="L46" s="124" t="n">
        <f aca="false">J46*K46</f>
        <v>0</v>
      </c>
      <c r="M46" s="124" t="n">
        <f aca="false">SUM(J$6:J46)</f>
        <v>0</v>
      </c>
      <c r="N46" s="124" t="n">
        <f aca="false">SUM(J$6:J46)</f>
        <v>0</v>
      </c>
      <c r="P46" s="148" t="n">
        <f aca="false">D46/P$3</f>
        <v>0</v>
      </c>
      <c r="Q46" s="124" t="n">
        <f aca="false">E46/P$3</f>
        <v>0</v>
      </c>
      <c r="R46" s="124" t="n">
        <f aca="false">F46/R$3</f>
        <v>0</v>
      </c>
      <c r="S46" s="126" t="n">
        <f aca="false">J46/$R$3</f>
        <v>0</v>
      </c>
      <c r="T46" s="126" t="n">
        <f aca="false">L46/$R$3</f>
        <v>0</v>
      </c>
      <c r="U46" s="126" t="n">
        <f aca="false">I46/$R$3</f>
        <v>0</v>
      </c>
      <c r="V46" s="126" t="n">
        <f aca="false">M46/$R$3</f>
        <v>0</v>
      </c>
      <c r="W46" s="126" t="n">
        <f aca="false">N46/$R$3</f>
        <v>0</v>
      </c>
    </row>
    <row r="47" customFormat="false" ht="12.75" hidden="false" customHeight="false" outlineLevel="0" collapsed="false">
      <c r="A47" s="120" t="n">
        <f aca="false">A46+1</f>
        <v>36933</v>
      </c>
      <c r="B47" s="131" t="str">
        <f aca="false">INDEX('[4]Master Data'!$A$2:$B$8,MATCH(WEEKDAY('CRD Hedge'!A47,3),'[4]Master Data'!$A$2:$A$8,0),2)</f>
        <v>Su</v>
      </c>
      <c r="D47" s="124" t="n">
        <v>0</v>
      </c>
      <c r="E47" s="124" t="n">
        <v>0</v>
      </c>
      <c r="F47" s="124" t="n">
        <v>0</v>
      </c>
      <c r="G47" s="124" t="n">
        <v>0</v>
      </c>
      <c r="I47" s="124" t="n">
        <f aca="false">IF(MONTH($A47)=MONTH($A46),IF(G47=0,I46,G47),G47)</f>
        <v>0</v>
      </c>
      <c r="J47" s="124" t="n">
        <f aca="false">IF(MONTH($A47)=MONTH($A46),SUM(I47-I46),I47)</f>
        <v>0</v>
      </c>
      <c r="K47" s="124" t="n">
        <f aca="false">IF(WEEKDAY(A47,3)&gt;4,0,(IF(A47&lt;K$2,0,IF(A47&lt;=K$3,1,0))))</f>
        <v>0</v>
      </c>
      <c r="L47" s="124" t="n">
        <f aca="false">J47*K47</f>
        <v>0</v>
      </c>
      <c r="M47" s="124" t="n">
        <f aca="false">SUM(J$6:J47)</f>
        <v>0</v>
      </c>
      <c r="N47" s="124" t="n">
        <f aca="false">SUM(J$6:J47)</f>
        <v>0</v>
      </c>
      <c r="P47" s="148" t="n">
        <f aca="false">D47/P$3</f>
        <v>0</v>
      </c>
      <c r="Q47" s="124" t="n">
        <f aca="false">E47/P$3</f>
        <v>0</v>
      </c>
      <c r="R47" s="124" t="n">
        <f aca="false">F47/R$3</f>
        <v>0</v>
      </c>
      <c r="S47" s="126" t="n">
        <f aca="false">J47/$R$3</f>
        <v>0</v>
      </c>
      <c r="T47" s="126" t="n">
        <f aca="false">L47/$R$3</f>
        <v>0</v>
      </c>
      <c r="U47" s="126" t="n">
        <f aca="false">I47/$R$3</f>
        <v>0</v>
      </c>
      <c r="V47" s="126" t="n">
        <f aca="false">M47/$R$3</f>
        <v>0</v>
      </c>
      <c r="W47" s="126" t="n">
        <f aca="false">N47/$R$3</f>
        <v>0</v>
      </c>
    </row>
    <row r="48" customFormat="false" ht="12.75" hidden="false" customHeight="false" outlineLevel="0" collapsed="false">
      <c r="A48" s="120" t="n">
        <f aca="false">A47+1</f>
        <v>36934</v>
      </c>
      <c r="B48" s="131" t="str">
        <f aca="false">INDEX('[4]Master Data'!$A$2:$B$8,MATCH(WEEKDAY('CRD Hedge'!A48,3),'[4]Master Data'!$A$2:$A$8,0),2)</f>
        <v>M</v>
      </c>
      <c r="D48" s="124" t="n">
        <v>0</v>
      </c>
      <c r="E48" s="124" t="n">
        <v>0</v>
      </c>
      <c r="F48" s="124" t="n">
        <v>0</v>
      </c>
      <c r="G48" s="124" t="n">
        <v>0</v>
      </c>
      <c r="I48" s="124" t="n">
        <f aca="false">IF(MONTH($A48)=MONTH($A47),IF(G48=0,I47,G48),G48)</f>
        <v>0</v>
      </c>
      <c r="J48" s="124" t="n">
        <f aca="false">IF(MONTH($A48)=MONTH($A47),SUM(I48-I47),I48)</f>
        <v>0</v>
      </c>
      <c r="K48" s="124" t="n">
        <f aca="false">IF(WEEKDAY(A48,3)&gt;4,0,(IF(A48&lt;K$2,0,IF(A48&lt;=K$3,1,0))))</f>
        <v>0</v>
      </c>
      <c r="L48" s="124" t="n">
        <f aca="false">J48*K48</f>
        <v>0</v>
      </c>
      <c r="M48" s="124" t="n">
        <f aca="false">SUM(J$6:J48)</f>
        <v>0</v>
      </c>
      <c r="N48" s="124" t="n">
        <f aca="false">SUM(J$6:J48)</f>
        <v>0</v>
      </c>
      <c r="P48" s="148" t="n">
        <f aca="false">D48/P$3</f>
        <v>0</v>
      </c>
      <c r="Q48" s="124" t="n">
        <f aca="false">E48/P$3</f>
        <v>0</v>
      </c>
      <c r="R48" s="124" t="n">
        <f aca="false">F48/R$3</f>
        <v>0</v>
      </c>
      <c r="S48" s="126" t="n">
        <f aca="false">J48/$R$3</f>
        <v>0</v>
      </c>
      <c r="T48" s="126" t="n">
        <f aca="false">L48/$R$3</f>
        <v>0</v>
      </c>
      <c r="U48" s="126" t="n">
        <f aca="false">I48/$R$3</f>
        <v>0</v>
      </c>
      <c r="V48" s="126" t="n">
        <f aca="false">M48/$R$3</f>
        <v>0</v>
      </c>
      <c r="W48" s="126" t="n">
        <f aca="false">N48/$R$3</f>
        <v>0</v>
      </c>
    </row>
    <row r="49" customFormat="false" ht="12.75" hidden="false" customHeight="false" outlineLevel="0" collapsed="false">
      <c r="A49" s="120" t="n">
        <f aca="false">A48+1</f>
        <v>36935</v>
      </c>
      <c r="B49" s="131" t="str">
        <f aca="false">INDEX('[4]Master Data'!$A$2:$B$8,MATCH(WEEKDAY('CRD Hedge'!A49,3),'[4]Master Data'!$A$2:$A$8,0),2)</f>
        <v>T</v>
      </c>
      <c r="D49" s="124" t="n">
        <v>0</v>
      </c>
      <c r="E49" s="124" t="n">
        <v>0</v>
      </c>
      <c r="F49" s="124" t="n">
        <v>0</v>
      </c>
      <c r="G49" s="124" t="n">
        <v>0</v>
      </c>
      <c r="I49" s="124" t="n">
        <f aca="false">IF(MONTH($A49)=MONTH($A48),IF(G49=0,I48,G49),G49)</f>
        <v>0</v>
      </c>
      <c r="J49" s="124" t="n">
        <f aca="false">IF(MONTH($A49)=MONTH($A48),SUM(I49-I48),I49)</f>
        <v>0</v>
      </c>
      <c r="K49" s="124" t="n">
        <f aca="false">IF(WEEKDAY(A49,3)&gt;4,0,(IF(A49&lt;K$2,0,IF(A49&lt;=K$3,1,0))))</f>
        <v>0</v>
      </c>
      <c r="L49" s="124" t="n">
        <f aca="false">J49*K49</f>
        <v>0</v>
      </c>
      <c r="M49" s="124" t="n">
        <f aca="false">SUM(J$6:J49)</f>
        <v>0</v>
      </c>
      <c r="N49" s="124" t="n">
        <f aca="false">SUM(J$6:J49)</f>
        <v>0</v>
      </c>
      <c r="P49" s="148" t="n">
        <f aca="false">D49/P$3</f>
        <v>0</v>
      </c>
      <c r="Q49" s="124" t="n">
        <f aca="false">E49/P$3</f>
        <v>0</v>
      </c>
      <c r="R49" s="124" t="n">
        <f aca="false">F49/R$3</f>
        <v>0</v>
      </c>
      <c r="S49" s="126" t="n">
        <f aca="false">J49/$R$3</f>
        <v>0</v>
      </c>
      <c r="T49" s="126" t="n">
        <f aca="false">L49/$R$3</f>
        <v>0</v>
      </c>
      <c r="U49" s="126" t="n">
        <f aca="false">I49/$R$3</f>
        <v>0</v>
      </c>
      <c r="V49" s="126" t="n">
        <f aca="false">M49/$R$3</f>
        <v>0</v>
      </c>
      <c r="W49" s="126" t="n">
        <f aca="false">N49/$R$3</f>
        <v>0</v>
      </c>
    </row>
    <row r="50" customFormat="false" ht="12.75" hidden="false" customHeight="false" outlineLevel="0" collapsed="false">
      <c r="A50" s="120" t="n">
        <f aca="false">A49+1</f>
        <v>36936</v>
      </c>
      <c r="B50" s="131" t="str">
        <f aca="false">INDEX('[4]Master Data'!$A$2:$B$8,MATCH(WEEKDAY('CRD Hedge'!A50,3),'[4]Master Data'!$A$2:$A$8,0),2)</f>
        <v>W</v>
      </c>
      <c r="D50" s="124" t="n">
        <v>0</v>
      </c>
      <c r="E50" s="124" t="n">
        <v>0</v>
      </c>
      <c r="F50" s="124" t="n">
        <v>0</v>
      </c>
      <c r="G50" s="124" t="n">
        <v>0</v>
      </c>
      <c r="I50" s="124" t="n">
        <f aca="false">IF(MONTH($A50)=MONTH($A49),IF(G50=0,I49,G50),G50)</f>
        <v>0</v>
      </c>
      <c r="J50" s="124" t="n">
        <f aca="false">IF(MONTH($A50)=MONTH($A49),SUM(I50-I49),I50)</f>
        <v>0</v>
      </c>
      <c r="K50" s="124" t="n">
        <f aca="false">IF(WEEKDAY(A50,3)&gt;4,0,(IF(A50&lt;K$2,0,IF(A50&lt;=K$3,1,0))))</f>
        <v>0</v>
      </c>
      <c r="L50" s="124" t="n">
        <f aca="false">J50*K50</f>
        <v>0</v>
      </c>
      <c r="M50" s="124" t="n">
        <f aca="false">SUM(J$6:J50)</f>
        <v>0</v>
      </c>
      <c r="N50" s="124" t="n">
        <f aca="false">SUM(J$6:J50)</f>
        <v>0</v>
      </c>
      <c r="P50" s="148" t="n">
        <f aca="false">D50/P$3</f>
        <v>0</v>
      </c>
      <c r="Q50" s="124" t="n">
        <f aca="false">E50/P$3</f>
        <v>0</v>
      </c>
      <c r="R50" s="124" t="n">
        <f aca="false">F50/R$3</f>
        <v>0</v>
      </c>
      <c r="S50" s="126" t="n">
        <f aca="false">J50/$R$3</f>
        <v>0</v>
      </c>
      <c r="T50" s="126" t="n">
        <f aca="false">L50/$R$3</f>
        <v>0</v>
      </c>
      <c r="U50" s="126" t="n">
        <f aca="false">I50/$R$3</f>
        <v>0</v>
      </c>
      <c r="V50" s="126" t="n">
        <f aca="false">M50/$R$3</f>
        <v>0</v>
      </c>
      <c r="W50" s="126" t="n">
        <f aca="false">N50/$R$3</f>
        <v>0</v>
      </c>
    </row>
    <row r="51" customFormat="false" ht="12.75" hidden="false" customHeight="false" outlineLevel="0" collapsed="false">
      <c r="A51" s="120" t="n">
        <f aca="false">A50+1</f>
        <v>36937</v>
      </c>
      <c r="B51" s="131" t="str">
        <f aca="false">INDEX('[4]Master Data'!$A$2:$B$8,MATCH(WEEKDAY('CRD Hedge'!A51,3),'[4]Master Data'!$A$2:$A$8,0),2)</f>
        <v>Th</v>
      </c>
      <c r="D51" s="124" t="n">
        <v>0</v>
      </c>
      <c r="E51" s="124" t="n">
        <v>0</v>
      </c>
      <c r="F51" s="124" t="n">
        <v>0</v>
      </c>
      <c r="G51" s="124" t="n">
        <v>0</v>
      </c>
      <c r="I51" s="124" t="n">
        <f aca="false">IF(MONTH($A51)=MONTH($A50),IF(G51=0,I50,G51),G51)</f>
        <v>0</v>
      </c>
      <c r="J51" s="124" t="n">
        <f aca="false">IF(MONTH($A51)=MONTH($A50),SUM(I51-I50),I51)</f>
        <v>0</v>
      </c>
      <c r="K51" s="124" t="n">
        <f aca="false">IF(WEEKDAY(A51,3)&gt;4,0,(IF(A51&lt;K$2,0,IF(A51&lt;=K$3,1,0))))</f>
        <v>0</v>
      </c>
      <c r="L51" s="124" t="n">
        <f aca="false">J51*K51</f>
        <v>0</v>
      </c>
      <c r="M51" s="124" t="n">
        <f aca="false">SUM(J$6:J51)</f>
        <v>0</v>
      </c>
      <c r="N51" s="124" t="n">
        <f aca="false">SUM(J$6:J51)</f>
        <v>0</v>
      </c>
      <c r="P51" s="148" t="n">
        <f aca="false">D51/P$3</f>
        <v>0</v>
      </c>
      <c r="Q51" s="124" t="n">
        <f aca="false">E51/P$3</f>
        <v>0</v>
      </c>
      <c r="R51" s="124" t="n">
        <f aca="false">F51/R$3</f>
        <v>0</v>
      </c>
      <c r="S51" s="126" t="n">
        <f aca="false">J51/$R$3</f>
        <v>0</v>
      </c>
      <c r="T51" s="126" t="n">
        <f aca="false">L51/$R$3</f>
        <v>0</v>
      </c>
      <c r="U51" s="126" t="n">
        <f aca="false">I51/$R$3</f>
        <v>0</v>
      </c>
      <c r="V51" s="126" t="n">
        <f aca="false">M51/$R$3</f>
        <v>0</v>
      </c>
      <c r="W51" s="126" t="n">
        <f aca="false">N51/$R$3</f>
        <v>0</v>
      </c>
    </row>
    <row r="52" customFormat="false" ht="12.75" hidden="false" customHeight="false" outlineLevel="0" collapsed="false">
      <c r="A52" s="120" t="n">
        <f aca="false">A51+1</f>
        <v>36938</v>
      </c>
      <c r="B52" s="131" t="str">
        <f aca="false">INDEX('[4]Master Data'!$A$2:$B$8,MATCH(WEEKDAY('CRD Hedge'!A52,3),'[4]Master Data'!$A$2:$A$8,0),2)</f>
        <v>F</v>
      </c>
      <c r="D52" s="124" t="n">
        <v>0</v>
      </c>
      <c r="E52" s="124" t="n">
        <v>0</v>
      </c>
      <c r="F52" s="124" t="n">
        <v>0</v>
      </c>
      <c r="G52" s="124" t="n">
        <v>0</v>
      </c>
      <c r="I52" s="124" t="n">
        <f aca="false">IF(MONTH($A52)=MONTH($A51),IF(G52=0,I51,G52),G52)</f>
        <v>0</v>
      </c>
      <c r="J52" s="124" t="n">
        <f aca="false">IF(MONTH($A52)=MONTH($A51),SUM(I52-I51),I52)</f>
        <v>0</v>
      </c>
      <c r="K52" s="124" t="n">
        <f aca="false">IF(WEEKDAY(A52,3)&gt;4,0,(IF(A52&lt;K$2,0,IF(A52&lt;=K$3,1,0))))</f>
        <v>0</v>
      </c>
      <c r="L52" s="124" t="n">
        <f aca="false">J52*K52</f>
        <v>0</v>
      </c>
      <c r="M52" s="124" t="n">
        <f aca="false">SUM(J$6:J52)</f>
        <v>0</v>
      </c>
      <c r="N52" s="124" t="n">
        <f aca="false">SUM(J$6:J52)</f>
        <v>0</v>
      </c>
      <c r="P52" s="148" t="n">
        <f aca="false">D52/P$3</f>
        <v>0</v>
      </c>
      <c r="Q52" s="124" t="n">
        <f aca="false">E52/P$3</f>
        <v>0</v>
      </c>
      <c r="R52" s="124" t="n">
        <f aca="false">F52/R$3</f>
        <v>0</v>
      </c>
      <c r="S52" s="126" t="n">
        <f aca="false">J52/$R$3</f>
        <v>0</v>
      </c>
      <c r="T52" s="126" t="n">
        <f aca="false">L52/$R$3</f>
        <v>0</v>
      </c>
      <c r="U52" s="126" t="n">
        <f aca="false">I52/$R$3</f>
        <v>0</v>
      </c>
      <c r="V52" s="126" t="n">
        <f aca="false">M52/$R$3</f>
        <v>0</v>
      </c>
      <c r="W52" s="126" t="n">
        <f aca="false">N52/$R$3</f>
        <v>0</v>
      </c>
    </row>
    <row r="53" customFormat="false" ht="12.75" hidden="false" customHeight="false" outlineLevel="0" collapsed="false">
      <c r="A53" s="120" t="n">
        <f aca="false">A52+1</f>
        <v>36939</v>
      </c>
      <c r="B53" s="131" t="str">
        <f aca="false">INDEX('[4]Master Data'!$A$2:$B$8,MATCH(WEEKDAY('CRD Hedge'!A53,3),'[4]Master Data'!$A$2:$A$8,0),2)</f>
        <v>Sa</v>
      </c>
      <c r="D53" s="124" t="n">
        <v>0</v>
      </c>
      <c r="E53" s="124" t="n">
        <v>0</v>
      </c>
      <c r="F53" s="124" t="n">
        <v>0</v>
      </c>
      <c r="G53" s="124" t="n">
        <v>0</v>
      </c>
      <c r="I53" s="124" t="n">
        <f aca="false">IF(MONTH($A53)=MONTH($A52),IF(G53=0,I52,G53),G53)</f>
        <v>0</v>
      </c>
      <c r="J53" s="124" t="n">
        <f aca="false">IF(MONTH($A53)=MONTH($A52),SUM(I53-I52),I53)</f>
        <v>0</v>
      </c>
      <c r="K53" s="124" t="n">
        <f aca="false">IF(WEEKDAY(A53,3)&gt;4,0,(IF(A53&lt;K$2,0,IF(A53&lt;=K$3,1,0))))</f>
        <v>0</v>
      </c>
      <c r="L53" s="124" t="n">
        <f aca="false">J53*K53</f>
        <v>0</v>
      </c>
      <c r="M53" s="124" t="n">
        <f aca="false">SUM(J$6:J53)</f>
        <v>0</v>
      </c>
      <c r="N53" s="124" t="n">
        <f aca="false">SUM(J$6:J53)</f>
        <v>0</v>
      </c>
      <c r="P53" s="148" t="n">
        <f aca="false">D53/P$3</f>
        <v>0</v>
      </c>
      <c r="Q53" s="124" t="n">
        <f aca="false">E53/P$3</f>
        <v>0</v>
      </c>
      <c r="R53" s="124" t="n">
        <f aca="false">F53/R$3</f>
        <v>0</v>
      </c>
      <c r="S53" s="126" t="n">
        <f aca="false">J53/$R$3</f>
        <v>0</v>
      </c>
      <c r="T53" s="126" t="n">
        <f aca="false">L53/$R$3</f>
        <v>0</v>
      </c>
      <c r="U53" s="126" t="n">
        <f aca="false">I53/$R$3</f>
        <v>0</v>
      </c>
      <c r="V53" s="126" t="n">
        <f aca="false">M53/$R$3</f>
        <v>0</v>
      </c>
      <c r="W53" s="126" t="n">
        <f aca="false">N53/$R$3</f>
        <v>0</v>
      </c>
    </row>
    <row r="54" customFormat="false" ht="12.75" hidden="false" customHeight="false" outlineLevel="0" collapsed="false">
      <c r="A54" s="120" t="n">
        <f aca="false">A53+1</f>
        <v>36940</v>
      </c>
      <c r="B54" s="131" t="str">
        <f aca="false">INDEX('[4]Master Data'!$A$2:$B$8,MATCH(WEEKDAY('CRD Hedge'!A54,3),'[4]Master Data'!$A$2:$A$8,0),2)</f>
        <v>Su</v>
      </c>
      <c r="D54" s="124" t="n">
        <v>0</v>
      </c>
      <c r="E54" s="124" t="n">
        <v>0</v>
      </c>
      <c r="F54" s="124" t="n">
        <v>0</v>
      </c>
      <c r="G54" s="124" t="n">
        <v>0</v>
      </c>
      <c r="I54" s="124" t="n">
        <f aca="false">IF(MONTH($A54)=MONTH($A53),IF(G54=0,I53,G54),G54)</f>
        <v>0</v>
      </c>
      <c r="J54" s="124" t="n">
        <f aca="false">IF(MONTH($A54)=MONTH($A53),SUM(I54-I53),I54)</f>
        <v>0</v>
      </c>
      <c r="K54" s="124" t="n">
        <f aca="false">IF(WEEKDAY(A54,3)&gt;4,0,(IF(A54&lt;K$2,0,IF(A54&lt;=K$3,1,0))))</f>
        <v>0</v>
      </c>
      <c r="L54" s="124" t="n">
        <f aca="false">J54*K54</f>
        <v>0</v>
      </c>
      <c r="M54" s="124" t="n">
        <f aca="false">SUM(J$6:J54)</f>
        <v>0</v>
      </c>
      <c r="N54" s="124" t="n">
        <f aca="false">SUM(J$6:J54)</f>
        <v>0</v>
      </c>
      <c r="P54" s="148" t="n">
        <f aca="false">D54/P$3</f>
        <v>0</v>
      </c>
      <c r="Q54" s="124" t="n">
        <f aca="false">E54/P$3</f>
        <v>0</v>
      </c>
      <c r="R54" s="124" t="n">
        <f aca="false">F54/R$3</f>
        <v>0</v>
      </c>
      <c r="S54" s="126" t="n">
        <f aca="false">J54/$R$3</f>
        <v>0</v>
      </c>
      <c r="T54" s="126" t="n">
        <f aca="false">L54/$R$3</f>
        <v>0</v>
      </c>
      <c r="U54" s="126" t="n">
        <f aca="false">I54/$R$3</f>
        <v>0</v>
      </c>
      <c r="V54" s="126" t="n">
        <f aca="false">M54/$R$3</f>
        <v>0</v>
      </c>
      <c r="W54" s="126" t="n">
        <f aca="false">N54/$R$3</f>
        <v>0</v>
      </c>
    </row>
    <row r="55" customFormat="false" ht="12.75" hidden="false" customHeight="false" outlineLevel="0" collapsed="false">
      <c r="A55" s="120" t="n">
        <f aca="false">A54+1</f>
        <v>36941</v>
      </c>
      <c r="B55" s="131" t="str">
        <f aca="false">INDEX('[4]Master Data'!$A$2:$B$8,MATCH(WEEKDAY('CRD Hedge'!A55,3),'[4]Master Data'!$A$2:$A$8,0),2)</f>
        <v>M</v>
      </c>
      <c r="D55" s="124" t="n">
        <v>0</v>
      </c>
      <c r="E55" s="124" t="n">
        <v>0</v>
      </c>
      <c r="F55" s="124" t="n">
        <v>0</v>
      </c>
      <c r="G55" s="124" t="n">
        <v>0</v>
      </c>
      <c r="I55" s="124" t="n">
        <f aca="false">IF(MONTH($A55)=MONTH($A54),IF(G55=0,I54,G55),G55)</f>
        <v>0</v>
      </c>
      <c r="J55" s="124" t="n">
        <f aca="false">IF(MONTH($A55)=MONTH($A54),SUM(I55-I54),I55)</f>
        <v>0</v>
      </c>
      <c r="K55" s="124" t="n">
        <f aca="false">IF(WEEKDAY(A55,3)&gt;4,0,(IF(A55&lt;K$2,0,IF(A55&lt;=K$3,1,0))))</f>
        <v>0</v>
      </c>
      <c r="L55" s="124" t="n">
        <f aca="false">J55*K55</f>
        <v>0</v>
      </c>
      <c r="M55" s="124" t="n">
        <f aca="false">SUM(J$6:J55)</f>
        <v>0</v>
      </c>
      <c r="N55" s="124" t="n">
        <f aca="false">SUM(J$6:J55)</f>
        <v>0</v>
      </c>
      <c r="P55" s="148" t="n">
        <f aca="false">D55/P$3</f>
        <v>0</v>
      </c>
      <c r="Q55" s="124" t="n">
        <f aca="false">E55/P$3</f>
        <v>0</v>
      </c>
      <c r="R55" s="124" t="n">
        <f aca="false">F55/R$3</f>
        <v>0</v>
      </c>
      <c r="S55" s="126" t="n">
        <f aca="false">J55/$R$3</f>
        <v>0</v>
      </c>
      <c r="T55" s="126" t="n">
        <f aca="false">L55/$R$3</f>
        <v>0</v>
      </c>
      <c r="U55" s="126" t="n">
        <f aca="false">I55/$R$3</f>
        <v>0</v>
      </c>
      <c r="V55" s="126" t="n">
        <f aca="false">M55/$R$3</f>
        <v>0</v>
      </c>
      <c r="W55" s="126" t="n">
        <f aca="false">N55/$R$3</f>
        <v>0</v>
      </c>
    </row>
    <row r="56" customFormat="false" ht="12.75" hidden="false" customHeight="false" outlineLevel="0" collapsed="false">
      <c r="A56" s="120" t="n">
        <f aca="false">A55+1</f>
        <v>36942</v>
      </c>
      <c r="B56" s="131" t="str">
        <f aca="false">INDEX('[4]Master Data'!$A$2:$B$8,MATCH(WEEKDAY('CRD Hedge'!A56,3),'[4]Master Data'!$A$2:$A$8,0),2)</f>
        <v>T</v>
      </c>
      <c r="D56" s="124" t="n">
        <v>0</v>
      </c>
      <c r="E56" s="124" t="n">
        <v>0</v>
      </c>
      <c r="F56" s="124" t="n">
        <v>0</v>
      </c>
      <c r="G56" s="124" t="n">
        <v>0</v>
      </c>
      <c r="I56" s="124" t="n">
        <f aca="false">IF(MONTH($A56)=MONTH($A55),IF(G56=0,I55,G56),G56)</f>
        <v>0</v>
      </c>
      <c r="J56" s="124" t="n">
        <f aca="false">IF(MONTH($A56)=MONTH($A55),SUM(I56-I55),I56)</f>
        <v>0</v>
      </c>
      <c r="K56" s="124" t="n">
        <f aca="false">IF(WEEKDAY(A56,3)&gt;4,0,(IF(A56&lt;K$2,0,IF(A56&lt;=K$3,1,0))))</f>
        <v>0</v>
      </c>
      <c r="L56" s="124" t="n">
        <f aca="false">J56*K56</f>
        <v>0</v>
      </c>
      <c r="M56" s="124" t="n">
        <f aca="false">SUM(J$6:J56)</f>
        <v>0</v>
      </c>
      <c r="N56" s="124" t="n">
        <f aca="false">SUM(J$6:J56)</f>
        <v>0</v>
      </c>
      <c r="P56" s="148" t="n">
        <f aca="false">D56/P$3</f>
        <v>0</v>
      </c>
      <c r="Q56" s="124" t="n">
        <f aca="false">E56/P$3</f>
        <v>0</v>
      </c>
      <c r="R56" s="124" t="n">
        <f aca="false">F56/R$3</f>
        <v>0</v>
      </c>
      <c r="S56" s="126" t="n">
        <f aca="false">J56/$R$3</f>
        <v>0</v>
      </c>
      <c r="T56" s="126" t="n">
        <f aca="false">L56/$R$3</f>
        <v>0</v>
      </c>
      <c r="U56" s="126" t="n">
        <f aca="false">I56/$R$3</f>
        <v>0</v>
      </c>
      <c r="V56" s="126" t="n">
        <f aca="false">M56/$R$3</f>
        <v>0</v>
      </c>
      <c r="W56" s="126" t="n">
        <f aca="false">N56/$R$3</f>
        <v>0</v>
      </c>
    </row>
    <row r="57" customFormat="false" ht="12.75" hidden="false" customHeight="false" outlineLevel="0" collapsed="false">
      <c r="A57" s="120" t="n">
        <f aca="false">A56+1</f>
        <v>36943</v>
      </c>
      <c r="B57" s="131" t="str">
        <f aca="false">INDEX('[4]Master Data'!$A$2:$B$8,MATCH(WEEKDAY('CRD Hedge'!A57,3),'[4]Master Data'!$A$2:$A$8,0),2)</f>
        <v>W</v>
      </c>
      <c r="D57" s="124" t="n">
        <v>0</v>
      </c>
      <c r="E57" s="124" t="n">
        <v>0</v>
      </c>
      <c r="F57" s="124" t="n">
        <v>0</v>
      </c>
      <c r="G57" s="124" t="n">
        <v>0</v>
      </c>
      <c r="I57" s="124" t="n">
        <f aca="false">IF(MONTH($A57)=MONTH($A56),IF(G57=0,I56,G57),G57)</f>
        <v>0</v>
      </c>
      <c r="J57" s="124" t="n">
        <f aca="false">IF(MONTH($A57)=MONTH($A56),SUM(I57-I56),I57)</f>
        <v>0</v>
      </c>
      <c r="K57" s="124" t="n">
        <f aca="false">IF(WEEKDAY(A57,3)&gt;4,0,(IF(A57&lt;K$2,0,IF(A57&lt;=K$3,1,0))))</f>
        <v>0</v>
      </c>
      <c r="L57" s="124" t="n">
        <f aca="false">J57*K57</f>
        <v>0</v>
      </c>
      <c r="M57" s="124" t="n">
        <f aca="false">SUM(J$6:J57)</f>
        <v>0</v>
      </c>
      <c r="N57" s="124" t="n">
        <f aca="false">SUM(J$6:J57)</f>
        <v>0</v>
      </c>
      <c r="P57" s="148" t="n">
        <f aca="false">D57/P$3</f>
        <v>0</v>
      </c>
      <c r="Q57" s="124" t="n">
        <f aca="false">E57/P$3</f>
        <v>0</v>
      </c>
      <c r="R57" s="124" t="n">
        <f aca="false">F57/R$3</f>
        <v>0</v>
      </c>
      <c r="S57" s="126" t="n">
        <f aca="false">J57/$R$3</f>
        <v>0</v>
      </c>
      <c r="T57" s="126" t="n">
        <f aca="false">L57/$R$3</f>
        <v>0</v>
      </c>
      <c r="U57" s="126" t="n">
        <f aca="false">I57/$R$3</f>
        <v>0</v>
      </c>
      <c r="V57" s="126" t="n">
        <f aca="false">M57/$R$3</f>
        <v>0</v>
      </c>
      <c r="W57" s="126" t="n">
        <f aca="false">N57/$R$3</f>
        <v>0</v>
      </c>
    </row>
    <row r="58" customFormat="false" ht="12.75" hidden="false" customHeight="false" outlineLevel="0" collapsed="false">
      <c r="A58" s="120" t="n">
        <f aca="false">A57+1</f>
        <v>36944</v>
      </c>
      <c r="B58" s="131" t="str">
        <f aca="false">INDEX('[4]Master Data'!$A$2:$B$8,MATCH(WEEKDAY('CRD Hedge'!A58,3),'[4]Master Data'!$A$2:$A$8,0),2)</f>
        <v>Th</v>
      </c>
      <c r="D58" s="124" t="n">
        <v>0</v>
      </c>
      <c r="E58" s="124" t="n">
        <v>0</v>
      </c>
      <c r="F58" s="124" t="n">
        <v>0</v>
      </c>
      <c r="G58" s="124" t="n">
        <v>0</v>
      </c>
      <c r="I58" s="124" t="n">
        <f aca="false">IF(MONTH($A58)=MONTH($A57),IF(G58=0,I57,G58),G58)</f>
        <v>0</v>
      </c>
      <c r="J58" s="124" t="n">
        <f aca="false">IF(MONTH($A58)=MONTH($A57),SUM(I58-I57),I58)</f>
        <v>0</v>
      </c>
      <c r="K58" s="124" t="n">
        <f aca="false">IF(WEEKDAY(A58,3)&gt;4,0,(IF(A58&lt;K$2,0,IF(A58&lt;=K$3,1,0))))</f>
        <v>0</v>
      </c>
      <c r="L58" s="124" t="n">
        <f aca="false">J58*K58</f>
        <v>0</v>
      </c>
      <c r="M58" s="124" t="n">
        <f aca="false">SUM(J$6:J58)</f>
        <v>0</v>
      </c>
      <c r="N58" s="124" t="n">
        <f aca="false">SUM(J$6:J58)</f>
        <v>0</v>
      </c>
      <c r="P58" s="148" t="n">
        <f aca="false">D58/P$3</f>
        <v>0</v>
      </c>
      <c r="Q58" s="124" t="n">
        <f aca="false">E58/P$3</f>
        <v>0</v>
      </c>
      <c r="R58" s="124" t="n">
        <f aca="false">F58/R$3</f>
        <v>0</v>
      </c>
      <c r="S58" s="126" t="n">
        <f aca="false">J58/$R$3</f>
        <v>0</v>
      </c>
      <c r="T58" s="126" t="n">
        <f aca="false">L58/$R$3</f>
        <v>0</v>
      </c>
      <c r="U58" s="126" t="n">
        <f aca="false">I58/$R$3</f>
        <v>0</v>
      </c>
      <c r="V58" s="126" t="n">
        <f aca="false">M58/$R$3</f>
        <v>0</v>
      </c>
      <c r="W58" s="126" t="n">
        <f aca="false">N58/$R$3</f>
        <v>0</v>
      </c>
    </row>
    <row r="59" customFormat="false" ht="12.75" hidden="false" customHeight="false" outlineLevel="0" collapsed="false">
      <c r="A59" s="120" t="n">
        <f aca="false">A58+1</f>
        <v>36945</v>
      </c>
      <c r="B59" s="131" t="str">
        <f aca="false">INDEX('[4]Master Data'!$A$2:$B$8,MATCH(WEEKDAY('CRD Hedge'!A59,3),'[4]Master Data'!$A$2:$A$8,0),2)</f>
        <v>F</v>
      </c>
      <c r="D59" s="124" t="n">
        <v>0</v>
      </c>
      <c r="E59" s="124" t="n">
        <v>0</v>
      </c>
      <c r="F59" s="124" t="n">
        <v>0</v>
      </c>
      <c r="G59" s="124" t="n">
        <v>0</v>
      </c>
      <c r="I59" s="124" t="n">
        <f aca="false">IF(MONTH($A59)=MONTH($A58),IF(G59=0,I58,G59),G59)</f>
        <v>0</v>
      </c>
      <c r="J59" s="124" t="n">
        <f aca="false">IF(MONTH($A59)=MONTH($A58),SUM(I59-I58),I59)</f>
        <v>0</v>
      </c>
      <c r="K59" s="124" t="n">
        <f aca="false">IF(WEEKDAY(A59,3)&gt;4,0,(IF(A59&lt;K$2,0,IF(A59&lt;=K$3,1,0))))</f>
        <v>0</v>
      </c>
      <c r="L59" s="124" t="n">
        <f aca="false">J59*K59</f>
        <v>0</v>
      </c>
      <c r="M59" s="124" t="n">
        <f aca="false">SUM(J$6:J59)</f>
        <v>0</v>
      </c>
      <c r="N59" s="124" t="n">
        <f aca="false">SUM(J$6:J59)</f>
        <v>0</v>
      </c>
      <c r="P59" s="148" t="n">
        <f aca="false">D59/P$3</f>
        <v>0</v>
      </c>
      <c r="Q59" s="124" t="n">
        <f aca="false">E59/P$3</f>
        <v>0</v>
      </c>
      <c r="R59" s="124" t="n">
        <f aca="false">F59/R$3</f>
        <v>0</v>
      </c>
      <c r="S59" s="126" t="n">
        <f aca="false">J59/$R$3</f>
        <v>0</v>
      </c>
      <c r="T59" s="126" t="n">
        <f aca="false">L59/$R$3</f>
        <v>0</v>
      </c>
      <c r="U59" s="126" t="n">
        <f aca="false">I59/$R$3</f>
        <v>0</v>
      </c>
      <c r="V59" s="126" t="n">
        <f aca="false">M59/$R$3</f>
        <v>0</v>
      </c>
      <c r="W59" s="126" t="n">
        <f aca="false">N59/$R$3</f>
        <v>0</v>
      </c>
    </row>
    <row r="60" customFormat="false" ht="12.75" hidden="false" customHeight="false" outlineLevel="0" collapsed="false">
      <c r="A60" s="120" t="n">
        <f aca="false">A59+1</f>
        <v>36946</v>
      </c>
      <c r="B60" s="131" t="str">
        <f aca="false">INDEX('[4]Master Data'!$A$2:$B$8,MATCH(WEEKDAY('CRD Hedge'!A60,3),'[4]Master Data'!$A$2:$A$8,0),2)</f>
        <v>Sa</v>
      </c>
      <c r="D60" s="124" t="n">
        <v>0</v>
      </c>
      <c r="E60" s="124" t="n">
        <v>0</v>
      </c>
      <c r="F60" s="124" t="n">
        <v>0</v>
      </c>
      <c r="G60" s="124" t="n">
        <v>0</v>
      </c>
      <c r="I60" s="124" t="n">
        <f aca="false">IF(MONTH($A60)=MONTH($A59),IF(G60=0,I59,G60),G60)</f>
        <v>0</v>
      </c>
      <c r="J60" s="124" t="n">
        <f aca="false">IF(MONTH($A60)=MONTH($A59),SUM(I60-I59),I60)</f>
        <v>0</v>
      </c>
      <c r="K60" s="124" t="n">
        <f aca="false">IF(WEEKDAY(A60,3)&gt;4,0,(IF(A60&lt;K$2,0,IF(A60&lt;=K$3,1,0))))</f>
        <v>0</v>
      </c>
      <c r="L60" s="124" t="n">
        <f aca="false">J60*K60</f>
        <v>0</v>
      </c>
      <c r="M60" s="124" t="n">
        <f aca="false">SUM(J$6:J60)</f>
        <v>0</v>
      </c>
      <c r="N60" s="124" t="n">
        <f aca="false">SUM(J$6:J60)</f>
        <v>0</v>
      </c>
      <c r="P60" s="148" t="n">
        <f aca="false">D60/P$3</f>
        <v>0</v>
      </c>
      <c r="Q60" s="124" t="n">
        <f aca="false">E60/P$3</f>
        <v>0</v>
      </c>
      <c r="R60" s="124" t="n">
        <f aca="false">F60/R$3</f>
        <v>0</v>
      </c>
      <c r="S60" s="126" t="n">
        <f aca="false">J60/$R$3</f>
        <v>0</v>
      </c>
      <c r="T60" s="126" t="n">
        <f aca="false">L60/$R$3</f>
        <v>0</v>
      </c>
      <c r="U60" s="126" t="n">
        <f aca="false">I60/$R$3</f>
        <v>0</v>
      </c>
      <c r="V60" s="126" t="n">
        <f aca="false">M60/$R$3</f>
        <v>0</v>
      </c>
      <c r="W60" s="126" t="n">
        <f aca="false">N60/$R$3</f>
        <v>0</v>
      </c>
    </row>
    <row r="61" customFormat="false" ht="12.75" hidden="false" customHeight="false" outlineLevel="0" collapsed="false">
      <c r="A61" s="120" t="n">
        <f aca="false">A60+1</f>
        <v>36947</v>
      </c>
      <c r="B61" s="131" t="str">
        <f aca="false">INDEX('[4]Master Data'!$A$2:$B$8,MATCH(WEEKDAY('CRD Hedge'!A61,3),'[4]Master Data'!$A$2:$A$8,0),2)</f>
        <v>Su</v>
      </c>
      <c r="D61" s="124" t="n">
        <v>0</v>
      </c>
      <c r="E61" s="124" t="n">
        <v>0</v>
      </c>
      <c r="F61" s="124" t="n">
        <v>0</v>
      </c>
      <c r="G61" s="124" t="n">
        <v>0</v>
      </c>
      <c r="I61" s="124" t="n">
        <f aca="false">IF(MONTH($A61)=MONTH($A60),IF(G61=0,I60,G61),G61)</f>
        <v>0</v>
      </c>
      <c r="J61" s="124" t="n">
        <f aca="false">IF(MONTH($A61)=MONTH($A60),SUM(I61-I60),I61)</f>
        <v>0</v>
      </c>
      <c r="K61" s="124" t="n">
        <f aca="false">IF(WEEKDAY(A61,3)&gt;4,0,(IF(A61&lt;K$2,0,IF(A61&lt;=K$3,1,0))))</f>
        <v>0</v>
      </c>
      <c r="L61" s="124" t="n">
        <f aca="false">J61*K61</f>
        <v>0</v>
      </c>
      <c r="M61" s="124" t="n">
        <f aca="false">SUM(J$6:J61)</f>
        <v>0</v>
      </c>
      <c r="N61" s="124" t="n">
        <f aca="false">SUM(J$6:J61)</f>
        <v>0</v>
      </c>
      <c r="P61" s="148" t="n">
        <f aca="false">D61/P$3</f>
        <v>0</v>
      </c>
      <c r="Q61" s="124" t="n">
        <f aca="false">E61/P$3</f>
        <v>0</v>
      </c>
      <c r="R61" s="124" t="n">
        <f aca="false">F61/R$3</f>
        <v>0</v>
      </c>
      <c r="S61" s="126" t="n">
        <f aca="false">J61/$R$3</f>
        <v>0</v>
      </c>
      <c r="T61" s="126" t="n">
        <f aca="false">L61/$R$3</f>
        <v>0</v>
      </c>
      <c r="U61" s="126" t="n">
        <f aca="false">I61/$R$3</f>
        <v>0</v>
      </c>
      <c r="V61" s="126" t="n">
        <f aca="false">M61/$R$3</f>
        <v>0</v>
      </c>
      <c r="W61" s="126" t="n">
        <f aca="false">N61/$R$3</f>
        <v>0</v>
      </c>
    </row>
    <row r="62" customFormat="false" ht="12.75" hidden="false" customHeight="false" outlineLevel="0" collapsed="false">
      <c r="A62" s="120" t="n">
        <f aca="false">A61+1</f>
        <v>36948</v>
      </c>
      <c r="B62" s="131" t="str">
        <f aca="false">INDEX('[4]Master Data'!$A$2:$B$8,MATCH(WEEKDAY('CRD Hedge'!A62,3),'[4]Master Data'!$A$2:$A$8,0),2)</f>
        <v>M</v>
      </c>
      <c r="D62" s="124" t="n">
        <v>0</v>
      </c>
      <c r="E62" s="124" t="n">
        <v>0</v>
      </c>
      <c r="F62" s="124" t="n">
        <v>0</v>
      </c>
      <c r="G62" s="124" t="n">
        <v>0</v>
      </c>
      <c r="I62" s="124" t="n">
        <f aca="false">IF(MONTH($A62)=MONTH($A61),IF(G62=0,I61,G62),G62)</f>
        <v>0</v>
      </c>
      <c r="J62" s="124" t="n">
        <f aca="false">IF(MONTH($A62)=MONTH($A61),SUM(I62-I61),I62)</f>
        <v>0</v>
      </c>
      <c r="K62" s="124" t="n">
        <f aca="false">IF(WEEKDAY(A62,3)&gt;4,0,(IF(A62&lt;K$2,0,IF(A62&lt;=K$3,1,0))))</f>
        <v>0</v>
      </c>
      <c r="L62" s="124" t="n">
        <f aca="false">J62*K62</f>
        <v>0</v>
      </c>
      <c r="M62" s="124" t="n">
        <f aca="false">SUM(J$6:J62)</f>
        <v>0</v>
      </c>
      <c r="N62" s="124" t="n">
        <f aca="false">SUM(J$6:J62)</f>
        <v>0</v>
      </c>
      <c r="P62" s="148" t="n">
        <f aca="false">D62/P$3</f>
        <v>0</v>
      </c>
      <c r="Q62" s="124" t="n">
        <f aca="false">E62/P$3</f>
        <v>0</v>
      </c>
      <c r="R62" s="124" t="n">
        <f aca="false">F62/R$3</f>
        <v>0</v>
      </c>
      <c r="S62" s="126" t="n">
        <f aca="false">J62/$R$3</f>
        <v>0</v>
      </c>
      <c r="T62" s="126" t="n">
        <f aca="false">L62/$R$3</f>
        <v>0</v>
      </c>
      <c r="U62" s="126" t="n">
        <f aca="false">I62/$R$3</f>
        <v>0</v>
      </c>
      <c r="V62" s="126" t="n">
        <f aca="false">M62/$R$3</f>
        <v>0</v>
      </c>
      <c r="W62" s="126" t="n">
        <f aca="false">N62/$R$3</f>
        <v>0</v>
      </c>
    </row>
    <row r="63" customFormat="false" ht="12.75" hidden="false" customHeight="false" outlineLevel="0" collapsed="false">
      <c r="A63" s="120" t="n">
        <f aca="false">A62+1</f>
        <v>36949</v>
      </c>
      <c r="B63" s="131" t="str">
        <f aca="false">INDEX('[4]Master Data'!$A$2:$B$8,MATCH(WEEKDAY('CRD Hedge'!A63,3),'[4]Master Data'!$A$2:$A$8,0),2)</f>
        <v>T</v>
      </c>
      <c r="D63" s="124" t="n">
        <v>0</v>
      </c>
      <c r="E63" s="124" t="n">
        <v>0</v>
      </c>
      <c r="F63" s="124" t="n">
        <v>0</v>
      </c>
      <c r="G63" s="124" t="n">
        <v>0</v>
      </c>
      <c r="I63" s="124" t="n">
        <f aca="false">IF(MONTH($A63)=MONTH($A62),IF(G63=0,I62,G63),G63)</f>
        <v>0</v>
      </c>
      <c r="J63" s="124" t="n">
        <f aca="false">IF(MONTH($A63)=MONTH($A62),SUM(I63-I62),I63)</f>
        <v>0</v>
      </c>
      <c r="K63" s="124" t="n">
        <f aca="false">IF(WEEKDAY(A63,3)&gt;4,0,(IF(A63&lt;K$2,0,IF(A63&lt;=K$3,1,0))))</f>
        <v>0</v>
      </c>
      <c r="L63" s="124" t="n">
        <f aca="false">J63*K63</f>
        <v>0</v>
      </c>
      <c r="M63" s="124" t="n">
        <f aca="false">SUM(J$6:J63)</f>
        <v>0</v>
      </c>
      <c r="N63" s="124" t="n">
        <f aca="false">SUM(J$6:J63)</f>
        <v>0</v>
      </c>
      <c r="P63" s="148" t="n">
        <f aca="false">D63/P$3</f>
        <v>0</v>
      </c>
      <c r="Q63" s="124" t="n">
        <f aca="false">E63/P$3</f>
        <v>0</v>
      </c>
      <c r="R63" s="124" t="n">
        <f aca="false">F63/R$3</f>
        <v>0</v>
      </c>
      <c r="S63" s="126" t="n">
        <f aca="false">J63/$R$3</f>
        <v>0</v>
      </c>
      <c r="T63" s="126" t="n">
        <f aca="false">L63/$R$3</f>
        <v>0</v>
      </c>
      <c r="U63" s="126" t="n">
        <f aca="false">I63/$R$3</f>
        <v>0</v>
      </c>
      <c r="V63" s="126" t="n">
        <f aca="false">M63/$R$3</f>
        <v>0</v>
      </c>
      <c r="W63" s="126" t="n">
        <f aca="false">N63/$R$3</f>
        <v>0</v>
      </c>
    </row>
    <row r="64" customFormat="false" ht="12.75" hidden="false" customHeight="false" outlineLevel="0" collapsed="false">
      <c r="A64" s="120" t="n">
        <f aca="false">A63+1</f>
        <v>36950</v>
      </c>
      <c r="B64" s="131" t="str">
        <f aca="false">INDEX('[4]Master Data'!$A$2:$B$8,MATCH(WEEKDAY('CRD Hedge'!A64,3),'[4]Master Data'!$A$2:$A$8,0),2)</f>
        <v>W</v>
      </c>
      <c r="D64" s="124" t="n">
        <v>0</v>
      </c>
      <c r="E64" s="124" t="n">
        <v>0</v>
      </c>
      <c r="F64" s="124" t="n">
        <v>0</v>
      </c>
      <c r="G64" s="124" t="n">
        <v>0</v>
      </c>
      <c r="I64" s="124" t="n">
        <f aca="false">IF(MONTH($A64)=MONTH($A63),IF(G64=0,I63,G64),G64)</f>
        <v>0</v>
      </c>
      <c r="J64" s="124" t="n">
        <f aca="false">IF(MONTH($A64)=MONTH($A63),SUM(I64-I63),I64)</f>
        <v>0</v>
      </c>
      <c r="K64" s="124" t="n">
        <f aca="false">IF(WEEKDAY(A64,3)&gt;4,0,(IF(A64&lt;K$2,0,IF(A64&lt;=K$3,1,0))))</f>
        <v>0</v>
      </c>
      <c r="L64" s="124" t="n">
        <f aca="false">J64*K64</f>
        <v>0</v>
      </c>
      <c r="M64" s="124" t="n">
        <f aca="false">SUM(J$6:J64)</f>
        <v>0</v>
      </c>
      <c r="N64" s="124" t="n">
        <f aca="false">SUM(J$6:J64)</f>
        <v>0</v>
      </c>
      <c r="P64" s="148" t="n">
        <f aca="false">D64/P$3</f>
        <v>0</v>
      </c>
      <c r="Q64" s="124" t="n">
        <f aca="false">E64/P$3</f>
        <v>0</v>
      </c>
      <c r="R64" s="124" t="n">
        <f aca="false">F64/R$3</f>
        <v>0</v>
      </c>
      <c r="S64" s="126" t="n">
        <f aca="false">J64/$R$3</f>
        <v>0</v>
      </c>
      <c r="T64" s="126" t="n">
        <f aca="false">L64/$R$3</f>
        <v>0</v>
      </c>
      <c r="U64" s="126" t="n">
        <f aca="false">I64/$R$3</f>
        <v>0</v>
      </c>
      <c r="V64" s="126" t="n">
        <f aca="false">M64/$R$3</f>
        <v>0</v>
      </c>
      <c r="W64" s="126" t="n">
        <f aca="false">N64/$R$3</f>
        <v>0</v>
      </c>
    </row>
    <row r="65" customFormat="false" ht="12.75" hidden="false" customHeight="false" outlineLevel="0" collapsed="false">
      <c r="A65" s="120" t="n">
        <f aca="false">A64+1</f>
        <v>36951</v>
      </c>
      <c r="B65" s="131" t="str">
        <f aca="false">INDEX('[4]Master Data'!$A$2:$B$8,MATCH(WEEKDAY('CRD Hedge'!A65,3),'[4]Master Data'!$A$2:$A$8,0),2)</f>
        <v>Th</v>
      </c>
      <c r="D65" s="124" t="n">
        <v>0</v>
      </c>
      <c r="E65" s="124" t="n">
        <v>0</v>
      </c>
      <c r="F65" s="124" t="n">
        <v>0</v>
      </c>
      <c r="G65" s="124" t="n">
        <v>0</v>
      </c>
      <c r="I65" s="124" t="n">
        <f aca="false">IF(MONTH($A65)=MONTH($A64),IF(G65=0,I64,G65),G65)</f>
        <v>0</v>
      </c>
      <c r="J65" s="124" t="n">
        <f aca="false">IF(MONTH($A65)=MONTH($A64),SUM(I65-I64),I65)</f>
        <v>0</v>
      </c>
      <c r="K65" s="124" t="n">
        <f aca="false">IF(WEEKDAY(A65,3)&gt;4,0,(IF(A65&lt;K$2,0,IF(A65&lt;=K$3,1,0))))</f>
        <v>0</v>
      </c>
      <c r="L65" s="124" t="n">
        <f aca="false">J65*K65</f>
        <v>0</v>
      </c>
      <c r="M65" s="124" t="n">
        <f aca="false">SUM(J$6:J65)</f>
        <v>0</v>
      </c>
      <c r="N65" s="124" t="n">
        <f aca="false">SUM(J$6:J65)</f>
        <v>0</v>
      </c>
      <c r="P65" s="148" t="n">
        <f aca="false">D65/P$3</f>
        <v>0</v>
      </c>
      <c r="Q65" s="124" t="n">
        <f aca="false">E65/P$3</f>
        <v>0</v>
      </c>
      <c r="R65" s="124" t="n">
        <f aca="false">F65/R$3</f>
        <v>0</v>
      </c>
      <c r="S65" s="126" t="n">
        <f aca="false">J65/$R$3</f>
        <v>0</v>
      </c>
      <c r="T65" s="126" t="n">
        <f aca="false">L65/$R$3</f>
        <v>0</v>
      </c>
      <c r="U65" s="126" t="n">
        <f aca="false">I65/$R$3</f>
        <v>0</v>
      </c>
      <c r="V65" s="126" t="n">
        <f aca="false">M65/$R$3</f>
        <v>0</v>
      </c>
      <c r="W65" s="126" t="n">
        <f aca="false">N65/$R$3</f>
        <v>0</v>
      </c>
    </row>
    <row r="66" customFormat="false" ht="12.75" hidden="false" customHeight="false" outlineLevel="0" collapsed="false">
      <c r="A66" s="120" t="n">
        <f aca="false">A65+1</f>
        <v>36952</v>
      </c>
      <c r="B66" s="131" t="str">
        <f aca="false">INDEX('[4]Master Data'!$A$2:$B$8,MATCH(WEEKDAY('CRD Hedge'!A66,3),'[4]Master Data'!$A$2:$A$8,0),2)</f>
        <v>F</v>
      </c>
      <c r="D66" s="124" t="n">
        <v>0</v>
      </c>
      <c r="E66" s="124" t="n">
        <v>0</v>
      </c>
      <c r="F66" s="124" t="n">
        <v>0</v>
      </c>
      <c r="G66" s="124" t="n">
        <v>0</v>
      </c>
      <c r="I66" s="124" t="n">
        <f aca="false">IF(MONTH($A66)=MONTH($A65),IF(G66=0,I65,G66),G66)</f>
        <v>0</v>
      </c>
      <c r="J66" s="124" t="n">
        <f aca="false">IF(MONTH($A66)=MONTH($A65),SUM(I66-I65),I66)</f>
        <v>0</v>
      </c>
      <c r="K66" s="124" t="n">
        <f aca="false">IF(WEEKDAY(A66,3)&gt;4,0,(IF(A66&lt;K$2,0,IF(A66&lt;=K$3,1,0))))</f>
        <v>0</v>
      </c>
      <c r="L66" s="124" t="n">
        <f aca="false">J66*K66</f>
        <v>0</v>
      </c>
      <c r="M66" s="124" t="n">
        <f aca="false">SUM(J$6:J66)</f>
        <v>0</v>
      </c>
      <c r="N66" s="124" t="n">
        <f aca="false">SUM(J$6:J66)</f>
        <v>0</v>
      </c>
      <c r="P66" s="148" t="n">
        <f aca="false">D66/P$3</f>
        <v>0</v>
      </c>
      <c r="Q66" s="124" t="n">
        <f aca="false">E66/P$3</f>
        <v>0</v>
      </c>
      <c r="R66" s="124" t="n">
        <f aca="false">F66/R$3</f>
        <v>0</v>
      </c>
      <c r="S66" s="126" t="n">
        <f aca="false">J66/$R$3</f>
        <v>0</v>
      </c>
      <c r="T66" s="126" t="n">
        <f aca="false">L66/$R$3</f>
        <v>0</v>
      </c>
      <c r="U66" s="126" t="n">
        <f aca="false">I66/$R$3</f>
        <v>0</v>
      </c>
      <c r="V66" s="126" t="n">
        <f aca="false">M66/$R$3</f>
        <v>0</v>
      </c>
      <c r="W66" s="126" t="n">
        <f aca="false">N66/$R$3</f>
        <v>0</v>
      </c>
    </row>
    <row r="67" customFormat="false" ht="12.75" hidden="false" customHeight="false" outlineLevel="0" collapsed="false">
      <c r="A67" s="120" t="n">
        <f aca="false">A66+1</f>
        <v>36953</v>
      </c>
      <c r="B67" s="131" t="str">
        <f aca="false">INDEX('[4]Master Data'!$A$2:$B$8,MATCH(WEEKDAY('CRD Hedge'!A67,3),'[4]Master Data'!$A$2:$A$8,0),2)</f>
        <v>Sa</v>
      </c>
      <c r="D67" s="124" t="n">
        <v>0</v>
      </c>
      <c r="E67" s="124" t="n">
        <v>0</v>
      </c>
      <c r="F67" s="124" t="n">
        <v>0</v>
      </c>
      <c r="G67" s="124" t="n">
        <v>0</v>
      </c>
      <c r="I67" s="124" t="n">
        <f aca="false">IF(MONTH($A67)=MONTH($A66),IF(G67=0,I66,G67),G67)</f>
        <v>0</v>
      </c>
      <c r="J67" s="124" t="n">
        <f aca="false">IF(MONTH($A67)=MONTH($A66),SUM(I67-I66),I67)</f>
        <v>0</v>
      </c>
      <c r="K67" s="124" t="n">
        <f aca="false">IF(WEEKDAY(A67,3)&gt;4,0,(IF(A67&lt;K$2,0,IF(A67&lt;=K$3,1,0))))</f>
        <v>0</v>
      </c>
      <c r="L67" s="124" t="n">
        <f aca="false">J67*K67</f>
        <v>0</v>
      </c>
      <c r="M67" s="124" t="n">
        <f aca="false">SUM(J$6:J67)</f>
        <v>0</v>
      </c>
      <c r="N67" s="124" t="n">
        <f aca="false">SUM(J$6:J67)</f>
        <v>0</v>
      </c>
      <c r="P67" s="148" t="n">
        <f aca="false">D67/P$3</f>
        <v>0</v>
      </c>
      <c r="Q67" s="124" t="n">
        <f aca="false">E67/P$3</f>
        <v>0</v>
      </c>
      <c r="R67" s="124" t="n">
        <f aca="false">F67/R$3</f>
        <v>0</v>
      </c>
      <c r="S67" s="126" t="n">
        <f aca="false">J67/$R$3</f>
        <v>0</v>
      </c>
      <c r="T67" s="126" t="n">
        <f aca="false">L67/$R$3</f>
        <v>0</v>
      </c>
      <c r="U67" s="126" t="n">
        <f aca="false">I67/$R$3</f>
        <v>0</v>
      </c>
      <c r="V67" s="126" t="n">
        <f aca="false">M67/$R$3</f>
        <v>0</v>
      </c>
      <c r="W67" s="126" t="n">
        <f aca="false">N67/$R$3</f>
        <v>0</v>
      </c>
    </row>
    <row r="68" customFormat="false" ht="12.75" hidden="false" customHeight="false" outlineLevel="0" collapsed="false">
      <c r="A68" s="120" t="n">
        <f aca="false">A67+1</f>
        <v>36954</v>
      </c>
      <c r="B68" s="131" t="str">
        <f aca="false">INDEX('[4]Master Data'!$A$2:$B$8,MATCH(WEEKDAY('CRD Hedge'!A68,3),'[4]Master Data'!$A$2:$A$8,0),2)</f>
        <v>Su</v>
      </c>
      <c r="D68" s="124" t="n">
        <v>0</v>
      </c>
      <c r="E68" s="124" t="n">
        <v>0</v>
      </c>
      <c r="F68" s="124" t="n">
        <v>0</v>
      </c>
      <c r="G68" s="124" t="n">
        <v>0</v>
      </c>
      <c r="I68" s="124" t="n">
        <f aca="false">IF(MONTH($A68)=MONTH($A67),IF(G68=0,I67,G68),G68)</f>
        <v>0</v>
      </c>
      <c r="J68" s="124" t="n">
        <f aca="false">IF(MONTH($A68)=MONTH($A67),SUM(I68-I67),I68)</f>
        <v>0</v>
      </c>
      <c r="K68" s="124" t="n">
        <f aca="false">IF(WEEKDAY(A68,3)&gt;4,0,(IF(A68&lt;K$2,0,IF(A68&lt;=K$3,1,0))))</f>
        <v>0</v>
      </c>
      <c r="L68" s="124" t="n">
        <f aca="false">J68*K68</f>
        <v>0</v>
      </c>
      <c r="M68" s="124" t="n">
        <f aca="false">SUM(J$6:J68)</f>
        <v>0</v>
      </c>
      <c r="N68" s="124" t="n">
        <f aca="false">SUM(J$6:J68)</f>
        <v>0</v>
      </c>
      <c r="P68" s="148" t="n">
        <f aca="false">D68/P$3</f>
        <v>0</v>
      </c>
      <c r="Q68" s="124" t="n">
        <f aca="false">E68/P$3</f>
        <v>0</v>
      </c>
      <c r="R68" s="124" t="n">
        <f aca="false">F68/R$3</f>
        <v>0</v>
      </c>
      <c r="S68" s="126" t="n">
        <f aca="false">J68/$R$3</f>
        <v>0</v>
      </c>
      <c r="T68" s="126" t="n">
        <f aca="false">L68/$R$3</f>
        <v>0</v>
      </c>
      <c r="U68" s="126" t="n">
        <f aca="false">I68/$R$3</f>
        <v>0</v>
      </c>
      <c r="V68" s="126" t="n">
        <f aca="false">M68/$R$3</f>
        <v>0</v>
      </c>
      <c r="W68" s="126" t="n">
        <f aca="false">N68/$R$3</f>
        <v>0</v>
      </c>
    </row>
    <row r="69" customFormat="false" ht="12.75" hidden="false" customHeight="false" outlineLevel="0" collapsed="false">
      <c r="A69" s="120" t="n">
        <f aca="false">A68+1</f>
        <v>36955</v>
      </c>
      <c r="B69" s="131" t="str">
        <f aca="false">INDEX('[4]Master Data'!$A$2:$B$8,MATCH(WEEKDAY('CRD Hedge'!A69,3),'[4]Master Data'!$A$2:$A$8,0),2)</f>
        <v>M</v>
      </c>
      <c r="D69" s="124" t="n">
        <v>0</v>
      </c>
      <c r="E69" s="124" t="n">
        <v>0</v>
      </c>
      <c r="F69" s="124" t="n">
        <v>0</v>
      </c>
      <c r="G69" s="124" t="n">
        <v>0</v>
      </c>
      <c r="I69" s="124" t="n">
        <f aca="false">IF(MONTH($A69)=MONTH($A68),IF(G69=0,I68,G69),G69)</f>
        <v>0</v>
      </c>
      <c r="J69" s="124" t="n">
        <f aca="false">IF(MONTH($A69)=MONTH($A68),SUM(I69-I68),I69)</f>
        <v>0</v>
      </c>
      <c r="K69" s="124" t="n">
        <f aca="false">IF(WEEKDAY(A69,3)&gt;4,0,(IF(A69&lt;K$2,0,IF(A69&lt;=K$3,1,0))))</f>
        <v>0</v>
      </c>
      <c r="L69" s="124" t="n">
        <f aca="false">J69*K69</f>
        <v>0</v>
      </c>
      <c r="M69" s="124" t="n">
        <f aca="false">SUM(J$6:J69)</f>
        <v>0</v>
      </c>
      <c r="N69" s="124" t="n">
        <f aca="false">SUM(J$6:J69)</f>
        <v>0</v>
      </c>
      <c r="P69" s="148" t="n">
        <f aca="false">D69/P$3</f>
        <v>0</v>
      </c>
      <c r="Q69" s="124" t="n">
        <f aca="false">E69/P$3</f>
        <v>0</v>
      </c>
      <c r="R69" s="124" t="n">
        <f aca="false">F69/R$3</f>
        <v>0</v>
      </c>
      <c r="S69" s="126" t="n">
        <f aca="false">J69/$R$3</f>
        <v>0</v>
      </c>
      <c r="T69" s="126" t="n">
        <f aca="false">L69/$R$3</f>
        <v>0</v>
      </c>
      <c r="U69" s="126" t="n">
        <f aca="false">I69/$R$3</f>
        <v>0</v>
      </c>
      <c r="V69" s="126" t="n">
        <f aca="false">M69/$R$3</f>
        <v>0</v>
      </c>
      <c r="W69" s="126" t="n">
        <f aca="false">N69/$R$3</f>
        <v>0</v>
      </c>
    </row>
    <row r="70" customFormat="false" ht="12.75" hidden="false" customHeight="false" outlineLevel="0" collapsed="false">
      <c r="A70" s="120" t="n">
        <f aca="false">A69+1</f>
        <v>36956</v>
      </c>
      <c r="B70" s="131" t="str">
        <f aca="false">INDEX('[4]Master Data'!$A$2:$B$8,MATCH(WEEKDAY('CRD Hedge'!A70,3),'[4]Master Data'!$A$2:$A$8,0),2)</f>
        <v>T</v>
      </c>
      <c r="D70" s="124" t="n">
        <v>0</v>
      </c>
      <c r="E70" s="124" t="n">
        <v>0</v>
      </c>
      <c r="F70" s="124" t="n">
        <v>0</v>
      </c>
      <c r="G70" s="124" t="n">
        <v>0</v>
      </c>
      <c r="I70" s="124" t="n">
        <f aca="false">IF(MONTH($A70)=MONTH($A69),IF(G70=0,I69,G70),G70)</f>
        <v>0</v>
      </c>
      <c r="J70" s="124" t="n">
        <f aca="false">IF(MONTH($A70)=MONTH($A69),SUM(I70-I69),I70)</f>
        <v>0</v>
      </c>
      <c r="K70" s="124" t="n">
        <f aca="false">IF(WEEKDAY(A70,3)&gt;4,0,(IF(A70&lt;K$2,0,IF(A70&lt;=K$3,1,0))))</f>
        <v>0</v>
      </c>
      <c r="L70" s="124" t="n">
        <f aca="false">J70*K70</f>
        <v>0</v>
      </c>
      <c r="M70" s="124" t="n">
        <f aca="false">SUM(J$6:J70)</f>
        <v>0</v>
      </c>
      <c r="N70" s="124" t="n">
        <f aca="false">SUM(J$6:J70)</f>
        <v>0</v>
      </c>
      <c r="P70" s="148" t="n">
        <f aca="false">D70/P$3</f>
        <v>0</v>
      </c>
      <c r="Q70" s="124" t="n">
        <f aca="false">E70/P$3</f>
        <v>0</v>
      </c>
      <c r="R70" s="124" t="n">
        <f aca="false">F70/R$3</f>
        <v>0</v>
      </c>
      <c r="S70" s="126" t="n">
        <f aca="false">J70/$R$3</f>
        <v>0</v>
      </c>
      <c r="T70" s="126" t="n">
        <f aca="false">L70/$R$3</f>
        <v>0</v>
      </c>
      <c r="U70" s="126" t="n">
        <f aca="false">I70/$R$3</f>
        <v>0</v>
      </c>
      <c r="V70" s="126" t="n">
        <f aca="false">M70/$R$3</f>
        <v>0</v>
      </c>
      <c r="W70" s="126" t="n">
        <f aca="false">N70/$R$3</f>
        <v>0</v>
      </c>
    </row>
    <row r="71" customFormat="false" ht="12.75" hidden="false" customHeight="false" outlineLevel="0" collapsed="false">
      <c r="A71" s="120" t="n">
        <f aca="false">A70+1</f>
        <v>36957</v>
      </c>
      <c r="B71" s="131" t="str">
        <f aca="false">INDEX('[4]Master Data'!$A$2:$B$8,MATCH(WEEKDAY('CRD Hedge'!A71,3),'[4]Master Data'!$A$2:$A$8,0),2)</f>
        <v>W</v>
      </c>
      <c r="D71" s="124" t="n">
        <v>0</v>
      </c>
      <c r="E71" s="124" t="n">
        <v>0</v>
      </c>
      <c r="F71" s="124" t="n">
        <v>0</v>
      </c>
      <c r="G71" s="124" t="n">
        <v>0</v>
      </c>
      <c r="I71" s="124" t="n">
        <f aca="false">IF(MONTH($A71)=MONTH($A70),IF(G71=0,I70,G71),G71)</f>
        <v>0</v>
      </c>
      <c r="J71" s="124" t="n">
        <f aca="false">IF(MONTH($A71)=MONTH($A70),SUM(I71-I70),I71)</f>
        <v>0</v>
      </c>
      <c r="K71" s="124" t="n">
        <f aca="false">IF(WEEKDAY(A71,3)&gt;4,0,(IF(A71&lt;K$2,0,IF(A71&lt;=K$3,1,0))))</f>
        <v>0</v>
      </c>
      <c r="L71" s="124" t="n">
        <f aca="false">J71*K71</f>
        <v>0</v>
      </c>
      <c r="M71" s="124" t="n">
        <f aca="false">SUM(J$6:J71)</f>
        <v>0</v>
      </c>
      <c r="N71" s="124" t="n">
        <f aca="false">SUM(J$6:J71)</f>
        <v>0</v>
      </c>
      <c r="P71" s="148" t="n">
        <f aca="false">D71/P$3</f>
        <v>0</v>
      </c>
      <c r="Q71" s="124" t="n">
        <f aca="false">E71/P$3</f>
        <v>0</v>
      </c>
      <c r="R71" s="124" t="n">
        <f aca="false">F71/R$3</f>
        <v>0</v>
      </c>
      <c r="S71" s="126" t="n">
        <f aca="false">J71/$R$3</f>
        <v>0</v>
      </c>
      <c r="T71" s="126" t="n">
        <f aca="false">L71/$R$3</f>
        <v>0</v>
      </c>
      <c r="U71" s="126" t="n">
        <f aca="false">I71/$R$3</f>
        <v>0</v>
      </c>
      <c r="V71" s="126" t="n">
        <f aca="false">M71/$R$3</f>
        <v>0</v>
      </c>
      <c r="W71" s="126" t="n">
        <f aca="false">N71/$R$3</f>
        <v>0</v>
      </c>
    </row>
    <row r="72" customFormat="false" ht="12.75" hidden="false" customHeight="false" outlineLevel="0" collapsed="false">
      <c r="A72" s="120" t="n">
        <f aca="false">A71+1</f>
        <v>36958</v>
      </c>
      <c r="B72" s="131" t="str">
        <f aca="false">INDEX('[4]Master Data'!$A$2:$B$8,MATCH(WEEKDAY('CRD Hedge'!A72,3),'[4]Master Data'!$A$2:$A$8,0),2)</f>
        <v>Th</v>
      </c>
      <c r="D72" s="124" t="n">
        <v>0</v>
      </c>
      <c r="E72" s="124" t="n">
        <v>0</v>
      </c>
      <c r="F72" s="124" t="n">
        <v>0</v>
      </c>
      <c r="G72" s="124" t="n">
        <v>0</v>
      </c>
      <c r="I72" s="124" t="n">
        <f aca="false">IF(MONTH($A72)=MONTH($A71),IF(G72=0,I71,G72),G72)</f>
        <v>0</v>
      </c>
      <c r="J72" s="124" t="n">
        <f aca="false">IF(MONTH($A72)=MONTH($A71),SUM(I72-I71),I72)</f>
        <v>0</v>
      </c>
      <c r="K72" s="124" t="n">
        <f aca="false">IF(WEEKDAY(A72,3)&gt;4,0,(IF(A72&lt;K$2,0,IF(A72&lt;=K$3,1,0))))</f>
        <v>0</v>
      </c>
      <c r="L72" s="124" t="n">
        <f aca="false">J72*K72</f>
        <v>0</v>
      </c>
      <c r="M72" s="124" t="n">
        <f aca="false">SUM(J$6:J72)</f>
        <v>0</v>
      </c>
      <c r="N72" s="124" t="n">
        <f aca="false">SUM(J$6:J72)</f>
        <v>0</v>
      </c>
      <c r="P72" s="148" t="n">
        <f aca="false">D72/P$3</f>
        <v>0</v>
      </c>
      <c r="Q72" s="124" t="n">
        <f aca="false">E72/P$3</f>
        <v>0</v>
      </c>
      <c r="R72" s="124" t="n">
        <f aca="false">F72/R$3</f>
        <v>0</v>
      </c>
      <c r="S72" s="126" t="n">
        <f aca="false">J72/$R$3</f>
        <v>0</v>
      </c>
      <c r="T72" s="126" t="n">
        <f aca="false">L72/$R$3</f>
        <v>0</v>
      </c>
      <c r="U72" s="126" t="n">
        <f aca="false">I72/$R$3</f>
        <v>0</v>
      </c>
      <c r="V72" s="126" t="n">
        <f aca="false">M72/$R$3</f>
        <v>0</v>
      </c>
      <c r="W72" s="126" t="n">
        <f aca="false">N72/$R$3</f>
        <v>0</v>
      </c>
    </row>
    <row r="73" customFormat="false" ht="12.75" hidden="false" customHeight="false" outlineLevel="0" collapsed="false">
      <c r="A73" s="120" t="n">
        <f aca="false">A72+1</f>
        <v>36959</v>
      </c>
      <c r="B73" s="131" t="str">
        <f aca="false">INDEX('[4]Master Data'!$A$2:$B$8,MATCH(WEEKDAY('CRD Hedge'!A73,3),'[4]Master Data'!$A$2:$A$8,0),2)</f>
        <v>F</v>
      </c>
      <c r="D73" s="124" t="n">
        <v>0</v>
      </c>
      <c r="E73" s="124" t="n">
        <v>0</v>
      </c>
      <c r="F73" s="124" t="n">
        <v>0</v>
      </c>
      <c r="G73" s="124" t="n">
        <v>0</v>
      </c>
      <c r="I73" s="124" t="n">
        <f aca="false">IF(MONTH($A73)=MONTH($A72),IF(G73=0,I72,G73),G73)</f>
        <v>0</v>
      </c>
      <c r="J73" s="124" t="n">
        <f aca="false">IF(MONTH($A73)=MONTH($A72),SUM(I73-I72),I73)</f>
        <v>0</v>
      </c>
      <c r="K73" s="124" t="n">
        <f aca="false">IF(WEEKDAY(A73,3)&gt;4,0,(IF(A73&lt;K$2,0,IF(A73&lt;=K$3,1,0))))</f>
        <v>0</v>
      </c>
      <c r="L73" s="124" t="n">
        <f aca="false">J73*K73</f>
        <v>0</v>
      </c>
      <c r="M73" s="124" t="n">
        <f aca="false">SUM(J$6:J73)</f>
        <v>0</v>
      </c>
      <c r="N73" s="124" t="n">
        <f aca="false">SUM(J$6:J73)</f>
        <v>0</v>
      </c>
      <c r="P73" s="148" t="n">
        <f aca="false">D73/P$3</f>
        <v>0</v>
      </c>
      <c r="Q73" s="124" t="n">
        <f aca="false">E73/P$3</f>
        <v>0</v>
      </c>
      <c r="R73" s="124" t="n">
        <f aca="false">F73/R$3</f>
        <v>0</v>
      </c>
      <c r="S73" s="126" t="n">
        <f aca="false">J73/$R$3</f>
        <v>0</v>
      </c>
      <c r="T73" s="126" t="n">
        <f aca="false">L73/$R$3</f>
        <v>0</v>
      </c>
      <c r="U73" s="126" t="n">
        <f aca="false">I73/$R$3</f>
        <v>0</v>
      </c>
      <c r="V73" s="126" t="n">
        <f aca="false">M73/$R$3</f>
        <v>0</v>
      </c>
      <c r="W73" s="126" t="n">
        <f aca="false">N73/$R$3</f>
        <v>0</v>
      </c>
    </row>
    <row r="74" customFormat="false" ht="12.75" hidden="false" customHeight="false" outlineLevel="0" collapsed="false">
      <c r="A74" s="120" t="n">
        <f aca="false">A73+1</f>
        <v>36960</v>
      </c>
      <c r="B74" s="131" t="str">
        <f aca="false">INDEX('[4]Master Data'!$A$2:$B$8,MATCH(WEEKDAY('CRD Hedge'!A74,3),'[4]Master Data'!$A$2:$A$8,0),2)</f>
        <v>Sa</v>
      </c>
      <c r="D74" s="124" t="n">
        <v>0</v>
      </c>
      <c r="E74" s="124" t="n">
        <v>0</v>
      </c>
      <c r="F74" s="124" t="n">
        <v>0</v>
      </c>
      <c r="G74" s="124" t="n">
        <v>0</v>
      </c>
      <c r="I74" s="124" t="n">
        <f aca="false">IF(MONTH($A74)=MONTH($A73),IF(G74=0,I73,G74),G74)</f>
        <v>0</v>
      </c>
      <c r="J74" s="124" t="n">
        <f aca="false">IF(MONTH($A74)=MONTH($A73),SUM(I74-I73),I74)</f>
        <v>0</v>
      </c>
      <c r="K74" s="124" t="n">
        <f aca="false">IF(WEEKDAY(A74,3)&gt;4,0,(IF(A74&lt;K$2,0,IF(A74&lt;=K$3,1,0))))</f>
        <v>0</v>
      </c>
      <c r="L74" s="124" t="n">
        <f aca="false">J74*K74</f>
        <v>0</v>
      </c>
      <c r="M74" s="124" t="n">
        <f aca="false">SUM(J$6:J74)</f>
        <v>0</v>
      </c>
      <c r="N74" s="124" t="n">
        <f aca="false">SUM(J$6:J74)</f>
        <v>0</v>
      </c>
      <c r="P74" s="148" t="n">
        <f aca="false">D74/P$3</f>
        <v>0</v>
      </c>
      <c r="Q74" s="124" t="n">
        <f aca="false">E74/P$3</f>
        <v>0</v>
      </c>
      <c r="R74" s="124" t="n">
        <f aca="false">F74/R$3</f>
        <v>0</v>
      </c>
      <c r="S74" s="126" t="n">
        <f aca="false">J74/$R$3</f>
        <v>0</v>
      </c>
      <c r="T74" s="126" t="n">
        <f aca="false">L74/$R$3</f>
        <v>0</v>
      </c>
      <c r="U74" s="126" t="n">
        <f aca="false">I74/$R$3</f>
        <v>0</v>
      </c>
      <c r="V74" s="126" t="n">
        <f aca="false">M74/$R$3</f>
        <v>0</v>
      </c>
      <c r="W74" s="126" t="n">
        <f aca="false">N74/$R$3</f>
        <v>0</v>
      </c>
    </row>
    <row r="75" customFormat="false" ht="12.75" hidden="false" customHeight="false" outlineLevel="0" collapsed="false">
      <c r="A75" s="120" t="n">
        <f aca="false">A74+1</f>
        <v>36961</v>
      </c>
      <c r="B75" s="131" t="str">
        <f aca="false">INDEX('[4]Master Data'!$A$2:$B$8,MATCH(WEEKDAY('CRD Hedge'!A75,3),'[4]Master Data'!$A$2:$A$8,0),2)</f>
        <v>Su</v>
      </c>
      <c r="D75" s="124" t="n">
        <v>0</v>
      </c>
      <c r="E75" s="124" t="n">
        <v>0</v>
      </c>
      <c r="F75" s="124" t="n">
        <v>0</v>
      </c>
      <c r="G75" s="124" t="n">
        <v>0</v>
      </c>
      <c r="I75" s="124" t="n">
        <f aca="false">IF(MONTH($A75)=MONTH($A74),IF(G75=0,I74,G75),G75)</f>
        <v>0</v>
      </c>
      <c r="J75" s="124" t="n">
        <f aca="false">IF(MONTH($A75)=MONTH($A74),SUM(I75-I74),I75)</f>
        <v>0</v>
      </c>
      <c r="K75" s="124" t="n">
        <f aca="false">IF(WEEKDAY(A75,3)&gt;4,0,(IF(A75&lt;K$2,0,IF(A75&lt;=K$3,1,0))))</f>
        <v>0</v>
      </c>
      <c r="L75" s="124" t="n">
        <f aca="false">J75*K75</f>
        <v>0</v>
      </c>
      <c r="M75" s="124" t="n">
        <f aca="false">SUM(J$6:J75)</f>
        <v>0</v>
      </c>
      <c r="N75" s="124" t="n">
        <f aca="false">SUM(J$6:J75)</f>
        <v>0</v>
      </c>
      <c r="P75" s="148" t="n">
        <f aca="false">D75/P$3</f>
        <v>0</v>
      </c>
      <c r="Q75" s="124" t="n">
        <f aca="false">E75/P$3</f>
        <v>0</v>
      </c>
      <c r="R75" s="124" t="n">
        <f aca="false">F75/R$3</f>
        <v>0</v>
      </c>
      <c r="S75" s="126" t="n">
        <f aca="false">J75/$R$3</f>
        <v>0</v>
      </c>
      <c r="T75" s="126" t="n">
        <f aca="false">L75/$R$3</f>
        <v>0</v>
      </c>
      <c r="U75" s="126" t="n">
        <f aca="false">I75/$R$3</f>
        <v>0</v>
      </c>
      <c r="V75" s="126" t="n">
        <f aca="false">M75/$R$3</f>
        <v>0</v>
      </c>
      <c r="W75" s="126" t="n">
        <f aca="false">N75/$R$3</f>
        <v>0</v>
      </c>
    </row>
    <row r="76" customFormat="false" ht="12.75" hidden="false" customHeight="false" outlineLevel="0" collapsed="false">
      <c r="A76" s="120" t="n">
        <f aca="false">A75+1</f>
        <v>36962</v>
      </c>
      <c r="B76" s="131" t="str">
        <f aca="false">INDEX('[4]Master Data'!$A$2:$B$8,MATCH(WEEKDAY('CRD Hedge'!A76,3),'[4]Master Data'!$A$2:$A$8,0),2)</f>
        <v>M</v>
      </c>
      <c r="D76" s="124" t="n">
        <v>0</v>
      </c>
      <c r="E76" s="124" t="n">
        <v>0</v>
      </c>
      <c r="F76" s="124" t="n">
        <v>0</v>
      </c>
      <c r="G76" s="124" t="n">
        <v>0</v>
      </c>
      <c r="I76" s="124" t="n">
        <f aca="false">IF(MONTH($A76)=MONTH($A75),IF(G76=0,I75,G76),G76)</f>
        <v>0</v>
      </c>
      <c r="J76" s="124" t="n">
        <f aca="false">IF(MONTH($A76)=MONTH($A75),SUM(I76-I75),I76)</f>
        <v>0</v>
      </c>
      <c r="K76" s="124" t="n">
        <f aca="false">IF(WEEKDAY(A76,3)&gt;4,0,(IF(A76&lt;K$2,0,IF(A76&lt;=K$3,1,0))))</f>
        <v>0</v>
      </c>
      <c r="L76" s="124" t="n">
        <f aca="false">J76*K76</f>
        <v>0</v>
      </c>
      <c r="M76" s="124" t="n">
        <f aca="false">SUM(J$6:J76)</f>
        <v>0</v>
      </c>
      <c r="N76" s="124" t="n">
        <f aca="false">SUM(J$6:J76)</f>
        <v>0</v>
      </c>
      <c r="P76" s="148" t="n">
        <f aca="false">D76/P$3</f>
        <v>0</v>
      </c>
      <c r="Q76" s="124" t="n">
        <f aca="false">E76/P$3</f>
        <v>0</v>
      </c>
      <c r="R76" s="124" t="n">
        <f aca="false">F76/R$3</f>
        <v>0</v>
      </c>
      <c r="S76" s="126" t="n">
        <f aca="false">J76/$R$3</f>
        <v>0</v>
      </c>
      <c r="T76" s="126" t="n">
        <f aca="false">L76/$R$3</f>
        <v>0</v>
      </c>
      <c r="U76" s="126" t="n">
        <f aca="false">I76/$R$3</f>
        <v>0</v>
      </c>
      <c r="V76" s="126" t="n">
        <f aca="false">M76/$R$3</f>
        <v>0</v>
      </c>
      <c r="W76" s="126" t="n">
        <f aca="false">N76/$R$3</f>
        <v>0</v>
      </c>
    </row>
    <row r="77" customFormat="false" ht="12.75" hidden="false" customHeight="false" outlineLevel="0" collapsed="false">
      <c r="A77" s="120" t="n">
        <f aca="false">A76+1</f>
        <v>36963</v>
      </c>
      <c r="B77" s="131" t="str">
        <f aca="false">INDEX('[4]Master Data'!$A$2:$B$8,MATCH(WEEKDAY('CRD Hedge'!A77,3),'[4]Master Data'!$A$2:$A$8,0),2)</f>
        <v>T</v>
      </c>
      <c r="D77" s="124" t="n">
        <v>300000</v>
      </c>
      <c r="E77" s="124" t="n">
        <v>0</v>
      </c>
      <c r="F77" s="124" t="n">
        <v>0</v>
      </c>
      <c r="G77" s="124" t="n">
        <v>895909</v>
      </c>
      <c r="I77" s="124" t="n">
        <f aca="false">IF(MONTH($A77)=MONTH($A76),IF(G77=0,I76,G77),G77)</f>
        <v>895909</v>
      </c>
      <c r="J77" s="124" t="n">
        <f aca="false">IF(MONTH($A77)=MONTH($A76),SUM(I77-I76),I77)</f>
        <v>895909</v>
      </c>
      <c r="K77" s="124" t="n">
        <f aca="false">IF(WEEKDAY(A77,3)&gt;4,0,(IF(A77&lt;K$2,0,IF(A77&lt;=K$3,1,0))))</f>
        <v>0</v>
      </c>
      <c r="L77" s="124" t="n">
        <f aca="false">J77*K77</f>
        <v>0</v>
      </c>
      <c r="M77" s="124" t="n">
        <f aca="false">SUM(J$6:J77)</f>
        <v>895909</v>
      </c>
      <c r="N77" s="124" t="n">
        <f aca="false">SUM(J$6:J77)</f>
        <v>895909</v>
      </c>
      <c r="P77" s="148" t="n">
        <f aca="false">D77/P$3</f>
        <v>300</v>
      </c>
      <c r="Q77" s="124" t="n">
        <f aca="false">E77/P$3</f>
        <v>0</v>
      </c>
      <c r="R77" s="124" t="n">
        <f aca="false">F77/R$3</f>
        <v>0</v>
      </c>
      <c r="S77" s="126" t="n">
        <f aca="false">J77/$R$3</f>
        <v>895.909</v>
      </c>
      <c r="T77" s="126" t="n">
        <f aca="false">L77/$R$3</f>
        <v>0</v>
      </c>
      <c r="U77" s="126" t="n">
        <f aca="false">I77/$R$3</f>
        <v>895.909</v>
      </c>
      <c r="V77" s="126" t="n">
        <f aca="false">M77/$R$3</f>
        <v>895.909</v>
      </c>
      <c r="W77" s="126" t="n">
        <f aca="false">N77/$R$3</f>
        <v>895.909</v>
      </c>
    </row>
    <row r="78" customFormat="false" ht="12.75" hidden="false" customHeight="false" outlineLevel="0" collapsed="false">
      <c r="A78" s="120" t="n">
        <f aca="false">A77+1</f>
        <v>36964</v>
      </c>
      <c r="B78" s="131" t="str">
        <f aca="false">INDEX('[4]Master Data'!$A$2:$B$8,MATCH(WEEKDAY('CRD Hedge'!A78,3),'[4]Master Data'!$A$2:$A$8,0),2)</f>
        <v>W</v>
      </c>
      <c r="D78" s="124" t="n">
        <v>-300000</v>
      </c>
      <c r="E78" s="124" t="n">
        <v>0</v>
      </c>
      <c r="F78" s="124" t="n">
        <v>0</v>
      </c>
      <c r="G78" s="124" t="n">
        <f aca="false">-895909+860000</f>
        <v>-35909</v>
      </c>
      <c r="I78" s="124" t="n">
        <f aca="false">IF(MONTH($A78)=MONTH($A77),IF(G78=0,I77,G78),G78)</f>
        <v>-35909</v>
      </c>
      <c r="J78" s="124" t="n">
        <f aca="false">IF(MONTH($A78)=MONTH($A77),SUM(I78-I77),I78)</f>
        <v>-931818</v>
      </c>
      <c r="K78" s="124" t="n">
        <f aca="false">IF(WEEKDAY(A78,3)&gt;4,0,(IF(A78&lt;K$2,0,IF(A78&lt;=K$3,1,0))))</f>
        <v>0</v>
      </c>
      <c r="L78" s="124" t="n">
        <f aca="false">J78*K78</f>
        <v>-0</v>
      </c>
      <c r="M78" s="124" t="n">
        <f aca="false">SUM(J$6:J78)</f>
        <v>-35909</v>
      </c>
      <c r="N78" s="124" t="n">
        <f aca="false">SUM(J$6:J78)</f>
        <v>-35909</v>
      </c>
      <c r="P78" s="148" t="n">
        <f aca="false">D78/P$3</f>
        <v>-300</v>
      </c>
      <c r="Q78" s="124" t="n">
        <f aca="false">E78/P$3</f>
        <v>0</v>
      </c>
      <c r="R78" s="124" t="n">
        <f aca="false">F78/R$3</f>
        <v>0</v>
      </c>
      <c r="S78" s="126" t="n">
        <f aca="false">J78/$R$3</f>
        <v>-931.818</v>
      </c>
      <c r="T78" s="126" t="n">
        <f aca="false">L78/$R$3</f>
        <v>-0</v>
      </c>
      <c r="U78" s="126" t="n">
        <f aca="false">I78/$R$3</f>
        <v>-35.909</v>
      </c>
      <c r="V78" s="126" t="n">
        <f aca="false">M78/$R$3</f>
        <v>-35.909</v>
      </c>
      <c r="W78" s="126" t="n">
        <f aca="false">N78/$R$3</f>
        <v>-35.909</v>
      </c>
    </row>
    <row r="79" customFormat="false" ht="12.75" hidden="false" customHeight="false" outlineLevel="0" collapsed="false">
      <c r="A79" s="120" t="n">
        <f aca="false">A78+1</f>
        <v>36965</v>
      </c>
      <c r="B79" s="131" t="str">
        <f aca="false">INDEX('[4]Master Data'!$A$2:$B$8,MATCH(WEEKDAY('CRD Hedge'!A79,3),'[4]Master Data'!$A$2:$A$8,0),2)</f>
        <v>Th</v>
      </c>
      <c r="D79" s="124" t="n">
        <v>0</v>
      </c>
      <c r="E79" s="124" t="n">
        <v>0</v>
      </c>
      <c r="F79" s="124" t="n">
        <v>0</v>
      </c>
      <c r="G79" s="124" t="n">
        <v>0</v>
      </c>
      <c r="I79" s="124" t="n">
        <f aca="false">IF(MONTH($A79)=MONTH($A78),IF(G79=0,I78,G79),G79)</f>
        <v>-35909</v>
      </c>
      <c r="J79" s="124" t="n">
        <f aca="false">IF(MONTH($A79)=MONTH($A78),SUM(I79-I78),I79)</f>
        <v>0</v>
      </c>
      <c r="K79" s="124" t="n">
        <f aca="false">IF(WEEKDAY(A79,3)&gt;4,0,(IF(A79&lt;K$2,0,IF(A79&lt;=K$3,1,0))))</f>
        <v>0</v>
      </c>
      <c r="L79" s="124" t="n">
        <f aca="false">J79*K79</f>
        <v>0</v>
      </c>
      <c r="M79" s="124" t="n">
        <f aca="false">SUM(J$6:J79)</f>
        <v>-35909</v>
      </c>
      <c r="N79" s="124" t="n">
        <f aca="false">SUM(J$6:J79)</f>
        <v>-35909</v>
      </c>
      <c r="P79" s="148" t="n">
        <f aca="false">D79/P$3</f>
        <v>0</v>
      </c>
      <c r="Q79" s="124" t="n">
        <f aca="false">E79/P$3</f>
        <v>0</v>
      </c>
      <c r="R79" s="124" t="n">
        <f aca="false">F79/R$3</f>
        <v>0</v>
      </c>
      <c r="S79" s="126" t="n">
        <f aca="false">J79/$R$3</f>
        <v>0</v>
      </c>
      <c r="T79" s="126" t="n">
        <f aca="false">L79/$R$3</f>
        <v>0</v>
      </c>
      <c r="U79" s="126" t="n">
        <f aca="false">I79/$R$3</f>
        <v>-35.909</v>
      </c>
      <c r="V79" s="126" t="n">
        <f aca="false">M79/$R$3</f>
        <v>-35.909</v>
      </c>
      <c r="W79" s="126" t="n">
        <f aca="false">N79/$R$3</f>
        <v>-35.909</v>
      </c>
    </row>
    <row r="80" customFormat="false" ht="12.75" hidden="false" customHeight="false" outlineLevel="0" collapsed="false">
      <c r="A80" s="120" t="n">
        <f aca="false">A79+1</f>
        <v>36966</v>
      </c>
      <c r="B80" s="131" t="str">
        <f aca="false">INDEX('[4]Master Data'!$A$2:$B$8,MATCH(WEEKDAY('CRD Hedge'!A80,3),'[4]Master Data'!$A$2:$A$8,0),2)</f>
        <v>F</v>
      </c>
      <c r="D80" s="124" t="n">
        <v>0</v>
      </c>
      <c r="E80" s="124" t="n">
        <v>0</v>
      </c>
      <c r="F80" s="124" t="n">
        <v>0</v>
      </c>
      <c r="G80" s="124" t="n">
        <v>0</v>
      </c>
      <c r="I80" s="124" t="n">
        <f aca="false">IF(MONTH($A80)=MONTH($A79),IF(G80=0,I79,G80),G80)</f>
        <v>-35909</v>
      </c>
      <c r="J80" s="124" t="n">
        <f aca="false">IF(MONTH($A80)=MONTH($A79),SUM(I80-I79),I80)</f>
        <v>0</v>
      </c>
      <c r="K80" s="124" t="n">
        <f aca="false">IF(WEEKDAY(A80,3)&gt;4,0,(IF(A80&lt;K$2,0,IF(A80&lt;=K$3,1,0))))</f>
        <v>1</v>
      </c>
      <c r="L80" s="124" t="n">
        <f aca="false">J80*K80</f>
        <v>0</v>
      </c>
      <c r="M80" s="124" t="n">
        <f aca="false">SUM(J$6:J80)</f>
        <v>-35909</v>
      </c>
      <c r="N80" s="124" t="n">
        <f aca="false">SUM(J$6:J80)</f>
        <v>-35909</v>
      </c>
      <c r="P80" s="148" t="n">
        <f aca="false">D80/P$3</f>
        <v>0</v>
      </c>
      <c r="Q80" s="124" t="n">
        <f aca="false">E80/P$3</f>
        <v>0</v>
      </c>
      <c r="R80" s="124" t="n">
        <f aca="false">F80/R$3</f>
        <v>0</v>
      </c>
      <c r="S80" s="126" t="n">
        <f aca="false">J80/$R$3</f>
        <v>0</v>
      </c>
      <c r="T80" s="126" t="n">
        <f aca="false">L80/$R$3</f>
        <v>0</v>
      </c>
      <c r="U80" s="126" t="n">
        <f aca="false">I80/$R$3</f>
        <v>-35.909</v>
      </c>
      <c r="V80" s="126" t="n">
        <f aca="false">M80/$R$3</f>
        <v>-35.909</v>
      </c>
      <c r="W80" s="126" t="n">
        <f aca="false">N80/$R$3</f>
        <v>-35.909</v>
      </c>
    </row>
    <row r="81" customFormat="false" ht="12.75" hidden="false" customHeight="false" outlineLevel="0" collapsed="false">
      <c r="A81" s="120" t="n">
        <f aca="false">A80+1</f>
        <v>36967</v>
      </c>
      <c r="B81" s="131" t="str">
        <f aca="false">INDEX('[4]Master Data'!$A$2:$B$8,MATCH(WEEKDAY('CRD Hedge'!A81,3),'[4]Master Data'!$A$2:$A$8,0),2)</f>
        <v>Sa</v>
      </c>
      <c r="D81" s="124" t="n">
        <v>0</v>
      </c>
      <c r="E81" s="124" t="n">
        <v>0</v>
      </c>
      <c r="F81" s="124" t="n">
        <v>0</v>
      </c>
      <c r="G81" s="124" t="n">
        <v>0</v>
      </c>
      <c r="I81" s="124" t="n">
        <f aca="false">IF(MONTH($A81)=MONTH($A80),IF(G81=0,I80,G81),G81)</f>
        <v>-35909</v>
      </c>
      <c r="J81" s="124" t="n">
        <f aca="false">IF(MONTH($A81)=MONTH($A80),SUM(I81-I80),I81)</f>
        <v>0</v>
      </c>
      <c r="K81" s="124" t="n">
        <f aca="false">IF(WEEKDAY(A81,3)&gt;4,0,(IF(A81&lt;K$2,0,IF(A81&lt;=K$3,1,0))))</f>
        <v>0</v>
      </c>
      <c r="L81" s="124" t="n">
        <f aca="false">J81*K81</f>
        <v>0</v>
      </c>
      <c r="M81" s="124" t="n">
        <f aca="false">SUM(J$6:J81)</f>
        <v>-35909</v>
      </c>
      <c r="N81" s="124" t="n">
        <f aca="false">SUM(J$6:J81)</f>
        <v>-35909</v>
      </c>
      <c r="P81" s="148" t="n">
        <f aca="false">D81/P$3</f>
        <v>0</v>
      </c>
      <c r="Q81" s="124" t="n">
        <f aca="false">E81/P$3</f>
        <v>0</v>
      </c>
      <c r="R81" s="124" t="n">
        <f aca="false">F81/R$3</f>
        <v>0</v>
      </c>
      <c r="S81" s="126" t="n">
        <f aca="false">J81/$R$3</f>
        <v>0</v>
      </c>
      <c r="T81" s="126" t="n">
        <f aca="false">L81/$R$3</f>
        <v>0</v>
      </c>
      <c r="U81" s="126" t="n">
        <f aca="false">I81/$R$3</f>
        <v>-35.909</v>
      </c>
      <c r="V81" s="126" t="n">
        <f aca="false">M81/$R$3</f>
        <v>-35.909</v>
      </c>
      <c r="W81" s="126" t="n">
        <f aca="false">N81/$R$3</f>
        <v>-35.909</v>
      </c>
    </row>
    <row r="82" customFormat="false" ht="12.75" hidden="false" customHeight="false" outlineLevel="0" collapsed="false">
      <c r="A82" s="120" t="n">
        <f aca="false">A81+1</f>
        <v>36968</v>
      </c>
      <c r="B82" s="131" t="str">
        <f aca="false">INDEX('[4]Master Data'!$A$2:$B$8,MATCH(WEEKDAY('CRD Hedge'!A82,3),'[4]Master Data'!$A$2:$A$8,0),2)</f>
        <v>Su</v>
      </c>
      <c r="D82" s="124" t="n">
        <v>0</v>
      </c>
      <c r="E82" s="124" t="n">
        <v>0</v>
      </c>
      <c r="F82" s="124" t="n">
        <v>0</v>
      </c>
      <c r="G82" s="124" t="n">
        <v>0</v>
      </c>
      <c r="I82" s="124" t="n">
        <f aca="false">IF(MONTH($A82)=MONTH($A81),IF(G82=0,I81,G82),G82)</f>
        <v>-35909</v>
      </c>
      <c r="J82" s="124" t="n">
        <f aca="false">IF(MONTH($A82)=MONTH($A81),SUM(I82-I81),I82)</f>
        <v>0</v>
      </c>
      <c r="K82" s="124" t="n">
        <f aca="false">IF(WEEKDAY(A82,3)&gt;4,0,(IF(A82&lt;K$2,0,IF(A82&lt;=K$3,1,0))))</f>
        <v>0</v>
      </c>
      <c r="L82" s="124" t="n">
        <f aca="false">J82*K82</f>
        <v>0</v>
      </c>
      <c r="M82" s="124" t="n">
        <f aca="false">SUM(J$6:J82)</f>
        <v>-35909</v>
      </c>
      <c r="N82" s="124" t="n">
        <f aca="false">SUM(J$6:J82)</f>
        <v>-35909</v>
      </c>
      <c r="P82" s="148" t="n">
        <f aca="false">D82/P$3</f>
        <v>0</v>
      </c>
      <c r="Q82" s="124" t="n">
        <f aca="false">E82/P$3</f>
        <v>0</v>
      </c>
      <c r="R82" s="124" t="n">
        <f aca="false">F82/R$3</f>
        <v>0</v>
      </c>
      <c r="S82" s="126" t="n">
        <f aca="false">J82/$R$3</f>
        <v>0</v>
      </c>
      <c r="T82" s="126" t="n">
        <f aca="false">L82/$R$3</f>
        <v>0</v>
      </c>
      <c r="U82" s="126" t="n">
        <f aca="false">I82/$R$3</f>
        <v>-35.909</v>
      </c>
      <c r="V82" s="126" t="n">
        <f aca="false">M82/$R$3</f>
        <v>-35.909</v>
      </c>
      <c r="W82" s="126" t="n">
        <f aca="false">N82/$R$3</f>
        <v>-35.909</v>
      </c>
    </row>
    <row r="83" customFormat="false" ht="12.75" hidden="false" customHeight="false" outlineLevel="0" collapsed="false">
      <c r="A83" s="120" t="n">
        <f aca="false">A82+1</f>
        <v>36969</v>
      </c>
      <c r="B83" s="131" t="str">
        <f aca="false">INDEX('[4]Master Data'!$A$2:$B$8,MATCH(WEEKDAY('CRD Hedge'!A83,3),'[4]Master Data'!$A$2:$A$8,0),2)</f>
        <v>M</v>
      </c>
      <c r="D83" s="124" t="n">
        <v>0</v>
      </c>
      <c r="E83" s="124" t="n">
        <v>0</v>
      </c>
      <c r="F83" s="124" t="n">
        <v>0</v>
      </c>
      <c r="G83" s="124" t="n">
        <v>0</v>
      </c>
      <c r="I83" s="124" t="n">
        <f aca="false">IF(MONTH($A83)=MONTH($A82),IF(G83=0,I82,G83),G83)</f>
        <v>-35909</v>
      </c>
      <c r="J83" s="124" t="n">
        <f aca="false">IF(MONTH($A83)=MONTH($A82),SUM(I83-I82),I83)</f>
        <v>0</v>
      </c>
      <c r="K83" s="124" t="n">
        <f aca="false">IF(WEEKDAY(A83,3)&gt;4,0,(IF(A83&lt;K$2,0,IF(A83&lt;=K$3,1,0))))</f>
        <v>1</v>
      </c>
      <c r="L83" s="124" t="n">
        <f aca="false">J83*K83</f>
        <v>0</v>
      </c>
      <c r="M83" s="124" t="n">
        <f aca="false">SUM(J$6:J83)</f>
        <v>-35909</v>
      </c>
      <c r="N83" s="124" t="n">
        <f aca="false">SUM(J$6:J83)</f>
        <v>-35909</v>
      </c>
      <c r="P83" s="148" t="n">
        <f aca="false">D83/P$3</f>
        <v>0</v>
      </c>
      <c r="Q83" s="124" t="n">
        <f aca="false">E83/P$3</f>
        <v>0</v>
      </c>
      <c r="R83" s="124" t="n">
        <f aca="false">F83/R$3</f>
        <v>0</v>
      </c>
      <c r="S83" s="126" t="n">
        <f aca="false">J83/$R$3</f>
        <v>0</v>
      </c>
      <c r="T83" s="126" t="n">
        <f aca="false">L83/$R$3</f>
        <v>0</v>
      </c>
      <c r="U83" s="126" t="n">
        <f aca="false">I83/$R$3</f>
        <v>-35.909</v>
      </c>
      <c r="V83" s="126" t="n">
        <f aca="false">M83/$R$3</f>
        <v>-35.909</v>
      </c>
      <c r="W83" s="126" t="n">
        <f aca="false">N83/$R$3</f>
        <v>-35.909</v>
      </c>
    </row>
    <row r="84" customFormat="false" ht="12.75" hidden="false" customHeight="false" outlineLevel="0" collapsed="false">
      <c r="A84" s="120" t="n">
        <f aca="false">A83+1</f>
        <v>36970</v>
      </c>
      <c r="B84" s="131" t="str">
        <f aca="false">INDEX('[4]Master Data'!$A$2:$B$8,MATCH(WEEKDAY('CRD Hedge'!A84,3),'[4]Master Data'!$A$2:$A$8,0),2)</f>
        <v>T</v>
      </c>
      <c r="D84" s="124" t="n">
        <v>0</v>
      </c>
      <c r="E84" s="124" t="n">
        <v>0</v>
      </c>
      <c r="F84" s="124" t="n">
        <v>0</v>
      </c>
      <c r="G84" s="124" t="n">
        <v>0</v>
      </c>
      <c r="I84" s="124" t="n">
        <f aca="false">IF(MONTH($A84)=MONTH($A83),IF(G84=0,I83,G84),G84)</f>
        <v>-35909</v>
      </c>
      <c r="J84" s="124" t="n">
        <f aca="false">IF(MONTH($A84)=MONTH($A83),SUM(I84-I83),I84)</f>
        <v>0</v>
      </c>
      <c r="K84" s="124" t="n">
        <f aca="false">IF(WEEKDAY(A84,3)&gt;4,0,(IF(A84&lt;K$2,0,IF(A84&lt;=K$3,1,0))))</f>
        <v>1</v>
      </c>
      <c r="L84" s="124" t="n">
        <f aca="false">J84*K84</f>
        <v>0</v>
      </c>
      <c r="M84" s="124" t="n">
        <f aca="false">SUM(J$6:J84)</f>
        <v>-35909</v>
      </c>
      <c r="N84" s="124" t="n">
        <f aca="false">SUM(J$6:J84)</f>
        <v>-35909</v>
      </c>
      <c r="P84" s="148" t="n">
        <f aca="false">D84/P$3</f>
        <v>0</v>
      </c>
      <c r="Q84" s="124" t="n">
        <f aca="false">E84/P$3</f>
        <v>0</v>
      </c>
      <c r="R84" s="124" t="n">
        <f aca="false">F84/R$3</f>
        <v>0</v>
      </c>
      <c r="S84" s="126" t="n">
        <f aca="false">J84/$R$3</f>
        <v>0</v>
      </c>
      <c r="T84" s="126" t="n">
        <f aca="false">L84/$R$3</f>
        <v>0</v>
      </c>
      <c r="U84" s="126" t="n">
        <f aca="false">I84/$R$3</f>
        <v>-35.909</v>
      </c>
      <c r="V84" s="126" t="n">
        <f aca="false">M84/$R$3</f>
        <v>-35.909</v>
      </c>
      <c r="W84" s="126" t="n">
        <f aca="false">N84/$R$3</f>
        <v>-35.909</v>
      </c>
    </row>
    <row r="85" customFormat="false" ht="12.75" hidden="false" customHeight="false" outlineLevel="0" collapsed="false">
      <c r="A85" s="120" t="n">
        <f aca="false">A84+1</f>
        <v>36971</v>
      </c>
      <c r="B85" s="131" t="str">
        <f aca="false">INDEX('[4]Master Data'!$A$2:$B$8,MATCH(WEEKDAY('CRD Hedge'!A85,3),'[4]Master Data'!$A$2:$A$8,0),2)</f>
        <v>W</v>
      </c>
      <c r="D85" s="124" t="n">
        <v>0</v>
      </c>
      <c r="E85" s="124" t="n">
        <v>0</v>
      </c>
      <c r="F85" s="124" t="n">
        <v>0</v>
      </c>
      <c r="G85" s="124" t="n">
        <v>0</v>
      </c>
      <c r="I85" s="124" t="n">
        <f aca="false">IF(MONTH($A85)=MONTH($A84),IF(G85=0,I84,G85),G85)</f>
        <v>-35909</v>
      </c>
      <c r="J85" s="124" t="n">
        <f aca="false">IF(MONTH($A85)=MONTH($A84),SUM(I85-I84),I85)</f>
        <v>0</v>
      </c>
      <c r="K85" s="124" t="n">
        <f aca="false">IF(WEEKDAY(A85,3)&gt;4,0,(IF(A85&lt;K$2,0,IF(A85&lt;=K$3,1,0))))</f>
        <v>1</v>
      </c>
      <c r="L85" s="124" t="n">
        <f aca="false">J85*K85</f>
        <v>0</v>
      </c>
      <c r="M85" s="124" t="n">
        <f aca="false">SUM(J$6:J85)</f>
        <v>-35909</v>
      </c>
      <c r="N85" s="124" t="n">
        <f aca="false">SUM(J$6:J85)</f>
        <v>-35909</v>
      </c>
      <c r="P85" s="148" t="n">
        <f aca="false">D85/P$3</f>
        <v>0</v>
      </c>
      <c r="Q85" s="124" t="n">
        <f aca="false">E85/P$3</f>
        <v>0</v>
      </c>
      <c r="R85" s="124" t="n">
        <f aca="false">F85/R$3</f>
        <v>0</v>
      </c>
      <c r="S85" s="126" t="n">
        <f aca="false">J85/$R$3</f>
        <v>0</v>
      </c>
      <c r="T85" s="126" t="n">
        <f aca="false">L85/$R$3</f>
        <v>0</v>
      </c>
      <c r="U85" s="126" t="n">
        <f aca="false">I85/$R$3</f>
        <v>-35.909</v>
      </c>
      <c r="V85" s="126" t="n">
        <f aca="false">M85/$R$3</f>
        <v>-35.909</v>
      </c>
      <c r="W85" s="126" t="n">
        <f aca="false">N85/$R$3</f>
        <v>-35.909</v>
      </c>
    </row>
    <row r="86" customFormat="false" ht="12.75" hidden="false" customHeight="false" outlineLevel="0" collapsed="false">
      <c r="A86" s="120" t="n">
        <f aca="false">A85+1</f>
        <v>36972</v>
      </c>
      <c r="B86" s="131" t="str">
        <f aca="false">INDEX('[4]Master Data'!$A$2:$B$8,MATCH(WEEKDAY('CRD Hedge'!A86,3),'[4]Master Data'!$A$2:$A$8,0),2)</f>
        <v>Th</v>
      </c>
      <c r="D86" s="124" t="n">
        <v>0</v>
      </c>
      <c r="E86" s="124" t="n">
        <v>0</v>
      </c>
      <c r="F86" s="124" t="n">
        <v>0</v>
      </c>
      <c r="G86" s="124" t="n">
        <v>0</v>
      </c>
      <c r="I86" s="124" t="n">
        <f aca="false">IF(MONTH($A86)=MONTH($A85),IF(G86=0,I85,G86),G86)</f>
        <v>-35909</v>
      </c>
      <c r="J86" s="124" t="n">
        <f aca="false">IF(MONTH($A86)=MONTH($A85),SUM(I86-I85),I86)</f>
        <v>0</v>
      </c>
      <c r="K86" s="124" t="n">
        <f aca="false">IF(WEEKDAY(A86,3)&gt;4,0,(IF(A86&lt;K$2,0,IF(A86&lt;=K$3,1,0))))</f>
        <v>1</v>
      </c>
      <c r="L86" s="124" t="n">
        <f aca="false">J86*K86</f>
        <v>0</v>
      </c>
      <c r="M86" s="124" t="n">
        <f aca="false">SUM(J$6:J86)</f>
        <v>-35909</v>
      </c>
      <c r="N86" s="124" t="n">
        <f aca="false">SUM(J$6:J86)</f>
        <v>-35909</v>
      </c>
      <c r="P86" s="148" t="n">
        <f aca="false">D86/P$3</f>
        <v>0</v>
      </c>
      <c r="Q86" s="124" t="n">
        <f aca="false">E86/P$3</f>
        <v>0</v>
      </c>
      <c r="R86" s="124" t="n">
        <f aca="false">F86/R$3</f>
        <v>0</v>
      </c>
      <c r="S86" s="126" t="n">
        <f aca="false">J86/$R$3</f>
        <v>0</v>
      </c>
      <c r="T86" s="126" t="n">
        <f aca="false">L86/$R$3</f>
        <v>0</v>
      </c>
      <c r="U86" s="126" t="n">
        <f aca="false">I86/$R$3</f>
        <v>-35.909</v>
      </c>
      <c r="V86" s="126" t="n">
        <f aca="false">M86/$R$3</f>
        <v>-35.909</v>
      </c>
      <c r="W86" s="126" t="n">
        <f aca="false">N86/$R$3</f>
        <v>-35.909</v>
      </c>
    </row>
    <row r="87" customFormat="false" ht="12.75" hidden="false" customHeight="false" outlineLevel="0" collapsed="false">
      <c r="A87" s="120" t="n">
        <f aca="false">A86+1</f>
        <v>36973</v>
      </c>
      <c r="B87" s="131" t="str">
        <f aca="false">INDEX('[4]Master Data'!$A$2:$B$8,MATCH(WEEKDAY('CRD Hedge'!A87,3),'[4]Master Data'!$A$2:$A$8,0),2)</f>
        <v>F</v>
      </c>
      <c r="D87" s="124" t="n">
        <v>0</v>
      </c>
      <c r="E87" s="124" t="n">
        <v>0</v>
      </c>
      <c r="F87" s="124" t="n">
        <v>0</v>
      </c>
      <c r="G87" s="124" t="n">
        <v>0</v>
      </c>
      <c r="I87" s="124" t="n">
        <f aca="false">IF(MONTH($A87)=MONTH($A86),IF(G87=0,I86,G87),G87)</f>
        <v>-35909</v>
      </c>
      <c r="J87" s="124" t="n">
        <f aca="false">IF(MONTH($A87)=MONTH($A86),SUM(I87-I86),I87)</f>
        <v>0</v>
      </c>
      <c r="K87" s="124" t="n">
        <f aca="false">IF(WEEKDAY(A87,3)&gt;4,0,(IF(A87&lt;K$2,0,IF(A87&lt;=K$3,1,0))))</f>
        <v>0</v>
      </c>
      <c r="L87" s="124" t="n">
        <f aca="false">J87*K87</f>
        <v>0</v>
      </c>
      <c r="M87" s="124" t="n">
        <f aca="false">SUM(J$6:J87)</f>
        <v>-35909</v>
      </c>
      <c r="N87" s="124" t="n">
        <f aca="false">SUM(J$6:J87)</f>
        <v>-35909</v>
      </c>
      <c r="P87" s="148" t="n">
        <f aca="false">D87/P$3</f>
        <v>0</v>
      </c>
      <c r="Q87" s="124" t="n">
        <f aca="false">E87/P$3</f>
        <v>0</v>
      </c>
      <c r="R87" s="124" t="n">
        <f aca="false">F87/R$3</f>
        <v>0</v>
      </c>
      <c r="S87" s="126" t="n">
        <f aca="false">J87/$R$3</f>
        <v>0</v>
      </c>
      <c r="T87" s="126" t="n">
        <f aca="false">L87/$R$3</f>
        <v>0</v>
      </c>
      <c r="U87" s="126" t="n">
        <f aca="false">I87/$R$3</f>
        <v>-35.909</v>
      </c>
      <c r="V87" s="126" t="n">
        <f aca="false">M87/$R$3</f>
        <v>-35.909</v>
      </c>
      <c r="W87" s="126" t="n">
        <f aca="false">N87/$R$3</f>
        <v>-35.909</v>
      </c>
    </row>
    <row r="88" customFormat="false" ht="12.75" hidden="false" customHeight="false" outlineLevel="0" collapsed="false">
      <c r="A88" s="120" t="n">
        <f aca="false">A87+1</f>
        <v>36974</v>
      </c>
      <c r="B88" s="131" t="str">
        <f aca="false">INDEX('[4]Master Data'!$A$2:$B$8,MATCH(WEEKDAY('CRD Hedge'!A88,3),'[4]Master Data'!$A$2:$A$8,0),2)</f>
        <v>Sa</v>
      </c>
      <c r="D88" s="124" t="n">
        <v>0</v>
      </c>
      <c r="E88" s="124" t="n">
        <v>0</v>
      </c>
      <c r="F88" s="124" t="n">
        <v>0</v>
      </c>
      <c r="G88" s="124" t="n">
        <v>0</v>
      </c>
      <c r="I88" s="124" t="n">
        <f aca="false">IF(MONTH($A88)=MONTH($A87),IF(G88=0,I87,G88),G88)</f>
        <v>-35909</v>
      </c>
      <c r="J88" s="124" t="n">
        <f aca="false">IF(MONTH($A88)=MONTH($A87),SUM(I88-I87),I88)</f>
        <v>0</v>
      </c>
      <c r="K88" s="124" t="n">
        <f aca="false">IF(WEEKDAY(A88,3)&gt;4,0,(IF(A88&lt;K$2,0,IF(A88&lt;=K$3,1,0))))</f>
        <v>0</v>
      </c>
      <c r="L88" s="124" t="n">
        <f aca="false">J88*K88</f>
        <v>0</v>
      </c>
      <c r="M88" s="124" t="n">
        <f aca="false">SUM(J$6:J88)</f>
        <v>-35909</v>
      </c>
      <c r="N88" s="124" t="n">
        <f aca="false">SUM(J$6:J88)</f>
        <v>-35909</v>
      </c>
      <c r="P88" s="148" t="n">
        <f aca="false">D88/P$3</f>
        <v>0</v>
      </c>
      <c r="Q88" s="124" t="n">
        <f aca="false">E88/P$3</f>
        <v>0</v>
      </c>
      <c r="R88" s="124" t="n">
        <f aca="false">F88/R$3</f>
        <v>0</v>
      </c>
      <c r="S88" s="126" t="n">
        <f aca="false">J88/$R$3</f>
        <v>0</v>
      </c>
      <c r="T88" s="126" t="n">
        <f aca="false">L88/$R$3</f>
        <v>0</v>
      </c>
      <c r="U88" s="126" t="n">
        <f aca="false">I88/$R$3</f>
        <v>-35.909</v>
      </c>
      <c r="V88" s="126" t="n">
        <f aca="false">M88/$R$3</f>
        <v>-35.909</v>
      </c>
      <c r="W88" s="126" t="n">
        <f aca="false">N88/$R$3</f>
        <v>-35.909</v>
      </c>
    </row>
    <row r="89" customFormat="false" ht="12.75" hidden="false" customHeight="false" outlineLevel="0" collapsed="false">
      <c r="A89" s="120" t="n">
        <f aca="false">A88+1</f>
        <v>36975</v>
      </c>
      <c r="B89" s="131" t="str">
        <f aca="false">INDEX('[4]Master Data'!$A$2:$B$8,MATCH(WEEKDAY('CRD Hedge'!A89,3),'[4]Master Data'!$A$2:$A$8,0),2)</f>
        <v>Su</v>
      </c>
      <c r="D89" s="124" t="n">
        <v>0</v>
      </c>
      <c r="E89" s="124" t="n">
        <v>0</v>
      </c>
      <c r="F89" s="124" t="n">
        <v>0</v>
      </c>
      <c r="G89" s="124" t="n">
        <v>0</v>
      </c>
      <c r="I89" s="124" t="n">
        <f aca="false">IF(MONTH($A89)=MONTH($A88),IF(G89=0,I88,G89),G89)</f>
        <v>-35909</v>
      </c>
      <c r="J89" s="124" t="n">
        <f aca="false">IF(MONTH($A89)=MONTH($A88),SUM(I89-I88),I89)</f>
        <v>0</v>
      </c>
      <c r="K89" s="124" t="n">
        <f aca="false">IF(WEEKDAY(A89,3)&gt;4,0,(IF(A89&lt;K$2,0,IF(A89&lt;=K$3,1,0))))</f>
        <v>0</v>
      </c>
      <c r="L89" s="124" t="n">
        <f aca="false">J89*K89</f>
        <v>0</v>
      </c>
      <c r="M89" s="124" t="n">
        <f aca="false">SUM(J$6:J89)</f>
        <v>-35909</v>
      </c>
      <c r="N89" s="124" t="n">
        <f aca="false">SUM(J$6:J89)</f>
        <v>-35909</v>
      </c>
      <c r="P89" s="148" t="n">
        <f aca="false">D89/P$3</f>
        <v>0</v>
      </c>
      <c r="Q89" s="124" t="n">
        <f aca="false">E89/P$3</f>
        <v>0</v>
      </c>
      <c r="R89" s="124" t="n">
        <f aca="false">F89/R$3</f>
        <v>0</v>
      </c>
      <c r="S89" s="126" t="n">
        <f aca="false">J89/$R$3</f>
        <v>0</v>
      </c>
      <c r="T89" s="126" t="n">
        <f aca="false">L89/$R$3</f>
        <v>0</v>
      </c>
      <c r="U89" s="126" t="n">
        <f aca="false">I89/$R$3</f>
        <v>-35.909</v>
      </c>
      <c r="V89" s="126" t="n">
        <f aca="false">M89/$R$3</f>
        <v>-35.909</v>
      </c>
      <c r="W89" s="126" t="n">
        <f aca="false">N89/$R$3</f>
        <v>-35.909</v>
      </c>
    </row>
    <row r="90" customFormat="false" ht="12.75" hidden="false" customHeight="false" outlineLevel="0" collapsed="false">
      <c r="A90" s="120" t="n">
        <f aca="false">A89+1</f>
        <v>36976</v>
      </c>
      <c r="B90" s="131" t="str">
        <f aca="false">INDEX('[4]Master Data'!$A$2:$B$8,MATCH(WEEKDAY('CRD Hedge'!A90,3),'[4]Master Data'!$A$2:$A$8,0),2)</f>
        <v>M</v>
      </c>
      <c r="D90" s="124" t="n">
        <v>0</v>
      </c>
      <c r="E90" s="124" t="n">
        <v>0</v>
      </c>
      <c r="F90" s="124" t="n">
        <v>0</v>
      </c>
      <c r="G90" s="124" t="n">
        <v>0</v>
      </c>
      <c r="I90" s="124" t="n">
        <f aca="false">IF(MONTH($A90)=MONTH($A89),IF(G90=0,I89,G90),G90)</f>
        <v>-35909</v>
      </c>
      <c r="J90" s="124" t="n">
        <f aca="false">IF(MONTH($A90)=MONTH($A89),SUM(I90-I89),I90)</f>
        <v>0</v>
      </c>
      <c r="K90" s="124" t="n">
        <f aca="false">IF(WEEKDAY(A90,3)&gt;4,0,(IF(A90&lt;K$2,0,IF(A90&lt;=K$3,1,0))))</f>
        <v>0</v>
      </c>
      <c r="L90" s="124" t="n">
        <f aca="false">J90*K90</f>
        <v>0</v>
      </c>
      <c r="M90" s="124" t="n">
        <f aca="false">SUM(J$6:J90)</f>
        <v>-35909</v>
      </c>
      <c r="N90" s="124" t="n">
        <f aca="false">SUM(J$6:J90)</f>
        <v>-35909</v>
      </c>
      <c r="P90" s="148" t="n">
        <f aca="false">D90/P$3</f>
        <v>0</v>
      </c>
      <c r="Q90" s="124" t="n">
        <f aca="false">E90/P$3</f>
        <v>0</v>
      </c>
      <c r="R90" s="124" t="n">
        <f aca="false">F90/R$3</f>
        <v>0</v>
      </c>
      <c r="S90" s="126" t="n">
        <f aca="false">J90/$R$3</f>
        <v>0</v>
      </c>
      <c r="T90" s="126" t="n">
        <f aca="false">L90/$R$3</f>
        <v>0</v>
      </c>
      <c r="U90" s="126" t="n">
        <f aca="false">I90/$R$3</f>
        <v>-35.909</v>
      </c>
      <c r="V90" s="126" t="n">
        <f aca="false">M90/$R$3</f>
        <v>-35.909</v>
      </c>
      <c r="W90" s="126" t="n">
        <f aca="false">N90/$R$3</f>
        <v>-35.909</v>
      </c>
    </row>
    <row r="91" customFormat="false" ht="12.75" hidden="false" customHeight="false" outlineLevel="0" collapsed="false">
      <c r="A91" s="120" t="n">
        <f aca="false">A90+1</f>
        <v>36977</v>
      </c>
      <c r="B91" s="131" t="str">
        <f aca="false">INDEX('[4]Master Data'!$A$2:$B$8,MATCH(WEEKDAY('CRD Hedge'!A91,3),'[4]Master Data'!$A$2:$A$8,0),2)</f>
        <v>T</v>
      </c>
      <c r="D91" s="124" t="n">
        <v>0</v>
      </c>
      <c r="E91" s="124" t="n">
        <v>0</v>
      </c>
      <c r="F91" s="124" t="n">
        <v>0</v>
      </c>
      <c r="G91" s="124" t="n">
        <v>0</v>
      </c>
      <c r="I91" s="124" t="n">
        <f aca="false">IF(MONTH($A91)=MONTH($A90),IF(G91=0,I90,G91),G91)</f>
        <v>-35909</v>
      </c>
      <c r="J91" s="124" t="n">
        <f aca="false">IF(MONTH($A91)=MONTH($A90),SUM(I91-I90),I91)</f>
        <v>0</v>
      </c>
      <c r="K91" s="124" t="n">
        <f aca="false">IF(WEEKDAY(A91,3)&gt;4,0,(IF(A91&lt;K$2,0,IF(A91&lt;=K$3,1,0))))</f>
        <v>0</v>
      </c>
      <c r="L91" s="124" t="n">
        <f aca="false">J91*K91</f>
        <v>0</v>
      </c>
      <c r="M91" s="124" t="n">
        <f aca="false">SUM(J$6:J91)</f>
        <v>-35909</v>
      </c>
      <c r="N91" s="124" t="n">
        <f aca="false">SUM(J$6:J91)</f>
        <v>-35909</v>
      </c>
      <c r="P91" s="148" t="n">
        <f aca="false">D91/P$3</f>
        <v>0</v>
      </c>
      <c r="Q91" s="124" t="n">
        <f aca="false">E91/P$3</f>
        <v>0</v>
      </c>
      <c r="R91" s="124" t="n">
        <f aca="false">F91/R$3</f>
        <v>0</v>
      </c>
      <c r="S91" s="126" t="n">
        <f aca="false">J91/$R$3</f>
        <v>0</v>
      </c>
      <c r="T91" s="126" t="n">
        <f aca="false">L91/$R$3</f>
        <v>0</v>
      </c>
      <c r="U91" s="126" t="n">
        <f aca="false">I91/$R$3</f>
        <v>-35.909</v>
      </c>
      <c r="V91" s="126" t="n">
        <f aca="false">M91/$R$3</f>
        <v>-35.909</v>
      </c>
      <c r="W91" s="126" t="n">
        <f aca="false">N91/$R$3</f>
        <v>-35.909</v>
      </c>
    </row>
    <row r="92" customFormat="false" ht="12.75" hidden="false" customHeight="false" outlineLevel="0" collapsed="false">
      <c r="A92" s="120" t="n">
        <f aca="false">A91+1</f>
        <v>36978</v>
      </c>
      <c r="B92" s="131" t="str">
        <f aca="false">INDEX('[4]Master Data'!$A$2:$B$8,MATCH(WEEKDAY('CRD Hedge'!A92,3),'[4]Master Data'!$A$2:$A$8,0),2)</f>
        <v>W</v>
      </c>
      <c r="D92" s="124" t="n">
        <v>0</v>
      </c>
      <c r="E92" s="124" t="n">
        <v>0</v>
      </c>
      <c r="F92" s="124" t="n">
        <v>0</v>
      </c>
      <c r="G92" s="124" t="n">
        <v>0</v>
      </c>
      <c r="I92" s="124" t="n">
        <f aca="false">IF(MONTH($A92)=MONTH($A91),IF(G92=0,I91,G92),G92)</f>
        <v>-35909</v>
      </c>
      <c r="J92" s="124" t="n">
        <f aca="false">IF(MONTH($A92)=MONTH($A91),SUM(I92-I91),I92)</f>
        <v>0</v>
      </c>
      <c r="K92" s="124" t="n">
        <f aca="false">IF(WEEKDAY(A92,3)&gt;4,0,(IF(A92&lt;K$2,0,IF(A92&lt;=K$3,1,0))))</f>
        <v>0</v>
      </c>
      <c r="L92" s="124" t="n">
        <f aca="false">J92*K92</f>
        <v>0</v>
      </c>
      <c r="M92" s="124" t="n">
        <f aca="false">SUM(J$6:J92)</f>
        <v>-35909</v>
      </c>
      <c r="N92" s="124" t="n">
        <f aca="false">SUM(J$6:J92)</f>
        <v>-35909</v>
      </c>
      <c r="P92" s="148" t="n">
        <f aca="false">D92/P$3</f>
        <v>0</v>
      </c>
      <c r="Q92" s="124" t="n">
        <f aca="false">E92/P$3</f>
        <v>0</v>
      </c>
      <c r="R92" s="124" t="n">
        <f aca="false">F92/R$3</f>
        <v>0</v>
      </c>
      <c r="S92" s="126" t="n">
        <f aca="false">J92/$R$3</f>
        <v>0</v>
      </c>
      <c r="T92" s="126" t="n">
        <f aca="false">L92/$R$3</f>
        <v>0</v>
      </c>
      <c r="U92" s="126" t="n">
        <f aca="false">I92/$R$3</f>
        <v>-35.909</v>
      </c>
      <c r="V92" s="126" t="n">
        <f aca="false">M92/$R$3</f>
        <v>-35.909</v>
      </c>
      <c r="W92" s="126" t="n">
        <f aca="false">N92/$R$3</f>
        <v>-35.909</v>
      </c>
    </row>
    <row r="93" customFormat="false" ht="12.75" hidden="false" customHeight="false" outlineLevel="0" collapsed="false">
      <c r="A93" s="120" t="n">
        <f aca="false">A92+1</f>
        <v>36979</v>
      </c>
      <c r="B93" s="131" t="str">
        <f aca="false">INDEX('[4]Master Data'!$A$2:$B$8,MATCH(WEEKDAY('CRD Hedge'!A93,3),'[4]Master Data'!$A$2:$A$8,0),2)</f>
        <v>Th</v>
      </c>
      <c r="D93" s="124" t="n">
        <v>0</v>
      </c>
      <c r="E93" s="124" t="n">
        <v>0</v>
      </c>
      <c r="F93" s="124" t="n">
        <v>0</v>
      </c>
      <c r="G93" s="124" t="n">
        <v>0</v>
      </c>
      <c r="I93" s="124" t="n">
        <f aca="false">IF(MONTH($A93)=MONTH($A92),IF(G93=0,I92,G93),G93)</f>
        <v>-35909</v>
      </c>
      <c r="J93" s="124" t="n">
        <f aca="false">IF(MONTH($A93)=MONTH($A92),SUM(I93-I92),I93)</f>
        <v>0</v>
      </c>
      <c r="K93" s="124" t="n">
        <f aca="false">IF(WEEKDAY(A93,3)&gt;4,0,(IF(A93&lt;K$2,0,IF(A93&lt;=K$3,1,0))))</f>
        <v>0</v>
      </c>
      <c r="L93" s="124" t="n">
        <f aca="false">J93*K93</f>
        <v>0</v>
      </c>
      <c r="M93" s="124" t="n">
        <f aca="false">SUM(J$6:J93)</f>
        <v>-35909</v>
      </c>
      <c r="N93" s="124" t="n">
        <f aca="false">SUM(J$6:J93)</f>
        <v>-35909</v>
      </c>
      <c r="P93" s="148" t="n">
        <f aca="false">D93/P$3</f>
        <v>0</v>
      </c>
      <c r="Q93" s="124" t="n">
        <f aca="false">E93/P$3</f>
        <v>0</v>
      </c>
      <c r="R93" s="124" t="n">
        <f aca="false">F93/R$3</f>
        <v>0</v>
      </c>
      <c r="S93" s="126" t="n">
        <f aca="false">J93/$R$3</f>
        <v>0</v>
      </c>
      <c r="T93" s="126" t="n">
        <f aca="false">L93/$R$3</f>
        <v>0</v>
      </c>
      <c r="U93" s="126" t="n">
        <f aca="false">I93/$R$3</f>
        <v>-35.909</v>
      </c>
      <c r="V93" s="126" t="n">
        <f aca="false">M93/$R$3</f>
        <v>-35.909</v>
      </c>
      <c r="W93" s="126" t="n">
        <f aca="false">N93/$R$3</f>
        <v>-35.909</v>
      </c>
    </row>
    <row r="94" customFormat="false" ht="12.75" hidden="false" customHeight="false" outlineLevel="0" collapsed="false">
      <c r="A94" s="120" t="n">
        <f aca="false">A93+1</f>
        <v>36980</v>
      </c>
      <c r="B94" s="131" t="str">
        <f aca="false">INDEX('[4]Master Data'!$A$2:$B$8,MATCH(WEEKDAY('CRD Hedge'!A94,3),'[4]Master Data'!$A$2:$A$8,0),2)</f>
        <v>F</v>
      </c>
      <c r="D94" s="124" t="n">
        <v>0</v>
      </c>
      <c r="E94" s="124" t="n">
        <v>0</v>
      </c>
      <c r="F94" s="124" t="n">
        <v>0</v>
      </c>
      <c r="G94" s="124" t="n">
        <v>0</v>
      </c>
      <c r="I94" s="124" t="n">
        <f aca="false">IF(MONTH($A94)=MONTH($A93),IF(G94=0,I93,G94),G94)</f>
        <v>-35909</v>
      </c>
      <c r="J94" s="124" t="n">
        <f aca="false">IF(MONTH($A94)=MONTH($A93),SUM(I94-I93),I94)</f>
        <v>0</v>
      </c>
      <c r="K94" s="124" t="n">
        <f aca="false">IF(WEEKDAY(A94,3)&gt;4,0,(IF(A94&lt;K$2,0,IF(A94&lt;=K$3,1,0))))</f>
        <v>0</v>
      </c>
      <c r="L94" s="124" t="n">
        <f aca="false">J94*K94</f>
        <v>0</v>
      </c>
      <c r="M94" s="124" t="n">
        <f aca="false">SUM(J$6:J94)</f>
        <v>-35909</v>
      </c>
      <c r="N94" s="124" t="n">
        <f aca="false">SUM(J$6:J94)</f>
        <v>-35909</v>
      </c>
      <c r="P94" s="148" t="n">
        <f aca="false">D94/P$3</f>
        <v>0</v>
      </c>
      <c r="Q94" s="124" t="n">
        <f aca="false">E94/P$3</f>
        <v>0</v>
      </c>
      <c r="R94" s="124" t="n">
        <f aca="false">F94/R$3</f>
        <v>0</v>
      </c>
      <c r="S94" s="126" t="n">
        <f aca="false">J94/$R$3</f>
        <v>0</v>
      </c>
      <c r="T94" s="126" t="n">
        <f aca="false">L94/$R$3</f>
        <v>0</v>
      </c>
      <c r="U94" s="126" t="n">
        <f aca="false">I94/$R$3</f>
        <v>-35.909</v>
      </c>
      <c r="V94" s="126" t="n">
        <f aca="false">M94/$R$3</f>
        <v>-35.909</v>
      </c>
      <c r="W94" s="126" t="n">
        <f aca="false">N94/$R$3</f>
        <v>-35.909</v>
      </c>
    </row>
    <row r="95" customFormat="false" ht="12.75" hidden="false" customHeight="false" outlineLevel="0" collapsed="false">
      <c r="A95" s="120" t="n">
        <f aca="false">A94+1</f>
        <v>36981</v>
      </c>
      <c r="B95" s="131" t="str">
        <f aca="false">INDEX('[4]Master Data'!$A$2:$B$8,MATCH(WEEKDAY('CRD Hedge'!A95,3),'[4]Master Data'!$A$2:$A$8,0),2)</f>
        <v>Sa</v>
      </c>
      <c r="D95" s="124" t="n">
        <v>0</v>
      </c>
      <c r="E95" s="124" t="n">
        <v>0</v>
      </c>
      <c r="F95" s="124" t="n">
        <v>0</v>
      </c>
      <c r="G95" s="124" t="n">
        <v>0</v>
      </c>
      <c r="I95" s="124" t="n">
        <f aca="false">IF(MONTH($A95)=MONTH($A94),IF(G95=0,I94,G95),G95)</f>
        <v>-35909</v>
      </c>
      <c r="J95" s="124" t="n">
        <f aca="false">IF(MONTH($A95)=MONTH($A94),SUM(I95-I94),I95)</f>
        <v>0</v>
      </c>
      <c r="K95" s="124" t="n">
        <f aca="false">IF(WEEKDAY(A95,3)&gt;4,0,(IF(A95&lt;K$2,0,IF(A95&lt;=K$3,1,0))))</f>
        <v>0</v>
      </c>
      <c r="L95" s="124" t="n">
        <f aca="false">J95*K95</f>
        <v>0</v>
      </c>
      <c r="M95" s="124" t="n">
        <f aca="false">SUM(J$6:J95)</f>
        <v>-35909</v>
      </c>
      <c r="N95" s="124" t="n">
        <f aca="false">SUM(J$6:J95)</f>
        <v>-35909</v>
      </c>
      <c r="P95" s="148" t="n">
        <f aca="false">D95/P$3</f>
        <v>0</v>
      </c>
      <c r="Q95" s="124" t="n">
        <f aca="false">E95/P$3</f>
        <v>0</v>
      </c>
      <c r="R95" s="124" t="n">
        <f aca="false">F95/R$3</f>
        <v>0</v>
      </c>
      <c r="S95" s="126" t="n">
        <f aca="false">J95/$R$3</f>
        <v>0</v>
      </c>
      <c r="T95" s="126" t="n">
        <f aca="false">L95/$R$3</f>
        <v>0</v>
      </c>
      <c r="U95" s="126" t="n">
        <f aca="false">I95/$R$3</f>
        <v>-35.909</v>
      </c>
      <c r="V95" s="126" t="n">
        <f aca="false">M95/$R$3</f>
        <v>-35.909</v>
      </c>
      <c r="W95" s="126" t="n">
        <f aca="false">N95/$R$3</f>
        <v>-35.909</v>
      </c>
    </row>
    <row r="96" customFormat="false" ht="12.75" hidden="false" customHeight="false" outlineLevel="0" collapsed="false">
      <c r="A96" s="120" t="n">
        <f aca="false">A95+1</f>
        <v>36982</v>
      </c>
      <c r="B96" s="131" t="str">
        <f aca="false">INDEX('[4]Master Data'!$A$2:$B$8,MATCH(WEEKDAY('CRD Hedge'!A96,3),'[4]Master Data'!$A$2:$A$8,0),2)</f>
        <v>Su</v>
      </c>
      <c r="D96" s="124" t="n">
        <v>0</v>
      </c>
      <c r="E96" s="124" t="n">
        <v>0</v>
      </c>
      <c r="F96" s="124" t="n">
        <v>0</v>
      </c>
      <c r="G96" s="124" t="n">
        <v>0</v>
      </c>
      <c r="I96" s="124" t="n">
        <f aca="false">IF(MONTH($A96)=MONTH($A95),IF(G96=0,I95,G96),G96)</f>
        <v>0</v>
      </c>
      <c r="J96" s="124" t="n">
        <f aca="false">IF(MONTH($A96)=MONTH($A95),SUM(I96-I95),I96)</f>
        <v>0</v>
      </c>
      <c r="K96" s="124" t="n">
        <f aca="false">IF(WEEKDAY(A96,3)&gt;4,0,(IF(A96&lt;K$2,0,IF(A96&lt;=K$3,1,0))))</f>
        <v>0</v>
      </c>
      <c r="L96" s="124" t="n">
        <f aca="false">J96*K96</f>
        <v>0</v>
      </c>
      <c r="M96" s="124" t="n">
        <f aca="false">SUM(J$6:J96)</f>
        <v>-35909</v>
      </c>
      <c r="N96" s="124" t="n">
        <f aca="false">SUM(J$6:J96)</f>
        <v>-35909</v>
      </c>
      <c r="P96" s="148" t="n">
        <f aca="false">D96/P$3</f>
        <v>0</v>
      </c>
      <c r="Q96" s="124" t="n">
        <f aca="false">E96/P$3</f>
        <v>0</v>
      </c>
      <c r="R96" s="124" t="n">
        <f aca="false">F96/R$3</f>
        <v>0</v>
      </c>
      <c r="S96" s="126" t="n">
        <f aca="false">J96/$R$3</f>
        <v>0</v>
      </c>
      <c r="T96" s="126" t="n">
        <f aca="false">L96/$R$3</f>
        <v>0</v>
      </c>
      <c r="U96" s="126" t="n">
        <f aca="false">I96/$R$3</f>
        <v>0</v>
      </c>
      <c r="V96" s="126" t="n">
        <f aca="false">M96/$R$3</f>
        <v>-35.909</v>
      </c>
      <c r="W96" s="126" t="n">
        <f aca="false">N96/$R$3</f>
        <v>-35.909</v>
      </c>
    </row>
    <row r="97" customFormat="false" ht="12.75" hidden="false" customHeight="false" outlineLevel="0" collapsed="false">
      <c r="A97" s="120" t="n">
        <f aca="false">A96+1</f>
        <v>36983</v>
      </c>
      <c r="B97" s="131" t="str">
        <f aca="false">INDEX('[4]Master Data'!$A$2:$B$8,MATCH(WEEKDAY('CRD Hedge'!A97,3),'[4]Master Data'!$A$2:$A$8,0),2)</f>
        <v>M</v>
      </c>
      <c r="D97" s="124" t="n">
        <v>0</v>
      </c>
      <c r="E97" s="124" t="n">
        <v>0</v>
      </c>
      <c r="F97" s="124" t="n">
        <v>0</v>
      </c>
      <c r="G97" s="124" t="n">
        <v>0</v>
      </c>
      <c r="I97" s="124" t="n">
        <f aca="false">IF(MONTH($A97)=MONTH($A96),IF(G97=0,I96,G97),G97)</f>
        <v>0</v>
      </c>
      <c r="J97" s="124" t="n">
        <f aca="false">IF(MONTH($A97)=MONTH($A96),SUM(I97-I96),I97)</f>
        <v>0</v>
      </c>
      <c r="K97" s="124" t="n">
        <f aca="false">IF(WEEKDAY(A97,3)&gt;4,0,(IF(A97&lt;K$2,0,IF(A97&lt;=K$3,1,0))))</f>
        <v>0</v>
      </c>
      <c r="L97" s="124" t="n">
        <f aca="false">J97*K97</f>
        <v>0</v>
      </c>
      <c r="M97" s="124" t="n">
        <f aca="false">SUM(J$97:J97)</f>
        <v>0</v>
      </c>
      <c r="N97" s="124" t="n">
        <f aca="false">SUM(J$6:J97)</f>
        <v>-35909</v>
      </c>
      <c r="P97" s="148" t="n">
        <f aca="false">D97/P$3</f>
        <v>0</v>
      </c>
      <c r="Q97" s="124" t="n">
        <f aca="false">E97/P$3</f>
        <v>0</v>
      </c>
      <c r="R97" s="124" t="n">
        <f aca="false">F97/R$3</f>
        <v>0</v>
      </c>
      <c r="S97" s="126" t="n">
        <f aca="false">J97/$R$3</f>
        <v>0</v>
      </c>
      <c r="T97" s="126" t="n">
        <f aca="false">L97/$R$3</f>
        <v>0</v>
      </c>
      <c r="U97" s="126" t="n">
        <f aca="false">I97/$R$3</f>
        <v>0</v>
      </c>
      <c r="V97" s="126" t="n">
        <f aca="false">M97/$R$3</f>
        <v>0</v>
      </c>
      <c r="W97" s="126" t="n">
        <f aca="false">N97/$R$3</f>
        <v>-35.909</v>
      </c>
    </row>
    <row r="98" customFormat="false" ht="12.75" hidden="false" customHeight="false" outlineLevel="0" collapsed="false">
      <c r="A98" s="120" t="n">
        <f aca="false">A97+1</f>
        <v>36984</v>
      </c>
      <c r="B98" s="131" t="str">
        <f aca="false">INDEX('[4]Master Data'!$A$2:$B$8,MATCH(WEEKDAY('CRD Hedge'!A98,3),'[4]Master Data'!$A$2:$A$8,0),2)</f>
        <v>T</v>
      </c>
      <c r="D98" s="124" t="n">
        <v>0</v>
      </c>
      <c r="E98" s="124" t="n">
        <v>0</v>
      </c>
      <c r="F98" s="124" t="n">
        <v>0</v>
      </c>
      <c r="G98" s="124" t="n">
        <v>0</v>
      </c>
      <c r="I98" s="124" t="n">
        <f aca="false">IF(MONTH($A98)=MONTH($A97),IF(G98=0,I97,G98),G98)</f>
        <v>0</v>
      </c>
      <c r="J98" s="124" t="n">
        <f aca="false">IF(MONTH($A98)=MONTH($A97),SUM(I98-I97),I98)</f>
        <v>0</v>
      </c>
      <c r="K98" s="124" t="n">
        <f aca="false">IF(WEEKDAY(A98,3)&gt;4,0,(IF(A98&lt;K$2,0,IF(A98&lt;=K$3,1,0))))</f>
        <v>0</v>
      </c>
      <c r="L98" s="124" t="n">
        <f aca="false">J98*K98</f>
        <v>0</v>
      </c>
      <c r="M98" s="124" t="n">
        <f aca="false">SUM(J$97:J98)</f>
        <v>0</v>
      </c>
      <c r="N98" s="124" t="n">
        <f aca="false">SUM(J$6:J98)</f>
        <v>-35909</v>
      </c>
      <c r="P98" s="148" t="n">
        <f aca="false">D98/P$3</f>
        <v>0</v>
      </c>
      <c r="Q98" s="124" t="n">
        <f aca="false">E98/P$3</f>
        <v>0</v>
      </c>
      <c r="R98" s="124" t="n">
        <f aca="false">F98/R$3</f>
        <v>0</v>
      </c>
      <c r="S98" s="126" t="n">
        <f aca="false">J98/$R$3</f>
        <v>0</v>
      </c>
      <c r="T98" s="126" t="n">
        <f aca="false">L98/$R$3</f>
        <v>0</v>
      </c>
      <c r="U98" s="126" t="n">
        <f aca="false">I98/$R$3</f>
        <v>0</v>
      </c>
      <c r="V98" s="126" t="n">
        <f aca="false">M98/$R$3</f>
        <v>0</v>
      </c>
      <c r="W98" s="126" t="n">
        <f aca="false">N98/$R$3</f>
        <v>-35.909</v>
      </c>
    </row>
    <row r="99" customFormat="false" ht="12.75" hidden="false" customHeight="false" outlineLevel="0" collapsed="false">
      <c r="A99" s="120" t="n">
        <f aca="false">A98+1</f>
        <v>36985</v>
      </c>
      <c r="B99" s="131" t="str">
        <f aca="false">INDEX('[4]Master Data'!$A$2:$B$8,MATCH(WEEKDAY('CRD Hedge'!A99,3),'[4]Master Data'!$A$2:$A$8,0),2)</f>
        <v>W</v>
      </c>
      <c r="D99" s="124" t="n">
        <v>0</v>
      </c>
      <c r="E99" s="124" t="n">
        <v>0</v>
      </c>
      <c r="F99" s="124" t="n">
        <v>0</v>
      </c>
      <c r="G99" s="124" t="n">
        <v>0</v>
      </c>
      <c r="I99" s="124" t="n">
        <f aca="false">IF(MONTH($A99)=MONTH($A98),IF(G99=0,I98,G99),G99)</f>
        <v>0</v>
      </c>
      <c r="J99" s="124" t="n">
        <f aca="false">IF(MONTH($A99)=MONTH($A98),SUM(I99-I98),I99)</f>
        <v>0</v>
      </c>
      <c r="K99" s="124" t="n">
        <f aca="false">IF(WEEKDAY(A99,3)&gt;4,0,(IF(A99&lt;K$2,0,IF(A99&lt;=K$3,1,0))))</f>
        <v>0</v>
      </c>
      <c r="L99" s="124" t="n">
        <f aca="false">J99*K99</f>
        <v>0</v>
      </c>
      <c r="M99" s="124" t="n">
        <f aca="false">SUM(J$97:J99)</f>
        <v>0</v>
      </c>
      <c r="N99" s="124" t="n">
        <f aca="false">SUM(J$6:J99)</f>
        <v>-35909</v>
      </c>
      <c r="P99" s="148" t="n">
        <f aca="false">D99/P$3</f>
        <v>0</v>
      </c>
      <c r="Q99" s="124" t="n">
        <f aca="false">E99/P$3</f>
        <v>0</v>
      </c>
      <c r="R99" s="124" t="n">
        <f aca="false">F99/R$3</f>
        <v>0</v>
      </c>
      <c r="S99" s="126" t="n">
        <f aca="false">J99/$R$3</f>
        <v>0</v>
      </c>
      <c r="T99" s="126" t="n">
        <f aca="false">L99/$R$3</f>
        <v>0</v>
      </c>
      <c r="U99" s="126" t="n">
        <f aca="false">I99/$R$3</f>
        <v>0</v>
      </c>
      <c r="V99" s="126" t="n">
        <f aca="false">M99/$R$3</f>
        <v>0</v>
      </c>
      <c r="W99" s="126" t="n">
        <f aca="false">N99/$R$3</f>
        <v>-35.909</v>
      </c>
    </row>
    <row r="100" customFormat="false" ht="12.75" hidden="false" customHeight="false" outlineLevel="0" collapsed="false">
      <c r="A100" s="120" t="n">
        <f aca="false">A99+1</f>
        <v>36986</v>
      </c>
      <c r="B100" s="131" t="str">
        <f aca="false">INDEX('[4]Master Data'!$A$2:$B$8,MATCH(WEEKDAY('CRD Hedge'!A100,3),'[4]Master Data'!$A$2:$A$8,0),2)</f>
        <v>Th</v>
      </c>
      <c r="D100" s="124" t="n">
        <v>0</v>
      </c>
      <c r="E100" s="124" t="n">
        <v>0</v>
      </c>
      <c r="F100" s="124" t="n">
        <v>0</v>
      </c>
      <c r="G100" s="124" t="n">
        <v>0</v>
      </c>
      <c r="I100" s="124" t="n">
        <f aca="false">IF(MONTH($A100)=MONTH($A99),IF(G100=0,I99,G100),G100)</f>
        <v>0</v>
      </c>
      <c r="J100" s="124" t="n">
        <f aca="false">IF(MONTH($A100)=MONTH($A99),SUM(I100-I99),I100)</f>
        <v>0</v>
      </c>
      <c r="K100" s="124" t="n">
        <f aca="false">IF(WEEKDAY(A100,3)&gt;4,0,(IF(A100&lt;K$2,0,IF(A100&lt;=K$3,1,0))))</f>
        <v>0</v>
      </c>
      <c r="L100" s="124" t="n">
        <f aca="false">J100*K100</f>
        <v>0</v>
      </c>
      <c r="M100" s="124" t="n">
        <f aca="false">SUM(J$97:J100)</f>
        <v>0</v>
      </c>
      <c r="N100" s="124" t="n">
        <f aca="false">SUM(J$6:J100)</f>
        <v>-35909</v>
      </c>
      <c r="P100" s="148" t="n">
        <f aca="false">D100/P$3</f>
        <v>0</v>
      </c>
      <c r="Q100" s="124" t="n">
        <f aca="false">E100/P$3</f>
        <v>0</v>
      </c>
      <c r="R100" s="124" t="n">
        <f aca="false">F100/R$3</f>
        <v>0</v>
      </c>
      <c r="S100" s="126" t="n">
        <f aca="false">J100/$R$3</f>
        <v>0</v>
      </c>
      <c r="T100" s="126" t="n">
        <f aca="false">L100/$R$3</f>
        <v>0</v>
      </c>
      <c r="U100" s="126" t="n">
        <f aca="false">I100/$R$3</f>
        <v>0</v>
      </c>
      <c r="V100" s="126" t="n">
        <f aca="false">M100/$R$3</f>
        <v>0</v>
      </c>
      <c r="W100" s="126" t="n">
        <f aca="false">N100/$R$3</f>
        <v>-35.909</v>
      </c>
    </row>
    <row r="101" customFormat="false" ht="12.75" hidden="false" customHeight="false" outlineLevel="0" collapsed="false">
      <c r="A101" s="120" t="n">
        <f aca="false">A100+1</f>
        <v>36987</v>
      </c>
      <c r="B101" s="131" t="str">
        <f aca="false">INDEX('[4]Master Data'!$A$2:$B$8,MATCH(WEEKDAY('CRD Hedge'!A101,3),'[4]Master Data'!$A$2:$A$8,0),2)</f>
        <v>F</v>
      </c>
      <c r="D101" s="124" t="n">
        <v>0</v>
      </c>
      <c r="E101" s="124" t="n">
        <v>0</v>
      </c>
      <c r="F101" s="124" t="n">
        <v>0</v>
      </c>
      <c r="G101" s="124" t="n">
        <v>0</v>
      </c>
      <c r="I101" s="124" t="n">
        <f aca="false">IF(MONTH($A101)=MONTH($A100),IF(G101=0,I100,G101),G101)</f>
        <v>0</v>
      </c>
      <c r="J101" s="124" t="n">
        <f aca="false">IF(MONTH($A101)=MONTH($A100),SUM(I101-I100),I101)</f>
        <v>0</v>
      </c>
      <c r="K101" s="124" t="n">
        <f aca="false">IF(WEEKDAY(A101,3)&gt;4,0,(IF(A101&lt;K$2,0,IF(A101&lt;=K$3,1,0))))</f>
        <v>0</v>
      </c>
      <c r="L101" s="124" t="n">
        <f aca="false">J101*K101</f>
        <v>0</v>
      </c>
      <c r="M101" s="124" t="n">
        <f aca="false">SUM(J$97:J101)</f>
        <v>0</v>
      </c>
      <c r="N101" s="124" t="n">
        <f aca="false">SUM(J$6:J101)</f>
        <v>-35909</v>
      </c>
      <c r="P101" s="148" t="n">
        <f aca="false">D101/P$3</f>
        <v>0</v>
      </c>
      <c r="Q101" s="124" t="n">
        <f aca="false">E101/P$3</f>
        <v>0</v>
      </c>
      <c r="R101" s="124" t="n">
        <f aca="false">F101/R$3</f>
        <v>0</v>
      </c>
      <c r="S101" s="126" t="n">
        <f aca="false">J101/$R$3</f>
        <v>0</v>
      </c>
      <c r="T101" s="126" t="n">
        <f aca="false">L101/$R$3</f>
        <v>0</v>
      </c>
      <c r="U101" s="126" t="n">
        <f aca="false">I101/$R$3</f>
        <v>0</v>
      </c>
      <c r="V101" s="126" t="n">
        <f aca="false">M101/$R$3</f>
        <v>0</v>
      </c>
      <c r="W101" s="126" t="n">
        <f aca="false">N101/$R$3</f>
        <v>-35.909</v>
      </c>
    </row>
    <row r="102" customFormat="false" ht="12.75" hidden="false" customHeight="false" outlineLevel="0" collapsed="false">
      <c r="A102" s="120" t="n">
        <f aca="false">A101+1</f>
        <v>36988</v>
      </c>
      <c r="B102" s="131" t="str">
        <f aca="false">INDEX('[4]Master Data'!$A$2:$B$8,MATCH(WEEKDAY('CRD Hedge'!A102,3),'[4]Master Data'!$A$2:$A$8,0),2)</f>
        <v>Sa</v>
      </c>
      <c r="D102" s="124" t="n">
        <v>0</v>
      </c>
      <c r="E102" s="124" t="n">
        <v>0</v>
      </c>
      <c r="F102" s="124" t="n">
        <v>0</v>
      </c>
      <c r="G102" s="124" t="n">
        <v>0</v>
      </c>
      <c r="I102" s="124" t="n">
        <f aca="false">IF(MONTH($A102)=MONTH($A101),IF(G102=0,I101,G102),G102)</f>
        <v>0</v>
      </c>
      <c r="J102" s="124" t="n">
        <f aca="false">IF(MONTH($A102)=MONTH($A101),SUM(I102-I101),I102)</f>
        <v>0</v>
      </c>
      <c r="K102" s="124" t="n">
        <f aca="false">IF(WEEKDAY(A102,3)&gt;4,0,(IF(A102&lt;K$2,0,IF(A102&lt;=K$3,1,0))))</f>
        <v>0</v>
      </c>
      <c r="L102" s="124" t="n">
        <f aca="false">J102*K102</f>
        <v>0</v>
      </c>
      <c r="M102" s="124" t="n">
        <f aca="false">SUM(J$97:J102)</f>
        <v>0</v>
      </c>
      <c r="N102" s="124" t="n">
        <f aca="false">SUM(J$6:J102)</f>
        <v>-35909</v>
      </c>
      <c r="P102" s="148" t="n">
        <f aca="false">D102/P$3</f>
        <v>0</v>
      </c>
      <c r="Q102" s="124" t="n">
        <f aca="false">E102/P$3</f>
        <v>0</v>
      </c>
      <c r="R102" s="124" t="n">
        <f aca="false">F102/R$3</f>
        <v>0</v>
      </c>
      <c r="S102" s="126" t="n">
        <f aca="false">J102/$R$3</f>
        <v>0</v>
      </c>
      <c r="T102" s="126" t="n">
        <f aca="false">L102/$R$3</f>
        <v>0</v>
      </c>
      <c r="U102" s="126" t="n">
        <f aca="false">I102/$R$3</f>
        <v>0</v>
      </c>
      <c r="V102" s="126" t="n">
        <f aca="false">M102/$R$3</f>
        <v>0</v>
      </c>
      <c r="W102" s="126" t="n">
        <f aca="false">N102/$R$3</f>
        <v>-35.909</v>
      </c>
    </row>
    <row r="103" customFormat="false" ht="12.75" hidden="false" customHeight="false" outlineLevel="0" collapsed="false">
      <c r="A103" s="120" t="n">
        <f aca="false">A102+1</f>
        <v>36989</v>
      </c>
      <c r="B103" s="131" t="str">
        <f aca="false">INDEX('[4]Master Data'!$A$2:$B$8,MATCH(WEEKDAY('CRD Hedge'!A103,3),'[4]Master Data'!$A$2:$A$8,0),2)</f>
        <v>Su</v>
      </c>
      <c r="D103" s="124" t="n">
        <v>0</v>
      </c>
      <c r="E103" s="124" t="n">
        <v>0</v>
      </c>
      <c r="F103" s="124" t="n">
        <v>0</v>
      </c>
      <c r="G103" s="124" t="n">
        <v>0</v>
      </c>
      <c r="I103" s="124" t="n">
        <f aca="false">IF(MONTH($A103)=MONTH($A102),IF(G103=0,I102,G103),G103)</f>
        <v>0</v>
      </c>
      <c r="J103" s="124" t="n">
        <f aca="false">IF(MONTH($A103)=MONTH($A102),SUM(I103-I102),I103)</f>
        <v>0</v>
      </c>
      <c r="K103" s="124" t="n">
        <f aca="false">IF(WEEKDAY(A103,3)&gt;4,0,(IF(A103&lt;K$2,0,IF(A103&lt;=K$3,1,0))))</f>
        <v>0</v>
      </c>
      <c r="L103" s="124" t="n">
        <f aca="false">J103*K103</f>
        <v>0</v>
      </c>
      <c r="M103" s="124" t="n">
        <f aca="false">SUM(J$97:J103)</f>
        <v>0</v>
      </c>
      <c r="N103" s="124" t="n">
        <f aca="false">SUM(J$6:J103)</f>
        <v>-35909</v>
      </c>
      <c r="P103" s="148" t="n">
        <f aca="false">D103/P$3</f>
        <v>0</v>
      </c>
      <c r="Q103" s="124" t="n">
        <f aca="false">E103/P$3</f>
        <v>0</v>
      </c>
      <c r="R103" s="124" t="n">
        <f aca="false">F103/R$3</f>
        <v>0</v>
      </c>
      <c r="S103" s="126" t="n">
        <f aca="false">J103/$R$3</f>
        <v>0</v>
      </c>
      <c r="T103" s="126" t="n">
        <f aca="false">L103/$R$3</f>
        <v>0</v>
      </c>
      <c r="U103" s="126" t="n">
        <f aca="false">I103/$R$3</f>
        <v>0</v>
      </c>
      <c r="V103" s="126" t="n">
        <f aca="false">M103/$R$3</f>
        <v>0</v>
      </c>
      <c r="W103" s="126" t="n">
        <f aca="false">N103/$R$3</f>
        <v>-35.909</v>
      </c>
    </row>
    <row r="104" customFormat="false" ht="12.75" hidden="false" customHeight="false" outlineLevel="0" collapsed="false">
      <c r="A104" s="120" t="n">
        <f aca="false">A103+1</f>
        <v>36990</v>
      </c>
      <c r="B104" s="131" t="str">
        <f aca="false">INDEX('[4]Master Data'!$A$2:$B$8,MATCH(WEEKDAY('CRD Hedge'!A104,3),'[4]Master Data'!$A$2:$A$8,0),2)</f>
        <v>M</v>
      </c>
      <c r="D104" s="124" t="n">
        <v>0</v>
      </c>
      <c r="E104" s="124" t="n">
        <v>0</v>
      </c>
      <c r="F104" s="124" t="n">
        <v>0</v>
      </c>
      <c r="G104" s="124" t="n">
        <v>0</v>
      </c>
      <c r="I104" s="124" t="n">
        <f aca="false">IF(MONTH($A104)=MONTH($A103),IF(G104=0,I103,G104),G104)</f>
        <v>0</v>
      </c>
      <c r="J104" s="124" t="n">
        <f aca="false">IF(MONTH($A104)=MONTH($A103),SUM(I104-I103),I104)</f>
        <v>0</v>
      </c>
      <c r="K104" s="124" t="n">
        <f aca="false">IF(WEEKDAY(A104,3)&gt;4,0,(IF(A104&lt;K$2,0,IF(A104&lt;=K$3,1,0))))</f>
        <v>0</v>
      </c>
      <c r="L104" s="124" t="n">
        <f aca="false">J104*K104</f>
        <v>0</v>
      </c>
      <c r="M104" s="124" t="n">
        <f aca="false">SUM(J$97:J104)</f>
        <v>0</v>
      </c>
      <c r="N104" s="124" t="n">
        <f aca="false">SUM(J$6:J104)</f>
        <v>-35909</v>
      </c>
      <c r="P104" s="148" t="n">
        <f aca="false">D104/P$3</f>
        <v>0</v>
      </c>
      <c r="Q104" s="124" t="n">
        <f aca="false">E104/P$3</f>
        <v>0</v>
      </c>
      <c r="R104" s="124" t="n">
        <f aca="false">F104/R$3</f>
        <v>0</v>
      </c>
      <c r="S104" s="126" t="n">
        <f aca="false">J104/$R$3</f>
        <v>0</v>
      </c>
      <c r="T104" s="126" t="n">
        <f aca="false">L104/$R$3</f>
        <v>0</v>
      </c>
      <c r="U104" s="126" t="n">
        <f aca="false">I104/$R$3</f>
        <v>0</v>
      </c>
      <c r="V104" s="126" t="n">
        <f aca="false">M104/$R$3</f>
        <v>0</v>
      </c>
      <c r="W104" s="126" t="n">
        <f aca="false">N104/$R$3</f>
        <v>-35.909</v>
      </c>
    </row>
    <row r="105" customFormat="false" ht="12.75" hidden="false" customHeight="false" outlineLevel="0" collapsed="false">
      <c r="A105" s="120" t="n">
        <f aca="false">A104+1</f>
        <v>36991</v>
      </c>
      <c r="B105" s="131" t="str">
        <f aca="false">INDEX('[4]Master Data'!$A$2:$B$8,MATCH(WEEKDAY('CRD Hedge'!A105,3),'[4]Master Data'!$A$2:$A$8,0),2)</f>
        <v>T</v>
      </c>
      <c r="D105" s="124" t="n">
        <v>0</v>
      </c>
      <c r="E105" s="124" t="n">
        <v>0</v>
      </c>
      <c r="F105" s="124" t="n">
        <v>0</v>
      </c>
      <c r="G105" s="124" t="n">
        <v>0</v>
      </c>
      <c r="I105" s="124" t="n">
        <f aca="false">IF(MONTH($A105)=MONTH($A104),IF(G105=0,I104,G105),G105)</f>
        <v>0</v>
      </c>
      <c r="J105" s="124" t="n">
        <f aca="false">IF(MONTH($A105)=MONTH($A104),SUM(I105-I104),I105)</f>
        <v>0</v>
      </c>
      <c r="K105" s="124" t="n">
        <f aca="false">IF(WEEKDAY(A105,3)&gt;4,0,(IF(A105&lt;K$2,0,IF(A105&lt;=K$3,1,0))))</f>
        <v>0</v>
      </c>
      <c r="L105" s="124" t="n">
        <f aca="false">J105*K105</f>
        <v>0</v>
      </c>
      <c r="M105" s="124" t="n">
        <f aca="false">SUM(J$97:J105)</f>
        <v>0</v>
      </c>
      <c r="N105" s="124" t="n">
        <f aca="false">SUM(J$6:J105)</f>
        <v>-35909</v>
      </c>
      <c r="P105" s="148" t="n">
        <f aca="false">D105/P$3</f>
        <v>0</v>
      </c>
      <c r="Q105" s="124" t="n">
        <f aca="false">E105/P$3</f>
        <v>0</v>
      </c>
      <c r="R105" s="124" t="n">
        <f aca="false">F105/R$3</f>
        <v>0</v>
      </c>
      <c r="S105" s="126" t="n">
        <f aca="false">J105/$R$3</f>
        <v>0</v>
      </c>
      <c r="T105" s="126" t="n">
        <f aca="false">L105/$R$3</f>
        <v>0</v>
      </c>
      <c r="U105" s="126" t="n">
        <f aca="false">I105/$R$3</f>
        <v>0</v>
      </c>
      <c r="V105" s="126" t="n">
        <f aca="false">M105/$R$3</f>
        <v>0</v>
      </c>
      <c r="W105" s="126" t="n">
        <f aca="false">N105/$R$3</f>
        <v>-35.909</v>
      </c>
    </row>
    <row r="106" customFormat="false" ht="12.75" hidden="false" customHeight="false" outlineLevel="0" collapsed="false">
      <c r="A106" s="120" t="n">
        <f aca="false">A105+1</f>
        <v>36992</v>
      </c>
      <c r="B106" s="131" t="str">
        <f aca="false">INDEX('[4]Master Data'!$A$2:$B$8,MATCH(WEEKDAY('CRD Hedge'!A106,3),'[4]Master Data'!$A$2:$A$8,0),2)</f>
        <v>W</v>
      </c>
      <c r="D106" s="124" t="n">
        <v>0</v>
      </c>
      <c r="E106" s="124" t="n">
        <v>0</v>
      </c>
      <c r="F106" s="124" t="n">
        <v>0</v>
      </c>
      <c r="G106" s="124" t="n">
        <v>0</v>
      </c>
      <c r="I106" s="124" t="n">
        <f aca="false">IF(MONTH($A106)=MONTH($A105),IF(G106=0,I105,G106),G106)</f>
        <v>0</v>
      </c>
      <c r="J106" s="124" t="n">
        <f aca="false">IF(MONTH($A106)=MONTH($A105),SUM(I106-I105),I106)</f>
        <v>0</v>
      </c>
      <c r="K106" s="124" t="n">
        <f aca="false">IF(WEEKDAY(A106,3)&gt;4,0,(IF(A106&lt;K$2,0,IF(A106&lt;=K$3,1,0))))</f>
        <v>0</v>
      </c>
      <c r="L106" s="124" t="n">
        <f aca="false">J106*K106</f>
        <v>0</v>
      </c>
      <c r="M106" s="124" t="n">
        <f aca="false">SUM(J$97:J106)</f>
        <v>0</v>
      </c>
      <c r="N106" s="124" t="n">
        <f aca="false">SUM(J$6:J106)</f>
        <v>-35909</v>
      </c>
      <c r="P106" s="148" t="n">
        <f aca="false">D106/P$3</f>
        <v>0</v>
      </c>
      <c r="Q106" s="124" t="n">
        <f aca="false">E106/P$3</f>
        <v>0</v>
      </c>
      <c r="R106" s="124" t="n">
        <f aca="false">F106/R$3</f>
        <v>0</v>
      </c>
      <c r="S106" s="126" t="n">
        <f aca="false">J106/$R$3</f>
        <v>0</v>
      </c>
      <c r="T106" s="126" t="n">
        <f aca="false">L106/$R$3</f>
        <v>0</v>
      </c>
      <c r="U106" s="126" t="n">
        <f aca="false">I106/$R$3</f>
        <v>0</v>
      </c>
      <c r="V106" s="126" t="n">
        <f aca="false">M106/$R$3</f>
        <v>0</v>
      </c>
      <c r="W106" s="126" t="n">
        <f aca="false">N106/$R$3</f>
        <v>-35.909</v>
      </c>
    </row>
    <row r="107" customFormat="false" ht="12.75" hidden="false" customHeight="false" outlineLevel="0" collapsed="false">
      <c r="A107" s="120" t="n">
        <f aca="false">A106+1</f>
        <v>36993</v>
      </c>
      <c r="B107" s="131" t="str">
        <f aca="false">INDEX('[4]Master Data'!$A$2:$B$8,MATCH(WEEKDAY('CRD Hedge'!A107,3),'[4]Master Data'!$A$2:$A$8,0),2)</f>
        <v>Th</v>
      </c>
      <c r="D107" s="124" t="n">
        <v>0</v>
      </c>
      <c r="E107" s="124" t="n">
        <v>0</v>
      </c>
      <c r="F107" s="124" t="n">
        <v>0</v>
      </c>
      <c r="G107" s="124" t="n">
        <v>0</v>
      </c>
      <c r="I107" s="124" t="n">
        <f aca="false">IF(MONTH($A107)=MONTH($A106),IF(G107=0,I106,G107),G107)</f>
        <v>0</v>
      </c>
      <c r="J107" s="124" t="n">
        <f aca="false">IF(MONTH($A107)=MONTH($A106),SUM(I107-I106),I107)</f>
        <v>0</v>
      </c>
      <c r="K107" s="124" t="n">
        <f aca="false">IF(WEEKDAY(A107,3)&gt;4,0,(IF(A107&lt;K$2,0,IF(A107&lt;=K$3,1,0))))</f>
        <v>0</v>
      </c>
      <c r="L107" s="124" t="n">
        <f aca="false">J107*K107</f>
        <v>0</v>
      </c>
      <c r="M107" s="124" t="n">
        <f aca="false">SUM(J$97:J107)</f>
        <v>0</v>
      </c>
      <c r="N107" s="124" t="n">
        <f aca="false">SUM(J$6:J107)</f>
        <v>-35909</v>
      </c>
      <c r="P107" s="148" t="n">
        <f aca="false">D107/P$3</f>
        <v>0</v>
      </c>
      <c r="Q107" s="124" t="n">
        <f aca="false">E107/P$3</f>
        <v>0</v>
      </c>
      <c r="R107" s="124" t="n">
        <f aca="false">F107/R$3</f>
        <v>0</v>
      </c>
      <c r="S107" s="126" t="n">
        <f aca="false">J107/$R$3</f>
        <v>0</v>
      </c>
      <c r="T107" s="126" t="n">
        <f aca="false">L107/$R$3</f>
        <v>0</v>
      </c>
      <c r="U107" s="126" t="n">
        <f aca="false">I107/$R$3</f>
        <v>0</v>
      </c>
      <c r="V107" s="126" t="n">
        <f aca="false">M107/$R$3</f>
        <v>0</v>
      </c>
      <c r="W107" s="126" t="n">
        <f aca="false">N107/$R$3</f>
        <v>-35.909</v>
      </c>
    </row>
    <row r="108" customFormat="false" ht="12.75" hidden="false" customHeight="false" outlineLevel="0" collapsed="false">
      <c r="A108" s="120" t="n">
        <f aca="false">A107+1</f>
        <v>36994</v>
      </c>
      <c r="B108" s="131" t="str">
        <f aca="false">INDEX('[4]Master Data'!$A$2:$B$8,MATCH(WEEKDAY('CRD Hedge'!A108,3),'[4]Master Data'!$A$2:$A$8,0),2)</f>
        <v>F</v>
      </c>
      <c r="D108" s="124" t="n">
        <v>0</v>
      </c>
      <c r="E108" s="124" t="n">
        <v>0</v>
      </c>
      <c r="F108" s="124" t="n">
        <v>0</v>
      </c>
      <c r="G108" s="124" t="n">
        <v>0</v>
      </c>
      <c r="I108" s="124" t="n">
        <f aca="false">IF(MONTH($A108)=MONTH($A107),IF(G108=0,I107,G108),G108)</f>
        <v>0</v>
      </c>
      <c r="J108" s="124" t="n">
        <f aca="false">IF(MONTH($A108)=MONTH($A107),SUM(I108-I107),I108)</f>
        <v>0</v>
      </c>
      <c r="K108" s="124" t="n">
        <f aca="false">IF(WEEKDAY(A108,3)&gt;4,0,(IF(A108&lt;K$2,0,IF(A108&lt;=K$3,1,0))))</f>
        <v>0</v>
      </c>
      <c r="L108" s="124" t="n">
        <f aca="false">J108*K108</f>
        <v>0</v>
      </c>
      <c r="M108" s="124" t="n">
        <f aca="false">SUM(J$97:J108)</f>
        <v>0</v>
      </c>
      <c r="N108" s="124" t="n">
        <f aca="false">SUM(J$6:J108)</f>
        <v>-35909</v>
      </c>
      <c r="P108" s="148" t="n">
        <f aca="false">D108/P$3</f>
        <v>0</v>
      </c>
      <c r="Q108" s="124" t="n">
        <f aca="false">E108/P$3</f>
        <v>0</v>
      </c>
      <c r="R108" s="124" t="n">
        <f aca="false">F108/R$3</f>
        <v>0</v>
      </c>
      <c r="S108" s="126" t="n">
        <f aca="false">J108/$R$3</f>
        <v>0</v>
      </c>
      <c r="T108" s="126" t="n">
        <f aca="false">L108/$R$3</f>
        <v>0</v>
      </c>
      <c r="U108" s="126" t="n">
        <f aca="false">I108/$R$3</f>
        <v>0</v>
      </c>
      <c r="V108" s="126" t="n">
        <f aca="false">M108/$R$3</f>
        <v>0</v>
      </c>
      <c r="W108" s="126" t="n">
        <f aca="false">N108/$R$3</f>
        <v>-35.909</v>
      </c>
    </row>
    <row r="109" customFormat="false" ht="12.75" hidden="false" customHeight="false" outlineLevel="0" collapsed="false">
      <c r="A109" s="120" t="n">
        <f aca="false">A108+1</f>
        <v>36995</v>
      </c>
      <c r="B109" s="131" t="str">
        <f aca="false">INDEX('[4]Master Data'!$A$2:$B$8,MATCH(WEEKDAY('CRD Hedge'!A109,3),'[4]Master Data'!$A$2:$A$8,0),2)</f>
        <v>Sa</v>
      </c>
      <c r="D109" s="124" t="n">
        <v>0</v>
      </c>
      <c r="E109" s="124" t="n">
        <v>0</v>
      </c>
      <c r="F109" s="124" t="n">
        <v>0</v>
      </c>
      <c r="G109" s="124" t="n">
        <v>0</v>
      </c>
      <c r="I109" s="124" t="n">
        <f aca="false">IF(MONTH($A109)=MONTH($A108),IF(G109=0,I108,G109),G109)</f>
        <v>0</v>
      </c>
      <c r="J109" s="124" t="n">
        <f aca="false">IF(MONTH($A109)=MONTH($A108),SUM(I109-I108),I109)</f>
        <v>0</v>
      </c>
      <c r="K109" s="124" t="n">
        <f aca="false">IF(WEEKDAY(A109,3)&gt;4,0,(IF(A109&lt;K$2,0,IF(A109&lt;=K$3,1,0))))</f>
        <v>0</v>
      </c>
      <c r="L109" s="124" t="n">
        <f aca="false">J109*K109</f>
        <v>0</v>
      </c>
      <c r="M109" s="124" t="n">
        <f aca="false">SUM(J$97:J109)</f>
        <v>0</v>
      </c>
      <c r="N109" s="124" t="n">
        <f aca="false">SUM(J$6:J109)</f>
        <v>-35909</v>
      </c>
      <c r="P109" s="148" t="n">
        <f aca="false">D109/P$3</f>
        <v>0</v>
      </c>
      <c r="Q109" s="124" t="n">
        <f aca="false">E109/P$3</f>
        <v>0</v>
      </c>
      <c r="R109" s="124" t="n">
        <f aca="false">F109/R$3</f>
        <v>0</v>
      </c>
      <c r="S109" s="126" t="n">
        <f aca="false">J109/$R$3</f>
        <v>0</v>
      </c>
      <c r="T109" s="126" t="n">
        <f aca="false">L109/$R$3</f>
        <v>0</v>
      </c>
      <c r="U109" s="126" t="n">
        <f aca="false">I109/$R$3</f>
        <v>0</v>
      </c>
      <c r="V109" s="126" t="n">
        <f aca="false">M109/$R$3</f>
        <v>0</v>
      </c>
      <c r="W109" s="126" t="n">
        <f aca="false">N109/$R$3</f>
        <v>-35.909</v>
      </c>
    </row>
    <row r="110" customFormat="false" ht="12.75" hidden="false" customHeight="false" outlineLevel="0" collapsed="false">
      <c r="A110" s="120" t="n">
        <f aca="false">A109+1</f>
        <v>36996</v>
      </c>
      <c r="B110" s="131" t="str">
        <f aca="false">INDEX('[4]Master Data'!$A$2:$B$8,MATCH(WEEKDAY('CRD Hedge'!A110,3),'[4]Master Data'!$A$2:$A$8,0),2)</f>
        <v>Su</v>
      </c>
      <c r="D110" s="124" t="n">
        <v>0</v>
      </c>
      <c r="E110" s="124" t="n">
        <v>0</v>
      </c>
      <c r="F110" s="124" t="n">
        <v>0</v>
      </c>
      <c r="G110" s="124" t="n">
        <v>0</v>
      </c>
      <c r="I110" s="124" t="n">
        <f aca="false">IF(MONTH($A110)=MONTH($A109),IF(G110=0,I109,G110),G110)</f>
        <v>0</v>
      </c>
      <c r="J110" s="124" t="n">
        <f aca="false">IF(MONTH($A110)=MONTH($A109),SUM(I110-I109),I110)</f>
        <v>0</v>
      </c>
      <c r="K110" s="124" t="n">
        <f aca="false">IF(WEEKDAY(A110,3)&gt;4,0,(IF(A110&lt;K$2,0,IF(A110&lt;=K$3,1,0))))</f>
        <v>0</v>
      </c>
      <c r="L110" s="124" t="n">
        <f aca="false">J110*K110</f>
        <v>0</v>
      </c>
      <c r="M110" s="124" t="n">
        <f aca="false">SUM(J$97:J110)</f>
        <v>0</v>
      </c>
      <c r="N110" s="124" t="n">
        <f aca="false">SUM(J$6:J110)</f>
        <v>-35909</v>
      </c>
      <c r="P110" s="148" t="n">
        <f aca="false">D110/P$3</f>
        <v>0</v>
      </c>
      <c r="Q110" s="124" t="n">
        <f aca="false">E110/P$3</f>
        <v>0</v>
      </c>
      <c r="R110" s="124" t="n">
        <f aca="false">F110/R$3</f>
        <v>0</v>
      </c>
      <c r="S110" s="126" t="n">
        <f aca="false">J110/$R$3</f>
        <v>0</v>
      </c>
      <c r="T110" s="126" t="n">
        <f aca="false">L110/$R$3</f>
        <v>0</v>
      </c>
      <c r="U110" s="126" t="n">
        <f aca="false">I110/$R$3</f>
        <v>0</v>
      </c>
      <c r="V110" s="126" t="n">
        <f aca="false">M110/$R$3</f>
        <v>0</v>
      </c>
      <c r="W110" s="126" t="n">
        <f aca="false">N110/$R$3</f>
        <v>-35.909</v>
      </c>
    </row>
    <row r="111" customFormat="false" ht="12.75" hidden="false" customHeight="false" outlineLevel="0" collapsed="false">
      <c r="A111" s="120" t="n">
        <f aca="false">A110+1</f>
        <v>36997</v>
      </c>
      <c r="B111" s="131" t="str">
        <f aca="false">INDEX('[4]Master Data'!$A$2:$B$8,MATCH(WEEKDAY('CRD Hedge'!A111,3),'[4]Master Data'!$A$2:$A$8,0),2)</f>
        <v>M</v>
      </c>
      <c r="D111" s="124" t="n">
        <v>0</v>
      </c>
      <c r="E111" s="124" t="n">
        <v>0</v>
      </c>
      <c r="F111" s="124" t="n">
        <v>0</v>
      </c>
      <c r="G111" s="124" t="n">
        <v>0</v>
      </c>
      <c r="I111" s="124" t="n">
        <f aca="false">IF(MONTH($A111)=MONTH($A110),IF(G111=0,I110,G111),G111)</f>
        <v>0</v>
      </c>
      <c r="J111" s="124" t="n">
        <f aca="false">IF(MONTH($A111)=MONTH($A110),SUM(I111-I110),I111)</f>
        <v>0</v>
      </c>
      <c r="K111" s="124" t="n">
        <f aca="false">IF(WEEKDAY(A111,3)&gt;4,0,(IF(A111&lt;K$2,0,IF(A111&lt;=K$3,1,0))))</f>
        <v>0</v>
      </c>
      <c r="L111" s="124" t="n">
        <f aca="false">J111*K111</f>
        <v>0</v>
      </c>
      <c r="M111" s="124" t="n">
        <f aca="false">SUM(J$97:J111)</f>
        <v>0</v>
      </c>
      <c r="N111" s="124" t="n">
        <f aca="false">SUM(J$6:J111)</f>
        <v>-35909</v>
      </c>
      <c r="P111" s="148" t="n">
        <f aca="false">D111/P$3</f>
        <v>0</v>
      </c>
      <c r="Q111" s="124" t="n">
        <f aca="false">E111/P$3</f>
        <v>0</v>
      </c>
      <c r="R111" s="124" t="n">
        <f aca="false">F111/R$3</f>
        <v>0</v>
      </c>
      <c r="S111" s="126" t="n">
        <f aca="false">J111/$R$3</f>
        <v>0</v>
      </c>
      <c r="T111" s="126" t="n">
        <f aca="false">L111/$R$3</f>
        <v>0</v>
      </c>
      <c r="U111" s="126" t="n">
        <f aca="false">I111/$R$3</f>
        <v>0</v>
      </c>
      <c r="V111" s="126" t="n">
        <f aca="false">M111/$R$3</f>
        <v>0</v>
      </c>
      <c r="W111" s="126" t="n">
        <f aca="false">N111/$R$3</f>
        <v>-35.909</v>
      </c>
    </row>
    <row r="112" customFormat="false" ht="12.75" hidden="false" customHeight="false" outlineLevel="0" collapsed="false">
      <c r="A112" s="120" t="n">
        <f aca="false">A111+1</f>
        <v>36998</v>
      </c>
      <c r="B112" s="131" t="str">
        <f aca="false">INDEX('[4]Master Data'!$A$2:$B$8,MATCH(WEEKDAY('CRD Hedge'!A112,3),'[4]Master Data'!$A$2:$A$8,0),2)</f>
        <v>T</v>
      </c>
      <c r="D112" s="124" t="n">
        <v>0</v>
      </c>
      <c r="E112" s="124" t="n">
        <v>0</v>
      </c>
      <c r="F112" s="124" t="n">
        <v>0</v>
      </c>
      <c r="G112" s="124" t="n">
        <v>0</v>
      </c>
      <c r="I112" s="124" t="n">
        <f aca="false">IF(MONTH($A112)=MONTH($A111),IF(G112=0,I111,G112),G112)</f>
        <v>0</v>
      </c>
      <c r="J112" s="124" t="n">
        <f aca="false">IF(MONTH($A112)=MONTH($A111),SUM(I112-I111),I112)</f>
        <v>0</v>
      </c>
      <c r="K112" s="124" t="n">
        <f aca="false">IF(WEEKDAY(A112,3)&gt;4,0,(IF(A112&lt;K$2,0,IF(A112&lt;=K$3,1,0))))</f>
        <v>0</v>
      </c>
      <c r="L112" s="124" t="n">
        <f aca="false">J112*K112</f>
        <v>0</v>
      </c>
      <c r="M112" s="124" t="n">
        <f aca="false">SUM(J$97:J112)</f>
        <v>0</v>
      </c>
      <c r="N112" s="124" t="n">
        <f aca="false">SUM(J$6:J112)</f>
        <v>-35909</v>
      </c>
      <c r="P112" s="148" t="n">
        <f aca="false">D112/P$3</f>
        <v>0</v>
      </c>
      <c r="Q112" s="124" t="n">
        <f aca="false">E112/P$3</f>
        <v>0</v>
      </c>
      <c r="R112" s="124" t="n">
        <f aca="false">F112/R$3</f>
        <v>0</v>
      </c>
      <c r="S112" s="126" t="n">
        <f aca="false">J112/$R$3</f>
        <v>0</v>
      </c>
      <c r="T112" s="126" t="n">
        <f aca="false">L112/$R$3</f>
        <v>0</v>
      </c>
      <c r="U112" s="126" t="n">
        <f aca="false">I112/$R$3</f>
        <v>0</v>
      </c>
      <c r="V112" s="126" t="n">
        <f aca="false">M112/$R$3</f>
        <v>0</v>
      </c>
      <c r="W112" s="126" t="n">
        <f aca="false">N112/$R$3</f>
        <v>-35.909</v>
      </c>
    </row>
    <row r="113" customFormat="false" ht="12.75" hidden="false" customHeight="false" outlineLevel="0" collapsed="false">
      <c r="A113" s="120" t="n">
        <f aca="false">A112+1</f>
        <v>36999</v>
      </c>
      <c r="B113" s="131" t="str">
        <f aca="false">INDEX('[4]Master Data'!$A$2:$B$8,MATCH(WEEKDAY('CRD Hedge'!A113,3),'[4]Master Data'!$A$2:$A$8,0),2)</f>
        <v>W</v>
      </c>
      <c r="D113" s="124" t="n">
        <v>0</v>
      </c>
      <c r="E113" s="124" t="n">
        <v>0</v>
      </c>
      <c r="F113" s="124" t="n">
        <v>0</v>
      </c>
      <c r="G113" s="124" t="n">
        <v>0</v>
      </c>
      <c r="I113" s="124" t="n">
        <f aca="false">IF(MONTH($A113)=MONTH($A112),IF(G113=0,I112,G113),G113)</f>
        <v>0</v>
      </c>
      <c r="J113" s="124" t="n">
        <f aca="false">IF(MONTH($A113)=MONTH($A112),SUM(I113-I112),I113)</f>
        <v>0</v>
      </c>
      <c r="K113" s="124" t="n">
        <f aca="false">IF(WEEKDAY(A113,3)&gt;4,0,(IF(A113&lt;K$2,0,IF(A113&lt;=K$3,1,0))))</f>
        <v>0</v>
      </c>
      <c r="L113" s="124" t="n">
        <f aca="false">J113*K113</f>
        <v>0</v>
      </c>
      <c r="M113" s="124" t="n">
        <f aca="false">SUM(J$97:J113)</f>
        <v>0</v>
      </c>
      <c r="N113" s="124" t="n">
        <f aca="false">SUM(J$6:J113)</f>
        <v>-35909</v>
      </c>
      <c r="P113" s="148" t="n">
        <f aca="false">D113/P$3</f>
        <v>0</v>
      </c>
      <c r="Q113" s="124" t="n">
        <f aca="false">E113/P$3</f>
        <v>0</v>
      </c>
      <c r="R113" s="124" t="n">
        <f aca="false">F113/R$3</f>
        <v>0</v>
      </c>
      <c r="S113" s="126" t="n">
        <f aca="false">J113/$R$3</f>
        <v>0</v>
      </c>
      <c r="T113" s="126" t="n">
        <f aca="false">L113/$R$3</f>
        <v>0</v>
      </c>
      <c r="U113" s="126" t="n">
        <f aca="false">I113/$R$3</f>
        <v>0</v>
      </c>
      <c r="V113" s="126" t="n">
        <f aca="false">M113/$R$3</f>
        <v>0</v>
      </c>
      <c r="W113" s="126" t="n">
        <f aca="false">N113/$R$3</f>
        <v>-35.909</v>
      </c>
    </row>
    <row r="114" customFormat="false" ht="12.75" hidden="false" customHeight="false" outlineLevel="0" collapsed="false">
      <c r="A114" s="120" t="n">
        <f aca="false">A113+1</f>
        <v>37000</v>
      </c>
      <c r="B114" s="131" t="str">
        <f aca="false">INDEX('[4]Master Data'!$A$2:$B$8,MATCH(WEEKDAY('CRD Hedge'!A114,3),'[4]Master Data'!$A$2:$A$8,0),2)</f>
        <v>Th</v>
      </c>
      <c r="D114" s="124" t="n">
        <v>0</v>
      </c>
      <c r="E114" s="124" t="n">
        <v>0</v>
      </c>
      <c r="F114" s="124" t="n">
        <v>0</v>
      </c>
      <c r="G114" s="124" t="n">
        <v>0</v>
      </c>
      <c r="I114" s="124" t="n">
        <f aca="false">IF(MONTH($A114)=MONTH($A113),IF(G114=0,I113,G114),G114)</f>
        <v>0</v>
      </c>
      <c r="J114" s="124" t="n">
        <f aca="false">IF(MONTH($A114)=MONTH($A113),SUM(I114-I113),I114)</f>
        <v>0</v>
      </c>
      <c r="K114" s="124" t="n">
        <f aca="false">IF(WEEKDAY(A114,3)&gt;4,0,(IF(A114&lt;K$2,0,IF(A114&lt;=K$3,1,0))))</f>
        <v>0</v>
      </c>
      <c r="L114" s="124" t="n">
        <f aca="false">J114*K114</f>
        <v>0</v>
      </c>
      <c r="M114" s="124" t="n">
        <f aca="false">SUM(J$97:J114)</f>
        <v>0</v>
      </c>
      <c r="N114" s="124" t="n">
        <f aca="false">SUM(J$6:J114)</f>
        <v>-35909</v>
      </c>
      <c r="P114" s="148" t="n">
        <f aca="false">D114/P$3</f>
        <v>0</v>
      </c>
      <c r="Q114" s="124" t="n">
        <f aca="false">E114/P$3</f>
        <v>0</v>
      </c>
      <c r="R114" s="124" t="n">
        <f aca="false">F114/R$3</f>
        <v>0</v>
      </c>
      <c r="S114" s="126" t="n">
        <f aca="false">J114/$R$3</f>
        <v>0</v>
      </c>
      <c r="T114" s="126" t="n">
        <f aca="false">L114/$R$3</f>
        <v>0</v>
      </c>
      <c r="U114" s="126" t="n">
        <f aca="false">I114/$R$3</f>
        <v>0</v>
      </c>
      <c r="V114" s="126" t="n">
        <f aca="false">M114/$R$3</f>
        <v>0</v>
      </c>
      <c r="W114" s="126" t="n">
        <f aca="false">N114/$R$3</f>
        <v>-35.909</v>
      </c>
    </row>
    <row r="115" customFormat="false" ht="12.75" hidden="false" customHeight="false" outlineLevel="0" collapsed="false">
      <c r="A115" s="120" t="n">
        <f aca="false">A114+1</f>
        <v>37001</v>
      </c>
      <c r="B115" s="131" t="str">
        <f aca="false">INDEX('[4]Master Data'!$A$2:$B$8,MATCH(WEEKDAY('CRD Hedge'!A115,3),'[4]Master Data'!$A$2:$A$8,0),2)</f>
        <v>F</v>
      </c>
      <c r="D115" s="124" t="n">
        <v>0</v>
      </c>
      <c r="E115" s="124" t="n">
        <v>0</v>
      </c>
      <c r="F115" s="124" t="n">
        <v>0</v>
      </c>
      <c r="G115" s="124" t="n">
        <v>0</v>
      </c>
      <c r="I115" s="124" t="n">
        <f aca="false">IF(MONTH($A115)=MONTH($A114),IF(G115=0,I114,G115),G115)</f>
        <v>0</v>
      </c>
      <c r="J115" s="124" t="n">
        <f aca="false">IF(MONTH($A115)=MONTH($A114),SUM(I115-I114),I115)</f>
        <v>0</v>
      </c>
      <c r="K115" s="124" t="n">
        <f aca="false">IF(WEEKDAY(A115,3)&gt;4,0,(IF(A115&lt;K$2,0,IF(A115&lt;=K$3,1,0))))</f>
        <v>0</v>
      </c>
      <c r="L115" s="124" t="n">
        <f aca="false">J115*K115</f>
        <v>0</v>
      </c>
      <c r="M115" s="124" t="n">
        <f aca="false">SUM(J$97:J115)</f>
        <v>0</v>
      </c>
      <c r="N115" s="124" t="n">
        <f aca="false">SUM(J$6:J115)</f>
        <v>-35909</v>
      </c>
      <c r="P115" s="148" t="n">
        <f aca="false">D115/P$3</f>
        <v>0</v>
      </c>
      <c r="Q115" s="124" t="n">
        <f aca="false">E115/P$3</f>
        <v>0</v>
      </c>
      <c r="R115" s="124" t="n">
        <f aca="false">F115/R$3</f>
        <v>0</v>
      </c>
      <c r="S115" s="126" t="n">
        <f aca="false">J115/$R$3</f>
        <v>0</v>
      </c>
      <c r="T115" s="126" t="n">
        <f aca="false">L115/$R$3</f>
        <v>0</v>
      </c>
      <c r="U115" s="126" t="n">
        <f aca="false">I115/$R$3</f>
        <v>0</v>
      </c>
      <c r="V115" s="126" t="n">
        <f aca="false">M115/$R$3</f>
        <v>0</v>
      </c>
      <c r="W115" s="126" t="n">
        <f aca="false">N115/$R$3</f>
        <v>-35.909</v>
      </c>
    </row>
    <row r="116" customFormat="false" ht="12.75" hidden="false" customHeight="false" outlineLevel="0" collapsed="false">
      <c r="A116" s="120" t="n">
        <f aca="false">A115+1</f>
        <v>37002</v>
      </c>
      <c r="B116" s="131" t="str">
        <f aca="false">INDEX('[4]Master Data'!$A$2:$B$8,MATCH(WEEKDAY('CRD Hedge'!A116,3),'[4]Master Data'!$A$2:$A$8,0),2)</f>
        <v>Sa</v>
      </c>
      <c r="D116" s="124" t="n">
        <v>0</v>
      </c>
      <c r="E116" s="124" t="n">
        <v>0</v>
      </c>
      <c r="F116" s="124" t="n">
        <v>0</v>
      </c>
      <c r="G116" s="124" t="n">
        <v>0</v>
      </c>
      <c r="I116" s="124" t="n">
        <f aca="false">IF(MONTH($A116)=MONTH($A115),IF(G116=0,I115,G116),G116)</f>
        <v>0</v>
      </c>
      <c r="J116" s="124" t="n">
        <f aca="false">IF(MONTH($A116)=MONTH($A115),SUM(I116-I115),I116)</f>
        <v>0</v>
      </c>
      <c r="K116" s="124" t="n">
        <f aca="false">IF(WEEKDAY(A116,3)&gt;4,0,(IF(A116&lt;K$2,0,IF(A116&lt;=K$3,1,0))))</f>
        <v>0</v>
      </c>
      <c r="L116" s="124" t="n">
        <f aca="false">J116*K116</f>
        <v>0</v>
      </c>
      <c r="M116" s="124" t="n">
        <f aca="false">SUM(J$97:J116)</f>
        <v>0</v>
      </c>
      <c r="N116" s="124" t="n">
        <f aca="false">SUM(J$6:J116)</f>
        <v>-35909</v>
      </c>
      <c r="P116" s="148" t="n">
        <f aca="false">D116/P$3</f>
        <v>0</v>
      </c>
      <c r="Q116" s="124" t="n">
        <f aca="false">E116/P$3</f>
        <v>0</v>
      </c>
      <c r="R116" s="124" t="n">
        <f aca="false">F116/R$3</f>
        <v>0</v>
      </c>
      <c r="S116" s="126" t="n">
        <f aca="false">J116/$R$3</f>
        <v>0</v>
      </c>
      <c r="T116" s="126" t="n">
        <f aca="false">L116/$R$3</f>
        <v>0</v>
      </c>
      <c r="U116" s="126" t="n">
        <f aca="false">I116/$R$3</f>
        <v>0</v>
      </c>
      <c r="V116" s="126" t="n">
        <f aca="false">M116/$R$3</f>
        <v>0</v>
      </c>
      <c r="W116" s="126" t="n">
        <f aca="false">N116/$R$3</f>
        <v>-35.909</v>
      </c>
    </row>
    <row r="117" customFormat="false" ht="12.75" hidden="false" customHeight="false" outlineLevel="0" collapsed="false">
      <c r="A117" s="120" t="n">
        <f aca="false">A116+1</f>
        <v>37003</v>
      </c>
      <c r="B117" s="131" t="str">
        <f aca="false">INDEX('[4]Master Data'!$A$2:$B$8,MATCH(WEEKDAY('CRD Hedge'!A117,3),'[4]Master Data'!$A$2:$A$8,0),2)</f>
        <v>Su</v>
      </c>
      <c r="D117" s="124" t="n">
        <v>0</v>
      </c>
      <c r="E117" s="124" t="n">
        <v>0</v>
      </c>
      <c r="F117" s="124" t="n">
        <v>0</v>
      </c>
      <c r="G117" s="124" t="n">
        <v>0</v>
      </c>
      <c r="I117" s="124" t="n">
        <f aca="false">IF(MONTH($A117)=MONTH($A116),IF(G117=0,I116,G117),G117)</f>
        <v>0</v>
      </c>
      <c r="J117" s="124" t="n">
        <f aca="false">IF(MONTH($A117)=MONTH($A116),SUM(I117-I116),I117)</f>
        <v>0</v>
      </c>
      <c r="K117" s="124" t="n">
        <f aca="false">IF(WEEKDAY(A117,3)&gt;4,0,(IF(A117&lt;K$2,0,IF(A117&lt;=K$3,1,0))))</f>
        <v>0</v>
      </c>
      <c r="L117" s="124" t="n">
        <f aca="false">J117*K117</f>
        <v>0</v>
      </c>
      <c r="M117" s="124" t="n">
        <f aca="false">SUM(J$97:J117)</f>
        <v>0</v>
      </c>
      <c r="N117" s="124" t="n">
        <f aca="false">SUM(J$6:J117)</f>
        <v>-35909</v>
      </c>
      <c r="P117" s="148" t="n">
        <f aca="false">D117/P$3</f>
        <v>0</v>
      </c>
      <c r="Q117" s="124" t="n">
        <f aca="false">E117/P$3</f>
        <v>0</v>
      </c>
      <c r="R117" s="124" t="n">
        <f aca="false">F117/R$3</f>
        <v>0</v>
      </c>
      <c r="S117" s="126" t="n">
        <f aca="false">J117/$R$3</f>
        <v>0</v>
      </c>
      <c r="T117" s="126" t="n">
        <f aca="false">L117/$R$3</f>
        <v>0</v>
      </c>
      <c r="U117" s="126" t="n">
        <f aca="false">I117/$R$3</f>
        <v>0</v>
      </c>
      <c r="V117" s="126" t="n">
        <f aca="false">M117/$R$3</f>
        <v>0</v>
      </c>
      <c r="W117" s="126" t="n">
        <f aca="false">N117/$R$3</f>
        <v>-35.909</v>
      </c>
    </row>
    <row r="118" customFormat="false" ht="12.75" hidden="false" customHeight="false" outlineLevel="0" collapsed="false">
      <c r="A118" s="120" t="n">
        <f aca="false">A117+1</f>
        <v>37004</v>
      </c>
      <c r="B118" s="131" t="str">
        <f aca="false">INDEX('[4]Master Data'!$A$2:$B$8,MATCH(WEEKDAY('CRD Hedge'!A118,3),'[4]Master Data'!$A$2:$A$8,0),2)</f>
        <v>M</v>
      </c>
      <c r="D118" s="124" t="n">
        <v>0</v>
      </c>
      <c r="E118" s="124" t="n">
        <v>0</v>
      </c>
      <c r="F118" s="124" t="n">
        <v>0</v>
      </c>
      <c r="G118" s="124" t="n">
        <v>0</v>
      </c>
      <c r="I118" s="124" t="n">
        <f aca="false">IF(MONTH($A118)=MONTH($A117),IF(G118=0,I117,G118),G118)</f>
        <v>0</v>
      </c>
      <c r="J118" s="124" t="n">
        <f aca="false">IF(MONTH($A118)=MONTH($A117),SUM(I118-I117),I118)</f>
        <v>0</v>
      </c>
      <c r="K118" s="124" t="n">
        <f aca="false">IF(WEEKDAY(A118,3)&gt;4,0,(IF(A118&lt;K$2,0,IF(A118&lt;=K$3,1,0))))</f>
        <v>0</v>
      </c>
      <c r="L118" s="124" t="n">
        <f aca="false">J118*K118</f>
        <v>0</v>
      </c>
      <c r="M118" s="124" t="n">
        <f aca="false">SUM(J$97:J118)</f>
        <v>0</v>
      </c>
      <c r="N118" s="124" t="n">
        <f aca="false">SUM(J$6:J118)</f>
        <v>-35909</v>
      </c>
      <c r="P118" s="148" t="n">
        <f aca="false">D118/P$3</f>
        <v>0</v>
      </c>
      <c r="Q118" s="124" t="n">
        <f aca="false">E118/P$3</f>
        <v>0</v>
      </c>
      <c r="R118" s="124" t="n">
        <f aca="false">F118/R$3</f>
        <v>0</v>
      </c>
      <c r="S118" s="126" t="n">
        <f aca="false">J118/$R$3</f>
        <v>0</v>
      </c>
      <c r="T118" s="126" t="n">
        <f aca="false">L118/$R$3</f>
        <v>0</v>
      </c>
      <c r="U118" s="126" t="n">
        <f aca="false">I118/$R$3</f>
        <v>0</v>
      </c>
      <c r="V118" s="126" t="n">
        <f aca="false">M118/$R$3</f>
        <v>0</v>
      </c>
      <c r="W118" s="126" t="n">
        <f aca="false">N118/$R$3</f>
        <v>-35.909</v>
      </c>
    </row>
    <row r="119" customFormat="false" ht="12.75" hidden="false" customHeight="false" outlineLevel="0" collapsed="false">
      <c r="A119" s="120" t="n">
        <f aca="false">A118+1</f>
        <v>37005</v>
      </c>
      <c r="B119" s="131" t="str">
        <f aca="false">INDEX('[4]Master Data'!$A$2:$B$8,MATCH(WEEKDAY('CRD Hedge'!A119,3),'[4]Master Data'!$A$2:$A$8,0),2)</f>
        <v>T</v>
      </c>
      <c r="D119" s="124" t="n">
        <v>0</v>
      </c>
      <c r="E119" s="124" t="n">
        <v>0</v>
      </c>
      <c r="F119" s="124" t="n">
        <v>0</v>
      </c>
      <c r="G119" s="124" t="n">
        <v>0</v>
      </c>
      <c r="I119" s="124" t="n">
        <f aca="false">IF(MONTH($A119)=MONTH($A118),IF(G119=0,I118,G119),G119)</f>
        <v>0</v>
      </c>
      <c r="J119" s="124" t="n">
        <f aca="false">IF(MONTH($A119)=MONTH($A118),SUM(I119-I118),I119)</f>
        <v>0</v>
      </c>
      <c r="K119" s="124" t="n">
        <f aca="false">IF(WEEKDAY(A119,3)&gt;4,0,(IF(A119&lt;K$2,0,IF(A119&lt;=K$3,1,0))))</f>
        <v>0</v>
      </c>
      <c r="L119" s="124" t="n">
        <f aca="false">J119*K119</f>
        <v>0</v>
      </c>
      <c r="M119" s="124" t="n">
        <f aca="false">SUM(J$97:J119)</f>
        <v>0</v>
      </c>
      <c r="N119" s="124" t="n">
        <f aca="false">SUM(J$6:J119)</f>
        <v>-35909</v>
      </c>
      <c r="P119" s="148" t="n">
        <f aca="false">D119/P$3</f>
        <v>0</v>
      </c>
      <c r="Q119" s="124" t="n">
        <f aca="false">E119/P$3</f>
        <v>0</v>
      </c>
      <c r="R119" s="124" t="n">
        <f aca="false">F119/R$3</f>
        <v>0</v>
      </c>
      <c r="S119" s="126" t="n">
        <f aca="false">J119/$R$3</f>
        <v>0</v>
      </c>
      <c r="T119" s="126" t="n">
        <f aca="false">L119/$R$3</f>
        <v>0</v>
      </c>
      <c r="U119" s="126" t="n">
        <f aca="false">I119/$R$3</f>
        <v>0</v>
      </c>
      <c r="V119" s="126" t="n">
        <f aca="false">M119/$R$3</f>
        <v>0</v>
      </c>
      <c r="W119" s="126" t="n">
        <f aca="false">N119/$R$3</f>
        <v>-35.909</v>
      </c>
    </row>
    <row r="120" customFormat="false" ht="12.75" hidden="false" customHeight="false" outlineLevel="0" collapsed="false">
      <c r="A120" s="120" t="n">
        <f aca="false">A119+1</f>
        <v>37006</v>
      </c>
      <c r="B120" s="131" t="str">
        <f aca="false">INDEX('[4]Master Data'!$A$2:$B$8,MATCH(WEEKDAY('CRD Hedge'!A120,3),'[4]Master Data'!$A$2:$A$8,0),2)</f>
        <v>W</v>
      </c>
      <c r="D120" s="124" t="n">
        <v>0</v>
      </c>
      <c r="E120" s="124" t="n">
        <v>0</v>
      </c>
      <c r="F120" s="124" t="n">
        <v>0</v>
      </c>
      <c r="G120" s="124" t="n">
        <v>0</v>
      </c>
      <c r="I120" s="124" t="n">
        <f aca="false">IF(MONTH($A120)=MONTH($A119),IF(G120=0,I119,G120),G120)</f>
        <v>0</v>
      </c>
      <c r="J120" s="124" t="n">
        <f aca="false">IF(MONTH($A120)=MONTH($A119),SUM(I120-I119),I120)</f>
        <v>0</v>
      </c>
      <c r="K120" s="124" t="n">
        <f aca="false">IF(WEEKDAY(A120,3)&gt;4,0,(IF(A120&lt;K$2,0,IF(A120&lt;=K$3,1,0))))</f>
        <v>0</v>
      </c>
      <c r="L120" s="124" t="n">
        <f aca="false">J120*K120</f>
        <v>0</v>
      </c>
      <c r="M120" s="124" t="n">
        <f aca="false">SUM(J$97:J120)</f>
        <v>0</v>
      </c>
      <c r="N120" s="124" t="n">
        <f aca="false">SUM(J$6:J120)</f>
        <v>-35909</v>
      </c>
      <c r="P120" s="148" t="n">
        <f aca="false">D120/P$3</f>
        <v>0</v>
      </c>
      <c r="Q120" s="124" t="n">
        <f aca="false">E120/P$3</f>
        <v>0</v>
      </c>
      <c r="R120" s="124" t="n">
        <f aca="false">F120/R$3</f>
        <v>0</v>
      </c>
      <c r="S120" s="126" t="n">
        <f aca="false">J120/$R$3</f>
        <v>0</v>
      </c>
      <c r="T120" s="126" t="n">
        <f aca="false">L120/$R$3</f>
        <v>0</v>
      </c>
      <c r="U120" s="126" t="n">
        <f aca="false">I120/$R$3</f>
        <v>0</v>
      </c>
      <c r="V120" s="126" t="n">
        <f aca="false">M120/$R$3</f>
        <v>0</v>
      </c>
      <c r="W120" s="126" t="n">
        <f aca="false">N120/$R$3</f>
        <v>-35.909</v>
      </c>
    </row>
    <row r="121" customFormat="false" ht="12.75" hidden="false" customHeight="false" outlineLevel="0" collapsed="false">
      <c r="A121" s="120" t="n">
        <f aca="false">A120+1</f>
        <v>37007</v>
      </c>
      <c r="B121" s="131" t="str">
        <f aca="false">INDEX('[4]Master Data'!$A$2:$B$8,MATCH(WEEKDAY('CRD Hedge'!A121,3),'[4]Master Data'!$A$2:$A$8,0),2)</f>
        <v>Th</v>
      </c>
      <c r="D121" s="124" t="n">
        <v>0</v>
      </c>
      <c r="E121" s="124" t="n">
        <v>0</v>
      </c>
      <c r="F121" s="124" t="n">
        <v>0</v>
      </c>
      <c r="G121" s="124" t="n">
        <v>0</v>
      </c>
      <c r="I121" s="124" t="n">
        <f aca="false">IF(MONTH($A121)=MONTH($A120),IF(G121=0,I120,G121),G121)</f>
        <v>0</v>
      </c>
      <c r="J121" s="124" t="n">
        <f aca="false">IF(MONTH($A121)=MONTH($A120),SUM(I121-I120),I121)</f>
        <v>0</v>
      </c>
      <c r="K121" s="124" t="n">
        <f aca="false">IF(WEEKDAY(A121,3)&gt;4,0,(IF(A121&lt;K$2,0,IF(A121&lt;=K$3,1,0))))</f>
        <v>0</v>
      </c>
      <c r="L121" s="124" t="n">
        <f aca="false">J121*K121</f>
        <v>0</v>
      </c>
      <c r="M121" s="124" t="n">
        <f aca="false">SUM(J$97:J121)</f>
        <v>0</v>
      </c>
      <c r="N121" s="124" t="n">
        <f aca="false">SUM(J$6:J121)</f>
        <v>-35909</v>
      </c>
      <c r="P121" s="148" t="n">
        <f aca="false">D121/P$3</f>
        <v>0</v>
      </c>
      <c r="Q121" s="124" t="n">
        <f aca="false">E121/P$3</f>
        <v>0</v>
      </c>
      <c r="R121" s="124" t="n">
        <f aca="false">F121/R$3</f>
        <v>0</v>
      </c>
      <c r="S121" s="126" t="n">
        <f aca="false">J121/$R$3</f>
        <v>0</v>
      </c>
      <c r="T121" s="126" t="n">
        <f aca="false">L121/$R$3</f>
        <v>0</v>
      </c>
      <c r="U121" s="126" t="n">
        <f aca="false">I121/$R$3</f>
        <v>0</v>
      </c>
      <c r="V121" s="126" t="n">
        <f aca="false">M121/$R$3</f>
        <v>0</v>
      </c>
      <c r="W121" s="126" t="n">
        <f aca="false">N121/$R$3</f>
        <v>-35.909</v>
      </c>
    </row>
    <row r="122" customFormat="false" ht="12.75" hidden="false" customHeight="false" outlineLevel="0" collapsed="false">
      <c r="A122" s="120" t="n">
        <f aca="false">A121+1</f>
        <v>37008</v>
      </c>
      <c r="B122" s="131" t="str">
        <f aca="false">INDEX('[4]Master Data'!$A$2:$B$8,MATCH(WEEKDAY('CRD Hedge'!A122,3),'[4]Master Data'!$A$2:$A$8,0),2)</f>
        <v>F</v>
      </c>
      <c r="D122" s="124" t="n">
        <v>0</v>
      </c>
      <c r="E122" s="124" t="n">
        <v>0</v>
      </c>
      <c r="F122" s="124" t="n">
        <v>0</v>
      </c>
      <c r="G122" s="124" t="n">
        <v>0</v>
      </c>
      <c r="I122" s="124" t="n">
        <f aca="false">IF(MONTH($A122)=MONTH($A121),IF(G122=0,I121,G122),G122)</f>
        <v>0</v>
      </c>
      <c r="J122" s="124" t="n">
        <f aca="false">IF(MONTH($A122)=MONTH($A121),SUM(I122-I121),I122)</f>
        <v>0</v>
      </c>
      <c r="K122" s="124" t="n">
        <f aca="false">IF(WEEKDAY(A122,3)&gt;4,0,(IF(A122&lt;K$2,0,IF(A122&lt;=K$3,1,0))))</f>
        <v>0</v>
      </c>
      <c r="L122" s="124" t="n">
        <f aca="false">J122*K122</f>
        <v>0</v>
      </c>
      <c r="M122" s="124" t="n">
        <f aca="false">SUM(J$97:J122)</f>
        <v>0</v>
      </c>
      <c r="N122" s="124" t="n">
        <f aca="false">SUM(J$6:J122)</f>
        <v>-35909</v>
      </c>
      <c r="P122" s="148" t="n">
        <f aca="false">D122/P$3</f>
        <v>0</v>
      </c>
      <c r="Q122" s="124" t="n">
        <f aca="false">E122/P$3</f>
        <v>0</v>
      </c>
      <c r="R122" s="124" t="n">
        <f aca="false">F122/R$3</f>
        <v>0</v>
      </c>
      <c r="S122" s="126" t="n">
        <f aca="false">J122/$R$3</f>
        <v>0</v>
      </c>
      <c r="T122" s="126" t="n">
        <f aca="false">L122/$R$3</f>
        <v>0</v>
      </c>
      <c r="U122" s="126" t="n">
        <f aca="false">I122/$R$3</f>
        <v>0</v>
      </c>
      <c r="V122" s="126" t="n">
        <f aca="false">M122/$R$3</f>
        <v>0</v>
      </c>
      <c r="W122" s="126" t="n">
        <f aca="false">N122/$R$3</f>
        <v>-35.909</v>
      </c>
    </row>
    <row r="123" customFormat="false" ht="12.75" hidden="false" customHeight="false" outlineLevel="0" collapsed="false">
      <c r="A123" s="120" t="n">
        <f aca="false">A122+1</f>
        <v>37009</v>
      </c>
      <c r="B123" s="131" t="str">
        <f aca="false">INDEX('[4]Master Data'!$A$2:$B$8,MATCH(WEEKDAY('CRD Hedge'!A123,3),'[4]Master Data'!$A$2:$A$8,0),2)</f>
        <v>Sa</v>
      </c>
      <c r="D123" s="124" t="n">
        <v>0</v>
      </c>
      <c r="E123" s="124" t="n">
        <v>0</v>
      </c>
      <c r="F123" s="124" t="n">
        <v>0</v>
      </c>
      <c r="G123" s="124" t="n">
        <v>0</v>
      </c>
      <c r="I123" s="124" t="n">
        <f aca="false">IF(MONTH($A123)=MONTH($A122),IF(G123=0,I122,G123),G123)</f>
        <v>0</v>
      </c>
      <c r="J123" s="124" t="n">
        <f aca="false">IF(MONTH($A123)=MONTH($A122),SUM(I123-I122),I123)</f>
        <v>0</v>
      </c>
      <c r="K123" s="124" t="n">
        <f aca="false">IF(WEEKDAY(A123,3)&gt;4,0,(IF(A123&lt;K$2,0,IF(A123&lt;=K$3,1,0))))</f>
        <v>0</v>
      </c>
      <c r="L123" s="124" t="n">
        <f aca="false">J123*K123</f>
        <v>0</v>
      </c>
      <c r="M123" s="124" t="n">
        <f aca="false">SUM(J$97:J123)</f>
        <v>0</v>
      </c>
      <c r="N123" s="124" t="n">
        <f aca="false">SUM(J$6:J123)</f>
        <v>-35909</v>
      </c>
      <c r="P123" s="148" t="n">
        <f aca="false">D123/P$3</f>
        <v>0</v>
      </c>
      <c r="Q123" s="124" t="n">
        <f aca="false">E123/P$3</f>
        <v>0</v>
      </c>
      <c r="R123" s="124" t="n">
        <f aca="false">F123/R$3</f>
        <v>0</v>
      </c>
      <c r="S123" s="126" t="n">
        <f aca="false">J123/$R$3</f>
        <v>0</v>
      </c>
      <c r="T123" s="126" t="n">
        <f aca="false">L123/$R$3</f>
        <v>0</v>
      </c>
      <c r="U123" s="126" t="n">
        <f aca="false">I123/$R$3</f>
        <v>0</v>
      </c>
      <c r="V123" s="126" t="n">
        <f aca="false">M123/$R$3</f>
        <v>0</v>
      </c>
      <c r="W123" s="126" t="n">
        <f aca="false">N123/$R$3</f>
        <v>-35.909</v>
      </c>
    </row>
    <row r="124" customFormat="false" ht="12.75" hidden="false" customHeight="false" outlineLevel="0" collapsed="false">
      <c r="A124" s="120" t="n">
        <f aca="false">A123+1</f>
        <v>37010</v>
      </c>
      <c r="B124" s="131" t="str">
        <f aca="false">INDEX('[4]Master Data'!$A$2:$B$8,MATCH(WEEKDAY('CRD Hedge'!A124,3),'[4]Master Data'!$A$2:$A$8,0),2)</f>
        <v>Su</v>
      </c>
      <c r="D124" s="124" t="n">
        <v>0</v>
      </c>
      <c r="E124" s="124" t="n">
        <v>0</v>
      </c>
      <c r="F124" s="124" t="n">
        <v>0</v>
      </c>
      <c r="G124" s="124" t="n">
        <v>0</v>
      </c>
      <c r="I124" s="124" t="n">
        <f aca="false">IF(MONTH($A124)=MONTH($A123),IF(G124=0,I123,G124),G124)</f>
        <v>0</v>
      </c>
      <c r="J124" s="124" t="n">
        <f aca="false">IF(MONTH($A124)=MONTH($A123),SUM(I124-I123),I124)</f>
        <v>0</v>
      </c>
      <c r="K124" s="124" t="n">
        <f aca="false">IF(WEEKDAY(A124,3)&gt;4,0,(IF(A124&lt;K$2,0,IF(A124&lt;=K$3,1,0))))</f>
        <v>0</v>
      </c>
      <c r="L124" s="124" t="n">
        <f aca="false">J124*K124</f>
        <v>0</v>
      </c>
      <c r="M124" s="124" t="n">
        <f aca="false">SUM(J$97:J124)</f>
        <v>0</v>
      </c>
      <c r="N124" s="124" t="n">
        <f aca="false">SUM(J$6:J124)</f>
        <v>-35909</v>
      </c>
      <c r="P124" s="148" t="n">
        <f aca="false">D124/P$3</f>
        <v>0</v>
      </c>
      <c r="Q124" s="124" t="n">
        <f aca="false">E124/P$3</f>
        <v>0</v>
      </c>
      <c r="R124" s="124" t="n">
        <f aca="false">F124/R$3</f>
        <v>0</v>
      </c>
      <c r="S124" s="126" t="n">
        <f aca="false">J124/$R$3</f>
        <v>0</v>
      </c>
      <c r="T124" s="126" t="n">
        <f aca="false">L124/$R$3</f>
        <v>0</v>
      </c>
      <c r="U124" s="126" t="n">
        <f aca="false">I124/$R$3</f>
        <v>0</v>
      </c>
      <c r="V124" s="126" t="n">
        <f aca="false">M124/$R$3</f>
        <v>0</v>
      </c>
      <c r="W124" s="126" t="n">
        <f aca="false">N124/$R$3</f>
        <v>-35.909</v>
      </c>
    </row>
    <row r="125" customFormat="false" ht="12.75" hidden="false" customHeight="false" outlineLevel="0" collapsed="false">
      <c r="A125" s="120" t="n">
        <f aca="false">A124+1</f>
        <v>37011</v>
      </c>
      <c r="B125" s="131" t="str">
        <f aca="false">INDEX('[4]Master Data'!$A$2:$B$8,MATCH(WEEKDAY('CRD Hedge'!A125,3),'[4]Master Data'!$A$2:$A$8,0),2)</f>
        <v>M</v>
      </c>
      <c r="D125" s="124" t="n">
        <v>0</v>
      </c>
      <c r="E125" s="124" t="n">
        <v>0</v>
      </c>
      <c r="F125" s="124" t="n">
        <v>0</v>
      </c>
      <c r="G125" s="124" t="n">
        <v>0</v>
      </c>
      <c r="I125" s="124" t="n">
        <f aca="false">IF(MONTH($A125)=MONTH($A124),IF(G125=0,I124,G125),G125)</f>
        <v>0</v>
      </c>
      <c r="J125" s="124" t="n">
        <f aca="false">IF(MONTH($A125)=MONTH($A124),SUM(I125-I124),I125)</f>
        <v>0</v>
      </c>
      <c r="K125" s="124" t="n">
        <f aca="false">IF(WEEKDAY(A125,3)&gt;4,0,(IF(A125&lt;K$2,0,IF(A125&lt;=K$3,1,0))))</f>
        <v>0</v>
      </c>
      <c r="L125" s="124" t="n">
        <f aca="false">J125*K125</f>
        <v>0</v>
      </c>
      <c r="M125" s="124" t="n">
        <f aca="false">SUM(J$97:J125)</f>
        <v>0</v>
      </c>
      <c r="N125" s="124" t="n">
        <f aca="false">SUM(J$6:J125)</f>
        <v>-35909</v>
      </c>
      <c r="P125" s="148" t="n">
        <f aca="false">D125/P$3</f>
        <v>0</v>
      </c>
      <c r="Q125" s="124" t="n">
        <f aca="false">E125/P$3</f>
        <v>0</v>
      </c>
      <c r="R125" s="124" t="n">
        <f aca="false">F125/R$3</f>
        <v>0</v>
      </c>
      <c r="S125" s="126" t="n">
        <f aca="false">J125/$R$3</f>
        <v>0</v>
      </c>
      <c r="T125" s="126" t="n">
        <f aca="false">L125/$R$3</f>
        <v>0</v>
      </c>
      <c r="U125" s="126" t="n">
        <f aca="false">I125/$R$3</f>
        <v>0</v>
      </c>
      <c r="V125" s="126" t="n">
        <f aca="false">M125/$R$3</f>
        <v>0</v>
      </c>
      <c r="W125" s="126" t="n">
        <f aca="false">N125/$R$3</f>
        <v>-35.909</v>
      </c>
    </row>
    <row r="126" customFormat="false" ht="12.75" hidden="false" customHeight="false" outlineLevel="0" collapsed="false">
      <c r="A126" s="120" t="n">
        <f aca="false">A125+1</f>
        <v>37012</v>
      </c>
      <c r="B126" s="131" t="str">
        <f aca="false">INDEX('[4]Master Data'!$A$2:$B$8,MATCH(WEEKDAY('CRD Hedge'!A126,3),'[4]Master Data'!$A$2:$A$8,0),2)</f>
        <v>T</v>
      </c>
      <c r="D126" s="124" t="n">
        <v>0</v>
      </c>
      <c r="E126" s="124" t="n">
        <v>0</v>
      </c>
      <c r="F126" s="124" t="n">
        <v>0</v>
      </c>
      <c r="G126" s="124" t="n">
        <v>0</v>
      </c>
      <c r="I126" s="124" t="n">
        <f aca="false">IF(MONTH($A126)=MONTH($A125),IF(G126=0,I125,G126),G126)</f>
        <v>0</v>
      </c>
      <c r="J126" s="124" t="n">
        <f aca="false">IF(MONTH($A126)=MONTH($A125),SUM(I126-I125),I126)</f>
        <v>0</v>
      </c>
      <c r="K126" s="124" t="n">
        <f aca="false">IF(WEEKDAY(A126,3)&gt;4,0,(IF(A126&lt;K$2,0,IF(A126&lt;=K$3,1,0))))</f>
        <v>0</v>
      </c>
      <c r="L126" s="124" t="n">
        <f aca="false">J126*K126</f>
        <v>0</v>
      </c>
      <c r="M126" s="124" t="n">
        <f aca="false">SUM(J$97:J126)</f>
        <v>0</v>
      </c>
      <c r="N126" s="124" t="n">
        <f aca="false">SUM(J$6:J126)</f>
        <v>-35909</v>
      </c>
      <c r="P126" s="148" t="n">
        <f aca="false">D126/P$3</f>
        <v>0</v>
      </c>
      <c r="Q126" s="124" t="n">
        <f aca="false">E126/P$3</f>
        <v>0</v>
      </c>
      <c r="R126" s="124" t="n">
        <f aca="false">F126/R$3</f>
        <v>0</v>
      </c>
      <c r="S126" s="126" t="n">
        <f aca="false">J126/$R$3</f>
        <v>0</v>
      </c>
      <c r="T126" s="126" t="n">
        <f aca="false">L126/$R$3</f>
        <v>0</v>
      </c>
      <c r="U126" s="126" t="n">
        <f aca="false">I126/$R$3</f>
        <v>0</v>
      </c>
      <c r="V126" s="126" t="n">
        <f aca="false">M126/$R$3</f>
        <v>0</v>
      </c>
      <c r="W126" s="126" t="n">
        <f aca="false">N126/$R$3</f>
        <v>-35.909</v>
      </c>
    </row>
    <row r="127" customFormat="false" ht="12.75" hidden="false" customHeight="false" outlineLevel="0" collapsed="false">
      <c r="A127" s="120" t="n">
        <f aca="false">A126+1</f>
        <v>37013</v>
      </c>
      <c r="B127" s="131" t="str">
        <f aca="false">INDEX('[4]Master Data'!$A$2:$B$8,MATCH(WEEKDAY('CRD Hedge'!A127,3),'[4]Master Data'!$A$2:$A$8,0),2)</f>
        <v>W</v>
      </c>
      <c r="D127" s="124" t="n">
        <v>0</v>
      </c>
      <c r="E127" s="124" t="n">
        <v>0</v>
      </c>
      <c r="F127" s="124" t="n">
        <v>0</v>
      </c>
      <c r="G127" s="124" t="n">
        <v>0</v>
      </c>
      <c r="I127" s="124" t="n">
        <f aca="false">IF(MONTH($A127)=MONTH($A126),IF(G127=0,I126,G127),G127)</f>
        <v>0</v>
      </c>
      <c r="J127" s="124" t="n">
        <f aca="false">IF(MONTH($A127)=MONTH($A126),SUM(I127-I126),I127)</f>
        <v>0</v>
      </c>
      <c r="K127" s="124" t="n">
        <f aca="false">IF(WEEKDAY(A127,3)&gt;4,0,(IF(A127&lt;K$2,0,IF(A127&lt;=K$3,1,0))))</f>
        <v>0</v>
      </c>
      <c r="L127" s="124" t="n">
        <f aca="false">J127*K127</f>
        <v>0</v>
      </c>
      <c r="M127" s="124" t="n">
        <f aca="false">SUM(J$97:J127)</f>
        <v>0</v>
      </c>
      <c r="N127" s="124" t="n">
        <f aca="false">SUM(J$6:J127)</f>
        <v>-35909</v>
      </c>
      <c r="P127" s="148" t="n">
        <f aca="false">D127/P$3</f>
        <v>0</v>
      </c>
      <c r="Q127" s="124" t="n">
        <f aca="false">E127/P$3</f>
        <v>0</v>
      </c>
      <c r="R127" s="124" t="n">
        <f aca="false">F127/R$3</f>
        <v>0</v>
      </c>
      <c r="S127" s="126" t="n">
        <f aca="false">J127/$R$3</f>
        <v>0</v>
      </c>
      <c r="T127" s="126" t="n">
        <f aca="false">L127/$R$3</f>
        <v>0</v>
      </c>
      <c r="U127" s="126" t="n">
        <f aca="false">I127/$R$3</f>
        <v>0</v>
      </c>
      <c r="V127" s="126" t="n">
        <f aca="false">M127/$R$3</f>
        <v>0</v>
      </c>
      <c r="W127" s="126" t="n">
        <f aca="false">N127/$R$3</f>
        <v>-35.909</v>
      </c>
    </row>
    <row r="128" customFormat="false" ht="12.75" hidden="false" customHeight="false" outlineLevel="0" collapsed="false">
      <c r="A128" s="120" t="n">
        <f aca="false">A127+1</f>
        <v>37014</v>
      </c>
      <c r="B128" s="131" t="str">
        <f aca="false">INDEX('[4]Master Data'!$A$2:$B$8,MATCH(WEEKDAY('CRD Hedge'!A128,3),'[4]Master Data'!$A$2:$A$8,0),2)</f>
        <v>Th</v>
      </c>
      <c r="D128" s="124" t="n">
        <v>0</v>
      </c>
      <c r="E128" s="124" t="n">
        <v>0</v>
      </c>
      <c r="F128" s="124" t="n">
        <v>0</v>
      </c>
      <c r="G128" s="124" t="n">
        <v>0</v>
      </c>
      <c r="I128" s="124" t="n">
        <f aca="false">IF(MONTH($A128)=MONTH($A127),IF(G128=0,I127,G128),G128)</f>
        <v>0</v>
      </c>
      <c r="J128" s="124" t="n">
        <f aca="false">IF(MONTH($A128)=MONTH($A127),SUM(I128-I127),I128)</f>
        <v>0</v>
      </c>
      <c r="K128" s="124" t="n">
        <f aca="false">IF(WEEKDAY(A128,3)&gt;4,0,(IF(A128&lt;K$2,0,IF(A128&lt;=K$3,1,0))))</f>
        <v>0</v>
      </c>
      <c r="L128" s="124" t="n">
        <f aca="false">J128*K128</f>
        <v>0</v>
      </c>
      <c r="M128" s="124" t="n">
        <f aca="false">SUM(J$97:J128)</f>
        <v>0</v>
      </c>
      <c r="N128" s="124" t="n">
        <f aca="false">SUM(J$6:J128)</f>
        <v>-35909</v>
      </c>
      <c r="P128" s="148" t="n">
        <f aca="false">D128/P$3</f>
        <v>0</v>
      </c>
      <c r="Q128" s="124" t="n">
        <f aca="false">E128/P$3</f>
        <v>0</v>
      </c>
      <c r="R128" s="124" t="n">
        <f aca="false">F128/R$3</f>
        <v>0</v>
      </c>
      <c r="S128" s="126" t="n">
        <f aca="false">J128/$R$3</f>
        <v>0</v>
      </c>
      <c r="T128" s="126" t="n">
        <f aca="false">L128/$R$3</f>
        <v>0</v>
      </c>
      <c r="U128" s="126" t="n">
        <f aca="false">I128/$R$3</f>
        <v>0</v>
      </c>
      <c r="V128" s="126" t="n">
        <f aca="false">M128/$R$3</f>
        <v>0</v>
      </c>
      <c r="W128" s="126" t="n">
        <f aca="false">N128/$R$3</f>
        <v>-35.909</v>
      </c>
    </row>
    <row r="129" customFormat="false" ht="12.75" hidden="false" customHeight="false" outlineLevel="0" collapsed="false">
      <c r="A129" s="120" t="n">
        <f aca="false">A128+1</f>
        <v>37015</v>
      </c>
      <c r="B129" s="131" t="str">
        <f aca="false">INDEX('[4]Master Data'!$A$2:$B$8,MATCH(WEEKDAY('CRD Hedge'!A129,3),'[4]Master Data'!$A$2:$A$8,0),2)</f>
        <v>F</v>
      </c>
      <c r="D129" s="124" t="n">
        <v>0</v>
      </c>
      <c r="E129" s="124" t="n">
        <v>0</v>
      </c>
      <c r="F129" s="124" t="n">
        <v>0</v>
      </c>
      <c r="G129" s="124" t="n">
        <v>0</v>
      </c>
      <c r="I129" s="124" t="n">
        <f aca="false">IF(MONTH($A129)=MONTH($A128),IF(G129=0,I128,G129),G129)</f>
        <v>0</v>
      </c>
      <c r="J129" s="124" t="n">
        <f aca="false">IF(MONTH($A129)=MONTH($A128),SUM(I129-I128),I129)</f>
        <v>0</v>
      </c>
      <c r="K129" s="124" t="n">
        <f aca="false">IF(WEEKDAY(A129,3)&gt;4,0,(IF(A129&lt;K$2,0,IF(A129&lt;=K$3,1,0))))</f>
        <v>0</v>
      </c>
      <c r="L129" s="124" t="n">
        <f aca="false">J129*K129</f>
        <v>0</v>
      </c>
      <c r="M129" s="124" t="n">
        <f aca="false">SUM(J$97:J129)</f>
        <v>0</v>
      </c>
      <c r="N129" s="124" t="n">
        <f aca="false">SUM(J$6:J129)</f>
        <v>-35909</v>
      </c>
      <c r="P129" s="148" t="n">
        <f aca="false">D129/P$3</f>
        <v>0</v>
      </c>
      <c r="Q129" s="124" t="n">
        <f aca="false">E129/P$3</f>
        <v>0</v>
      </c>
      <c r="R129" s="124" t="n">
        <f aca="false">F129/R$3</f>
        <v>0</v>
      </c>
      <c r="S129" s="126" t="n">
        <f aca="false">J129/$R$3</f>
        <v>0</v>
      </c>
      <c r="T129" s="126" t="n">
        <f aca="false">L129/$R$3</f>
        <v>0</v>
      </c>
      <c r="U129" s="126" t="n">
        <f aca="false">I129/$R$3</f>
        <v>0</v>
      </c>
      <c r="V129" s="126" t="n">
        <f aca="false">M129/$R$3</f>
        <v>0</v>
      </c>
      <c r="W129" s="126" t="n">
        <f aca="false">N129/$R$3</f>
        <v>-35.909</v>
      </c>
    </row>
    <row r="130" customFormat="false" ht="12.75" hidden="false" customHeight="false" outlineLevel="0" collapsed="false">
      <c r="A130" s="120" t="n">
        <f aca="false">A129+1</f>
        <v>37016</v>
      </c>
      <c r="B130" s="131" t="str">
        <f aca="false">INDEX('[4]Master Data'!$A$2:$B$8,MATCH(WEEKDAY('CRD Hedge'!A130,3),'[4]Master Data'!$A$2:$A$8,0),2)</f>
        <v>Sa</v>
      </c>
      <c r="D130" s="124" t="n">
        <v>0</v>
      </c>
      <c r="E130" s="124" t="n">
        <v>0</v>
      </c>
      <c r="F130" s="124" t="n">
        <v>0</v>
      </c>
      <c r="G130" s="124" t="n">
        <v>0</v>
      </c>
      <c r="I130" s="124" t="n">
        <f aca="false">IF(MONTH($A130)=MONTH($A129),IF(G130=0,I129,G130),G130)</f>
        <v>0</v>
      </c>
      <c r="J130" s="124" t="n">
        <f aca="false">IF(MONTH($A130)=MONTH($A129),SUM(I130-I129),I130)</f>
        <v>0</v>
      </c>
      <c r="K130" s="124" t="n">
        <f aca="false">IF(WEEKDAY(A130,3)&gt;4,0,(IF(A130&lt;K$2,0,IF(A130&lt;=K$3,1,0))))</f>
        <v>0</v>
      </c>
      <c r="L130" s="124" t="n">
        <f aca="false">J130*K130</f>
        <v>0</v>
      </c>
      <c r="M130" s="124" t="n">
        <f aca="false">SUM(J$97:J130)</f>
        <v>0</v>
      </c>
      <c r="N130" s="124" t="n">
        <f aca="false">SUM(J$6:J130)</f>
        <v>-35909</v>
      </c>
      <c r="P130" s="148" t="n">
        <f aca="false">D130/P$3</f>
        <v>0</v>
      </c>
      <c r="Q130" s="124" t="n">
        <f aca="false">E130/P$3</f>
        <v>0</v>
      </c>
      <c r="R130" s="124" t="n">
        <f aca="false">F130/R$3</f>
        <v>0</v>
      </c>
      <c r="S130" s="126" t="n">
        <f aca="false">J130/$R$3</f>
        <v>0</v>
      </c>
      <c r="T130" s="126" t="n">
        <f aca="false">L130/$R$3</f>
        <v>0</v>
      </c>
      <c r="U130" s="126" t="n">
        <f aca="false">I130/$R$3</f>
        <v>0</v>
      </c>
      <c r="V130" s="126" t="n">
        <f aca="false">M130/$R$3</f>
        <v>0</v>
      </c>
      <c r="W130" s="126" t="n">
        <f aca="false">N130/$R$3</f>
        <v>-35.909</v>
      </c>
    </row>
    <row r="131" customFormat="false" ht="12.75" hidden="false" customHeight="false" outlineLevel="0" collapsed="false">
      <c r="A131" s="120" t="n">
        <f aca="false">A130+1</f>
        <v>37017</v>
      </c>
      <c r="B131" s="131" t="str">
        <f aca="false">INDEX('[4]Master Data'!$A$2:$B$8,MATCH(WEEKDAY('CRD Hedge'!A131,3),'[4]Master Data'!$A$2:$A$8,0),2)</f>
        <v>Su</v>
      </c>
      <c r="D131" s="124" t="n">
        <v>0</v>
      </c>
      <c r="E131" s="124" t="n">
        <v>0</v>
      </c>
      <c r="F131" s="124" t="n">
        <v>0</v>
      </c>
      <c r="G131" s="124" t="n">
        <v>0</v>
      </c>
      <c r="I131" s="124" t="n">
        <f aca="false">IF(MONTH($A131)=MONTH($A130),IF(G131=0,I130,G131),G131)</f>
        <v>0</v>
      </c>
      <c r="J131" s="124" t="n">
        <f aca="false">IF(MONTH($A131)=MONTH($A130),SUM(I131-I130),I131)</f>
        <v>0</v>
      </c>
      <c r="K131" s="124" t="n">
        <f aca="false">IF(WEEKDAY(A131,3)&gt;4,0,(IF(A131&lt;K$2,0,IF(A131&lt;=K$3,1,0))))</f>
        <v>0</v>
      </c>
      <c r="L131" s="124" t="n">
        <f aca="false">J131*K131</f>
        <v>0</v>
      </c>
      <c r="M131" s="124" t="n">
        <f aca="false">SUM(J$97:J131)</f>
        <v>0</v>
      </c>
      <c r="N131" s="124" t="n">
        <f aca="false">SUM(J$6:J131)</f>
        <v>-35909</v>
      </c>
      <c r="P131" s="148" t="n">
        <f aca="false">D131/P$3</f>
        <v>0</v>
      </c>
      <c r="Q131" s="124" t="n">
        <f aca="false">E131/P$3</f>
        <v>0</v>
      </c>
      <c r="R131" s="124" t="n">
        <f aca="false">F131/R$3</f>
        <v>0</v>
      </c>
      <c r="S131" s="126" t="n">
        <f aca="false">J131/$R$3</f>
        <v>0</v>
      </c>
      <c r="T131" s="126" t="n">
        <f aca="false">L131/$R$3</f>
        <v>0</v>
      </c>
      <c r="U131" s="126" t="n">
        <f aca="false">I131/$R$3</f>
        <v>0</v>
      </c>
      <c r="V131" s="126" t="n">
        <f aca="false">M131/$R$3</f>
        <v>0</v>
      </c>
      <c r="W131" s="126" t="n">
        <f aca="false">N131/$R$3</f>
        <v>-35.909</v>
      </c>
    </row>
    <row r="132" customFormat="false" ht="12.75" hidden="false" customHeight="false" outlineLevel="0" collapsed="false">
      <c r="A132" s="120" t="n">
        <f aca="false">A131+1</f>
        <v>37018</v>
      </c>
      <c r="B132" s="131" t="str">
        <f aca="false">INDEX('[4]Master Data'!$A$2:$B$8,MATCH(WEEKDAY('CRD Hedge'!A132,3),'[4]Master Data'!$A$2:$A$8,0),2)</f>
        <v>M</v>
      </c>
      <c r="D132" s="124" t="n">
        <v>0</v>
      </c>
      <c r="E132" s="124" t="n">
        <v>0</v>
      </c>
      <c r="F132" s="124" t="n">
        <v>0</v>
      </c>
      <c r="G132" s="124" t="n">
        <v>0</v>
      </c>
      <c r="I132" s="124" t="n">
        <f aca="false">IF(MONTH($A132)=MONTH($A131),IF(G132=0,I131,G132),G132)</f>
        <v>0</v>
      </c>
      <c r="J132" s="124" t="n">
        <f aca="false">IF(MONTH($A132)=MONTH($A131),SUM(I132-I131),I132)</f>
        <v>0</v>
      </c>
      <c r="K132" s="124" t="n">
        <f aca="false">IF(WEEKDAY(A132,3)&gt;4,0,(IF(A132&lt;K$2,0,IF(A132&lt;=K$3,1,0))))</f>
        <v>0</v>
      </c>
      <c r="L132" s="124" t="n">
        <f aca="false">J132*K132</f>
        <v>0</v>
      </c>
      <c r="M132" s="124" t="n">
        <f aca="false">SUM(J$97:J132)</f>
        <v>0</v>
      </c>
      <c r="N132" s="124" t="n">
        <f aca="false">SUM(J$6:J132)</f>
        <v>-35909</v>
      </c>
      <c r="P132" s="148" t="n">
        <f aca="false">D132/P$3</f>
        <v>0</v>
      </c>
      <c r="Q132" s="124" t="n">
        <f aca="false">E132/P$3</f>
        <v>0</v>
      </c>
      <c r="R132" s="124" t="n">
        <f aca="false">F132/R$3</f>
        <v>0</v>
      </c>
      <c r="S132" s="126" t="n">
        <f aca="false">J132/$R$3</f>
        <v>0</v>
      </c>
      <c r="T132" s="126" t="n">
        <f aca="false">L132/$R$3</f>
        <v>0</v>
      </c>
      <c r="U132" s="126" t="n">
        <f aca="false">I132/$R$3</f>
        <v>0</v>
      </c>
      <c r="V132" s="126" t="n">
        <f aca="false">M132/$R$3</f>
        <v>0</v>
      </c>
      <c r="W132" s="126" t="n">
        <f aca="false">N132/$R$3</f>
        <v>-35.909</v>
      </c>
    </row>
    <row r="133" customFormat="false" ht="12.75" hidden="false" customHeight="false" outlineLevel="0" collapsed="false">
      <c r="A133" s="120" t="n">
        <f aca="false">A132+1</f>
        <v>37019</v>
      </c>
      <c r="B133" s="131" t="str">
        <f aca="false">INDEX('[4]Master Data'!$A$2:$B$8,MATCH(WEEKDAY('CRD Hedge'!A133,3),'[4]Master Data'!$A$2:$A$8,0),2)</f>
        <v>T</v>
      </c>
      <c r="D133" s="124" t="n">
        <v>0</v>
      </c>
      <c r="E133" s="124" t="n">
        <v>0</v>
      </c>
      <c r="F133" s="124" t="n">
        <v>0</v>
      </c>
      <c r="G133" s="124" t="n">
        <v>0</v>
      </c>
      <c r="I133" s="124" t="n">
        <f aca="false">IF(MONTH($A133)=MONTH($A132),IF(G133=0,I132,G133),G133)</f>
        <v>0</v>
      </c>
      <c r="J133" s="124" t="n">
        <f aca="false">IF(MONTH($A133)=MONTH($A132),SUM(I133-I132),I133)</f>
        <v>0</v>
      </c>
      <c r="K133" s="124" t="n">
        <f aca="false">IF(WEEKDAY(A133,3)&gt;4,0,(IF(A133&lt;K$2,0,IF(A133&lt;=K$3,1,0))))</f>
        <v>0</v>
      </c>
      <c r="L133" s="124" t="n">
        <f aca="false">J133*K133</f>
        <v>0</v>
      </c>
      <c r="M133" s="124" t="n">
        <f aca="false">SUM(J$97:J133)</f>
        <v>0</v>
      </c>
      <c r="N133" s="124" t="n">
        <f aca="false">SUM(J$6:J133)</f>
        <v>-35909</v>
      </c>
      <c r="P133" s="148" t="n">
        <f aca="false">D133/P$3</f>
        <v>0</v>
      </c>
      <c r="Q133" s="124" t="n">
        <f aca="false">E133/P$3</f>
        <v>0</v>
      </c>
      <c r="R133" s="124" t="n">
        <f aca="false">F133/R$3</f>
        <v>0</v>
      </c>
      <c r="S133" s="126" t="n">
        <f aca="false">J133/$R$3</f>
        <v>0</v>
      </c>
      <c r="T133" s="126" t="n">
        <f aca="false">L133/$R$3</f>
        <v>0</v>
      </c>
      <c r="U133" s="126" t="n">
        <f aca="false">I133/$R$3</f>
        <v>0</v>
      </c>
      <c r="V133" s="126" t="n">
        <f aca="false">M133/$R$3</f>
        <v>0</v>
      </c>
      <c r="W133" s="126" t="n">
        <f aca="false">N133/$R$3</f>
        <v>-35.909</v>
      </c>
    </row>
    <row r="134" customFormat="false" ht="12.75" hidden="false" customHeight="false" outlineLevel="0" collapsed="false">
      <c r="A134" s="120" t="n">
        <f aca="false">A133+1</f>
        <v>37020</v>
      </c>
      <c r="B134" s="131" t="str">
        <f aca="false">INDEX('[4]Master Data'!$A$2:$B$8,MATCH(WEEKDAY('CRD Hedge'!A134,3),'[4]Master Data'!$A$2:$A$8,0),2)</f>
        <v>W</v>
      </c>
      <c r="D134" s="124" t="n">
        <v>0</v>
      </c>
      <c r="E134" s="124" t="n">
        <v>0</v>
      </c>
      <c r="F134" s="124" t="n">
        <v>0</v>
      </c>
      <c r="G134" s="124" t="n">
        <v>0</v>
      </c>
      <c r="I134" s="124" t="n">
        <f aca="false">IF(MONTH($A134)=MONTH($A133),IF(G134=0,I133,G134),G134)</f>
        <v>0</v>
      </c>
      <c r="J134" s="124" t="n">
        <f aca="false">IF(MONTH($A134)=MONTH($A133),SUM(I134-I133),I134)</f>
        <v>0</v>
      </c>
      <c r="K134" s="124" t="n">
        <f aca="false">IF(WEEKDAY(A134,3)&gt;4,0,(IF(A134&lt;K$2,0,IF(A134&lt;=K$3,1,0))))</f>
        <v>0</v>
      </c>
      <c r="L134" s="124" t="n">
        <f aca="false">J134*K134</f>
        <v>0</v>
      </c>
      <c r="M134" s="124" t="n">
        <f aca="false">SUM(J$97:J134)</f>
        <v>0</v>
      </c>
      <c r="N134" s="124" t="n">
        <f aca="false">SUM(J$6:J134)</f>
        <v>-35909</v>
      </c>
      <c r="P134" s="148" t="n">
        <f aca="false">D134/P$3</f>
        <v>0</v>
      </c>
      <c r="Q134" s="124" t="n">
        <f aca="false">E134/P$3</f>
        <v>0</v>
      </c>
      <c r="R134" s="124" t="n">
        <f aca="false">F134/R$3</f>
        <v>0</v>
      </c>
      <c r="S134" s="126" t="n">
        <f aca="false">J134/$R$3</f>
        <v>0</v>
      </c>
      <c r="T134" s="126" t="n">
        <f aca="false">L134/$R$3</f>
        <v>0</v>
      </c>
      <c r="U134" s="126" t="n">
        <f aca="false">I134/$R$3</f>
        <v>0</v>
      </c>
      <c r="V134" s="126" t="n">
        <f aca="false">M134/$R$3</f>
        <v>0</v>
      </c>
      <c r="W134" s="126" t="n">
        <f aca="false">N134/$R$3</f>
        <v>-35.909</v>
      </c>
    </row>
    <row r="135" customFormat="false" ht="12.75" hidden="false" customHeight="false" outlineLevel="0" collapsed="false">
      <c r="A135" s="120" t="n">
        <f aca="false">A134+1</f>
        <v>37021</v>
      </c>
      <c r="B135" s="131" t="str">
        <f aca="false">INDEX('[4]Master Data'!$A$2:$B$8,MATCH(WEEKDAY('CRD Hedge'!A135,3),'[4]Master Data'!$A$2:$A$8,0),2)</f>
        <v>Th</v>
      </c>
      <c r="D135" s="124" t="n">
        <v>0</v>
      </c>
      <c r="E135" s="124" t="n">
        <v>0</v>
      </c>
      <c r="F135" s="124" t="n">
        <v>0</v>
      </c>
      <c r="G135" s="124" t="n">
        <v>0</v>
      </c>
      <c r="I135" s="124" t="n">
        <f aca="false">IF(MONTH($A135)=MONTH($A134),IF(G135=0,I134,G135),G135)</f>
        <v>0</v>
      </c>
      <c r="J135" s="124" t="n">
        <f aca="false">IF(MONTH($A135)=MONTH($A134),SUM(I135-I134),I135)</f>
        <v>0</v>
      </c>
      <c r="K135" s="124" t="n">
        <f aca="false">IF(WEEKDAY(A135,3)&gt;4,0,(IF(A135&lt;K$2,0,IF(A135&lt;=K$3,1,0))))</f>
        <v>0</v>
      </c>
      <c r="L135" s="124" t="n">
        <f aca="false">J135*K135</f>
        <v>0</v>
      </c>
      <c r="M135" s="124" t="n">
        <f aca="false">SUM(J$97:J135)</f>
        <v>0</v>
      </c>
      <c r="N135" s="124" t="n">
        <f aca="false">SUM(J$6:J135)</f>
        <v>-35909</v>
      </c>
      <c r="P135" s="148" t="n">
        <f aca="false">D135/P$3</f>
        <v>0</v>
      </c>
      <c r="Q135" s="124" t="n">
        <f aca="false">E135/P$3</f>
        <v>0</v>
      </c>
      <c r="R135" s="124" t="n">
        <f aca="false">F135/R$3</f>
        <v>0</v>
      </c>
      <c r="S135" s="126" t="n">
        <f aca="false">J135/$R$3</f>
        <v>0</v>
      </c>
      <c r="T135" s="126" t="n">
        <f aca="false">L135/$R$3</f>
        <v>0</v>
      </c>
      <c r="U135" s="126" t="n">
        <f aca="false">I135/$R$3</f>
        <v>0</v>
      </c>
      <c r="V135" s="126" t="n">
        <f aca="false">M135/$R$3</f>
        <v>0</v>
      </c>
      <c r="W135" s="126" t="n">
        <f aca="false">N135/$R$3</f>
        <v>-35.909</v>
      </c>
    </row>
    <row r="136" customFormat="false" ht="12.75" hidden="false" customHeight="false" outlineLevel="0" collapsed="false">
      <c r="A136" s="120" t="n">
        <f aca="false">A135+1</f>
        <v>37022</v>
      </c>
      <c r="B136" s="131" t="str">
        <f aca="false">INDEX('[4]Master Data'!$A$2:$B$8,MATCH(WEEKDAY('CRD Hedge'!A136,3),'[4]Master Data'!$A$2:$A$8,0),2)</f>
        <v>F</v>
      </c>
      <c r="D136" s="124" t="n">
        <v>0</v>
      </c>
      <c r="E136" s="124" t="n">
        <v>0</v>
      </c>
      <c r="F136" s="124" t="n">
        <v>0</v>
      </c>
      <c r="G136" s="124" t="n">
        <v>0</v>
      </c>
      <c r="I136" s="124" t="n">
        <f aca="false">IF(MONTH($A136)=MONTH($A135),IF(G136=0,I135,G136),G136)</f>
        <v>0</v>
      </c>
      <c r="J136" s="124" t="n">
        <f aca="false">IF(MONTH($A136)=MONTH($A135),SUM(I136-I135),I136)</f>
        <v>0</v>
      </c>
      <c r="K136" s="124" t="n">
        <f aca="false">IF(WEEKDAY(A136,3)&gt;4,0,(IF(A136&lt;K$2,0,IF(A136&lt;=K$3,1,0))))</f>
        <v>0</v>
      </c>
      <c r="L136" s="124" t="n">
        <f aca="false">J136*K136</f>
        <v>0</v>
      </c>
      <c r="M136" s="124" t="n">
        <f aca="false">SUM(J$97:J136)</f>
        <v>0</v>
      </c>
      <c r="N136" s="124" t="n">
        <f aca="false">SUM(J$6:J136)</f>
        <v>-35909</v>
      </c>
      <c r="P136" s="148" t="n">
        <f aca="false">D136/P$3</f>
        <v>0</v>
      </c>
      <c r="Q136" s="124" t="n">
        <f aca="false">E136/P$3</f>
        <v>0</v>
      </c>
      <c r="R136" s="124" t="n">
        <f aca="false">F136/R$3</f>
        <v>0</v>
      </c>
      <c r="S136" s="126" t="n">
        <f aca="false">J136/$R$3</f>
        <v>0</v>
      </c>
      <c r="T136" s="126" t="n">
        <f aca="false">L136/$R$3</f>
        <v>0</v>
      </c>
      <c r="U136" s="126" t="n">
        <f aca="false">I136/$R$3</f>
        <v>0</v>
      </c>
      <c r="V136" s="126" t="n">
        <f aca="false">M136/$R$3</f>
        <v>0</v>
      </c>
      <c r="W136" s="126" t="n">
        <f aca="false">N136/$R$3</f>
        <v>-35.909</v>
      </c>
    </row>
    <row r="137" customFormat="false" ht="12.75" hidden="false" customHeight="false" outlineLevel="0" collapsed="false">
      <c r="A137" s="120" t="n">
        <f aca="false">A136+1</f>
        <v>37023</v>
      </c>
      <c r="B137" s="131" t="str">
        <f aca="false">INDEX('[4]Master Data'!$A$2:$B$8,MATCH(WEEKDAY('CRD Hedge'!A137,3),'[4]Master Data'!$A$2:$A$8,0),2)</f>
        <v>Sa</v>
      </c>
      <c r="D137" s="124" t="n">
        <v>0</v>
      </c>
      <c r="E137" s="124" t="n">
        <v>0</v>
      </c>
      <c r="F137" s="124" t="n">
        <v>0</v>
      </c>
      <c r="G137" s="124" t="n">
        <v>0</v>
      </c>
      <c r="I137" s="124" t="n">
        <f aca="false">IF(MONTH($A137)=MONTH($A136),IF(G137=0,I136,G137),G137)</f>
        <v>0</v>
      </c>
      <c r="J137" s="124" t="n">
        <f aca="false">IF(MONTH($A137)=MONTH($A136),SUM(I137-I136),I137)</f>
        <v>0</v>
      </c>
      <c r="K137" s="124" t="n">
        <f aca="false">IF(WEEKDAY(A137,3)&gt;4,0,(IF(A137&lt;K$2,0,IF(A137&lt;=K$3,1,0))))</f>
        <v>0</v>
      </c>
      <c r="L137" s="124" t="n">
        <f aca="false">J137*K137</f>
        <v>0</v>
      </c>
      <c r="M137" s="124" t="n">
        <f aca="false">SUM(J$97:J137)</f>
        <v>0</v>
      </c>
      <c r="N137" s="124" t="n">
        <f aca="false">SUM(J$6:J137)</f>
        <v>-35909</v>
      </c>
      <c r="P137" s="148" t="n">
        <f aca="false">D137/P$3</f>
        <v>0</v>
      </c>
      <c r="Q137" s="124" t="n">
        <f aca="false">E137/P$3</f>
        <v>0</v>
      </c>
      <c r="R137" s="124" t="n">
        <f aca="false">F137/R$3</f>
        <v>0</v>
      </c>
      <c r="S137" s="126" t="n">
        <f aca="false">J137/$R$3</f>
        <v>0</v>
      </c>
      <c r="T137" s="126" t="n">
        <f aca="false">L137/$R$3</f>
        <v>0</v>
      </c>
      <c r="U137" s="126" t="n">
        <f aca="false">I137/$R$3</f>
        <v>0</v>
      </c>
      <c r="V137" s="126" t="n">
        <f aca="false">M137/$R$3</f>
        <v>0</v>
      </c>
      <c r="W137" s="126" t="n">
        <f aca="false">N137/$R$3</f>
        <v>-35.909</v>
      </c>
    </row>
    <row r="138" customFormat="false" ht="12.75" hidden="false" customHeight="false" outlineLevel="0" collapsed="false">
      <c r="A138" s="120" t="n">
        <f aca="false">A137+1</f>
        <v>37024</v>
      </c>
      <c r="B138" s="131" t="str">
        <f aca="false">INDEX('[4]Master Data'!$A$2:$B$8,MATCH(WEEKDAY('CRD Hedge'!A138,3),'[4]Master Data'!$A$2:$A$8,0),2)</f>
        <v>Su</v>
      </c>
      <c r="D138" s="124" t="n">
        <v>0</v>
      </c>
      <c r="E138" s="124" t="n">
        <v>0</v>
      </c>
      <c r="F138" s="124" t="n">
        <v>0</v>
      </c>
      <c r="G138" s="124" t="n">
        <v>0</v>
      </c>
      <c r="I138" s="124" t="n">
        <f aca="false">IF(MONTH($A138)=MONTH($A137),IF(G138=0,I137,G138),G138)</f>
        <v>0</v>
      </c>
      <c r="J138" s="124" t="n">
        <f aca="false">IF(MONTH($A138)=MONTH($A137),SUM(I138-I137),I138)</f>
        <v>0</v>
      </c>
      <c r="K138" s="124" t="n">
        <f aca="false">IF(WEEKDAY(A138,3)&gt;4,0,(IF(A138&lt;K$2,0,IF(A138&lt;=K$3,1,0))))</f>
        <v>0</v>
      </c>
      <c r="L138" s="124" t="n">
        <f aca="false">J138*K138</f>
        <v>0</v>
      </c>
      <c r="M138" s="124" t="n">
        <f aca="false">SUM(J$97:J138)</f>
        <v>0</v>
      </c>
      <c r="N138" s="124" t="n">
        <f aca="false">SUM(J$6:J138)</f>
        <v>-35909</v>
      </c>
      <c r="P138" s="148" t="n">
        <f aca="false">D138/P$3</f>
        <v>0</v>
      </c>
      <c r="Q138" s="124" t="n">
        <f aca="false">E138/P$3</f>
        <v>0</v>
      </c>
      <c r="R138" s="124" t="n">
        <f aca="false">F138/R$3</f>
        <v>0</v>
      </c>
      <c r="S138" s="126" t="n">
        <f aca="false">J138/$R$3</f>
        <v>0</v>
      </c>
      <c r="T138" s="126" t="n">
        <f aca="false">L138/$R$3</f>
        <v>0</v>
      </c>
      <c r="U138" s="126" t="n">
        <f aca="false">I138/$R$3</f>
        <v>0</v>
      </c>
      <c r="V138" s="126" t="n">
        <f aca="false">M138/$R$3</f>
        <v>0</v>
      </c>
      <c r="W138" s="126" t="n">
        <f aca="false">N138/$R$3</f>
        <v>-35.909</v>
      </c>
    </row>
    <row r="139" customFormat="false" ht="12.75" hidden="false" customHeight="false" outlineLevel="0" collapsed="false">
      <c r="A139" s="120" t="n">
        <f aca="false">A138+1</f>
        <v>37025</v>
      </c>
      <c r="B139" s="131" t="str">
        <f aca="false">INDEX('[4]Master Data'!$A$2:$B$8,MATCH(WEEKDAY('CRD Hedge'!A139,3),'[4]Master Data'!$A$2:$A$8,0),2)</f>
        <v>M</v>
      </c>
      <c r="D139" s="124" t="n">
        <v>0</v>
      </c>
      <c r="E139" s="124" t="n">
        <v>0</v>
      </c>
      <c r="F139" s="124" t="n">
        <v>0</v>
      </c>
      <c r="G139" s="124" t="n">
        <v>0</v>
      </c>
      <c r="I139" s="124" t="n">
        <f aca="false">IF(MONTH($A139)=MONTH($A138),IF(G139=0,I138,G139),G139)</f>
        <v>0</v>
      </c>
      <c r="J139" s="124" t="n">
        <f aca="false">IF(MONTH($A139)=MONTH($A138),SUM(I139-I138),I139)</f>
        <v>0</v>
      </c>
      <c r="K139" s="124" t="n">
        <f aca="false">IF(WEEKDAY(A139,3)&gt;4,0,(IF(A139&lt;K$2,0,IF(A139&lt;=K$3,1,0))))</f>
        <v>0</v>
      </c>
      <c r="L139" s="124" t="n">
        <f aca="false">J139*K139</f>
        <v>0</v>
      </c>
      <c r="M139" s="124" t="n">
        <f aca="false">SUM(J$97:J139)</f>
        <v>0</v>
      </c>
      <c r="N139" s="124" t="n">
        <f aca="false">SUM(J$6:J139)</f>
        <v>-35909</v>
      </c>
      <c r="P139" s="148" t="n">
        <f aca="false">D139/P$3</f>
        <v>0</v>
      </c>
      <c r="Q139" s="124" t="n">
        <f aca="false">E139/P$3</f>
        <v>0</v>
      </c>
      <c r="R139" s="124" t="n">
        <f aca="false">F139/R$3</f>
        <v>0</v>
      </c>
      <c r="S139" s="126" t="n">
        <f aca="false">J139/$R$3</f>
        <v>0</v>
      </c>
      <c r="T139" s="126" t="n">
        <f aca="false">L139/$R$3</f>
        <v>0</v>
      </c>
      <c r="U139" s="126" t="n">
        <f aca="false">I139/$R$3</f>
        <v>0</v>
      </c>
      <c r="V139" s="126" t="n">
        <f aca="false">M139/$R$3</f>
        <v>0</v>
      </c>
      <c r="W139" s="126" t="n">
        <f aca="false">N139/$R$3</f>
        <v>-35.909</v>
      </c>
    </row>
    <row r="140" customFormat="false" ht="12.75" hidden="false" customHeight="false" outlineLevel="0" collapsed="false">
      <c r="A140" s="120" t="n">
        <f aca="false">A139+1</f>
        <v>37026</v>
      </c>
      <c r="B140" s="131" t="str">
        <f aca="false">INDEX('[4]Master Data'!$A$2:$B$8,MATCH(WEEKDAY('CRD Hedge'!A140,3),'[4]Master Data'!$A$2:$A$8,0),2)</f>
        <v>T</v>
      </c>
      <c r="D140" s="124" t="n">
        <v>0</v>
      </c>
      <c r="E140" s="124" t="n">
        <v>0</v>
      </c>
      <c r="F140" s="124" t="n">
        <v>0</v>
      </c>
      <c r="G140" s="124" t="n">
        <v>0</v>
      </c>
      <c r="I140" s="124" t="n">
        <f aca="false">IF(MONTH($A140)=MONTH($A139),IF(G140=0,I139,G140),G140)</f>
        <v>0</v>
      </c>
      <c r="J140" s="124" t="n">
        <f aca="false">IF(MONTH($A140)=MONTH($A139),SUM(I140-I139),I140)</f>
        <v>0</v>
      </c>
      <c r="K140" s="124" t="n">
        <f aca="false">IF(WEEKDAY(A140,3)&gt;4,0,(IF(A140&lt;K$2,0,IF(A140&lt;=K$3,1,0))))</f>
        <v>0</v>
      </c>
      <c r="L140" s="124" t="n">
        <f aca="false">J140*K140</f>
        <v>0</v>
      </c>
      <c r="M140" s="124" t="n">
        <f aca="false">SUM(J$97:J140)</f>
        <v>0</v>
      </c>
      <c r="N140" s="124" t="n">
        <f aca="false">SUM(J$6:J140)</f>
        <v>-35909</v>
      </c>
      <c r="P140" s="148" t="n">
        <f aca="false">D140/P$3</f>
        <v>0</v>
      </c>
      <c r="Q140" s="124" t="n">
        <f aca="false">E140/P$3</f>
        <v>0</v>
      </c>
      <c r="R140" s="124" t="n">
        <f aca="false">F140/R$3</f>
        <v>0</v>
      </c>
      <c r="S140" s="126" t="n">
        <f aca="false">J140/$R$3</f>
        <v>0</v>
      </c>
      <c r="T140" s="126" t="n">
        <f aca="false">L140/$R$3</f>
        <v>0</v>
      </c>
      <c r="U140" s="126" t="n">
        <f aca="false">I140/$R$3</f>
        <v>0</v>
      </c>
      <c r="V140" s="126" t="n">
        <f aca="false">M140/$R$3</f>
        <v>0</v>
      </c>
      <c r="W140" s="126" t="n">
        <f aca="false">N140/$R$3</f>
        <v>-35.909</v>
      </c>
    </row>
    <row r="141" customFormat="false" ht="12.75" hidden="false" customHeight="false" outlineLevel="0" collapsed="false">
      <c r="A141" s="120" t="n">
        <f aca="false">A140+1</f>
        <v>37027</v>
      </c>
      <c r="B141" s="131" t="str">
        <f aca="false">INDEX('[4]Master Data'!$A$2:$B$8,MATCH(WEEKDAY('CRD Hedge'!A141,3),'[4]Master Data'!$A$2:$A$8,0),2)</f>
        <v>W</v>
      </c>
      <c r="D141" s="124" t="n">
        <v>0</v>
      </c>
      <c r="E141" s="124" t="n">
        <v>0</v>
      </c>
      <c r="F141" s="124" t="n">
        <v>0</v>
      </c>
      <c r="G141" s="124" t="n">
        <v>0</v>
      </c>
      <c r="I141" s="124" t="n">
        <f aca="false">IF(MONTH($A141)=MONTH($A140),IF(G141=0,I140,G141),G141)</f>
        <v>0</v>
      </c>
      <c r="J141" s="124" t="n">
        <f aca="false">IF(MONTH($A141)=MONTH($A140),SUM(I141-I140),I141)</f>
        <v>0</v>
      </c>
      <c r="K141" s="124" t="n">
        <f aca="false">IF(WEEKDAY(A141,3)&gt;4,0,(IF(A141&lt;K$2,0,IF(A141&lt;=K$3,1,0))))</f>
        <v>0</v>
      </c>
      <c r="L141" s="124" t="n">
        <f aca="false">J141*K141</f>
        <v>0</v>
      </c>
      <c r="M141" s="124" t="n">
        <f aca="false">SUM(J$97:J141)</f>
        <v>0</v>
      </c>
      <c r="N141" s="124" t="n">
        <f aca="false">SUM(J$6:J141)</f>
        <v>-35909</v>
      </c>
      <c r="P141" s="148" t="n">
        <f aca="false">D141/P$3</f>
        <v>0</v>
      </c>
      <c r="Q141" s="124" t="n">
        <f aca="false">E141/P$3</f>
        <v>0</v>
      </c>
      <c r="R141" s="124" t="n">
        <f aca="false">F141/R$3</f>
        <v>0</v>
      </c>
      <c r="S141" s="126" t="n">
        <f aca="false">J141/$R$3</f>
        <v>0</v>
      </c>
      <c r="T141" s="126" t="n">
        <f aca="false">L141/$R$3</f>
        <v>0</v>
      </c>
      <c r="U141" s="126" t="n">
        <f aca="false">I141/$R$3</f>
        <v>0</v>
      </c>
      <c r="V141" s="126" t="n">
        <f aca="false">M141/$R$3</f>
        <v>0</v>
      </c>
      <c r="W141" s="126" t="n">
        <f aca="false">N141/$R$3</f>
        <v>-35.909</v>
      </c>
    </row>
    <row r="142" customFormat="false" ht="12.75" hidden="false" customHeight="false" outlineLevel="0" collapsed="false">
      <c r="A142" s="120" t="n">
        <f aca="false">A141+1</f>
        <v>37028</v>
      </c>
      <c r="B142" s="131" t="str">
        <f aca="false">INDEX('[4]Master Data'!$A$2:$B$8,MATCH(WEEKDAY('CRD Hedge'!A142,3),'[4]Master Data'!$A$2:$A$8,0),2)</f>
        <v>Th</v>
      </c>
      <c r="D142" s="124" t="n">
        <v>0</v>
      </c>
      <c r="E142" s="124" t="n">
        <v>0</v>
      </c>
      <c r="F142" s="124" t="n">
        <v>0</v>
      </c>
      <c r="G142" s="124" t="n">
        <v>0</v>
      </c>
      <c r="I142" s="124" t="n">
        <f aca="false">IF(MONTH($A142)=MONTH($A141),IF(G142=0,I141,G142),G142)</f>
        <v>0</v>
      </c>
      <c r="J142" s="124" t="n">
        <f aca="false">IF(MONTH($A142)=MONTH($A141),SUM(I142-I141),I142)</f>
        <v>0</v>
      </c>
      <c r="K142" s="124" t="n">
        <f aca="false">IF(WEEKDAY(A142,3)&gt;4,0,(IF(A142&lt;K$2,0,IF(A142&lt;=K$3,1,0))))</f>
        <v>0</v>
      </c>
      <c r="L142" s="124" t="n">
        <f aca="false">J142*K142</f>
        <v>0</v>
      </c>
      <c r="M142" s="124" t="n">
        <f aca="false">SUM(J$97:J142)</f>
        <v>0</v>
      </c>
      <c r="N142" s="124" t="n">
        <f aca="false">SUM(J$6:J142)</f>
        <v>-35909</v>
      </c>
      <c r="P142" s="148" t="n">
        <f aca="false">D142/P$3</f>
        <v>0</v>
      </c>
      <c r="Q142" s="124" t="n">
        <f aca="false">E142/P$3</f>
        <v>0</v>
      </c>
      <c r="R142" s="124" t="n">
        <f aca="false">F142/R$3</f>
        <v>0</v>
      </c>
      <c r="S142" s="126" t="n">
        <f aca="false">J142/$R$3</f>
        <v>0</v>
      </c>
      <c r="T142" s="126" t="n">
        <f aca="false">L142/$R$3</f>
        <v>0</v>
      </c>
      <c r="U142" s="126" t="n">
        <f aca="false">I142/$R$3</f>
        <v>0</v>
      </c>
      <c r="V142" s="126" t="n">
        <f aca="false">M142/$R$3</f>
        <v>0</v>
      </c>
      <c r="W142" s="126" t="n">
        <f aca="false">N142/$R$3</f>
        <v>-35.909</v>
      </c>
    </row>
    <row r="143" customFormat="false" ht="12.75" hidden="false" customHeight="false" outlineLevel="0" collapsed="false">
      <c r="A143" s="120" t="n">
        <f aca="false">A142+1</f>
        <v>37029</v>
      </c>
      <c r="B143" s="131" t="str">
        <f aca="false">INDEX('[4]Master Data'!$A$2:$B$8,MATCH(WEEKDAY('CRD Hedge'!A143,3),'[4]Master Data'!$A$2:$A$8,0),2)</f>
        <v>F</v>
      </c>
      <c r="D143" s="124" t="n">
        <v>0</v>
      </c>
      <c r="E143" s="124" t="n">
        <v>0</v>
      </c>
      <c r="F143" s="124" t="n">
        <v>0</v>
      </c>
      <c r="G143" s="124" t="n">
        <v>0</v>
      </c>
      <c r="I143" s="124" t="n">
        <f aca="false">IF(MONTH($A143)=MONTH($A142),IF(G143=0,I142,G143),G143)</f>
        <v>0</v>
      </c>
      <c r="J143" s="124" t="n">
        <f aca="false">IF(MONTH($A143)=MONTH($A142),SUM(I143-I142),I143)</f>
        <v>0</v>
      </c>
      <c r="K143" s="124" t="n">
        <f aca="false">IF(WEEKDAY(A143,3)&gt;4,0,(IF(A143&lt;K$2,0,IF(A143&lt;=K$3,1,0))))</f>
        <v>0</v>
      </c>
      <c r="L143" s="124" t="n">
        <f aca="false">J143*K143</f>
        <v>0</v>
      </c>
      <c r="M143" s="124" t="n">
        <f aca="false">SUM(J$97:J143)</f>
        <v>0</v>
      </c>
      <c r="N143" s="124" t="n">
        <f aca="false">SUM(J$6:J143)</f>
        <v>-35909</v>
      </c>
      <c r="P143" s="148" t="n">
        <f aca="false">D143/P$3</f>
        <v>0</v>
      </c>
      <c r="Q143" s="124" t="n">
        <f aca="false">E143/P$3</f>
        <v>0</v>
      </c>
      <c r="R143" s="124" t="n">
        <f aca="false">F143/R$3</f>
        <v>0</v>
      </c>
      <c r="S143" s="126" t="n">
        <f aca="false">J143/$R$3</f>
        <v>0</v>
      </c>
      <c r="T143" s="126" t="n">
        <f aca="false">L143/$R$3</f>
        <v>0</v>
      </c>
      <c r="U143" s="126" t="n">
        <f aca="false">I143/$R$3</f>
        <v>0</v>
      </c>
      <c r="V143" s="126" t="n">
        <f aca="false">M143/$R$3</f>
        <v>0</v>
      </c>
      <c r="W143" s="126" t="n">
        <f aca="false">N143/$R$3</f>
        <v>-35.909</v>
      </c>
    </row>
    <row r="144" customFormat="false" ht="12.75" hidden="false" customHeight="false" outlineLevel="0" collapsed="false">
      <c r="A144" s="120" t="n">
        <f aca="false">A143+1</f>
        <v>37030</v>
      </c>
      <c r="B144" s="131" t="str">
        <f aca="false">INDEX('[4]Master Data'!$A$2:$B$8,MATCH(WEEKDAY('CRD Hedge'!A144,3),'[4]Master Data'!$A$2:$A$8,0),2)</f>
        <v>Sa</v>
      </c>
      <c r="D144" s="124" t="n">
        <v>0</v>
      </c>
      <c r="E144" s="124" t="n">
        <v>0</v>
      </c>
      <c r="F144" s="124" t="n">
        <v>0</v>
      </c>
      <c r="G144" s="124" t="n">
        <v>0</v>
      </c>
      <c r="I144" s="124" t="n">
        <f aca="false">IF(MONTH($A144)=MONTH($A143),IF(G144=0,I143,G144),G144)</f>
        <v>0</v>
      </c>
      <c r="J144" s="124" t="n">
        <f aca="false">IF(MONTH($A144)=MONTH($A143),SUM(I144-I143),I144)</f>
        <v>0</v>
      </c>
      <c r="K144" s="124" t="n">
        <f aca="false">IF(WEEKDAY(A144,3)&gt;4,0,(IF(A144&lt;K$2,0,IF(A144&lt;=K$3,1,0))))</f>
        <v>0</v>
      </c>
      <c r="L144" s="124" t="n">
        <f aca="false">J144*K144</f>
        <v>0</v>
      </c>
      <c r="M144" s="124" t="n">
        <f aca="false">SUM(J$97:J144)</f>
        <v>0</v>
      </c>
      <c r="N144" s="124" t="n">
        <f aca="false">SUM(J$6:J144)</f>
        <v>-35909</v>
      </c>
      <c r="P144" s="148" t="n">
        <f aca="false">D144/P$3</f>
        <v>0</v>
      </c>
      <c r="Q144" s="124" t="n">
        <f aca="false">E144/P$3</f>
        <v>0</v>
      </c>
      <c r="R144" s="124" t="n">
        <f aca="false">F144/R$3</f>
        <v>0</v>
      </c>
      <c r="S144" s="126" t="n">
        <f aca="false">J144/$R$3</f>
        <v>0</v>
      </c>
      <c r="T144" s="126" t="n">
        <f aca="false">L144/$R$3</f>
        <v>0</v>
      </c>
      <c r="U144" s="126" t="n">
        <f aca="false">I144/$R$3</f>
        <v>0</v>
      </c>
      <c r="V144" s="126" t="n">
        <f aca="false">M144/$R$3</f>
        <v>0</v>
      </c>
      <c r="W144" s="126" t="n">
        <f aca="false">N144/$R$3</f>
        <v>-35.909</v>
      </c>
    </row>
    <row r="145" customFormat="false" ht="12.75" hidden="false" customHeight="false" outlineLevel="0" collapsed="false">
      <c r="A145" s="120" t="n">
        <f aca="false">A144+1</f>
        <v>37031</v>
      </c>
      <c r="B145" s="131" t="str">
        <f aca="false">INDEX('[4]Master Data'!$A$2:$B$8,MATCH(WEEKDAY('CRD Hedge'!A145,3),'[4]Master Data'!$A$2:$A$8,0),2)</f>
        <v>Su</v>
      </c>
      <c r="D145" s="124" t="n">
        <v>0</v>
      </c>
      <c r="E145" s="124" t="n">
        <v>0</v>
      </c>
      <c r="F145" s="124" t="n">
        <v>0</v>
      </c>
      <c r="G145" s="124" t="n">
        <v>0</v>
      </c>
      <c r="I145" s="124" t="n">
        <f aca="false">IF(MONTH($A145)=MONTH($A144),IF(G145=0,I144,G145),G145)</f>
        <v>0</v>
      </c>
      <c r="J145" s="124" t="n">
        <f aca="false">IF(MONTH($A145)=MONTH($A144),SUM(I145-I144),I145)</f>
        <v>0</v>
      </c>
      <c r="K145" s="124" t="n">
        <f aca="false">IF(WEEKDAY(A145,3)&gt;4,0,(IF(A145&lt;K$2,0,IF(A145&lt;=K$3,1,0))))</f>
        <v>0</v>
      </c>
      <c r="L145" s="124" t="n">
        <f aca="false">J145*K145</f>
        <v>0</v>
      </c>
      <c r="M145" s="124" t="n">
        <f aca="false">SUM(J$97:J145)</f>
        <v>0</v>
      </c>
      <c r="N145" s="124" t="n">
        <f aca="false">SUM(J$6:J145)</f>
        <v>-35909</v>
      </c>
      <c r="P145" s="148" t="n">
        <f aca="false">D145/P$3</f>
        <v>0</v>
      </c>
      <c r="Q145" s="124" t="n">
        <f aca="false">E145/P$3</f>
        <v>0</v>
      </c>
      <c r="R145" s="124" t="n">
        <f aca="false">F145/R$3</f>
        <v>0</v>
      </c>
      <c r="S145" s="126" t="n">
        <f aca="false">J145/$R$3</f>
        <v>0</v>
      </c>
      <c r="T145" s="126" t="n">
        <f aca="false">L145/$R$3</f>
        <v>0</v>
      </c>
      <c r="U145" s="126" t="n">
        <f aca="false">I145/$R$3</f>
        <v>0</v>
      </c>
      <c r="V145" s="126" t="n">
        <f aca="false">M145/$R$3</f>
        <v>0</v>
      </c>
      <c r="W145" s="126" t="n">
        <f aca="false">N145/$R$3</f>
        <v>-35.909</v>
      </c>
    </row>
    <row r="146" customFormat="false" ht="12.75" hidden="false" customHeight="false" outlineLevel="0" collapsed="false">
      <c r="A146" s="120" t="n">
        <f aca="false">A145+1</f>
        <v>37032</v>
      </c>
      <c r="B146" s="131" t="str">
        <f aca="false">INDEX('[4]Master Data'!$A$2:$B$8,MATCH(WEEKDAY('CRD Hedge'!A146,3),'[4]Master Data'!$A$2:$A$8,0),2)</f>
        <v>M</v>
      </c>
      <c r="D146" s="124" t="n">
        <v>0</v>
      </c>
      <c r="E146" s="124" t="n">
        <v>0</v>
      </c>
      <c r="F146" s="124" t="n">
        <v>0</v>
      </c>
      <c r="G146" s="124" t="n">
        <v>0</v>
      </c>
      <c r="I146" s="124" t="n">
        <f aca="false">IF(MONTH($A146)=MONTH($A145),IF(G146=0,I145,G146),G146)</f>
        <v>0</v>
      </c>
      <c r="J146" s="124" t="n">
        <f aca="false">IF(MONTH($A146)=MONTH($A145),SUM(I146-I145),I146)</f>
        <v>0</v>
      </c>
      <c r="K146" s="124" t="n">
        <f aca="false">IF(WEEKDAY(A146,3)&gt;4,0,(IF(A146&lt;K$2,0,IF(A146&lt;=K$3,1,0))))</f>
        <v>0</v>
      </c>
      <c r="L146" s="124" t="n">
        <f aca="false">J146*K146</f>
        <v>0</v>
      </c>
      <c r="M146" s="124" t="n">
        <f aca="false">SUM(J$97:J146)</f>
        <v>0</v>
      </c>
      <c r="N146" s="124" t="n">
        <f aca="false">SUM(J$6:J146)</f>
        <v>-35909</v>
      </c>
      <c r="P146" s="148" t="n">
        <f aca="false">D146/P$3</f>
        <v>0</v>
      </c>
      <c r="Q146" s="124" t="n">
        <f aca="false">E146/P$3</f>
        <v>0</v>
      </c>
      <c r="R146" s="124" t="n">
        <f aca="false">F146/R$3</f>
        <v>0</v>
      </c>
      <c r="S146" s="126" t="n">
        <f aca="false">J146/$R$3</f>
        <v>0</v>
      </c>
      <c r="T146" s="126" t="n">
        <f aca="false">L146/$R$3</f>
        <v>0</v>
      </c>
      <c r="U146" s="126" t="n">
        <f aca="false">I146/$R$3</f>
        <v>0</v>
      </c>
      <c r="V146" s="126" t="n">
        <f aca="false">M146/$R$3</f>
        <v>0</v>
      </c>
      <c r="W146" s="126" t="n">
        <f aca="false">N146/$R$3</f>
        <v>-35.909</v>
      </c>
    </row>
    <row r="147" customFormat="false" ht="12.75" hidden="false" customHeight="false" outlineLevel="0" collapsed="false">
      <c r="A147" s="120" t="n">
        <f aca="false">A146+1</f>
        <v>37033</v>
      </c>
      <c r="B147" s="131" t="str">
        <f aca="false">INDEX('[4]Master Data'!$A$2:$B$8,MATCH(WEEKDAY('CRD Hedge'!A147,3),'[4]Master Data'!$A$2:$A$8,0),2)</f>
        <v>T</v>
      </c>
      <c r="D147" s="124" t="n">
        <v>0</v>
      </c>
      <c r="E147" s="124" t="n">
        <v>0</v>
      </c>
      <c r="F147" s="124" t="n">
        <v>0</v>
      </c>
      <c r="G147" s="124" t="n">
        <v>0</v>
      </c>
      <c r="I147" s="124" t="n">
        <f aca="false">IF(MONTH($A147)=MONTH($A146),IF(G147=0,I146,G147),G147)</f>
        <v>0</v>
      </c>
      <c r="J147" s="124" t="n">
        <f aca="false">IF(MONTH($A147)=MONTH($A146),SUM(I147-I146),I147)</f>
        <v>0</v>
      </c>
      <c r="K147" s="124" t="n">
        <f aca="false">IF(WEEKDAY(A147,3)&gt;4,0,(IF(A147&lt;K$2,0,IF(A147&lt;=K$3,1,0))))</f>
        <v>0</v>
      </c>
      <c r="L147" s="124" t="n">
        <f aca="false">J147*K147</f>
        <v>0</v>
      </c>
      <c r="M147" s="124" t="n">
        <f aca="false">SUM(J$97:J147)</f>
        <v>0</v>
      </c>
      <c r="N147" s="124" t="n">
        <f aca="false">SUM(J$6:J147)</f>
        <v>-35909</v>
      </c>
      <c r="P147" s="148" t="n">
        <f aca="false">D147/P$3</f>
        <v>0</v>
      </c>
      <c r="Q147" s="124" t="n">
        <f aca="false">E147/P$3</f>
        <v>0</v>
      </c>
      <c r="R147" s="124" t="n">
        <f aca="false">F147/R$3</f>
        <v>0</v>
      </c>
      <c r="S147" s="126" t="n">
        <f aca="false">J147/$R$3</f>
        <v>0</v>
      </c>
      <c r="T147" s="126" t="n">
        <f aca="false">L147/$R$3</f>
        <v>0</v>
      </c>
      <c r="U147" s="126" t="n">
        <f aca="false">I147/$R$3</f>
        <v>0</v>
      </c>
      <c r="V147" s="126" t="n">
        <f aca="false">M147/$R$3</f>
        <v>0</v>
      </c>
      <c r="W147" s="126" t="n">
        <f aca="false">N147/$R$3</f>
        <v>-35.909</v>
      </c>
    </row>
    <row r="148" customFormat="false" ht="12.75" hidden="false" customHeight="false" outlineLevel="0" collapsed="false">
      <c r="A148" s="120" t="n">
        <f aca="false">A147+1</f>
        <v>37034</v>
      </c>
      <c r="B148" s="131" t="str">
        <f aca="false">INDEX('[4]Master Data'!$A$2:$B$8,MATCH(WEEKDAY('CRD Hedge'!A148,3),'[4]Master Data'!$A$2:$A$8,0),2)</f>
        <v>W</v>
      </c>
      <c r="D148" s="124" t="n">
        <v>0</v>
      </c>
      <c r="E148" s="124" t="n">
        <v>0</v>
      </c>
      <c r="F148" s="124" t="n">
        <v>0</v>
      </c>
      <c r="G148" s="124" t="n">
        <v>0</v>
      </c>
      <c r="I148" s="124" t="n">
        <f aca="false">IF(MONTH($A148)=MONTH($A147),IF(G148=0,I147,G148),G148)</f>
        <v>0</v>
      </c>
      <c r="J148" s="124" t="n">
        <f aca="false">IF(MONTH($A148)=MONTH($A147),SUM(I148-I147),I148)</f>
        <v>0</v>
      </c>
      <c r="K148" s="124" t="n">
        <f aca="false">IF(WEEKDAY(A148,3)&gt;4,0,(IF(A148&lt;K$2,0,IF(A148&lt;=K$3,1,0))))</f>
        <v>0</v>
      </c>
      <c r="L148" s="124" t="n">
        <f aca="false">J148*K148</f>
        <v>0</v>
      </c>
      <c r="M148" s="124" t="n">
        <f aca="false">SUM(J$97:J148)</f>
        <v>0</v>
      </c>
      <c r="N148" s="124" t="n">
        <f aca="false">SUM(J$6:J148)</f>
        <v>-35909</v>
      </c>
      <c r="P148" s="148" t="n">
        <f aca="false">D148/P$3</f>
        <v>0</v>
      </c>
      <c r="Q148" s="124" t="n">
        <f aca="false">E148/P$3</f>
        <v>0</v>
      </c>
      <c r="R148" s="124" t="n">
        <f aca="false">F148/R$3</f>
        <v>0</v>
      </c>
      <c r="S148" s="126" t="n">
        <f aca="false">J148/$R$3</f>
        <v>0</v>
      </c>
      <c r="T148" s="126" t="n">
        <f aca="false">L148/$R$3</f>
        <v>0</v>
      </c>
      <c r="U148" s="126" t="n">
        <f aca="false">I148/$R$3</f>
        <v>0</v>
      </c>
      <c r="V148" s="126" t="n">
        <f aca="false">M148/$R$3</f>
        <v>0</v>
      </c>
      <c r="W148" s="126" t="n">
        <f aca="false">N148/$R$3</f>
        <v>-35.909</v>
      </c>
    </row>
    <row r="149" customFormat="false" ht="12.75" hidden="false" customHeight="false" outlineLevel="0" collapsed="false">
      <c r="A149" s="120" t="n">
        <f aca="false">A148+1</f>
        <v>37035</v>
      </c>
      <c r="B149" s="131" t="str">
        <f aca="false">INDEX('[4]Master Data'!$A$2:$B$8,MATCH(WEEKDAY('CRD Hedge'!A149,3),'[4]Master Data'!$A$2:$A$8,0),2)</f>
        <v>Th</v>
      </c>
      <c r="D149" s="124" t="n">
        <v>0</v>
      </c>
      <c r="E149" s="124" t="n">
        <v>0</v>
      </c>
      <c r="F149" s="124" t="n">
        <v>0</v>
      </c>
      <c r="G149" s="124" t="n">
        <v>0</v>
      </c>
      <c r="I149" s="124" t="n">
        <f aca="false">IF(MONTH($A149)=MONTH($A148),IF(G149=0,I148,G149),G149)</f>
        <v>0</v>
      </c>
      <c r="J149" s="124" t="n">
        <f aca="false">IF(MONTH($A149)=MONTH($A148),SUM(I149-I148),I149)</f>
        <v>0</v>
      </c>
      <c r="K149" s="124" t="n">
        <f aca="false">IF(WEEKDAY(A149,3)&gt;4,0,(IF(A149&lt;K$2,0,IF(A149&lt;=K$3,1,0))))</f>
        <v>0</v>
      </c>
      <c r="L149" s="124" t="n">
        <f aca="false">J149*K149</f>
        <v>0</v>
      </c>
      <c r="M149" s="124" t="n">
        <f aca="false">SUM(J$97:J149)</f>
        <v>0</v>
      </c>
      <c r="N149" s="124" t="n">
        <f aca="false">SUM(J$6:J149)</f>
        <v>-35909</v>
      </c>
      <c r="P149" s="148" t="n">
        <f aca="false">D149/P$3</f>
        <v>0</v>
      </c>
      <c r="Q149" s="124" t="n">
        <f aca="false">E149/P$3</f>
        <v>0</v>
      </c>
      <c r="R149" s="124" t="n">
        <f aca="false">F149/R$3</f>
        <v>0</v>
      </c>
      <c r="S149" s="126" t="n">
        <f aca="false">J149/$R$3</f>
        <v>0</v>
      </c>
      <c r="T149" s="126" t="n">
        <f aca="false">L149/$R$3</f>
        <v>0</v>
      </c>
      <c r="U149" s="126" t="n">
        <f aca="false">I149/$R$3</f>
        <v>0</v>
      </c>
      <c r="V149" s="126" t="n">
        <f aca="false">M149/$R$3</f>
        <v>0</v>
      </c>
      <c r="W149" s="126" t="n">
        <f aca="false">N149/$R$3</f>
        <v>-35.909</v>
      </c>
    </row>
    <row r="150" customFormat="false" ht="12.75" hidden="false" customHeight="false" outlineLevel="0" collapsed="false">
      <c r="A150" s="120" t="n">
        <f aca="false">A149+1</f>
        <v>37036</v>
      </c>
      <c r="B150" s="131" t="str">
        <f aca="false">INDEX('[4]Master Data'!$A$2:$B$8,MATCH(WEEKDAY('CRD Hedge'!A150,3),'[4]Master Data'!$A$2:$A$8,0),2)</f>
        <v>F</v>
      </c>
      <c r="D150" s="124" t="n">
        <v>0</v>
      </c>
      <c r="E150" s="124" t="n">
        <v>0</v>
      </c>
      <c r="F150" s="124" t="n">
        <v>0</v>
      </c>
      <c r="G150" s="124" t="n">
        <v>0</v>
      </c>
      <c r="I150" s="124" t="n">
        <f aca="false">IF(MONTH($A150)=MONTH($A149),IF(G150=0,I149,G150),G150)</f>
        <v>0</v>
      </c>
      <c r="J150" s="124" t="n">
        <f aca="false">IF(MONTH($A150)=MONTH($A149),SUM(I150-I149),I150)</f>
        <v>0</v>
      </c>
      <c r="K150" s="124" t="n">
        <f aca="false">IF(WEEKDAY(A150,3)&gt;4,0,(IF(A150&lt;K$2,0,IF(A150&lt;=K$3,1,0))))</f>
        <v>0</v>
      </c>
      <c r="L150" s="124" t="n">
        <f aca="false">J150*K150</f>
        <v>0</v>
      </c>
      <c r="M150" s="124" t="n">
        <f aca="false">SUM(J$97:J150)</f>
        <v>0</v>
      </c>
      <c r="N150" s="124" t="n">
        <f aca="false">SUM(J$6:J150)</f>
        <v>-35909</v>
      </c>
      <c r="P150" s="148" t="n">
        <f aca="false">D150/P$3</f>
        <v>0</v>
      </c>
      <c r="Q150" s="124" t="n">
        <f aca="false">E150/P$3</f>
        <v>0</v>
      </c>
      <c r="R150" s="124" t="n">
        <f aca="false">F150/R$3</f>
        <v>0</v>
      </c>
      <c r="S150" s="126" t="n">
        <f aca="false">J150/$R$3</f>
        <v>0</v>
      </c>
      <c r="T150" s="126" t="n">
        <f aca="false">L150/$R$3</f>
        <v>0</v>
      </c>
      <c r="U150" s="126" t="n">
        <f aca="false">I150/$R$3</f>
        <v>0</v>
      </c>
      <c r="V150" s="126" t="n">
        <f aca="false">M150/$R$3</f>
        <v>0</v>
      </c>
      <c r="W150" s="126" t="n">
        <f aca="false">N150/$R$3</f>
        <v>-35.909</v>
      </c>
    </row>
    <row r="151" customFormat="false" ht="12.75" hidden="false" customHeight="false" outlineLevel="0" collapsed="false">
      <c r="A151" s="120" t="n">
        <f aca="false">A150+1</f>
        <v>37037</v>
      </c>
      <c r="B151" s="131" t="str">
        <f aca="false">INDEX('[4]Master Data'!$A$2:$B$8,MATCH(WEEKDAY('CRD Hedge'!A151,3),'[4]Master Data'!$A$2:$A$8,0),2)</f>
        <v>Sa</v>
      </c>
      <c r="D151" s="124" t="n">
        <v>0</v>
      </c>
      <c r="E151" s="124" t="n">
        <v>0</v>
      </c>
      <c r="F151" s="124" t="n">
        <v>0</v>
      </c>
      <c r="G151" s="124" t="n">
        <v>0</v>
      </c>
      <c r="I151" s="124" t="n">
        <f aca="false">IF(MONTH($A151)=MONTH($A150),IF(G151=0,I150,G151),G151)</f>
        <v>0</v>
      </c>
      <c r="J151" s="124" t="n">
        <f aca="false">IF(MONTH($A151)=MONTH($A150),SUM(I151-I150),I151)</f>
        <v>0</v>
      </c>
      <c r="K151" s="124" t="n">
        <f aca="false">IF(WEEKDAY(A151,3)&gt;4,0,(IF(A151&lt;K$2,0,IF(A151&lt;=K$3,1,0))))</f>
        <v>0</v>
      </c>
      <c r="L151" s="124" t="n">
        <f aca="false">J151*K151</f>
        <v>0</v>
      </c>
      <c r="M151" s="124" t="n">
        <f aca="false">SUM(J$97:J151)</f>
        <v>0</v>
      </c>
      <c r="N151" s="124" t="n">
        <f aca="false">SUM(J$6:J151)</f>
        <v>-35909</v>
      </c>
      <c r="P151" s="148" t="n">
        <f aca="false">D151/P$3</f>
        <v>0</v>
      </c>
      <c r="Q151" s="124" t="n">
        <f aca="false">E151/P$3</f>
        <v>0</v>
      </c>
      <c r="R151" s="124" t="n">
        <f aca="false">F151/R$3</f>
        <v>0</v>
      </c>
      <c r="S151" s="126" t="n">
        <f aca="false">J151/$R$3</f>
        <v>0</v>
      </c>
      <c r="T151" s="126" t="n">
        <f aca="false">L151/$R$3</f>
        <v>0</v>
      </c>
      <c r="U151" s="126" t="n">
        <f aca="false">I151/$R$3</f>
        <v>0</v>
      </c>
      <c r="V151" s="126" t="n">
        <f aca="false">M151/$R$3</f>
        <v>0</v>
      </c>
      <c r="W151" s="126" t="n">
        <f aca="false">N151/$R$3</f>
        <v>-35.909</v>
      </c>
    </row>
    <row r="152" customFormat="false" ht="12.75" hidden="false" customHeight="false" outlineLevel="0" collapsed="false">
      <c r="A152" s="120" t="n">
        <f aca="false">A151+1</f>
        <v>37038</v>
      </c>
      <c r="B152" s="131" t="str">
        <f aca="false">INDEX('[4]Master Data'!$A$2:$B$8,MATCH(WEEKDAY('CRD Hedge'!A152,3),'[4]Master Data'!$A$2:$A$8,0),2)</f>
        <v>Su</v>
      </c>
      <c r="D152" s="124" t="n">
        <v>0</v>
      </c>
      <c r="E152" s="124" t="n">
        <v>0</v>
      </c>
      <c r="F152" s="124" t="n">
        <v>0</v>
      </c>
      <c r="G152" s="124" t="n">
        <v>0</v>
      </c>
      <c r="I152" s="124" t="n">
        <f aca="false">IF(MONTH($A152)=MONTH($A151),IF(G152=0,I151,G152),G152)</f>
        <v>0</v>
      </c>
      <c r="J152" s="124" t="n">
        <f aca="false">IF(MONTH($A152)=MONTH($A151),SUM(I152-I151),I152)</f>
        <v>0</v>
      </c>
      <c r="K152" s="124" t="n">
        <f aca="false">IF(WEEKDAY(A152,3)&gt;4,0,(IF(A152&lt;K$2,0,IF(A152&lt;=K$3,1,0))))</f>
        <v>0</v>
      </c>
      <c r="L152" s="124" t="n">
        <f aca="false">J152*K152</f>
        <v>0</v>
      </c>
      <c r="M152" s="124" t="n">
        <f aca="false">SUM(J$97:J152)</f>
        <v>0</v>
      </c>
      <c r="N152" s="124" t="n">
        <f aca="false">SUM(J$6:J152)</f>
        <v>-35909</v>
      </c>
      <c r="P152" s="148" t="n">
        <f aca="false">D152/P$3</f>
        <v>0</v>
      </c>
      <c r="Q152" s="124" t="n">
        <f aca="false">E152/P$3</f>
        <v>0</v>
      </c>
      <c r="R152" s="124" t="n">
        <f aca="false">F152/R$3</f>
        <v>0</v>
      </c>
      <c r="S152" s="126" t="n">
        <f aca="false">J152/$R$3</f>
        <v>0</v>
      </c>
      <c r="T152" s="126" t="n">
        <f aca="false">L152/$R$3</f>
        <v>0</v>
      </c>
      <c r="U152" s="126" t="n">
        <f aca="false">I152/$R$3</f>
        <v>0</v>
      </c>
      <c r="V152" s="126" t="n">
        <f aca="false">M152/$R$3</f>
        <v>0</v>
      </c>
      <c r="W152" s="126" t="n">
        <f aca="false">N152/$R$3</f>
        <v>-35.909</v>
      </c>
    </row>
    <row r="153" customFormat="false" ht="12.75" hidden="false" customHeight="false" outlineLevel="0" collapsed="false">
      <c r="A153" s="120" t="n">
        <f aca="false">A152+1</f>
        <v>37039</v>
      </c>
      <c r="B153" s="131" t="str">
        <f aca="false">INDEX('[4]Master Data'!$A$2:$B$8,MATCH(WEEKDAY('CRD Hedge'!A153,3),'[4]Master Data'!$A$2:$A$8,0),2)</f>
        <v>M</v>
      </c>
      <c r="D153" s="124" t="n">
        <v>0</v>
      </c>
      <c r="E153" s="124" t="n">
        <v>0</v>
      </c>
      <c r="F153" s="124" t="n">
        <v>0</v>
      </c>
      <c r="G153" s="124" t="n">
        <v>0</v>
      </c>
      <c r="I153" s="124" t="n">
        <f aca="false">IF(MONTH($A153)=MONTH($A152),IF(G153=0,I152,G153),G153)</f>
        <v>0</v>
      </c>
      <c r="J153" s="124" t="n">
        <f aca="false">IF(MONTH($A153)=MONTH($A152),SUM(I153-I152),I153)</f>
        <v>0</v>
      </c>
      <c r="K153" s="124" t="n">
        <f aca="false">IF(WEEKDAY(A153,3)&gt;4,0,(IF(A153&lt;K$2,0,IF(A153&lt;=K$3,1,0))))</f>
        <v>0</v>
      </c>
      <c r="L153" s="124" t="n">
        <f aca="false">J153*K153</f>
        <v>0</v>
      </c>
      <c r="M153" s="124" t="n">
        <f aca="false">SUM(J$97:J153)</f>
        <v>0</v>
      </c>
      <c r="N153" s="124" t="n">
        <f aca="false">SUM(J$6:J153)</f>
        <v>-35909</v>
      </c>
      <c r="P153" s="148" t="n">
        <f aca="false">D153/P$3</f>
        <v>0</v>
      </c>
      <c r="Q153" s="124" t="n">
        <f aca="false">E153/P$3</f>
        <v>0</v>
      </c>
      <c r="R153" s="124" t="n">
        <f aca="false">F153/R$3</f>
        <v>0</v>
      </c>
      <c r="S153" s="126" t="n">
        <f aca="false">J153/$R$3</f>
        <v>0</v>
      </c>
      <c r="T153" s="126" t="n">
        <f aca="false">L153/$R$3</f>
        <v>0</v>
      </c>
      <c r="U153" s="126" t="n">
        <f aca="false">I153/$R$3</f>
        <v>0</v>
      </c>
      <c r="V153" s="126" t="n">
        <f aca="false">M153/$R$3</f>
        <v>0</v>
      </c>
      <c r="W153" s="126" t="n">
        <f aca="false">N153/$R$3</f>
        <v>-35.909</v>
      </c>
    </row>
    <row r="154" customFormat="false" ht="12.75" hidden="false" customHeight="false" outlineLevel="0" collapsed="false">
      <c r="A154" s="120" t="n">
        <f aca="false">A153+1</f>
        <v>37040</v>
      </c>
      <c r="B154" s="131" t="str">
        <f aca="false">INDEX('[4]Master Data'!$A$2:$B$8,MATCH(WEEKDAY('CRD Hedge'!A154,3),'[4]Master Data'!$A$2:$A$8,0),2)</f>
        <v>T</v>
      </c>
      <c r="D154" s="124" t="n">
        <v>0</v>
      </c>
      <c r="E154" s="124" t="n">
        <v>0</v>
      </c>
      <c r="F154" s="124" t="n">
        <v>0</v>
      </c>
      <c r="G154" s="124" t="n">
        <v>0</v>
      </c>
      <c r="I154" s="124" t="n">
        <f aca="false">IF(MONTH($A154)=MONTH($A153),IF(G154=0,I153,G154),G154)</f>
        <v>0</v>
      </c>
      <c r="J154" s="124" t="n">
        <f aca="false">IF(MONTH($A154)=MONTH($A153),SUM(I154-I153),I154)</f>
        <v>0</v>
      </c>
      <c r="K154" s="124" t="n">
        <f aca="false">IF(WEEKDAY(A154,3)&gt;4,0,(IF(A154&lt;K$2,0,IF(A154&lt;=K$3,1,0))))</f>
        <v>0</v>
      </c>
      <c r="L154" s="124" t="n">
        <f aca="false">J154*K154</f>
        <v>0</v>
      </c>
      <c r="M154" s="124" t="n">
        <f aca="false">SUM(J$97:J154)</f>
        <v>0</v>
      </c>
      <c r="N154" s="124" t="n">
        <f aca="false">SUM(J$6:J154)</f>
        <v>-35909</v>
      </c>
      <c r="P154" s="148" t="n">
        <f aca="false">D154/P$3</f>
        <v>0</v>
      </c>
      <c r="Q154" s="124" t="n">
        <f aca="false">E154/P$3</f>
        <v>0</v>
      </c>
      <c r="R154" s="124" t="n">
        <f aca="false">F154/R$3</f>
        <v>0</v>
      </c>
      <c r="S154" s="126" t="n">
        <f aca="false">J154/$R$3</f>
        <v>0</v>
      </c>
      <c r="T154" s="126" t="n">
        <f aca="false">L154/$R$3</f>
        <v>0</v>
      </c>
      <c r="U154" s="126" t="n">
        <f aca="false">I154/$R$3</f>
        <v>0</v>
      </c>
      <c r="V154" s="126" t="n">
        <f aca="false">M154/$R$3</f>
        <v>0</v>
      </c>
      <c r="W154" s="126" t="n">
        <f aca="false">N154/$R$3</f>
        <v>-35.909</v>
      </c>
    </row>
    <row r="155" customFormat="false" ht="12.75" hidden="false" customHeight="false" outlineLevel="0" collapsed="false">
      <c r="A155" s="120" t="n">
        <f aca="false">A154+1</f>
        <v>37041</v>
      </c>
      <c r="B155" s="131" t="str">
        <f aca="false">INDEX('[4]Master Data'!$A$2:$B$8,MATCH(WEEKDAY('CRD Hedge'!A155,3),'[4]Master Data'!$A$2:$A$8,0),2)</f>
        <v>W</v>
      </c>
      <c r="D155" s="124" t="n">
        <v>0</v>
      </c>
      <c r="E155" s="124" t="n">
        <v>0</v>
      </c>
      <c r="F155" s="124" t="n">
        <v>0</v>
      </c>
      <c r="G155" s="124" t="n">
        <v>0</v>
      </c>
      <c r="I155" s="124" t="n">
        <f aca="false">IF(MONTH($A155)=MONTH($A154),IF(G155=0,I154,G155),G155)</f>
        <v>0</v>
      </c>
      <c r="J155" s="124" t="n">
        <f aca="false">IF(MONTH($A155)=MONTH($A154),SUM(I155-I154),I155)</f>
        <v>0</v>
      </c>
      <c r="K155" s="124" t="n">
        <f aca="false">IF(WEEKDAY(A155,3)&gt;4,0,(IF(A155&lt;K$2,0,IF(A155&lt;=K$3,1,0))))</f>
        <v>0</v>
      </c>
      <c r="L155" s="124" t="n">
        <f aca="false">J155*K155</f>
        <v>0</v>
      </c>
      <c r="M155" s="124" t="n">
        <f aca="false">SUM(J$97:J155)</f>
        <v>0</v>
      </c>
      <c r="N155" s="124" t="n">
        <f aca="false">SUM(J$6:J155)</f>
        <v>-35909</v>
      </c>
      <c r="P155" s="148" t="n">
        <f aca="false">D155/P$3</f>
        <v>0</v>
      </c>
      <c r="Q155" s="124" t="n">
        <f aca="false">E155/P$3</f>
        <v>0</v>
      </c>
      <c r="R155" s="124" t="n">
        <f aca="false">F155/R$3</f>
        <v>0</v>
      </c>
      <c r="S155" s="126" t="n">
        <f aca="false">J155/$R$3</f>
        <v>0</v>
      </c>
      <c r="T155" s="126" t="n">
        <f aca="false">L155/$R$3</f>
        <v>0</v>
      </c>
      <c r="U155" s="126" t="n">
        <f aca="false">I155/$R$3</f>
        <v>0</v>
      </c>
      <c r="V155" s="126" t="n">
        <f aca="false">M155/$R$3</f>
        <v>0</v>
      </c>
      <c r="W155" s="126" t="n">
        <f aca="false">N155/$R$3</f>
        <v>-35.909</v>
      </c>
    </row>
    <row r="156" customFormat="false" ht="12.75" hidden="false" customHeight="false" outlineLevel="0" collapsed="false">
      <c r="A156" s="120" t="n">
        <f aca="false">A155+1</f>
        <v>37042</v>
      </c>
      <c r="B156" s="131" t="str">
        <f aca="false">INDEX('[4]Master Data'!$A$2:$B$8,MATCH(WEEKDAY('CRD Hedge'!A156,3),'[4]Master Data'!$A$2:$A$8,0),2)</f>
        <v>Th</v>
      </c>
      <c r="D156" s="124" t="n">
        <v>0</v>
      </c>
      <c r="E156" s="124" t="n">
        <v>0</v>
      </c>
      <c r="F156" s="124" t="n">
        <v>0</v>
      </c>
      <c r="G156" s="124" t="n">
        <v>0</v>
      </c>
      <c r="I156" s="124" t="n">
        <f aca="false">IF(MONTH($A156)=MONTH($A155),IF(G156=0,I155,G156),G156)</f>
        <v>0</v>
      </c>
      <c r="J156" s="124" t="n">
        <f aca="false">IF(MONTH($A156)=MONTH($A155),SUM(I156-I155),I156)</f>
        <v>0</v>
      </c>
      <c r="K156" s="124" t="n">
        <f aca="false">IF(WEEKDAY(A156,3)&gt;4,0,(IF(A156&lt;K$2,0,IF(A156&lt;=K$3,1,0))))</f>
        <v>0</v>
      </c>
      <c r="L156" s="124" t="n">
        <f aca="false">J156*K156</f>
        <v>0</v>
      </c>
      <c r="M156" s="124" t="n">
        <f aca="false">SUM(J$97:J156)</f>
        <v>0</v>
      </c>
      <c r="N156" s="124" t="n">
        <f aca="false">SUM(J$6:J156)</f>
        <v>-35909</v>
      </c>
      <c r="P156" s="148" t="n">
        <f aca="false">D156/P$3</f>
        <v>0</v>
      </c>
      <c r="Q156" s="124" t="n">
        <f aca="false">E156/P$3</f>
        <v>0</v>
      </c>
      <c r="R156" s="124" t="n">
        <f aca="false">F156/R$3</f>
        <v>0</v>
      </c>
      <c r="S156" s="126" t="n">
        <f aca="false">J156/$R$3</f>
        <v>0</v>
      </c>
      <c r="T156" s="126" t="n">
        <f aca="false">L156/$R$3</f>
        <v>0</v>
      </c>
      <c r="U156" s="126" t="n">
        <f aca="false">I156/$R$3</f>
        <v>0</v>
      </c>
      <c r="V156" s="126" t="n">
        <f aca="false">M156/$R$3</f>
        <v>0</v>
      </c>
      <c r="W156" s="126" t="n">
        <f aca="false">N156/$R$3</f>
        <v>-35.909</v>
      </c>
    </row>
    <row r="157" customFormat="false" ht="12.75" hidden="false" customHeight="false" outlineLevel="0" collapsed="false">
      <c r="A157" s="120" t="n">
        <f aca="false">A156+1</f>
        <v>37043</v>
      </c>
      <c r="B157" s="131" t="str">
        <f aca="false">INDEX('[4]Master Data'!$A$2:$B$8,MATCH(WEEKDAY('CRD Hedge'!A157,3),'[4]Master Data'!$A$2:$A$8,0),2)</f>
        <v>F</v>
      </c>
      <c r="D157" s="124" t="n">
        <v>0</v>
      </c>
      <c r="E157" s="124" t="n">
        <v>0</v>
      </c>
      <c r="F157" s="124" t="n">
        <v>0</v>
      </c>
      <c r="G157" s="124" t="n">
        <v>0</v>
      </c>
      <c r="I157" s="124" t="n">
        <f aca="false">IF(MONTH($A157)=MONTH($A156),IF(G157=0,I156,G157),G157)</f>
        <v>0</v>
      </c>
      <c r="J157" s="124" t="n">
        <f aca="false">IF(MONTH($A157)=MONTH($A156),SUM(I157-I156),I157)</f>
        <v>0</v>
      </c>
      <c r="K157" s="124" t="n">
        <f aca="false">IF(WEEKDAY(A157,3)&gt;4,0,(IF(A157&lt;K$2,0,IF(A157&lt;=K$3,1,0))))</f>
        <v>0</v>
      </c>
      <c r="L157" s="124" t="n">
        <f aca="false">J157*K157</f>
        <v>0</v>
      </c>
      <c r="M157" s="124" t="n">
        <f aca="false">SUM(J$97:J157)</f>
        <v>0</v>
      </c>
      <c r="N157" s="124" t="n">
        <f aca="false">SUM(J$6:J157)</f>
        <v>-35909</v>
      </c>
      <c r="P157" s="148" t="n">
        <f aca="false">D157/P$3</f>
        <v>0</v>
      </c>
      <c r="Q157" s="124" t="n">
        <f aca="false">E157/P$3</f>
        <v>0</v>
      </c>
      <c r="R157" s="124" t="n">
        <f aca="false">F157/R$3</f>
        <v>0</v>
      </c>
      <c r="S157" s="126" t="n">
        <f aca="false">J157/$R$3</f>
        <v>0</v>
      </c>
      <c r="T157" s="126" t="n">
        <f aca="false">L157/$R$3</f>
        <v>0</v>
      </c>
      <c r="U157" s="126" t="n">
        <f aca="false">I157/$R$3</f>
        <v>0</v>
      </c>
      <c r="V157" s="126" t="n">
        <f aca="false">M157/$R$3</f>
        <v>0</v>
      </c>
      <c r="W157" s="126" t="n">
        <f aca="false">N157/$R$3</f>
        <v>-35.909</v>
      </c>
    </row>
    <row r="158" customFormat="false" ht="12.75" hidden="false" customHeight="false" outlineLevel="0" collapsed="false">
      <c r="A158" s="120" t="n">
        <f aca="false">A157+1</f>
        <v>37044</v>
      </c>
      <c r="B158" s="131" t="str">
        <f aca="false">INDEX('[4]Master Data'!$A$2:$B$8,MATCH(WEEKDAY('CRD Hedge'!A158,3),'[4]Master Data'!$A$2:$A$8,0),2)</f>
        <v>Sa</v>
      </c>
      <c r="D158" s="124" t="n">
        <v>0</v>
      </c>
      <c r="E158" s="124" t="n">
        <v>0</v>
      </c>
      <c r="F158" s="124" t="n">
        <v>0</v>
      </c>
      <c r="G158" s="124" t="n">
        <v>0</v>
      </c>
      <c r="I158" s="124" t="n">
        <f aca="false">IF(MONTH($A158)=MONTH($A157),IF(G158=0,I157,G158),G158)</f>
        <v>0</v>
      </c>
      <c r="J158" s="124" t="n">
        <f aca="false">IF(MONTH($A158)=MONTH($A157),SUM(I158-I157),I158)</f>
        <v>0</v>
      </c>
      <c r="K158" s="124" t="n">
        <f aca="false">IF(WEEKDAY(A158,3)&gt;4,0,(IF(A158&lt;K$2,0,IF(A158&lt;=K$3,1,0))))</f>
        <v>0</v>
      </c>
      <c r="L158" s="124" t="n">
        <f aca="false">J158*K158</f>
        <v>0</v>
      </c>
      <c r="M158" s="124" t="n">
        <f aca="false">SUM(J$97:J158)</f>
        <v>0</v>
      </c>
      <c r="N158" s="124" t="n">
        <f aca="false">SUM(J$6:J158)</f>
        <v>-35909</v>
      </c>
      <c r="P158" s="148" t="n">
        <f aca="false">D158/P$3</f>
        <v>0</v>
      </c>
      <c r="Q158" s="124" t="n">
        <f aca="false">E158/P$3</f>
        <v>0</v>
      </c>
      <c r="R158" s="124" t="n">
        <f aca="false">F158/R$3</f>
        <v>0</v>
      </c>
      <c r="S158" s="126" t="n">
        <f aca="false">J158/$R$3</f>
        <v>0</v>
      </c>
      <c r="T158" s="126" t="n">
        <f aca="false">L158/$R$3</f>
        <v>0</v>
      </c>
      <c r="U158" s="126" t="n">
        <f aca="false">I158/$R$3</f>
        <v>0</v>
      </c>
      <c r="V158" s="126" t="n">
        <f aca="false">M158/$R$3</f>
        <v>0</v>
      </c>
      <c r="W158" s="126" t="n">
        <f aca="false">N158/$R$3</f>
        <v>-35.909</v>
      </c>
    </row>
    <row r="159" customFormat="false" ht="12.75" hidden="false" customHeight="false" outlineLevel="0" collapsed="false">
      <c r="A159" s="120" t="n">
        <f aca="false">A158+1</f>
        <v>37045</v>
      </c>
      <c r="B159" s="131" t="str">
        <f aca="false">INDEX('[4]Master Data'!$A$2:$B$8,MATCH(WEEKDAY('CRD Hedge'!A159,3),'[4]Master Data'!$A$2:$A$8,0),2)</f>
        <v>Su</v>
      </c>
      <c r="D159" s="124" t="n">
        <v>0</v>
      </c>
      <c r="E159" s="124" t="n">
        <v>0</v>
      </c>
      <c r="F159" s="124" t="n">
        <v>0</v>
      </c>
      <c r="G159" s="124" t="n">
        <v>0</v>
      </c>
      <c r="I159" s="124" t="n">
        <f aca="false">IF(MONTH($A159)=MONTH($A158),IF(G159=0,I158,G159),G159)</f>
        <v>0</v>
      </c>
      <c r="J159" s="124" t="n">
        <f aca="false">IF(MONTH($A159)=MONTH($A158),SUM(I159-I158),I159)</f>
        <v>0</v>
      </c>
      <c r="K159" s="124" t="n">
        <f aca="false">IF(WEEKDAY(A159,3)&gt;4,0,(IF(A159&lt;K$2,0,IF(A159&lt;=K$3,1,0))))</f>
        <v>0</v>
      </c>
      <c r="L159" s="124" t="n">
        <f aca="false">J159*K159</f>
        <v>0</v>
      </c>
      <c r="M159" s="124" t="n">
        <f aca="false">SUM(J$97:J159)</f>
        <v>0</v>
      </c>
      <c r="N159" s="124" t="n">
        <f aca="false">SUM(J$6:J159)</f>
        <v>-35909</v>
      </c>
      <c r="P159" s="148" t="n">
        <f aca="false">D159/P$3</f>
        <v>0</v>
      </c>
      <c r="Q159" s="124" t="n">
        <f aca="false">E159/P$3</f>
        <v>0</v>
      </c>
      <c r="R159" s="124" t="n">
        <f aca="false">F159/R$3</f>
        <v>0</v>
      </c>
      <c r="S159" s="126" t="n">
        <f aca="false">J159/$R$3</f>
        <v>0</v>
      </c>
      <c r="T159" s="126" t="n">
        <f aca="false">L159/$R$3</f>
        <v>0</v>
      </c>
      <c r="U159" s="126" t="n">
        <f aca="false">I159/$R$3</f>
        <v>0</v>
      </c>
      <c r="V159" s="126" t="n">
        <f aca="false">M159/$R$3</f>
        <v>0</v>
      </c>
      <c r="W159" s="126" t="n">
        <f aca="false">N159/$R$3</f>
        <v>-35.909</v>
      </c>
    </row>
    <row r="160" customFormat="false" ht="12.75" hidden="false" customHeight="false" outlineLevel="0" collapsed="false">
      <c r="A160" s="120" t="n">
        <f aca="false">A159+1</f>
        <v>37046</v>
      </c>
      <c r="B160" s="131" t="str">
        <f aca="false">INDEX('[4]Master Data'!$A$2:$B$8,MATCH(WEEKDAY('CRD Hedge'!A160,3),'[4]Master Data'!$A$2:$A$8,0),2)</f>
        <v>M</v>
      </c>
      <c r="D160" s="124" t="n">
        <v>0</v>
      </c>
      <c r="E160" s="124" t="n">
        <v>0</v>
      </c>
      <c r="F160" s="124" t="n">
        <v>0</v>
      </c>
      <c r="G160" s="124" t="n">
        <v>0</v>
      </c>
      <c r="I160" s="124" t="n">
        <f aca="false">IF(MONTH($A160)=MONTH($A159),IF(G160=0,I159,G160),G160)</f>
        <v>0</v>
      </c>
      <c r="J160" s="124" t="n">
        <f aca="false">IF(MONTH($A160)=MONTH($A159),SUM(I160-I159),I160)</f>
        <v>0</v>
      </c>
      <c r="K160" s="124" t="n">
        <f aca="false">IF(WEEKDAY(A160,3)&gt;4,0,(IF(A160&lt;K$2,0,IF(A160&lt;=K$3,1,0))))</f>
        <v>0</v>
      </c>
      <c r="L160" s="124" t="n">
        <f aca="false">J160*K160</f>
        <v>0</v>
      </c>
      <c r="M160" s="124" t="n">
        <f aca="false">SUM(J$97:J160)</f>
        <v>0</v>
      </c>
      <c r="N160" s="124" t="n">
        <f aca="false">SUM(J$6:J160)</f>
        <v>-35909</v>
      </c>
      <c r="P160" s="148" t="n">
        <f aca="false">D160/P$3</f>
        <v>0</v>
      </c>
      <c r="Q160" s="124" t="n">
        <f aca="false">E160/P$3</f>
        <v>0</v>
      </c>
      <c r="R160" s="124" t="n">
        <f aca="false">F160/R$3</f>
        <v>0</v>
      </c>
      <c r="S160" s="126" t="n">
        <f aca="false">J160/$R$3</f>
        <v>0</v>
      </c>
      <c r="T160" s="126" t="n">
        <f aca="false">L160/$R$3</f>
        <v>0</v>
      </c>
      <c r="U160" s="126" t="n">
        <f aca="false">I160/$R$3</f>
        <v>0</v>
      </c>
      <c r="V160" s="126" t="n">
        <f aca="false">M160/$R$3</f>
        <v>0</v>
      </c>
      <c r="W160" s="126" t="n">
        <f aca="false">N160/$R$3</f>
        <v>-35.909</v>
      </c>
    </row>
    <row r="161" customFormat="false" ht="12.75" hidden="false" customHeight="false" outlineLevel="0" collapsed="false">
      <c r="A161" s="120" t="n">
        <f aca="false">A160+1</f>
        <v>37047</v>
      </c>
      <c r="B161" s="131" t="str">
        <f aca="false">INDEX('[4]Master Data'!$A$2:$B$8,MATCH(WEEKDAY('CRD Hedge'!A161,3),'[4]Master Data'!$A$2:$A$8,0),2)</f>
        <v>T</v>
      </c>
      <c r="D161" s="124" t="n">
        <v>0</v>
      </c>
      <c r="E161" s="124" t="n">
        <v>0</v>
      </c>
      <c r="F161" s="124" t="n">
        <v>0</v>
      </c>
      <c r="G161" s="124" t="n">
        <v>0</v>
      </c>
      <c r="I161" s="124" t="n">
        <f aca="false">IF(MONTH($A161)=MONTH($A160),IF(G161=0,I160,G161),G161)</f>
        <v>0</v>
      </c>
      <c r="J161" s="124" t="n">
        <f aca="false">IF(MONTH($A161)=MONTH($A160),SUM(I161-I160),I161)</f>
        <v>0</v>
      </c>
      <c r="K161" s="124" t="n">
        <f aca="false">IF(WEEKDAY(A161,3)&gt;4,0,(IF(A161&lt;K$2,0,IF(A161&lt;=K$3,1,0))))</f>
        <v>0</v>
      </c>
      <c r="L161" s="124" t="n">
        <f aca="false">J161*K161</f>
        <v>0</v>
      </c>
      <c r="M161" s="124" t="n">
        <f aca="false">SUM(J$97:J161)</f>
        <v>0</v>
      </c>
      <c r="N161" s="124" t="n">
        <f aca="false">SUM(J$6:J161)</f>
        <v>-35909</v>
      </c>
      <c r="P161" s="148" t="n">
        <f aca="false">D161/P$3</f>
        <v>0</v>
      </c>
      <c r="Q161" s="124" t="n">
        <f aca="false">E161/P$3</f>
        <v>0</v>
      </c>
      <c r="R161" s="124" t="n">
        <f aca="false">F161/R$3</f>
        <v>0</v>
      </c>
      <c r="S161" s="126" t="n">
        <f aca="false">J161/$R$3</f>
        <v>0</v>
      </c>
      <c r="T161" s="126" t="n">
        <f aca="false">L161/$R$3</f>
        <v>0</v>
      </c>
      <c r="U161" s="126" t="n">
        <f aca="false">I161/$R$3</f>
        <v>0</v>
      </c>
      <c r="V161" s="126" t="n">
        <f aca="false">M161/$R$3</f>
        <v>0</v>
      </c>
      <c r="W161" s="126" t="n">
        <f aca="false">N161/$R$3</f>
        <v>-35.909</v>
      </c>
    </row>
    <row r="162" customFormat="false" ht="12.75" hidden="false" customHeight="false" outlineLevel="0" collapsed="false">
      <c r="A162" s="120" t="n">
        <f aca="false">A161+1</f>
        <v>37048</v>
      </c>
      <c r="B162" s="131" t="str">
        <f aca="false">INDEX('[4]Master Data'!$A$2:$B$8,MATCH(WEEKDAY('CRD Hedge'!A162,3),'[4]Master Data'!$A$2:$A$8,0),2)</f>
        <v>W</v>
      </c>
      <c r="D162" s="124" t="n">
        <v>0</v>
      </c>
      <c r="E162" s="124" t="n">
        <v>0</v>
      </c>
      <c r="F162" s="124" t="n">
        <v>0</v>
      </c>
      <c r="G162" s="124" t="n">
        <v>0</v>
      </c>
      <c r="I162" s="124" t="n">
        <f aca="false">IF(MONTH($A162)=MONTH($A161),IF(G162=0,I161,G162),G162)</f>
        <v>0</v>
      </c>
      <c r="J162" s="124" t="n">
        <f aca="false">IF(MONTH($A162)=MONTH($A161),SUM(I162-I161),I162)</f>
        <v>0</v>
      </c>
      <c r="K162" s="124" t="n">
        <f aca="false">IF(WEEKDAY(A162,3)&gt;4,0,(IF(A162&lt;K$2,0,IF(A162&lt;=K$3,1,0))))</f>
        <v>0</v>
      </c>
      <c r="L162" s="124" t="n">
        <f aca="false">J162*K162</f>
        <v>0</v>
      </c>
      <c r="M162" s="124" t="n">
        <f aca="false">SUM(J$97:J162)</f>
        <v>0</v>
      </c>
      <c r="N162" s="124" t="n">
        <f aca="false">SUM(J$6:J162)</f>
        <v>-35909</v>
      </c>
      <c r="P162" s="148" t="n">
        <f aca="false">D162/P$3</f>
        <v>0</v>
      </c>
      <c r="Q162" s="124" t="n">
        <f aca="false">E162/P$3</f>
        <v>0</v>
      </c>
      <c r="R162" s="124" t="n">
        <f aca="false">F162/R$3</f>
        <v>0</v>
      </c>
      <c r="S162" s="126" t="n">
        <f aca="false">J162/$R$3</f>
        <v>0</v>
      </c>
      <c r="T162" s="126" t="n">
        <f aca="false">L162/$R$3</f>
        <v>0</v>
      </c>
      <c r="U162" s="126" t="n">
        <f aca="false">I162/$R$3</f>
        <v>0</v>
      </c>
      <c r="V162" s="126" t="n">
        <f aca="false">M162/$R$3</f>
        <v>0</v>
      </c>
      <c r="W162" s="126" t="n">
        <f aca="false">N162/$R$3</f>
        <v>-35.909</v>
      </c>
    </row>
    <row r="163" customFormat="false" ht="12.75" hidden="false" customHeight="false" outlineLevel="0" collapsed="false">
      <c r="A163" s="120" t="n">
        <f aca="false">A162+1</f>
        <v>37049</v>
      </c>
      <c r="B163" s="131" t="str">
        <f aca="false">INDEX('[4]Master Data'!$A$2:$B$8,MATCH(WEEKDAY('CRD Hedge'!A163,3),'[4]Master Data'!$A$2:$A$8,0),2)</f>
        <v>Th</v>
      </c>
      <c r="D163" s="124" t="n">
        <v>0</v>
      </c>
      <c r="E163" s="124" t="n">
        <v>0</v>
      </c>
      <c r="F163" s="124" t="n">
        <v>0</v>
      </c>
      <c r="G163" s="124" t="n">
        <v>0</v>
      </c>
      <c r="I163" s="124" t="n">
        <f aca="false">IF(MONTH($A163)=MONTH($A162),IF(G163=0,I162,G163),G163)</f>
        <v>0</v>
      </c>
      <c r="J163" s="124" t="n">
        <f aca="false">IF(MONTH($A163)=MONTH($A162),SUM(I163-I162),I163)</f>
        <v>0</v>
      </c>
      <c r="K163" s="124" t="n">
        <f aca="false">IF(WEEKDAY(A163,3)&gt;4,0,(IF(A163&lt;K$2,0,IF(A163&lt;=K$3,1,0))))</f>
        <v>0</v>
      </c>
      <c r="L163" s="124" t="n">
        <f aca="false">J163*K163</f>
        <v>0</v>
      </c>
      <c r="M163" s="124" t="n">
        <f aca="false">SUM(J$97:J163)</f>
        <v>0</v>
      </c>
      <c r="N163" s="124" t="n">
        <f aca="false">SUM(J$6:J163)</f>
        <v>-35909</v>
      </c>
      <c r="P163" s="148" t="n">
        <f aca="false">D163/P$3</f>
        <v>0</v>
      </c>
      <c r="Q163" s="124" t="n">
        <f aca="false">E163/P$3</f>
        <v>0</v>
      </c>
      <c r="R163" s="124" t="n">
        <f aca="false">F163/R$3</f>
        <v>0</v>
      </c>
      <c r="S163" s="126" t="n">
        <f aca="false">J163/$R$3</f>
        <v>0</v>
      </c>
      <c r="T163" s="126" t="n">
        <f aca="false">L163/$R$3</f>
        <v>0</v>
      </c>
      <c r="U163" s="126" t="n">
        <f aca="false">I163/$R$3</f>
        <v>0</v>
      </c>
      <c r="V163" s="126" t="n">
        <f aca="false">M163/$R$3</f>
        <v>0</v>
      </c>
      <c r="W163" s="126" t="n">
        <f aca="false">N163/$R$3</f>
        <v>-35.909</v>
      </c>
    </row>
    <row r="164" customFormat="false" ht="12.75" hidden="false" customHeight="false" outlineLevel="0" collapsed="false">
      <c r="A164" s="120" t="n">
        <f aca="false">A163+1</f>
        <v>37050</v>
      </c>
      <c r="B164" s="131" t="str">
        <f aca="false">INDEX('[4]Master Data'!$A$2:$B$8,MATCH(WEEKDAY('CRD Hedge'!A164,3),'[4]Master Data'!$A$2:$A$8,0),2)</f>
        <v>F</v>
      </c>
      <c r="D164" s="124" t="n">
        <v>0</v>
      </c>
      <c r="E164" s="124" t="n">
        <v>0</v>
      </c>
      <c r="F164" s="124" t="n">
        <v>0</v>
      </c>
      <c r="G164" s="124" t="n">
        <v>0</v>
      </c>
      <c r="I164" s="124" t="n">
        <f aca="false">IF(MONTH($A164)=MONTH($A163),IF(G164=0,I163,G164),G164)</f>
        <v>0</v>
      </c>
      <c r="J164" s="124" t="n">
        <f aca="false">IF(MONTH($A164)=MONTH($A163),SUM(I164-I163),I164)</f>
        <v>0</v>
      </c>
      <c r="K164" s="124" t="n">
        <f aca="false">IF(WEEKDAY(A164,3)&gt;4,0,(IF(A164&lt;K$2,0,IF(A164&lt;=K$3,1,0))))</f>
        <v>0</v>
      </c>
      <c r="L164" s="124" t="n">
        <f aca="false">J164*K164</f>
        <v>0</v>
      </c>
      <c r="M164" s="124" t="n">
        <f aca="false">SUM(J$97:J164)</f>
        <v>0</v>
      </c>
      <c r="N164" s="124" t="n">
        <f aca="false">SUM(J$6:J164)</f>
        <v>-35909</v>
      </c>
      <c r="P164" s="148" t="n">
        <f aca="false">D164/P$3</f>
        <v>0</v>
      </c>
      <c r="Q164" s="124" t="n">
        <f aca="false">E164/P$3</f>
        <v>0</v>
      </c>
      <c r="R164" s="124" t="n">
        <f aca="false">F164/R$3</f>
        <v>0</v>
      </c>
      <c r="S164" s="126" t="n">
        <f aca="false">J164/$R$3</f>
        <v>0</v>
      </c>
      <c r="T164" s="126" t="n">
        <f aca="false">L164/$R$3</f>
        <v>0</v>
      </c>
      <c r="U164" s="126" t="n">
        <f aca="false">I164/$R$3</f>
        <v>0</v>
      </c>
      <c r="V164" s="126" t="n">
        <f aca="false">M164/$R$3</f>
        <v>0</v>
      </c>
      <c r="W164" s="126" t="n">
        <f aca="false">N164/$R$3</f>
        <v>-35.909</v>
      </c>
    </row>
    <row r="165" customFormat="false" ht="12.75" hidden="false" customHeight="false" outlineLevel="0" collapsed="false">
      <c r="A165" s="120" t="n">
        <f aca="false">A164+1</f>
        <v>37051</v>
      </c>
      <c r="B165" s="131" t="str">
        <f aca="false">INDEX('[4]Master Data'!$A$2:$B$8,MATCH(WEEKDAY('CRD Hedge'!A165,3),'[4]Master Data'!$A$2:$A$8,0),2)</f>
        <v>Sa</v>
      </c>
      <c r="D165" s="124" t="n">
        <v>0</v>
      </c>
      <c r="E165" s="124" t="n">
        <v>0</v>
      </c>
      <c r="F165" s="124" t="n">
        <v>0</v>
      </c>
      <c r="G165" s="124" t="n">
        <v>0</v>
      </c>
      <c r="I165" s="124" t="n">
        <f aca="false">IF(MONTH($A165)=MONTH($A164),IF(G165=0,I164,G165),G165)</f>
        <v>0</v>
      </c>
      <c r="J165" s="124" t="n">
        <f aca="false">IF(MONTH($A165)=MONTH($A164),SUM(I165-I164),I165)</f>
        <v>0</v>
      </c>
      <c r="K165" s="124" t="n">
        <f aca="false">IF(WEEKDAY(A165,3)&gt;4,0,(IF(A165&lt;K$2,0,IF(A165&lt;=K$3,1,0))))</f>
        <v>0</v>
      </c>
      <c r="L165" s="124" t="n">
        <f aca="false">J165*K165</f>
        <v>0</v>
      </c>
      <c r="M165" s="124" t="n">
        <f aca="false">SUM(J$97:J165)</f>
        <v>0</v>
      </c>
      <c r="N165" s="124" t="n">
        <f aca="false">SUM(J$6:J165)</f>
        <v>-35909</v>
      </c>
      <c r="P165" s="148" t="n">
        <f aca="false">D165/P$3</f>
        <v>0</v>
      </c>
      <c r="Q165" s="124" t="n">
        <f aca="false">E165/P$3</f>
        <v>0</v>
      </c>
      <c r="R165" s="124" t="n">
        <f aca="false">F165/R$3</f>
        <v>0</v>
      </c>
      <c r="S165" s="126" t="n">
        <f aca="false">J165/$R$3</f>
        <v>0</v>
      </c>
      <c r="T165" s="126" t="n">
        <f aca="false">L165/$R$3</f>
        <v>0</v>
      </c>
      <c r="U165" s="126" t="n">
        <f aca="false">I165/$R$3</f>
        <v>0</v>
      </c>
      <c r="V165" s="126" t="n">
        <f aca="false">M165/$R$3</f>
        <v>0</v>
      </c>
      <c r="W165" s="126" t="n">
        <f aca="false">N165/$R$3</f>
        <v>-35.909</v>
      </c>
    </row>
    <row r="166" customFormat="false" ht="12.75" hidden="false" customHeight="false" outlineLevel="0" collapsed="false">
      <c r="A166" s="120" t="n">
        <f aca="false">A165+1</f>
        <v>37052</v>
      </c>
      <c r="B166" s="131" t="str">
        <f aca="false">INDEX('[4]Master Data'!$A$2:$B$8,MATCH(WEEKDAY('CRD Hedge'!A166,3),'[4]Master Data'!$A$2:$A$8,0),2)</f>
        <v>Su</v>
      </c>
      <c r="D166" s="124" t="n">
        <v>0</v>
      </c>
      <c r="E166" s="124" t="n">
        <v>0</v>
      </c>
      <c r="F166" s="124" t="n">
        <v>0</v>
      </c>
      <c r="G166" s="124" t="n">
        <v>0</v>
      </c>
      <c r="I166" s="124" t="n">
        <f aca="false">IF(MONTH($A166)=MONTH($A165),IF(G166=0,I165,G166),G166)</f>
        <v>0</v>
      </c>
      <c r="J166" s="124" t="n">
        <f aca="false">IF(MONTH($A166)=MONTH($A165),SUM(I166-I165),I166)</f>
        <v>0</v>
      </c>
      <c r="K166" s="124" t="n">
        <f aca="false">IF(WEEKDAY(A166,3)&gt;4,0,(IF(A166&lt;K$2,0,IF(A166&lt;=K$3,1,0))))</f>
        <v>0</v>
      </c>
      <c r="L166" s="124" t="n">
        <f aca="false">J166*K166</f>
        <v>0</v>
      </c>
      <c r="M166" s="124" t="n">
        <f aca="false">SUM(J$97:J166)</f>
        <v>0</v>
      </c>
      <c r="N166" s="124" t="n">
        <f aca="false">SUM(J$6:J166)</f>
        <v>-35909</v>
      </c>
      <c r="P166" s="148" t="n">
        <f aca="false">D166/P$3</f>
        <v>0</v>
      </c>
      <c r="Q166" s="124" t="n">
        <f aca="false">E166/P$3</f>
        <v>0</v>
      </c>
      <c r="R166" s="124" t="n">
        <f aca="false">F166/R$3</f>
        <v>0</v>
      </c>
      <c r="S166" s="126" t="n">
        <f aca="false">J166/$R$3</f>
        <v>0</v>
      </c>
      <c r="T166" s="126" t="n">
        <f aca="false">L166/$R$3</f>
        <v>0</v>
      </c>
      <c r="U166" s="126" t="n">
        <f aca="false">I166/$R$3</f>
        <v>0</v>
      </c>
      <c r="V166" s="126" t="n">
        <f aca="false">M166/$R$3</f>
        <v>0</v>
      </c>
      <c r="W166" s="126" t="n">
        <f aca="false">N166/$R$3</f>
        <v>-35.909</v>
      </c>
    </row>
    <row r="167" customFormat="false" ht="12.75" hidden="false" customHeight="false" outlineLevel="0" collapsed="false">
      <c r="A167" s="120" t="n">
        <f aca="false">A166+1</f>
        <v>37053</v>
      </c>
      <c r="B167" s="131" t="str">
        <f aca="false">INDEX('[4]Master Data'!$A$2:$B$8,MATCH(WEEKDAY('CRD Hedge'!A167,3),'[4]Master Data'!$A$2:$A$8,0),2)</f>
        <v>M</v>
      </c>
      <c r="D167" s="124" t="n">
        <v>0</v>
      </c>
      <c r="E167" s="124" t="n">
        <v>0</v>
      </c>
      <c r="F167" s="124" t="n">
        <v>0</v>
      </c>
      <c r="G167" s="124" t="n">
        <v>0</v>
      </c>
      <c r="I167" s="124" t="n">
        <f aca="false">IF(MONTH($A167)=MONTH($A166),IF(G167=0,I166,G167),G167)</f>
        <v>0</v>
      </c>
      <c r="J167" s="124" t="n">
        <f aca="false">IF(MONTH($A167)=MONTH($A166),SUM(I167-I166),I167)</f>
        <v>0</v>
      </c>
      <c r="K167" s="124" t="n">
        <f aca="false">IF(WEEKDAY(A167,3)&gt;4,0,(IF(A167&lt;K$2,0,IF(A167&lt;=K$3,1,0))))</f>
        <v>0</v>
      </c>
      <c r="L167" s="124" t="n">
        <f aca="false">J167*K167</f>
        <v>0</v>
      </c>
      <c r="M167" s="124" t="n">
        <f aca="false">SUM(J$97:J167)</f>
        <v>0</v>
      </c>
      <c r="N167" s="124" t="n">
        <f aca="false">SUM(J$6:J167)</f>
        <v>-35909</v>
      </c>
      <c r="P167" s="148" t="n">
        <f aca="false">D167/P$3</f>
        <v>0</v>
      </c>
      <c r="Q167" s="124" t="n">
        <f aca="false">E167/P$3</f>
        <v>0</v>
      </c>
      <c r="R167" s="124" t="n">
        <f aca="false">F167/R$3</f>
        <v>0</v>
      </c>
      <c r="S167" s="126" t="n">
        <f aca="false">J167/$R$3</f>
        <v>0</v>
      </c>
      <c r="T167" s="126" t="n">
        <f aca="false">L167/$R$3</f>
        <v>0</v>
      </c>
      <c r="U167" s="126" t="n">
        <f aca="false">I167/$R$3</f>
        <v>0</v>
      </c>
      <c r="V167" s="126" t="n">
        <f aca="false">M167/$R$3</f>
        <v>0</v>
      </c>
      <c r="W167" s="126" t="n">
        <f aca="false">N167/$R$3</f>
        <v>-35.909</v>
      </c>
    </row>
    <row r="168" customFormat="false" ht="12.75" hidden="false" customHeight="false" outlineLevel="0" collapsed="false">
      <c r="A168" s="120" t="n">
        <f aca="false">A167+1</f>
        <v>37054</v>
      </c>
      <c r="B168" s="131" t="str">
        <f aca="false">INDEX('[4]Master Data'!$A$2:$B$8,MATCH(WEEKDAY('CRD Hedge'!A168,3),'[4]Master Data'!$A$2:$A$8,0),2)</f>
        <v>T</v>
      </c>
      <c r="D168" s="124" t="n">
        <v>0</v>
      </c>
      <c r="E168" s="124" t="n">
        <v>0</v>
      </c>
      <c r="F168" s="124" t="n">
        <v>0</v>
      </c>
      <c r="G168" s="124" t="n">
        <v>0</v>
      </c>
      <c r="I168" s="124" t="n">
        <f aca="false">IF(MONTH($A168)=MONTH($A167),IF(G168=0,I167,G168),G168)</f>
        <v>0</v>
      </c>
      <c r="J168" s="124" t="n">
        <f aca="false">IF(MONTH($A168)=MONTH($A167),SUM(I168-I167),I168)</f>
        <v>0</v>
      </c>
      <c r="K168" s="124" t="n">
        <f aca="false">IF(WEEKDAY(A168,3)&gt;4,0,(IF(A168&lt;K$2,0,IF(A168&lt;=K$3,1,0))))</f>
        <v>0</v>
      </c>
      <c r="L168" s="124" t="n">
        <f aca="false">J168*K168</f>
        <v>0</v>
      </c>
      <c r="M168" s="124" t="n">
        <f aca="false">SUM(J$97:J168)</f>
        <v>0</v>
      </c>
      <c r="N168" s="124" t="n">
        <f aca="false">SUM(J$6:J168)</f>
        <v>-35909</v>
      </c>
      <c r="P168" s="148" t="n">
        <f aca="false">D168/P$3</f>
        <v>0</v>
      </c>
      <c r="Q168" s="124" t="n">
        <f aca="false">E168/P$3</f>
        <v>0</v>
      </c>
      <c r="R168" s="124" t="n">
        <f aca="false">F168/R$3</f>
        <v>0</v>
      </c>
      <c r="S168" s="126" t="n">
        <f aca="false">J168/$R$3</f>
        <v>0</v>
      </c>
      <c r="T168" s="126" t="n">
        <f aca="false">L168/$R$3</f>
        <v>0</v>
      </c>
      <c r="U168" s="126" t="n">
        <f aca="false">I168/$R$3</f>
        <v>0</v>
      </c>
      <c r="V168" s="126" t="n">
        <f aca="false">M168/$R$3</f>
        <v>0</v>
      </c>
      <c r="W168" s="126" t="n">
        <f aca="false">N168/$R$3</f>
        <v>-35.909</v>
      </c>
    </row>
    <row r="169" customFormat="false" ht="12.75" hidden="false" customHeight="false" outlineLevel="0" collapsed="false">
      <c r="A169" s="120" t="n">
        <f aca="false">A168+1</f>
        <v>37055</v>
      </c>
      <c r="B169" s="131" t="str">
        <f aca="false">INDEX('[4]Master Data'!$A$2:$B$8,MATCH(WEEKDAY('CRD Hedge'!A169,3),'[4]Master Data'!$A$2:$A$8,0),2)</f>
        <v>W</v>
      </c>
      <c r="D169" s="124" t="n">
        <v>0</v>
      </c>
      <c r="E169" s="124" t="n">
        <v>0</v>
      </c>
      <c r="F169" s="124" t="n">
        <v>0</v>
      </c>
      <c r="G169" s="124" t="n">
        <v>0</v>
      </c>
      <c r="I169" s="124" t="n">
        <f aca="false">IF(MONTH($A169)=MONTH($A168),IF(G169=0,I168,G169),G169)</f>
        <v>0</v>
      </c>
      <c r="J169" s="124" t="n">
        <f aca="false">IF(MONTH($A169)=MONTH($A168),SUM(I169-I168),I169)</f>
        <v>0</v>
      </c>
      <c r="K169" s="124" t="n">
        <f aca="false">IF(WEEKDAY(A169,3)&gt;4,0,(IF(A169&lt;K$2,0,IF(A169&lt;=K$3,1,0))))</f>
        <v>0</v>
      </c>
      <c r="L169" s="124" t="n">
        <f aca="false">J169*K169</f>
        <v>0</v>
      </c>
      <c r="M169" s="124" t="n">
        <f aca="false">SUM(J$97:J169)</f>
        <v>0</v>
      </c>
      <c r="N169" s="124" t="n">
        <f aca="false">SUM(J$6:J169)</f>
        <v>-35909</v>
      </c>
      <c r="P169" s="148" t="n">
        <f aca="false">D169/P$3</f>
        <v>0</v>
      </c>
      <c r="Q169" s="124" t="n">
        <f aca="false">E169/P$3</f>
        <v>0</v>
      </c>
      <c r="R169" s="124" t="n">
        <f aca="false">F169/R$3</f>
        <v>0</v>
      </c>
      <c r="S169" s="126" t="n">
        <f aca="false">J169/$R$3</f>
        <v>0</v>
      </c>
      <c r="T169" s="126" t="n">
        <f aca="false">L169/$R$3</f>
        <v>0</v>
      </c>
      <c r="U169" s="126" t="n">
        <f aca="false">I169/$R$3</f>
        <v>0</v>
      </c>
      <c r="V169" s="126" t="n">
        <f aca="false">M169/$R$3</f>
        <v>0</v>
      </c>
      <c r="W169" s="126" t="n">
        <f aca="false">N169/$R$3</f>
        <v>-35.909</v>
      </c>
    </row>
    <row r="170" customFormat="false" ht="12.75" hidden="false" customHeight="false" outlineLevel="0" collapsed="false">
      <c r="A170" s="120" t="n">
        <f aca="false">A169+1</f>
        <v>37056</v>
      </c>
      <c r="B170" s="131" t="str">
        <f aca="false">INDEX('[4]Master Data'!$A$2:$B$8,MATCH(WEEKDAY('CRD Hedge'!A170,3),'[4]Master Data'!$A$2:$A$8,0),2)</f>
        <v>Th</v>
      </c>
      <c r="D170" s="124" t="n">
        <v>0</v>
      </c>
      <c r="E170" s="124" t="n">
        <v>0</v>
      </c>
      <c r="F170" s="124" t="n">
        <v>0</v>
      </c>
      <c r="G170" s="124" t="n">
        <v>0</v>
      </c>
      <c r="I170" s="124" t="n">
        <f aca="false">IF(MONTH($A170)=MONTH($A169),IF(G170=0,I169,G170),G170)</f>
        <v>0</v>
      </c>
      <c r="J170" s="124" t="n">
        <f aca="false">IF(MONTH($A170)=MONTH($A169),SUM(I170-I169),I170)</f>
        <v>0</v>
      </c>
      <c r="K170" s="124" t="n">
        <f aca="false">IF(WEEKDAY(A170,3)&gt;4,0,(IF(A170&lt;K$2,0,IF(A170&lt;=K$3,1,0))))</f>
        <v>0</v>
      </c>
      <c r="L170" s="124" t="n">
        <f aca="false">J170*K170</f>
        <v>0</v>
      </c>
      <c r="M170" s="124" t="n">
        <f aca="false">SUM(J$97:J170)</f>
        <v>0</v>
      </c>
      <c r="N170" s="124" t="n">
        <f aca="false">SUM(J$6:J170)</f>
        <v>-35909</v>
      </c>
      <c r="P170" s="148" t="n">
        <f aca="false">D170/P$3</f>
        <v>0</v>
      </c>
      <c r="Q170" s="124" t="n">
        <f aca="false">E170/P$3</f>
        <v>0</v>
      </c>
      <c r="R170" s="124" t="n">
        <f aca="false">F170/R$3</f>
        <v>0</v>
      </c>
      <c r="S170" s="126" t="n">
        <f aca="false">J170/$R$3</f>
        <v>0</v>
      </c>
      <c r="T170" s="126" t="n">
        <f aca="false">L170/$R$3</f>
        <v>0</v>
      </c>
      <c r="U170" s="126" t="n">
        <f aca="false">I170/$R$3</f>
        <v>0</v>
      </c>
      <c r="V170" s="126" t="n">
        <f aca="false">M170/$R$3</f>
        <v>0</v>
      </c>
      <c r="W170" s="126" t="n">
        <f aca="false">N170/$R$3</f>
        <v>-35.909</v>
      </c>
    </row>
    <row r="171" customFormat="false" ht="12.75" hidden="false" customHeight="false" outlineLevel="0" collapsed="false">
      <c r="A171" s="120" t="n">
        <f aca="false">A170+1</f>
        <v>37057</v>
      </c>
      <c r="B171" s="131" t="str">
        <f aca="false">INDEX('[4]Master Data'!$A$2:$B$8,MATCH(WEEKDAY('CRD Hedge'!A171,3),'[4]Master Data'!$A$2:$A$8,0),2)</f>
        <v>F</v>
      </c>
      <c r="D171" s="124" t="n">
        <v>0</v>
      </c>
      <c r="E171" s="124" t="n">
        <v>0</v>
      </c>
      <c r="F171" s="124" t="n">
        <v>0</v>
      </c>
      <c r="G171" s="124" t="n">
        <v>0</v>
      </c>
      <c r="I171" s="124" t="n">
        <f aca="false">IF(MONTH($A171)=MONTH($A170),IF(G171=0,I170,G171),G171)</f>
        <v>0</v>
      </c>
      <c r="J171" s="124" t="n">
        <f aca="false">IF(MONTH($A171)=MONTH($A170),SUM(I171-I170),I171)</f>
        <v>0</v>
      </c>
      <c r="K171" s="124" t="n">
        <f aca="false">IF(WEEKDAY(A171,3)&gt;4,0,(IF(A171&lt;K$2,0,IF(A171&lt;=K$3,1,0))))</f>
        <v>0</v>
      </c>
      <c r="L171" s="124" t="n">
        <f aca="false">J171*K171</f>
        <v>0</v>
      </c>
      <c r="M171" s="124" t="n">
        <f aca="false">SUM(J$97:J171)</f>
        <v>0</v>
      </c>
      <c r="N171" s="124" t="n">
        <f aca="false">SUM(J$6:J171)</f>
        <v>-35909</v>
      </c>
      <c r="P171" s="148" t="n">
        <f aca="false">D171/P$3</f>
        <v>0</v>
      </c>
      <c r="Q171" s="124" t="n">
        <f aca="false">E171/P$3</f>
        <v>0</v>
      </c>
      <c r="R171" s="124" t="n">
        <f aca="false">F171/R$3</f>
        <v>0</v>
      </c>
      <c r="S171" s="126" t="n">
        <f aca="false">J171/$R$3</f>
        <v>0</v>
      </c>
      <c r="T171" s="126" t="n">
        <f aca="false">L171/$R$3</f>
        <v>0</v>
      </c>
      <c r="U171" s="126" t="n">
        <f aca="false">I171/$R$3</f>
        <v>0</v>
      </c>
      <c r="V171" s="126" t="n">
        <f aca="false">M171/$R$3</f>
        <v>0</v>
      </c>
      <c r="W171" s="126" t="n">
        <f aca="false">N171/$R$3</f>
        <v>-35.909</v>
      </c>
    </row>
    <row r="172" customFormat="false" ht="12.75" hidden="false" customHeight="false" outlineLevel="0" collapsed="false">
      <c r="A172" s="120" t="n">
        <f aca="false">A171+1</f>
        <v>37058</v>
      </c>
      <c r="B172" s="131" t="str">
        <f aca="false">INDEX('[4]Master Data'!$A$2:$B$8,MATCH(WEEKDAY('CRD Hedge'!A172,3),'[4]Master Data'!$A$2:$A$8,0),2)</f>
        <v>Sa</v>
      </c>
      <c r="D172" s="124" t="n">
        <v>0</v>
      </c>
      <c r="E172" s="124" t="n">
        <v>0</v>
      </c>
      <c r="F172" s="124" t="n">
        <v>0</v>
      </c>
      <c r="G172" s="124" t="n">
        <v>0</v>
      </c>
      <c r="I172" s="124" t="n">
        <f aca="false">IF(MONTH($A172)=MONTH($A171),IF(G172=0,I171,G172),G172)</f>
        <v>0</v>
      </c>
      <c r="J172" s="124" t="n">
        <f aca="false">IF(MONTH($A172)=MONTH($A171),SUM(I172-I171),I172)</f>
        <v>0</v>
      </c>
      <c r="K172" s="124" t="n">
        <f aca="false">IF(WEEKDAY(A172,3)&gt;4,0,(IF(A172&lt;K$2,0,IF(A172&lt;=K$3,1,0))))</f>
        <v>0</v>
      </c>
      <c r="L172" s="124" t="n">
        <f aca="false">J172*K172</f>
        <v>0</v>
      </c>
      <c r="M172" s="124" t="n">
        <f aca="false">SUM(J$97:J172)</f>
        <v>0</v>
      </c>
      <c r="N172" s="124" t="n">
        <f aca="false">SUM(J$6:J172)</f>
        <v>-35909</v>
      </c>
      <c r="P172" s="148" t="n">
        <f aca="false">D172/P$3</f>
        <v>0</v>
      </c>
      <c r="Q172" s="124" t="n">
        <f aca="false">E172/P$3</f>
        <v>0</v>
      </c>
      <c r="R172" s="124" t="n">
        <f aca="false">F172/R$3</f>
        <v>0</v>
      </c>
      <c r="S172" s="126" t="n">
        <f aca="false">J172/$R$3</f>
        <v>0</v>
      </c>
      <c r="T172" s="126" t="n">
        <f aca="false">L172/$R$3</f>
        <v>0</v>
      </c>
      <c r="U172" s="126" t="n">
        <f aca="false">I172/$R$3</f>
        <v>0</v>
      </c>
      <c r="V172" s="126" t="n">
        <f aca="false">M172/$R$3</f>
        <v>0</v>
      </c>
      <c r="W172" s="126" t="n">
        <f aca="false">N172/$R$3</f>
        <v>-35.909</v>
      </c>
    </row>
    <row r="173" customFormat="false" ht="12.75" hidden="false" customHeight="false" outlineLevel="0" collapsed="false">
      <c r="A173" s="120" t="n">
        <f aca="false">A172+1</f>
        <v>37059</v>
      </c>
      <c r="B173" s="131" t="str">
        <f aca="false">INDEX('[4]Master Data'!$A$2:$B$8,MATCH(WEEKDAY('CRD Hedge'!A173,3),'[4]Master Data'!$A$2:$A$8,0),2)</f>
        <v>Su</v>
      </c>
      <c r="D173" s="124" t="n">
        <v>0</v>
      </c>
      <c r="E173" s="124" t="n">
        <v>0</v>
      </c>
      <c r="F173" s="124" t="n">
        <v>0</v>
      </c>
      <c r="G173" s="124" t="n">
        <v>0</v>
      </c>
      <c r="I173" s="124" t="n">
        <f aca="false">IF(MONTH($A173)=MONTH($A172),IF(G173=0,I172,G173),G173)</f>
        <v>0</v>
      </c>
      <c r="J173" s="124" t="n">
        <f aca="false">IF(MONTH($A173)=MONTH($A172),SUM(I173-I172),I173)</f>
        <v>0</v>
      </c>
      <c r="K173" s="124" t="n">
        <f aca="false">IF(WEEKDAY(A173,3)&gt;4,0,(IF(A173&lt;K$2,0,IF(A173&lt;=K$3,1,0))))</f>
        <v>0</v>
      </c>
      <c r="L173" s="124" t="n">
        <f aca="false">J173*K173</f>
        <v>0</v>
      </c>
      <c r="M173" s="124" t="n">
        <f aca="false">SUM(J$97:J173)</f>
        <v>0</v>
      </c>
      <c r="N173" s="124" t="n">
        <f aca="false">SUM(J$6:J173)</f>
        <v>-35909</v>
      </c>
      <c r="P173" s="148" t="n">
        <f aca="false">D173/P$3</f>
        <v>0</v>
      </c>
      <c r="Q173" s="124" t="n">
        <f aca="false">E173/P$3</f>
        <v>0</v>
      </c>
      <c r="R173" s="124" t="n">
        <f aca="false">F173/R$3</f>
        <v>0</v>
      </c>
      <c r="S173" s="126" t="n">
        <f aca="false">J173/$R$3</f>
        <v>0</v>
      </c>
      <c r="T173" s="126" t="n">
        <f aca="false">L173/$R$3</f>
        <v>0</v>
      </c>
      <c r="U173" s="126" t="n">
        <f aca="false">I173/$R$3</f>
        <v>0</v>
      </c>
      <c r="V173" s="126" t="n">
        <f aca="false">M173/$R$3</f>
        <v>0</v>
      </c>
      <c r="W173" s="126" t="n">
        <f aca="false">N173/$R$3</f>
        <v>-35.909</v>
      </c>
    </row>
    <row r="174" customFormat="false" ht="12.75" hidden="false" customHeight="false" outlineLevel="0" collapsed="false">
      <c r="A174" s="120" t="n">
        <f aca="false">A173+1</f>
        <v>37060</v>
      </c>
      <c r="B174" s="131" t="str">
        <f aca="false">INDEX('[4]Master Data'!$A$2:$B$8,MATCH(WEEKDAY('CRD Hedge'!A174,3),'[4]Master Data'!$A$2:$A$8,0),2)</f>
        <v>M</v>
      </c>
      <c r="D174" s="124" t="n">
        <v>0</v>
      </c>
      <c r="E174" s="124" t="n">
        <v>0</v>
      </c>
      <c r="F174" s="124" t="n">
        <v>0</v>
      </c>
      <c r="G174" s="124" t="n">
        <v>0</v>
      </c>
      <c r="I174" s="124" t="n">
        <f aca="false">IF(MONTH($A174)=MONTH($A173),IF(G174=0,I173,G174),G174)</f>
        <v>0</v>
      </c>
      <c r="J174" s="124" t="n">
        <f aca="false">IF(MONTH($A174)=MONTH($A173),SUM(I174-I173),I174)</f>
        <v>0</v>
      </c>
      <c r="K174" s="124" t="n">
        <f aca="false">IF(WEEKDAY(A174,3)&gt;4,0,(IF(A174&lt;K$2,0,IF(A174&lt;=K$3,1,0))))</f>
        <v>0</v>
      </c>
      <c r="L174" s="124" t="n">
        <f aca="false">J174*K174</f>
        <v>0</v>
      </c>
      <c r="M174" s="124" t="n">
        <f aca="false">SUM(J$97:J174)</f>
        <v>0</v>
      </c>
      <c r="N174" s="124" t="n">
        <f aca="false">SUM(J$6:J174)</f>
        <v>-35909</v>
      </c>
      <c r="P174" s="148" t="n">
        <f aca="false">D174/P$3</f>
        <v>0</v>
      </c>
      <c r="Q174" s="124" t="n">
        <f aca="false">E174/P$3</f>
        <v>0</v>
      </c>
      <c r="R174" s="124" t="n">
        <f aca="false">F174/R$3</f>
        <v>0</v>
      </c>
      <c r="S174" s="126" t="n">
        <f aca="false">J174/$R$3</f>
        <v>0</v>
      </c>
      <c r="T174" s="126" t="n">
        <f aca="false">L174/$R$3</f>
        <v>0</v>
      </c>
      <c r="U174" s="126" t="n">
        <f aca="false">I174/$R$3</f>
        <v>0</v>
      </c>
      <c r="V174" s="126" t="n">
        <f aca="false">M174/$R$3</f>
        <v>0</v>
      </c>
      <c r="W174" s="126" t="n">
        <f aca="false">N174/$R$3</f>
        <v>-35.909</v>
      </c>
    </row>
    <row r="175" customFormat="false" ht="12.75" hidden="false" customHeight="false" outlineLevel="0" collapsed="false">
      <c r="A175" s="120" t="n">
        <f aca="false">A174+1</f>
        <v>37061</v>
      </c>
      <c r="B175" s="131" t="str">
        <f aca="false">INDEX('[4]Master Data'!$A$2:$B$8,MATCH(WEEKDAY('CRD Hedge'!A175,3),'[4]Master Data'!$A$2:$A$8,0),2)</f>
        <v>T</v>
      </c>
      <c r="D175" s="124" t="n">
        <v>0</v>
      </c>
      <c r="E175" s="124" t="n">
        <v>0</v>
      </c>
      <c r="F175" s="124" t="n">
        <v>0</v>
      </c>
      <c r="G175" s="124" t="n">
        <v>0</v>
      </c>
      <c r="I175" s="124" t="n">
        <f aca="false">IF(MONTH($A175)=MONTH($A174),IF(G175=0,I174,G175),G175)</f>
        <v>0</v>
      </c>
      <c r="J175" s="124" t="n">
        <f aca="false">IF(MONTH($A175)=MONTH($A174),SUM(I175-I174),I175)</f>
        <v>0</v>
      </c>
      <c r="K175" s="124" t="n">
        <f aca="false">IF(WEEKDAY(A175,3)&gt;4,0,(IF(A175&lt;K$2,0,IF(A175&lt;=K$3,1,0))))</f>
        <v>0</v>
      </c>
      <c r="L175" s="124" t="n">
        <f aca="false">J175*K175</f>
        <v>0</v>
      </c>
      <c r="M175" s="124" t="n">
        <f aca="false">SUM(J$97:J175)</f>
        <v>0</v>
      </c>
      <c r="N175" s="124" t="n">
        <f aca="false">SUM(J$6:J175)</f>
        <v>-35909</v>
      </c>
      <c r="P175" s="148" t="n">
        <f aca="false">D175/P$3</f>
        <v>0</v>
      </c>
      <c r="Q175" s="124" t="n">
        <f aca="false">E175/P$3</f>
        <v>0</v>
      </c>
      <c r="R175" s="124" t="n">
        <f aca="false">F175/R$3</f>
        <v>0</v>
      </c>
      <c r="S175" s="126" t="n">
        <f aca="false">J175/$R$3</f>
        <v>0</v>
      </c>
      <c r="T175" s="126" t="n">
        <f aca="false">L175/$R$3</f>
        <v>0</v>
      </c>
      <c r="U175" s="126" t="n">
        <f aca="false">I175/$R$3</f>
        <v>0</v>
      </c>
      <c r="V175" s="126" t="n">
        <f aca="false">M175/$R$3</f>
        <v>0</v>
      </c>
      <c r="W175" s="126" t="n">
        <f aca="false">N175/$R$3</f>
        <v>-35.909</v>
      </c>
    </row>
    <row r="176" customFormat="false" ht="12.75" hidden="false" customHeight="false" outlineLevel="0" collapsed="false">
      <c r="A176" s="120" t="n">
        <f aca="false">A175+1</f>
        <v>37062</v>
      </c>
      <c r="B176" s="131" t="str">
        <f aca="false">INDEX('[4]Master Data'!$A$2:$B$8,MATCH(WEEKDAY('CRD Hedge'!A176,3),'[4]Master Data'!$A$2:$A$8,0),2)</f>
        <v>W</v>
      </c>
      <c r="D176" s="124" t="n">
        <v>0</v>
      </c>
      <c r="E176" s="124" t="n">
        <v>0</v>
      </c>
      <c r="F176" s="124" t="n">
        <v>0</v>
      </c>
      <c r="G176" s="124" t="n">
        <v>0</v>
      </c>
      <c r="I176" s="124" t="n">
        <f aca="false">IF(MONTH($A176)=MONTH($A175),IF(G176=0,I175,G176),G176)</f>
        <v>0</v>
      </c>
      <c r="J176" s="124" t="n">
        <f aca="false">IF(MONTH($A176)=MONTH($A175),SUM(I176-I175),I176)</f>
        <v>0</v>
      </c>
      <c r="K176" s="124" t="n">
        <f aca="false">IF(WEEKDAY(A176,3)&gt;4,0,(IF(A176&lt;K$2,0,IF(A176&lt;=K$3,1,0))))</f>
        <v>0</v>
      </c>
      <c r="L176" s="124" t="n">
        <f aca="false">J176*K176</f>
        <v>0</v>
      </c>
      <c r="M176" s="124" t="n">
        <f aca="false">SUM(J$97:J176)</f>
        <v>0</v>
      </c>
      <c r="N176" s="124" t="n">
        <f aca="false">SUM(J$6:J176)</f>
        <v>-35909</v>
      </c>
      <c r="P176" s="148" t="n">
        <f aca="false">D176/P$3</f>
        <v>0</v>
      </c>
      <c r="Q176" s="124" t="n">
        <f aca="false">E176/P$3</f>
        <v>0</v>
      </c>
      <c r="R176" s="124" t="n">
        <f aca="false">F176/R$3</f>
        <v>0</v>
      </c>
      <c r="S176" s="126" t="n">
        <f aca="false">J176/$R$3</f>
        <v>0</v>
      </c>
      <c r="T176" s="126" t="n">
        <f aca="false">L176/$R$3</f>
        <v>0</v>
      </c>
      <c r="U176" s="126" t="n">
        <f aca="false">I176/$R$3</f>
        <v>0</v>
      </c>
      <c r="V176" s="126" t="n">
        <f aca="false">M176/$R$3</f>
        <v>0</v>
      </c>
      <c r="W176" s="126" t="n">
        <f aca="false">N176/$R$3</f>
        <v>-35.909</v>
      </c>
    </row>
    <row r="177" customFormat="false" ht="12.75" hidden="false" customHeight="false" outlineLevel="0" collapsed="false">
      <c r="A177" s="120" t="n">
        <f aca="false">A176+1</f>
        <v>37063</v>
      </c>
      <c r="B177" s="131" t="str">
        <f aca="false">INDEX('[4]Master Data'!$A$2:$B$8,MATCH(WEEKDAY('CRD Hedge'!A177,3),'[4]Master Data'!$A$2:$A$8,0),2)</f>
        <v>Th</v>
      </c>
      <c r="D177" s="124" t="n">
        <v>0</v>
      </c>
      <c r="E177" s="124" t="n">
        <v>0</v>
      </c>
      <c r="F177" s="124" t="n">
        <v>0</v>
      </c>
      <c r="G177" s="124" t="n">
        <v>0</v>
      </c>
      <c r="I177" s="124" t="n">
        <f aca="false">IF(MONTH($A177)=MONTH($A176),IF(G177=0,I176,G177),G177)</f>
        <v>0</v>
      </c>
      <c r="J177" s="124" t="n">
        <f aca="false">IF(MONTH($A177)=MONTH($A176),SUM(I177-I176),I177)</f>
        <v>0</v>
      </c>
      <c r="K177" s="124" t="n">
        <f aca="false">IF(WEEKDAY(A177,3)&gt;4,0,(IF(A177&lt;K$2,0,IF(A177&lt;=K$3,1,0))))</f>
        <v>0</v>
      </c>
      <c r="L177" s="124" t="n">
        <f aca="false">J177*K177</f>
        <v>0</v>
      </c>
      <c r="M177" s="124" t="n">
        <f aca="false">SUM(J$97:J177)</f>
        <v>0</v>
      </c>
      <c r="N177" s="124" t="n">
        <f aca="false">SUM(J$6:J177)</f>
        <v>-35909</v>
      </c>
      <c r="P177" s="148" t="n">
        <f aca="false">D177/P$3</f>
        <v>0</v>
      </c>
      <c r="Q177" s="124" t="n">
        <f aca="false">E177/P$3</f>
        <v>0</v>
      </c>
      <c r="R177" s="124" t="n">
        <f aca="false">F177/R$3</f>
        <v>0</v>
      </c>
      <c r="S177" s="126" t="n">
        <f aca="false">J177/$R$3</f>
        <v>0</v>
      </c>
      <c r="T177" s="126" t="n">
        <f aca="false">L177/$R$3</f>
        <v>0</v>
      </c>
      <c r="U177" s="126" t="n">
        <f aca="false">I177/$R$3</f>
        <v>0</v>
      </c>
      <c r="V177" s="126" t="n">
        <f aca="false">M177/$R$3</f>
        <v>0</v>
      </c>
      <c r="W177" s="126" t="n">
        <f aca="false">N177/$R$3</f>
        <v>-35.909</v>
      </c>
    </row>
    <row r="178" customFormat="false" ht="12.75" hidden="false" customHeight="false" outlineLevel="0" collapsed="false">
      <c r="A178" s="120" t="n">
        <f aca="false">A177+1</f>
        <v>37064</v>
      </c>
      <c r="B178" s="131" t="str">
        <f aca="false">INDEX('[4]Master Data'!$A$2:$B$8,MATCH(WEEKDAY('CRD Hedge'!A178,3),'[4]Master Data'!$A$2:$A$8,0),2)</f>
        <v>F</v>
      </c>
      <c r="D178" s="124" t="n">
        <v>0</v>
      </c>
      <c r="E178" s="124" t="n">
        <v>0</v>
      </c>
      <c r="F178" s="124" t="n">
        <v>0</v>
      </c>
      <c r="G178" s="124" t="n">
        <v>0</v>
      </c>
      <c r="I178" s="124" t="n">
        <f aca="false">IF(MONTH($A178)=MONTH($A177),IF(G178=0,I177,G178),G178)</f>
        <v>0</v>
      </c>
      <c r="J178" s="124" t="n">
        <f aca="false">IF(MONTH($A178)=MONTH($A177),SUM(I178-I177),I178)</f>
        <v>0</v>
      </c>
      <c r="K178" s="124" t="n">
        <f aca="false">IF(WEEKDAY(A178,3)&gt;4,0,(IF(A178&lt;K$2,0,IF(A178&lt;=K$3,1,0))))</f>
        <v>0</v>
      </c>
      <c r="L178" s="124" t="n">
        <f aca="false">J178*K178</f>
        <v>0</v>
      </c>
      <c r="M178" s="124" t="n">
        <f aca="false">SUM(J$97:J178)</f>
        <v>0</v>
      </c>
      <c r="N178" s="124" t="n">
        <f aca="false">SUM(J$6:J178)</f>
        <v>-35909</v>
      </c>
      <c r="P178" s="148" t="n">
        <f aca="false">D178/P$3</f>
        <v>0</v>
      </c>
      <c r="Q178" s="124" t="n">
        <f aca="false">E178/P$3</f>
        <v>0</v>
      </c>
      <c r="R178" s="124" t="n">
        <f aca="false">F178/R$3</f>
        <v>0</v>
      </c>
      <c r="S178" s="126" t="n">
        <f aca="false">J178/$R$3</f>
        <v>0</v>
      </c>
      <c r="T178" s="126" t="n">
        <f aca="false">L178/$R$3</f>
        <v>0</v>
      </c>
      <c r="U178" s="126" t="n">
        <f aca="false">I178/$R$3</f>
        <v>0</v>
      </c>
      <c r="V178" s="126" t="n">
        <f aca="false">M178/$R$3</f>
        <v>0</v>
      </c>
      <c r="W178" s="126" t="n">
        <f aca="false">N178/$R$3</f>
        <v>-35.909</v>
      </c>
    </row>
    <row r="179" customFormat="false" ht="12.75" hidden="false" customHeight="false" outlineLevel="0" collapsed="false">
      <c r="A179" s="120" t="n">
        <f aca="false">A178+1</f>
        <v>37065</v>
      </c>
      <c r="B179" s="131" t="str">
        <f aca="false">INDEX('[4]Master Data'!$A$2:$B$8,MATCH(WEEKDAY('CRD Hedge'!A179,3),'[4]Master Data'!$A$2:$A$8,0),2)</f>
        <v>Sa</v>
      </c>
      <c r="D179" s="124" t="n">
        <v>0</v>
      </c>
      <c r="E179" s="124" t="n">
        <v>0</v>
      </c>
      <c r="F179" s="124" t="n">
        <v>0</v>
      </c>
      <c r="G179" s="124" t="n">
        <v>0</v>
      </c>
      <c r="I179" s="124" t="n">
        <f aca="false">IF(MONTH($A179)=MONTH($A178),IF(G179=0,I178,G179),G179)</f>
        <v>0</v>
      </c>
      <c r="J179" s="124" t="n">
        <f aca="false">IF(MONTH($A179)=MONTH($A178),SUM(I179-I178),I179)</f>
        <v>0</v>
      </c>
      <c r="K179" s="124" t="n">
        <f aca="false">IF(WEEKDAY(A179,3)&gt;4,0,(IF(A179&lt;K$2,0,IF(A179&lt;=K$3,1,0))))</f>
        <v>0</v>
      </c>
      <c r="L179" s="124" t="n">
        <f aca="false">J179*K179</f>
        <v>0</v>
      </c>
      <c r="M179" s="124" t="n">
        <f aca="false">SUM(J$97:J179)</f>
        <v>0</v>
      </c>
      <c r="N179" s="124" t="n">
        <f aca="false">SUM(J$6:J179)</f>
        <v>-35909</v>
      </c>
      <c r="P179" s="148" t="n">
        <f aca="false">D179/P$3</f>
        <v>0</v>
      </c>
      <c r="Q179" s="124" t="n">
        <f aca="false">E179/P$3</f>
        <v>0</v>
      </c>
      <c r="R179" s="124" t="n">
        <f aca="false">F179/R$3</f>
        <v>0</v>
      </c>
      <c r="S179" s="126" t="n">
        <f aca="false">J179/$R$3</f>
        <v>0</v>
      </c>
      <c r="T179" s="126" t="n">
        <f aca="false">L179/$R$3</f>
        <v>0</v>
      </c>
      <c r="U179" s="126" t="n">
        <f aca="false">I179/$R$3</f>
        <v>0</v>
      </c>
      <c r="V179" s="126" t="n">
        <f aca="false">M179/$R$3</f>
        <v>0</v>
      </c>
      <c r="W179" s="126" t="n">
        <f aca="false">N179/$R$3</f>
        <v>-35.909</v>
      </c>
    </row>
    <row r="180" customFormat="false" ht="12.75" hidden="false" customHeight="false" outlineLevel="0" collapsed="false">
      <c r="A180" s="120" t="n">
        <f aca="false">A179+1</f>
        <v>37066</v>
      </c>
      <c r="B180" s="131" t="str">
        <f aca="false">INDEX('[4]Master Data'!$A$2:$B$8,MATCH(WEEKDAY('CRD Hedge'!A180,3),'[4]Master Data'!$A$2:$A$8,0),2)</f>
        <v>Su</v>
      </c>
      <c r="D180" s="124" t="n">
        <v>0</v>
      </c>
      <c r="E180" s="124" t="n">
        <v>0</v>
      </c>
      <c r="F180" s="124" t="n">
        <v>0</v>
      </c>
      <c r="G180" s="124" t="n">
        <v>0</v>
      </c>
      <c r="I180" s="124" t="n">
        <f aca="false">IF(MONTH($A180)=MONTH($A179),IF(G180=0,I179,G180),G180)</f>
        <v>0</v>
      </c>
      <c r="J180" s="124" t="n">
        <f aca="false">IF(MONTH($A180)=MONTH($A179),SUM(I180-I179),I180)</f>
        <v>0</v>
      </c>
      <c r="K180" s="124" t="n">
        <f aca="false">IF(WEEKDAY(A180,3)&gt;4,0,(IF(A180&lt;K$2,0,IF(A180&lt;=K$3,1,0))))</f>
        <v>0</v>
      </c>
      <c r="L180" s="124" t="n">
        <f aca="false">J180*K180</f>
        <v>0</v>
      </c>
      <c r="M180" s="124" t="n">
        <f aca="false">SUM(J$97:J180)</f>
        <v>0</v>
      </c>
      <c r="N180" s="124" t="n">
        <f aca="false">SUM(J$6:J180)</f>
        <v>-35909</v>
      </c>
      <c r="P180" s="148" t="n">
        <f aca="false">D180/P$3</f>
        <v>0</v>
      </c>
      <c r="Q180" s="124" t="n">
        <f aca="false">E180/P$3</f>
        <v>0</v>
      </c>
      <c r="R180" s="124" t="n">
        <f aca="false">F180/R$3</f>
        <v>0</v>
      </c>
      <c r="S180" s="126" t="n">
        <f aca="false">J180/$R$3</f>
        <v>0</v>
      </c>
      <c r="T180" s="126" t="n">
        <f aca="false">L180/$R$3</f>
        <v>0</v>
      </c>
      <c r="U180" s="126" t="n">
        <f aca="false">I180/$R$3</f>
        <v>0</v>
      </c>
      <c r="V180" s="126" t="n">
        <f aca="false">M180/$R$3</f>
        <v>0</v>
      </c>
      <c r="W180" s="126" t="n">
        <f aca="false">N180/$R$3</f>
        <v>-35.909</v>
      </c>
    </row>
    <row r="181" customFormat="false" ht="12.75" hidden="false" customHeight="false" outlineLevel="0" collapsed="false">
      <c r="A181" s="120" t="n">
        <f aca="false">A180+1</f>
        <v>37067</v>
      </c>
      <c r="B181" s="131" t="str">
        <f aca="false">INDEX('[4]Master Data'!$A$2:$B$8,MATCH(WEEKDAY('CRD Hedge'!A181,3),'[4]Master Data'!$A$2:$A$8,0),2)</f>
        <v>M</v>
      </c>
      <c r="D181" s="124" t="n">
        <v>0</v>
      </c>
      <c r="E181" s="124" t="n">
        <v>0</v>
      </c>
      <c r="F181" s="124" t="n">
        <v>0</v>
      </c>
      <c r="G181" s="124" t="n">
        <v>0</v>
      </c>
      <c r="I181" s="124" t="n">
        <f aca="false">IF(MONTH($A181)=MONTH($A180),IF(G181=0,I180,G181),G181)</f>
        <v>0</v>
      </c>
      <c r="J181" s="124" t="n">
        <f aca="false">IF(MONTH($A181)=MONTH($A180),SUM(I181-I180),I181)</f>
        <v>0</v>
      </c>
      <c r="K181" s="124" t="n">
        <f aca="false">IF(WEEKDAY(A181,3)&gt;4,0,(IF(A181&lt;K$2,0,IF(A181&lt;=K$3,1,0))))</f>
        <v>0</v>
      </c>
      <c r="L181" s="124" t="n">
        <f aca="false">J181*K181</f>
        <v>0</v>
      </c>
      <c r="M181" s="124" t="n">
        <f aca="false">SUM(J$97:J181)</f>
        <v>0</v>
      </c>
      <c r="N181" s="124" t="n">
        <f aca="false">SUM(J$6:J181)</f>
        <v>-35909</v>
      </c>
      <c r="P181" s="148" t="n">
        <f aca="false">D181/P$3</f>
        <v>0</v>
      </c>
      <c r="Q181" s="124" t="n">
        <f aca="false">E181/P$3</f>
        <v>0</v>
      </c>
      <c r="R181" s="124" t="n">
        <f aca="false">F181/R$3</f>
        <v>0</v>
      </c>
      <c r="S181" s="126" t="n">
        <f aca="false">J181/$R$3</f>
        <v>0</v>
      </c>
      <c r="T181" s="126" t="n">
        <f aca="false">L181/$R$3</f>
        <v>0</v>
      </c>
      <c r="U181" s="126" t="n">
        <f aca="false">I181/$R$3</f>
        <v>0</v>
      </c>
      <c r="V181" s="126" t="n">
        <f aca="false">M181/$R$3</f>
        <v>0</v>
      </c>
      <c r="W181" s="126" t="n">
        <f aca="false">N181/$R$3</f>
        <v>-35.909</v>
      </c>
    </row>
    <row r="182" customFormat="false" ht="12.75" hidden="false" customHeight="false" outlineLevel="0" collapsed="false">
      <c r="A182" s="120" t="n">
        <f aca="false">A181+1</f>
        <v>37068</v>
      </c>
      <c r="B182" s="131" t="str">
        <f aca="false">INDEX('[4]Master Data'!$A$2:$B$8,MATCH(WEEKDAY('CRD Hedge'!A182,3),'[4]Master Data'!$A$2:$A$8,0),2)</f>
        <v>T</v>
      </c>
      <c r="D182" s="124" t="n">
        <v>0</v>
      </c>
      <c r="E182" s="124" t="n">
        <v>0</v>
      </c>
      <c r="F182" s="124" t="n">
        <v>0</v>
      </c>
      <c r="G182" s="124" t="n">
        <v>0</v>
      </c>
      <c r="I182" s="124" t="n">
        <f aca="false">IF(MONTH($A182)=MONTH($A181),IF(G182=0,I181,G182),G182)</f>
        <v>0</v>
      </c>
      <c r="J182" s="124" t="n">
        <f aca="false">IF(MONTH($A182)=MONTH($A181),SUM(I182-I181),I182)</f>
        <v>0</v>
      </c>
      <c r="K182" s="124" t="n">
        <f aca="false">IF(WEEKDAY(A182,3)&gt;4,0,(IF(A182&lt;K$2,0,IF(A182&lt;=K$3,1,0))))</f>
        <v>0</v>
      </c>
      <c r="L182" s="124" t="n">
        <f aca="false">J182*K182</f>
        <v>0</v>
      </c>
      <c r="M182" s="124" t="n">
        <f aca="false">SUM(J$97:J182)</f>
        <v>0</v>
      </c>
      <c r="N182" s="124" t="n">
        <f aca="false">SUM(J$6:J182)</f>
        <v>-35909</v>
      </c>
      <c r="P182" s="148" t="n">
        <f aca="false">D182/P$3</f>
        <v>0</v>
      </c>
      <c r="Q182" s="124" t="n">
        <f aca="false">E182/P$3</f>
        <v>0</v>
      </c>
      <c r="R182" s="124" t="n">
        <f aca="false">F182/R$3</f>
        <v>0</v>
      </c>
      <c r="S182" s="126" t="n">
        <f aca="false">J182/$R$3</f>
        <v>0</v>
      </c>
      <c r="T182" s="126" t="n">
        <f aca="false">L182/$R$3</f>
        <v>0</v>
      </c>
      <c r="U182" s="126" t="n">
        <f aca="false">I182/$R$3</f>
        <v>0</v>
      </c>
      <c r="V182" s="126" t="n">
        <f aca="false">M182/$R$3</f>
        <v>0</v>
      </c>
      <c r="W182" s="126" t="n">
        <f aca="false">N182/$R$3</f>
        <v>-35.909</v>
      </c>
    </row>
    <row r="183" customFormat="false" ht="12.75" hidden="false" customHeight="false" outlineLevel="0" collapsed="false">
      <c r="A183" s="120" t="n">
        <f aca="false">A182+1</f>
        <v>37069</v>
      </c>
      <c r="B183" s="131" t="str">
        <f aca="false">INDEX('[4]Master Data'!$A$2:$B$8,MATCH(WEEKDAY('CRD Hedge'!A183,3),'[4]Master Data'!$A$2:$A$8,0),2)</f>
        <v>W</v>
      </c>
      <c r="D183" s="124" t="n">
        <v>0</v>
      </c>
      <c r="E183" s="124" t="n">
        <v>0</v>
      </c>
      <c r="F183" s="124" t="n">
        <v>0</v>
      </c>
      <c r="G183" s="124" t="n">
        <v>0</v>
      </c>
      <c r="I183" s="124" t="n">
        <f aca="false">IF(MONTH($A183)=MONTH($A182),IF(G183=0,I182,G183),G183)</f>
        <v>0</v>
      </c>
      <c r="J183" s="124" t="n">
        <f aca="false">IF(MONTH($A183)=MONTH($A182),SUM(I183-I182),I183)</f>
        <v>0</v>
      </c>
      <c r="K183" s="124" t="n">
        <f aca="false">IF(WEEKDAY(A183,3)&gt;4,0,(IF(A183&lt;K$2,0,IF(A183&lt;=K$3,1,0))))</f>
        <v>0</v>
      </c>
      <c r="L183" s="124" t="n">
        <f aca="false">J183*K183</f>
        <v>0</v>
      </c>
      <c r="M183" s="124" t="n">
        <f aca="false">SUM(J$97:J183)</f>
        <v>0</v>
      </c>
      <c r="N183" s="124" t="n">
        <f aca="false">SUM(J$6:J183)</f>
        <v>-35909</v>
      </c>
      <c r="P183" s="148" t="n">
        <f aca="false">D183/P$3</f>
        <v>0</v>
      </c>
      <c r="Q183" s="124" t="n">
        <f aca="false">E183/P$3</f>
        <v>0</v>
      </c>
      <c r="R183" s="124" t="n">
        <f aca="false">F183/R$3</f>
        <v>0</v>
      </c>
      <c r="S183" s="126" t="n">
        <f aca="false">J183/$R$3</f>
        <v>0</v>
      </c>
      <c r="T183" s="126" t="n">
        <f aca="false">L183/$R$3</f>
        <v>0</v>
      </c>
      <c r="U183" s="126" t="n">
        <f aca="false">I183/$R$3</f>
        <v>0</v>
      </c>
      <c r="V183" s="126" t="n">
        <f aca="false">M183/$R$3</f>
        <v>0</v>
      </c>
      <c r="W183" s="126" t="n">
        <f aca="false">N183/$R$3</f>
        <v>-35.909</v>
      </c>
    </row>
    <row r="184" customFormat="false" ht="12.75" hidden="false" customHeight="false" outlineLevel="0" collapsed="false">
      <c r="A184" s="120" t="n">
        <f aca="false">A183+1</f>
        <v>37070</v>
      </c>
      <c r="B184" s="131" t="str">
        <f aca="false">INDEX('[4]Master Data'!$A$2:$B$8,MATCH(WEEKDAY('CRD Hedge'!A184,3),'[4]Master Data'!$A$2:$A$8,0),2)</f>
        <v>Th</v>
      </c>
      <c r="D184" s="124" t="n">
        <v>0</v>
      </c>
      <c r="E184" s="124" t="n">
        <v>0</v>
      </c>
      <c r="F184" s="124" t="n">
        <v>0</v>
      </c>
      <c r="G184" s="124" t="n">
        <v>0</v>
      </c>
      <c r="I184" s="124" t="n">
        <f aca="false">IF(MONTH($A184)=MONTH($A183),IF(G184=0,I183,G184),G184)</f>
        <v>0</v>
      </c>
      <c r="J184" s="124" t="n">
        <f aca="false">IF(MONTH($A184)=MONTH($A183),SUM(I184-I183),I184)</f>
        <v>0</v>
      </c>
      <c r="K184" s="124" t="n">
        <f aca="false">IF(WEEKDAY(A184,3)&gt;4,0,(IF(A184&lt;K$2,0,IF(A184&lt;=K$3,1,0))))</f>
        <v>0</v>
      </c>
      <c r="L184" s="124" t="n">
        <f aca="false">J184*K184</f>
        <v>0</v>
      </c>
      <c r="M184" s="124" t="n">
        <f aca="false">SUM(J$97:J184)</f>
        <v>0</v>
      </c>
      <c r="N184" s="124" t="n">
        <f aca="false">SUM(J$6:J184)</f>
        <v>-35909</v>
      </c>
      <c r="P184" s="148" t="n">
        <f aca="false">D184/P$3</f>
        <v>0</v>
      </c>
      <c r="Q184" s="124" t="n">
        <f aca="false">E184/P$3</f>
        <v>0</v>
      </c>
      <c r="R184" s="124" t="n">
        <f aca="false">F184/R$3</f>
        <v>0</v>
      </c>
      <c r="S184" s="126" t="n">
        <f aca="false">J184/$R$3</f>
        <v>0</v>
      </c>
      <c r="T184" s="126" t="n">
        <f aca="false">L184/$R$3</f>
        <v>0</v>
      </c>
      <c r="U184" s="126" t="n">
        <f aca="false">I184/$R$3</f>
        <v>0</v>
      </c>
      <c r="V184" s="126" t="n">
        <f aca="false">M184/$R$3</f>
        <v>0</v>
      </c>
      <c r="W184" s="126" t="n">
        <f aca="false">N184/$R$3</f>
        <v>-35.909</v>
      </c>
    </row>
    <row r="185" customFormat="false" ht="12.75" hidden="false" customHeight="false" outlineLevel="0" collapsed="false">
      <c r="A185" s="120" t="n">
        <f aca="false">A184+1</f>
        <v>37071</v>
      </c>
      <c r="B185" s="131" t="str">
        <f aca="false">INDEX('[4]Master Data'!$A$2:$B$8,MATCH(WEEKDAY('CRD Hedge'!A185,3),'[4]Master Data'!$A$2:$A$8,0),2)</f>
        <v>F</v>
      </c>
      <c r="D185" s="124" t="n">
        <v>0</v>
      </c>
      <c r="E185" s="124" t="n">
        <v>0</v>
      </c>
      <c r="F185" s="124" t="n">
        <v>0</v>
      </c>
      <c r="G185" s="124" t="n">
        <v>0</v>
      </c>
      <c r="I185" s="124" t="n">
        <f aca="false">IF(MONTH($A185)=MONTH($A184),IF(G185=0,I184,G185),G185)</f>
        <v>0</v>
      </c>
      <c r="J185" s="124" t="n">
        <f aca="false">IF(MONTH($A185)=MONTH($A184),SUM(I185-I184),I185)</f>
        <v>0</v>
      </c>
      <c r="K185" s="124" t="n">
        <f aca="false">IF(WEEKDAY(A185,3)&gt;4,0,(IF(A185&lt;K$2,0,IF(A185&lt;=K$3,1,0))))</f>
        <v>0</v>
      </c>
      <c r="L185" s="124" t="n">
        <f aca="false">J185*K185</f>
        <v>0</v>
      </c>
      <c r="M185" s="124" t="n">
        <f aca="false">SUM(J$97:J185)</f>
        <v>0</v>
      </c>
      <c r="N185" s="124" t="n">
        <f aca="false">SUM(J$6:J185)</f>
        <v>-35909</v>
      </c>
      <c r="P185" s="148" t="n">
        <f aca="false">D185/P$3</f>
        <v>0</v>
      </c>
      <c r="Q185" s="124" t="n">
        <f aca="false">E185/P$3</f>
        <v>0</v>
      </c>
      <c r="R185" s="124" t="n">
        <f aca="false">F185/R$3</f>
        <v>0</v>
      </c>
      <c r="S185" s="126" t="n">
        <f aca="false">J185/$R$3</f>
        <v>0</v>
      </c>
      <c r="T185" s="126" t="n">
        <f aca="false">L185/$R$3</f>
        <v>0</v>
      </c>
      <c r="U185" s="126" t="n">
        <f aca="false">I185/$R$3</f>
        <v>0</v>
      </c>
      <c r="V185" s="126" t="n">
        <f aca="false">M185/$R$3</f>
        <v>0</v>
      </c>
      <c r="W185" s="126" t="n">
        <f aca="false">N185/$R$3</f>
        <v>-35.909</v>
      </c>
    </row>
    <row r="186" customFormat="false" ht="12.75" hidden="false" customHeight="false" outlineLevel="0" collapsed="false">
      <c r="A186" s="120" t="n">
        <f aca="false">A185+1</f>
        <v>37072</v>
      </c>
      <c r="B186" s="131" t="str">
        <f aca="false">INDEX('[4]Master Data'!$A$2:$B$8,MATCH(WEEKDAY('CRD Hedge'!A186,3),'[4]Master Data'!$A$2:$A$8,0),2)</f>
        <v>Sa</v>
      </c>
      <c r="D186" s="124" t="n">
        <v>0</v>
      </c>
      <c r="E186" s="124" t="n">
        <v>0</v>
      </c>
      <c r="F186" s="124" t="n">
        <v>0</v>
      </c>
      <c r="G186" s="124" t="n">
        <v>0</v>
      </c>
      <c r="I186" s="124" t="n">
        <f aca="false">IF(MONTH($A186)=MONTH($A185),IF(G186=0,I185,G186),G186)</f>
        <v>0</v>
      </c>
      <c r="J186" s="124" t="n">
        <f aca="false">IF(MONTH($A186)=MONTH($A185),SUM(I186-I185),I186)</f>
        <v>0</v>
      </c>
      <c r="K186" s="124" t="n">
        <f aca="false">IF(WEEKDAY(A186,3)&gt;4,0,(IF(A186&lt;K$2,0,IF(A186&lt;=K$3,1,0))))</f>
        <v>0</v>
      </c>
      <c r="L186" s="124" t="n">
        <f aca="false">J186*K186</f>
        <v>0</v>
      </c>
      <c r="M186" s="124" t="n">
        <f aca="false">SUM(J$97:J186)</f>
        <v>0</v>
      </c>
      <c r="N186" s="124" t="n">
        <f aca="false">SUM(J$6:J186)</f>
        <v>-35909</v>
      </c>
      <c r="P186" s="148" t="n">
        <f aca="false">D186/P$3</f>
        <v>0</v>
      </c>
      <c r="Q186" s="124" t="n">
        <f aca="false">E186/P$3</f>
        <v>0</v>
      </c>
      <c r="R186" s="124" t="n">
        <f aca="false">F186/R$3</f>
        <v>0</v>
      </c>
      <c r="S186" s="126" t="n">
        <f aca="false">J186/$R$3</f>
        <v>0</v>
      </c>
      <c r="T186" s="126" t="n">
        <f aca="false">L186/$R$3</f>
        <v>0</v>
      </c>
      <c r="U186" s="126" t="n">
        <f aca="false">I186/$R$3</f>
        <v>0</v>
      </c>
      <c r="V186" s="126" t="n">
        <f aca="false">M186/$R$3</f>
        <v>0</v>
      </c>
      <c r="W186" s="126" t="n">
        <f aca="false">N186/$R$3</f>
        <v>-35.909</v>
      </c>
    </row>
    <row r="187" customFormat="false" ht="12.75" hidden="false" customHeight="false" outlineLevel="0" collapsed="false">
      <c r="A187" s="120" t="n">
        <f aca="false">A186+1</f>
        <v>37073</v>
      </c>
      <c r="B187" s="131" t="str">
        <f aca="false">INDEX('[4]Master Data'!$A$2:$B$8,MATCH(WEEKDAY('CRD Hedge'!A187,3),'[4]Master Data'!$A$2:$A$8,0),2)</f>
        <v>Su</v>
      </c>
      <c r="D187" s="124" t="n">
        <v>0</v>
      </c>
      <c r="E187" s="124" t="n">
        <v>0</v>
      </c>
      <c r="F187" s="124" t="n">
        <v>0</v>
      </c>
      <c r="G187" s="124" t="n">
        <v>0</v>
      </c>
      <c r="I187" s="124" t="n">
        <f aca="false">IF(MONTH($A187)=MONTH($A186),IF(G187=0,I186,G187),G187)</f>
        <v>0</v>
      </c>
      <c r="J187" s="124" t="n">
        <f aca="false">IF(MONTH($A187)=MONTH($A186),SUM(I187-I186),I187)</f>
        <v>0</v>
      </c>
      <c r="K187" s="124" t="n">
        <f aca="false">IF(WEEKDAY(A187,3)&gt;4,0,(IF(A187&lt;K$2,0,IF(A187&lt;=K$3,1,0))))</f>
        <v>0</v>
      </c>
      <c r="L187" s="124" t="n">
        <f aca="false">J187*K187</f>
        <v>0</v>
      </c>
      <c r="M187" s="124" t="n">
        <f aca="false">SUM(J$97:J187)</f>
        <v>0</v>
      </c>
      <c r="N187" s="124" t="n">
        <f aca="false">SUM(J$6:J187)</f>
        <v>-35909</v>
      </c>
      <c r="P187" s="148" t="n">
        <f aca="false">D187/P$3</f>
        <v>0</v>
      </c>
      <c r="Q187" s="124" t="n">
        <f aca="false">E187/P$3</f>
        <v>0</v>
      </c>
      <c r="R187" s="124" t="n">
        <f aca="false">F187/R$3</f>
        <v>0</v>
      </c>
      <c r="S187" s="126" t="n">
        <f aca="false">J187/$R$3</f>
        <v>0</v>
      </c>
      <c r="T187" s="126" t="n">
        <f aca="false">L187/$R$3</f>
        <v>0</v>
      </c>
      <c r="U187" s="126" t="n">
        <f aca="false">I187/$R$3</f>
        <v>0</v>
      </c>
      <c r="V187" s="126" t="n">
        <f aca="false">M187/$R$3</f>
        <v>0</v>
      </c>
      <c r="W187" s="126" t="n">
        <f aca="false">N187/$R$3</f>
        <v>-35.909</v>
      </c>
    </row>
    <row r="188" customFormat="false" ht="12.75" hidden="false" customHeight="false" outlineLevel="0" collapsed="false">
      <c r="A188" s="120" t="n">
        <f aca="false">A187+1</f>
        <v>37074</v>
      </c>
      <c r="B188" s="131" t="str">
        <f aca="false">INDEX('[4]Master Data'!$A$2:$B$8,MATCH(WEEKDAY('CRD Hedge'!A188,3),'[4]Master Data'!$A$2:$A$8,0),2)</f>
        <v>M</v>
      </c>
      <c r="D188" s="124" t="n">
        <v>0</v>
      </c>
      <c r="E188" s="124" t="n">
        <v>0</v>
      </c>
      <c r="F188" s="124" t="n">
        <v>0</v>
      </c>
      <c r="G188" s="124" t="n">
        <v>0</v>
      </c>
      <c r="I188" s="124" t="n">
        <f aca="false">IF(MONTH($A188)=MONTH($A187),IF(G188=0,I187,G188),G188)</f>
        <v>0</v>
      </c>
      <c r="J188" s="124" t="n">
        <f aca="false">IF(MONTH($A188)=MONTH($A187),SUM(I188-I187),I188)</f>
        <v>0</v>
      </c>
      <c r="K188" s="124" t="n">
        <f aca="false">IF(WEEKDAY(A188,3)&gt;4,0,(IF(A188&lt;K$2,0,IF(A188&lt;=K$3,1,0))))</f>
        <v>0</v>
      </c>
      <c r="L188" s="124" t="n">
        <f aca="false">J188*K188</f>
        <v>0</v>
      </c>
      <c r="M188" s="124" t="n">
        <f aca="false">SUM(J$188:J188)</f>
        <v>0</v>
      </c>
      <c r="N188" s="124" t="n">
        <f aca="false">SUM(J$6:J188)</f>
        <v>-35909</v>
      </c>
      <c r="P188" s="148" t="n">
        <f aca="false">D188/P$3</f>
        <v>0</v>
      </c>
      <c r="Q188" s="124" t="n">
        <f aca="false">E188/P$3</f>
        <v>0</v>
      </c>
      <c r="R188" s="124" t="n">
        <f aca="false">F188/R$3</f>
        <v>0</v>
      </c>
      <c r="S188" s="126" t="n">
        <f aca="false">J188/$R$3</f>
        <v>0</v>
      </c>
      <c r="T188" s="126" t="n">
        <f aca="false">L188/$R$3</f>
        <v>0</v>
      </c>
      <c r="U188" s="126" t="n">
        <f aca="false">I188/$R$3</f>
        <v>0</v>
      </c>
      <c r="V188" s="126" t="n">
        <f aca="false">M188/$R$3</f>
        <v>0</v>
      </c>
      <c r="W188" s="126" t="n">
        <f aca="false">N188/$R$3</f>
        <v>-35.909</v>
      </c>
    </row>
    <row r="189" customFormat="false" ht="12.75" hidden="false" customHeight="false" outlineLevel="0" collapsed="false">
      <c r="A189" s="120" t="n">
        <f aca="false">A188+1</f>
        <v>37075</v>
      </c>
      <c r="B189" s="131" t="str">
        <f aca="false">INDEX('[4]Master Data'!$A$2:$B$8,MATCH(WEEKDAY('CRD Hedge'!A189,3),'[4]Master Data'!$A$2:$A$8,0),2)</f>
        <v>T</v>
      </c>
      <c r="D189" s="124" t="n">
        <v>0</v>
      </c>
      <c r="E189" s="124" t="n">
        <v>0</v>
      </c>
      <c r="F189" s="124" t="n">
        <v>0</v>
      </c>
      <c r="G189" s="124" t="n">
        <v>0</v>
      </c>
      <c r="I189" s="124" t="n">
        <f aca="false">IF(MONTH($A189)=MONTH($A188),IF(G189=0,I188,G189),G189)</f>
        <v>0</v>
      </c>
      <c r="J189" s="124" t="n">
        <f aca="false">IF(MONTH($A189)=MONTH($A188),SUM(I189-I188),I189)</f>
        <v>0</v>
      </c>
      <c r="K189" s="124" t="n">
        <f aca="false">IF(WEEKDAY(A189,3)&gt;4,0,(IF(A189&lt;K$2,0,IF(A189&lt;=K$3,1,0))))</f>
        <v>0</v>
      </c>
      <c r="L189" s="124" t="n">
        <f aca="false">J189*K189</f>
        <v>0</v>
      </c>
      <c r="M189" s="124" t="n">
        <f aca="false">SUM(J$188:J189)</f>
        <v>0</v>
      </c>
      <c r="N189" s="124" t="n">
        <f aca="false">SUM(J$6:J189)</f>
        <v>-35909</v>
      </c>
      <c r="P189" s="148" t="n">
        <f aca="false">D189/P$3</f>
        <v>0</v>
      </c>
      <c r="Q189" s="124" t="n">
        <f aca="false">E189/P$3</f>
        <v>0</v>
      </c>
      <c r="R189" s="124" t="n">
        <f aca="false">F189/R$3</f>
        <v>0</v>
      </c>
      <c r="S189" s="126" t="n">
        <f aca="false">J189/$R$3</f>
        <v>0</v>
      </c>
      <c r="T189" s="126" t="n">
        <f aca="false">L189/$R$3</f>
        <v>0</v>
      </c>
      <c r="U189" s="126" t="n">
        <f aca="false">I189/$R$3</f>
        <v>0</v>
      </c>
      <c r="V189" s="126" t="n">
        <f aca="false">M189/$R$3</f>
        <v>0</v>
      </c>
      <c r="W189" s="126" t="n">
        <f aca="false">N189/$R$3</f>
        <v>-35.909</v>
      </c>
    </row>
    <row r="190" customFormat="false" ht="12.75" hidden="false" customHeight="false" outlineLevel="0" collapsed="false">
      <c r="A190" s="120" t="n">
        <f aca="false">A189+1</f>
        <v>37076</v>
      </c>
      <c r="B190" s="131" t="str">
        <f aca="false">INDEX('[4]Master Data'!$A$2:$B$8,MATCH(WEEKDAY('CRD Hedge'!A190,3),'[4]Master Data'!$A$2:$A$8,0),2)</f>
        <v>W</v>
      </c>
      <c r="D190" s="124" t="n">
        <v>0</v>
      </c>
      <c r="E190" s="124" t="n">
        <v>0</v>
      </c>
      <c r="F190" s="124" t="n">
        <v>0</v>
      </c>
      <c r="G190" s="124" t="n">
        <v>0</v>
      </c>
      <c r="I190" s="124" t="n">
        <f aca="false">IF(MONTH($A190)=MONTH($A189),IF(G190=0,I189,G190),G190)</f>
        <v>0</v>
      </c>
      <c r="J190" s="124" t="n">
        <f aca="false">IF(MONTH($A190)=MONTH($A189),SUM(I190-I189),I190)</f>
        <v>0</v>
      </c>
      <c r="K190" s="124" t="n">
        <f aca="false">IF(WEEKDAY(A190,3)&gt;4,0,(IF(A190&lt;K$2,0,IF(A190&lt;=K$3,1,0))))</f>
        <v>0</v>
      </c>
      <c r="L190" s="124" t="n">
        <f aca="false">J190*K190</f>
        <v>0</v>
      </c>
      <c r="M190" s="124" t="n">
        <f aca="false">SUM(J$188:J190)</f>
        <v>0</v>
      </c>
      <c r="N190" s="124" t="n">
        <f aca="false">SUM(J$6:J190)</f>
        <v>-35909</v>
      </c>
      <c r="P190" s="148" t="n">
        <f aca="false">D190/P$3</f>
        <v>0</v>
      </c>
      <c r="Q190" s="124" t="n">
        <f aca="false">E190/P$3</f>
        <v>0</v>
      </c>
      <c r="R190" s="124" t="n">
        <f aca="false">F190/R$3</f>
        <v>0</v>
      </c>
      <c r="S190" s="126" t="n">
        <f aca="false">J190/$R$3</f>
        <v>0</v>
      </c>
      <c r="T190" s="126" t="n">
        <f aca="false">L190/$R$3</f>
        <v>0</v>
      </c>
      <c r="U190" s="126" t="n">
        <f aca="false">I190/$R$3</f>
        <v>0</v>
      </c>
      <c r="V190" s="126" t="n">
        <f aca="false">M190/$R$3</f>
        <v>0</v>
      </c>
      <c r="W190" s="126" t="n">
        <f aca="false">N190/$R$3</f>
        <v>-35.909</v>
      </c>
    </row>
    <row r="191" customFormat="false" ht="12.75" hidden="false" customHeight="false" outlineLevel="0" collapsed="false">
      <c r="A191" s="120" t="n">
        <f aca="false">A190+1</f>
        <v>37077</v>
      </c>
      <c r="B191" s="131" t="str">
        <f aca="false">INDEX('[4]Master Data'!$A$2:$B$8,MATCH(WEEKDAY('CRD Hedge'!A191,3),'[4]Master Data'!$A$2:$A$8,0),2)</f>
        <v>Th</v>
      </c>
      <c r="D191" s="124" t="n">
        <v>0</v>
      </c>
      <c r="E191" s="124" t="n">
        <v>0</v>
      </c>
      <c r="F191" s="124" t="n">
        <v>0</v>
      </c>
      <c r="G191" s="124" t="n">
        <v>0</v>
      </c>
      <c r="I191" s="124" t="n">
        <f aca="false">IF(MONTH($A191)=MONTH($A190),IF(G191=0,I190,G191),G191)</f>
        <v>0</v>
      </c>
      <c r="J191" s="124" t="n">
        <f aca="false">IF(MONTH($A191)=MONTH($A190),SUM(I191-I190),I191)</f>
        <v>0</v>
      </c>
      <c r="K191" s="124" t="n">
        <f aca="false">IF(WEEKDAY(A191,3)&gt;4,0,(IF(A191&lt;K$2,0,IF(A191&lt;=K$3,1,0))))</f>
        <v>0</v>
      </c>
      <c r="L191" s="124" t="n">
        <f aca="false">J191*K191</f>
        <v>0</v>
      </c>
      <c r="M191" s="124" t="n">
        <f aca="false">SUM(J$188:J191)</f>
        <v>0</v>
      </c>
      <c r="N191" s="124" t="n">
        <f aca="false">SUM(J$6:J191)</f>
        <v>-35909</v>
      </c>
      <c r="P191" s="148" t="n">
        <f aca="false">D191/P$3</f>
        <v>0</v>
      </c>
      <c r="Q191" s="124" t="n">
        <f aca="false">E191/P$3</f>
        <v>0</v>
      </c>
      <c r="R191" s="124" t="n">
        <f aca="false">F191/R$3</f>
        <v>0</v>
      </c>
      <c r="S191" s="126" t="n">
        <f aca="false">J191/$R$3</f>
        <v>0</v>
      </c>
      <c r="T191" s="126" t="n">
        <f aca="false">L191/$R$3</f>
        <v>0</v>
      </c>
      <c r="U191" s="126" t="n">
        <f aca="false">I191/$R$3</f>
        <v>0</v>
      </c>
      <c r="V191" s="126" t="n">
        <f aca="false">M191/$R$3</f>
        <v>0</v>
      </c>
      <c r="W191" s="126" t="n">
        <f aca="false">N191/$R$3</f>
        <v>-35.909</v>
      </c>
    </row>
    <row r="192" customFormat="false" ht="12.75" hidden="false" customHeight="false" outlineLevel="0" collapsed="false">
      <c r="A192" s="120" t="n">
        <f aca="false">A191+1</f>
        <v>37078</v>
      </c>
      <c r="B192" s="131" t="str">
        <f aca="false">INDEX('[4]Master Data'!$A$2:$B$8,MATCH(WEEKDAY('CRD Hedge'!A192,3),'[4]Master Data'!$A$2:$A$8,0),2)</f>
        <v>F</v>
      </c>
      <c r="D192" s="124" t="n">
        <v>0</v>
      </c>
      <c r="E192" s="124" t="n">
        <v>0</v>
      </c>
      <c r="F192" s="124" t="n">
        <v>0</v>
      </c>
      <c r="G192" s="124" t="n">
        <v>0</v>
      </c>
      <c r="I192" s="124" t="n">
        <f aca="false">IF(MONTH($A192)=MONTH($A191),IF(G192=0,I191,G192),G192)</f>
        <v>0</v>
      </c>
      <c r="J192" s="124" t="n">
        <f aca="false">IF(MONTH($A192)=MONTH($A191),SUM(I192-I191),I192)</f>
        <v>0</v>
      </c>
      <c r="K192" s="124" t="n">
        <f aca="false">IF(WEEKDAY(A192,3)&gt;4,0,(IF(A192&lt;K$2,0,IF(A192&lt;=K$3,1,0))))</f>
        <v>0</v>
      </c>
      <c r="L192" s="124" t="n">
        <f aca="false">J192*K192</f>
        <v>0</v>
      </c>
      <c r="M192" s="124" t="n">
        <f aca="false">SUM(J$188:J192)</f>
        <v>0</v>
      </c>
      <c r="N192" s="124" t="n">
        <f aca="false">SUM(J$6:J192)</f>
        <v>-35909</v>
      </c>
      <c r="P192" s="148" t="n">
        <f aca="false">D192/P$3</f>
        <v>0</v>
      </c>
      <c r="Q192" s="124" t="n">
        <f aca="false">E192/P$3</f>
        <v>0</v>
      </c>
      <c r="R192" s="124" t="n">
        <f aca="false">F192/R$3</f>
        <v>0</v>
      </c>
      <c r="S192" s="126" t="n">
        <f aca="false">J192/$R$3</f>
        <v>0</v>
      </c>
      <c r="T192" s="126" t="n">
        <f aca="false">L192/$R$3</f>
        <v>0</v>
      </c>
      <c r="U192" s="126" t="n">
        <f aca="false">I192/$R$3</f>
        <v>0</v>
      </c>
      <c r="V192" s="126" t="n">
        <f aca="false">M192/$R$3</f>
        <v>0</v>
      </c>
      <c r="W192" s="126" t="n">
        <f aca="false">N192/$R$3</f>
        <v>-35.909</v>
      </c>
    </row>
    <row r="193" customFormat="false" ht="12.75" hidden="false" customHeight="false" outlineLevel="0" collapsed="false">
      <c r="A193" s="120" t="n">
        <f aca="false">A192+1</f>
        <v>37079</v>
      </c>
      <c r="B193" s="131" t="str">
        <f aca="false">INDEX('[4]Master Data'!$A$2:$B$8,MATCH(WEEKDAY('CRD Hedge'!A193,3),'[4]Master Data'!$A$2:$A$8,0),2)</f>
        <v>Sa</v>
      </c>
      <c r="D193" s="124" t="n">
        <v>0</v>
      </c>
      <c r="E193" s="124" t="n">
        <v>0</v>
      </c>
      <c r="F193" s="124" t="n">
        <v>0</v>
      </c>
      <c r="G193" s="124" t="n">
        <v>0</v>
      </c>
      <c r="I193" s="124" t="n">
        <f aca="false">IF(MONTH($A193)=MONTH($A192),IF(G193=0,I192,G193),G193)</f>
        <v>0</v>
      </c>
      <c r="J193" s="124" t="n">
        <f aca="false">IF(MONTH($A193)=MONTH($A192),SUM(I193-I192),I193)</f>
        <v>0</v>
      </c>
      <c r="K193" s="124" t="n">
        <f aca="false">IF(WEEKDAY(A193,3)&gt;4,0,(IF(A193&lt;K$2,0,IF(A193&lt;=K$3,1,0))))</f>
        <v>0</v>
      </c>
      <c r="L193" s="124" t="n">
        <f aca="false">J193*K193</f>
        <v>0</v>
      </c>
      <c r="M193" s="124" t="n">
        <f aca="false">SUM(J$188:J193)</f>
        <v>0</v>
      </c>
      <c r="N193" s="124" t="n">
        <f aca="false">SUM(J$6:J193)</f>
        <v>-35909</v>
      </c>
      <c r="P193" s="148" t="n">
        <f aca="false">D193/P$3</f>
        <v>0</v>
      </c>
      <c r="Q193" s="124" t="n">
        <f aca="false">E193/P$3</f>
        <v>0</v>
      </c>
      <c r="R193" s="124" t="n">
        <f aca="false">F193/R$3</f>
        <v>0</v>
      </c>
      <c r="S193" s="126" t="n">
        <f aca="false">J193/$R$3</f>
        <v>0</v>
      </c>
      <c r="T193" s="126" t="n">
        <f aca="false">L193/$R$3</f>
        <v>0</v>
      </c>
      <c r="U193" s="126" t="n">
        <f aca="false">I193/$R$3</f>
        <v>0</v>
      </c>
      <c r="V193" s="126" t="n">
        <f aca="false">M193/$R$3</f>
        <v>0</v>
      </c>
      <c r="W193" s="126" t="n">
        <f aca="false">N193/$R$3</f>
        <v>-35.909</v>
      </c>
    </row>
    <row r="194" customFormat="false" ht="12.75" hidden="false" customHeight="false" outlineLevel="0" collapsed="false">
      <c r="A194" s="120" t="n">
        <f aca="false">A193+1</f>
        <v>37080</v>
      </c>
      <c r="B194" s="131" t="str">
        <f aca="false">INDEX('[4]Master Data'!$A$2:$B$8,MATCH(WEEKDAY('CRD Hedge'!A194,3),'[4]Master Data'!$A$2:$A$8,0),2)</f>
        <v>Su</v>
      </c>
      <c r="D194" s="124" t="n">
        <v>0</v>
      </c>
      <c r="E194" s="124" t="n">
        <v>0</v>
      </c>
      <c r="F194" s="124" t="n">
        <v>0</v>
      </c>
      <c r="G194" s="124" t="n">
        <v>0</v>
      </c>
      <c r="I194" s="124" t="n">
        <f aca="false">IF(MONTH($A194)=MONTH($A193),IF(G194=0,I193,G194),G194)</f>
        <v>0</v>
      </c>
      <c r="J194" s="124" t="n">
        <f aca="false">IF(MONTH($A194)=MONTH($A193),SUM(I194-I193),I194)</f>
        <v>0</v>
      </c>
      <c r="K194" s="124" t="n">
        <f aca="false">IF(WEEKDAY(A194,3)&gt;4,0,(IF(A194&lt;K$2,0,IF(A194&lt;=K$3,1,0))))</f>
        <v>0</v>
      </c>
      <c r="L194" s="124" t="n">
        <f aca="false">J194*K194</f>
        <v>0</v>
      </c>
      <c r="M194" s="124" t="n">
        <f aca="false">SUM(J$188:J194)</f>
        <v>0</v>
      </c>
      <c r="N194" s="124" t="n">
        <f aca="false">SUM(J$6:J194)</f>
        <v>-35909</v>
      </c>
      <c r="P194" s="148" t="n">
        <f aca="false">D194/P$3</f>
        <v>0</v>
      </c>
      <c r="Q194" s="124" t="n">
        <f aca="false">E194/P$3</f>
        <v>0</v>
      </c>
      <c r="R194" s="124" t="n">
        <f aca="false">F194/R$3</f>
        <v>0</v>
      </c>
      <c r="S194" s="126" t="n">
        <f aca="false">J194/$R$3</f>
        <v>0</v>
      </c>
      <c r="T194" s="126" t="n">
        <f aca="false">L194/$R$3</f>
        <v>0</v>
      </c>
      <c r="U194" s="126" t="n">
        <f aca="false">I194/$R$3</f>
        <v>0</v>
      </c>
      <c r="V194" s="126" t="n">
        <f aca="false">M194/$R$3</f>
        <v>0</v>
      </c>
      <c r="W194" s="126" t="n">
        <f aca="false">N194/$R$3</f>
        <v>-35.909</v>
      </c>
    </row>
    <row r="195" customFormat="false" ht="12.75" hidden="false" customHeight="false" outlineLevel="0" collapsed="false">
      <c r="A195" s="120" t="n">
        <f aca="false">A194+1</f>
        <v>37081</v>
      </c>
      <c r="B195" s="131" t="str">
        <f aca="false">INDEX('[4]Master Data'!$A$2:$B$8,MATCH(WEEKDAY('CRD Hedge'!A195,3),'[4]Master Data'!$A$2:$A$8,0),2)</f>
        <v>M</v>
      </c>
      <c r="D195" s="124" t="n">
        <v>0</v>
      </c>
      <c r="E195" s="124" t="n">
        <v>0</v>
      </c>
      <c r="F195" s="124" t="n">
        <v>0</v>
      </c>
      <c r="G195" s="124" t="n">
        <v>0</v>
      </c>
      <c r="I195" s="124" t="n">
        <f aca="false">IF(MONTH($A195)=MONTH($A194),IF(G195=0,I194,G195),G195)</f>
        <v>0</v>
      </c>
      <c r="J195" s="124" t="n">
        <f aca="false">IF(MONTH($A195)=MONTH($A194),SUM(I195-I194),I195)</f>
        <v>0</v>
      </c>
      <c r="K195" s="124" t="n">
        <f aca="false">IF(WEEKDAY(A195,3)&gt;4,0,(IF(A195&lt;K$2,0,IF(A195&lt;=K$3,1,0))))</f>
        <v>0</v>
      </c>
      <c r="L195" s="124" t="n">
        <f aca="false">J195*K195</f>
        <v>0</v>
      </c>
      <c r="M195" s="124" t="n">
        <f aca="false">SUM(J$188:J195)</f>
        <v>0</v>
      </c>
      <c r="N195" s="124" t="n">
        <f aca="false">SUM(J$6:J195)</f>
        <v>-35909</v>
      </c>
      <c r="P195" s="148" t="n">
        <f aca="false">D195/P$3</f>
        <v>0</v>
      </c>
      <c r="Q195" s="124" t="n">
        <f aca="false">E195/P$3</f>
        <v>0</v>
      </c>
      <c r="R195" s="124" t="n">
        <f aca="false">F195/R$3</f>
        <v>0</v>
      </c>
      <c r="S195" s="126" t="n">
        <f aca="false">J195/$R$3</f>
        <v>0</v>
      </c>
      <c r="T195" s="126" t="n">
        <f aca="false">L195/$R$3</f>
        <v>0</v>
      </c>
      <c r="U195" s="126" t="n">
        <f aca="false">I195/$R$3</f>
        <v>0</v>
      </c>
      <c r="V195" s="126" t="n">
        <f aca="false">M195/$R$3</f>
        <v>0</v>
      </c>
      <c r="W195" s="126" t="n">
        <f aca="false">N195/$R$3</f>
        <v>-35.909</v>
      </c>
    </row>
    <row r="196" customFormat="false" ht="12.75" hidden="false" customHeight="false" outlineLevel="0" collapsed="false">
      <c r="A196" s="120" t="n">
        <f aca="false">A195+1</f>
        <v>37082</v>
      </c>
      <c r="B196" s="131" t="str">
        <f aca="false">INDEX('[4]Master Data'!$A$2:$B$8,MATCH(WEEKDAY('CRD Hedge'!A196,3),'[4]Master Data'!$A$2:$A$8,0),2)</f>
        <v>T</v>
      </c>
      <c r="D196" s="124" t="n">
        <v>0</v>
      </c>
      <c r="E196" s="124" t="n">
        <v>0</v>
      </c>
      <c r="F196" s="124" t="n">
        <v>0</v>
      </c>
      <c r="G196" s="124" t="n">
        <v>0</v>
      </c>
      <c r="I196" s="124" t="n">
        <f aca="false">IF(MONTH($A196)=MONTH($A195),IF(G196=0,I195,G196),G196)</f>
        <v>0</v>
      </c>
      <c r="J196" s="124" t="n">
        <f aca="false">IF(MONTH($A196)=MONTH($A195),SUM(I196-I195),I196)</f>
        <v>0</v>
      </c>
      <c r="K196" s="124" t="n">
        <f aca="false">IF(WEEKDAY(A196,3)&gt;4,0,(IF(A196&lt;K$2,0,IF(A196&lt;=K$3,1,0))))</f>
        <v>0</v>
      </c>
      <c r="L196" s="124" t="n">
        <f aca="false">J196*K196</f>
        <v>0</v>
      </c>
      <c r="M196" s="124" t="n">
        <f aca="false">SUM(J$188:J196)</f>
        <v>0</v>
      </c>
      <c r="N196" s="124" t="n">
        <f aca="false">SUM(J$6:J196)</f>
        <v>-35909</v>
      </c>
      <c r="P196" s="148" t="n">
        <f aca="false">D196/P$3</f>
        <v>0</v>
      </c>
      <c r="Q196" s="124" t="n">
        <f aca="false">E196/P$3</f>
        <v>0</v>
      </c>
      <c r="R196" s="124" t="n">
        <f aca="false">F196/R$3</f>
        <v>0</v>
      </c>
      <c r="S196" s="126" t="n">
        <f aca="false">J196/$R$3</f>
        <v>0</v>
      </c>
      <c r="T196" s="126" t="n">
        <f aca="false">L196/$R$3</f>
        <v>0</v>
      </c>
      <c r="U196" s="126" t="n">
        <f aca="false">I196/$R$3</f>
        <v>0</v>
      </c>
      <c r="V196" s="126" t="n">
        <f aca="false">M196/$R$3</f>
        <v>0</v>
      </c>
      <c r="W196" s="126" t="n">
        <f aca="false">N196/$R$3</f>
        <v>-35.909</v>
      </c>
    </row>
    <row r="197" customFormat="false" ht="12.75" hidden="false" customHeight="false" outlineLevel="0" collapsed="false">
      <c r="A197" s="120" t="n">
        <f aca="false">A196+1</f>
        <v>37083</v>
      </c>
      <c r="B197" s="131" t="str">
        <f aca="false">INDEX('[4]Master Data'!$A$2:$B$8,MATCH(WEEKDAY('CRD Hedge'!A197,3),'[4]Master Data'!$A$2:$A$8,0),2)</f>
        <v>W</v>
      </c>
      <c r="D197" s="124" t="n">
        <v>0</v>
      </c>
      <c r="E197" s="124" t="n">
        <v>0</v>
      </c>
      <c r="F197" s="124" t="n">
        <v>0</v>
      </c>
      <c r="G197" s="124" t="n">
        <v>0</v>
      </c>
      <c r="I197" s="124" t="n">
        <f aca="false">IF(MONTH($A197)=MONTH($A196),IF(G197=0,I196,G197),G197)</f>
        <v>0</v>
      </c>
      <c r="J197" s="124" t="n">
        <f aca="false">IF(MONTH($A197)=MONTH($A196),SUM(I197-I196),I197)</f>
        <v>0</v>
      </c>
      <c r="K197" s="124" t="n">
        <f aca="false">IF(WEEKDAY(A197,3)&gt;4,0,(IF(A197&lt;K$2,0,IF(A197&lt;=K$3,1,0))))</f>
        <v>0</v>
      </c>
      <c r="L197" s="124" t="n">
        <f aca="false">J197*K197</f>
        <v>0</v>
      </c>
      <c r="M197" s="124" t="n">
        <f aca="false">SUM(J$188:J197)</f>
        <v>0</v>
      </c>
      <c r="N197" s="124" t="n">
        <f aca="false">SUM(J$6:J197)</f>
        <v>-35909</v>
      </c>
      <c r="P197" s="148" t="n">
        <f aca="false">D197/P$3</f>
        <v>0</v>
      </c>
      <c r="Q197" s="124" t="n">
        <f aca="false">E197/P$3</f>
        <v>0</v>
      </c>
      <c r="R197" s="124" t="n">
        <f aca="false">F197/R$3</f>
        <v>0</v>
      </c>
      <c r="S197" s="126" t="n">
        <f aca="false">J197/$R$3</f>
        <v>0</v>
      </c>
      <c r="T197" s="126" t="n">
        <f aca="false">L197/$R$3</f>
        <v>0</v>
      </c>
      <c r="U197" s="126" t="n">
        <f aca="false">I197/$R$3</f>
        <v>0</v>
      </c>
      <c r="V197" s="126" t="n">
        <f aca="false">M197/$R$3</f>
        <v>0</v>
      </c>
      <c r="W197" s="126" t="n">
        <f aca="false">N197/$R$3</f>
        <v>-35.909</v>
      </c>
    </row>
    <row r="198" customFormat="false" ht="12.75" hidden="false" customHeight="false" outlineLevel="0" collapsed="false">
      <c r="A198" s="120" t="n">
        <f aca="false">A197+1</f>
        <v>37084</v>
      </c>
      <c r="B198" s="131" t="str">
        <f aca="false">INDEX('[4]Master Data'!$A$2:$B$8,MATCH(WEEKDAY('CRD Hedge'!A198,3),'[4]Master Data'!$A$2:$A$8,0),2)</f>
        <v>Th</v>
      </c>
      <c r="D198" s="124" t="n">
        <v>0</v>
      </c>
      <c r="E198" s="124" t="n">
        <v>0</v>
      </c>
      <c r="F198" s="124" t="n">
        <v>0</v>
      </c>
      <c r="G198" s="124" t="n">
        <v>0</v>
      </c>
      <c r="I198" s="124" t="n">
        <f aca="false">IF(MONTH($A198)=MONTH($A197),IF(G198=0,I197,G198),G198)</f>
        <v>0</v>
      </c>
      <c r="J198" s="124" t="n">
        <f aca="false">IF(MONTH($A198)=MONTH($A197),SUM(I198-I197),I198)</f>
        <v>0</v>
      </c>
      <c r="K198" s="124" t="n">
        <f aca="false">IF(WEEKDAY(A198,3)&gt;4,0,(IF(A198&lt;K$2,0,IF(A198&lt;=K$3,1,0))))</f>
        <v>0</v>
      </c>
      <c r="L198" s="124" t="n">
        <f aca="false">J198*K198</f>
        <v>0</v>
      </c>
      <c r="M198" s="124" t="n">
        <f aca="false">SUM(J$188:J198)</f>
        <v>0</v>
      </c>
      <c r="N198" s="124" t="n">
        <f aca="false">SUM(J$6:J198)</f>
        <v>-35909</v>
      </c>
      <c r="P198" s="148" t="n">
        <f aca="false">D198/P$3</f>
        <v>0</v>
      </c>
      <c r="Q198" s="124" t="n">
        <f aca="false">E198/P$3</f>
        <v>0</v>
      </c>
      <c r="R198" s="124" t="n">
        <f aca="false">F198/R$3</f>
        <v>0</v>
      </c>
      <c r="S198" s="126" t="n">
        <f aca="false">J198/$R$3</f>
        <v>0</v>
      </c>
      <c r="T198" s="126" t="n">
        <f aca="false">L198/$R$3</f>
        <v>0</v>
      </c>
      <c r="U198" s="126" t="n">
        <f aca="false">I198/$R$3</f>
        <v>0</v>
      </c>
      <c r="V198" s="126" t="n">
        <f aca="false">M198/$R$3</f>
        <v>0</v>
      </c>
      <c r="W198" s="126" t="n">
        <f aca="false">N198/$R$3</f>
        <v>-35.909</v>
      </c>
    </row>
    <row r="199" customFormat="false" ht="12.75" hidden="false" customHeight="false" outlineLevel="0" collapsed="false">
      <c r="A199" s="120" t="n">
        <f aca="false">A198+1</f>
        <v>37085</v>
      </c>
      <c r="B199" s="131" t="str">
        <f aca="false">INDEX('[4]Master Data'!$A$2:$B$8,MATCH(WEEKDAY('CRD Hedge'!A199,3),'[4]Master Data'!$A$2:$A$8,0),2)</f>
        <v>F</v>
      </c>
      <c r="D199" s="124" t="n">
        <v>0</v>
      </c>
      <c r="E199" s="124" t="n">
        <v>0</v>
      </c>
      <c r="F199" s="124" t="n">
        <v>0</v>
      </c>
      <c r="G199" s="124" t="n">
        <v>0</v>
      </c>
      <c r="I199" s="124" t="n">
        <f aca="false">IF(MONTH($A199)=MONTH($A198),IF(G199=0,I198,G199),G199)</f>
        <v>0</v>
      </c>
      <c r="J199" s="124" t="n">
        <f aca="false">IF(MONTH($A199)=MONTH($A198),SUM(I199-I198),I199)</f>
        <v>0</v>
      </c>
      <c r="K199" s="124" t="n">
        <f aca="false">IF(WEEKDAY(A199,3)&gt;4,0,(IF(A199&lt;K$2,0,IF(A199&lt;=K$3,1,0))))</f>
        <v>0</v>
      </c>
      <c r="L199" s="124" t="n">
        <f aca="false">J199*K199</f>
        <v>0</v>
      </c>
      <c r="M199" s="124" t="n">
        <f aca="false">SUM(J$188:J199)</f>
        <v>0</v>
      </c>
      <c r="N199" s="124" t="n">
        <f aca="false">SUM(J$6:J199)</f>
        <v>-35909</v>
      </c>
      <c r="P199" s="148" t="n">
        <f aca="false">D199/P$3</f>
        <v>0</v>
      </c>
      <c r="Q199" s="124" t="n">
        <f aca="false">E199/P$3</f>
        <v>0</v>
      </c>
      <c r="R199" s="124" t="n">
        <f aca="false">F199/R$3</f>
        <v>0</v>
      </c>
      <c r="S199" s="126" t="n">
        <f aca="false">J199/$R$3</f>
        <v>0</v>
      </c>
      <c r="T199" s="126" t="n">
        <f aca="false">L199/$R$3</f>
        <v>0</v>
      </c>
      <c r="U199" s="126" t="n">
        <f aca="false">I199/$R$3</f>
        <v>0</v>
      </c>
      <c r="V199" s="126" t="n">
        <f aca="false">M199/$R$3</f>
        <v>0</v>
      </c>
      <c r="W199" s="126" t="n">
        <f aca="false">N199/$R$3</f>
        <v>-35.909</v>
      </c>
    </row>
    <row r="200" customFormat="false" ht="12.75" hidden="false" customHeight="false" outlineLevel="0" collapsed="false">
      <c r="A200" s="120" t="n">
        <f aca="false">A199+1</f>
        <v>37086</v>
      </c>
      <c r="B200" s="131" t="str">
        <f aca="false">INDEX('[4]Master Data'!$A$2:$B$8,MATCH(WEEKDAY('CRD Hedge'!A200,3),'[4]Master Data'!$A$2:$A$8,0),2)</f>
        <v>Sa</v>
      </c>
      <c r="D200" s="124" t="n">
        <v>0</v>
      </c>
      <c r="E200" s="124" t="n">
        <v>0</v>
      </c>
      <c r="F200" s="124" t="n">
        <v>0</v>
      </c>
      <c r="G200" s="124" t="n">
        <v>0</v>
      </c>
      <c r="I200" s="124" t="n">
        <f aca="false">IF(MONTH($A200)=MONTH($A199),IF(G200=0,I199,G200),G200)</f>
        <v>0</v>
      </c>
      <c r="J200" s="124" t="n">
        <f aca="false">IF(MONTH($A200)=MONTH($A199),SUM(I200-I199),I200)</f>
        <v>0</v>
      </c>
      <c r="K200" s="124" t="n">
        <f aca="false">IF(WEEKDAY(A200,3)&gt;4,0,(IF(A200&lt;K$2,0,IF(A200&lt;=K$3,1,0))))</f>
        <v>0</v>
      </c>
      <c r="L200" s="124" t="n">
        <f aca="false">J200*K200</f>
        <v>0</v>
      </c>
      <c r="M200" s="124" t="n">
        <f aca="false">SUM(J$188:J200)</f>
        <v>0</v>
      </c>
      <c r="N200" s="124" t="n">
        <f aca="false">SUM(J$6:J200)</f>
        <v>-35909</v>
      </c>
      <c r="P200" s="148" t="n">
        <f aca="false">D200/P$3</f>
        <v>0</v>
      </c>
      <c r="Q200" s="124" t="n">
        <f aca="false">E200/P$3</f>
        <v>0</v>
      </c>
      <c r="R200" s="124" t="n">
        <f aca="false">F200/R$3</f>
        <v>0</v>
      </c>
      <c r="S200" s="126" t="n">
        <f aca="false">J200/$R$3</f>
        <v>0</v>
      </c>
      <c r="T200" s="126" t="n">
        <f aca="false">L200/$R$3</f>
        <v>0</v>
      </c>
      <c r="U200" s="126" t="n">
        <f aca="false">I200/$R$3</f>
        <v>0</v>
      </c>
      <c r="V200" s="126" t="n">
        <f aca="false">M200/$R$3</f>
        <v>0</v>
      </c>
      <c r="W200" s="126" t="n">
        <f aca="false">N200/$R$3</f>
        <v>-35.909</v>
      </c>
    </row>
    <row r="201" customFormat="false" ht="12.75" hidden="false" customHeight="false" outlineLevel="0" collapsed="false">
      <c r="A201" s="120" t="n">
        <f aca="false">A200+1</f>
        <v>37087</v>
      </c>
      <c r="B201" s="131" t="str">
        <f aca="false">INDEX('[4]Master Data'!$A$2:$B$8,MATCH(WEEKDAY('CRD Hedge'!A201,3),'[4]Master Data'!$A$2:$A$8,0),2)</f>
        <v>Su</v>
      </c>
      <c r="D201" s="124" t="n">
        <v>0</v>
      </c>
      <c r="E201" s="124" t="n">
        <v>0</v>
      </c>
      <c r="F201" s="124" t="n">
        <v>0</v>
      </c>
      <c r="G201" s="124" t="n">
        <v>0</v>
      </c>
      <c r="I201" s="124" t="n">
        <f aca="false">IF(MONTH($A201)=MONTH($A200),IF(G201=0,I200,G201),G201)</f>
        <v>0</v>
      </c>
      <c r="J201" s="124" t="n">
        <f aca="false">IF(MONTH($A201)=MONTH($A200),SUM(I201-I200),I201)</f>
        <v>0</v>
      </c>
      <c r="K201" s="124" t="n">
        <f aca="false">IF(WEEKDAY(A201,3)&gt;4,0,(IF(A201&lt;K$2,0,IF(A201&lt;=K$3,1,0))))</f>
        <v>0</v>
      </c>
      <c r="L201" s="124" t="n">
        <f aca="false">J201*K201</f>
        <v>0</v>
      </c>
      <c r="M201" s="124" t="n">
        <f aca="false">SUM(J$188:J201)</f>
        <v>0</v>
      </c>
      <c r="N201" s="124" t="n">
        <f aca="false">SUM(J$6:J201)</f>
        <v>-35909</v>
      </c>
      <c r="P201" s="148" t="n">
        <f aca="false">D201/P$3</f>
        <v>0</v>
      </c>
      <c r="Q201" s="124" t="n">
        <f aca="false">E201/P$3</f>
        <v>0</v>
      </c>
      <c r="R201" s="124" t="n">
        <f aca="false">F201/R$3</f>
        <v>0</v>
      </c>
      <c r="S201" s="126" t="n">
        <f aca="false">J201/$R$3</f>
        <v>0</v>
      </c>
      <c r="T201" s="126" t="n">
        <f aca="false">L201/$R$3</f>
        <v>0</v>
      </c>
      <c r="U201" s="126" t="n">
        <f aca="false">I201/$R$3</f>
        <v>0</v>
      </c>
      <c r="V201" s="126" t="n">
        <f aca="false">M201/$R$3</f>
        <v>0</v>
      </c>
      <c r="W201" s="126" t="n">
        <f aca="false">N201/$R$3</f>
        <v>-35.909</v>
      </c>
    </row>
    <row r="202" customFormat="false" ht="12.75" hidden="false" customHeight="false" outlineLevel="0" collapsed="false">
      <c r="A202" s="120" t="n">
        <f aca="false">A201+1</f>
        <v>37088</v>
      </c>
      <c r="B202" s="131" t="str">
        <f aca="false">INDEX('[4]Master Data'!$A$2:$B$8,MATCH(WEEKDAY('CRD Hedge'!A202,3),'[4]Master Data'!$A$2:$A$8,0),2)</f>
        <v>M</v>
      </c>
      <c r="D202" s="124" t="n">
        <v>0</v>
      </c>
      <c r="E202" s="124" t="n">
        <v>0</v>
      </c>
      <c r="F202" s="124" t="n">
        <v>0</v>
      </c>
      <c r="G202" s="124" t="n">
        <v>0</v>
      </c>
      <c r="I202" s="124" t="n">
        <f aca="false">IF(MONTH($A202)=MONTH($A201),IF(G202=0,I201,G202),G202)</f>
        <v>0</v>
      </c>
      <c r="J202" s="124" t="n">
        <f aca="false">IF(MONTH($A202)=MONTH($A201),SUM(I202-I201),I202)</f>
        <v>0</v>
      </c>
      <c r="K202" s="124" t="n">
        <f aca="false">IF(WEEKDAY(A202,3)&gt;4,0,(IF(A202&lt;K$2,0,IF(A202&lt;=K$3,1,0))))</f>
        <v>0</v>
      </c>
      <c r="L202" s="124" t="n">
        <f aca="false">J202*K202</f>
        <v>0</v>
      </c>
      <c r="M202" s="124" t="n">
        <f aca="false">SUM(J$188:J202)</f>
        <v>0</v>
      </c>
      <c r="N202" s="124" t="n">
        <f aca="false">SUM(J$6:J202)</f>
        <v>-35909</v>
      </c>
      <c r="P202" s="148" t="n">
        <f aca="false">D202/P$3</f>
        <v>0</v>
      </c>
      <c r="Q202" s="124" t="n">
        <f aca="false">E202/P$3</f>
        <v>0</v>
      </c>
      <c r="R202" s="124" t="n">
        <f aca="false">F202/R$3</f>
        <v>0</v>
      </c>
      <c r="S202" s="126" t="n">
        <f aca="false">J202/$R$3</f>
        <v>0</v>
      </c>
      <c r="T202" s="126" t="n">
        <f aca="false">L202/$R$3</f>
        <v>0</v>
      </c>
      <c r="U202" s="126" t="n">
        <f aca="false">I202/$R$3</f>
        <v>0</v>
      </c>
      <c r="V202" s="126" t="n">
        <f aca="false">M202/$R$3</f>
        <v>0</v>
      </c>
      <c r="W202" s="126" t="n">
        <f aca="false">N202/$R$3</f>
        <v>-35.909</v>
      </c>
    </row>
    <row r="203" customFormat="false" ht="12.75" hidden="false" customHeight="false" outlineLevel="0" collapsed="false">
      <c r="A203" s="120" t="n">
        <f aca="false">A202+1</f>
        <v>37089</v>
      </c>
      <c r="B203" s="131" t="str">
        <f aca="false">INDEX('[4]Master Data'!$A$2:$B$8,MATCH(WEEKDAY('CRD Hedge'!A203,3),'[4]Master Data'!$A$2:$A$8,0),2)</f>
        <v>T</v>
      </c>
      <c r="D203" s="124" t="n">
        <v>0</v>
      </c>
      <c r="E203" s="124" t="n">
        <v>0</v>
      </c>
      <c r="F203" s="124" t="n">
        <v>0</v>
      </c>
      <c r="G203" s="124" t="n">
        <v>0</v>
      </c>
      <c r="I203" s="124" t="n">
        <f aca="false">IF(MONTH($A203)=MONTH($A202),IF(G203=0,I202,G203),G203)</f>
        <v>0</v>
      </c>
      <c r="J203" s="124" t="n">
        <f aca="false">IF(MONTH($A203)=MONTH($A202),SUM(I203-I202),I203)</f>
        <v>0</v>
      </c>
      <c r="K203" s="124" t="n">
        <f aca="false">IF(WEEKDAY(A203,3)&gt;4,0,(IF(A203&lt;K$2,0,IF(A203&lt;=K$3,1,0))))</f>
        <v>0</v>
      </c>
      <c r="L203" s="124" t="n">
        <f aca="false">J203*K203</f>
        <v>0</v>
      </c>
      <c r="M203" s="124" t="n">
        <f aca="false">SUM(J$188:J203)</f>
        <v>0</v>
      </c>
      <c r="N203" s="124" t="n">
        <f aca="false">SUM(J$6:J203)</f>
        <v>-35909</v>
      </c>
      <c r="P203" s="148" t="n">
        <f aca="false">D203/P$3</f>
        <v>0</v>
      </c>
      <c r="Q203" s="124" t="n">
        <f aca="false">E203/P$3</f>
        <v>0</v>
      </c>
      <c r="R203" s="124" t="n">
        <f aca="false">F203/R$3</f>
        <v>0</v>
      </c>
      <c r="S203" s="126" t="n">
        <f aca="false">J203/$R$3</f>
        <v>0</v>
      </c>
      <c r="T203" s="126" t="n">
        <f aca="false">L203/$R$3</f>
        <v>0</v>
      </c>
      <c r="U203" s="126" t="n">
        <f aca="false">I203/$R$3</f>
        <v>0</v>
      </c>
      <c r="V203" s="126" t="n">
        <f aca="false">M203/$R$3</f>
        <v>0</v>
      </c>
      <c r="W203" s="126" t="n">
        <f aca="false">N203/$R$3</f>
        <v>-35.909</v>
      </c>
    </row>
    <row r="204" customFormat="false" ht="12.75" hidden="false" customHeight="false" outlineLevel="0" collapsed="false">
      <c r="A204" s="120" t="n">
        <f aca="false">A203+1</f>
        <v>37090</v>
      </c>
      <c r="B204" s="131" t="str">
        <f aca="false">INDEX('[4]Master Data'!$A$2:$B$8,MATCH(WEEKDAY('CRD Hedge'!A204,3),'[4]Master Data'!$A$2:$A$8,0),2)</f>
        <v>W</v>
      </c>
      <c r="D204" s="124" t="n">
        <v>0</v>
      </c>
      <c r="E204" s="124" t="n">
        <v>0</v>
      </c>
      <c r="F204" s="124" t="n">
        <v>0</v>
      </c>
      <c r="G204" s="124" t="n">
        <v>0</v>
      </c>
      <c r="I204" s="124" t="n">
        <f aca="false">IF(MONTH($A204)=MONTH($A203),IF(G204=0,I203,G204),G204)</f>
        <v>0</v>
      </c>
      <c r="J204" s="124" t="n">
        <f aca="false">IF(MONTH($A204)=MONTH($A203),SUM(I204-I203),I204)</f>
        <v>0</v>
      </c>
      <c r="K204" s="124" t="n">
        <f aca="false">IF(WEEKDAY(A204,3)&gt;4,0,(IF(A204&lt;K$2,0,IF(A204&lt;=K$3,1,0))))</f>
        <v>0</v>
      </c>
      <c r="L204" s="124" t="n">
        <f aca="false">J204*K204</f>
        <v>0</v>
      </c>
      <c r="M204" s="124" t="n">
        <f aca="false">SUM(J$188:J204)</f>
        <v>0</v>
      </c>
      <c r="N204" s="124" t="n">
        <f aca="false">SUM(J$6:J204)</f>
        <v>-35909</v>
      </c>
      <c r="P204" s="148" t="n">
        <f aca="false">D204/P$3</f>
        <v>0</v>
      </c>
      <c r="Q204" s="124" t="n">
        <f aca="false">E204/P$3</f>
        <v>0</v>
      </c>
      <c r="R204" s="124" t="n">
        <f aca="false">F204/R$3</f>
        <v>0</v>
      </c>
      <c r="S204" s="126" t="n">
        <f aca="false">J204/$R$3</f>
        <v>0</v>
      </c>
      <c r="T204" s="126" t="n">
        <f aca="false">L204/$R$3</f>
        <v>0</v>
      </c>
      <c r="U204" s="126" t="n">
        <f aca="false">I204/$R$3</f>
        <v>0</v>
      </c>
      <c r="V204" s="126" t="n">
        <f aca="false">M204/$R$3</f>
        <v>0</v>
      </c>
      <c r="W204" s="126" t="n">
        <f aca="false">N204/$R$3</f>
        <v>-35.909</v>
      </c>
    </row>
    <row r="205" customFormat="false" ht="12.75" hidden="false" customHeight="false" outlineLevel="0" collapsed="false">
      <c r="A205" s="120" t="n">
        <f aca="false">A204+1</f>
        <v>37091</v>
      </c>
      <c r="B205" s="131" t="str">
        <f aca="false">INDEX('[4]Master Data'!$A$2:$B$8,MATCH(WEEKDAY('CRD Hedge'!A205,3),'[4]Master Data'!$A$2:$A$8,0),2)</f>
        <v>Th</v>
      </c>
      <c r="D205" s="124" t="n">
        <v>0</v>
      </c>
      <c r="E205" s="124" t="n">
        <v>0</v>
      </c>
      <c r="F205" s="124" t="n">
        <v>0</v>
      </c>
      <c r="G205" s="124" t="n">
        <v>0</v>
      </c>
      <c r="I205" s="124" t="n">
        <f aca="false">IF(MONTH($A205)=MONTH($A204),IF(G205=0,I204,G205),G205)</f>
        <v>0</v>
      </c>
      <c r="J205" s="124" t="n">
        <f aca="false">IF(MONTH($A205)=MONTH($A204),SUM(I205-I204),I205)</f>
        <v>0</v>
      </c>
      <c r="K205" s="124" t="n">
        <f aca="false">IF(WEEKDAY(A205,3)&gt;4,0,(IF(A205&lt;K$2,0,IF(A205&lt;=K$3,1,0))))</f>
        <v>0</v>
      </c>
      <c r="L205" s="124" t="n">
        <f aca="false">J205*K205</f>
        <v>0</v>
      </c>
      <c r="M205" s="124" t="n">
        <f aca="false">SUM(J$188:J205)</f>
        <v>0</v>
      </c>
      <c r="N205" s="124" t="n">
        <f aca="false">SUM(J$6:J205)</f>
        <v>-35909</v>
      </c>
      <c r="P205" s="148" t="n">
        <f aca="false">D205/P$3</f>
        <v>0</v>
      </c>
      <c r="Q205" s="124" t="n">
        <f aca="false">E205/P$3</f>
        <v>0</v>
      </c>
      <c r="R205" s="124" t="n">
        <f aca="false">F205/R$3</f>
        <v>0</v>
      </c>
      <c r="S205" s="126" t="n">
        <f aca="false">J205/$R$3</f>
        <v>0</v>
      </c>
      <c r="T205" s="126" t="n">
        <f aca="false">L205/$R$3</f>
        <v>0</v>
      </c>
      <c r="U205" s="126" t="n">
        <f aca="false">I205/$R$3</f>
        <v>0</v>
      </c>
      <c r="V205" s="126" t="n">
        <f aca="false">M205/$R$3</f>
        <v>0</v>
      </c>
      <c r="W205" s="126" t="n">
        <f aca="false">N205/$R$3</f>
        <v>-35.909</v>
      </c>
    </row>
    <row r="206" customFormat="false" ht="12.75" hidden="false" customHeight="false" outlineLevel="0" collapsed="false">
      <c r="A206" s="120" t="n">
        <f aca="false">A205+1</f>
        <v>37092</v>
      </c>
      <c r="B206" s="131" t="str">
        <f aca="false">INDEX('[4]Master Data'!$A$2:$B$8,MATCH(WEEKDAY('CRD Hedge'!A206,3),'[4]Master Data'!$A$2:$A$8,0),2)</f>
        <v>F</v>
      </c>
      <c r="D206" s="124" t="n">
        <v>0</v>
      </c>
      <c r="E206" s="124" t="n">
        <v>0</v>
      </c>
      <c r="F206" s="124" t="n">
        <v>0</v>
      </c>
      <c r="G206" s="124" t="n">
        <v>0</v>
      </c>
      <c r="I206" s="124" t="n">
        <f aca="false">IF(MONTH($A206)=MONTH($A205),IF(G206=0,I205,G206),G206)</f>
        <v>0</v>
      </c>
      <c r="J206" s="124" t="n">
        <f aca="false">IF(MONTH($A206)=MONTH($A205),SUM(I206-I205),I206)</f>
        <v>0</v>
      </c>
      <c r="K206" s="124" t="n">
        <f aca="false">IF(WEEKDAY(A206,3)&gt;4,0,(IF(A206&lt;K$2,0,IF(A206&lt;=K$3,1,0))))</f>
        <v>0</v>
      </c>
      <c r="L206" s="124" t="n">
        <f aca="false">J206*K206</f>
        <v>0</v>
      </c>
      <c r="M206" s="124" t="n">
        <f aca="false">SUM(J$188:J206)</f>
        <v>0</v>
      </c>
      <c r="N206" s="124" t="n">
        <f aca="false">SUM(J$6:J206)</f>
        <v>-35909</v>
      </c>
      <c r="P206" s="148" t="n">
        <f aca="false">D206/P$3</f>
        <v>0</v>
      </c>
      <c r="Q206" s="124" t="n">
        <f aca="false">E206/P$3</f>
        <v>0</v>
      </c>
      <c r="R206" s="124" t="n">
        <f aca="false">F206/R$3</f>
        <v>0</v>
      </c>
      <c r="S206" s="126" t="n">
        <f aca="false">J206/$R$3</f>
        <v>0</v>
      </c>
      <c r="T206" s="126" t="n">
        <f aca="false">L206/$R$3</f>
        <v>0</v>
      </c>
      <c r="U206" s="126" t="n">
        <f aca="false">I206/$R$3</f>
        <v>0</v>
      </c>
      <c r="V206" s="126" t="n">
        <f aca="false">M206/$R$3</f>
        <v>0</v>
      </c>
      <c r="W206" s="126" t="n">
        <f aca="false">N206/$R$3</f>
        <v>-35.909</v>
      </c>
    </row>
    <row r="207" customFormat="false" ht="12.75" hidden="false" customHeight="false" outlineLevel="0" collapsed="false">
      <c r="A207" s="120" t="n">
        <f aca="false">A206+1</f>
        <v>37093</v>
      </c>
      <c r="B207" s="131" t="str">
        <f aca="false">INDEX('[4]Master Data'!$A$2:$B$8,MATCH(WEEKDAY('CRD Hedge'!A207,3),'[4]Master Data'!$A$2:$A$8,0),2)</f>
        <v>Sa</v>
      </c>
      <c r="D207" s="124" t="n">
        <v>0</v>
      </c>
      <c r="E207" s="124" t="n">
        <v>0</v>
      </c>
      <c r="F207" s="124" t="n">
        <v>0</v>
      </c>
      <c r="G207" s="124" t="n">
        <v>0</v>
      </c>
      <c r="I207" s="124" t="n">
        <f aca="false">IF(MONTH($A207)=MONTH($A206),IF(G207=0,I206,G207),G207)</f>
        <v>0</v>
      </c>
      <c r="J207" s="124" t="n">
        <f aca="false">IF(MONTH($A207)=MONTH($A206),SUM(I207-I206),I207)</f>
        <v>0</v>
      </c>
      <c r="K207" s="124" t="n">
        <f aca="false">IF(WEEKDAY(A207,3)&gt;4,0,(IF(A207&lt;K$2,0,IF(A207&lt;=K$3,1,0))))</f>
        <v>0</v>
      </c>
      <c r="L207" s="124" t="n">
        <f aca="false">J207*K207</f>
        <v>0</v>
      </c>
      <c r="M207" s="124" t="n">
        <f aca="false">SUM(J$188:J207)</f>
        <v>0</v>
      </c>
      <c r="N207" s="124" t="n">
        <f aca="false">SUM(J$6:J207)</f>
        <v>-35909</v>
      </c>
      <c r="P207" s="148" t="n">
        <f aca="false">D207/P$3</f>
        <v>0</v>
      </c>
      <c r="Q207" s="124" t="n">
        <f aca="false">E207/P$3</f>
        <v>0</v>
      </c>
      <c r="R207" s="124" t="n">
        <f aca="false">F207/R$3</f>
        <v>0</v>
      </c>
      <c r="S207" s="126" t="n">
        <f aca="false">J207/$R$3</f>
        <v>0</v>
      </c>
      <c r="T207" s="126" t="n">
        <f aca="false">L207/$R$3</f>
        <v>0</v>
      </c>
      <c r="U207" s="126" t="n">
        <f aca="false">I207/$R$3</f>
        <v>0</v>
      </c>
      <c r="V207" s="126" t="n">
        <f aca="false">M207/$R$3</f>
        <v>0</v>
      </c>
      <c r="W207" s="126" t="n">
        <f aca="false">N207/$R$3</f>
        <v>-35.909</v>
      </c>
    </row>
    <row r="208" customFormat="false" ht="12.75" hidden="false" customHeight="false" outlineLevel="0" collapsed="false">
      <c r="A208" s="120" t="n">
        <f aca="false">A207+1</f>
        <v>37094</v>
      </c>
      <c r="B208" s="131" t="str">
        <f aca="false">INDEX('[4]Master Data'!$A$2:$B$8,MATCH(WEEKDAY('CRD Hedge'!A208,3),'[4]Master Data'!$A$2:$A$8,0),2)</f>
        <v>Su</v>
      </c>
      <c r="D208" s="124" t="n">
        <v>0</v>
      </c>
      <c r="E208" s="124" t="n">
        <v>0</v>
      </c>
      <c r="F208" s="124" t="n">
        <v>0</v>
      </c>
      <c r="G208" s="124" t="n">
        <v>0</v>
      </c>
      <c r="I208" s="124" t="n">
        <f aca="false">IF(MONTH($A208)=MONTH($A207),IF(G208=0,I207,G208),G208)</f>
        <v>0</v>
      </c>
      <c r="J208" s="124" t="n">
        <f aca="false">IF(MONTH($A208)=MONTH($A207),SUM(I208-I207),I208)</f>
        <v>0</v>
      </c>
      <c r="K208" s="124" t="n">
        <f aca="false">IF(WEEKDAY(A208,3)&gt;4,0,(IF(A208&lt;K$2,0,IF(A208&lt;=K$3,1,0))))</f>
        <v>0</v>
      </c>
      <c r="L208" s="124" t="n">
        <f aca="false">J208*K208</f>
        <v>0</v>
      </c>
      <c r="M208" s="124" t="n">
        <f aca="false">SUM(J$188:J208)</f>
        <v>0</v>
      </c>
      <c r="N208" s="124" t="n">
        <f aca="false">SUM(J$6:J208)</f>
        <v>-35909</v>
      </c>
      <c r="P208" s="148" t="n">
        <f aca="false">D208/P$3</f>
        <v>0</v>
      </c>
      <c r="Q208" s="124" t="n">
        <f aca="false">E208/P$3</f>
        <v>0</v>
      </c>
      <c r="R208" s="124" t="n">
        <f aca="false">F208/R$3</f>
        <v>0</v>
      </c>
      <c r="S208" s="126" t="n">
        <f aca="false">J208/$R$3</f>
        <v>0</v>
      </c>
      <c r="T208" s="126" t="n">
        <f aca="false">L208/$R$3</f>
        <v>0</v>
      </c>
      <c r="U208" s="126" t="n">
        <f aca="false">I208/$R$3</f>
        <v>0</v>
      </c>
      <c r="V208" s="126" t="n">
        <f aca="false">M208/$R$3</f>
        <v>0</v>
      </c>
      <c r="W208" s="126" t="n">
        <f aca="false">N208/$R$3</f>
        <v>-35.909</v>
      </c>
    </row>
    <row r="209" customFormat="false" ht="12.75" hidden="false" customHeight="false" outlineLevel="0" collapsed="false">
      <c r="A209" s="120" t="n">
        <f aca="false">A208+1</f>
        <v>37095</v>
      </c>
      <c r="B209" s="131" t="str">
        <f aca="false">INDEX('[4]Master Data'!$A$2:$B$8,MATCH(WEEKDAY('CRD Hedge'!A209,3),'[4]Master Data'!$A$2:$A$8,0),2)</f>
        <v>M</v>
      </c>
      <c r="D209" s="124" t="n">
        <v>0</v>
      </c>
      <c r="E209" s="124" t="n">
        <v>0</v>
      </c>
      <c r="F209" s="124" t="n">
        <v>0</v>
      </c>
      <c r="G209" s="124" t="n">
        <v>0</v>
      </c>
      <c r="I209" s="124" t="n">
        <f aca="false">IF(MONTH($A209)=MONTH($A208),IF(G209=0,I208,G209),G209)</f>
        <v>0</v>
      </c>
      <c r="J209" s="124" t="n">
        <f aca="false">IF(MONTH($A209)=MONTH($A208),SUM(I209-I208),I209)</f>
        <v>0</v>
      </c>
      <c r="K209" s="124" t="n">
        <f aca="false">IF(WEEKDAY(A209,3)&gt;4,0,(IF(A209&lt;K$2,0,IF(A209&lt;=K$3,1,0))))</f>
        <v>0</v>
      </c>
      <c r="L209" s="124" t="n">
        <f aca="false">J209*K209</f>
        <v>0</v>
      </c>
      <c r="M209" s="124" t="n">
        <f aca="false">SUM(J$188:J209)</f>
        <v>0</v>
      </c>
      <c r="N209" s="124" t="n">
        <f aca="false">SUM(J$6:J209)</f>
        <v>-35909</v>
      </c>
      <c r="P209" s="148" t="n">
        <f aca="false">D209/P$3</f>
        <v>0</v>
      </c>
      <c r="Q209" s="124" t="n">
        <f aca="false">E209/P$3</f>
        <v>0</v>
      </c>
      <c r="R209" s="124" t="n">
        <f aca="false">F209/R$3</f>
        <v>0</v>
      </c>
      <c r="S209" s="126" t="n">
        <f aca="false">J209/$R$3</f>
        <v>0</v>
      </c>
      <c r="T209" s="126" t="n">
        <f aca="false">L209/$R$3</f>
        <v>0</v>
      </c>
      <c r="U209" s="126" t="n">
        <f aca="false">I209/$R$3</f>
        <v>0</v>
      </c>
      <c r="V209" s="126" t="n">
        <f aca="false">M209/$R$3</f>
        <v>0</v>
      </c>
      <c r="W209" s="126" t="n">
        <f aca="false">N209/$R$3</f>
        <v>-35.909</v>
      </c>
    </row>
    <row r="210" customFormat="false" ht="12.75" hidden="false" customHeight="false" outlineLevel="0" collapsed="false">
      <c r="A210" s="120" t="n">
        <f aca="false">A209+1</f>
        <v>37096</v>
      </c>
      <c r="B210" s="131" t="str">
        <f aca="false">INDEX('[4]Master Data'!$A$2:$B$8,MATCH(WEEKDAY('CRD Hedge'!A210,3),'[4]Master Data'!$A$2:$A$8,0),2)</f>
        <v>T</v>
      </c>
      <c r="D210" s="124" t="n">
        <v>0</v>
      </c>
      <c r="E210" s="124" t="n">
        <v>0</v>
      </c>
      <c r="F210" s="124" t="n">
        <v>0</v>
      </c>
      <c r="G210" s="124" t="n">
        <v>0</v>
      </c>
      <c r="I210" s="124" t="n">
        <f aca="false">IF(MONTH($A210)=MONTH($A209),IF(G210=0,I209,G210),G210)</f>
        <v>0</v>
      </c>
      <c r="J210" s="124" t="n">
        <f aca="false">IF(MONTH($A210)=MONTH($A209),SUM(I210-I209),I210)</f>
        <v>0</v>
      </c>
      <c r="K210" s="124" t="n">
        <f aca="false">IF(WEEKDAY(A210,3)&gt;4,0,(IF(A210&lt;K$2,0,IF(A210&lt;=K$3,1,0))))</f>
        <v>0</v>
      </c>
      <c r="L210" s="124" t="n">
        <f aca="false">J210*K210</f>
        <v>0</v>
      </c>
      <c r="M210" s="124" t="n">
        <f aca="false">SUM(J$188:J210)</f>
        <v>0</v>
      </c>
      <c r="N210" s="124" t="n">
        <f aca="false">SUM(J$6:J210)</f>
        <v>-35909</v>
      </c>
      <c r="P210" s="148" t="n">
        <f aca="false">D210/P$3</f>
        <v>0</v>
      </c>
      <c r="Q210" s="124" t="n">
        <f aca="false">E210/P$3</f>
        <v>0</v>
      </c>
      <c r="R210" s="124" t="n">
        <f aca="false">F210/R$3</f>
        <v>0</v>
      </c>
      <c r="S210" s="126" t="n">
        <f aca="false">J210/$R$3</f>
        <v>0</v>
      </c>
      <c r="T210" s="126" t="n">
        <f aca="false">L210/$R$3</f>
        <v>0</v>
      </c>
      <c r="U210" s="126" t="n">
        <f aca="false">I210/$R$3</f>
        <v>0</v>
      </c>
      <c r="V210" s="126" t="n">
        <f aca="false">M210/$R$3</f>
        <v>0</v>
      </c>
      <c r="W210" s="126" t="n">
        <f aca="false">N210/$R$3</f>
        <v>-35.909</v>
      </c>
    </row>
    <row r="211" customFormat="false" ht="12.75" hidden="false" customHeight="false" outlineLevel="0" collapsed="false">
      <c r="A211" s="120" t="n">
        <f aca="false">A210+1</f>
        <v>37097</v>
      </c>
      <c r="B211" s="131" t="str">
        <f aca="false">INDEX('[4]Master Data'!$A$2:$B$8,MATCH(WEEKDAY('CRD Hedge'!A211,3),'[4]Master Data'!$A$2:$A$8,0),2)</f>
        <v>W</v>
      </c>
      <c r="D211" s="124" t="n">
        <v>0</v>
      </c>
      <c r="E211" s="124" t="n">
        <v>0</v>
      </c>
      <c r="F211" s="124" t="n">
        <v>0</v>
      </c>
      <c r="G211" s="124" t="n">
        <v>0</v>
      </c>
      <c r="I211" s="124" t="n">
        <f aca="false">IF(MONTH($A211)=MONTH($A210),IF(G211=0,I210,G211),G211)</f>
        <v>0</v>
      </c>
      <c r="J211" s="124" t="n">
        <f aca="false">IF(MONTH($A211)=MONTH($A210),SUM(I211-I210),I211)</f>
        <v>0</v>
      </c>
      <c r="K211" s="124" t="n">
        <f aca="false">IF(WEEKDAY(A211,3)&gt;4,0,(IF(A211&lt;K$2,0,IF(A211&lt;=K$3,1,0))))</f>
        <v>0</v>
      </c>
      <c r="L211" s="124" t="n">
        <f aca="false">J211*K211</f>
        <v>0</v>
      </c>
      <c r="M211" s="124" t="n">
        <f aca="false">SUM(J$188:J211)</f>
        <v>0</v>
      </c>
      <c r="N211" s="124" t="n">
        <f aca="false">SUM(J$6:J211)</f>
        <v>-35909</v>
      </c>
      <c r="P211" s="148" t="n">
        <f aca="false">D211/P$3</f>
        <v>0</v>
      </c>
      <c r="Q211" s="124" t="n">
        <f aca="false">E211/P$3</f>
        <v>0</v>
      </c>
      <c r="R211" s="124" t="n">
        <f aca="false">F211/R$3</f>
        <v>0</v>
      </c>
      <c r="S211" s="126" t="n">
        <f aca="false">J211/$R$3</f>
        <v>0</v>
      </c>
      <c r="T211" s="126" t="n">
        <f aca="false">L211/$R$3</f>
        <v>0</v>
      </c>
      <c r="U211" s="126" t="n">
        <f aca="false">I211/$R$3</f>
        <v>0</v>
      </c>
      <c r="V211" s="126" t="n">
        <f aca="false">M211/$R$3</f>
        <v>0</v>
      </c>
      <c r="W211" s="126" t="n">
        <f aca="false">N211/$R$3</f>
        <v>-35.909</v>
      </c>
    </row>
    <row r="212" customFormat="false" ht="12.75" hidden="false" customHeight="false" outlineLevel="0" collapsed="false">
      <c r="A212" s="120" t="n">
        <f aca="false">A211+1</f>
        <v>37098</v>
      </c>
      <c r="B212" s="131" t="str">
        <f aca="false">INDEX('[4]Master Data'!$A$2:$B$8,MATCH(WEEKDAY('CRD Hedge'!A212,3),'[4]Master Data'!$A$2:$A$8,0),2)</f>
        <v>Th</v>
      </c>
      <c r="D212" s="124" t="n">
        <v>0</v>
      </c>
      <c r="E212" s="124" t="n">
        <v>0</v>
      </c>
      <c r="F212" s="124" t="n">
        <v>0</v>
      </c>
      <c r="G212" s="124" t="n">
        <v>0</v>
      </c>
      <c r="I212" s="124" t="n">
        <f aca="false">IF(MONTH($A212)=MONTH($A211),IF(G212=0,I211,G212),G212)</f>
        <v>0</v>
      </c>
      <c r="J212" s="124" t="n">
        <f aca="false">IF(MONTH($A212)=MONTH($A211),SUM(I212-I211),I212)</f>
        <v>0</v>
      </c>
      <c r="K212" s="124" t="n">
        <f aca="false">IF(WEEKDAY(A212,3)&gt;4,0,(IF(A212&lt;K$2,0,IF(A212&lt;=K$3,1,0))))</f>
        <v>0</v>
      </c>
      <c r="L212" s="124" t="n">
        <f aca="false">J212*K212</f>
        <v>0</v>
      </c>
      <c r="M212" s="124" t="n">
        <f aca="false">SUM(J$188:J212)</f>
        <v>0</v>
      </c>
      <c r="N212" s="124" t="n">
        <f aca="false">SUM(J$6:J212)</f>
        <v>-35909</v>
      </c>
      <c r="P212" s="148" t="n">
        <f aca="false">D212/P$3</f>
        <v>0</v>
      </c>
      <c r="Q212" s="124" t="n">
        <f aca="false">E212/P$3</f>
        <v>0</v>
      </c>
      <c r="R212" s="124" t="n">
        <f aca="false">F212/R$3</f>
        <v>0</v>
      </c>
      <c r="S212" s="126" t="n">
        <f aca="false">J212/$R$3</f>
        <v>0</v>
      </c>
      <c r="T212" s="126" t="n">
        <f aca="false">L212/$R$3</f>
        <v>0</v>
      </c>
      <c r="U212" s="126" t="n">
        <f aca="false">I212/$R$3</f>
        <v>0</v>
      </c>
      <c r="V212" s="126" t="n">
        <f aca="false">M212/$R$3</f>
        <v>0</v>
      </c>
      <c r="W212" s="126" t="n">
        <f aca="false">N212/$R$3</f>
        <v>-35.909</v>
      </c>
    </row>
    <row r="213" customFormat="false" ht="12.75" hidden="false" customHeight="false" outlineLevel="0" collapsed="false">
      <c r="A213" s="120" t="n">
        <f aca="false">A212+1</f>
        <v>37099</v>
      </c>
      <c r="B213" s="131" t="str">
        <f aca="false">INDEX('[4]Master Data'!$A$2:$B$8,MATCH(WEEKDAY('CRD Hedge'!A213,3),'[4]Master Data'!$A$2:$A$8,0),2)</f>
        <v>F</v>
      </c>
      <c r="D213" s="124" t="n">
        <v>0</v>
      </c>
      <c r="E213" s="124" t="n">
        <v>0</v>
      </c>
      <c r="F213" s="124" t="n">
        <v>0</v>
      </c>
      <c r="G213" s="124" t="n">
        <v>0</v>
      </c>
      <c r="I213" s="124" t="n">
        <f aca="false">IF(MONTH($A213)=MONTH($A212),IF(G213=0,I212,G213),G213)</f>
        <v>0</v>
      </c>
      <c r="J213" s="124" t="n">
        <f aca="false">IF(MONTH($A213)=MONTH($A212),SUM(I213-I212),I213)</f>
        <v>0</v>
      </c>
      <c r="K213" s="124" t="n">
        <f aca="false">IF(WEEKDAY(A213,3)&gt;4,0,(IF(A213&lt;K$2,0,IF(A213&lt;=K$3,1,0))))</f>
        <v>0</v>
      </c>
      <c r="L213" s="124" t="n">
        <f aca="false">J213*K213</f>
        <v>0</v>
      </c>
      <c r="M213" s="124" t="n">
        <f aca="false">SUM(J$188:J213)</f>
        <v>0</v>
      </c>
      <c r="N213" s="124" t="n">
        <f aca="false">SUM(J$6:J213)</f>
        <v>-35909</v>
      </c>
      <c r="P213" s="148" t="n">
        <f aca="false">D213/P$3</f>
        <v>0</v>
      </c>
      <c r="Q213" s="124" t="n">
        <f aca="false">E213/P$3</f>
        <v>0</v>
      </c>
      <c r="R213" s="124" t="n">
        <f aca="false">F213/R$3</f>
        <v>0</v>
      </c>
      <c r="S213" s="126" t="n">
        <f aca="false">J213/$R$3</f>
        <v>0</v>
      </c>
      <c r="T213" s="126" t="n">
        <f aca="false">L213/$R$3</f>
        <v>0</v>
      </c>
      <c r="U213" s="126" t="n">
        <f aca="false">I213/$R$3</f>
        <v>0</v>
      </c>
      <c r="V213" s="126" t="n">
        <f aca="false">M213/$R$3</f>
        <v>0</v>
      </c>
      <c r="W213" s="126" t="n">
        <f aca="false">N213/$R$3</f>
        <v>-35.909</v>
      </c>
    </row>
    <row r="214" customFormat="false" ht="12.75" hidden="false" customHeight="false" outlineLevel="0" collapsed="false">
      <c r="A214" s="120" t="n">
        <f aca="false">A213+1</f>
        <v>37100</v>
      </c>
      <c r="B214" s="131" t="str">
        <f aca="false">INDEX('[4]Master Data'!$A$2:$B$8,MATCH(WEEKDAY('CRD Hedge'!A214,3),'[4]Master Data'!$A$2:$A$8,0),2)</f>
        <v>Sa</v>
      </c>
      <c r="D214" s="124" t="n">
        <v>0</v>
      </c>
      <c r="E214" s="124" t="n">
        <v>0</v>
      </c>
      <c r="F214" s="124" t="n">
        <v>0</v>
      </c>
      <c r="G214" s="124" t="n">
        <v>0</v>
      </c>
      <c r="I214" s="124" t="n">
        <f aca="false">IF(MONTH($A214)=MONTH($A213),IF(G214=0,I213,G214),G214)</f>
        <v>0</v>
      </c>
      <c r="J214" s="124" t="n">
        <f aca="false">IF(MONTH($A214)=MONTH($A213),SUM(I214-I213),I214)</f>
        <v>0</v>
      </c>
      <c r="K214" s="124" t="n">
        <f aca="false">IF(WEEKDAY(A214,3)&gt;4,0,(IF(A214&lt;K$2,0,IF(A214&lt;=K$3,1,0))))</f>
        <v>0</v>
      </c>
      <c r="L214" s="124" t="n">
        <f aca="false">J214*K214</f>
        <v>0</v>
      </c>
      <c r="M214" s="124" t="n">
        <f aca="false">SUM(J$188:J214)</f>
        <v>0</v>
      </c>
      <c r="N214" s="124" t="n">
        <f aca="false">SUM(J$6:J214)</f>
        <v>-35909</v>
      </c>
      <c r="P214" s="148" t="n">
        <f aca="false">D214/P$3</f>
        <v>0</v>
      </c>
      <c r="Q214" s="124" t="n">
        <f aca="false">E214/P$3</f>
        <v>0</v>
      </c>
      <c r="R214" s="124" t="n">
        <f aca="false">F214/R$3</f>
        <v>0</v>
      </c>
      <c r="S214" s="126" t="n">
        <f aca="false">J214/$R$3</f>
        <v>0</v>
      </c>
      <c r="T214" s="126" t="n">
        <f aca="false">L214/$R$3</f>
        <v>0</v>
      </c>
      <c r="U214" s="126" t="n">
        <f aca="false">I214/$R$3</f>
        <v>0</v>
      </c>
      <c r="V214" s="126" t="n">
        <f aca="false">M214/$R$3</f>
        <v>0</v>
      </c>
      <c r="W214" s="126" t="n">
        <f aca="false">N214/$R$3</f>
        <v>-35.909</v>
      </c>
    </row>
    <row r="215" customFormat="false" ht="12.75" hidden="false" customHeight="false" outlineLevel="0" collapsed="false">
      <c r="A215" s="120" t="n">
        <f aca="false">A214+1</f>
        <v>37101</v>
      </c>
      <c r="B215" s="131" t="str">
        <f aca="false">INDEX('[4]Master Data'!$A$2:$B$8,MATCH(WEEKDAY('CRD Hedge'!A215,3),'[4]Master Data'!$A$2:$A$8,0),2)</f>
        <v>Su</v>
      </c>
      <c r="D215" s="124" t="n">
        <v>0</v>
      </c>
      <c r="E215" s="124" t="n">
        <v>0</v>
      </c>
      <c r="F215" s="124" t="n">
        <v>0</v>
      </c>
      <c r="G215" s="124" t="n">
        <v>0</v>
      </c>
      <c r="I215" s="124" t="n">
        <f aca="false">IF(MONTH($A215)=MONTH($A214),IF(G215=0,I214,G215),G215)</f>
        <v>0</v>
      </c>
      <c r="J215" s="124" t="n">
        <f aca="false">IF(MONTH($A215)=MONTH($A214),SUM(I215-I214),I215)</f>
        <v>0</v>
      </c>
      <c r="K215" s="124" t="n">
        <f aca="false">IF(WEEKDAY(A215,3)&gt;4,0,(IF(A215&lt;K$2,0,IF(A215&lt;=K$3,1,0))))</f>
        <v>0</v>
      </c>
      <c r="L215" s="124" t="n">
        <f aca="false">J215*K215</f>
        <v>0</v>
      </c>
      <c r="M215" s="124" t="n">
        <f aca="false">SUM(J$188:J215)</f>
        <v>0</v>
      </c>
      <c r="N215" s="124" t="n">
        <f aca="false">SUM(J$6:J215)</f>
        <v>-35909</v>
      </c>
      <c r="P215" s="148" t="n">
        <f aca="false">D215/P$3</f>
        <v>0</v>
      </c>
      <c r="Q215" s="124" t="n">
        <f aca="false">E215/P$3</f>
        <v>0</v>
      </c>
      <c r="R215" s="124" t="n">
        <f aca="false">F215/R$3</f>
        <v>0</v>
      </c>
      <c r="S215" s="126" t="n">
        <f aca="false">J215/$R$3</f>
        <v>0</v>
      </c>
      <c r="T215" s="126" t="n">
        <f aca="false">L215/$R$3</f>
        <v>0</v>
      </c>
      <c r="U215" s="126" t="n">
        <f aca="false">I215/$R$3</f>
        <v>0</v>
      </c>
      <c r="V215" s="126" t="n">
        <f aca="false">M215/$R$3</f>
        <v>0</v>
      </c>
      <c r="W215" s="126" t="n">
        <f aca="false">N215/$R$3</f>
        <v>-35.909</v>
      </c>
    </row>
    <row r="216" customFormat="false" ht="12.75" hidden="false" customHeight="false" outlineLevel="0" collapsed="false">
      <c r="A216" s="120" t="n">
        <f aca="false">A215+1</f>
        <v>37102</v>
      </c>
      <c r="B216" s="131" t="str">
        <f aca="false">INDEX('[4]Master Data'!$A$2:$B$8,MATCH(WEEKDAY('CRD Hedge'!A216,3),'[4]Master Data'!$A$2:$A$8,0),2)</f>
        <v>M</v>
      </c>
      <c r="D216" s="124" t="n">
        <v>0</v>
      </c>
      <c r="E216" s="124" t="n">
        <v>0</v>
      </c>
      <c r="F216" s="124" t="n">
        <v>0</v>
      </c>
      <c r="G216" s="124" t="n">
        <v>0</v>
      </c>
      <c r="I216" s="124" t="n">
        <f aca="false">IF(MONTH($A216)=MONTH($A215),IF(G216=0,I215,G216),G216)</f>
        <v>0</v>
      </c>
      <c r="J216" s="124" t="n">
        <f aca="false">IF(MONTH($A216)=MONTH($A215),SUM(I216-I215),I216)</f>
        <v>0</v>
      </c>
      <c r="K216" s="124" t="n">
        <f aca="false">IF(WEEKDAY(A216,3)&gt;4,0,(IF(A216&lt;K$2,0,IF(A216&lt;=K$3,1,0))))</f>
        <v>0</v>
      </c>
      <c r="L216" s="124" t="n">
        <f aca="false">J216*K216</f>
        <v>0</v>
      </c>
      <c r="M216" s="124" t="n">
        <f aca="false">SUM(J$188:J216)</f>
        <v>0</v>
      </c>
      <c r="N216" s="124" t="n">
        <f aca="false">SUM(J$6:J216)</f>
        <v>-35909</v>
      </c>
      <c r="P216" s="148" t="n">
        <f aca="false">D216/P$3</f>
        <v>0</v>
      </c>
      <c r="Q216" s="124" t="n">
        <f aca="false">E216/P$3</f>
        <v>0</v>
      </c>
      <c r="R216" s="124" t="n">
        <f aca="false">F216/R$3</f>
        <v>0</v>
      </c>
      <c r="S216" s="126" t="n">
        <f aca="false">J216/$R$3</f>
        <v>0</v>
      </c>
      <c r="T216" s="126" t="n">
        <f aca="false">L216/$R$3</f>
        <v>0</v>
      </c>
      <c r="U216" s="126" t="n">
        <f aca="false">I216/$R$3</f>
        <v>0</v>
      </c>
      <c r="V216" s="126" t="n">
        <f aca="false">M216/$R$3</f>
        <v>0</v>
      </c>
      <c r="W216" s="126" t="n">
        <f aca="false">N216/$R$3</f>
        <v>-35.909</v>
      </c>
    </row>
    <row r="217" customFormat="false" ht="12.75" hidden="false" customHeight="false" outlineLevel="0" collapsed="false">
      <c r="A217" s="120" t="n">
        <f aca="false">A216+1</f>
        <v>37103</v>
      </c>
      <c r="B217" s="131" t="str">
        <f aca="false">INDEX('[4]Master Data'!$A$2:$B$8,MATCH(WEEKDAY('CRD Hedge'!A217,3),'[4]Master Data'!$A$2:$A$8,0),2)</f>
        <v>T</v>
      </c>
      <c r="D217" s="124" t="n">
        <v>0</v>
      </c>
      <c r="E217" s="124" t="n">
        <v>0</v>
      </c>
      <c r="F217" s="124" t="n">
        <v>0</v>
      </c>
      <c r="G217" s="124" t="n">
        <v>0</v>
      </c>
      <c r="I217" s="124" t="n">
        <f aca="false">IF(MONTH($A217)=MONTH($A216),IF(G217=0,I216,G217),G217)</f>
        <v>0</v>
      </c>
      <c r="J217" s="124" t="n">
        <f aca="false">IF(MONTH($A217)=MONTH($A216),SUM(I217-I216),I217)</f>
        <v>0</v>
      </c>
      <c r="K217" s="124" t="n">
        <f aca="false">IF(WEEKDAY(A217,3)&gt;4,0,(IF(A217&lt;K$2,0,IF(A217&lt;=K$3,1,0))))</f>
        <v>0</v>
      </c>
      <c r="L217" s="124" t="n">
        <f aca="false">J217*K217</f>
        <v>0</v>
      </c>
      <c r="M217" s="124" t="n">
        <f aca="false">SUM(J$188:J217)</f>
        <v>0</v>
      </c>
      <c r="N217" s="124" t="n">
        <f aca="false">SUM(J$6:J217)</f>
        <v>-35909</v>
      </c>
      <c r="P217" s="148" t="n">
        <f aca="false">D217/P$3</f>
        <v>0</v>
      </c>
      <c r="Q217" s="124" t="n">
        <f aca="false">E217/P$3</f>
        <v>0</v>
      </c>
      <c r="R217" s="124" t="n">
        <f aca="false">F217/R$3</f>
        <v>0</v>
      </c>
      <c r="S217" s="126" t="n">
        <f aca="false">J217/$R$3</f>
        <v>0</v>
      </c>
      <c r="T217" s="126" t="n">
        <f aca="false">L217/$R$3</f>
        <v>0</v>
      </c>
      <c r="U217" s="126" t="n">
        <f aca="false">I217/$R$3</f>
        <v>0</v>
      </c>
      <c r="V217" s="126" t="n">
        <f aca="false">M217/$R$3</f>
        <v>0</v>
      </c>
      <c r="W217" s="126" t="n">
        <f aca="false">N217/$R$3</f>
        <v>-35.909</v>
      </c>
    </row>
    <row r="218" customFormat="false" ht="12.75" hidden="false" customHeight="false" outlineLevel="0" collapsed="false">
      <c r="A218" s="120" t="n">
        <f aca="false">A217+1</f>
        <v>37104</v>
      </c>
      <c r="B218" s="131" t="str">
        <f aca="false">INDEX('[4]Master Data'!$A$2:$B$8,MATCH(WEEKDAY('CRD Hedge'!A218,3),'[4]Master Data'!$A$2:$A$8,0),2)</f>
        <v>W</v>
      </c>
      <c r="D218" s="124" t="n">
        <v>0</v>
      </c>
      <c r="E218" s="124" t="n">
        <v>0</v>
      </c>
      <c r="F218" s="124" t="n">
        <v>0</v>
      </c>
      <c r="G218" s="124" t="n">
        <v>0</v>
      </c>
      <c r="I218" s="124" t="n">
        <f aca="false">IF(MONTH($A218)=MONTH($A217),IF(G218=0,I217,G218),G218)</f>
        <v>0</v>
      </c>
      <c r="J218" s="124" t="n">
        <f aca="false">IF(MONTH($A218)=MONTH($A217),SUM(I218-I217),I218)</f>
        <v>0</v>
      </c>
      <c r="K218" s="124" t="n">
        <f aca="false">IF(WEEKDAY(A218,3)&gt;4,0,(IF(A218&lt;K$2,0,IF(A218&lt;=K$3,1,0))))</f>
        <v>0</v>
      </c>
      <c r="L218" s="124" t="n">
        <f aca="false">J218*K218</f>
        <v>0</v>
      </c>
      <c r="M218" s="124" t="n">
        <f aca="false">SUM(J$188:J218)</f>
        <v>0</v>
      </c>
      <c r="N218" s="124" t="n">
        <f aca="false">SUM(J$6:J218)</f>
        <v>-35909</v>
      </c>
      <c r="P218" s="148" t="n">
        <f aca="false">D218/P$3</f>
        <v>0</v>
      </c>
      <c r="Q218" s="124" t="n">
        <f aca="false">E218/P$3</f>
        <v>0</v>
      </c>
      <c r="R218" s="124" t="n">
        <f aca="false">F218/R$3</f>
        <v>0</v>
      </c>
      <c r="S218" s="126" t="n">
        <f aca="false">J218/$R$3</f>
        <v>0</v>
      </c>
      <c r="T218" s="126" t="n">
        <f aca="false">L218/$R$3</f>
        <v>0</v>
      </c>
      <c r="U218" s="126" t="n">
        <f aca="false">I218/$R$3</f>
        <v>0</v>
      </c>
      <c r="V218" s="126" t="n">
        <f aca="false">M218/$R$3</f>
        <v>0</v>
      </c>
      <c r="W218" s="126" t="n">
        <f aca="false">N218/$R$3</f>
        <v>-35.909</v>
      </c>
    </row>
    <row r="219" customFormat="false" ht="12.75" hidden="false" customHeight="false" outlineLevel="0" collapsed="false">
      <c r="A219" s="120" t="n">
        <f aca="false">A218+1</f>
        <v>37105</v>
      </c>
      <c r="B219" s="131" t="str">
        <f aca="false">INDEX('[4]Master Data'!$A$2:$B$8,MATCH(WEEKDAY('CRD Hedge'!A219,3),'[4]Master Data'!$A$2:$A$8,0),2)</f>
        <v>Th</v>
      </c>
      <c r="D219" s="124" t="n">
        <v>0</v>
      </c>
      <c r="E219" s="124" t="n">
        <v>0</v>
      </c>
      <c r="F219" s="124" t="n">
        <v>0</v>
      </c>
      <c r="G219" s="124" t="n">
        <v>0</v>
      </c>
      <c r="I219" s="124" t="n">
        <f aca="false">IF(MONTH($A219)=MONTH($A218),IF(G219=0,I218,G219),G219)</f>
        <v>0</v>
      </c>
      <c r="J219" s="124" t="n">
        <f aca="false">IF(MONTH($A219)=MONTH($A218),SUM(I219-I218),I219)</f>
        <v>0</v>
      </c>
      <c r="K219" s="124" t="n">
        <f aca="false">IF(WEEKDAY(A219,3)&gt;4,0,(IF(A219&lt;K$2,0,IF(A219&lt;=K$3,1,0))))</f>
        <v>0</v>
      </c>
      <c r="L219" s="124" t="n">
        <f aca="false">J219*K219</f>
        <v>0</v>
      </c>
      <c r="M219" s="124" t="n">
        <f aca="false">SUM(J$188:J219)</f>
        <v>0</v>
      </c>
      <c r="N219" s="124" t="n">
        <f aca="false">SUM(J$6:J219)</f>
        <v>-35909</v>
      </c>
      <c r="P219" s="148" t="n">
        <f aca="false">D219/P$3</f>
        <v>0</v>
      </c>
      <c r="Q219" s="124" t="n">
        <f aca="false">E219/P$3</f>
        <v>0</v>
      </c>
      <c r="R219" s="124" t="n">
        <f aca="false">F219/R$3</f>
        <v>0</v>
      </c>
      <c r="S219" s="126" t="n">
        <f aca="false">J219/$R$3</f>
        <v>0</v>
      </c>
      <c r="T219" s="126" t="n">
        <f aca="false">L219/$R$3</f>
        <v>0</v>
      </c>
      <c r="U219" s="126" t="n">
        <f aca="false">I219/$R$3</f>
        <v>0</v>
      </c>
      <c r="V219" s="126" t="n">
        <f aca="false">M219/$R$3</f>
        <v>0</v>
      </c>
      <c r="W219" s="126" t="n">
        <f aca="false">N219/$R$3</f>
        <v>-35.909</v>
      </c>
    </row>
    <row r="220" customFormat="false" ht="12.75" hidden="false" customHeight="false" outlineLevel="0" collapsed="false">
      <c r="A220" s="120" t="n">
        <f aca="false">A219+1</f>
        <v>37106</v>
      </c>
      <c r="B220" s="131" t="str">
        <f aca="false">INDEX('[4]Master Data'!$A$2:$B$8,MATCH(WEEKDAY('CRD Hedge'!A220,3),'[4]Master Data'!$A$2:$A$8,0),2)</f>
        <v>F</v>
      </c>
      <c r="D220" s="124" t="n">
        <v>0</v>
      </c>
      <c r="E220" s="124" t="n">
        <v>0</v>
      </c>
      <c r="F220" s="124" t="n">
        <v>0</v>
      </c>
      <c r="G220" s="124" t="n">
        <v>0</v>
      </c>
      <c r="I220" s="124" t="n">
        <f aca="false">IF(MONTH($A220)=MONTH($A219),IF(G220=0,I219,G220),G220)</f>
        <v>0</v>
      </c>
      <c r="J220" s="124" t="n">
        <f aca="false">IF(MONTH($A220)=MONTH($A219),SUM(I220-I219),I220)</f>
        <v>0</v>
      </c>
      <c r="K220" s="124" t="n">
        <f aca="false">IF(WEEKDAY(A220,3)&gt;4,0,(IF(A220&lt;K$2,0,IF(A220&lt;=K$3,1,0))))</f>
        <v>0</v>
      </c>
      <c r="L220" s="124" t="n">
        <f aca="false">J220*K220</f>
        <v>0</v>
      </c>
      <c r="M220" s="124" t="n">
        <f aca="false">SUM(J$188:J220)</f>
        <v>0</v>
      </c>
      <c r="N220" s="124" t="n">
        <f aca="false">SUM(J$6:J220)</f>
        <v>-35909</v>
      </c>
      <c r="P220" s="148" t="n">
        <f aca="false">D220/P$3</f>
        <v>0</v>
      </c>
      <c r="Q220" s="124" t="n">
        <f aca="false">E220/P$3</f>
        <v>0</v>
      </c>
      <c r="R220" s="124" t="n">
        <f aca="false">F220/R$3</f>
        <v>0</v>
      </c>
      <c r="S220" s="126" t="n">
        <f aca="false">J220/$R$3</f>
        <v>0</v>
      </c>
      <c r="T220" s="126" t="n">
        <f aca="false">L220/$R$3</f>
        <v>0</v>
      </c>
      <c r="U220" s="126" t="n">
        <f aca="false">I220/$R$3</f>
        <v>0</v>
      </c>
      <c r="V220" s="126" t="n">
        <f aca="false">M220/$R$3</f>
        <v>0</v>
      </c>
      <c r="W220" s="126" t="n">
        <f aca="false">N220/$R$3</f>
        <v>-35.909</v>
      </c>
    </row>
    <row r="221" customFormat="false" ht="12.75" hidden="false" customHeight="false" outlineLevel="0" collapsed="false">
      <c r="A221" s="120" t="n">
        <f aca="false">A220+1</f>
        <v>37107</v>
      </c>
      <c r="B221" s="131" t="str">
        <f aca="false">INDEX('[4]Master Data'!$A$2:$B$8,MATCH(WEEKDAY('CRD Hedge'!A221,3),'[4]Master Data'!$A$2:$A$8,0),2)</f>
        <v>Sa</v>
      </c>
      <c r="D221" s="124" t="n">
        <v>0</v>
      </c>
      <c r="E221" s="124" t="n">
        <v>0</v>
      </c>
      <c r="F221" s="124" t="n">
        <v>0</v>
      </c>
      <c r="G221" s="124" t="n">
        <v>0</v>
      </c>
      <c r="I221" s="124" t="n">
        <f aca="false">IF(MONTH($A221)=MONTH($A220),IF(G221=0,I220,G221),G221)</f>
        <v>0</v>
      </c>
      <c r="J221" s="124" t="n">
        <f aca="false">IF(MONTH($A221)=MONTH($A220),SUM(I221-I220),I221)</f>
        <v>0</v>
      </c>
      <c r="K221" s="124" t="n">
        <f aca="false">IF(WEEKDAY(A221,3)&gt;4,0,(IF(A221&lt;K$2,0,IF(A221&lt;=K$3,1,0))))</f>
        <v>0</v>
      </c>
      <c r="L221" s="124" t="n">
        <f aca="false">J221*K221</f>
        <v>0</v>
      </c>
      <c r="M221" s="124" t="n">
        <f aca="false">SUM(J$188:J221)</f>
        <v>0</v>
      </c>
      <c r="N221" s="124" t="n">
        <f aca="false">SUM(J$6:J221)</f>
        <v>-35909</v>
      </c>
      <c r="P221" s="148" t="n">
        <f aca="false">D221/P$3</f>
        <v>0</v>
      </c>
      <c r="Q221" s="124" t="n">
        <f aca="false">E221/P$3</f>
        <v>0</v>
      </c>
      <c r="R221" s="124" t="n">
        <f aca="false">F221/R$3</f>
        <v>0</v>
      </c>
      <c r="S221" s="126" t="n">
        <f aca="false">J221/$R$3</f>
        <v>0</v>
      </c>
      <c r="T221" s="126" t="n">
        <f aca="false">L221/$R$3</f>
        <v>0</v>
      </c>
      <c r="U221" s="126" t="n">
        <f aca="false">I221/$R$3</f>
        <v>0</v>
      </c>
      <c r="V221" s="126" t="n">
        <f aca="false">M221/$R$3</f>
        <v>0</v>
      </c>
      <c r="W221" s="126" t="n">
        <f aca="false">N221/$R$3</f>
        <v>-35.909</v>
      </c>
    </row>
    <row r="222" customFormat="false" ht="12.75" hidden="false" customHeight="false" outlineLevel="0" collapsed="false">
      <c r="A222" s="120" t="n">
        <f aca="false">A221+1</f>
        <v>37108</v>
      </c>
      <c r="B222" s="131" t="str">
        <f aca="false">INDEX('[4]Master Data'!$A$2:$B$8,MATCH(WEEKDAY('CRD Hedge'!A222,3),'[4]Master Data'!$A$2:$A$8,0),2)</f>
        <v>Su</v>
      </c>
      <c r="D222" s="124" t="n">
        <v>0</v>
      </c>
      <c r="E222" s="124" t="n">
        <v>0</v>
      </c>
      <c r="F222" s="124" t="n">
        <v>0</v>
      </c>
      <c r="G222" s="124" t="n">
        <v>0</v>
      </c>
      <c r="I222" s="124" t="n">
        <f aca="false">IF(MONTH($A222)=MONTH($A221),IF(G222=0,I221,G222),G222)</f>
        <v>0</v>
      </c>
      <c r="J222" s="124" t="n">
        <f aca="false">IF(MONTH($A222)=MONTH($A221),SUM(I222-I221),I222)</f>
        <v>0</v>
      </c>
      <c r="K222" s="124" t="n">
        <f aca="false">IF(WEEKDAY(A222,3)&gt;4,0,(IF(A222&lt;K$2,0,IF(A222&lt;=K$3,1,0))))</f>
        <v>0</v>
      </c>
      <c r="L222" s="124" t="n">
        <f aca="false">J222*K222</f>
        <v>0</v>
      </c>
      <c r="M222" s="124" t="n">
        <f aca="false">SUM(J$188:J222)</f>
        <v>0</v>
      </c>
      <c r="N222" s="124" t="n">
        <f aca="false">SUM(J$6:J222)</f>
        <v>-35909</v>
      </c>
      <c r="P222" s="148" t="n">
        <f aca="false">D222/P$3</f>
        <v>0</v>
      </c>
      <c r="Q222" s="124" t="n">
        <f aca="false">E222/P$3</f>
        <v>0</v>
      </c>
      <c r="R222" s="124" t="n">
        <f aca="false">F222/R$3</f>
        <v>0</v>
      </c>
      <c r="S222" s="126" t="n">
        <f aca="false">J222/$R$3</f>
        <v>0</v>
      </c>
      <c r="T222" s="126" t="n">
        <f aca="false">L222/$R$3</f>
        <v>0</v>
      </c>
      <c r="U222" s="126" t="n">
        <f aca="false">I222/$R$3</f>
        <v>0</v>
      </c>
      <c r="V222" s="126" t="n">
        <f aca="false">M222/$R$3</f>
        <v>0</v>
      </c>
      <c r="W222" s="126" t="n">
        <f aca="false">N222/$R$3</f>
        <v>-35.909</v>
      </c>
    </row>
    <row r="223" customFormat="false" ht="12.75" hidden="false" customHeight="false" outlineLevel="0" collapsed="false">
      <c r="A223" s="120" t="n">
        <f aca="false">A222+1</f>
        <v>37109</v>
      </c>
      <c r="B223" s="131" t="str">
        <f aca="false">INDEX('[4]Master Data'!$A$2:$B$8,MATCH(WEEKDAY('CRD Hedge'!A223,3),'[4]Master Data'!$A$2:$A$8,0),2)</f>
        <v>M</v>
      </c>
      <c r="D223" s="124" t="n">
        <v>0</v>
      </c>
      <c r="E223" s="124" t="n">
        <v>0</v>
      </c>
      <c r="F223" s="124" t="n">
        <v>0</v>
      </c>
      <c r="G223" s="124" t="n">
        <v>0</v>
      </c>
      <c r="I223" s="124" t="n">
        <f aca="false">IF(MONTH($A223)=MONTH($A222),IF(G223=0,I222,G223),G223)</f>
        <v>0</v>
      </c>
      <c r="J223" s="124" t="n">
        <f aca="false">IF(MONTH($A223)=MONTH($A222),SUM(I223-I222),I223)</f>
        <v>0</v>
      </c>
      <c r="K223" s="124" t="n">
        <f aca="false">IF(WEEKDAY(A223,3)&gt;4,0,(IF(A223&lt;K$2,0,IF(A223&lt;=K$3,1,0))))</f>
        <v>0</v>
      </c>
      <c r="L223" s="124" t="n">
        <f aca="false">J223*K223</f>
        <v>0</v>
      </c>
      <c r="M223" s="124" t="n">
        <f aca="false">SUM(J$188:J223)</f>
        <v>0</v>
      </c>
      <c r="N223" s="124" t="n">
        <f aca="false">SUM(J$6:J223)</f>
        <v>-35909</v>
      </c>
      <c r="P223" s="148" t="n">
        <f aca="false">D223/P$3</f>
        <v>0</v>
      </c>
      <c r="Q223" s="124" t="n">
        <f aca="false">E223/P$3</f>
        <v>0</v>
      </c>
      <c r="R223" s="124" t="n">
        <f aca="false">F223/R$3</f>
        <v>0</v>
      </c>
      <c r="S223" s="126" t="n">
        <f aca="false">J223/$R$3</f>
        <v>0</v>
      </c>
      <c r="T223" s="126" t="n">
        <f aca="false">L223/$R$3</f>
        <v>0</v>
      </c>
      <c r="U223" s="126" t="n">
        <f aca="false">I223/$R$3</f>
        <v>0</v>
      </c>
      <c r="V223" s="126" t="n">
        <f aca="false">M223/$R$3</f>
        <v>0</v>
      </c>
      <c r="W223" s="126" t="n">
        <f aca="false">N223/$R$3</f>
        <v>-35.909</v>
      </c>
    </row>
    <row r="224" customFormat="false" ht="12.75" hidden="false" customHeight="false" outlineLevel="0" collapsed="false">
      <c r="A224" s="120" t="n">
        <f aca="false">A223+1</f>
        <v>37110</v>
      </c>
      <c r="B224" s="131" t="str">
        <f aca="false">INDEX('[4]Master Data'!$A$2:$B$8,MATCH(WEEKDAY('CRD Hedge'!A224,3),'[4]Master Data'!$A$2:$A$8,0),2)</f>
        <v>T</v>
      </c>
      <c r="D224" s="124" t="n">
        <v>0</v>
      </c>
      <c r="E224" s="124" t="n">
        <v>0</v>
      </c>
      <c r="F224" s="124" t="n">
        <v>0</v>
      </c>
      <c r="G224" s="124" t="n">
        <v>0</v>
      </c>
      <c r="I224" s="124" t="n">
        <f aca="false">IF(MONTH($A224)=MONTH($A223),IF(G224=0,I223,G224),G224)</f>
        <v>0</v>
      </c>
      <c r="J224" s="124" t="n">
        <f aca="false">IF(MONTH($A224)=MONTH($A223),SUM(I224-I223),I224)</f>
        <v>0</v>
      </c>
      <c r="K224" s="124" t="n">
        <f aca="false">IF(WEEKDAY(A224,3)&gt;4,0,(IF(A224&lt;K$2,0,IF(A224&lt;=K$3,1,0))))</f>
        <v>0</v>
      </c>
      <c r="L224" s="124" t="n">
        <f aca="false">J224*K224</f>
        <v>0</v>
      </c>
      <c r="M224" s="124" t="n">
        <f aca="false">SUM(J$188:J224)</f>
        <v>0</v>
      </c>
      <c r="N224" s="124" t="n">
        <f aca="false">SUM(J$6:J224)</f>
        <v>-35909</v>
      </c>
      <c r="P224" s="148" t="n">
        <f aca="false">D224/P$3</f>
        <v>0</v>
      </c>
      <c r="Q224" s="124" t="n">
        <f aca="false">E224/P$3</f>
        <v>0</v>
      </c>
      <c r="R224" s="124" t="n">
        <f aca="false">F224/R$3</f>
        <v>0</v>
      </c>
      <c r="S224" s="126" t="n">
        <f aca="false">J224/$R$3</f>
        <v>0</v>
      </c>
      <c r="T224" s="126" t="n">
        <f aca="false">L224/$R$3</f>
        <v>0</v>
      </c>
      <c r="U224" s="126" t="n">
        <f aca="false">I224/$R$3</f>
        <v>0</v>
      </c>
      <c r="V224" s="126" t="n">
        <f aca="false">M224/$R$3</f>
        <v>0</v>
      </c>
      <c r="W224" s="126" t="n">
        <f aca="false">N224/$R$3</f>
        <v>-35.909</v>
      </c>
    </row>
    <row r="225" customFormat="false" ht="12.75" hidden="false" customHeight="false" outlineLevel="0" collapsed="false">
      <c r="A225" s="120" t="n">
        <f aca="false">A224+1</f>
        <v>37111</v>
      </c>
      <c r="B225" s="131" t="str">
        <f aca="false">INDEX('[4]Master Data'!$A$2:$B$8,MATCH(WEEKDAY('CRD Hedge'!A225,3),'[4]Master Data'!$A$2:$A$8,0),2)</f>
        <v>W</v>
      </c>
      <c r="D225" s="124" t="n">
        <v>0</v>
      </c>
      <c r="E225" s="124" t="n">
        <v>0</v>
      </c>
      <c r="F225" s="124" t="n">
        <v>0</v>
      </c>
      <c r="G225" s="124" t="n">
        <v>0</v>
      </c>
      <c r="I225" s="124" t="n">
        <f aca="false">IF(MONTH($A225)=MONTH($A224),IF(G225=0,I224,G225),G225)</f>
        <v>0</v>
      </c>
      <c r="J225" s="124" t="n">
        <f aca="false">IF(MONTH($A225)=MONTH($A224),SUM(I225-I224),I225)</f>
        <v>0</v>
      </c>
      <c r="K225" s="124" t="n">
        <f aca="false">IF(WEEKDAY(A225,3)&gt;4,0,(IF(A225&lt;K$2,0,IF(A225&lt;=K$3,1,0))))</f>
        <v>0</v>
      </c>
      <c r="L225" s="124" t="n">
        <f aca="false">J225*K225</f>
        <v>0</v>
      </c>
      <c r="M225" s="124" t="n">
        <f aca="false">SUM(J$188:J225)</f>
        <v>0</v>
      </c>
      <c r="N225" s="124" t="n">
        <f aca="false">SUM(J$6:J225)</f>
        <v>-35909</v>
      </c>
      <c r="P225" s="148" t="n">
        <f aca="false">D225/P$3</f>
        <v>0</v>
      </c>
      <c r="Q225" s="124" t="n">
        <f aca="false">E225/P$3</f>
        <v>0</v>
      </c>
      <c r="R225" s="124" t="n">
        <f aca="false">F225/R$3</f>
        <v>0</v>
      </c>
      <c r="S225" s="126" t="n">
        <f aca="false">J225/$R$3</f>
        <v>0</v>
      </c>
      <c r="T225" s="126" t="n">
        <f aca="false">L225/$R$3</f>
        <v>0</v>
      </c>
      <c r="U225" s="126" t="n">
        <f aca="false">I225/$R$3</f>
        <v>0</v>
      </c>
      <c r="V225" s="126" t="n">
        <f aca="false">M225/$R$3</f>
        <v>0</v>
      </c>
      <c r="W225" s="126" t="n">
        <f aca="false">N225/$R$3</f>
        <v>-35.909</v>
      </c>
    </row>
    <row r="226" customFormat="false" ht="12.75" hidden="false" customHeight="false" outlineLevel="0" collapsed="false">
      <c r="A226" s="120" t="n">
        <f aca="false">A225+1</f>
        <v>37112</v>
      </c>
      <c r="B226" s="131" t="str">
        <f aca="false">INDEX('[4]Master Data'!$A$2:$B$8,MATCH(WEEKDAY('CRD Hedge'!A226,3),'[4]Master Data'!$A$2:$A$8,0),2)</f>
        <v>Th</v>
      </c>
      <c r="D226" s="124" t="n">
        <v>0</v>
      </c>
      <c r="E226" s="124" t="n">
        <v>0</v>
      </c>
      <c r="F226" s="124" t="n">
        <v>0</v>
      </c>
      <c r="G226" s="124" t="n">
        <v>0</v>
      </c>
      <c r="I226" s="124" t="n">
        <f aca="false">IF(MONTH($A226)=MONTH($A225),IF(G226=0,I225,G226),G226)</f>
        <v>0</v>
      </c>
      <c r="J226" s="124" t="n">
        <f aca="false">IF(MONTH($A226)=MONTH($A225),SUM(I226-I225),I226)</f>
        <v>0</v>
      </c>
      <c r="K226" s="124" t="n">
        <f aca="false">IF(WEEKDAY(A226,3)&gt;4,0,(IF(A226&lt;K$2,0,IF(A226&lt;=K$3,1,0))))</f>
        <v>0</v>
      </c>
      <c r="L226" s="124" t="n">
        <f aca="false">J226*K226</f>
        <v>0</v>
      </c>
      <c r="M226" s="124" t="n">
        <f aca="false">SUM(J$188:J226)</f>
        <v>0</v>
      </c>
      <c r="N226" s="124" t="n">
        <f aca="false">SUM(J$6:J226)</f>
        <v>-35909</v>
      </c>
      <c r="P226" s="148" t="n">
        <f aca="false">D226/P$3</f>
        <v>0</v>
      </c>
      <c r="Q226" s="124" t="n">
        <f aca="false">E226/P$3</f>
        <v>0</v>
      </c>
      <c r="R226" s="124" t="n">
        <f aca="false">F226/R$3</f>
        <v>0</v>
      </c>
      <c r="S226" s="126" t="n">
        <f aca="false">J226/$R$3</f>
        <v>0</v>
      </c>
      <c r="T226" s="126" t="n">
        <f aca="false">L226/$R$3</f>
        <v>0</v>
      </c>
      <c r="U226" s="126" t="n">
        <f aca="false">I226/$R$3</f>
        <v>0</v>
      </c>
      <c r="V226" s="126" t="n">
        <f aca="false">M226/$R$3</f>
        <v>0</v>
      </c>
      <c r="W226" s="126" t="n">
        <f aca="false">N226/$R$3</f>
        <v>-35.909</v>
      </c>
    </row>
    <row r="227" customFormat="false" ht="12.75" hidden="false" customHeight="false" outlineLevel="0" collapsed="false">
      <c r="A227" s="120" t="n">
        <f aca="false">A226+1</f>
        <v>37113</v>
      </c>
      <c r="B227" s="131" t="str">
        <f aca="false">INDEX('[4]Master Data'!$A$2:$B$8,MATCH(WEEKDAY('CRD Hedge'!A227,3),'[4]Master Data'!$A$2:$A$8,0),2)</f>
        <v>F</v>
      </c>
      <c r="D227" s="124" t="n">
        <v>0</v>
      </c>
      <c r="E227" s="124" t="n">
        <v>0</v>
      </c>
      <c r="F227" s="124" t="n">
        <v>0</v>
      </c>
      <c r="G227" s="124" t="n">
        <v>0</v>
      </c>
      <c r="I227" s="124" t="n">
        <f aca="false">IF(MONTH($A227)=MONTH($A226),IF(G227=0,I226,G227),G227)</f>
        <v>0</v>
      </c>
      <c r="J227" s="124" t="n">
        <f aca="false">IF(MONTH($A227)=MONTH($A226),SUM(I227-I226),I227)</f>
        <v>0</v>
      </c>
      <c r="K227" s="124" t="n">
        <f aca="false">IF(WEEKDAY(A227,3)&gt;4,0,(IF(A227&lt;K$2,0,IF(A227&lt;=K$3,1,0))))</f>
        <v>0</v>
      </c>
      <c r="L227" s="124" t="n">
        <f aca="false">J227*K227</f>
        <v>0</v>
      </c>
      <c r="M227" s="124" t="n">
        <f aca="false">SUM(J$188:J227)</f>
        <v>0</v>
      </c>
      <c r="N227" s="124" t="n">
        <f aca="false">SUM(J$6:J227)</f>
        <v>-35909</v>
      </c>
      <c r="P227" s="148" t="n">
        <f aca="false">D227/P$3</f>
        <v>0</v>
      </c>
      <c r="Q227" s="124" t="n">
        <f aca="false">E227/P$3</f>
        <v>0</v>
      </c>
      <c r="R227" s="124" t="n">
        <f aca="false">F227/R$3</f>
        <v>0</v>
      </c>
      <c r="S227" s="126" t="n">
        <f aca="false">J227/$R$3</f>
        <v>0</v>
      </c>
      <c r="T227" s="126" t="n">
        <f aca="false">L227/$R$3</f>
        <v>0</v>
      </c>
      <c r="U227" s="126" t="n">
        <f aca="false">I227/$R$3</f>
        <v>0</v>
      </c>
      <c r="V227" s="126" t="n">
        <f aca="false">M227/$R$3</f>
        <v>0</v>
      </c>
      <c r="W227" s="126" t="n">
        <f aca="false">N227/$R$3</f>
        <v>-35.909</v>
      </c>
    </row>
    <row r="228" customFormat="false" ht="12.75" hidden="false" customHeight="false" outlineLevel="0" collapsed="false">
      <c r="A228" s="120" t="n">
        <f aca="false">A227+1</f>
        <v>37114</v>
      </c>
      <c r="B228" s="131" t="str">
        <f aca="false">INDEX('[4]Master Data'!$A$2:$B$8,MATCH(WEEKDAY('CRD Hedge'!A228,3),'[4]Master Data'!$A$2:$A$8,0),2)</f>
        <v>Sa</v>
      </c>
      <c r="D228" s="124" t="n">
        <v>0</v>
      </c>
      <c r="E228" s="124" t="n">
        <v>0</v>
      </c>
      <c r="F228" s="124" t="n">
        <v>0</v>
      </c>
      <c r="G228" s="124" t="n">
        <v>0</v>
      </c>
      <c r="I228" s="124" t="n">
        <f aca="false">IF(MONTH($A228)=MONTH($A227),IF(G228=0,I227,G228),G228)</f>
        <v>0</v>
      </c>
      <c r="J228" s="124" t="n">
        <f aca="false">IF(MONTH($A228)=MONTH($A227),SUM(I228-I227),I228)</f>
        <v>0</v>
      </c>
      <c r="K228" s="124" t="n">
        <f aca="false">IF(WEEKDAY(A228,3)&gt;4,0,(IF(A228&lt;K$2,0,IF(A228&lt;=K$3,1,0))))</f>
        <v>0</v>
      </c>
      <c r="L228" s="124" t="n">
        <f aca="false">J228*K228</f>
        <v>0</v>
      </c>
      <c r="M228" s="124" t="n">
        <f aca="false">SUM(J$188:J228)</f>
        <v>0</v>
      </c>
      <c r="N228" s="124" t="n">
        <f aca="false">SUM(J$6:J228)</f>
        <v>-35909</v>
      </c>
      <c r="P228" s="148" t="n">
        <f aca="false">D228/P$3</f>
        <v>0</v>
      </c>
      <c r="Q228" s="124" t="n">
        <f aca="false">E228/P$3</f>
        <v>0</v>
      </c>
      <c r="R228" s="124" t="n">
        <f aca="false">F228/R$3</f>
        <v>0</v>
      </c>
      <c r="S228" s="126" t="n">
        <f aca="false">J228/$R$3</f>
        <v>0</v>
      </c>
      <c r="T228" s="126" t="n">
        <f aca="false">L228/$R$3</f>
        <v>0</v>
      </c>
      <c r="U228" s="126" t="n">
        <f aca="false">I228/$R$3</f>
        <v>0</v>
      </c>
      <c r="V228" s="126" t="n">
        <f aca="false">M228/$R$3</f>
        <v>0</v>
      </c>
      <c r="W228" s="126" t="n">
        <f aca="false">N228/$R$3</f>
        <v>-35.909</v>
      </c>
    </row>
    <row r="229" customFormat="false" ht="12.75" hidden="false" customHeight="false" outlineLevel="0" collapsed="false">
      <c r="A229" s="120" t="n">
        <f aca="false">A228+1</f>
        <v>37115</v>
      </c>
      <c r="B229" s="131" t="str">
        <f aca="false">INDEX('[4]Master Data'!$A$2:$B$8,MATCH(WEEKDAY('CRD Hedge'!A229,3),'[4]Master Data'!$A$2:$A$8,0),2)</f>
        <v>Su</v>
      </c>
      <c r="D229" s="124" t="n">
        <v>0</v>
      </c>
      <c r="E229" s="124" t="n">
        <v>0</v>
      </c>
      <c r="F229" s="124" t="n">
        <v>0</v>
      </c>
      <c r="G229" s="124" t="n">
        <v>0</v>
      </c>
      <c r="I229" s="124" t="n">
        <f aca="false">IF(MONTH($A229)=MONTH($A228),IF(G229=0,I228,G229),G229)</f>
        <v>0</v>
      </c>
      <c r="J229" s="124" t="n">
        <f aca="false">IF(MONTH($A229)=MONTH($A228),SUM(I229-I228),I229)</f>
        <v>0</v>
      </c>
      <c r="K229" s="124" t="n">
        <f aca="false">IF(WEEKDAY(A229,3)&gt;4,0,(IF(A229&lt;K$2,0,IF(A229&lt;=K$3,1,0))))</f>
        <v>0</v>
      </c>
      <c r="L229" s="124" t="n">
        <f aca="false">J229*K229</f>
        <v>0</v>
      </c>
      <c r="M229" s="124" t="n">
        <f aca="false">SUM(J$188:J229)</f>
        <v>0</v>
      </c>
      <c r="N229" s="124" t="n">
        <f aca="false">SUM(J$6:J229)</f>
        <v>-35909</v>
      </c>
      <c r="P229" s="148" t="n">
        <f aca="false">D229/P$3</f>
        <v>0</v>
      </c>
      <c r="Q229" s="124" t="n">
        <f aca="false">E229/P$3</f>
        <v>0</v>
      </c>
      <c r="R229" s="124" t="n">
        <f aca="false">F229/R$3</f>
        <v>0</v>
      </c>
      <c r="S229" s="126" t="n">
        <f aca="false">J229/$R$3</f>
        <v>0</v>
      </c>
      <c r="T229" s="126" t="n">
        <f aca="false">L229/$R$3</f>
        <v>0</v>
      </c>
      <c r="U229" s="126" t="n">
        <f aca="false">I229/$R$3</f>
        <v>0</v>
      </c>
      <c r="V229" s="126" t="n">
        <f aca="false">M229/$R$3</f>
        <v>0</v>
      </c>
      <c r="W229" s="126" t="n">
        <f aca="false">N229/$R$3</f>
        <v>-35.909</v>
      </c>
    </row>
    <row r="230" customFormat="false" ht="12.75" hidden="false" customHeight="false" outlineLevel="0" collapsed="false">
      <c r="A230" s="120" t="n">
        <f aca="false">A229+1</f>
        <v>37116</v>
      </c>
      <c r="B230" s="131" t="str">
        <f aca="false">INDEX('[4]Master Data'!$A$2:$B$8,MATCH(WEEKDAY('CRD Hedge'!A230,3),'[4]Master Data'!$A$2:$A$8,0),2)</f>
        <v>M</v>
      </c>
      <c r="D230" s="124" t="n">
        <v>0</v>
      </c>
      <c r="E230" s="124" t="n">
        <v>0</v>
      </c>
      <c r="F230" s="124" t="n">
        <v>0</v>
      </c>
      <c r="G230" s="124" t="n">
        <v>0</v>
      </c>
      <c r="I230" s="124" t="n">
        <f aca="false">IF(MONTH($A230)=MONTH($A229),IF(G230=0,I229,G230),G230)</f>
        <v>0</v>
      </c>
      <c r="J230" s="124" t="n">
        <f aca="false">IF(MONTH($A230)=MONTH($A229),SUM(I230-I229),I230)</f>
        <v>0</v>
      </c>
      <c r="K230" s="124" t="n">
        <f aca="false">IF(WEEKDAY(A230,3)&gt;4,0,(IF(A230&lt;K$2,0,IF(A230&lt;=K$3,1,0))))</f>
        <v>0</v>
      </c>
      <c r="L230" s="124" t="n">
        <f aca="false">J230*K230</f>
        <v>0</v>
      </c>
      <c r="M230" s="124" t="n">
        <f aca="false">SUM(J$188:J230)</f>
        <v>0</v>
      </c>
      <c r="N230" s="124" t="n">
        <f aca="false">SUM(J$6:J230)</f>
        <v>-35909</v>
      </c>
      <c r="P230" s="148" t="n">
        <f aca="false">D230/P$3</f>
        <v>0</v>
      </c>
      <c r="Q230" s="124" t="n">
        <f aca="false">E230/P$3</f>
        <v>0</v>
      </c>
      <c r="R230" s="124" t="n">
        <f aca="false">F230/R$3</f>
        <v>0</v>
      </c>
      <c r="S230" s="126" t="n">
        <f aca="false">J230/$R$3</f>
        <v>0</v>
      </c>
      <c r="T230" s="126" t="n">
        <f aca="false">L230/$R$3</f>
        <v>0</v>
      </c>
      <c r="U230" s="126" t="n">
        <f aca="false">I230/$R$3</f>
        <v>0</v>
      </c>
      <c r="V230" s="126" t="n">
        <f aca="false">M230/$R$3</f>
        <v>0</v>
      </c>
      <c r="W230" s="126" t="n">
        <f aca="false">N230/$R$3</f>
        <v>-35.909</v>
      </c>
    </row>
    <row r="231" customFormat="false" ht="12.75" hidden="false" customHeight="false" outlineLevel="0" collapsed="false">
      <c r="A231" s="120" t="n">
        <f aca="false">A230+1</f>
        <v>37117</v>
      </c>
      <c r="B231" s="131" t="str">
        <f aca="false">INDEX('[4]Master Data'!$A$2:$B$8,MATCH(WEEKDAY('CRD Hedge'!A231,3),'[4]Master Data'!$A$2:$A$8,0),2)</f>
        <v>T</v>
      </c>
      <c r="D231" s="124" t="n">
        <v>0</v>
      </c>
      <c r="E231" s="124" t="n">
        <v>0</v>
      </c>
      <c r="F231" s="124" t="n">
        <v>0</v>
      </c>
      <c r="G231" s="124" t="n">
        <v>0</v>
      </c>
      <c r="I231" s="124" t="n">
        <f aca="false">IF(MONTH($A231)=MONTH($A230),IF(G231=0,I230,G231),G231)</f>
        <v>0</v>
      </c>
      <c r="J231" s="124" t="n">
        <f aca="false">IF(MONTH($A231)=MONTH($A230),SUM(I231-I230),I231)</f>
        <v>0</v>
      </c>
      <c r="K231" s="124" t="n">
        <f aca="false">IF(WEEKDAY(A231,3)&gt;4,0,(IF(A231&lt;K$2,0,IF(A231&lt;=K$3,1,0))))</f>
        <v>0</v>
      </c>
      <c r="L231" s="124" t="n">
        <f aca="false">J231*K231</f>
        <v>0</v>
      </c>
      <c r="M231" s="124" t="n">
        <f aca="false">SUM(J$188:J231)</f>
        <v>0</v>
      </c>
      <c r="N231" s="124" t="n">
        <f aca="false">SUM(J$6:J231)</f>
        <v>-35909</v>
      </c>
      <c r="P231" s="148" t="n">
        <f aca="false">D231/P$3</f>
        <v>0</v>
      </c>
      <c r="Q231" s="124" t="n">
        <f aca="false">E231/P$3</f>
        <v>0</v>
      </c>
      <c r="R231" s="124" t="n">
        <f aca="false">F231/R$3</f>
        <v>0</v>
      </c>
      <c r="S231" s="126" t="n">
        <f aca="false">J231/$R$3</f>
        <v>0</v>
      </c>
      <c r="T231" s="126" t="n">
        <f aca="false">L231/$R$3</f>
        <v>0</v>
      </c>
      <c r="U231" s="126" t="n">
        <f aca="false">I231/$R$3</f>
        <v>0</v>
      </c>
      <c r="V231" s="126" t="n">
        <f aca="false">M231/$R$3</f>
        <v>0</v>
      </c>
      <c r="W231" s="126" t="n">
        <f aca="false">N231/$R$3</f>
        <v>-35.909</v>
      </c>
    </row>
    <row r="232" customFormat="false" ht="12.75" hidden="false" customHeight="false" outlineLevel="0" collapsed="false">
      <c r="A232" s="120" t="n">
        <f aca="false">A231+1</f>
        <v>37118</v>
      </c>
      <c r="B232" s="131" t="str">
        <f aca="false">INDEX('[4]Master Data'!$A$2:$B$8,MATCH(WEEKDAY('CRD Hedge'!A232,3),'[4]Master Data'!$A$2:$A$8,0),2)</f>
        <v>W</v>
      </c>
      <c r="D232" s="124" t="n">
        <v>0</v>
      </c>
      <c r="E232" s="124" t="n">
        <v>0</v>
      </c>
      <c r="F232" s="124" t="n">
        <v>0</v>
      </c>
      <c r="G232" s="124" t="n">
        <v>0</v>
      </c>
      <c r="I232" s="124" t="n">
        <f aca="false">IF(MONTH($A232)=MONTH($A231),IF(G232=0,I231,G232),G232)</f>
        <v>0</v>
      </c>
      <c r="J232" s="124" t="n">
        <f aca="false">IF(MONTH($A232)=MONTH($A231),SUM(I232-I231),I232)</f>
        <v>0</v>
      </c>
      <c r="K232" s="124" t="n">
        <f aca="false">IF(WEEKDAY(A232,3)&gt;4,0,(IF(A232&lt;K$2,0,IF(A232&lt;=K$3,1,0))))</f>
        <v>0</v>
      </c>
      <c r="L232" s="124" t="n">
        <f aca="false">J232*K232</f>
        <v>0</v>
      </c>
      <c r="M232" s="124" t="n">
        <f aca="false">SUM(J$188:J232)</f>
        <v>0</v>
      </c>
      <c r="N232" s="124" t="n">
        <f aca="false">SUM(J$6:J232)</f>
        <v>-35909</v>
      </c>
      <c r="P232" s="148" t="n">
        <f aca="false">D232/P$3</f>
        <v>0</v>
      </c>
      <c r="Q232" s="124" t="n">
        <f aca="false">E232/P$3</f>
        <v>0</v>
      </c>
      <c r="R232" s="124" t="n">
        <f aca="false">F232/R$3</f>
        <v>0</v>
      </c>
      <c r="S232" s="126" t="n">
        <f aca="false">J232/$R$3</f>
        <v>0</v>
      </c>
      <c r="T232" s="126" t="n">
        <f aca="false">L232/$R$3</f>
        <v>0</v>
      </c>
      <c r="U232" s="126" t="n">
        <f aca="false">I232/$R$3</f>
        <v>0</v>
      </c>
      <c r="V232" s="126" t="n">
        <f aca="false">M232/$R$3</f>
        <v>0</v>
      </c>
      <c r="W232" s="126" t="n">
        <f aca="false">N232/$R$3</f>
        <v>-35.909</v>
      </c>
    </row>
    <row r="233" customFormat="false" ht="12.75" hidden="false" customHeight="false" outlineLevel="0" collapsed="false">
      <c r="A233" s="120" t="n">
        <f aca="false">A232+1</f>
        <v>37119</v>
      </c>
      <c r="B233" s="131" t="str">
        <f aca="false">INDEX('[4]Master Data'!$A$2:$B$8,MATCH(WEEKDAY('CRD Hedge'!A233,3),'[4]Master Data'!$A$2:$A$8,0),2)</f>
        <v>Th</v>
      </c>
      <c r="D233" s="124" t="n">
        <v>0</v>
      </c>
      <c r="E233" s="124" t="n">
        <v>0</v>
      </c>
      <c r="F233" s="124" t="n">
        <v>0</v>
      </c>
      <c r="G233" s="124" t="n">
        <v>0</v>
      </c>
      <c r="I233" s="124" t="n">
        <f aca="false">IF(MONTH($A233)=MONTH($A232),IF(G233=0,I232,G233),G233)</f>
        <v>0</v>
      </c>
      <c r="J233" s="124" t="n">
        <f aca="false">IF(MONTH($A233)=MONTH($A232),SUM(I233-I232),I233)</f>
        <v>0</v>
      </c>
      <c r="K233" s="124" t="n">
        <f aca="false">IF(WEEKDAY(A233,3)&gt;4,0,(IF(A233&lt;K$2,0,IF(A233&lt;=K$3,1,0))))</f>
        <v>0</v>
      </c>
      <c r="L233" s="124" t="n">
        <f aca="false">J233*K233</f>
        <v>0</v>
      </c>
      <c r="M233" s="124" t="n">
        <f aca="false">SUM(J$188:J233)</f>
        <v>0</v>
      </c>
      <c r="N233" s="124" t="n">
        <f aca="false">SUM(J$6:J233)</f>
        <v>-35909</v>
      </c>
      <c r="P233" s="148" t="n">
        <f aca="false">D233/P$3</f>
        <v>0</v>
      </c>
      <c r="Q233" s="124" t="n">
        <f aca="false">E233/P$3</f>
        <v>0</v>
      </c>
      <c r="R233" s="124" t="n">
        <f aca="false">F233/R$3</f>
        <v>0</v>
      </c>
      <c r="S233" s="126" t="n">
        <f aca="false">J233/$R$3</f>
        <v>0</v>
      </c>
      <c r="T233" s="126" t="n">
        <f aca="false">L233/$R$3</f>
        <v>0</v>
      </c>
      <c r="U233" s="126" t="n">
        <f aca="false">I233/$R$3</f>
        <v>0</v>
      </c>
      <c r="V233" s="126" t="n">
        <f aca="false">M233/$R$3</f>
        <v>0</v>
      </c>
      <c r="W233" s="126" t="n">
        <f aca="false">N233/$R$3</f>
        <v>-35.909</v>
      </c>
    </row>
    <row r="234" customFormat="false" ht="12.75" hidden="false" customHeight="false" outlineLevel="0" collapsed="false">
      <c r="A234" s="120" t="n">
        <f aca="false">A233+1</f>
        <v>37120</v>
      </c>
      <c r="B234" s="131" t="str">
        <f aca="false">INDEX('[4]Master Data'!$A$2:$B$8,MATCH(WEEKDAY('CRD Hedge'!A234,3),'[4]Master Data'!$A$2:$A$8,0),2)</f>
        <v>F</v>
      </c>
      <c r="D234" s="124" t="n">
        <v>0</v>
      </c>
      <c r="E234" s="124" t="n">
        <v>0</v>
      </c>
      <c r="F234" s="124" t="n">
        <v>0</v>
      </c>
      <c r="G234" s="124" t="n">
        <v>0</v>
      </c>
      <c r="I234" s="124" t="n">
        <f aca="false">IF(MONTH($A234)=MONTH($A233),IF(G234=0,I233,G234),G234)</f>
        <v>0</v>
      </c>
      <c r="J234" s="124" t="n">
        <f aca="false">IF(MONTH($A234)=MONTH($A233),SUM(I234-I233),I234)</f>
        <v>0</v>
      </c>
      <c r="K234" s="124" t="n">
        <f aca="false">IF(WEEKDAY(A234,3)&gt;4,0,(IF(A234&lt;K$2,0,IF(A234&lt;=K$3,1,0))))</f>
        <v>0</v>
      </c>
      <c r="L234" s="124" t="n">
        <f aca="false">J234*K234</f>
        <v>0</v>
      </c>
      <c r="M234" s="124" t="n">
        <f aca="false">SUM(J$188:J234)</f>
        <v>0</v>
      </c>
      <c r="N234" s="124" t="n">
        <f aca="false">SUM(J$6:J234)</f>
        <v>-35909</v>
      </c>
      <c r="P234" s="148" t="n">
        <f aca="false">D234/P$3</f>
        <v>0</v>
      </c>
      <c r="Q234" s="124" t="n">
        <f aca="false">E234/P$3</f>
        <v>0</v>
      </c>
      <c r="R234" s="124" t="n">
        <f aca="false">F234/R$3</f>
        <v>0</v>
      </c>
      <c r="S234" s="126" t="n">
        <f aca="false">J234/$R$3</f>
        <v>0</v>
      </c>
      <c r="T234" s="126" t="n">
        <f aca="false">L234/$R$3</f>
        <v>0</v>
      </c>
      <c r="U234" s="126" t="n">
        <f aca="false">I234/$R$3</f>
        <v>0</v>
      </c>
      <c r="V234" s="126" t="n">
        <f aca="false">M234/$R$3</f>
        <v>0</v>
      </c>
      <c r="W234" s="126" t="n">
        <f aca="false">N234/$R$3</f>
        <v>-35.909</v>
      </c>
    </row>
    <row r="235" customFormat="false" ht="12.75" hidden="false" customHeight="false" outlineLevel="0" collapsed="false">
      <c r="A235" s="120" t="n">
        <f aca="false">A234+1</f>
        <v>37121</v>
      </c>
      <c r="B235" s="131" t="str">
        <f aca="false">INDEX('[4]Master Data'!$A$2:$B$8,MATCH(WEEKDAY('CRD Hedge'!A235,3),'[4]Master Data'!$A$2:$A$8,0),2)</f>
        <v>Sa</v>
      </c>
      <c r="D235" s="124" t="n">
        <v>0</v>
      </c>
      <c r="E235" s="124" t="n">
        <v>0</v>
      </c>
      <c r="F235" s="124" t="n">
        <v>0</v>
      </c>
      <c r="G235" s="124" t="n">
        <v>0</v>
      </c>
      <c r="I235" s="124" t="n">
        <f aca="false">IF(MONTH($A235)=MONTH($A234),IF(G235=0,I234,G235),G235)</f>
        <v>0</v>
      </c>
      <c r="J235" s="124" t="n">
        <f aca="false">IF(MONTH($A235)=MONTH($A234),SUM(I235-I234),I235)</f>
        <v>0</v>
      </c>
      <c r="K235" s="124" t="n">
        <f aca="false">IF(WEEKDAY(A235,3)&gt;4,0,(IF(A235&lt;K$2,0,IF(A235&lt;=K$3,1,0))))</f>
        <v>0</v>
      </c>
      <c r="L235" s="124" t="n">
        <f aca="false">J235*K235</f>
        <v>0</v>
      </c>
      <c r="M235" s="124" t="n">
        <f aca="false">SUM(J$188:J235)</f>
        <v>0</v>
      </c>
      <c r="N235" s="124" t="n">
        <f aca="false">SUM(J$6:J235)</f>
        <v>-35909</v>
      </c>
      <c r="P235" s="148" t="n">
        <f aca="false">D235/P$3</f>
        <v>0</v>
      </c>
      <c r="Q235" s="124" t="n">
        <f aca="false">E235/P$3</f>
        <v>0</v>
      </c>
      <c r="R235" s="124" t="n">
        <f aca="false">F235/R$3</f>
        <v>0</v>
      </c>
      <c r="S235" s="126" t="n">
        <f aca="false">J235/$R$3</f>
        <v>0</v>
      </c>
      <c r="T235" s="126" t="n">
        <f aca="false">L235/$R$3</f>
        <v>0</v>
      </c>
      <c r="U235" s="126" t="n">
        <f aca="false">I235/$R$3</f>
        <v>0</v>
      </c>
      <c r="V235" s="126" t="n">
        <f aca="false">M235/$R$3</f>
        <v>0</v>
      </c>
      <c r="W235" s="126" t="n">
        <f aca="false">N235/$R$3</f>
        <v>-35.909</v>
      </c>
    </row>
    <row r="236" customFormat="false" ht="12.75" hidden="false" customHeight="false" outlineLevel="0" collapsed="false">
      <c r="A236" s="120" t="n">
        <f aca="false">A235+1</f>
        <v>37122</v>
      </c>
      <c r="B236" s="131" t="str">
        <f aca="false">INDEX('[4]Master Data'!$A$2:$B$8,MATCH(WEEKDAY('CRD Hedge'!A236,3),'[4]Master Data'!$A$2:$A$8,0),2)</f>
        <v>Su</v>
      </c>
      <c r="D236" s="124" t="n">
        <v>0</v>
      </c>
      <c r="E236" s="124" t="n">
        <v>0</v>
      </c>
      <c r="F236" s="124" t="n">
        <v>0</v>
      </c>
      <c r="G236" s="124" t="n">
        <v>0</v>
      </c>
      <c r="I236" s="124" t="n">
        <f aca="false">IF(MONTH($A236)=MONTH($A235),IF(G236=0,I235,G236),G236)</f>
        <v>0</v>
      </c>
      <c r="J236" s="124" t="n">
        <f aca="false">IF(MONTH($A236)=MONTH($A235),SUM(I236-I235),I236)</f>
        <v>0</v>
      </c>
      <c r="K236" s="124" t="n">
        <f aca="false">IF(WEEKDAY(A236,3)&gt;4,0,(IF(A236&lt;K$2,0,IF(A236&lt;=K$3,1,0))))</f>
        <v>0</v>
      </c>
      <c r="L236" s="124" t="n">
        <f aca="false">J236*K236</f>
        <v>0</v>
      </c>
      <c r="M236" s="124" t="n">
        <f aca="false">SUM(J$188:J236)</f>
        <v>0</v>
      </c>
      <c r="N236" s="124" t="n">
        <f aca="false">SUM(J$6:J236)</f>
        <v>-35909</v>
      </c>
      <c r="P236" s="148" t="n">
        <f aca="false">D236/P$3</f>
        <v>0</v>
      </c>
      <c r="Q236" s="124" t="n">
        <f aca="false">E236/P$3</f>
        <v>0</v>
      </c>
      <c r="R236" s="124" t="n">
        <f aca="false">F236/R$3</f>
        <v>0</v>
      </c>
      <c r="S236" s="126" t="n">
        <f aca="false">J236/$R$3</f>
        <v>0</v>
      </c>
      <c r="T236" s="126" t="n">
        <f aca="false">L236/$R$3</f>
        <v>0</v>
      </c>
      <c r="U236" s="126" t="n">
        <f aca="false">I236/$R$3</f>
        <v>0</v>
      </c>
      <c r="V236" s="126" t="n">
        <f aca="false">M236/$R$3</f>
        <v>0</v>
      </c>
      <c r="W236" s="126" t="n">
        <f aca="false">N236/$R$3</f>
        <v>-35.909</v>
      </c>
    </row>
    <row r="237" customFormat="false" ht="12.75" hidden="false" customHeight="false" outlineLevel="0" collapsed="false">
      <c r="A237" s="120" t="n">
        <f aca="false">A236+1</f>
        <v>37123</v>
      </c>
      <c r="B237" s="131" t="str">
        <f aca="false">INDEX('[4]Master Data'!$A$2:$B$8,MATCH(WEEKDAY('CRD Hedge'!A237,3),'[4]Master Data'!$A$2:$A$8,0),2)</f>
        <v>M</v>
      </c>
      <c r="D237" s="124" t="n">
        <v>0</v>
      </c>
      <c r="E237" s="124" t="n">
        <v>0</v>
      </c>
      <c r="F237" s="124" t="n">
        <v>0</v>
      </c>
      <c r="G237" s="124" t="n">
        <v>0</v>
      </c>
      <c r="I237" s="124" t="n">
        <f aca="false">IF(MONTH($A237)=MONTH($A236),IF(G237=0,I236,G237),G237)</f>
        <v>0</v>
      </c>
      <c r="J237" s="124" t="n">
        <f aca="false">IF(MONTH($A237)=MONTH($A236),SUM(I237-I236),I237)</f>
        <v>0</v>
      </c>
      <c r="K237" s="124" t="n">
        <f aca="false">IF(WEEKDAY(A237,3)&gt;4,0,(IF(A237&lt;K$2,0,IF(A237&lt;=K$3,1,0))))</f>
        <v>0</v>
      </c>
      <c r="L237" s="124" t="n">
        <f aca="false">J237*K237</f>
        <v>0</v>
      </c>
      <c r="M237" s="124" t="n">
        <f aca="false">SUM(J$188:J237)</f>
        <v>0</v>
      </c>
      <c r="N237" s="124" t="n">
        <f aca="false">SUM(J$6:J237)</f>
        <v>-35909</v>
      </c>
      <c r="P237" s="148" t="n">
        <f aca="false">D237/P$3</f>
        <v>0</v>
      </c>
      <c r="Q237" s="124" t="n">
        <f aca="false">E237/P$3</f>
        <v>0</v>
      </c>
      <c r="R237" s="124" t="n">
        <f aca="false">F237/R$3</f>
        <v>0</v>
      </c>
      <c r="S237" s="126" t="n">
        <f aca="false">J237/$R$3</f>
        <v>0</v>
      </c>
      <c r="T237" s="126" t="n">
        <f aca="false">L237/$R$3</f>
        <v>0</v>
      </c>
      <c r="U237" s="126" t="n">
        <f aca="false">I237/$R$3</f>
        <v>0</v>
      </c>
      <c r="V237" s="126" t="n">
        <f aca="false">M237/$R$3</f>
        <v>0</v>
      </c>
      <c r="W237" s="126" t="n">
        <f aca="false">N237/$R$3</f>
        <v>-35.909</v>
      </c>
    </row>
    <row r="238" customFormat="false" ht="12.75" hidden="false" customHeight="false" outlineLevel="0" collapsed="false">
      <c r="A238" s="120" t="n">
        <f aca="false">A237+1</f>
        <v>37124</v>
      </c>
      <c r="B238" s="131" t="str">
        <f aca="false">INDEX('[4]Master Data'!$A$2:$B$8,MATCH(WEEKDAY('CRD Hedge'!A238,3),'[4]Master Data'!$A$2:$A$8,0),2)</f>
        <v>T</v>
      </c>
      <c r="D238" s="124" t="n">
        <v>0</v>
      </c>
      <c r="E238" s="124" t="n">
        <v>0</v>
      </c>
      <c r="F238" s="124" t="n">
        <v>0</v>
      </c>
      <c r="G238" s="124" t="n">
        <v>0</v>
      </c>
      <c r="I238" s="124" t="n">
        <f aca="false">IF(MONTH($A238)=MONTH($A237),IF(G238=0,I237,G238),G238)</f>
        <v>0</v>
      </c>
      <c r="J238" s="124" t="n">
        <f aca="false">IF(MONTH($A238)=MONTH($A237),SUM(I238-I237),I238)</f>
        <v>0</v>
      </c>
      <c r="K238" s="124" t="n">
        <f aca="false">IF(WEEKDAY(A238,3)&gt;4,0,(IF(A238&lt;K$2,0,IF(A238&lt;=K$3,1,0))))</f>
        <v>0</v>
      </c>
      <c r="L238" s="124" t="n">
        <f aca="false">J238*K238</f>
        <v>0</v>
      </c>
      <c r="M238" s="124" t="n">
        <f aca="false">SUM(J$188:J238)</f>
        <v>0</v>
      </c>
      <c r="N238" s="124" t="n">
        <f aca="false">SUM(J$6:J238)</f>
        <v>-35909</v>
      </c>
      <c r="P238" s="148" t="n">
        <f aca="false">D238/P$3</f>
        <v>0</v>
      </c>
      <c r="Q238" s="124" t="n">
        <f aca="false">E238/P$3</f>
        <v>0</v>
      </c>
      <c r="R238" s="124" t="n">
        <f aca="false">F238/R$3</f>
        <v>0</v>
      </c>
      <c r="S238" s="126" t="n">
        <f aca="false">J238/$R$3</f>
        <v>0</v>
      </c>
      <c r="T238" s="126" t="n">
        <f aca="false">L238/$R$3</f>
        <v>0</v>
      </c>
      <c r="U238" s="126" t="n">
        <f aca="false">I238/$R$3</f>
        <v>0</v>
      </c>
      <c r="V238" s="126" t="n">
        <f aca="false">M238/$R$3</f>
        <v>0</v>
      </c>
      <c r="W238" s="126" t="n">
        <f aca="false">N238/$R$3</f>
        <v>-35.909</v>
      </c>
    </row>
    <row r="239" customFormat="false" ht="12.75" hidden="false" customHeight="false" outlineLevel="0" collapsed="false">
      <c r="A239" s="120" t="n">
        <f aca="false">A238+1</f>
        <v>37125</v>
      </c>
      <c r="B239" s="131" t="str">
        <f aca="false">INDEX('[4]Master Data'!$A$2:$B$8,MATCH(WEEKDAY('CRD Hedge'!A239,3),'[4]Master Data'!$A$2:$A$8,0),2)</f>
        <v>W</v>
      </c>
      <c r="D239" s="124" t="n">
        <v>0</v>
      </c>
      <c r="E239" s="124" t="n">
        <v>0</v>
      </c>
      <c r="F239" s="124" t="n">
        <v>0</v>
      </c>
      <c r="G239" s="124" t="n">
        <v>0</v>
      </c>
      <c r="I239" s="124" t="n">
        <f aca="false">IF(MONTH($A239)=MONTH($A238),IF(G239=0,I238,G239),G239)</f>
        <v>0</v>
      </c>
      <c r="J239" s="124" t="n">
        <f aca="false">IF(MONTH($A239)=MONTH($A238),SUM(I239-I238),I239)</f>
        <v>0</v>
      </c>
      <c r="K239" s="124" t="n">
        <f aca="false">IF(WEEKDAY(A239,3)&gt;4,0,(IF(A239&lt;K$2,0,IF(A239&lt;=K$3,1,0))))</f>
        <v>0</v>
      </c>
      <c r="L239" s="124" t="n">
        <f aca="false">J239*K239</f>
        <v>0</v>
      </c>
      <c r="M239" s="124" t="n">
        <f aca="false">SUM(J$188:J239)</f>
        <v>0</v>
      </c>
      <c r="N239" s="124" t="n">
        <f aca="false">SUM(J$6:J239)</f>
        <v>-35909</v>
      </c>
      <c r="P239" s="148" t="n">
        <f aca="false">D239/P$3</f>
        <v>0</v>
      </c>
      <c r="Q239" s="124" t="n">
        <f aca="false">E239/P$3</f>
        <v>0</v>
      </c>
      <c r="R239" s="124" t="n">
        <f aca="false">F239/R$3</f>
        <v>0</v>
      </c>
      <c r="S239" s="126" t="n">
        <f aca="false">J239/$R$3</f>
        <v>0</v>
      </c>
      <c r="T239" s="126" t="n">
        <f aca="false">L239/$R$3</f>
        <v>0</v>
      </c>
      <c r="U239" s="126" t="n">
        <f aca="false">I239/$R$3</f>
        <v>0</v>
      </c>
      <c r="V239" s="126" t="n">
        <f aca="false">M239/$R$3</f>
        <v>0</v>
      </c>
      <c r="W239" s="126" t="n">
        <f aca="false">N239/$R$3</f>
        <v>-35.909</v>
      </c>
    </row>
    <row r="240" customFormat="false" ht="12.75" hidden="false" customHeight="false" outlineLevel="0" collapsed="false">
      <c r="A240" s="120" t="n">
        <f aca="false">A239+1</f>
        <v>37126</v>
      </c>
      <c r="B240" s="131" t="str">
        <f aca="false">INDEX('[4]Master Data'!$A$2:$B$8,MATCH(WEEKDAY('CRD Hedge'!A240,3),'[4]Master Data'!$A$2:$A$8,0),2)</f>
        <v>Th</v>
      </c>
      <c r="D240" s="124" t="n">
        <v>0</v>
      </c>
      <c r="E240" s="124" t="n">
        <v>0</v>
      </c>
      <c r="F240" s="124" t="n">
        <v>0</v>
      </c>
      <c r="G240" s="124" t="n">
        <v>0</v>
      </c>
      <c r="I240" s="124" t="n">
        <f aca="false">IF(MONTH($A240)=MONTH($A239),IF(G240=0,I239,G240),G240)</f>
        <v>0</v>
      </c>
      <c r="J240" s="124" t="n">
        <f aca="false">IF(MONTH($A240)=MONTH($A239),SUM(I240-I239),I240)</f>
        <v>0</v>
      </c>
      <c r="K240" s="124" t="n">
        <f aca="false">IF(WEEKDAY(A240,3)&gt;4,0,(IF(A240&lt;K$2,0,IF(A240&lt;=K$3,1,0))))</f>
        <v>0</v>
      </c>
      <c r="L240" s="124" t="n">
        <f aca="false">J240*K240</f>
        <v>0</v>
      </c>
      <c r="M240" s="124" t="n">
        <f aca="false">SUM(J$188:J240)</f>
        <v>0</v>
      </c>
      <c r="N240" s="124" t="n">
        <f aca="false">SUM(J$6:J240)</f>
        <v>-35909</v>
      </c>
      <c r="P240" s="148" t="n">
        <f aca="false">D240/P$3</f>
        <v>0</v>
      </c>
      <c r="Q240" s="124" t="n">
        <f aca="false">E240/P$3</f>
        <v>0</v>
      </c>
      <c r="R240" s="124" t="n">
        <f aca="false">F240/R$3</f>
        <v>0</v>
      </c>
      <c r="S240" s="126" t="n">
        <f aca="false">J240/$R$3</f>
        <v>0</v>
      </c>
      <c r="T240" s="126" t="n">
        <f aca="false">L240/$R$3</f>
        <v>0</v>
      </c>
      <c r="U240" s="126" t="n">
        <f aca="false">I240/$R$3</f>
        <v>0</v>
      </c>
      <c r="V240" s="126" t="n">
        <f aca="false">M240/$R$3</f>
        <v>0</v>
      </c>
      <c r="W240" s="126" t="n">
        <f aca="false">N240/$R$3</f>
        <v>-35.909</v>
      </c>
    </row>
    <row r="241" customFormat="false" ht="12.75" hidden="false" customHeight="false" outlineLevel="0" collapsed="false">
      <c r="A241" s="120" t="n">
        <f aca="false">A240+1</f>
        <v>37127</v>
      </c>
      <c r="B241" s="131" t="str">
        <f aca="false">INDEX('[4]Master Data'!$A$2:$B$8,MATCH(WEEKDAY('CRD Hedge'!A241,3),'[4]Master Data'!$A$2:$A$8,0),2)</f>
        <v>F</v>
      </c>
      <c r="D241" s="124" t="n">
        <v>0</v>
      </c>
      <c r="E241" s="124" t="n">
        <v>0</v>
      </c>
      <c r="F241" s="124" t="n">
        <v>0</v>
      </c>
      <c r="G241" s="124" t="n">
        <v>0</v>
      </c>
      <c r="I241" s="124" t="n">
        <f aca="false">IF(MONTH($A241)=MONTH($A240),IF(G241=0,I240,G241),G241)</f>
        <v>0</v>
      </c>
      <c r="J241" s="124" t="n">
        <f aca="false">IF(MONTH($A241)=MONTH($A240),SUM(I241-I240),I241)</f>
        <v>0</v>
      </c>
      <c r="K241" s="124" t="n">
        <f aca="false">IF(WEEKDAY(A241,3)&gt;4,0,(IF(A241&lt;K$2,0,IF(A241&lt;=K$3,1,0))))</f>
        <v>0</v>
      </c>
      <c r="L241" s="124" t="n">
        <f aca="false">J241*K241</f>
        <v>0</v>
      </c>
      <c r="M241" s="124" t="n">
        <f aca="false">SUM(J$188:J241)</f>
        <v>0</v>
      </c>
      <c r="N241" s="124" t="n">
        <f aca="false">SUM(J$6:J241)</f>
        <v>-35909</v>
      </c>
      <c r="P241" s="148" t="n">
        <f aca="false">D241/P$3</f>
        <v>0</v>
      </c>
      <c r="Q241" s="124" t="n">
        <f aca="false">E241/P$3</f>
        <v>0</v>
      </c>
      <c r="R241" s="124" t="n">
        <f aca="false">F241/R$3</f>
        <v>0</v>
      </c>
      <c r="S241" s="126" t="n">
        <f aca="false">J241/$R$3</f>
        <v>0</v>
      </c>
      <c r="T241" s="126" t="n">
        <f aca="false">L241/$R$3</f>
        <v>0</v>
      </c>
      <c r="U241" s="126" t="n">
        <f aca="false">I241/$R$3</f>
        <v>0</v>
      </c>
      <c r="V241" s="126" t="n">
        <f aca="false">M241/$R$3</f>
        <v>0</v>
      </c>
      <c r="W241" s="126" t="n">
        <f aca="false">N241/$R$3</f>
        <v>-35.909</v>
      </c>
    </row>
    <row r="242" customFormat="false" ht="12.75" hidden="false" customHeight="false" outlineLevel="0" collapsed="false">
      <c r="A242" s="120" t="n">
        <f aca="false">A241+1</f>
        <v>37128</v>
      </c>
      <c r="B242" s="131" t="str">
        <f aca="false">INDEX('[4]Master Data'!$A$2:$B$8,MATCH(WEEKDAY('CRD Hedge'!A242,3),'[4]Master Data'!$A$2:$A$8,0),2)</f>
        <v>Sa</v>
      </c>
      <c r="D242" s="124" t="n">
        <v>0</v>
      </c>
      <c r="E242" s="124" t="n">
        <v>0</v>
      </c>
      <c r="F242" s="124" t="n">
        <v>0</v>
      </c>
      <c r="G242" s="124" t="n">
        <v>0</v>
      </c>
      <c r="I242" s="124" t="n">
        <f aca="false">IF(MONTH($A242)=MONTH($A241),IF(G242=0,I241,G242),G242)</f>
        <v>0</v>
      </c>
      <c r="J242" s="124" t="n">
        <f aca="false">IF(MONTH($A242)=MONTH($A241),SUM(I242-I241),I242)</f>
        <v>0</v>
      </c>
      <c r="K242" s="124" t="n">
        <f aca="false">IF(WEEKDAY(A242,3)&gt;4,0,(IF(A242&lt;K$2,0,IF(A242&lt;=K$3,1,0))))</f>
        <v>0</v>
      </c>
      <c r="L242" s="124" t="n">
        <f aca="false">J242*K242</f>
        <v>0</v>
      </c>
      <c r="M242" s="124" t="n">
        <f aca="false">SUM(J$188:J242)</f>
        <v>0</v>
      </c>
      <c r="N242" s="124" t="n">
        <f aca="false">SUM(J$6:J242)</f>
        <v>-35909</v>
      </c>
      <c r="P242" s="148" t="n">
        <f aca="false">D242/P$3</f>
        <v>0</v>
      </c>
      <c r="Q242" s="124" t="n">
        <f aca="false">E242/P$3</f>
        <v>0</v>
      </c>
      <c r="R242" s="124" t="n">
        <f aca="false">F242/R$3</f>
        <v>0</v>
      </c>
      <c r="S242" s="126" t="n">
        <f aca="false">J242/$R$3</f>
        <v>0</v>
      </c>
      <c r="T242" s="126" t="n">
        <f aca="false">L242/$R$3</f>
        <v>0</v>
      </c>
      <c r="U242" s="126" t="n">
        <f aca="false">I242/$R$3</f>
        <v>0</v>
      </c>
      <c r="V242" s="126" t="n">
        <f aca="false">M242/$R$3</f>
        <v>0</v>
      </c>
      <c r="W242" s="126" t="n">
        <f aca="false">N242/$R$3</f>
        <v>-35.909</v>
      </c>
    </row>
    <row r="243" customFormat="false" ht="12.75" hidden="false" customHeight="false" outlineLevel="0" collapsed="false">
      <c r="A243" s="120" t="n">
        <f aca="false">A242+1</f>
        <v>37129</v>
      </c>
      <c r="B243" s="131" t="str">
        <f aca="false">INDEX('[4]Master Data'!$A$2:$B$8,MATCH(WEEKDAY('CRD Hedge'!A243,3),'[4]Master Data'!$A$2:$A$8,0),2)</f>
        <v>Su</v>
      </c>
      <c r="D243" s="124" t="n">
        <v>0</v>
      </c>
      <c r="E243" s="124" t="n">
        <v>0</v>
      </c>
      <c r="F243" s="124" t="n">
        <v>0</v>
      </c>
      <c r="G243" s="124" t="n">
        <v>0</v>
      </c>
      <c r="I243" s="124" t="n">
        <f aca="false">IF(MONTH($A243)=MONTH($A242),IF(G243=0,I242,G243),G243)</f>
        <v>0</v>
      </c>
      <c r="J243" s="124" t="n">
        <f aca="false">IF(MONTH($A243)=MONTH($A242),SUM(I243-I242),I243)</f>
        <v>0</v>
      </c>
      <c r="K243" s="124" t="n">
        <f aca="false">IF(WEEKDAY(A243,3)&gt;4,0,(IF(A243&lt;K$2,0,IF(A243&lt;=K$3,1,0))))</f>
        <v>0</v>
      </c>
      <c r="L243" s="124" t="n">
        <f aca="false">J243*K243</f>
        <v>0</v>
      </c>
      <c r="M243" s="124" t="n">
        <f aca="false">SUM(J$188:J243)</f>
        <v>0</v>
      </c>
      <c r="N243" s="124" t="n">
        <f aca="false">SUM(J$6:J243)</f>
        <v>-35909</v>
      </c>
      <c r="P243" s="148" t="n">
        <f aca="false">D243/P$3</f>
        <v>0</v>
      </c>
      <c r="Q243" s="124" t="n">
        <f aca="false">E243/P$3</f>
        <v>0</v>
      </c>
      <c r="R243" s="124" t="n">
        <f aca="false">F243/R$3</f>
        <v>0</v>
      </c>
      <c r="S243" s="126" t="n">
        <f aca="false">J243/$R$3</f>
        <v>0</v>
      </c>
      <c r="T243" s="126" t="n">
        <f aca="false">L243/$R$3</f>
        <v>0</v>
      </c>
      <c r="U243" s="126" t="n">
        <f aca="false">I243/$R$3</f>
        <v>0</v>
      </c>
      <c r="V243" s="126" t="n">
        <f aca="false">M243/$R$3</f>
        <v>0</v>
      </c>
      <c r="W243" s="126" t="n">
        <f aca="false">N243/$R$3</f>
        <v>-35.909</v>
      </c>
    </row>
    <row r="244" customFormat="false" ht="12.75" hidden="false" customHeight="false" outlineLevel="0" collapsed="false">
      <c r="A244" s="120" t="n">
        <f aca="false">A243+1</f>
        <v>37130</v>
      </c>
      <c r="B244" s="131" t="str">
        <f aca="false">INDEX('[4]Master Data'!$A$2:$B$8,MATCH(WEEKDAY('CRD Hedge'!A244,3),'[4]Master Data'!$A$2:$A$8,0),2)</f>
        <v>M</v>
      </c>
      <c r="D244" s="124" t="n">
        <v>0</v>
      </c>
      <c r="E244" s="124" t="n">
        <v>0</v>
      </c>
      <c r="F244" s="124" t="n">
        <v>0</v>
      </c>
      <c r="G244" s="124" t="n">
        <v>0</v>
      </c>
      <c r="I244" s="124" t="n">
        <f aca="false">IF(MONTH($A244)=MONTH($A243),IF(G244=0,I243,G244),G244)</f>
        <v>0</v>
      </c>
      <c r="J244" s="124" t="n">
        <f aca="false">IF(MONTH($A244)=MONTH($A243),SUM(I244-I243),I244)</f>
        <v>0</v>
      </c>
      <c r="K244" s="124" t="n">
        <f aca="false">IF(WEEKDAY(A244,3)&gt;4,0,(IF(A244&lt;K$2,0,IF(A244&lt;=K$3,1,0))))</f>
        <v>0</v>
      </c>
      <c r="L244" s="124" t="n">
        <f aca="false">J244*K244</f>
        <v>0</v>
      </c>
      <c r="M244" s="124" t="n">
        <f aca="false">SUM(J$188:J244)</f>
        <v>0</v>
      </c>
      <c r="N244" s="124" t="n">
        <f aca="false">SUM(J$6:J244)</f>
        <v>-35909</v>
      </c>
      <c r="P244" s="148" t="n">
        <f aca="false">D244/P$3</f>
        <v>0</v>
      </c>
      <c r="Q244" s="124" t="n">
        <f aca="false">E244/P$3</f>
        <v>0</v>
      </c>
      <c r="R244" s="124" t="n">
        <f aca="false">F244/R$3</f>
        <v>0</v>
      </c>
      <c r="S244" s="126" t="n">
        <f aca="false">J244/$R$3</f>
        <v>0</v>
      </c>
      <c r="T244" s="126" t="n">
        <f aca="false">L244/$R$3</f>
        <v>0</v>
      </c>
      <c r="U244" s="126" t="n">
        <f aca="false">I244/$R$3</f>
        <v>0</v>
      </c>
      <c r="V244" s="126" t="n">
        <f aca="false">M244/$R$3</f>
        <v>0</v>
      </c>
      <c r="W244" s="126" t="n">
        <f aca="false">N244/$R$3</f>
        <v>-35.909</v>
      </c>
    </row>
    <row r="245" customFormat="false" ht="12.75" hidden="false" customHeight="false" outlineLevel="0" collapsed="false">
      <c r="A245" s="120" t="n">
        <f aca="false">A244+1</f>
        <v>37131</v>
      </c>
      <c r="B245" s="131" t="str">
        <f aca="false">INDEX('[4]Master Data'!$A$2:$B$8,MATCH(WEEKDAY('CRD Hedge'!A245,3),'[4]Master Data'!$A$2:$A$8,0),2)</f>
        <v>T</v>
      </c>
      <c r="D245" s="124" t="n">
        <v>0</v>
      </c>
      <c r="E245" s="124" t="n">
        <v>0</v>
      </c>
      <c r="F245" s="124" t="n">
        <v>0</v>
      </c>
      <c r="G245" s="124" t="n">
        <v>0</v>
      </c>
      <c r="I245" s="124" t="n">
        <f aca="false">IF(MONTH($A245)=MONTH($A244),IF(G245=0,I244,G245),G245)</f>
        <v>0</v>
      </c>
      <c r="J245" s="124" t="n">
        <f aca="false">IF(MONTH($A245)=MONTH($A244),SUM(I245-I244),I245)</f>
        <v>0</v>
      </c>
      <c r="K245" s="124" t="n">
        <f aca="false">IF(WEEKDAY(A245,3)&gt;4,0,(IF(A245&lt;K$2,0,IF(A245&lt;=K$3,1,0))))</f>
        <v>0</v>
      </c>
      <c r="L245" s="124" t="n">
        <f aca="false">J245*K245</f>
        <v>0</v>
      </c>
      <c r="M245" s="124" t="n">
        <f aca="false">SUM(J$188:J245)</f>
        <v>0</v>
      </c>
      <c r="N245" s="124" t="n">
        <f aca="false">SUM(J$6:J245)</f>
        <v>-35909</v>
      </c>
      <c r="P245" s="148" t="n">
        <f aca="false">D245/P$3</f>
        <v>0</v>
      </c>
      <c r="Q245" s="124" t="n">
        <f aca="false">E245/P$3</f>
        <v>0</v>
      </c>
      <c r="R245" s="124" t="n">
        <f aca="false">F245/R$3</f>
        <v>0</v>
      </c>
      <c r="S245" s="126" t="n">
        <f aca="false">J245/$R$3</f>
        <v>0</v>
      </c>
      <c r="T245" s="126" t="n">
        <f aca="false">L245/$R$3</f>
        <v>0</v>
      </c>
      <c r="U245" s="126" t="n">
        <f aca="false">I245/$R$3</f>
        <v>0</v>
      </c>
      <c r="V245" s="126" t="n">
        <f aca="false">M245/$R$3</f>
        <v>0</v>
      </c>
      <c r="W245" s="126" t="n">
        <f aca="false">N245/$R$3</f>
        <v>-35.909</v>
      </c>
    </row>
    <row r="246" customFormat="false" ht="12.75" hidden="false" customHeight="false" outlineLevel="0" collapsed="false">
      <c r="A246" s="120" t="n">
        <f aca="false">A245+1</f>
        <v>37132</v>
      </c>
      <c r="B246" s="131" t="str">
        <f aca="false">INDEX('[4]Master Data'!$A$2:$B$8,MATCH(WEEKDAY('CRD Hedge'!A246,3),'[4]Master Data'!$A$2:$A$8,0),2)</f>
        <v>W</v>
      </c>
      <c r="D246" s="124" t="n">
        <v>0</v>
      </c>
      <c r="E246" s="124" t="n">
        <v>0</v>
      </c>
      <c r="F246" s="124" t="n">
        <v>0</v>
      </c>
      <c r="G246" s="124" t="n">
        <v>0</v>
      </c>
      <c r="I246" s="124" t="n">
        <f aca="false">IF(MONTH($A246)=MONTH($A245),IF(G246=0,I245,G246),G246)</f>
        <v>0</v>
      </c>
      <c r="J246" s="124" t="n">
        <f aca="false">IF(MONTH($A246)=MONTH($A245),SUM(I246-I245),I246)</f>
        <v>0</v>
      </c>
      <c r="K246" s="124" t="n">
        <f aca="false">IF(WEEKDAY(A246,3)&gt;4,0,(IF(A246&lt;K$2,0,IF(A246&lt;=K$3,1,0))))</f>
        <v>0</v>
      </c>
      <c r="L246" s="124" t="n">
        <f aca="false">J246*K246</f>
        <v>0</v>
      </c>
      <c r="M246" s="124" t="n">
        <f aca="false">SUM(J$188:J246)</f>
        <v>0</v>
      </c>
      <c r="N246" s="124" t="n">
        <f aca="false">SUM(J$6:J246)</f>
        <v>-35909</v>
      </c>
      <c r="P246" s="148" t="n">
        <f aca="false">D246/P$3</f>
        <v>0</v>
      </c>
      <c r="Q246" s="124" t="n">
        <f aca="false">E246/P$3</f>
        <v>0</v>
      </c>
      <c r="R246" s="124" t="n">
        <f aca="false">F246/R$3</f>
        <v>0</v>
      </c>
      <c r="S246" s="126" t="n">
        <f aca="false">J246/$R$3</f>
        <v>0</v>
      </c>
      <c r="T246" s="126" t="n">
        <f aca="false">L246/$R$3</f>
        <v>0</v>
      </c>
      <c r="U246" s="126" t="n">
        <f aca="false">I246/$R$3</f>
        <v>0</v>
      </c>
      <c r="V246" s="126" t="n">
        <f aca="false">M246/$R$3</f>
        <v>0</v>
      </c>
      <c r="W246" s="126" t="n">
        <f aca="false">N246/$R$3</f>
        <v>-35.909</v>
      </c>
    </row>
    <row r="247" customFormat="false" ht="12.75" hidden="false" customHeight="false" outlineLevel="0" collapsed="false">
      <c r="A247" s="120" t="n">
        <f aca="false">A246+1</f>
        <v>37133</v>
      </c>
      <c r="B247" s="131" t="str">
        <f aca="false">INDEX('[4]Master Data'!$A$2:$B$8,MATCH(WEEKDAY('CRD Hedge'!A247,3),'[4]Master Data'!$A$2:$A$8,0),2)</f>
        <v>Th</v>
      </c>
      <c r="D247" s="124" t="n">
        <v>0</v>
      </c>
      <c r="E247" s="124" t="n">
        <v>0</v>
      </c>
      <c r="F247" s="124" t="n">
        <v>0</v>
      </c>
      <c r="G247" s="124" t="n">
        <v>0</v>
      </c>
      <c r="I247" s="124" t="n">
        <f aca="false">IF(MONTH($A247)=MONTH($A246),IF(G247=0,I246,G247),G247)</f>
        <v>0</v>
      </c>
      <c r="J247" s="124" t="n">
        <f aca="false">IF(MONTH($A247)=MONTH($A246),SUM(I247-I246),I247)</f>
        <v>0</v>
      </c>
      <c r="K247" s="124" t="n">
        <f aca="false">IF(WEEKDAY(A247,3)&gt;4,0,(IF(A247&lt;K$2,0,IF(A247&lt;=K$3,1,0))))</f>
        <v>0</v>
      </c>
      <c r="L247" s="124" t="n">
        <f aca="false">J247*K247</f>
        <v>0</v>
      </c>
      <c r="M247" s="124" t="n">
        <f aca="false">SUM(J$188:J247)</f>
        <v>0</v>
      </c>
      <c r="N247" s="124" t="n">
        <f aca="false">SUM(J$6:J247)</f>
        <v>-35909</v>
      </c>
      <c r="P247" s="148" t="n">
        <f aca="false">D247/P$3</f>
        <v>0</v>
      </c>
      <c r="Q247" s="124" t="n">
        <f aca="false">E247/P$3</f>
        <v>0</v>
      </c>
      <c r="R247" s="124" t="n">
        <f aca="false">F247/R$3</f>
        <v>0</v>
      </c>
      <c r="S247" s="126" t="n">
        <f aca="false">J247/$R$3</f>
        <v>0</v>
      </c>
      <c r="T247" s="126" t="n">
        <f aca="false">L247/$R$3</f>
        <v>0</v>
      </c>
      <c r="U247" s="126" t="n">
        <f aca="false">I247/$R$3</f>
        <v>0</v>
      </c>
      <c r="V247" s="126" t="n">
        <f aca="false">M247/$R$3</f>
        <v>0</v>
      </c>
      <c r="W247" s="126" t="n">
        <f aca="false">N247/$R$3</f>
        <v>-35.909</v>
      </c>
    </row>
    <row r="248" customFormat="false" ht="12.75" hidden="false" customHeight="false" outlineLevel="0" collapsed="false">
      <c r="A248" s="120" t="n">
        <f aca="false">A247+1</f>
        <v>37134</v>
      </c>
      <c r="B248" s="131" t="str">
        <f aca="false">INDEX('[4]Master Data'!$A$2:$B$8,MATCH(WEEKDAY('CRD Hedge'!A248,3),'[4]Master Data'!$A$2:$A$8,0),2)</f>
        <v>F</v>
      </c>
      <c r="D248" s="124" t="n">
        <v>0</v>
      </c>
      <c r="E248" s="124" t="n">
        <v>0</v>
      </c>
      <c r="F248" s="124" t="n">
        <v>0</v>
      </c>
      <c r="G248" s="124" t="n">
        <v>0</v>
      </c>
      <c r="I248" s="124" t="n">
        <f aca="false">IF(MONTH($A248)=MONTH($A247),IF(G248=0,I247,G248),G248)</f>
        <v>0</v>
      </c>
      <c r="J248" s="124" t="n">
        <f aca="false">IF(MONTH($A248)=MONTH($A247),SUM(I248-I247),I248)</f>
        <v>0</v>
      </c>
      <c r="K248" s="124" t="n">
        <f aca="false">IF(WEEKDAY(A248,3)&gt;4,0,(IF(A248&lt;K$2,0,IF(A248&lt;=K$3,1,0))))</f>
        <v>0</v>
      </c>
      <c r="L248" s="124" t="n">
        <f aca="false">J248*K248</f>
        <v>0</v>
      </c>
      <c r="M248" s="124" t="n">
        <f aca="false">SUM(J$188:J248)</f>
        <v>0</v>
      </c>
      <c r="N248" s="124" t="n">
        <f aca="false">SUM(J$6:J248)</f>
        <v>-35909</v>
      </c>
      <c r="P248" s="148" t="n">
        <f aca="false">D248/P$3</f>
        <v>0</v>
      </c>
      <c r="Q248" s="124" t="n">
        <f aca="false">E248/P$3</f>
        <v>0</v>
      </c>
      <c r="R248" s="124" t="n">
        <f aca="false">F248/R$3</f>
        <v>0</v>
      </c>
      <c r="S248" s="126" t="n">
        <f aca="false">J248/$R$3</f>
        <v>0</v>
      </c>
      <c r="T248" s="126" t="n">
        <f aca="false">L248/$R$3</f>
        <v>0</v>
      </c>
      <c r="U248" s="126" t="n">
        <f aca="false">I248/$R$3</f>
        <v>0</v>
      </c>
      <c r="V248" s="126" t="n">
        <f aca="false">M248/$R$3</f>
        <v>0</v>
      </c>
      <c r="W248" s="126" t="n">
        <f aca="false">N248/$R$3</f>
        <v>-35.909</v>
      </c>
    </row>
    <row r="249" customFormat="false" ht="12.75" hidden="false" customHeight="false" outlineLevel="0" collapsed="false">
      <c r="A249" s="120" t="n">
        <f aca="false">A248+1</f>
        <v>37135</v>
      </c>
      <c r="B249" s="131" t="str">
        <f aca="false">INDEX('[4]Master Data'!$A$2:$B$8,MATCH(WEEKDAY('CRD Hedge'!A249,3),'[4]Master Data'!$A$2:$A$8,0),2)</f>
        <v>Sa</v>
      </c>
      <c r="D249" s="124" t="n">
        <v>0</v>
      </c>
      <c r="E249" s="124" t="n">
        <v>0</v>
      </c>
      <c r="F249" s="124" t="n">
        <v>0</v>
      </c>
      <c r="G249" s="124" t="n">
        <v>0</v>
      </c>
      <c r="I249" s="124" t="n">
        <f aca="false">IF(MONTH($A249)=MONTH($A248),IF(G249=0,I248,G249),G249)</f>
        <v>0</v>
      </c>
      <c r="J249" s="124" t="n">
        <f aca="false">IF(MONTH($A249)=MONTH($A248),SUM(I249-I248),I249)</f>
        <v>0</v>
      </c>
      <c r="K249" s="124" t="n">
        <f aca="false">IF(WEEKDAY(A249,3)&gt;4,0,(IF(A249&lt;K$2,0,IF(A249&lt;=K$3,1,0))))</f>
        <v>0</v>
      </c>
      <c r="L249" s="124" t="n">
        <f aca="false">J249*K249</f>
        <v>0</v>
      </c>
      <c r="M249" s="124" t="n">
        <f aca="false">SUM(J$188:J249)</f>
        <v>0</v>
      </c>
      <c r="N249" s="124" t="n">
        <f aca="false">SUM(J$6:J249)</f>
        <v>-35909</v>
      </c>
      <c r="P249" s="148" t="n">
        <f aca="false">D249/P$3</f>
        <v>0</v>
      </c>
      <c r="Q249" s="124" t="n">
        <f aca="false">E249/P$3</f>
        <v>0</v>
      </c>
      <c r="R249" s="124" t="n">
        <f aca="false">F249/R$3</f>
        <v>0</v>
      </c>
      <c r="S249" s="126" t="n">
        <f aca="false">J249/$R$3</f>
        <v>0</v>
      </c>
      <c r="T249" s="126" t="n">
        <f aca="false">L249/$R$3</f>
        <v>0</v>
      </c>
      <c r="U249" s="126" t="n">
        <f aca="false">I249/$R$3</f>
        <v>0</v>
      </c>
      <c r="V249" s="126" t="n">
        <f aca="false">M249/$R$3</f>
        <v>0</v>
      </c>
      <c r="W249" s="126" t="n">
        <f aca="false">N249/$R$3</f>
        <v>-35.909</v>
      </c>
    </row>
    <row r="250" customFormat="false" ht="12.75" hidden="false" customHeight="false" outlineLevel="0" collapsed="false">
      <c r="A250" s="120" t="n">
        <f aca="false">A249+1</f>
        <v>37136</v>
      </c>
      <c r="B250" s="131" t="str">
        <f aca="false">INDEX('[4]Master Data'!$A$2:$B$8,MATCH(WEEKDAY('CRD Hedge'!A250,3),'[4]Master Data'!$A$2:$A$8,0),2)</f>
        <v>Su</v>
      </c>
      <c r="D250" s="124" t="n">
        <v>0</v>
      </c>
      <c r="E250" s="124" t="n">
        <v>0</v>
      </c>
      <c r="F250" s="124" t="n">
        <v>0</v>
      </c>
      <c r="G250" s="124" t="n">
        <v>0</v>
      </c>
      <c r="I250" s="124" t="n">
        <f aca="false">IF(MONTH($A250)=MONTH($A249),IF(G250=0,I249,G250),G250)</f>
        <v>0</v>
      </c>
      <c r="J250" s="124" t="n">
        <f aca="false">IF(MONTH($A250)=MONTH($A249),SUM(I250-I249),I250)</f>
        <v>0</v>
      </c>
      <c r="K250" s="124" t="n">
        <f aca="false">IF(WEEKDAY(A250,3)&gt;4,0,(IF(A250&lt;K$2,0,IF(A250&lt;=K$3,1,0))))</f>
        <v>0</v>
      </c>
      <c r="L250" s="124" t="n">
        <f aca="false">J250*K250</f>
        <v>0</v>
      </c>
      <c r="M250" s="124" t="n">
        <f aca="false">SUM(J$188:J250)</f>
        <v>0</v>
      </c>
      <c r="N250" s="124" t="n">
        <f aca="false">SUM(J$6:J250)</f>
        <v>-35909</v>
      </c>
      <c r="P250" s="148" t="n">
        <f aca="false">D250/P$3</f>
        <v>0</v>
      </c>
      <c r="Q250" s="124" t="n">
        <f aca="false">E250/P$3</f>
        <v>0</v>
      </c>
      <c r="R250" s="124" t="n">
        <f aca="false">F250/R$3</f>
        <v>0</v>
      </c>
      <c r="S250" s="126" t="n">
        <f aca="false">J250/$R$3</f>
        <v>0</v>
      </c>
      <c r="T250" s="126" t="n">
        <f aca="false">L250/$R$3</f>
        <v>0</v>
      </c>
      <c r="U250" s="126" t="n">
        <f aca="false">I250/$R$3</f>
        <v>0</v>
      </c>
      <c r="V250" s="126" t="n">
        <f aca="false">M250/$R$3</f>
        <v>0</v>
      </c>
      <c r="W250" s="126" t="n">
        <f aca="false">N250/$R$3</f>
        <v>-35.909</v>
      </c>
    </row>
    <row r="251" customFormat="false" ht="12.75" hidden="false" customHeight="false" outlineLevel="0" collapsed="false">
      <c r="A251" s="120" t="n">
        <f aca="false">A250+1</f>
        <v>37137</v>
      </c>
      <c r="B251" s="131" t="str">
        <f aca="false">INDEX('[4]Master Data'!$A$2:$B$8,MATCH(WEEKDAY('CRD Hedge'!A251,3),'[4]Master Data'!$A$2:$A$8,0),2)</f>
        <v>M</v>
      </c>
      <c r="D251" s="124" t="n">
        <v>0</v>
      </c>
      <c r="E251" s="124" t="n">
        <v>0</v>
      </c>
      <c r="F251" s="124" t="n">
        <v>0</v>
      </c>
      <c r="G251" s="124" t="n">
        <v>0</v>
      </c>
      <c r="I251" s="124" t="n">
        <f aca="false">IF(MONTH($A251)=MONTH($A250),IF(G251=0,I250,G251),G251)</f>
        <v>0</v>
      </c>
      <c r="J251" s="124" t="n">
        <f aca="false">IF(MONTH($A251)=MONTH($A250),SUM(I251-I250),I251)</f>
        <v>0</v>
      </c>
      <c r="K251" s="124" t="n">
        <f aca="false">IF(WEEKDAY(A251,3)&gt;4,0,(IF(A251&lt;K$2,0,IF(A251&lt;=K$3,1,0))))</f>
        <v>0</v>
      </c>
      <c r="L251" s="124" t="n">
        <f aca="false">J251*K251</f>
        <v>0</v>
      </c>
      <c r="M251" s="124" t="n">
        <f aca="false">SUM(J$188:J251)</f>
        <v>0</v>
      </c>
      <c r="N251" s="124" t="n">
        <f aca="false">SUM(J$6:J251)</f>
        <v>-35909</v>
      </c>
      <c r="P251" s="148" t="n">
        <f aca="false">D251/P$3</f>
        <v>0</v>
      </c>
      <c r="Q251" s="124" t="n">
        <f aca="false">E251/P$3</f>
        <v>0</v>
      </c>
      <c r="R251" s="124" t="n">
        <f aca="false">F251/R$3</f>
        <v>0</v>
      </c>
      <c r="S251" s="126" t="n">
        <f aca="false">J251/$R$3</f>
        <v>0</v>
      </c>
      <c r="T251" s="126" t="n">
        <f aca="false">L251/$R$3</f>
        <v>0</v>
      </c>
      <c r="U251" s="126" t="n">
        <f aca="false">I251/$R$3</f>
        <v>0</v>
      </c>
      <c r="V251" s="126" t="n">
        <f aca="false">M251/$R$3</f>
        <v>0</v>
      </c>
      <c r="W251" s="126" t="n">
        <f aca="false">N251/$R$3</f>
        <v>-35.909</v>
      </c>
    </row>
    <row r="252" customFormat="false" ht="12.75" hidden="false" customHeight="false" outlineLevel="0" collapsed="false">
      <c r="A252" s="120" t="n">
        <f aca="false">A251+1</f>
        <v>37138</v>
      </c>
      <c r="B252" s="131" t="str">
        <f aca="false">INDEX('[4]Master Data'!$A$2:$B$8,MATCH(WEEKDAY('CRD Hedge'!A252,3),'[4]Master Data'!$A$2:$A$8,0),2)</f>
        <v>T</v>
      </c>
      <c r="D252" s="124" t="n">
        <v>0</v>
      </c>
      <c r="E252" s="124" t="n">
        <v>0</v>
      </c>
      <c r="F252" s="124" t="n">
        <v>0</v>
      </c>
      <c r="G252" s="124" t="n">
        <v>0</v>
      </c>
      <c r="I252" s="124" t="n">
        <f aca="false">IF(MONTH($A252)=MONTH($A251),IF(G252=0,I251,G252),G252)</f>
        <v>0</v>
      </c>
      <c r="J252" s="124" t="n">
        <f aca="false">IF(MONTH($A252)=MONTH($A251),SUM(I252-I251),I252)</f>
        <v>0</v>
      </c>
      <c r="K252" s="124" t="n">
        <f aca="false">IF(WEEKDAY(A252,3)&gt;4,0,(IF(A252&lt;K$2,0,IF(A252&lt;=K$3,1,0))))</f>
        <v>0</v>
      </c>
      <c r="L252" s="124" t="n">
        <f aca="false">J252*K252</f>
        <v>0</v>
      </c>
      <c r="M252" s="124" t="n">
        <f aca="false">SUM(J$188:J252)</f>
        <v>0</v>
      </c>
      <c r="N252" s="124" t="n">
        <f aca="false">SUM(J$6:J252)</f>
        <v>-35909</v>
      </c>
      <c r="P252" s="148" t="n">
        <f aca="false">D252/P$3</f>
        <v>0</v>
      </c>
      <c r="Q252" s="124" t="n">
        <f aca="false">E252/P$3</f>
        <v>0</v>
      </c>
      <c r="R252" s="124" t="n">
        <f aca="false">F252/R$3</f>
        <v>0</v>
      </c>
      <c r="S252" s="126" t="n">
        <f aca="false">J252/$R$3</f>
        <v>0</v>
      </c>
      <c r="T252" s="126" t="n">
        <f aca="false">L252/$R$3</f>
        <v>0</v>
      </c>
      <c r="U252" s="126" t="n">
        <f aca="false">I252/$R$3</f>
        <v>0</v>
      </c>
      <c r="V252" s="126" t="n">
        <f aca="false">M252/$R$3</f>
        <v>0</v>
      </c>
      <c r="W252" s="126" t="n">
        <f aca="false">N252/$R$3</f>
        <v>-35.909</v>
      </c>
    </row>
    <row r="253" customFormat="false" ht="12.75" hidden="false" customHeight="false" outlineLevel="0" collapsed="false">
      <c r="A253" s="120" t="n">
        <f aca="false">A252+1</f>
        <v>37139</v>
      </c>
      <c r="B253" s="131" t="str">
        <f aca="false">INDEX('[4]Master Data'!$A$2:$B$8,MATCH(WEEKDAY('CRD Hedge'!A253,3),'[4]Master Data'!$A$2:$A$8,0),2)</f>
        <v>W</v>
      </c>
      <c r="D253" s="124" t="n">
        <v>0</v>
      </c>
      <c r="E253" s="124" t="n">
        <v>0</v>
      </c>
      <c r="F253" s="124" t="n">
        <v>0</v>
      </c>
      <c r="G253" s="124" t="n">
        <v>0</v>
      </c>
      <c r="I253" s="124" t="n">
        <f aca="false">IF(MONTH($A253)=MONTH($A252),IF(G253=0,I252,G253),G253)</f>
        <v>0</v>
      </c>
      <c r="J253" s="124" t="n">
        <f aca="false">IF(MONTH($A253)=MONTH($A252),SUM(I253-I252),I253)</f>
        <v>0</v>
      </c>
      <c r="K253" s="124" t="n">
        <f aca="false">IF(WEEKDAY(A253,3)&gt;4,0,(IF(A253&lt;K$2,0,IF(A253&lt;=K$3,1,0))))</f>
        <v>0</v>
      </c>
      <c r="L253" s="124" t="n">
        <f aca="false">J253*K253</f>
        <v>0</v>
      </c>
      <c r="M253" s="124" t="n">
        <f aca="false">SUM(J$188:J253)</f>
        <v>0</v>
      </c>
      <c r="N253" s="124" t="n">
        <f aca="false">SUM(J$6:J253)</f>
        <v>-35909</v>
      </c>
      <c r="P253" s="148" t="n">
        <f aca="false">D253/P$3</f>
        <v>0</v>
      </c>
      <c r="Q253" s="124" t="n">
        <f aca="false">E253/P$3</f>
        <v>0</v>
      </c>
      <c r="R253" s="124" t="n">
        <f aca="false">F253/R$3</f>
        <v>0</v>
      </c>
      <c r="S253" s="126" t="n">
        <f aca="false">J253/$R$3</f>
        <v>0</v>
      </c>
      <c r="T253" s="126" t="n">
        <f aca="false">L253/$R$3</f>
        <v>0</v>
      </c>
      <c r="U253" s="126" t="n">
        <f aca="false">I253/$R$3</f>
        <v>0</v>
      </c>
      <c r="V253" s="126" t="n">
        <f aca="false">M253/$R$3</f>
        <v>0</v>
      </c>
      <c r="W253" s="126" t="n">
        <f aca="false">N253/$R$3</f>
        <v>-35.909</v>
      </c>
    </row>
    <row r="254" customFormat="false" ht="12.75" hidden="false" customHeight="false" outlineLevel="0" collapsed="false">
      <c r="A254" s="120" t="n">
        <f aca="false">A253+1</f>
        <v>37140</v>
      </c>
      <c r="B254" s="131" t="str">
        <f aca="false">INDEX('[4]Master Data'!$A$2:$B$8,MATCH(WEEKDAY('CRD Hedge'!A254,3),'[4]Master Data'!$A$2:$A$8,0),2)</f>
        <v>Th</v>
      </c>
      <c r="D254" s="124" t="n">
        <v>0</v>
      </c>
      <c r="E254" s="124" t="n">
        <v>0</v>
      </c>
      <c r="F254" s="124" t="n">
        <v>0</v>
      </c>
      <c r="G254" s="124" t="n">
        <v>0</v>
      </c>
      <c r="I254" s="124" t="n">
        <f aca="false">IF(MONTH($A254)=MONTH($A253),IF(G254=0,I253,G254),G254)</f>
        <v>0</v>
      </c>
      <c r="J254" s="124" t="n">
        <f aca="false">IF(MONTH($A254)=MONTH($A253),SUM(I254-I253),I254)</f>
        <v>0</v>
      </c>
      <c r="K254" s="124" t="n">
        <f aca="false">IF(WEEKDAY(A254,3)&gt;4,0,(IF(A254&lt;K$2,0,IF(A254&lt;=K$3,1,0))))</f>
        <v>0</v>
      </c>
      <c r="L254" s="124" t="n">
        <f aca="false">J254*K254</f>
        <v>0</v>
      </c>
      <c r="M254" s="124" t="n">
        <f aca="false">SUM(J$188:J254)</f>
        <v>0</v>
      </c>
      <c r="N254" s="124" t="n">
        <f aca="false">SUM(J$6:J254)</f>
        <v>-35909</v>
      </c>
      <c r="P254" s="148" t="n">
        <f aca="false">D254/P$3</f>
        <v>0</v>
      </c>
      <c r="Q254" s="124" t="n">
        <f aca="false">E254/P$3</f>
        <v>0</v>
      </c>
      <c r="R254" s="124" t="n">
        <f aca="false">F254/R$3</f>
        <v>0</v>
      </c>
      <c r="S254" s="126" t="n">
        <f aca="false">J254/$R$3</f>
        <v>0</v>
      </c>
      <c r="T254" s="126" t="n">
        <f aca="false">L254/$R$3</f>
        <v>0</v>
      </c>
      <c r="U254" s="126" t="n">
        <f aca="false">I254/$R$3</f>
        <v>0</v>
      </c>
      <c r="V254" s="126" t="n">
        <f aca="false">M254/$R$3</f>
        <v>0</v>
      </c>
      <c r="W254" s="126" t="n">
        <f aca="false">N254/$R$3</f>
        <v>-35.909</v>
      </c>
    </row>
    <row r="255" customFormat="false" ht="12.75" hidden="false" customHeight="false" outlineLevel="0" collapsed="false">
      <c r="A255" s="120" t="n">
        <f aca="false">A254+1</f>
        <v>37141</v>
      </c>
      <c r="B255" s="131" t="str">
        <f aca="false">INDEX('[4]Master Data'!$A$2:$B$8,MATCH(WEEKDAY('CRD Hedge'!A255,3),'[4]Master Data'!$A$2:$A$8,0),2)</f>
        <v>F</v>
      </c>
      <c r="D255" s="124" t="n">
        <v>0</v>
      </c>
      <c r="E255" s="124" t="n">
        <v>0</v>
      </c>
      <c r="F255" s="124" t="n">
        <v>0</v>
      </c>
      <c r="G255" s="124" t="n">
        <v>0</v>
      </c>
      <c r="I255" s="124" t="n">
        <f aca="false">IF(MONTH($A255)=MONTH($A254),IF(G255=0,I254,G255),G255)</f>
        <v>0</v>
      </c>
      <c r="J255" s="124" t="n">
        <f aca="false">IF(MONTH($A255)=MONTH($A254),SUM(I255-I254),I255)</f>
        <v>0</v>
      </c>
      <c r="K255" s="124" t="n">
        <f aca="false">IF(WEEKDAY(A255,3)&gt;4,0,(IF(A255&lt;K$2,0,IF(A255&lt;=K$3,1,0))))</f>
        <v>0</v>
      </c>
      <c r="L255" s="124" t="n">
        <f aca="false">J255*K255</f>
        <v>0</v>
      </c>
      <c r="M255" s="124" t="n">
        <f aca="false">SUM(J$188:J255)</f>
        <v>0</v>
      </c>
      <c r="N255" s="124" t="n">
        <f aca="false">SUM(J$6:J255)</f>
        <v>-35909</v>
      </c>
      <c r="P255" s="148" t="n">
        <f aca="false">D255/P$3</f>
        <v>0</v>
      </c>
      <c r="Q255" s="124" t="n">
        <f aca="false">E255/P$3</f>
        <v>0</v>
      </c>
      <c r="R255" s="124" t="n">
        <f aca="false">F255/R$3</f>
        <v>0</v>
      </c>
      <c r="S255" s="126" t="n">
        <f aca="false">J255/$R$3</f>
        <v>0</v>
      </c>
      <c r="T255" s="126" t="n">
        <f aca="false">L255/$R$3</f>
        <v>0</v>
      </c>
      <c r="U255" s="126" t="n">
        <f aca="false">I255/$R$3</f>
        <v>0</v>
      </c>
      <c r="V255" s="126" t="n">
        <f aca="false">M255/$R$3</f>
        <v>0</v>
      </c>
      <c r="W255" s="126" t="n">
        <f aca="false">N255/$R$3</f>
        <v>-35.909</v>
      </c>
    </row>
    <row r="256" customFormat="false" ht="12.75" hidden="false" customHeight="false" outlineLevel="0" collapsed="false">
      <c r="A256" s="120" t="n">
        <f aca="false">A255+1</f>
        <v>37142</v>
      </c>
      <c r="B256" s="131" t="str">
        <f aca="false">INDEX('[4]Master Data'!$A$2:$B$8,MATCH(WEEKDAY('CRD Hedge'!A256,3),'[4]Master Data'!$A$2:$A$8,0),2)</f>
        <v>Sa</v>
      </c>
      <c r="D256" s="124" t="n">
        <v>0</v>
      </c>
      <c r="E256" s="124" t="n">
        <v>0</v>
      </c>
      <c r="F256" s="124" t="n">
        <v>0</v>
      </c>
      <c r="G256" s="124" t="n">
        <v>0</v>
      </c>
      <c r="I256" s="124" t="n">
        <f aca="false">IF(MONTH($A256)=MONTH($A255),IF(G256=0,I255,G256),G256)</f>
        <v>0</v>
      </c>
      <c r="J256" s="124" t="n">
        <f aca="false">IF(MONTH($A256)=MONTH($A255),SUM(I256-I255),I256)</f>
        <v>0</v>
      </c>
      <c r="K256" s="124" t="n">
        <f aca="false">IF(WEEKDAY(A256,3)&gt;4,0,(IF(A256&lt;K$2,0,IF(A256&lt;=K$3,1,0))))</f>
        <v>0</v>
      </c>
      <c r="L256" s="124" t="n">
        <f aca="false">J256*K256</f>
        <v>0</v>
      </c>
      <c r="M256" s="124" t="n">
        <f aca="false">SUM(J$188:J256)</f>
        <v>0</v>
      </c>
      <c r="N256" s="124" t="n">
        <f aca="false">SUM(J$6:J256)</f>
        <v>-35909</v>
      </c>
      <c r="P256" s="148" t="n">
        <f aca="false">D256/P$3</f>
        <v>0</v>
      </c>
      <c r="Q256" s="124" t="n">
        <f aca="false">E256/P$3</f>
        <v>0</v>
      </c>
      <c r="R256" s="124" t="n">
        <f aca="false">F256/R$3</f>
        <v>0</v>
      </c>
      <c r="S256" s="126" t="n">
        <f aca="false">J256/$R$3</f>
        <v>0</v>
      </c>
      <c r="T256" s="126" t="n">
        <f aca="false">L256/$R$3</f>
        <v>0</v>
      </c>
      <c r="U256" s="126" t="n">
        <f aca="false">I256/$R$3</f>
        <v>0</v>
      </c>
      <c r="V256" s="126" t="n">
        <f aca="false">M256/$R$3</f>
        <v>0</v>
      </c>
      <c r="W256" s="126" t="n">
        <f aca="false">N256/$R$3</f>
        <v>-35.909</v>
      </c>
    </row>
    <row r="257" customFormat="false" ht="12.75" hidden="false" customHeight="false" outlineLevel="0" collapsed="false">
      <c r="A257" s="120" t="n">
        <f aca="false">A256+1</f>
        <v>37143</v>
      </c>
      <c r="B257" s="131" t="str">
        <f aca="false">INDEX('[4]Master Data'!$A$2:$B$8,MATCH(WEEKDAY('CRD Hedge'!A257,3),'[4]Master Data'!$A$2:$A$8,0),2)</f>
        <v>Su</v>
      </c>
      <c r="D257" s="124" t="n">
        <v>0</v>
      </c>
      <c r="E257" s="124" t="n">
        <v>0</v>
      </c>
      <c r="F257" s="124" t="n">
        <v>0</v>
      </c>
      <c r="G257" s="124" t="n">
        <v>0</v>
      </c>
      <c r="I257" s="124" t="n">
        <f aca="false">IF(MONTH($A257)=MONTH($A256),IF(G257=0,I256,G257),G257)</f>
        <v>0</v>
      </c>
      <c r="J257" s="124" t="n">
        <f aca="false">IF(MONTH($A257)=MONTH($A256),SUM(I257-I256),I257)</f>
        <v>0</v>
      </c>
      <c r="K257" s="124" t="n">
        <f aca="false">IF(WEEKDAY(A257,3)&gt;4,0,(IF(A257&lt;K$2,0,IF(A257&lt;=K$3,1,0))))</f>
        <v>0</v>
      </c>
      <c r="L257" s="124" t="n">
        <f aca="false">J257*K257</f>
        <v>0</v>
      </c>
      <c r="M257" s="124" t="n">
        <f aca="false">SUM(J$188:J257)</f>
        <v>0</v>
      </c>
      <c r="N257" s="124" t="n">
        <f aca="false">SUM(J$6:J257)</f>
        <v>-35909</v>
      </c>
      <c r="P257" s="148" t="n">
        <f aca="false">D257/P$3</f>
        <v>0</v>
      </c>
      <c r="Q257" s="124" t="n">
        <f aca="false">E257/P$3</f>
        <v>0</v>
      </c>
      <c r="R257" s="124" t="n">
        <f aca="false">F257/R$3</f>
        <v>0</v>
      </c>
      <c r="S257" s="126" t="n">
        <f aca="false">J257/$R$3</f>
        <v>0</v>
      </c>
      <c r="T257" s="126" t="n">
        <f aca="false">L257/$R$3</f>
        <v>0</v>
      </c>
      <c r="U257" s="126" t="n">
        <f aca="false">I257/$R$3</f>
        <v>0</v>
      </c>
      <c r="V257" s="126" t="n">
        <f aca="false">M257/$R$3</f>
        <v>0</v>
      </c>
      <c r="W257" s="126" t="n">
        <f aca="false">N257/$R$3</f>
        <v>-35.909</v>
      </c>
    </row>
    <row r="258" customFormat="false" ht="12.75" hidden="false" customHeight="false" outlineLevel="0" collapsed="false">
      <c r="A258" s="120" t="n">
        <f aca="false">A257+1</f>
        <v>37144</v>
      </c>
      <c r="B258" s="131" t="str">
        <f aca="false">INDEX('[4]Master Data'!$A$2:$B$8,MATCH(WEEKDAY('CRD Hedge'!A258,3),'[4]Master Data'!$A$2:$A$8,0),2)</f>
        <v>M</v>
      </c>
      <c r="D258" s="124" t="n">
        <v>0</v>
      </c>
      <c r="E258" s="124" t="n">
        <v>0</v>
      </c>
      <c r="F258" s="124" t="n">
        <v>0</v>
      </c>
      <c r="G258" s="124" t="n">
        <v>0</v>
      </c>
      <c r="I258" s="124" t="n">
        <f aca="false">IF(MONTH($A258)=MONTH($A257),IF(G258=0,I257,G258),G258)</f>
        <v>0</v>
      </c>
      <c r="J258" s="124" t="n">
        <f aca="false">IF(MONTH($A258)=MONTH($A257),SUM(I258-I257),I258)</f>
        <v>0</v>
      </c>
      <c r="K258" s="124" t="n">
        <f aca="false">IF(WEEKDAY(A258,3)&gt;4,0,(IF(A258&lt;K$2,0,IF(A258&lt;=K$3,1,0))))</f>
        <v>0</v>
      </c>
      <c r="L258" s="124" t="n">
        <f aca="false">J258*K258</f>
        <v>0</v>
      </c>
      <c r="M258" s="124" t="n">
        <f aca="false">SUM(J$188:J258)</f>
        <v>0</v>
      </c>
      <c r="N258" s="124" t="n">
        <f aca="false">SUM(J$6:J258)</f>
        <v>-35909</v>
      </c>
      <c r="P258" s="148" t="n">
        <f aca="false">D258/P$3</f>
        <v>0</v>
      </c>
      <c r="Q258" s="124" t="n">
        <f aca="false">E258/P$3</f>
        <v>0</v>
      </c>
      <c r="R258" s="124" t="n">
        <f aca="false">F258/R$3</f>
        <v>0</v>
      </c>
      <c r="S258" s="126" t="n">
        <f aca="false">J258/$R$3</f>
        <v>0</v>
      </c>
      <c r="T258" s="126" t="n">
        <f aca="false">L258/$R$3</f>
        <v>0</v>
      </c>
      <c r="U258" s="126" t="n">
        <f aca="false">I258/$R$3</f>
        <v>0</v>
      </c>
      <c r="V258" s="126" t="n">
        <f aca="false">M258/$R$3</f>
        <v>0</v>
      </c>
      <c r="W258" s="126" t="n">
        <f aca="false">N258/$R$3</f>
        <v>-35.909</v>
      </c>
    </row>
    <row r="259" customFormat="false" ht="12.75" hidden="false" customHeight="false" outlineLevel="0" collapsed="false">
      <c r="A259" s="120" t="n">
        <f aca="false">A258+1</f>
        <v>37145</v>
      </c>
      <c r="B259" s="131" t="str">
        <f aca="false">INDEX('[4]Master Data'!$A$2:$B$8,MATCH(WEEKDAY('CRD Hedge'!A259,3),'[4]Master Data'!$A$2:$A$8,0),2)</f>
        <v>T</v>
      </c>
      <c r="D259" s="124" t="n">
        <v>0</v>
      </c>
      <c r="E259" s="124" t="n">
        <v>0</v>
      </c>
      <c r="F259" s="124" t="n">
        <v>0</v>
      </c>
      <c r="G259" s="124" t="n">
        <v>0</v>
      </c>
      <c r="I259" s="124" t="n">
        <f aca="false">IF(MONTH($A259)=MONTH($A258),IF(G259=0,I258,G259),G259)</f>
        <v>0</v>
      </c>
      <c r="J259" s="124" t="n">
        <f aca="false">IF(MONTH($A259)=MONTH($A258),SUM(I259-I258),I259)</f>
        <v>0</v>
      </c>
      <c r="K259" s="124" t="n">
        <f aca="false">IF(WEEKDAY(A259,3)&gt;4,0,(IF(A259&lt;K$2,0,IF(A259&lt;=K$3,1,0))))</f>
        <v>0</v>
      </c>
      <c r="L259" s="124" t="n">
        <f aca="false">J259*K259</f>
        <v>0</v>
      </c>
      <c r="M259" s="124" t="n">
        <f aca="false">SUM(J$188:J259)</f>
        <v>0</v>
      </c>
      <c r="N259" s="124" t="n">
        <f aca="false">SUM(J$6:J259)</f>
        <v>-35909</v>
      </c>
      <c r="P259" s="148" t="n">
        <f aca="false">D259/P$3</f>
        <v>0</v>
      </c>
      <c r="Q259" s="124" t="n">
        <f aca="false">E259/P$3</f>
        <v>0</v>
      </c>
      <c r="R259" s="124" t="n">
        <f aca="false">F259/R$3</f>
        <v>0</v>
      </c>
      <c r="S259" s="126" t="n">
        <f aca="false">J259/$R$3</f>
        <v>0</v>
      </c>
      <c r="T259" s="126" t="n">
        <f aca="false">L259/$R$3</f>
        <v>0</v>
      </c>
      <c r="U259" s="126" t="n">
        <f aca="false">I259/$R$3</f>
        <v>0</v>
      </c>
      <c r="V259" s="126" t="n">
        <f aca="false">M259/$R$3</f>
        <v>0</v>
      </c>
      <c r="W259" s="126" t="n">
        <f aca="false">N259/$R$3</f>
        <v>-35.909</v>
      </c>
    </row>
    <row r="260" customFormat="false" ht="12.75" hidden="false" customHeight="false" outlineLevel="0" collapsed="false">
      <c r="A260" s="120" t="n">
        <f aca="false">A259+1</f>
        <v>37146</v>
      </c>
      <c r="B260" s="131" t="str">
        <f aca="false">INDEX('[4]Master Data'!$A$2:$B$8,MATCH(WEEKDAY('CRD Hedge'!A260,3),'[4]Master Data'!$A$2:$A$8,0),2)</f>
        <v>W</v>
      </c>
      <c r="D260" s="124" t="n">
        <v>0</v>
      </c>
      <c r="E260" s="124" t="n">
        <v>0</v>
      </c>
      <c r="F260" s="124" t="n">
        <v>0</v>
      </c>
      <c r="G260" s="124" t="n">
        <v>0</v>
      </c>
      <c r="I260" s="124" t="n">
        <f aca="false">IF(MONTH($A260)=MONTH($A259),IF(G260=0,I259,G260),G260)</f>
        <v>0</v>
      </c>
      <c r="J260" s="124" t="n">
        <f aca="false">IF(MONTH($A260)=MONTH($A259),SUM(I260-I259),I260)</f>
        <v>0</v>
      </c>
      <c r="K260" s="124" t="n">
        <f aca="false">IF(WEEKDAY(A260,3)&gt;4,0,(IF(A260&lt;K$2,0,IF(A260&lt;=K$3,1,0))))</f>
        <v>0</v>
      </c>
      <c r="L260" s="124" t="n">
        <f aca="false">J260*K260</f>
        <v>0</v>
      </c>
      <c r="M260" s="124" t="n">
        <f aca="false">SUM(J$188:J260)</f>
        <v>0</v>
      </c>
      <c r="N260" s="124" t="n">
        <f aca="false">SUM(J$6:J260)</f>
        <v>-35909</v>
      </c>
      <c r="P260" s="148" t="n">
        <f aca="false">D260/P$3</f>
        <v>0</v>
      </c>
      <c r="Q260" s="124" t="n">
        <f aca="false">E260/P$3</f>
        <v>0</v>
      </c>
      <c r="R260" s="124" t="n">
        <f aca="false">F260/R$3</f>
        <v>0</v>
      </c>
      <c r="S260" s="126" t="n">
        <f aca="false">J260/$R$3</f>
        <v>0</v>
      </c>
      <c r="T260" s="126" t="n">
        <f aca="false">L260/$R$3</f>
        <v>0</v>
      </c>
      <c r="U260" s="126" t="n">
        <f aca="false">I260/$R$3</f>
        <v>0</v>
      </c>
      <c r="V260" s="126" t="n">
        <f aca="false">M260/$R$3</f>
        <v>0</v>
      </c>
      <c r="W260" s="126" t="n">
        <f aca="false">N260/$R$3</f>
        <v>-35.909</v>
      </c>
    </row>
    <row r="261" customFormat="false" ht="12.75" hidden="false" customHeight="false" outlineLevel="0" collapsed="false">
      <c r="A261" s="120" t="n">
        <f aca="false">A260+1</f>
        <v>37147</v>
      </c>
      <c r="B261" s="131" t="str">
        <f aca="false">INDEX('[4]Master Data'!$A$2:$B$8,MATCH(WEEKDAY('CRD Hedge'!A261,3),'[4]Master Data'!$A$2:$A$8,0),2)</f>
        <v>Th</v>
      </c>
      <c r="D261" s="124" t="n">
        <v>0</v>
      </c>
      <c r="E261" s="124" t="n">
        <v>0</v>
      </c>
      <c r="F261" s="124" t="n">
        <v>0</v>
      </c>
      <c r="G261" s="124" t="n">
        <v>0</v>
      </c>
      <c r="I261" s="124" t="n">
        <f aca="false">IF(MONTH($A261)=MONTH($A260),IF(G261=0,I260,G261),G261)</f>
        <v>0</v>
      </c>
      <c r="J261" s="124" t="n">
        <f aca="false">IF(MONTH($A261)=MONTH($A260),SUM(I261-I260),I261)</f>
        <v>0</v>
      </c>
      <c r="K261" s="124" t="n">
        <f aca="false">IF(WEEKDAY(A261,3)&gt;4,0,(IF(A261&lt;K$2,0,IF(A261&lt;=K$3,1,0))))</f>
        <v>0</v>
      </c>
      <c r="L261" s="124" t="n">
        <f aca="false">J261*K261</f>
        <v>0</v>
      </c>
      <c r="M261" s="124" t="n">
        <f aca="false">SUM(J$188:J261)</f>
        <v>0</v>
      </c>
      <c r="N261" s="124" t="n">
        <f aca="false">SUM(J$6:J261)</f>
        <v>-35909</v>
      </c>
      <c r="P261" s="148" t="n">
        <f aca="false">D261/P$3</f>
        <v>0</v>
      </c>
      <c r="Q261" s="124" t="n">
        <f aca="false">E261/P$3</f>
        <v>0</v>
      </c>
      <c r="R261" s="124" t="n">
        <f aca="false">F261/R$3</f>
        <v>0</v>
      </c>
      <c r="S261" s="126" t="n">
        <f aca="false">J261/$R$3</f>
        <v>0</v>
      </c>
      <c r="T261" s="126" t="n">
        <f aca="false">L261/$R$3</f>
        <v>0</v>
      </c>
      <c r="U261" s="126" t="n">
        <f aca="false">I261/$R$3</f>
        <v>0</v>
      </c>
      <c r="V261" s="126" t="n">
        <f aca="false">M261/$R$3</f>
        <v>0</v>
      </c>
      <c r="W261" s="126" t="n">
        <f aca="false">N261/$R$3</f>
        <v>-35.909</v>
      </c>
    </row>
    <row r="262" customFormat="false" ht="12.75" hidden="false" customHeight="false" outlineLevel="0" collapsed="false">
      <c r="A262" s="120" t="n">
        <f aca="false">A261+1</f>
        <v>37148</v>
      </c>
      <c r="B262" s="131" t="str">
        <f aca="false">INDEX('[4]Master Data'!$A$2:$B$8,MATCH(WEEKDAY('CRD Hedge'!A262,3),'[4]Master Data'!$A$2:$A$8,0),2)</f>
        <v>F</v>
      </c>
      <c r="D262" s="124" t="n">
        <v>0</v>
      </c>
      <c r="E262" s="124" t="n">
        <v>0</v>
      </c>
      <c r="F262" s="124" t="n">
        <v>0</v>
      </c>
      <c r="G262" s="124" t="n">
        <v>0</v>
      </c>
      <c r="I262" s="124" t="n">
        <f aca="false">IF(MONTH($A262)=MONTH($A261),IF(G262=0,I261,G262),G262)</f>
        <v>0</v>
      </c>
      <c r="J262" s="124" t="n">
        <f aca="false">IF(MONTH($A262)=MONTH($A261),SUM(I262-I261),I262)</f>
        <v>0</v>
      </c>
      <c r="K262" s="124" t="n">
        <f aca="false">IF(WEEKDAY(A262,3)&gt;4,0,(IF(A262&lt;K$2,0,IF(A262&lt;=K$3,1,0))))</f>
        <v>0</v>
      </c>
      <c r="L262" s="124" t="n">
        <f aca="false">J262*K262</f>
        <v>0</v>
      </c>
      <c r="M262" s="124" t="n">
        <f aca="false">SUM(J$188:J262)</f>
        <v>0</v>
      </c>
      <c r="N262" s="124" t="n">
        <f aca="false">SUM(J$6:J262)</f>
        <v>-35909</v>
      </c>
      <c r="P262" s="148" t="n">
        <f aca="false">D262/P$3</f>
        <v>0</v>
      </c>
      <c r="Q262" s="124" t="n">
        <f aca="false">E262/P$3</f>
        <v>0</v>
      </c>
      <c r="R262" s="124" t="n">
        <f aca="false">F262/R$3</f>
        <v>0</v>
      </c>
      <c r="S262" s="126" t="n">
        <f aca="false">J262/$R$3</f>
        <v>0</v>
      </c>
      <c r="T262" s="126" t="n">
        <f aca="false">L262/$R$3</f>
        <v>0</v>
      </c>
      <c r="U262" s="126" t="n">
        <f aca="false">I262/$R$3</f>
        <v>0</v>
      </c>
      <c r="V262" s="126" t="n">
        <f aca="false">M262/$R$3</f>
        <v>0</v>
      </c>
      <c r="W262" s="126" t="n">
        <f aca="false">N262/$R$3</f>
        <v>-35.909</v>
      </c>
    </row>
    <row r="263" customFormat="false" ht="12.75" hidden="false" customHeight="false" outlineLevel="0" collapsed="false">
      <c r="A263" s="120" t="n">
        <f aca="false">A262+1</f>
        <v>37149</v>
      </c>
      <c r="B263" s="131" t="str">
        <f aca="false">INDEX('[4]Master Data'!$A$2:$B$8,MATCH(WEEKDAY('CRD Hedge'!A263,3),'[4]Master Data'!$A$2:$A$8,0),2)</f>
        <v>Sa</v>
      </c>
      <c r="D263" s="124" t="n">
        <v>0</v>
      </c>
      <c r="E263" s="124" t="n">
        <v>0</v>
      </c>
      <c r="F263" s="124" t="n">
        <v>0</v>
      </c>
      <c r="G263" s="124" t="n">
        <v>0</v>
      </c>
      <c r="I263" s="124" t="n">
        <f aca="false">IF(MONTH($A263)=MONTH($A262),IF(G263=0,I262,G263),G263)</f>
        <v>0</v>
      </c>
      <c r="J263" s="124" t="n">
        <f aca="false">IF(MONTH($A263)=MONTH($A262),SUM(I263-I262),I263)</f>
        <v>0</v>
      </c>
      <c r="K263" s="124" t="n">
        <f aca="false">IF(WEEKDAY(A263,3)&gt;4,0,(IF(A263&lt;K$2,0,IF(A263&lt;=K$3,1,0))))</f>
        <v>0</v>
      </c>
      <c r="L263" s="124" t="n">
        <f aca="false">J263*K263</f>
        <v>0</v>
      </c>
      <c r="M263" s="124" t="n">
        <f aca="false">SUM(J$188:J263)</f>
        <v>0</v>
      </c>
      <c r="N263" s="124" t="n">
        <f aca="false">SUM(J$6:J263)</f>
        <v>-35909</v>
      </c>
      <c r="P263" s="148" t="n">
        <f aca="false">D263/P$3</f>
        <v>0</v>
      </c>
      <c r="Q263" s="124" t="n">
        <f aca="false">E263/P$3</f>
        <v>0</v>
      </c>
      <c r="R263" s="124" t="n">
        <f aca="false">F263/R$3</f>
        <v>0</v>
      </c>
      <c r="S263" s="126" t="n">
        <f aca="false">J263/$R$3</f>
        <v>0</v>
      </c>
      <c r="T263" s="126" t="n">
        <f aca="false">L263/$R$3</f>
        <v>0</v>
      </c>
      <c r="U263" s="126" t="n">
        <f aca="false">I263/$R$3</f>
        <v>0</v>
      </c>
      <c r="V263" s="126" t="n">
        <f aca="false">M263/$R$3</f>
        <v>0</v>
      </c>
      <c r="W263" s="126" t="n">
        <f aca="false">N263/$R$3</f>
        <v>-35.909</v>
      </c>
    </row>
    <row r="264" customFormat="false" ht="12.75" hidden="false" customHeight="false" outlineLevel="0" collapsed="false">
      <c r="A264" s="120" t="n">
        <f aca="false">A263+1</f>
        <v>37150</v>
      </c>
      <c r="B264" s="131" t="str">
        <f aca="false">INDEX('[4]Master Data'!$A$2:$B$8,MATCH(WEEKDAY('CRD Hedge'!A264,3),'[4]Master Data'!$A$2:$A$8,0),2)</f>
        <v>Su</v>
      </c>
      <c r="D264" s="124" t="n">
        <v>0</v>
      </c>
      <c r="E264" s="124" t="n">
        <v>0</v>
      </c>
      <c r="F264" s="124" t="n">
        <v>0</v>
      </c>
      <c r="G264" s="124" t="n">
        <v>0</v>
      </c>
      <c r="I264" s="124" t="n">
        <f aca="false">IF(MONTH($A264)=MONTH($A263),IF(G264=0,I263,G264),G264)</f>
        <v>0</v>
      </c>
      <c r="J264" s="124" t="n">
        <f aca="false">IF(MONTH($A264)=MONTH($A263),SUM(I264-I263),I264)</f>
        <v>0</v>
      </c>
      <c r="K264" s="124" t="n">
        <f aca="false">IF(WEEKDAY(A264,3)&gt;4,0,(IF(A264&lt;K$2,0,IF(A264&lt;=K$3,1,0))))</f>
        <v>0</v>
      </c>
      <c r="L264" s="124" t="n">
        <f aca="false">J264*K264</f>
        <v>0</v>
      </c>
      <c r="M264" s="124" t="n">
        <f aca="false">SUM(J$188:J264)</f>
        <v>0</v>
      </c>
      <c r="N264" s="124" t="n">
        <f aca="false">SUM(J$6:J264)</f>
        <v>-35909</v>
      </c>
      <c r="P264" s="148" t="n">
        <f aca="false">D264/P$3</f>
        <v>0</v>
      </c>
      <c r="Q264" s="124" t="n">
        <f aca="false">E264/P$3</f>
        <v>0</v>
      </c>
      <c r="R264" s="124" t="n">
        <f aca="false">F264/R$3</f>
        <v>0</v>
      </c>
      <c r="S264" s="126" t="n">
        <f aca="false">J264/$R$3</f>
        <v>0</v>
      </c>
      <c r="T264" s="126" t="n">
        <f aca="false">L264/$R$3</f>
        <v>0</v>
      </c>
      <c r="U264" s="126" t="n">
        <f aca="false">I264/$R$3</f>
        <v>0</v>
      </c>
      <c r="V264" s="126" t="n">
        <f aca="false">M264/$R$3</f>
        <v>0</v>
      </c>
      <c r="W264" s="126" t="n">
        <f aca="false">N264/$R$3</f>
        <v>-35.909</v>
      </c>
    </row>
    <row r="265" customFormat="false" ht="12.75" hidden="false" customHeight="false" outlineLevel="0" collapsed="false">
      <c r="A265" s="120" t="n">
        <f aca="false">A264+1</f>
        <v>37151</v>
      </c>
      <c r="B265" s="131" t="str">
        <f aca="false">INDEX('[4]Master Data'!$A$2:$B$8,MATCH(WEEKDAY('CRD Hedge'!A265,3),'[4]Master Data'!$A$2:$A$8,0),2)</f>
        <v>M</v>
      </c>
      <c r="D265" s="124" t="n">
        <v>0</v>
      </c>
      <c r="E265" s="124" t="n">
        <v>0</v>
      </c>
      <c r="F265" s="124" t="n">
        <v>0</v>
      </c>
      <c r="G265" s="124" t="n">
        <v>0</v>
      </c>
      <c r="I265" s="124" t="n">
        <f aca="false">IF(MONTH($A265)=MONTH($A264),IF(G265=0,I264,G265),G265)</f>
        <v>0</v>
      </c>
      <c r="J265" s="124" t="n">
        <f aca="false">IF(MONTH($A265)=MONTH($A264),SUM(I265-I264),I265)</f>
        <v>0</v>
      </c>
      <c r="K265" s="124" t="n">
        <f aca="false">IF(WEEKDAY(A265,3)&gt;4,0,(IF(A265&lt;K$2,0,IF(A265&lt;=K$3,1,0))))</f>
        <v>0</v>
      </c>
      <c r="L265" s="124" t="n">
        <f aca="false">J265*K265</f>
        <v>0</v>
      </c>
      <c r="M265" s="124" t="n">
        <f aca="false">SUM(J$188:J265)</f>
        <v>0</v>
      </c>
      <c r="N265" s="124" t="n">
        <f aca="false">SUM(J$6:J265)</f>
        <v>-35909</v>
      </c>
      <c r="P265" s="148" t="n">
        <f aca="false">D265/P$3</f>
        <v>0</v>
      </c>
      <c r="Q265" s="124" t="n">
        <f aca="false">E265/P$3</f>
        <v>0</v>
      </c>
      <c r="R265" s="124" t="n">
        <f aca="false">F265/R$3</f>
        <v>0</v>
      </c>
      <c r="S265" s="126" t="n">
        <f aca="false">J265/$R$3</f>
        <v>0</v>
      </c>
      <c r="T265" s="126" t="n">
        <f aca="false">L265/$R$3</f>
        <v>0</v>
      </c>
      <c r="U265" s="126" t="n">
        <f aca="false">I265/$R$3</f>
        <v>0</v>
      </c>
      <c r="V265" s="126" t="n">
        <f aca="false">M265/$R$3</f>
        <v>0</v>
      </c>
      <c r="W265" s="126" t="n">
        <f aca="false">N265/$R$3</f>
        <v>-35.909</v>
      </c>
    </row>
    <row r="266" customFormat="false" ht="12.75" hidden="false" customHeight="false" outlineLevel="0" collapsed="false">
      <c r="A266" s="120" t="n">
        <f aca="false">A265+1</f>
        <v>37152</v>
      </c>
      <c r="B266" s="131" t="str">
        <f aca="false">INDEX('[4]Master Data'!$A$2:$B$8,MATCH(WEEKDAY('CRD Hedge'!A266,3),'[4]Master Data'!$A$2:$A$8,0),2)</f>
        <v>T</v>
      </c>
      <c r="D266" s="124" t="n">
        <v>0</v>
      </c>
      <c r="E266" s="124" t="n">
        <v>0</v>
      </c>
      <c r="F266" s="124" t="n">
        <v>0</v>
      </c>
      <c r="G266" s="124" t="n">
        <v>0</v>
      </c>
      <c r="I266" s="124" t="n">
        <f aca="false">IF(MONTH($A266)=MONTH($A265),IF(G266=0,I265,G266),G266)</f>
        <v>0</v>
      </c>
      <c r="J266" s="124" t="n">
        <f aca="false">IF(MONTH($A266)=MONTH($A265),SUM(I266-I265),I266)</f>
        <v>0</v>
      </c>
      <c r="K266" s="124" t="n">
        <f aca="false">IF(WEEKDAY(A266,3)&gt;4,0,(IF(A266&lt;K$2,0,IF(A266&lt;=K$3,1,0))))</f>
        <v>0</v>
      </c>
      <c r="L266" s="124" t="n">
        <f aca="false">J266*K266</f>
        <v>0</v>
      </c>
      <c r="M266" s="124" t="n">
        <f aca="false">SUM(J$188:J266)</f>
        <v>0</v>
      </c>
      <c r="N266" s="124" t="n">
        <f aca="false">SUM(J$6:J266)</f>
        <v>-35909</v>
      </c>
      <c r="P266" s="148" t="n">
        <f aca="false">D266/P$3</f>
        <v>0</v>
      </c>
      <c r="Q266" s="124" t="n">
        <f aca="false">E266/P$3</f>
        <v>0</v>
      </c>
      <c r="R266" s="124" t="n">
        <f aca="false">F266/R$3</f>
        <v>0</v>
      </c>
      <c r="S266" s="126" t="n">
        <f aca="false">J266/$R$3</f>
        <v>0</v>
      </c>
      <c r="T266" s="126" t="n">
        <f aca="false">L266/$R$3</f>
        <v>0</v>
      </c>
      <c r="U266" s="126" t="n">
        <f aca="false">I266/$R$3</f>
        <v>0</v>
      </c>
      <c r="V266" s="126" t="n">
        <f aca="false">M266/$R$3</f>
        <v>0</v>
      </c>
      <c r="W266" s="126" t="n">
        <f aca="false">N266/$R$3</f>
        <v>-35.909</v>
      </c>
    </row>
    <row r="267" customFormat="false" ht="12.75" hidden="false" customHeight="false" outlineLevel="0" collapsed="false">
      <c r="A267" s="120" t="n">
        <f aca="false">A266+1</f>
        <v>37153</v>
      </c>
      <c r="B267" s="131" t="str">
        <f aca="false">INDEX('[4]Master Data'!$A$2:$B$8,MATCH(WEEKDAY('CRD Hedge'!A267,3),'[4]Master Data'!$A$2:$A$8,0),2)</f>
        <v>W</v>
      </c>
      <c r="D267" s="124" t="n">
        <v>0</v>
      </c>
      <c r="E267" s="124" t="n">
        <v>0</v>
      </c>
      <c r="F267" s="124" t="n">
        <v>0</v>
      </c>
      <c r="G267" s="124" t="n">
        <v>0</v>
      </c>
      <c r="I267" s="124" t="n">
        <f aca="false">IF(MONTH($A267)=MONTH($A266),IF(G267=0,I266,G267),G267)</f>
        <v>0</v>
      </c>
      <c r="J267" s="124" t="n">
        <f aca="false">IF(MONTH($A267)=MONTH($A266),SUM(I267-I266),I267)</f>
        <v>0</v>
      </c>
      <c r="K267" s="124" t="n">
        <f aca="false">IF(WEEKDAY(A267,3)&gt;4,0,(IF(A267&lt;K$2,0,IF(A267&lt;=K$3,1,0))))</f>
        <v>0</v>
      </c>
      <c r="L267" s="124" t="n">
        <f aca="false">J267*K267</f>
        <v>0</v>
      </c>
      <c r="M267" s="124" t="n">
        <f aca="false">SUM(J$188:J267)</f>
        <v>0</v>
      </c>
      <c r="N267" s="124" t="n">
        <f aca="false">SUM(J$6:J267)</f>
        <v>-35909</v>
      </c>
      <c r="P267" s="148" t="n">
        <f aca="false">D267/P$3</f>
        <v>0</v>
      </c>
      <c r="Q267" s="124" t="n">
        <f aca="false">E267/P$3</f>
        <v>0</v>
      </c>
      <c r="R267" s="124" t="n">
        <f aca="false">F267/R$3</f>
        <v>0</v>
      </c>
      <c r="S267" s="126" t="n">
        <f aca="false">J267/$R$3</f>
        <v>0</v>
      </c>
      <c r="T267" s="126" t="n">
        <f aca="false">L267/$R$3</f>
        <v>0</v>
      </c>
      <c r="U267" s="126" t="n">
        <f aca="false">I267/$R$3</f>
        <v>0</v>
      </c>
      <c r="V267" s="126" t="n">
        <f aca="false">M267/$R$3</f>
        <v>0</v>
      </c>
      <c r="W267" s="126" t="n">
        <f aca="false">N267/$R$3</f>
        <v>-35.909</v>
      </c>
    </row>
    <row r="268" customFormat="false" ht="12.75" hidden="false" customHeight="false" outlineLevel="0" collapsed="false">
      <c r="A268" s="120" t="n">
        <f aca="false">A267+1</f>
        <v>37154</v>
      </c>
      <c r="B268" s="131" t="str">
        <f aca="false">INDEX('[4]Master Data'!$A$2:$B$8,MATCH(WEEKDAY('CRD Hedge'!A268,3),'[4]Master Data'!$A$2:$A$8,0),2)</f>
        <v>Th</v>
      </c>
      <c r="D268" s="124" t="n">
        <v>0</v>
      </c>
      <c r="E268" s="124" t="n">
        <v>0</v>
      </c>
      <c r="F268" s="124" t="n">
        <v>0</v>
      </c>
      <c r="G268" s="124" t="n">
        <v>0</v>
      </c>
      <c r="I268" s="124" t="n">
        <f aca="false">IF(MONTH($A268)=MONTH($A267),IF(G268=0,I267,G268),G268)</f>
        <v>0</v>
      </c>
      <c r="J268" s="124" t="n">
        <f aca="false">IF(MONTH($A268)=MONTH($A267),SUM(I268-I267),I268)</f>
        <v>0</v>
      </c>
      <c r="K268" s="124" t="n">
        <f aca="false">IF(WEEKDAY(A268,3)&gt;4,0,(IF(A268&lt;K$2,0,IF(A268&lt;=K$3,1,0))))</f>
        <v>0</v>
      </c>
      <c r="L268" s="124" t="n">
        <f aca="false">J268*K268</f>
        <v>0</v>
      </c>
      <c r="M268" s="124" t="n">
        <f aca="false">SUM(J$188:J268)</f>
        <v>0</v>
      </c>
      <c r="N268" s="124" t="n">
        <f aca="false">SUM(J$6:J268)</f>
        <v>-35909</v>
      </c>
      <c r="P268" s="148" t="n">
        <f aca="false">D268/P$3</f>
        <v>0</v>
      </c>
      <c r="Q268" s="124" t="n">
        <f aca="false">E268/P$3</f>
        <v>0</v>
      </c>
      <c r="R268" s="124" t="n">
        <f aca="false">F268/R$3</f>
        <v>0</v>
      </c>
      <c r="S268" s="126" t="n">
        <f aca="false">J268/$R$3</f>
        <v>0</v>
      </c>
      <c r="T268" s="126" t="n">
        <f aca="false">L268/$R$3</f>
        <v>0</v>
      </c>
      <c r="U268" s="126" t="n">
        <f aca="false">I268/$R$3</f>
        <v>0</v>
      </c>
      <c r="V268" s="126" t="n">
        <f aca="false">M268/$R$3</f>
        <v>0</v>
      </c>
      <c r="W268" s="126" t="n">
        <f aca="false">N268/$R$3</f>
        <v>-35.909</v>
      </c>
    </row>
    <row r="269" customFormat="false" ht="12.75" hidden="false" customHeight="false" outlineLevel="0" collapsed="false">
      <c r="A269" s="120" t="n">
        <f aca="false">A268+1</f>
        <v>37155</v>
      </c>
      <c r="B269" s="131" t="str">
        <f aca="false">INDEX('[4]Master Data'!$A$2:$B$8,MATCH(WEEKDAY('CRD Hedge'!A269,3),'[4]Master Data'!$A$2:$A$8,0),2)</f>
        <v>F</v>
      </c>
      <c r="D269" s="124" t="n">
        <v>0</v>
      </c>
      <c r="E269" s="124" t="n">
        <v>0</v>
      </c>
      <c r="F269" s="124" t="n">
        <v>0</v>
      </c>
      <c r="G269" s="124" t="n">
        <v>0</v>
      </c>
      <c r="I269" s="124" t="n">
        <f aca="false">IF(MONTH($A269)=MONTH($A268),IF(G269=0,I268,G269),G269)</f>
        <v>0</v>
      </c>
      <c r="J269" s="124" t="n">
        <f aca="false">IF(MONTH($A269)=MONTH($A268),SUM(I269-I268),I269)</f>
        <v>0</v>
      </c>
      <c r="K269" s="124" t="n">
        <f aca="false">IF(WEEKDAY(A269,3)&gt;4,0,(IF(A269&lt;K$2,0,IF(A269&lt;=K$3,1,0))))</f>
        <v>0</v>
      </c>
      <c r="L269" s="124" t="n">
        <f aca="false">J269*K269</f>
        <v>0</v>
      </c>
      <c r="M269" s="124" t="n">
        <f aca="false">SUM(J$188:J269)</f>
        <v>0</v>
      </c>
      <c r="N269" s="124" t="n">
        <f aca="false">SUM(J$6:J269)</f>
        <v>-35909</v>
      </c>
      <c r="P269" s="148" t="n">
        <f aca="false">D269/P$3</f>
        <v>0</v>
      </c>
      <c r="Q269" s="124" t="n">
        <f aca="false">E269/P$3</f>
        <v>0</v>
      </c>
      <c r="R269" s="124" t="n">
        <f aca="false">F269/R$3</f>
        <v>0</v>
      </c>
      <c r="S269" s="126" t="n">
        <f aca="false">J269/$R$3</f>
        <v>0</v>
      </c>
      <c r="T269" s="126" t="n">
        <f aca="false">L269/$R$3</f>
        <v>0</v>
      </c>
      <c r="U269" s="126" t="n">
        <f aca="false">I269/$R$3</f>
        <v>0</v>
      </c>
      <c r="V269" s="126" t="n">
        <f aca="false">M269/$R$3</f>
        <v>0</v>
      </c>
      <c r="W269" s="126" t="n">
        <f aca="false">N269/$R$3</f>
        <v>-35.909</v>
      </c>
    </row>
    <row r="270" customFormat="false" ht="12.75" hidden="false" customHeight="false" outlineLevel="0" collapsed="false">
      <c r="A270" s="120" t="n">
        <f aca="false">A269+1</f>
        <v>37156</v>
      </c>
      <c r="B270" s="131" t="str">
        <f aca="false">INDEX('[4]Master Data'!$A$2:$B$8,MATCH(WEEKDAY('CRD Hedge'!A270,3),'[4]Master Data'!$A$2:$A$8,0),2)</f>
        <v>Sa</v>
      </c>
      <c r="D270" s="124" t="n">
        <v>0</v>
      </c>
      <c r="E270" s="124" t="n">
        <v>0</v>
      </c>
      <c r="F270" s="124" t="n">
        <v>0</v>
      </c>
      <c r="G270" s="124" t="n">
        <v>0</v>
      </c>
      <c r="I270" s="124" t="n">
        <f aca="false">IF(MONTH($A270)=MONTH($A269),IF(G270=0,I269,G270),G270)</f>
        <v>0</v>
      </c>
      <c r="J270" s="124" t="n">
        <f aca="false">IF(MONTH($A270)=MONTH($A269),SUM(I270-I269),I270)</f>
        <v>0</v>
      </c>
      <c r="K270" s="124" t="n">
        <f aca="false">IF(WEEKDAY(A270,3)&gt;4,0,(IF(A270&lt;K$2,0,IF(A270&lt;=K$3,1,0))))</f>
        <v>0</v>
      </c>
      <c r="L270" s="124" t="n">
        <f aca="false">J270*K270</f>
        <v>0</v>
      </c>
      <c r="M270" s="124" t="n">
        <f aca="false">SUM(J$188:J270)</f>
        <v>0</v>
      </c>
      <c r="N270" s="124" t="n">
        <f aca="false">SUM(J$6:J270)</f>
        <v>-35909</v>
      </c>
      <c r="P270" s="148" t="n">
        <f aca="false">D270/P$3</f>
        <v>0</v>
      </c>
      <c r="Q270" s="124" t="n">
        <f aca="false">E270/P$3</f>
        <v>0</v>
      </c>
      <c r="R270" s="124" t="n">
        <f aca="false">F270/R$3</f>
        <v>0</v>
      </c>
      <c r="S270" s="126" t="n">
        <f aca="false">J270/$R$3</f>
        <v>0</v>
      </c>
      <c r="T270" s="126" t="n">
        <f aca="false">L270/$R$3</f>
        <v>0</v>
      </c>
      <c r="U270" s="126" t="n">
        <f aca="false">I270/$R$3</f>
        <v>0</v>
      </c>
      <c r="V270" s="126" t="n">
        <f aca="false">M270/$R$3</f>
        <v>0</v>
      </c>
      <c r="W270" s="126" t="n">
        <f aca="false">N270/$R$3</f>
        <v>-35.909</v>
      </c>
    </row>
    <row r="271" customFormat="false" ht="12.75" hidden="false" customHeight="false" outlineLevel="0" collapsed="false">
      <c r="A271" s="120" t="n">
        <f aca="false">A270+1</f>
        <v>37157</v>
      </c>
      <c r="B271" s="131" t="str">
        <f aca="false">INDEX('[4]Master Data'!$A$2:$B$8,MATCH(WEEKDAY('CRD Hedge'!A271,3),'[4]Master Data'!$A$2:$A$8,0),2)</f>
        <v>Su</v>
      </c>
      <c r="D271" s="124" t="n">
        <v>0</v>
      </c>
      <c r="E271" s="124" t="n">
        <v>0</v>
      </c>
      <c r="F271" s="124" t="n">
        <v>0</v>
      </c>
      <c r="G271" s="124" t="n">
        <v>0</v>
      </c>
      <c r="I271" s="124" t="n">
        <f aca="false">IF(MONTH($A271)=MONTH($A270),IF(G271=0,I270,G271),G271)</f>
        <v>0</v>
      </c>
      <c r="J271" s="124" t="n">
        <f aca="false">IF(MONTH($A271)=MONTH($A270),SUM(I271-I270),I271)</f>
        <v>0</v>
      </c>
      <c r="K271" s="124" t="n">
        <f aca="false">IF(WEEKDAY(A271,3)&gt;4,0,(IF(A271&lt;K$2,0,IF(A271&lt;=K$3,1,0))))</f>
        <v>0</v>
      </c>
      <c r="L271" s="124" t="n">
        <f aca="false">J271*K271</f>
        <v>0</v>
      </c>
      <c r="M271" s="124" t="n">
        <f aca="false">SUM(J$188:J271)</f>
        <v>0</v>
      </c>
      <c r="N271" s="124" t="n">
        <f aca="false">SUM(J$6:J271)</f>
        <v>-35909</v>
      </c>
      <c r="P271" s="148" t="n">
        <f aca="false">D271/P$3</f>
        <v>0</v>
      </c>
      <c r="Q271" s="124" t="n">
        <f aca="false">E271/P$3</f>
        <v>0</v>
      </c>
      <c r="R271" s="124" t="n">
        <f aca="false">F271/R$3</f>
        <v>0</v>
      </c>
      <c r="S271" s="126" t="n">
        <f aca="false">J271/$R$3</f>
        <v>0</v>
      </c>
      <c r="T271" s="126" t="n">
        <f aca="false">L271/$R$3</f>
        <v>0</v>
      </c>
      <c r="U271" s="126" t="n">
        <f aca="false">I271/$R$3</f>
        <v>0</v>
      </c>
      <c r="V271" s="126" t="n">
        <f aca="false">M271/$R$3</f>
        <v>0</v>
      </c>
      <c r="W271" s="126" t="n">
        <f aca="false">N271/$R$3</f>
        <v>-35.909</v>
      </c>
    </row>
    <row r="272" customFormat="false" ht="12.75" hidden="false" customHeight="false" outlineLevel="0" collapsed="false">
      <c r="A272" s="120" t="n">
        <f aca="false">A271+1</f>
        <v>37158</v>
      </c>
      <c r="B272" s="131" t="str">
        <f aca="false">INDEX('[4]Master Data'!$A$2:$B$8,MATCH(WEEKDAY('CRD Hedge'!A272,3),'[4]Master Data'!$A$2:$A$8,0),2)</f>
        <v>M</v>
      </c>
      <c r="D272" s="124" t="n">
        <v>0</v>
      </c>
      <c r="E272" s="124" t="n">
        <v>0</v>
      </c>
      <c r="F272" s="124" t="n">
        <v>0</v>
      </c>
      <c r="G272" s="124" t="n">
        <v>0</v>
      </c>
      <c r="I272" s="124" t="n">
        <f aca="false">IF(MONTH($A272)=MONTH($A271),IF(G272=0,I271,G272),G272)</f>
        <v>0</v>
      </c>
      <c r="J272" s="124" t="n">
        <f aca="false">IF(MONTH($A272)=MONTH($A271),SUM(I272-I271),I272)</f>
        <v>0</v>
      </c>
      <c r="K272" s="124" t="n">
        <f aca="false">IF(WEEKDAY(A272,3)&gt;4,0,(IF(A272&lt;K$2,0,IF(A272&lt;=K$3,1,0))))</f>
        <v>0</v>
      </c>
      <c r="L272" s="124" t="n">
        <f aca="false">J272*K272</f>
        <v>0</v>
      </c>
      <c r="M272" s="124" t="n">
        <f aca="false">SUM(J$188:J272)</f>
        <v>0</v>
      </c>
      <c r="N272" s="124" t="n">
        <f aca="false">SUM(J$6:J272)</f>
        <v>-35909</v>
      </c>
      <c r="P272" s="148" t="n">
        <f aca="false">D272/P$3</f>
        <v>0</v>
      </c>
      <c r="Q272" s="124" t="n">
        <f aca="false">E272/P$3</f>
        <v>0</v>
      </c>
      <c r="R272" s="124" t="n">
        <f aca="false">F272/R$3</f>
        <v>0</v>
      </c>
      <c r="S272" s="126" t="n">
        <f aca="false">J272/$R$3</f>
        <v>0</v>
      </c>
      <c r="T272" s="126" t="n">
        <f aca="false">L272/$R$3</f>
        <v>0</v>
      </c>
      <c r="U272" s="126" t="n">
        <f aca="false">I272/$R$3</f>
        <v>0</v>
      </c>
      <c r="V272" s="126" t="n">
        <f aca="false">M272/$R$3</f>
        <v>0</v>
      </c>
      <c r="W272" s="126" t="n">
        <f aca="false">N272/$R$3</f>
        <v>-35.909</v>
      </c>
    </row>
    <row r="273" customFormat="false" ht="12.75" hidden="false" customHeight="false" outlineLevel="0" collapsed="false">
      <c r="A273" s="120" t="n">
        <f aca="false">A272+1</f>
        <v>37159</v>
      </c>
      <c r="B273" s="131" t="str">
        <f aca="false">INDEX('[4]Master Data'!$A$2:$B$8,MATCH(WEEKDAY('CRD Hedge'!A273,3),'[4]Master Data'!$A$2:$A$8,0),2)</f>
        <v>T</v>
      </c>
      <c r="D273" s="124" t="n">
        <v>0</v>
      </c>
      <c r="E273" s="124" t="n">
        <v>0</v>
      </c>
      <c r="F273" s="124" t="n">
        <v>0</v>
      </c>
      <c r="G273" s="124" t="n">
        <v>0</v>
      </c>
      <c r="I273" s="124" t="n">
        <f aca="false">IF(MONTH($A273)=MONTH($A272),IF(G273=0,I272,G273),G273)</f>
        <v>0</v>
      </c>
      <c r="J273" s="124" t="n">
        <f aca="false">IF(MONTH($A273)=MONTH($A272),SUM(I273-I272),I273)</f>
        <v>0</v>
      </c>
      <c r="K273" s="124" t="n">
        <f aca="false">IF(WEEKDAY(A273,3)&gt;4,0,(IF(A273&lt;K$2,0,IF(A273&lt;=K$3,1,0))))</f>
        <v>0</v>
      </c>
      <c r="L273" s="124" t="n">
        <f aca="false">J273*K273</f>
        <v>0</v>
      </c>
      <c r="M273" s="124" t="n">
        <f aca="false">SUM(J$188:J273)</f>
        <v>0</v>
      </c>
      <c r="N273" s="124" t="n">
        <f aca="false">SUM(J$6:J273)</f>
        <v>-35909</v>
      </c>
      <c r="P273" s="148" t="n">
        <f aca="false">D273/P$3</f>
        <v>0</v>
      </c>
      <c r="Q273" s="124" t="n">
        <f aca="false">E273/P$3</f>
        <v>0</v>
      </c>
      <c r="R273" s="124" t="n">
        <f aca="false">F273/R$3</f>
        <v>0</v>
      </c>
      <c r="S273" s="126" t="n">
        <f aca="false">J273/$R$3</f>
        <v>0</v>
      </c>
      <c r="T273" s="126" t="n">
        <f aca="false">L273/$R$3</f>
        <v>0</v>
      </c>
      <c r="U273" s="126" t="n">
        <f aca="false">I273/$R$3</f>
        <v>0</v>
      </c>
      <c r="V273" s="126" t="n">
        <f aca="false">M273/$R$3</f>
        <v>0</v>
      </c>
      <c r="W273" s="126" t="n">
        <f aca="false">N273/$R$3</f>
        <v>-35.909</v>
      </c>
    </row>
    <row r="274" customFormat="false" ht="12.75" hidden="false" customHeight="false" outlineLevel="0" collapsed="false">
      <c r="A274" s="120" t="n">
        <f aca="false">A273+1</f>
        <v>37160</v>
      </c>
      <c r="B274" s="131" t="str">
        <f aca="false">INDEX('[4]Master Data'!$A$2:$B$8,MATCH(WEEKDAY('CRD Hedge'!A274,3),'[4]Master Data'!$A$2:$A$8,0),2)</f>
        <v>W</v>
      </c>
      <c r="D274" s="124" t="n">
        <v>0</v>
      </c>
      <c r="E274" s="124" t="n">
        <v>0</v>
      </c>
      <c r="F274" s="124" t="n">
        <v>0</v>
      </c>
      <c r="G274" s="124" t="n">
        <v>0</v>
      </c>
      <c r="I274" s="124" t="n">
        <f aca="false">IF(MONTH($A274)=MONTH($A273),IF(G274=0,I273,G274),G274)</f>
        <v>0</v>
      </c>
      <c r="J274" s="124" t="n">
        <f aca="false">IF(MONTH($A274)=MONTH($A273),SUM(I274-I273),I274)</f>
        <v>0</v>
      </c>
      <c r="K274" s="124" t="n">
        <f aca="false">IF(WEEKDAY(A274,3)&gt;4,0,(IF(A274&lt;K$2,0,IF(A274&lt;=K$3,1,0))))</f>
        <v>0</v>
      </c>
      <c r="L274" s="124" t="n">
        <f aca="false">J274*K274</f>
        <v>0</v>
      </c>
      <c r="M274" s="124" t="n">
        <f aca="false">SUM(J$188:J274)</f>
        <v>0</v>
      </c>
      <c r="N274" s="124" t="n">
        <f aca="false">SUM(J$6:J274)</f>
        <v>-35909</v>
      </c>
      <c r="P274" s="148" t="n">
        <f aca="false">D274/P$3</f>
        <v>0</v>
      </c>
      <c r="Q274" s="124" t="n">
        <f aca="false">E274/P$3</f>
        <v>0</v>
      </c>
      <c r="R274" s="124" t="n">
        <f aca="false">F274/R$3</f>
        <v>0</v>
      </c>
      <c r="S274" s="126" t="n">
        <f aca="false">J274/$R$3</f>
        <v>0</v>
      </c>
      <c r="T274" s="126" t="n">
        <f aca="false">L274/$R$3</f>
        <v>0</v>
      </c>
      <c r="U274" s="126" t="n">
        <f aca="false">I274/$R$3</f>
        <v>0</v>
      </c>
      <c r="V274" s="126" t="n">
        <f aca="false">M274/$R$3</f>
        <v>0</v>
      </c>
      <c r="W274" s="126" t="n">
        <f aca="false">N274/$R$3</f>
        <v>-35.909</v>
      </c>
    </row>
    <row r="275" customFormat="false" ht="12.75" hidden="false" customHeight="false" outlineLevel="0" collapsed="false">
      <c r="A275" s="120" t="n">
        <f aca="false">A274+1</f>
        <v>37161</v>
      </c>
      <c r="B275" s="131" t="str">
        <f aca="false">INDEX('[4]Master Data'!$A$2:$B$8,MATCH(WEEKDAY('CRD Hedge'!A275,3),'[4]Master Data'!$A$2:$A$8,0),2)</f>
        <v>Th</v>
      </c>
      <c r="D275" s="124" t="n">
        <v>0</v>
      </c>
      <c r="E275" s="124" t="n">
        <v>0</v>
      </c>
      <c r="F275" s="124" t="n">
        <v>0</v>
      </c>
      <c r="G275" s="124" t="n">
        <v>0</v>
      </c>
      <c r="I275" s="124" t="n">
        <f aca="false">IF(MONTH($A275)=MONTH($A274),IF(G275=0,I274,G275),G275)</f>
        <v>0</v>
      </c>
      <c r="J275" s="124" t="n">
        <f aca="false">IF(MONTH($A275)=MONTH($A274),SUM(I275-I274),I275)</f>
        <v>0</v>
      </c>
      <c r="K275" s="124" t="n">
        <f aca="false">IF(WEEKDAY(A275,3)&gt;4,0,(IF(A275&lt;K$2,0,IF(A275&lt;=K$3,1,0))))</f>
        <v>0</v>
      </c>
      <c r="L275" s="124" t="n">
        <f aca="false">J275*K275</f>
        <v>0</v>
      </c>
      <c r="M275" s="124" t="n">
        <f aca="false">SUM(J$188:J275)</f>
        <v>0</v>
      </c>
      <c r="N275" s="124" t="n">
        <f aca="false">SUM(J$6:J275)</f>
        <v>-35909</v>
      </c>
      <c r="P275" s="148" t="n">
        <f aca="false">D275/P$3</f>
        <v>0</v>
      </c>
      <c r="Q275" s="124" t="n">
        <f aca="false">E275/P$3</f>
        <v>0</v>
      </c>
      <c r="R275" s="124" t="n">
        <f aca="false">F275/R$3</f>
        <v>0</v>
      </c>
      <c r="S275" s="126" t="n">
        <f aca="false">J275/$R$3</f>
        <v>0</v>
      </c>
      <c r="T275" s="126" t="n">
        <f aca="false">L275/$R$3</f>
        <v>0</v>
      </c>
      <c r="U275" s="126" t="n">
        <f aca="false">I275/$R$3</f>
        <v>0</v>
      </c>
      <c r="V275" s="126" t="n">
        <f aca="false">M275/$R$3</f>
        <v>0</v>
      </c>
      <c r="W275" s="126" t="n">
        <f aca="false">N275/$R$3</f>
        <v>-35.909</v>
      </c>
    </row>
    <row r="276" customFormat="false" ht="12.75" hidden="false" customHeight="false" outlineLevel="0" collapsed="false">
      <c r="A276" s="120" t="n">
        <f aca="false">A275+1</f>
        <v>37162</v>
      </c>
      <c r="B276" s="131" t="str">
        <f aca="false">INDEX('[4]Master Data'!$A$2:$B$8,MATCH(WEEKDAY('CRD Hedge'!A276,3),'[4]Master Data'!$A$2:$A$8,0),2)</f>
        <v>F</v>
      </c>
      <c r="D276" s="124" t="n">
        <v>0</v>
      </c>
      <c r="E276" s="124" t="n">
        <v>0</v>
      </c>
      <c r="F276" s="124" t="n">
        <v>0</v>
      </c>
      <c r="G276" s="124" t="n">
        <v>0</v>
      </c>
      <c r="I276" s="124" t="n">
        <f aca="false">IF(MONTH($A276)=MONTH($A275),IF(G276=0,I275,G276),G276)</f>
        <v>0</v>
      </c>
      <c r="J276" s="124" t="n">
        <f aca="false">IF(MONTH($A276)=MONTH($A275),SUM(I276-I275),I276)</f>
        <v>0</v>
      </c>
      <c r="K276" s="124" t="n">
        <f aca="false">IF(WEEKDAY(A276,3)&gt;4,0,(IF(A276&lt;K$2,0,IF(A276&lt;=K$3,1,0))))</f>
        <v>0</v>
      </c>
      <c r="L276" s="124" t="n">
        <f aca="false">J276*K276</f>
        <v>0</v>
      </c>
      <c r="M276" s="124" t="n">
        <f aca="false">SUM(J$188:J276)</f>
        <v>0</v>
      </c>
      <c r="N276" s="124" t="n">
        <f aca="false">SUM(J$6:J276)</f>
        <v>-35909</v>
      </c>
      <c r="P276" s="148" t="n">
        <f aca="false">D276/P$3</f>
        <v>0</v>
      </c>
      <c r="Q276" s="124" t="n">
        <f aca="false">E276/P$3</f>
        <v>0</v>
      </c>
      <c r="R276" s="124" t="n">
        <f aca="false">F276/R$3</f>
        <v>0</v>
      </c>
      <c r="S276" s="126" t="n">
        <f aca="false">J276/$R$3</f>
        <v>0</v>
      </c>
      <c r="T276" s="126" t="n">
        <f aca="false">L276/$R$3</f>
        <v>0</v>
      </c>
      <c r="U276" s="126" t="n">
        <f aca="false">I276/$R$3</f>
        <v>0</v>
      </c>
      <c r="V276" s="126" t="n">
        <f aca="false">M276/$R$3</f>
        <v>0</v>
      </c>
      <c r="W276" s="126" t="n">
        <f aca="false">N276/$R$3</f>
        <v>-35.909</v>
      </c>
    </row>
    <row r="277" customFormat="false" ht="12.75" hidden="false" customHeight="false" outlineLevel="0" collapsed="false">
      <c r="A277" s="120" t="n">
        <f aca="false">A276+1</f>
        <v>37163</v>
      </c>
      <c r="B277" s="131" t="str">
        <f aca="false">INDEX('[4]Master Data'!$A$2:$B$8,MATCH(WEEKDAY('CRD Hedge'!A277,3),'[4]Master Data'!$A$2:$A$8,0),2)</f>
        <v>Sa</v>
      </c>
      <c r="D277" s="124" t="n">
        <v>0</v>
      </c>
      <c r="E277" s="124" t="n">
        <v>0</v>
      </c>
      <c r="F277" s="124" t="n">
        <v>0</v>
      </c>
      <c r="G277" s="124" t="n">
        <v>0</v>
      </c>
      <c r="I277" s="124" t="n">
        <f aca="false">IF(MONTH($A277)=MONTH($A276),IF(G277=0,I276,G277),G277)</f>
        <v>0</v>
      </c>
      <c r="J277" s="124" t="n">
        <f aca="false">IF(MONTH($A277)=MONTH($A276),SUM(I277-I276),I277)</f>
        <v>0</v>
      </c>
      <c r="K277" s="124" t="n">
        <f aca="false">IF(WEEKDAY(A277,3)&gt;4,0,(IF(A277&lt;K$2,0,IF(A277&lt;=K$3,1,0))))</f>
        <v>0</v>
      </c>
      <c r="L277" s="124" t="n">
        <f aca="false">J277*K277</f>
        <v>0</v>
      </c>
      <c r="M277" s="124" t="n">
        <f aca="false">SUM(J$188:J277)</f>
        <v>0</v>
      </c>
      <c r="N277" s="124" t="n">
        <f aca="false">SUM(J$6:J277)</f>
        <v>-35909</v>
      </c>
      <c r="P277" s="148" t="n">
        <f aca="false">D277/P$3</f>
        <v>0</v>
      </c>
      <c r="Q277" s="124" t="n">
        <f aca="false">E277/P$3</f>
        <v>0</v>
      </c>
      <c r="R277" s="124" t="n">
        <f aca="false">F277/R$3</f>
        <v>0</v>
      </c>
      <c r="S277" s="126" t="n">
        <f aca="false">J277/$R$3</f>
        <v>0</v>
      </c>
      <c r="T277" s="126" t="n">
        <f aca="false">L277/$R$3</f>
        <v>0</v>
      </c>
      <c r="U277" s="126" t="n">
        <f aca="false">I277/$R$3</f>
        <v>0</v>
      </c>
      <c r="V277" s="126" t="n">
        <f aca="false">M277/$R$3</f>
        <v>0</v>
      </c>
      <c r="W277" s="126" t="n">
        <f aca="false">N277/$R$3</f>
        <v>-35.909</v>
      </c>
    </row>
    <row r="278" customFormat="false" ht="12.75" hidden="false" customHeight="false" outlineLevel="0" collapsed="false">
      <c r="A278" s="120" t="n">
        <f aca="false">A277+1</f>
        <v>37164</v>
      </c>
      <c r="B278" s="131" t="str">
        <f aca="false">INDEX('[4]Master Data'!$A$2:$B$8,MATCH(WEEKDAY('CRD Hedge'!A278,3),'[4]Master Data'!$A$2:$A$8,0),2)</f>
        <v>Su</v>
      </c>
      <c r="D278" s="124" t="n">
        <v>0</v>
      </c>
      <c r="E278" s="124" t="n">
        <v>0</v>
      </c>
      <c r="F278" s="124" t="n">
        <v>0</v>
      </c>
      <c r="G278" s="124" t="n">
        <v>0</v>
      </c>
      <c r="I278" s="124" t="n">
        <f aca="false">IF(MONTH($A278)=MONTH($A277),IF(G278=0,I277,G278),G278)</f>
        <v>0</v>
      </c>
      <c r="J278" s="124" t="n">
        <f aca="false">IF(MONTH($A278)=MONTH($A277),SUM(I278-I277),I278)</f>
        <v>0</v>
      </c>
      <c r="K278" s="124" t="n">
        <f aca="false">IF(WEEKDAY(A278,3)&gt;4,0,(IF(A278&lt;K$2,0,IF(A278&lt;=K$3,1,0))))</f>
        <v>0</v>
      </c>
      <c r="L278" s="124" t="n">
        <f aca="false">J278*K278</f>
        <v>0</v>
      </c>
      <c r="M278" s="124" t="n">
        <f aca="false">SUM(J$188:J278)</f>
        <v>0</v>
      </c>
      <c r="N278" s="124" t="n">
        <f aca="false">SUM(J$6:J278)</f>
        <v>-35909</v>
      </c>
      <c r="P278" s="148" t="n">
        <f aca="false">D278/P$3</f>
        <v>0</v>
      </c>
      <c r="Q278" s="124" t="n">
        <f aca="false">E278/P$3</f>
        <v>0</v>
      </c>
      <c r="R278" s="124" t="n">
        <f aca="false">F278/R$3</f>
        <v>0</v>
      </c>
      <c r="S278" s="126" t="n">
        <f aca="false">J278/$R$3</f>
        <v>0</v>
      </c>
      <c r="T278" s="126" t="n">
        <f aca="false">L278/$R$3</f>
        <v>0</v>
      </c>
      <c r="U278" s="126" t="n">
        <f aca="false">I278/$R$3</f>
        <v>0</v>
      </c>
      <c r="V278" s="126" t="n">
        <f aca="false">M278/$R$3</f>
        <v>0</v>
      </c>
      <c r="W278" s="126" t="n">
        <f aca="false">N278/$R$3</f>
        <v>-35.909</v>
      </c>
    </row>
    <row r="279" customFormat="false" ht="12.75" hidden="false" customHeight="false" outlineLevel="0" collapsed="false">
      <c r="A279" s="120" t="n">
        <f aca="false">A278+1</f>
        <v>37165</v>
      </c>
      <c r="B279" s="131" t="str">
        <f aca="false">INDEX('[4]Master Data'!$A$2:$B$8,MATCH(WEEKDAY('CRD Hedge'!A279,3),'[4]Master Data'!$A$2:$A$8,0),2)</f>
        <v>M</v>
      </c>
      <c r="D279" s="124" t="n">
        <v>0</v>
      </c>
      <c r="E279" s="124" t="n">
        <v>0</v>
      </c>
      <c r="F279" s="124" t="n">
        <v>0</v>
      </c>
      <c r="G279" s="124" t="n">
        <v>0</v>
      </c>
      <c r="I279" s="124" t="n">
        <f aca="false">IF(MONTH($A279)=MONTH($A278),IF(G279=0,I278,G279),G279)</f>
        <v>0</v>
      </c>
      <c r="J279" s="124" t="n">
        <f aca="false">IF(MONTH($A279)=MONTH($A278),SUM(I279-I278),I279)</f>
        <v>0</v>
      </c>
      <c r="K279" s="124" t="n">
        <f aca="false">IF(WEEKDAY(A279,3)&gt;4,0,(IF(A279&lt;K$2,0,IF(A279&lt;=K$3,1,0))))</f>
        <v>0</v>
      </c>
      <c r="L279" s="124" t="n">
        <f aca="false">J279*K279</f>
        <v>0</v>
      </c>
      <c r="M279" s="124" t="n">
        <f aca="false">SUM(J$188:J279)</f>
        <v>0</v>
      </c>
      <c r="N279" s="124" t="n">
        <f aca="false">SUM(J$6:J279)</f>
        <v>-35909</v>
      </c>
      <c r="P279" s="148" t="n">
        <f aca="false">D279/P$3</f>
        <v>0</v>
      </c>
      <c r="Q279" s="124" t="n">
        <f aca="false">E279/P$3</f>
        <v>0</v>
      </c>
      <c r="R279" s="124" t="n">
        <f aca="false">F279/R$3</f>
        <v>0</v>
      </c>
      <c r="S279" s="126" t="n">
        <f aca="false">J279/$R$3</f>
        <v>0</v>
      </c>
      <c r="T279" s="126" t="n">
        <f aca="false">L279/$R$3</f>
        <v>0</v>
      </c>
      <c r="U279" s="126" t="n">
        <f aca="false">I279/$R$3</f>
        <v>0</v>
      </c>
      <c r="V279" s="126" t="n">
        <f aca="false">M279/$R$3</f>
        <v>0</v>
      </c>
      <c r="W279" s="126" t="n">
        <f aca="false">N279/$R$3</f>
        <v>-35.909</v>
      </c>
    </row>
    <row r="280" customFormat="false" ht="12.75" hidden="false" customHeight="false" outlineLevel="0" collapsed="false">
      <c r="A280" s="120" t="n">
        <f aca="false">A279+1</f>
        <v>37166</v>
      </c>
      <c r="B280" s="131" t="str">
        <f aca="false">INDEX('[4]Master Data'!$A$2:$B$8,MATCH(WEEKDAY('CRD Hedge'!A280,3),'[4]Master Data'!$A$2:$A$8,0),2)</f>
        <v>T</v>
      </c>
      <c r="D280" s="124" t="n">
        <v>0</v>
      </c>
      <c r="E280" s="124" t="n">
        <v>0</v>
      </c>
      <c r="F280" s="124" t="n">
        <v>0</v>
      </c>
      <c r="G280" s="124" t="n">
        <v>0</v>
      </c>
      <c r="I280" s="124" t="n">
        <f aca="false">IF(MONTH($A280)=MONTH($A279),IF(G280=0,I279,G280),G280)</f>
        <v>0</v>
      </c>
      <c r="J280" s="124" t="n">
        <f aca="false">IF(MONTH($A280)=MONTH($A279),SUM(I280-I279),I280)</f>
        <v>0</v>
      </c>
      <c r="K280" s="124" t="n">
        <f aca="false">IF(WEEKDAY(A280,3)&gt;4,0,(IF(A280&lt;K$2,0,IF(A280&lt;=K$3,1,0))))</f>
        <v>0</v>
      </c>
      <c r="L280" s="124" t="n">
        <f aca="false">J280*K280</f>
        <v>0</v>
      </c>
      <c r="M280" s="124" t="n">
        <f aca="false">SUM(J$280:J280)</f>
        <v>0</v>
      </c>
      <c r="N280" s="124" t="n">
        <f aca="false">SUM(J$6:J280)</f>
        <v>-35909</v>
      </c>
      <c r="P280" s="148" t="n">
        <f aca="false">D280/P$3</f>
        <v>0</v>
      </c>
      <c r="Q280" s="124" t="n">
        <f aca="false">E280/P$3</f>
        <v>0</v>
      </c>
      <c r="R280" s="124" t="n">
        <f aca="false">F280/R$3</f>
        <v>0</v>
      </c>
      <c r="S280" s="126" t="n">
        <f aca="false">J280/$R$3</f>
        <v>0</v>
      </c>
      <c r="T280" s="126" t="n">
        <f aca="false">L280/$R$3</f>
        <v>0</v>
      </c>
      <c r="U280" s="126" t="n">
        <f aca="false">I280/$R$3</f>
        <v>0</v>
      </c>
      <c r="V280" s="126" t="n">
        <f aca="false">M280/$R$3</f>
        <v>0</v>
      </c>
      <c r="W280" s="126" t="n">
        <f aca="false">N280/$R$3</f>
        <v>-35.909</v>
      </c>
    </row>
    <row r="281" customFormat="false" ht="12.75" hidden="false" customHeight="false" outlineLevel="0" collapsed="false">
      <c r="A281" s="120" t="n">
        <f aca="false">A280+1</f>
        <v>37167</v>
      </c>
      <c r="B281" s="131" t="str">
        <f aca="false">INDEX('[4]Master Data'!$A$2:$B$8,MATCH(WEEKDAY('CRD Hedge'!A281,3),'[4]Master Data'!$A$2:$A$8,0),2)</f>
        <v>W</v>
      </c>
      <c r="D281" s="124" t="n">
        <v>0</v>
      </c>
      <c r="E281" s="124" t="n">
        <v>0</v>
      </c>
      <c r="F281" s="124" t="n">
        <v>0</v>
      </c>
      <c r="G281" s="124" t="n">
        <v>0</v>
      </c>
      <c r="I281" s="124" t="n">
        <f aca="false">IF(MONTH($A281)=MONTH($A280),IF(G281=0,I280,G281),G281)</f>
        <v>0</v>
      </c>
      <c r="J281" s="124" t="n">
        <f aca="false">IF(MONTH($A281)=MONTH($A280),SUM(I281-I280),I281)</f>
        <v>0</v>
      </c>
      <c r="K281" s="124" t="n">
        <f aca="false">IF(WEEKDAY(A281,3)&gt;4,0,(IF(A281&lt;K$2,0,IF(A281&lt;=K$3,1,0))))</f>
        <v>0</v>
      </c>
      <c r="L281" s="124" t="n">
        <f aca="false">J281*K281</f>
        <v>0</v>
      </c>
      <c r="M281" s="124" t="n">
        <f aca="false">SUM(J$280:J281)</f>
        <v>0</v>
      </c>
      <c r="N281" s="124" t="n">
        <f aca="false">SUM(J$6:J281)</f>
        <v>-35909</v>
      </c>
      <c r="P281" s="148" t="n">
        <f aca="false">D281/P$3</f>
        <v>0</v>
      </c>
      <c r="Q281" s="124" t="n">
        <f aca="false">E281/P$3</f>
        <v>0</v>
      </c>
      <c r="R281" s="124" t="n">
        <f aca="false">F281/R$3</f>
        <v>0</v>
      </c>
      <c r="S281" s="126" t="n">
        <f aca="false">J281/$R$3</f>
        <v>0</v>
      </c>
      <c r="T281" s="126" t="n">
        <f aca="false">L281/$R$3</f>
        <v>0</v>
      </c>
      <c r="U281" s="126" t="n">
        <f aca="false">I281/$R$3</f>
        <v>0</v>
      </c>
      <c r="V281" s="126" t="n">
        <f aca="false">M281/$R$3</f>
        <v>0</v>
      </c>
      <c r="W281" s="126" t="n">
        <f aca="false">N281/$R$3</f>
        <v>-35.909</v>
      </c>
    </row>
    <row r="282" customFormat="false" ht="12.75" hidden="false" customHeight="false" outlineLevel="0" collapsed="false">
      <c r="A282" s="120" t="n">
        <f aca="false">A281+1</f>
        <v>37168</v>
      </c>
      <c r="B282" s="131" t="str">
        <f aca="false">INDEX('[4]Master Data'!$A$2:$B$8,MATCH(WEEKDAY('CRD Hedge'!A282,3),'[4]Master Data'!$A$2:$A$8,0),2)</f>
        <v>Th</v>
      </c>
      <c r="D282" s="124" t="n">
        <v>0</v>
      </c>
      <c r="E282" s="124" t="n">
        <v>0</v>
      </c>
      <c r="F282" s="124" t="n">
        <v>0</v>
      </c>
      <c r="G282" s="124" t="n">
        <v>0</v>
      </c>
      <c r="I282" s="124" t="n">
        <f aca="false">IF(MONTH($A282)=MONTH($A281),IF(G282=0,I281,G282),G282)</f>
        <v>0</v>
      </c>
      <c r="J282" s="124" t="n">
        <f aca="false">IF(MONTH($A282)=MONTH($A281),SUM(I282-I281),I282)</f>
        <v>0</v>
      </c>
      <c r="K282" s="124" t="n">
        <f aca="false">IF(WEEKDAY(A282,3)&gt;4,0,(IF(A282&lt;K$2,0,IF(A282&lt;=K$3,1,0))))</f>
        <v>0</v>
      </c>
      <c r="L282" s="124" t="n">
        <f aca="false">J282*K282</f>
        <v>0</v>
      </c>
      <c r="M282" s="124" t="n">
        <f aca="false">SUM(J$280:J282)</f>
        <v>0</v>
      </c>
      <c r="N282" s="124" t="n">
        <f aca="false">SUM(J$6:J282)</f>
        <v>-35909</v>
      </c>
      <c r="P282" s="148" t="n">
        <f aca="false">D282/P$3</f>
        <v>0</v>
      </c>
      <c r="Q282" s="124" t="n">
        <f aca="false">E282/P$3</f>
        <v>0</v>
      </c>
      <c r="R282" s="124" t="n">
        <f aca="false">F282/R$3</f>
        <v>0</v>
      </c>
      <c r="S282" s="126" t="n">
        <f aca="false">J282/$R$3</f>
        <v>0</v>
      </c>
      <c r="T282" s="126" t="n">
        <f aca="false">L282/$R$3</f>
        <v>0</v>
      </c>
      <c r="U282" s="126" t="n">
        <f aca="false">I282/$R$3</f>
        <v>0</v>
      </c>
      <c r="V282" s="126" t="n">
        <f aca="false">M282/$R$3</f>
        <v>0</v>
      </c>
      <c r="W282" s="126" t="n">
        <f aca="false">N282/$R$3</f>
        <v>-35.909</v>
      </c>
    </row>
    <row r="283" customFormat="false" ht="12.75" hidden="false" customHeight="false" outlineLevel="0" collapsed="false">
      <c r="A283" s="120" t="n">
        <f aca="false">A282+1</f>
        <v>37169</v>
      </c>
      <c r="B283" s="131" t="str">
        <f aca="false">INDEX('[4]Master Data'!$A$2:$B$8,MATCH(WEEKDAY('CRD Hedge'!A283,3),'[4]Master Data'!$A$2:$A$8,0),2)</f>
        <v>F</v>
      </c>
      <c r="D283" s="124" t="n">
        <v>0</v>
      </c>
      <c r="E283" s="124" t="n">
        <v>0</v>
      </c>
      <c r="F283" s="124" t="n">
        <v>0</v>
      </c>
      <c r="G283" s="124" t="n">
        <v>0</v>
      </c>
      <c r="I283" s="124" t="n">
        <f aca="false">IF(MONTH($A283)=MONTH($A282),IF(G283=0,I282,G283),G283)</f>
        <v>0</v>
      </c>
      <c r="J283" s="124" t="n">
        <f aca="false">IF(MONTH($A283)=MONTH($A282),SUM(I283-I282),I283)</f>
        <v>0</v>
      </c>
      <c r="K283" s="124" t="n">
        <f aca="false">IF(WEEKDAY(A283,3)&gt;4,0,(IF(A283&lt;K$2,0,IF(A283&lt;=K$3,1,0))))</f>
        <v>0</v>
      </c>
      <c r="L283" s="124" t="n">
        <f aca="false">J283*K283</f>
        <v>0</v>
      </c>
      <c r="M283" s="124" t="n">
        <f aca="false">SUM(J$280:J283)</f>
        <v>0</v>
      </c>
      <c r="N283" s="124" t="n">
        <f aca="false">SUM(J$6:J283)</f>
        <v>-35909</v>
      </c>
      <c r="P283" s="148" t="n">
        <f aca="false">D283/P$3</f>
        <v>0</v>
      </c>
      <c r="Q283" s="124" t="n">
        <f aca="false">E283/P$3</f>
        <v>0</v>
      </c>
      <c r="R283" s="124" t="n">
        <f aca="false">F283/R$3</f>
        <v>0</v>
      </c>
      <c r="S283" s="126" t="n">
        <f aca="false">J283/$R$3</f>
        <v>0</v>
      </c>
      <c r="T283" s="126" t="n">
        <f aca="false">L283/$R$3</f>
        <v>0</v>
      </c>
      <c r="U283" s="126" t="n">
        <f aca="false">I283/$R$3</f>
        <v>0</v>
      </c>
      <c r="V283" s="126" t="n">
        <f aca="false">M283/$R$3</f>
        <v>0</v>
      </c>
      <c r="W283" s="126" t="n">
        <f aca="false">N283/$R$3</f>
        <v>-35.909</v>
      </c>
    </row>
    <row r="284" customFormat="false" ht="12.75" hidden="false" customHeight="false" outlineLevel="0" collapsed="false">
      <c r="A284" s="120" t="n">
        <f aca="false">A283+1</f>
        <v>37170</v>
      </c>
      <c r="B284" s="131" t="str">
        <f aca="false">INDEX('[4]Master Data'!$A$2:$B$8,MATCH(WEEKDAY('CRD Hedge'!A284,3),'[4]Master Data'!$A$2:$A$8,0),2)</f>
        <v>Sa</v>
      </c>
      <c r="D284" s="124" t="n">
        <v>0</v>
      </c>
      <c r="E284" s="124" t="n">
        <v>0</v>
      </c>
      <c r="F284" s="124" t="n">
        <v>0</v>
      </c>
      <c r="G284" s="124" t="n">
        <v>0</v>
      </c>
      <c r="I284" s="124" t="n">
        <f aca="false">IF(MONTH($A284)=MONTH($A283),IF(G284=0,I283,G284),G284)</f>
        <v>0</v>
      </c>
      <c r="J284" s="124" t="n">
        <f aca="false">IF(MONTH($A284)=MONTH($A283),SUM(I284-I283),I284)</f>
        <v>0</v>
      </c>
      <c r="K284" s="124" t="n">
        <f aca="false">IF(WEEKDAY(A284,3)&gt;4,0,(IF(A284&lt;K$2,0,IF(A284&lt;=K$3,1,0))))</f>
        <v>0</v>
      </c>
      <c r="L284" s="124" t="n">
        <f aca="false">J284*K284</f>
        <v>0</v>
      </c>
      <c r="M284" s="124" t="n">
        <f aca="false">SUM(J$280:J284)</f>
        <v>0</v>
      </c>
      <c r="N284" s="124" t="n">
        <f aca="false">SUM(J$6:J284)</f>
        <v>-35909</v>
      </c>
      <c r="P284" s="148" t="n">
        <f aca="false">D284/P$3</f>
        <v>0</v>
      </c>
      <c r="Q284" s="124" t="n">
        <f aca="false">E284/P$3</f>
        <v>0</v>
      </c>
      <c r="R284" s="124" t="n">
        <f aca="false">F284/R$3</f>
        <v>0</v>
      </c>
      <c r="S284" s="126" t="n">
        <f aca="false">J284/$R$3</f>
        <v>0</v>
      </c>
      <c r="T284" s="126" t="n">
        <f aca="false">L284/$R$3</f>
        <v>0</v>
      </c>
      <c r="U284" s="126" t="n">
        <f aca="false">I284/$R$3</f>
        <v>0</v>
      </c>
      <c r="V284" s="126" t="n">
        <f aca="false">M284/$R$3</f>
        <v>0</v>
      </c>
      <c r="W284" s="126" t="n">
        <f aca="false">N284/$R$3</f>
        <v>-35.909</v>
      </c>
    </row>
    <row r="285" customFormat="false" ht="12.75" hidden="false" customHeight="false" outlineLevel="0" collapsed="false">
      <c r="A285" s="120" t="n">
        <f aca="false">A284+1</f>
        <v>37171</v>
      </c>
      <c r="B285" s="131" t="str">
        <f aca="false">INDEX('[4]Master Data'!$A$2:$B$8,MATCH(WEEKDAY('CRD Hedge'!A285,3),'[4]Master Data'!$A$2:$A$8,0),2)</f>
        <v>Su</v>
      </c>
      <c r="D285" s="124" t="n">
        <v>0</v>
      </c>
      <c r="E285" s="124" t="n">
        <v>0</v>
      </c>
      <c r="F285" s="124" t="n">
        <v>0</v>
      </c>
      <c r="G285" s="124" t="n">
        <v>0</v>
      </c>
      <c r="I285" s="124" t="n">
        <f aca="false">IF(MONTH($A285)=MONTH($A284),IF(G285=0,I284,G285),G285)</f>
        <v>0</v>
      </c>
      <c r="J285" s="124" t="n">
        <f aca="false">IF(MONTH($A285)=MONTH($A284),SUM(I285-I284),I285)</f>
        <v>0</v>
      </c>
      <c r="K285" s="124" t="n">
        <f aca="false">IF(WEEKDAY(A285,3)&gt;4,0,(IF(A285&lt;K$2,0,IF(A285&lt;=K$3,1,0))))</f>
        <v>0</v>
      </c>
      <c r="L285" s="124" t="n">
        <f aca="false">J285*K285</f>
        <v>0</v>
      </c>
      <c r="M285" s="124" t="n">
        <f aca="false">SUM(J$280:J285)</f>
        <v>0</v>
      </c>
      <c r="N285" s="124" t="n">
        <f aca="false">SUM(J$6:J285)</f>
        <v>-35909</v>
      </c>
      <c r="P285" s="148" t="n">
        <f aca="false">D285/P$3</f>
        <v>0</v>
      </c>
      <c r="Q285" s="124" t="n">
        <f aca="false">E285/P$3</f>
        <v>0</v>
      </c>
      <c r="R285" s="124" t="n">
        <f aca="false">F285/R$3</f>
        <v>0</v>
      </c>
      <c r="S285" s="126" t="n">
        <f aca="false">J285/$R$3</f>
        <v>0</v>
      </c>
      <c r="T285" s="126" t="n">
        <f aca="false">L285/$R$3</f>
        <v>0</v>
      </c>
      <c r="U285" s="126" t="n">
        <f aca="false">I285/$R$3</f>
        <v>0</v>
      </c>
      <c r="V285" s="126" t="n">
        <f aca="false">M285/$R$3</f>
        <v>0</v>
      </c>
      <c r="W285" s="126" t="n">
        <f aca="false">N285/$R$3</f>
        <v>-35.909</v>
      </c>
    </row>
    <row r="286" customFormat="false" ht="12.75" hidden="false" customHeight="false" outlineLevel="0" collapsed="false">
      <c r="A286" s="120" t="n">
        <f aca="false">A285+1</f>
        <v>37172</v>
      </c>
      <c r="B286" s="131" t="str">
        <f aca="false">INDEX('[4]Master Data'!$A$2:$B$8,MATCH(WEEKDAY('CRD Hedge'!A286,3),'[4]Master Data'!$A$2:$A$8,0),2)</f>
        <v>M</v>
      </c>
      <c r="D286" s="124" t="n">
        <v>0</v>
      </c>
      <c r="E286" s="124" t="n">
        <v>0</v>
      </c>
      <c r="F286" s="124" t="n">
        <v>0</v>
      </c>
      <c r="G286" s="124" t="n">
        <v>0</v>
      </c>
      <c r="I286" s="124" t="n">
        <f aca="false">IF(MONTH($A286)=MONTH($A285),IF(G286=0,I285,G286),G286)</f>
        <v>0</v>
      </c>
      <c r="J286" s="124" t="n">
        <f aca="false">IF(MONTH($A286)=MONTH($A285),SUM(I286-I285),I286)</f>
        <v>0</v>
      </c>
      <c r="K286" s="124" t="n">
        <f aca="false">IF(WEEKDAY(A286,3)&gt;4,0,(IF(A286&lt;K$2,0,IF(A286&lt;=K$3,1,0))))</f>
        <v>0</v>
      </c>
      <c r="L286" s="124" t="n">
        <f aca="false">J286*K286</f>
        <v>0</v>
      </c>
      <c r="M286" s="124" t="n">
        <f aca="false">SUM(J$280:J286)</f>
        <v>0</v>
      </c>
      <c r="N286" s="124" t="n">
        <f aca="false">SUM(J$6:J286)</f>
        <v>-35909</v>
      </c>
      <c r="P286" s="148" t="n">
        <f aca="false">D286/P$3</f>
        <v>0</v>
      </c>
      <c r="Q286" s="124" t="n">
        <f aca="false">E286/P$3</f>
        <v>0</v>
      </c>
      <c r="R286" s="124" t="n">
        <f aca="false">F286/R$3</f>
        <v>0</v>
      </c>
      <c r="S286" s="126" t="n">
        <f aca="false">J286/$R$3</f>
        <v>0</v>
      </c>
      <c r="T286" s="126" t="n">
        <f aca="false">L286/$R$3</f>
        <v>0</v>
      </c>
      <c r="U286" s="126" t="n">
        <f aca="false">I286/$R$3</f>
        <v>0</v>
      </c>
      <c r="V286" s="126" t="n">
        <f aca="false">M286/$R$3</f>
        <v>0</v>
      </c>
      <c r="W286" s="126" t="n">
        <f aca="false">N286/$R$3</f>
        <v>-35.909</v>
      </c>
    </row>
    <row r="287" customFormat="false" ht="12.75" hidden="false" customHeight="false" outlineLevel="0" collapsed="false">
      <c r="A287" s="120" t="n">
        <f aca="false">A286+1</f>
        <v>37173</v>
      </c>
      <c r="B287" s="131" t="str">
        <f aca="false">INDEX('[4]Master Data'!$A$2:$B$8,MATCH(WEEKDAY('CRD Hedge'!A287,3),'[4]Master Data'!$A$2:$A$8,0),2)</f>
        <v>T</v>
      </c>
      <c r="D287" s="124" t="n">
        <v>0</v>
      </c>
      <c r="E287" s="124" t="n">
        <v>0</v>
      </c>
      <c r="F287" s="124" t="n">
        <v>0</v>
      </c>
      <c r="G287" s="124" t="n">
        <v>0</v>
      </c>
      <c r="I287" s="124" t="n">
        <f aca="false">IF(MONTH($A287)=MONTH($A286),IF(G287=0,I286,G287),G287)</f>
        <v>0</v>
      </c>
      <c r="J287" s="124" t="n">
        <f aca="false">IF(MONTH($A287)=MONTH($A286),SUM(I287-I286),I287)</f>
        <v>0</v>
      </c>
      <c r="K287" s="124" t="n">
        <f aca="false">IF(WEEKDAY(A287,3)&gt;4,0,(IF(A287&lt;K$2,0,IF(A287&lt;=K$3,1,0))))</f>
        <v>0</v>
      </c>
      <c r="L287" s="124" t="n">
        <f aca="false">J287*K287</f>
        <v>0</v>
      </c>
      <c r="M287" s="124" t="n">
        <f aca="false">SUM(J$280:J287)</f>
        <v>0</v>
      </c>
      <c r="N287" s="124" t="n">
        <f aca="false">SUM(J$6:J287)</f>
        <v>-35909</v>
      </c>
      <c r="P287" s="148" t="n">
        <f aca="false">D287/P$3</f>
        <v>0</v>
      </c>
      <c r="Q287" s="124" t="n">
        <f aca="false">E287/P$3</f>
        <v>0</v>
      </c>
      <c r="R287" s="124" t="n">
        <f aca="false">F287/R$3</f>
        <v>0</v>
      </c>
      <c r="S287" s="126" t="n">
        <f aca="false">J287/$R$3</f>
        <v>0</v>
      </c>
      <c r="T287" s="126" t="n">
        <f aca="false">L287/$R$3</f>
        <v>0</v>
      </c>
      <c r="U287" s="126" t="n">
        <f aca="false">I287/$R$3</f>
        <v>0</v>
      </c>
      <c r="V287" s="126" t="n">
        <f aca="false">M287/$R$3</f>
        <v>0</v>
      </c>
      <c r="W287" s="126" t="n">
        <f aca="false">N287/$R$3</f>
        <v>-35.909</v>
      </c>
    </row>
    <row r="288" customFormat="false" ht="12.75" hidden="false" customHeight="false" outlineLevel="0" collapsed="false">
      <c r="A288" s="120" t="n">
        <f aca="false">A287+1</f>
        <v>37174</v>
      </c>
      <c r="B288" s="131" t="str">
        <f aca="false">INDEX('[4]Master Data'!$A$2:$B$8,MATCH(WEEKDAY('CRD Hedge'!A288,3),'[4]Master Data'!$A$2:$A$8,0),2)</f>
        <v>W</v>
      </c>
      <c r="D288" s="124" t="n">
        <v>0</v>
      </c>
      <c r="E288" s="124" t="n">
        <v>0</v>
      </c>
      <c r="F288" s="124" t="n">
        <v>0</v>
      </c>
      <c r="G288" s="124" t="n">
        <v>0</v>
      </c>
      <c r="I288" s="124" t="n">
        <f aca="false">IF(MONTH($A288)=MONTH($A287),IF(G288=0,I287,G288),G288)</f>
        <v>0</v>
      </c>
      <c r="J288" s="124" t="n">
        <f aca="false">IF(MONTH($A288)=MONTH($A287),SUM(I288-I287),I288)</f>
        <v>0</v>
      </c>
      <c r="K288" s="124" t="n">
        <f aca="false">IF(WEEKDAY(A288,3)&gt;4,0,(IF(A288&lt;K$2,0,IF(A288&lt;=K$3,1,0))))</f>
        <v>0</v>
      </c>
      <c r="L288" s="124" t="n">
        <f aca="false">J288*K288</f>
        <v>0</v>
      </c>
      <c r="M288" s="124" t="n">
        <f aca="false">SUM(J$280:J288)</f>
        <v>0</v>
      </c>
      <c r="N288" s="124" t="n">
        <f aca="false">SUM(J$6:J288)</f>
        <v>-35909</v>
      </c>
      <c r="P288" s="148" t="n">
        <f aca="false">D288/P$3</f>
        <v>0</v>
      </c>
      <c r="Q288" s="124" t="n">
        <f aca="false">E288/P$3</f>
        <v>0</v>
      </c>
      <c r="R288" s="124" t="n">
        <f aca="false">F288/R$3</f>
        <v>0</v>
      </c>
      <c r="S288" s="126" t="n">
        <f aca="false">J288/$R$3</f>
        <v>0</v>
      </c>
      <c r="T288" s="126" t="n">
        <f aca="false">L288/$R$3</f>
        <v>0</v>
      </c>
      <c r="U288" s="126" t="n">
        <f aca="false">I288/$R$3</f>
        <v>0</v>
      </c>
      <c r="V288" s="126" t="n">
        <f aca="false">M288/$R$3</f>
        <v>0</v>
      </c>
      <c r="W288" s="126" t="n">
        <f aca="false">N288/$R$3</f>
        <v>-35.909</v>
      </c>
    </row>
    <row r="289" customFormat="false" ht="12.75" hidden="false" customHeight="false" outlineLevel="0" collapsed="false">
      <c r="A289" s="120" t="n">
        <f aca="false">A288+1</f>
        <v>37175</v>
      </c>
      <c r="B289" s="131" t="str">
        <f aca="false">INDEX('[4]Master Data'!$A$2:$B$8,MATCH(WEEKDAY('CRD Hedge'!A289,3),'[4]Master Data'!$A$2:$A$8,0),2)</f>
        <v>Th</v>
      </c>
      <c r="D289" s="124" t="n">
        <v>0</v>
      </c>
      <c r="E289" s="124" t="n">
        <v>0</v>
      </c>
      <c r="F289" s="124" t="n">
        <v>0</v>
      </c>
      <c r="G289" s="124" t="n">
        <v>0</v>
      </c>
      <c r="I289" s="124" t="n">
        <f aca="false">IF(MONTH($A289)=MONTH($A288),IF(G289=0,I288,G289),G289)</f>
        <v>0</v>
      </c>
      <c r="J289" s="124" t="n">
        <f aca="false">IF(MONTH($A289)=MONTH($A288),SUM(I289-I288),I289)</f>
        <v>0</v>
      </c>
      <c r="K289" s="124" t="n">
        <f aca="false">IF(WEEKDAY(A289,3)&gt;4,0,(IF(A289&lt;K$2,0,IF(A289&lt;=K$3,1,0))))</f>
        <v>0</v>
      </c>
      <c r="L289" s="124" t="n">
        <f aca="false">J289*K289</f>
        <v>0</v>
      </c>
      <c r="M289" s="124" t="n">
        <f aca="false">SUM(J$280:J289)</f>
        <v>0</v>
      </c>
      <c r="N289" s="124" t="n">
        <f aca="false">SUM(J$6:J289)</f>
        <v>-35909</v>
      </c>
      <c r="P289" s="148" t="n">
        <f aca="false">D289/P$3</f>
        <v>0</v>
      </c>
      <c r="Q289" s="124" t="n">
        <f aca="false">E289/P$3</f>
        <v>0</v>
      </c>
      <c r="R289" s="124" t="n">
        <f aca="false">F289/R$3</f>
        <v>0</v>
      </c>
      <c r="S289" s="126" t="n">
        <f aca="false">J289/$R$3</f>
        <v>0</v>
      </c>
      <c r="T289" s="126" t="n">
        <f aca="false">L289/$R$3</f>
        <v>0</v>
      </c>
      <c r="U289" s="126" t="n">
        <f aca="false">I289/$R$3</f>
        <v>0</v>
      </c>
      <c r="V289" s="126" t="n">
        <f aca="false">M289/$R$3</f>
        <v>0</v>
      </c>
      <c r="W289" s="126" t="n">
        <f aca="false">N289/$R$3</f>
        <v>-35.909</v>
      </c>
    </row>
    <row r="290" customFormat="false" ht="12.75" hidden="false" customHeight="false" outlineLevel="0" collapsed="false">
      <c r="A290" s="120" t="n">
        <f aca="false">A289+1</f>
        <v>37176</v>
      </c>
      <c r="B290" s="131" t="str">
        <f aca="false">INDEX('[4]Master Data'!$A$2:$B$8,MATCH(WEEKDAY('CRD Hedge'!A290,3),'[4]Master Data'!$A$2:$A$8,0),2)</f>
        <v>F</v>
      </c>
      <c r="D290" s="124" t="n">
        <v>0</v>
      </c>
      <c r="E290" s="124" t="n">
        <v>0</v>
      </c>
      <c r="F290" s="124" t="n">
        <v>0</v>
      </c>
      <c r="G290" s="124" t="n">
        <v>0</v>
      </c>
      <c r="I290" s="124" t="n">
        <f aca="false">IF(MONTH($A290)=MONTH($A289),IF(G290=0,I289,G290),G290)</f>
        <v>0</v>
      </c>
      <c r="J290" s="124" t="n">
        <f aca="false">IF(MONTH($A290)=MONTH($A289),SUM(I290-I289),I290)</f>
        <v>0</v>
      </c>
      <c r="K290" s="124" t="n">
        <f aca="false">IF(WEEKDAY(A290,3)&gt;4,0,(IF(A290&lt;K$2,0,IF(A290&lt;=K$3,1,0))))</f>
        <v>0</v>
      </c>
      <c r="L290" s="124" t="n">
        <f aca="false">J290*K290</f>
        <v>0</v>
      </c>
      <c r="M290" s="124" t="n">
        <f aca="false">SUM(J$280:J290)</f>
        <v>0</v>
      </c>
      <c r="N290" s="124" t="n">
        <f aca="false">SUM(J$6:J290)</f>
        <v>-35909</v>
      </c>
      <c r="P290" s="148" t="n">
        <f aca="false">D290/P$3</f>
        <v>0</v>
      </c>
      <c r="Q290" s="124" t="n">
        <f aca="false">E290/P$3</f>
        <v>0</v>
      </c>
      <c r="R290" s="124" t="n">
        <f aca="false">F290/R$3</f>
        <v>0</v>
      </c>
      <c r="S290" s="126" t="n">
        <f aca="false">J290/$R$3</f>
        <v>0</v>
      </c>
      <c r="T290" s="126" t="n">
        <f aca="false">L290/$R$3</f>
        <v>0</v>
      </c>
      <c r="U290" s="126" t="n">
        <f aca="false">I290/$R$3</f>
        <v>0</v>
      </c>
      <c r="V290" s="126" t="n">
        <f aca="false">M290/$R$3</f>
        <v>0</v>
      </c>
      <c r="W290" s="126" t="n">
        <f aca="false">N290/$R$3</f>
        <v>-35.909</v>
      </c>
    </row>
    <row r="291" customFormat="false" ht="12.75" hidden="false" customHeight="false" outlineLevel="0" collapsed="false">
      <c r="A291" s="120" t="n">
        <f aca="false">A290+1</f>
        <v>37177</v>
      </c>
      <c r="B291" s="131" t="str">
        <f aca="false">INDEX('[4]Master Data'!$A$2:$B$8,MATCH(WEEKDAY('CRD Hedge'!A291,3),'[4]Master Data'!$A$2:$A$8,0),2)</f>
        <v>Sa</v>
      </c>
      <c r="D291" s="124" t="n">
        <v>0</v>
      </c>
      <c r="E291" s="124" t="n">
        <v>0</v>
      </c>
      <c r="F291" s="124" t="n">
        <v>0</v>
      </c>
      <c r="G291" s="124" t="n">
        <v>0</v>
      </c>
      <c r="I291" s="124" t="n">
        <f aca="false">IF(MONTH($A291)=MONTH($A290),IF(G291=0,I290,G291),G291)</f>
        <v>0</v>
      </c>
      <c r="J291" s="124" t="n">
        <f aca="false">IF(MONTH($A291)=MONTH($A290),SUM(I291-I290),I291)</f>
        <v>0</v>
      </c>
      <c r="K291" s="124" t="n">
        <f aca="false">IF(WEEKDAY(A291,3)&gt;4,0,(IF(A291&lt;K$2,0,IF(A291&lt;=K$3,1,0))))</f>
        <v>0</v>
      </c>
      <c r="L291" s="124" t="n">
        <f aca="false">J291*K291</f>
        <v>0</v>
      </c>
      <c r="M291" s="124" t="n">
        <f aca="false">SUM(J$280:J291)</f>
        <v>0</v>
      </c>
      <c r="N291" s="124" t="n">
        <f aca="false">SUM(J$6:J291)</f>
        <v>-35909</v>
      </c>
      <c r="P291" s="148" t="n">
        <f aca="false">D291/P$3</f>
        <v>0</v>
      </c>
      <c r="Q291" s="124" t="n">
        <f aca="false">E291/P$3</f>
        <v>0</v>
      </c>
      <c r="R291" s="124" t="n">
        <f aca="false">F291/R$3</f>
        <v>0</v>
      </c>
      <c r="S291" s="126" t="n">
        <f aca="false">J291/$R$3</f>
        <v>0</v>
      </c>
      <c r="T291" s="126" t="n">
        <f aca="false">L291/$R$3</f>
        <v>0</v>
      </c>
      <c r="U291" s="126" t="n">
        <f aca="false">I291/$R$3</f>
        <v>0</v>
      </c>
      <c r="V291" s="126" t="n">
        <f aca="false">M291/$R$3</f>
        <v>0</v>
      </c>
      <c r="W291" s="126" t="n">
        <f aca="false">N291/$R$3</f>
        <v>-35.909</v>
      </c>
    </row>
    <row r="292" customFormat="false" ht="12.75" hidden="false" customHeight="false" outlineLevel="0" collapsed="false">
      <c r="A292" s="120" t="n">
        <f aca="false">A291+1</f>
        <v>37178</v>
      </c>
      <c r="B292" s="131" t="str">
        <f aca="false">INDEX('[4]Master Data'!$A$2:$B$8,MATCH(WEEKDAY('CRD Hedge'!A292,3),'[4]Master Data'!$A$2:$A$8,0),2)</f>
        <v>Su</v>
      </c>
      <c r="D292" s="124" t="n">
        <v>0</v>
      </c>
      <c r="E292" s="124" t="n">
        <v>0</v>
      </c>
      <c r="F292" s="124" t="n">
        <v>0</v>
      </c>
      <c r="G292" s="124" t="n">
        <v>0</v>
      </c>
      <c r="I292" s="124" t="n">
        <f aca="false">IF(MONTH($A292)=MONTH($A291),IF(G292=0,I291,G292),G292)</f>
        <v>0</v>
      </c>
      <c r="J292" s="124" t="n">
        <f aca="false">IF(MONTH($A292)=MONTH($A291),SUM(I292-I291),I292)</f>
        <v>0</v>
      </c>
      <c r="K292" s="124" t="n">
        <f aca="false">IF(WEEKDAY(A292,3)&gt;4,0,(IF(A292&lt;K$2,0,IF(A292&lt;=K$3,1,0))))</f>
        <v>0</v>
      </c>
      <c r="L292" s="124" t="n">
        <f aca="false">J292*K292</f>
        <v>0</v>
      </c>
      <c r="M292" s="124" t="n">
        <f aca="false">SUM(J$280:J292)</f>
        <v>0</v>
      </c>
      <c r="N292" s="124" t="n">
        <f aca="false">SUM(J$6:J292)</f>
        <v>-35909</v>
      </c>
      <c r="P292" s="148" t="n">
        <f aca="false">D292/P$3</f>
        <v>0</v>
      </c>
      <c r="Q292" s="124" t="n">
        <f aca="false">E292/P$3</f>
        <v>0</v>
      </c>
      <c r="R292" s="124" t="n">
        <f aca="false">F292/R$3</f>
        <v>0</v>
      </c>
      <c r="S292" s="126" t="n">
        <f aca="false">J292/$R$3</f>
        <v>0</v>
      </c>
      <c r="T292" s="126" t="n">
        <f aca="false">L292/$R$3</f>
        <v>0</v>
      </c>
      <c r="U292" s="126" t="n">
        <f aca="false">I292/$R$3</f>
        <v>0</v>
      </c>
      <c r="V292" s="126" t="n">
        <f aca="false">M292/$R$3</f>
        <v>0</v>
      </c>
      <c r="W292" s="126" t="n">
        <f aca="false">N292/$R$3</f>
        <v>-35.909</v>
      </c>
    </row>
    <row r="293" customFormat="false" ht="12.75" hidden="false" customHeight="false" outlineLevel="0" collapsed="false">
      <c r="A293" s="120" t="n">
        <f aca="false">A292+1</f>
        <v>37179</v>
      </c>
      <c r="B293" s="131" t="str">
        <f aca="false">INDEX('[4]Master Data'!$A$2:$B$8,MATCH(WEEKDAY('CRD Hedge'!A293,3),'[4]Master Data'!$A$2:$A$8,0),2)</f>
        <v>M</v>
      </c>
      <c r="D293" s="124" t="n">
        <v>0</v>
      </c>
      <c r="E293" s="124" t="n">
        <v>0</v>
      </c>
      <c r="F293" s="124" t="n">
        <v>0</v>
      </c>
      <c r="G293" s="124" t="n">
        <v>0</v>
      </c>
      <c r="I293" s="124" t="n">
        <f aca="false">IF(MONTH($A293)=MONTH($A292),IF(G293=0,I292,G293),G293)</f>
        <v>0</v>
      </c>
      <c r="J293" s="124" t="n">
        <f aca="false">IF(MONTH($A293)=MONTH($A292),SUM(I293-I292),I293)</f>
        <v>0</v>
      </c>
      <c r="K293" s="124" t="n">
        <f aca="false">IF(WEEKDAY(A293,3)&gt;4,0,(IF(A293&lt;K$2,0,IF(A293&lt;=K$3,1,0))))</f>
        <v>0</v>
      </c>
      <c r="L293" s="124" t="n">
        <f aca="false">J293*K293</f>
        <v>0</v>
      </c>
      <c r="M293" s="124" t="n">
        <f aca="false">SUM(J$280:J293)</f>
        <v>0</v>
      </c>
      <c r="N293" s="124" t="n">
        <f aca="false">SUM(J$6:J293)</f>
        <v>-35909</v>
      </c>
      <c r="P293" s="148" t="n">
        <f aca="false">D293/P$3</f>
        <v>0</v>
      </c>
      <c r="Q293" s="124" t="n">
        <f aca="false">E293/P$3</f>
        <v>0</v>
      </c>
      <c r="R293" s="124" t="n">
        <f aca="false">F293/R$3</f>
        <v>0</v>
      </c>
      <c r="S293" s="126" t="n">
        <f aca="false">J293/$R$3</f>
        <v>0</v>
      </c>
      <c r="T293" s="126" t="n">
        <f aca="false">L293/$R$3</f>
        <v>0</v>
      </c>
      <c r="U293" s="126" t="n">
        <f aca="false">I293/$R$3</f>
        <v>0</v>
      </c>
      <c r="V293" s="126" t="n">
        <f aca="false">M293/$R$3</f>
        <v>0</v>
      </c>
      <c r="W293" s="126" t="n">
        <f aca="false">N293/$R$3</f>
        <v>-35.909</v>
      </c>
    </row>
    <row r="294" customFormat="false" ht="12.75" hidden="false" customHeight="false" outlineLevel="0" collapsed="false">
      <c r="A294" s="120" t="n">
        <f aca="false">A293+1</f>
        <v>37180</v>
      </c>
      <c r="B294" s="131" t="str">
        <f aca="false">INDEX('[4]Master Data'!$A$2:$B$8,MATCH(WEEKDAY('CRD Hedge'!A294,3),'[4]Master Data'!$A$2:$A$8,0),2)</f>
        <v>T</v>
      </c>
      <c r="D294" s="124" t="n">
        <v>0</v>
      </c>
      <c r="E294" s="124" t="n">
        <v>0</v>
      </c>
      <c r="F294" s="124" t="n">
        <v>0</v>
      </c>
      <c r="G294" s="124" t="n">
        <v>0</v>
      </c>
      <c r="I294" s="124" t="n">
        <f aca="false">IF(MONTH($A294)=MONTH($A293),IF(G294=0,I293,G294),G294)</f>
        <v>0</v>
      </c>
      <c r="J294" s="124" t="n">
        <f aca="false">IF(MONTH($A294)=MONTH($A293),SUM(I294-I293),I294)</f>
        <v>0</v>
      </c>
      <c r="K294" s="124" t="n">
        <f aca="false">IF(WEEKDAY(A294,3)&gt;4,0,(IF(A294&lt;K$2,0,IF(A294&lt;=K$3,1,0))))</f>
        <v>0</v>
      </c>
      <c r="L294" s="124" t="n">
        <f aca="false">J294*K294</f>
        <v>0</v>
      </c>
      <c r="M294" s="124" t="n">
        <f aca="false">SUM(J$280:J294)</f>
        <v>0</v>
      </c>
      <c r="N294" s="124" t="n">
        <f aca="false">SUM(J$6:J294)</f>
        <v>-35909</v>
      </c>
      <c r="P294" s="148" t="n">
        <f aca="false">D294/P$3</f>
        <v>0</v>
      </c>
      <c r="Q294" s="124" t="n">
        <f aca="false">E294/P$3</f>
        <v>0</v>
      </c>
      <c r="R294" s="124" t="n">
        <f aca="false">F294/R$3</f>
        <v>0</v>
      </c>
      <c r="S294" s="126" t="n">
        <f aca="false">J294/$R$3</f>
        <v>0</v>
      </c>
      <c r="T294" s="126" t="n">
        <f aca="false">L294/$R$3</f>
        <v>0</v>
      </c>
      <c r="U294" s="126" t="n">
        <f aca="false">I294/$R$3</f>
        <v>0</v>
      </c>
      <c r="V294" s="126" t="n">
        <f aca="false">M294/$R$3</f>
        <v>0</v>
      </c>
      <c r="W294" s="126" t="n">
        <f aca="false">N294/$R$3</f>
        <v>-35.909</v>
      </c>
    </row>
    <row r="295" customFormat="false" ht="12.75" hidden="false" customHeight="false" outlineLevel="0" collapsed="false">
      <c r="A295" s="120" t="n">
        <f aca="false">A294+1</f>
        <v>37181</v>
      </c>
      <c r="B295" s="131" t="str">
        <f aca="false">INDEX('[4]Master Data'!$A$2:$B$8,MATCH(WEEKDAY('CRD Hedge'!A295,3),'[4]Master Data'!$A$2:$A$8,0),2)</f>
        <v>W</v>
      </c>
      <c r="D295" s="124" t="n">
        <v>0</v>
      </c>
      <c r="E295" s="124" t="n">
        <v>0</v>
      </c>
      <c r="F295" s="124" t="n">
        <v>0</v>
      </c>
      <c r="G295" s="124" t="n">
        <v>0</v>
      </c>
      <c r="I295" s="124" t="n">
        <f aca="false">IF(MONTH($A295)=MONTH($A294),IF(G295=0,I294,G295),G295)</f>
        <v>0</v>
      </c>
      <c r="J295" s="124" t="n">
        <f aca="false">IF(MONTH($A295)=MONTH($A294),SUM(I295-I294),I295)</f>
        <v>0</v>
      </c>
      <c r="K295" s="124" t="n">
        <f aca="false">IF(WEEKDAY(A295,3)&gt;4,0,(IF(A295&lt;K$2,0,IF(A295&lt;=K$3,1,0))))</f>
        <v>0</v>
      </c>
      <c r="L295" s="124" t="n">
        <f aca="false">J295*K295</f>
        <v>0</v>
      </c>
      <c r="M295" s="124" t="n">
        <f aca="false">SUM(J$280:J295)</f>
        <v>0</v>
      </c>
      <c r="N295" s="124" t="n">
        <f aca="false">SUM(J$6:J295)</f>
        <v>-35909</v>
      </c>
      <c r="P295" s="148" t="n">
        <f aca="false">D295/P$3</f>
        <v>0</v>
      </c>
      <c r="Q295" s="124" t="n">
        <f aca="false">E295/P$3</f>
        <v>0</v>
      </c>
      <c r="R295" s="124" t="n">
        <f aca="false">F295/R$3</f>
        <v>0</v>
      </c>
      <c r="S295" s="126" t="n">
        <f aca="false">J295/$R$3</f>
        <v>0</v>
      </c>
      <c r="T295" s="126" t="n">
        <f aca="false">L295/$R$3</f>
        <v>0</v>
      </c>
      <c r="U295" s="126" t="n">
        <f aca="false">I295/$R$3</f>
        <v>0</v>
      </c>
      <c r="V295" s="126" t="n">
        <f aca="false">M295/$R$3</f>
        <v>0</v>
      </c>
      <c r="W295" s="126" t="n">
        <f aca="false">N295/$R$3</f>
        <v>-35.909</v>
      </c>
    </row>
    <row r="296" customFormat="false" ht="12.75" hidden="false" customHeight="false" outlineLevel="0" collapsed="false">
      <c r="A296" s="120" t="n">
        <f aca="false">A295+1</f>
        <v>37182</v>
      </c>
      <c r="B296" s="131" t="str">
        <f aca="false">INDEX('[4]Master Data'!$A$2:$B$8,MATCH(WEEKDAY('CRD Hedge'!A296,3),'[4]Master Data'!$A$2:$A$8,0),2)</f>
        <v>Th</v>
      </c>
      <c r="D296" s="124" t="n">
        <v>0</v>
      </c>
      <c r="E296" s="124" t="n">
        <v>0</v>
      </c>
      <c r="F296" s="124" t="n">
        <v>0</v>
      </c>
      <c r="G296" s="124" t="n">
        <v>0</v>
      </c>
      <c r="I296" s="124" t="n">
        <f aca="false">IF(MONTH($A296)=MONTH($A295),IF(G296=0,I295,G296),G296)</f>
        <v>0</v>
      </c>
      <c r="J296" s="124" t="n">
        <f aca="false">IF(MONTH($A296)=MONTH($A295),SUM(I296-I295),I296)</f>
        <v>0</v>
      </c>
      <c r="K296" s="124" t="n">
        <f aca="false">IF(WEEKDAY(A296,3)&gt;4,0,(IF(A296&lt;K$2,0,IF(A296&lt;=K$3,1,0))))</f>
        <v>0</v>
      </c>
      <c r="L296" s="124" t="n">
        <f aca="false">J296*K296</f>
        <v>0</v>
      </c>
      <c r="M296" s="124" t="n">
        <f aca="false">SUM(J$280:J296)</f>
        <v>0</v>
      </c>
      <c r="N296" s="124" t="n">
        <f aca="false">SUM(J$6:J296)</f>
        <v>-35909</v>
      </c>
      <c r="P296" s="148" t="n">
        <f aca="false">D296/P$3</f>
        <v>0</v>
      </c>
      <c r="Q296" s="124" t="n">
        <f aca="false">E296/P$3</f>
        <v>0</v>
      </c>
      <c r="R296" s="124" t="n">
        <f aca="false">F296/R$3</f>
        <v>0</v>
      </c>
      <c r="S296" s="126" t="n">
        <f aca="false">J296/$R$3</f>
        <v>0</v>
      </c>
      <c r="T296" s="126" t="n">
        <f aca="false">L296/$R$3</f>
        <v>0</v>
      </c>
      <c r="U296" s="126" t="n">
        <f aca="false">I296/$R$3</f>
        <v>0</v>
      </c>
      <c r="V296" s="126" t="n">
        <f aca="false">M296/$R$3</f>
        <v>0</v>
      </c>
      <c r="W296" s="126" t="n">
        <f aca="false">N296/$R$3</f>
        <v>-35.909</v>
      </c>
    </row>
    <row r="297" customFormat="false" ht="12.75" hidden="false" customHeight="false" outlineLevel="0" collapsed="false">
      <c r="A297" s="120" t="n">
        <f aca="false">A296+1</f>
        <v>37183</v>
      </c>
      <c r="B297" s="131" t="str">
        <f aca="false">INDEX('[4]Master Data'!$A$2:$B$8,MATCH(WEEKDAY('CRD Hedge'!A297,3),'[4]Master Data'!$A$2:$A$8,0),2)</f>
        <v>F</v>
      </c>
      <c r="D297" s="124" t="n">
        <v>0</v>
      </c>
      <c r="E297" s="124" t="n">
        <v>0</v>
      </c>
      <c r="F297" s="124" t="n">
        <v>0</v>
      </c>
      <c r="G297" s="124" t="n">
        <v>0</v>
      </c>
      <c r="I297" s="124" t="n">
        <f aca="false">IF(MONTH($A297)=MONTH($A296),IF(G297=0,I296,G297),G297)</f>
        <v>0</v>
      </c>
      <c r="J297" s="124" t="n">
        <f aca="false">IF(MONTH($A297)=MONTH($A296),SUM(I297-I296),I297)</f>
        <v>0</v>
      </c>
      <c r="K297" s="124" t="n">
        <f aca="false">IF(WEEKDAY(A297,3)&gt;4,0,(IF(A297&lt;K$2,0,IF(A297&lt;=K$3,1,0))))</f>
        <v>0</v>
      </c>
      <c r="L297" s="124" t="n">
        <f aca="false">J297*K297</f>
        <v>0</v>
      </c>
      <c r="M297" s="124" t="n">
        <f aca="false">SUM(J$280:J297)</f>
        <v>0</v>
      </c>
      <c r="N297" s="124" t="n">
        <f aca="false">SUM(J$6:J297)</f>
        <v>-35909</v>
      </c>
      <c r="P297" s="148" t="n">
        <f aca="false">D297/P$3</f>
        <v>0</v>
      </c>
      <c r="Q297" s="124" t="n">
        <f aca="false">E297/P$3</f>
        <v>0</v>
      </c>
      <c r="R297" s="124" t="n">
        <f aca="false">F297/R$3</f>
        <v>0</v>
      </c>
      <c r="S297" s="126" t="n">
        <f aca="false">J297/$R$3</f>
        <v>0</v>
      </c>
      <c r="T297" s="126" t="n">
        <f aca="false">L297/$R$3</f>
        <v>0</v>
      </c>
      <c r="U297" s="126" t="n">
        <f aca="false">I297/$R$3</f>
        <v>0</v>
      </c>
      <c r="V297" s="126" t="n">
        <f aca="false">M297/$R$3</f>
        <v>0</v>
      </c>
      <c r="W297" s="126" t="n">
        <f aca="false">N297/$R$3</f>
        <v>-35.909</v>
      </c>
    </row>
    <row r="298" customFormat="false" ht="12.75" hidden="false" customHeight="false" outlineLevel="0" collapsed="false">
      <c r="A298" s="120" t="n">
        <f aca="false">A297+1</f>
        <v>37184</v>
      </c>
      <c r="B298" s="131" t="str">
        <f aca="false">INDEX('[4]Master Data'!$A$2:$B$8,MATCH(WEEKDAY('CRD Hedge'!A298,3),'[4]Master Data'!$A$2:$A$8,0),2)</f>
        <v>Sa</v>
      </c>
      <c r="D298" s="124" t="n">
        <v>0</v>
      </c>
      <c r="E298" s="124" t="n">
        <v>0</v>
      </c>
      <c r="F298" s="124" t="n">
        <v>0</v>
      </c>
      <c r="G298" s="124" t="n">
        <v>0</v>
      </c>
      <c r="I298" s="124" t="n">
        <f aca="false">IF(MONTH($A298)=MONTH($A297),IF(G298=0,I297,G298),G298)</f>
        <v>0</v>
      </c>
      <c r="J298" s="124" t="n">
        <f aca="false">IF(MONTH($A298)=MONTH($A297),SUM(I298-I297),I298)</f>
        <v>0</v>
      </c>
      <c r="K298" s="124" t="n">
        <f aca="false">IF(WEEKDAY(A298,3)&gt;4,0,(IF(A298&lt;K$2,0,IF(A298&lt;=K$3,1,0))))</f>
        <v>0</v>
      </c>
      <c r="L298" s="124" t="n">
        <f aca="false">J298*K298</f>
        <v>0</v>
      </c>
      <c r="M298" s="124" t="n">
        <f aca="false">SUM(J$280:J298)</f>
        <v>0</v>
      </c>
      <c r="N298" s="124" t="n">
        <f aca="false">SUM(J$6:J298)</f>
        <v>-35909</v>
      </c>
      <c r="P298" s="148" t="n">
        <f aca="false">D298/P$3</f>
        <v>0</v>
      </c>
      <c r="Q298" s="124" t="n">
        <f aca="false">E298/P$3</f>
        <v>0</v>
      </c>
      <c r="R298" s="124" t="n">
        <f aca="false">F298/R$3</f>
        <v>0</v>
      </c>
      <c r="S298" s="126" t="n">
        <f aca="false">J298/$R$3</f>
        <v>0</v>
      </c>
      <c r="T298" s="126" t="n">
        <f aca="false">L298/$R$3</f>
        <v>0</v>
      </c>
      <c r="U298" s="126" t="n">
        <f aca="false">I298/$R$3</f>
        <v>0</v>
      </c>
      <c r="V298" s="126" t="n">
        <f aca="false">M298/$R$3</f>
        <v>0</v>
      </c>
      <c r="W298" s="126" t="n">
        <f aca="false">N298/$R$3</f>
        <v>-35.909</v>
      </c>
    </row>
    <row r="299" customFormat="false" ht="12.75" hidden="false" customHeight="false" outlineLevel="0" collapsed="false">
      <c r="A299" s="120" t="n">
        <f aca="false">A298+1</f>
        <v>37185</v>
      </c>
      <c r="B299" s="131" t="str">
        <f aca="false">INDEX('[4]Master Data'!$A$2:$B$8,MATCH(WEEKDAY('CRD Hedge'!A299,3),'[4]Master Data'!$A$2:$A$8,0),2)</f>
        <v>Su</v>
      </c>
      <c r="D299" s="124" t="n">
        <v>0</v>
      </c>
      <c r="E299" s="124" t="n">
        <v>0</v>
      </c>
      <c r="F299" s="124" t="n">
        <v>0</v>
      </c>
      <c r="G299" s="124" t="n">
        <v>0</v>
      </c>
      <c r="I299" s="124" t="n">
        <f aca="false">IF(MONTH($A299)=MONTH($A298),IF(G299=0,I298,G299),G299)</f>
        <v>0</v>
      </c>
      <c r="J299" s="124" t="n">
        <f aca="false">IF(MONTH($A299)=MONTH($A298),SUM(I299-I298),I299)</f>
        <v>0</v>
      </c>
      <c r="K299" s="124" t="n">
        <f aca="false">IF(WEEKDAY(A299,3)&gt;4,0,(IF(A299&lt;K$2,0,IF(A299&lt;=K$3,1,0))))</f>
        <v>0</v>
      </c>
      <c r="L299" s="124" t="n">
        <f aca="false">J299*K299</f>
        <v>0</v>
      </c>
      <c r="M299" s="124" t="n">
        <f aca="false">SUM(J$280:J299)</f>
        <v>0</v>
      </c>
      <c r="N299" s="124" t="n">
        <f aca="false">SUM(J$6:J299)</f>
        <v>-35909</v>
      </c>
      <c r="P299" s="148" t="n">
        <f aca="false">D299/P$3</f>
        <v>0</v>
      </c>
      <c r="Q299" s="124" t="n">
        <f aca="false">E299/P$3</f>
        <v>0</v>
      </c>
      <c r="R299" s="124" t="n">
        <f aca="false">F299/R$3</f>
        <v>0</v>
      </c>
      <c r="S299" s="126" t="n">
        <f aca="false">J299/$R$3</f>
        <v>0</v>
      </c>
      <c r="T299" s="126" t="n">
        <f aca="false">L299/$R$3</f>
        <v>0</v>
      </c>
      <c r="U299" s="126" t="n">
        <f aca="false">I299/$R$3</f>
        <v>0</v>
      </c>
      <c r="V299" s="126" t="n">
        <f aca="false">M299/$R$3</f>
        <v>0</v>
      </c>
      <c r="W299" s="126" t="n">
        <f aca="false">N299/$R$3</f>
        <v>-35.909</v>
      </c>
    </row>
    <row r="300" customFormat="false" ht="12.75" hidden="false" customHeight="false" outlineLevel="0" collapsed="false">
      <c r="A300" s="120" t="n">
        <f aca="false">A299+1</f>
        <v>37186</v>
      </c>
      <c r="B300" s="131" t="str">
        <f aca="false">INDEX('[4]Master Data'!$A$2:$B$8,MATCH(WEEKDAY('CRD Hedge'!A300,3),'[4]Master Data'!$A$2:$A$8,0),2)</f>
        <v>M</v>
      </c>
      <c r="D300" s="124" t="n">
        <v>0</v>
      </c>
      <c r="E300" s="124" t="n">
        <v>0</v>
      </c>
      <c r="F300" s="124" t="n">
        <v>0</v>
      </c>
      <c r="G300" s="124" t="n">
        <v>0</v>
      </c>
      <c r="I300" s="124" t="n">
        <f aca="false">IF(MONTH($A300)=MONTH($A299),IF(G300=0,I299,G300),G300)</f>
        <v>0</v>
      </c>
      <c r="J300" s="124" t="n">
        <f aca="false">IF(MONTH($A300)=MONTH($A299),SUM(I300-I299),I300)</f>
        <v>0</v>
      </c>
      <c r="K300" s="124" t="n">
        <f aca="false">IF(WEEKDAY(A300,3)&gt;4,0,(IF(A300&lt;K$2,0,IF(A300&lt;=K$3,1,0))))</f>
        <v>0</v>
      </c>
      <c r="L300" s="124" t="n">
        <f aca="false">J300*K300</f>
        <v>0</v>
      </c>
      <c r="M300" s="124" t="n">
        <f aca="false">SUM(J$280:J300)</f>
        <v>0</v>
      </c>
      <c r="N300" s="124" t="n">
        <f aca="false">SUM(J$6:J300)</f>
        <v>-35909</v>
      </c>
      <c r="P300" s="148" t="n">
        <f aca="false">D300/P$3</f>
        <v>0</v>
      </c>
      <c r="Q300" s="124" t="n">
        <f aca="false">E300/P$3</f>
        <v>0</v>
      </c>
      <c r="R300" s="124" t="n">
        <f aca="false">F300/R$3</f>
        <v>0</v>
      </c>
      <c r="S300" s="126" t="n">
        <f aca="false">J300/$R$3</f>
        <v>0</v>
      </c>
      <c r="T300" s="126" t="n">
        <f aca="false">L300/$R$3</f>
        <v>0</v>
      </c>
      <c r="U300" s="126" t="n">
        <f aca="false">I300/$R$3</f>
        <v>0</v>
      </c>
      <c r="V300" s="126" t="n">
        <f aca="false">M300/$R$3</f>
        <v>0</v>
      </c>
      <c r="W300" s="126" t="n">
        <f aca="false">N300/$R$3</f>
        <v>-35.909</v>
      </c>
    </row>
    <row r="301" customFormat="false" ht="12.75" hidden="false" customHeight="false" outlineLevel="0" collapsed="false">
      <c r="A301" s="120" t="n">
        <f aca="false">A300+1</f>
        <v>37187</v>
      </c>
      <c r="B301" s="131" t="str">
        <f aca="false">INDEX('[4]Master Data'!$A$2:$B$8,MATCH(WEEKDAY('CRD Hedge'!A301,3),'[4]Master Data'!$A$2:$A$8,0),2)</f>
        <v>T</v>
      </c>
      <c r="D301" s="124" t="n">
        <v>0</v>
      </c>
      <c r="E301" s="124" t="n">
        <v>0</v>
      </c>
      <c r="F301" s="124" t="n">
        <v>0</v>
      </c>
      <c r="G301" s="124" t="n">
        <v>0</v>
      </c>
      <c r="I301" s="124" t="n">
        <f aca="false">IF(MONTH($A301)=MONTH($A300),IF(G301=0,I300,G301),G301)</f>
        <v>0</v>
      </c>
      <c r="J301" s="124" t="n">
        <f aca="false">IF(MONTH($A301)=MONTH($A300),SUM(I301-I300),I301)</f>
        <v>0</v>
      </c>
      <c r="K301" s="124" t="n">
        <f aca="false">IF(WEEKDAY(A301,3)&gt;4,0,(IF(A301&lt;K$2,0,IF(A301&lt;=K$3,1,0))))</f>
        <v>0</v>
      </c>
      <c r="L301" s="124" t="n">
        <f aca="false">J301*K301</f>
        <v>0</v>
      </c>
      <c r="M301" s="124" t="n">
        <f aca="false">SUM(J$280:J301)</f>
        <v>0</v>
      </c>
      <c r="N301" s="124" t="n">
        <f aca="false">SUM(J$6:J301)</f>
        <v>-35909</v>
      </c>
      <c r="P301" s="148" t="n">
        <f aca="false">D301/P$3</f>
        <v>0</v>
      </c>
      <c r="Q301" s="124" t="n">
        <f aca="false">E301/P$3</f>
        <v>0</v>
      </c>
      <c r="R301" s="124" t="n">
        <f aca="false">F301/R$3</f>
        <v>0</v>
      </c>
      <c r="S301" s="126" t="n">
        <f aca="false">J301/$R$3</f>
        <v>0</v>
      </c>
      <c r="T301" s="126" t="n">
        <f aca="false">L301/$R$3</f>
        <v>0</v>
      </c>
      <c r="U301" s="126" t="n">
        <f aca="false">I301/$R$3</f>
        <v>0</v>
      </c>
      <c r="V301" s="126" t="n">
        <f aca="false">M301/$R$3</f>
        <v>0</v>
      </c>
      <c r="W301" s="126" t="n">
        <f aca="false">N301/$R$3</f>
        <v>-35.909</v>
      </c>
    </row>
    <row r="302" customFormat="false" ht="12.75" hidden="false" customHeight="false" outlineLevel="0" collapsed="false">
      <c r="A302" s="120" t="n">
        <f aca="false">A301+1</f>
        <v>37188</v>
      </c>
      <c r="B302" s="131" t="str">
        <f aca="false">INDEX('[4]Master Data'!$A$2:$B$8,MATCH(WEEKDAY('CRD Hedge'!A302,3),'[4]Master Data'!$A$2:$A$8,0),2)</f>
        <v>W</v>
      </c>
      <c r="D302" s="124" t="n">
        <v>0</v>
      </c>
      <c r="E302" s="124" t="n">
        <v>0</v>
      </c>
      <c r="F302" s="124" t="n">
        <v>0</v>
      </c>
      <c r="G302" s="124" t="n">
        <v>0</v>
      </c>
      <c r="I302" s="124" t="n">
        <f aca="false">IF(MONTH($A302)=MONTH($A301),IF(G302=0,I301,G302),G302)</f>
        <v>0</v>
      </c>
      <c r="J302" s="124" t="n">
        <f aca="false">IF(MONTH($A302)=MONTH($A301),SUM(I302-I301),I302)</f>
        <v>0</v>
      </c>
      <c r="K302" s="124" t="n">
        <f aca="false">IF(WEEKDAY(A302,3)&gt;4,0,(IF(A302&lt;K$2,0,IF(A302&lt;=K$3,1,0))))</f>
        <v>0</v>
      </c>
      <c r="L302" s="124" t="n">
        <f aca="false">J302*K302</f>
        <v>0</v>
      </c>
      <c r="M302" s="124" t="n">
        <f aca="false">SUM(J$280:J302)</f>
        <v>0</v>
      </c>
      <c r="N302" s="124" t="n">
        <f aca="false">SUM(J$6:J302)</f>
        <v>-35909</v>
      </c>
      <c r="P302" s="148" t="n">
        <f aca="false">D302/P$3</f>
        <v>0</v>
      </c>
      <c r="Q302" s="124" t="n">
        <f aca="false">E302/P$3</f>
        <v>0</v>
      </c>
      <c r="R302" s="124" t="n">
        <f aca="false">F302/R$3</f>
        <v>0</v>
      </c>
      <c r="S302" s="126" t="n">
        <f aca="false">J302/$R$3</f>
        <v>0</v>
      </c>
      <c r="T302" s="126" t="n">
        <f aca="false">L302/$R$3</f>
        <v>0</v>
      </c>
      <c r="U302" s="126" t="n">
        <f aca="false">I302/$R$3</f>
        <v>0</v>
      </c>
      <c r="V302" s="126" t="n">
        <f aca="false">M302/$R$3</f>
        <v>0</v>
      </c>
      <c r="W302" s="126" t="n">
        <f aca="false">N302/$R$3</f>
        <v>-35.909</v>
      </c>
    </row>
    <row r="303" customFormat="false" ht="12.75" hidden="false" customHeight="false" outlineLevel="0" collapsed="false">
      <c r="A303" s="120" t="n">
        <f aca="false">A302+1</f>
        <v>37189</v>
      </c>
      <c r="B303" s="131" t="str">
        <f aca="false">INDEX('[4]Master Data'!$A$2:$B$8,MATCH(WEEKDAY('CRD Hedge'!A303,3),'[4]Master Data'!$A$2:$A$8,0),2)</f>
        <v>Th</v>
      </c>
      <c r="D303" s="124" t="n">
        <v>0</v>
      </c>
      <c r="E303" s="124" t="n">
        <v>0</v>
      </c>
      <c r="F303" s="124" t="n">
        <v>0</v>
      </c>
      <c r="G303" s="124" t="n">
        <v>0</v>
      </c>
      <c r="I303" s="124" t="n">
        <f aca="false">IF(MONTH($A303)=MONTH($A302),IF(G303=0,I302,G303),G303)</f>
        <v>0</v>
      </c>
      <c r="J303" s="124" t="n">
        <f aca="false">IF(MONTH($A303)=MONTH($A302),SUM(I303-I302),I303)</f>
        <v>0</v>
      </c>
      <c r="K303" s="124" t="n">
        <f aca="false">IF(WEEKDAY(A303,3)&gt;4,0,(IF(A303&lt;K$2,0,IF(A303&lt;=K$3,1,0))))</f>
        <v>0</v>
      </c>
      <c r="L303" s="124" t="n">
        <f aca="false">J303*K303</f>
        <v>0</v>
      </c>
      <c r="M303" s="124" t="n">
        <f aca="false">SUM(J$280:J303)</f>
        <v>0</v>
      </c>
      <c r="N303" s="124" t="n">
        <f aca="false">SUM(J$6:J303)</f>
        <v>-35909</v>
      </c>
      <c r="P303" s="148" t="n">
        <f aca="false">D303/P$3</f>
        <v>0</v>
      </c>
      <c r="Q303" s="124" t="n">
        <f aca="false">E303/P$3</f>
        <v>0</v>
      </c>
      <c r="R303" s="124" t="n">
        <f aca="false">F303/R$3</f>
        <v>0</v>
      </c>
      <c r="S303" s="126" t="n">
        <f aca="false">J303/$R$3</f>
        <v>0</v>
      </c>
      <c r="T303" s="126" t="n">
        <f aca="false">L303/$R$3</f>
        <v>0</v>
      </c>
      <c r="U303" s="126" t="n">
        <f aca="false">I303/$R$3</f>
        <v>0</v>
      </c>
      <c r="V303" s="126" t="n">
        <f aca="false">M303/$R$3</f>
        <v>0</v>
      </c>
      <c r="W303" s="126" t="n">
        <f aca="false">N303/$R$3</f>
        <v>-35.909</v>
      </c>
    </row>
    <row r="304" customFormat="false" ht="12.75" hidden="false" customHeight="false" outlineLevel="0" collapsed="false">
      <c r="A304" s="120" t="n">
        <f aca="false">A303+1</f>
        <v>37190</v>
      </c>
      <c r="B304" s="131" t="str">
        <f aca="false">INDEX('[4]Master Data'!$A$2:$B$8,MATCH(WEEKDAY('CRD Hedge'!A304,3),'[4]Master Data'!$A$2:$A$8,0),2)</f>
        <v>F</v>
      </c>
      <c r="D304" s="124" t="n">
        <v>0</v>
      </c>
      <c r="E304" s="124" t="n">
        <v>0</v>
      </c>
      <c r="F304" s="124" t="n">
        <v>0</v>
      </c>
      <c r="G304" s="124" t="n">
        <v>0</v>
      </c>
      <c r="I304" s="124" t="n">
        <f aca="false">IF(MONTH($A304)=MONTH($A303),IF(G304=0,I303,G304),G304)</f>
        <v>0</v>
      </c>
      <c r="J304" s="124" t="n">
        <f aca="false">IF(MONTH($A304)=MONTH($A303),SUM(I304-I303),I304)</f>
        <v>0</v>
      </c>
      <c r="K304" s="124" t="n">
        <f aca="false">IF(WEEKDAY(A304,3)&gt;4,0,(IF(A304&lt;K$2,0,IF(A304&lt;=K$3,1,0))))</f>
        <v>0</v>
      </c>
      <c r="L304" s="124" t="n">
        <f aca="false">J304*K304</f>
        <v>0</v>
      </c>
      <c r="M304" s="124" t="n">
        <f aca="false">SUM(J$280:J304)</f>
        <v>0</v>
      </c>
      <c r="N304" s="124" t="n">
        <f aca="false">SUM(J$6:J304)</f>
        <v>-35909</v>
      </c>
      <c r="P304" s="148" t="n">
        <f aca="false">D304/P$3</f>
        <v>0</v>
      </c>
      <c r="Q304" s="124" t="n">
        <f aca="false">E304/P$3</f>
        <v>0</v>
      </c>
      <c r="R304" s="124" t="n">
        <f aca="false">F304/R$3</f>
        <v>0</v>
      </c>
      <c r="S304" s="126" t="n">
        <f aca="false">J304/$R$3</f>
        <v>0</v>
      </c>
      <c r="T304" s="126" t="n">
        <f aca="false">L304/$R$3</f>
        <v>0</v>
      </c>
      <c r="U304" s="126" t="n">
        <f aca="false">I304/$R$3</f>
        <v>0</v>
      </c>
      <c r="V304" s="126" t="n">
        <f aca="false">M304/$R$3</f>
        <v>0</v>
      </c>
      <c r="W304" s="126" t="n">
        <f aca="false">N304/$R$3</f>
        <v>-35.909</v>
      </c>
    </row>
    <row r="305" customFormat="false" ht="12.75" hidden="false" customHeight="false" outlineLevel="0" collapsed="false">
      <c r="A305" s="120" t="n">
        <f aca="false">A304+1</f>
        <v>37191</v>
      </c>
      <c r="B305" s="131" t="str">
        <f aca="false">INDEX('[4]Master Data'!$A$2:$B$8,MATCH(WEEKDAY('CRD Hedge'!A305,3),'[4]Master Data'!$A$2:$A$8,0),2)</f>
        <v>Sa</v>
      </c>
      <c r="D305" s="124" t="n">
        <v>0</v>
      </c>
      <c r="E305" s="124" t="n">
        <v>0</v>
      </c>
      <c r="F305" s="124" t="n">
        <v>0</v>
      </c>
      <c r="G305" s="124" t="n">
        <v>0</v>
      </c>
      <c r="I305" s="124" t="n">
        <f aca="false">IF(MONTH($A305)=MONTH($A304),IF(G305=0,I304,G305),G305)</f>
        <v>0</v>
      </c>
      <c r="J305" s="124" t="n">
        <f aca="false">IF(MONTH($A305)=MONTH($A304),SUM(I305-I304),I305)</f>
        <v>0</v>
      </c>
      <c r="K305" s="124" t="n">
        <f aca="false">IF(WEEKDAY(A305,3)&gt;4,0,(IF(A305&lt;K$2,0,IF(A305&lt;=K$3,1,0))))</f>
        <v>0</v>
      </c>
      <c r="L305" s="124" t="n">
        <f aca="false">J305*K305</f>
        <v>0</v>
      </c>
      <c r="M305" s="124" t="n">
        <f aca="false">SUM(J$280:J305)</f>
        <v>0</v>
      </c>
      <c r="N305" s="124" t="n">
        <f aca="false">SUM(J$6:J305)</f>
        <v>-35909</v>
      </c>
      <c r="P305" s="148" t="n">
        <f aca="false">D305/P$3</f>
        <v>0</v>
      </c>
      <c r="Q305" s="124" t="n">
        <f aca="false">E305/P$3</f>
        <v>0</v>
      </c>
      <c r="R305" s="124" t="n">
        <f aca="false">F305/R$3</f>
        <v>0</v>
      </c>
      <c r="S305" s="126" t="n">
        <f aca="false">J305/$R$3</f>
        <v>0</v>
      </c>
      <c r="T305" s="126" t="n">
        <f aca="false">L305/$R$3</f>
        <v>0</v>
      </c>
      <c r="U305" s="126" t="n">
        <f aca="false">I305/$R$3</f>
        <v>0</v>
      </c>
      <c r="V305" s="126" t="n">
        <f aca="false">M305/$R$3</f>
        <v>0</v>
      </c>
      <c r="W305" s="126" t="n">
        <f aca="false">N305/$R$3</f>
        <v>-35.909</v>
      </c>
    </row>
    <row r="306" customFormat="false" ht="12.75" hidden="false" customHeight="false" outlineLevel="0" collapsed="false">
      <c r="A306" s="120" t="n">
        <f aca="false">A305+1</f>
        <v>37192</v>
      </c>
      <c r="B306" s="131" t="str">
        <f aca="false">INDEX('[4]Master Data'!$A$2:$B$8,MATCH(WEEKDAY('CRD Hedge'!A306,3),'[4]Master Data'!$A$2:$A$8,0),2)</f>
        <v>Su</v>
      </c>
      <c r="D306" s="124" t="n">
        <v>0</v>
      </c>
      <c r="E306" s="124" t="n">
        <v>0</v>
      </c>
      <c r="F306" s="124" t="n">
        <v>0</v>
      </c>
      <c r="G306" s="124" t="n">
        <v>0</v>
      </c>
      <c r="I306" s="124" t="n">
        <f aca="false">IF(MONTH($A306)=MONTH($A305),IF(G306=0,I305,G306),G306)</f>
        <v>0</v>
      </c>
      <c r="J306" s="124" t="n">
        <f aca="false">IF(MONTH($A306)=MONTH($A305),SUM(I306-I305),I306)</f>
        <v>0</v>
      </c>
      <c r="K306" s="124" t="n">
        <f aca="false">IF(WEEKDAY(A306,3)&gt;4,0,(IF(A306&lt;K$2,0,IF(A306&lt;=K$3,1,0))))</f>
        <v>0</v>
      </c>
      <c r="L306" s="124" t="n">
        <f aca="false">J306*K306</f>
        <v>0</v>
      </c>
      <c r="M306" s="124" t="n">
        <f aca="false">SUM(J$280:J306)</f>
        <v>0</v>
      </c>
      <c r="N306" s="124" t="n">
        <f aca="false">SUM(J$6:J306)</f>
        <v>-35909</v>
      </c>
      <c r="P306" s="148" t="n">
        <f aca="false">D306/P$3</f>
        <v>0</v>
      </c>
      <c r="Q306" s="124" t="n">
        <f aca="false">E306/P$3</f>
        <v>0</v>
      </c>
      <c r="R306" s="124" t="n">
        <f aca="false">F306/R$3</f>
        <v>0</v>
      </c>
      <c r="S306" s="126" t="n">
        <f aca="false">J306/$R$3</f>
        <v>0</v>
      </c>
      <c r="T306" s="126" t="n">
        <f aca="false">L306/$R$3</f>
        <v>0</v>
      </c>
      <c r="U306" s="126" t="n">
        <f aca="false">I306/$R$3</f>
        <v>0</v>
      </c>
      <c r="V306" s="126" t="n">
        <f aca="false">M306/$R$3</f>
        <v>0</v>
      </c>
      <c r="W306" s="126" t="n">
        <f aca="false">N306/$R$3</f>
        <v>-35.909</v>
      </c>
    </row>
    <row r="307" customFormat="false" ht="12.75" hidden="false" customHeight="false" outlineLevel="0" collapsed="false">
      <c r="A307" s="120" t="n">
        <f aca="false">A306+1</f>
        <v>37193</v>
      </c>
      <c r="B307" s="131" t="str">
        <f aca="false">INDEX('[4]Master Data'!$A$2:$B$8,MATCH(WEEKDAY('CRD Hedge'!A307,3),'[4]Master Data'!$A$2:$A$8,0),2)</f>
        <v>M</v>
      </c>
      <c r="D307" s="124" t="n">
        <v>0</v>
      </c>
      <c r="E307" s="124" t="n">
        <v>0</v>
      </c>
      <c r="F307" s="124" t="n">
        <v>0</v>
      </c>
      <c r="G307" s="124" t="n">
        <v>0</v>
      </c>
      <c r="I307" s="124" t="n">
        <f aca="false">IF(MONTH($A307)=MONTH($A306),IF(G307=0,I306,G307),G307)</f>
        <v>0</v>
      </c>
      <c r="J307" s="124" t="n">
        <f aca="false">IF(MONTH($A307)=MONTH($A306),SUM(I307-I306),I307)</f>
        <v>0</v>
      </c>
      <c r="K307" s="124" t="n">
        <f aca="false">IF(WEEKDAY(A307,3)&gt;4,0,(IF(A307&lt;K$2,0,IF(A307&lt;=K$3,1,0))))</f>
        <v>0</v>
      </c>
      <c r="L307" s="124" t="n">
        <f aca="false">J307*K307</f>
        <v>0</v>
      </c>
      <c r="M307" s="124" t="n">
        <f aca="false">SUM(J$280:J307)</f>
        <v>0</v>
      </c>
      <c r="N307" s="124" t="n">
        <f aca="false">SUM(J$6:J307)</f>
        <v>-35909</v>
      </c>
      <c r="P307" s="148" t="n">
        <f aca="false">D307/P$3</f>
        <v>0</v>
      </c>
      <c r="Q307" s="124" t="n">
        <f aca="false">E307/P$3</f>
        <v>0</v>
      </c>
      <c r="R307" s="124" t="n">
        <f aca="false">F307/R$3</f>
        <v>0</v>
      </c>
      <c r="S307" s="126" t="n">
        <f aca="false">J307/$R$3</f>
        <v>0</v>
      </c>
      <c r="T307" s="126" t="n">
        <f aca="false">L307/$R$3</f>
        <v>0</v>
      </c>
      <c r="U307" s="126" t="n">
        <f aca="false">I307/$R$3</f>
        <v>0</v>
      </c>
      <c r="V307" s="126" t="n">
        <f aca="false">M307/$R$3</f>
        <v>0</v>
      </c>
      <c r="W307" s="126" t="n">
        <f aca="false">N307/$R$3</f>
        <v>-35.909</v>
      </c>
    </row>
    <row r="308" customFormat="false" ht="12.75" hidden="false" customHeight="false" outlineLevel="0" collapsed="false">
      <c r="A308" s="120" t="n">
        <f aca="false">A307+1</f>
        <v>37194</v>
      </c>
      <c r="B308" s="131" t="str">
        <f aca="false">INDEX('[4]Master Data'!$A$2:$B$8,MATCH(WEEKDAY('CRD Hedge'!A308,3),'[4]Master Data'!$A$2:$A$8,0),2)</f>
        <v>T</v>
      </c>
      <c r="D308" s="124" t="n">
        <v>0</v>
      </c>
      <c r="E308" s="124" t="n">
        <v>0</v>
      </c>
      <c r="F308" s="124" t="n">
        <v>0</v>
      </c>
      <c r="G308" s="124" t="n">
        <v>0</v>
      </c>
      <c r="I308" s="124" t="n">
        <f aca="false">IF(MONTH($A308)=MONTH($A307),IF(G308=0,I307,G308),G308)</f>
        <v>0</v>
      </c>
      <c r="J308" s="124" t="n">
        <f aca="false">IF(MONTH($A308)=MONTH($A307),SUM(I308-I307),I308)</f>
        <v>0</v>
      </c>
      <c r="K308" s="124" t="n">
        <f aca="false">IF(WEEKDAY(A308,3)&gt;4,0,(IF(A308&lt;K$2,0,IF(A308&lt;=K$3,1,0))))</f>
        <v>0</v>
      </c>
      <c r="L308" s="124" t="n">
        <f aca="false">J308*K308</f>
        <v>0</v>
      </c>
      <c r="M308" s="124" t="n">
        <f aca="false">SUM(J$280:J308)</f>
        <v>0</v>
      </c>
      <c r="N308" s="124" t="n">
        <f aca="false">SUM(J$6:J308)</f>
        <v>-35909</v>
      </c>
      <c r="P308" s="148" t="n">
        <f aca="false">D308/P$3</f>
        <v>0</v>
      </c>
      <c r="Q308" s="124" t="n">
        <f aca="false">E308/P$3</f>
        <v>0</v>
      </c>
      <c r="R308" s="124" t="n">
        <f aca="false">F308/R$3</f>
        <v>0</v>
      </c>
      <c r="S308" s="126" t="n">
        <f aca="false">J308/$R$3</f>
        <v>0</v>
      </c>
      <c r="T308" s="126" t="n">
        <f aca="false">L308/$R$3</f>
        <v>0</v>
      </c>
      <c r="U308" s="126" t="n">
        <f aca="false">I308/$R$3</f>
        <v>0</v>
      </c>
      <c r="V308" s="126" t="n">
        <f aca="false">M308/$R$3</f>
        <v>0</v>
      </c>
      <c r="W308" s="126" t="n">
        <f aca="false">N308/$R$3</f>
        <v>-35.909</v>
      </c>
    </row>
    <row r="309" customFormat="false" ht="12.75" hidden="false" customHeight="false" outlineLevel="0" collapsed="false">
      <c r="A309" s="120" t="n">
        <f aca="false">A308+1</f>
        <v>37195</v>
      </c>
      <c r="B309" s="131" t="str">
        <f aca="false">INDEX('[4]Master Data'!$A$2:$B$8,MATCH(WEEKDAY('CRD Hedge'!A309,3),'[4]Master Data'!$A$2:$A$8,0),2)</f>
        <v>W</v>
      </c>
      <c r="D309" s="124" t="n">
        <v>0</v>
      </c>
      <c r="E309" s="124" t="n">
        <v>0</v>
      </c>
      <c r="F309" s="124" t="n">
        <v>0</v>
      </c>
      <c r="G309" s="124" t="n">
        <v>0</v>
      </c>
      <c r="I309" s="124" t="n">
        <f aca="false">IF(MONTH($A309)=MONTH($A308),IF(G309=0,I308,G309),G309)</f>
        <v>0</v>
      </c>
      <c r="J309" s="124" t="n">
        <f aca="false">IF(MONTH($A309)=MONTH($A308),SUM(I309-I308),I309)</f>
        <v>0</v>
      </c>
      <c r="K309" s="124" t="n">
        <f aca="false">IF(WEEKDAY(A309,3)&gt;4,0,(IF(A309&lt;K$2,0,IF(A309&lt;=K$3,1,0))))</f>
        <v>0</v>
      </c>
      <c r="L309" s="124" t="n">
        <f aca="false">J309*K309</f>
        <v>0</v>
      </c>
      <c r="M309" s="124" t="n">
        <f aca="false">SUM(J$280:J309)</f>
        <v>0</v>
      </c>
      <c r="N309" s="124" t="n">
        <f aca="false">SUM(J$6:J309)</f>
        <v>-35909</v>
      </c>
      <c r="P309" s="148" t="n">
        <f aca="false">D309/P$3</f>
        <v>0</v>
      </c>
      <c r="Q309" s="124" t="n">
        <f aca="false">E309/P$3</f>
        <v>0</v>
      </c>
      <c r="R309" s="124" t="n">
        <f aca="false">F309/R$3</f>
        <v>0</v>
      </c>
      <c r="S309" s="126" t="n">
        <f aca="false">J309/$R$3</f>
        <v>0</v>
      </c>
      <c r="T309" s="126" t="n">
        <f aca="false">L309/$R$3</f>
        <v>0</v>
      </c>
      <c r="U309" s="126" t="n">
        <f aca="false">I309/$R$3</f>
        <v>0</v>
      </c>
      <c r="V309" s="126" t="n">
        <f aca="false">M309/$R$3</f>
        <v>0</v>
      </c>
      <c r="W309" s="126" t="n">
        <f aca="false">N309/$R$3</f>
        <v>-35.909</v>
      </c>
    </row>
    <row r="310" customFormat="false" ht="12.75" hidden="false" customHeight="false" outlineLevel="0" collapsed="false">
      <c r="A310" s="120" t="n">
        <f aca="false">A309+1</f>
        <v>37196</v>
      </c>
      <c r="B310" s="131" t="str">
        <f aca="false">INDEX('[4]Master Data'!$A$2:$B$8,MATCH(WEEKDAY('CRD Hedge'!A310,3),'[4]Master Data'!$A$2:$A$8,0),2)</f>
        <v>Th</v>
      </c>
      <c r="D310" s="124" t="n">
        <v>0</v>
      </c>
      <c r="E310" s="124" t="n">
        <v>0</v>
      </c>
      <c r="F310" s="124" t="n">
        <v>0</v>
      </c>
      <c r="G310" s="124" t="n">
        <v>0</v>
      </c>
      <c r="I310" s="124" t="n">
        <f aca="false">IF(MONTH($A310)=MONTH($A309),IF(G310=0,I309,G310),G310)</f>
        <v>0</v>
      </c>
      <c r="J310" s="124" t="n">
        <f aca="false">IF(MONTH($A310)=MONTH($A309),SUM(I310-I309),I310)</f>
        <v>0</v>
      </c>
      <c r="K310" s="124" t="n">
        <f aca="false">IF(WEEKDAY(A310,3)&gt;4,0,(IF(A310&lt;K$2,0,IF(A310&lt;=K$3,1,0))))</f>
        <v>0</v>
      </c>
      <c r="L310" s="124" t="n">
        <f aca="false">J310*K310</f>
        <v>0</v>
      </c>
      <c r="M310" s="124" t="n">
        <f aca="false">SUM(J$280:J310)</f>
        <v>0</v>
      </c>
      <c r="N310" s="124" t="n">
        <f aca="false">SUM(J$6:J310)</f>
        <v>-35909</v>
      </c>
      <c r="P310" s="148" t="n">
        <f aca="false">D310/P$3</f>
        <v>0</v>
      </c>
      <c r="Q310" s="124" t="n">
        <f aca="false">E310/P$3</f>
        <v>0</v>
      </c>
      <c r="R310" s="124" t="n">
        <f aca="false">F310/R$3</f>
        <v>0</v>
      </c>
      <c r="S310" s="126" t="n">
        <f aca="false">J310/$R$3</f>
        <v>0</v>
      </c>
      <c r="T310" s="126" t="n">
        <f aca="false">L310/$R$3</f>
        <v>0</v>
      </c>
      <c r="U310" s="126" t="n">
        <f aca="false">I310/$R$3</f>
        <v>0</v>
      </c>
      <c r="V310" s="126" t="n">
        <f aca="false">M310/$R$3</f>
        <v>0</v>
      </c>
      <c r="W310" s="126" t="n">
        <f aca="false">N310/$R$3</f>
        <v>-35.909</v>
      </c>
    </row>
    <row r="311" customFormat="false" ht="12.75" hidden="false" customHeight="false" outlineLevel="0" collapsed="false">
      <c r="A311" s="120" t="n">
        <f aca="false">A310+1</f>
        <v>37197</v>
      </c>
      <c r="B311" s="131" t="str">
        <f aca="false">INDEX('[4]Master Data'!$A$2:$B$8,MATCH(WEEKDAY('CRD Hedge'!A311,3),'[4]Master Data'!$A$2:$A$8,0),2)</f>
        <v>F</v>
      </c>
      <c r="D311" s="124" t="n">
        <v>0</v>
      </c>
      <c r="E311" s="124" t="n">
        <v>0</v>
      </c>
      <c r="F311" s="124" t="n">
        <v>0</v>
      </c>
      <c r="G311" s="124" t="n">
        <v>0</v>
      </c>
      <c r="I311" s="124" t="n">
        <f aca="false">IF(MONTH($A311)=MONTH($A310),IF(G311=0,I310,G311),G311)</f>
        <v>0</v>
      </c>
      <c r="J311" s="124" t="n">
        <f aca="false">IF(MONTH($A311)=MONTH($A310),SUM(I311-I310),I311)</f>
        <v>0</v>
      </c>
      <c r="K311" s="124" t="n">
        <f aca="false">IF(WEEKDAY(A311,3)&gt;4,0,(IF(A311&lt;K$2,0,IF(A311&lt;=K$3,1,0))))</f>
        <v>0</v>
      </c>
      <c r="L311" s="124" t="n">
        <f aca="false">J311*K311</f>
        <v>0</v>
      </c>
      <c r="M311" s="124" t="n">
        <f aca="false">SUM(J$280:J311)</f>
        <v>0</v>
      </c>
      <c r="N311" s="124" t="n">
        <f aca="false">SUM(J$6:J311)</f>
        <v>-35909</v>
      </c>
      <c r="P311" s="148" t="n">
        <f aca="false">D311/P$3</f>
        <v>0</v>
      </c>
      <c r="Q311" s="124" t="n">
        <f aca="false">E311/P$3</f>
        <v>0</v>
      </c>
      <c r="R311" s="124" t="n">
        <f aca="false">F311/R$3</f>
        <v>0</v>
      </c>
      <c r="S311" s="126" t="n">
        <f aca="false">J311/$R$3</f>
        <v>0</v>
      </c>
      <c r="T311" s="126" t="n">
        <f aca="false">L311/$R$3</f>
        <v>0</v>
      </c>
      <c r="U311" s="126" t="n">
        <f aca="false">I311/$R$3</f>
        <v>0</v>
      </c>
      <c r="V311" s="126" t="n">
        <f aca="false">M311/$R$3</f>
        <v>0</v>
      </c>
      <c r="W311" s="126" t="n">
        <f aca="false">N311/$R$3</f>
        <v>-35.909</v>
      </c>
    </row>
    <row r="312" customFormat="false" ht="12.75" hidden="false" customHeight="false" outlineLevel="0" collapsed="false">
      <c r="A312" s="120" t="n">
        <f aca="false">A311+1</f>
        <v>37198</v>
      </c>
      <c r="B312" s="131" t="str">
        <f aca="false">INDEX('[4]Master Data'!$A$2:$B$8,MATCH(WEEKDAY('CRD Hedge'!A312,3),'[4]Master Data'!$A$2:$A$8,0),2)</f>
        <v>Sa</v>
      </c>
      <c r="D312" s="124" t="n">
        <v>0</v>
      </c>
      <c r="E312" s="124" t="n">
        <v>0</v>
      </c>
      <c r="F312" s="124" t="n">
        <v>0</v>
      </c>
      <c r="G312" s="124" t="n">
        <v>0</v>
      </c>
      <c r="I312" s="124" t="n">
        <f aca="false">IF(MONTH($A312)=MONTH($A311),IF(G312=0,I311,G312),G312)</f>
        <v>0</v>
      </c>
      <c r="J312" s="124" t="n">
        <f aca="false">IF(MONTH($A312)=MONTH($A311),SUM(I312-I311),I312)</f>
        <v>0</v>
      </c>
      <c r="K312" s="124" t="n">
        <f aca="false">IF(WEEKDAY(A312,3)&gt;4,0,(IF(A312&lt;K$2,0,IF(A312&lt;=K$3,1,0))))</f>
        <v>0</v>
      </c>
      <c r="L312" s="124" t="n">
        <f aca="false">J312*K312</f>
        <v>0</v>
      </c>
      <c r="M312" s="124" t="n">
        <f aca="false">SUM(J$280:J312)</f>
        <v>0</v>
      </c>
      <c r="N312" s="124" t="n">
        <f aca="false">SUM(J$6:J312)</f>
        <v>-35909</v>
      </c>
      <c r="P312" s="148" t="n">
        <f aca="false">D312/P$3</f>
        <v>0</v>
      </c>
      <c r="Q312" s="124" t="n">
        <f aca="false">E312/P$3</f>
        <v>0</v>
      </c>
      <c r="R312" s="124" t="n">
        <f aca="false">F312/R$3</f>
        <v>0</v>
      </c>
      <c r="S312" s="126" t="n">
        <f aca="false">J312/$R$3</f>
        <v>0</v>
      </c>
      <c r="T312" s="126" t="n">
        <f aca="false">L312/$R$3</f>
        <v>0</v>
      </c>
      <c r="U312" s="126" t="n">
        <f aca="false">I312/$R$3</f>
        <v>0</v>
      </c>
      <c r="V312" s="126" t="n">
        <f aca="false">M312/$R$3</f>
        <v>0</v>
      </c>
      <c r="W312" s="126" t="n">
        <f aca="false">N312/$R$3</f>
        <v>-35.909</v>
      </c>
    </row>
    <row r="313" customFormat="false" ht="12.75" hidden="false" customHeight="false" outlineLevel="0" collapsed="false">
      <c r="A313" s="120" t="n">
        <f aca="false">A312+1</f>
        <v>37199</v>
      </c>
      <c r="B313" s="131" t="str">
        <f aca="false">INDEX('[4]Master Data'!$A$2:$B$8,MATCH(WEEKDAY('CRD Hedge'!A313,3),'[4]Master Data'!$A$2:$A$8,0),2)</f>
        <v>Su</v>
      </c>
      <c r="D313" s="124" t="n">
        <v>0</v>
      </c>
      <c r="E313" s="124" t="n">
        <v>0</v>
      </c>
      <c r="F313" s="124" t="n">
        <v>0</v>
      </c>
      <c r="G313" s="124" t="n">
        <v>0</v>
      </c>
      <c r="I313" s="124" t="n">
        <f aca="false">IF(MONTH($A313)=MONTH($A312),IF(G313=0,I312,G313),G313)</f>
        <v>0</v>
      </c>
      <c r="J313" s="124" t="n">
        <f aca="false">IF(MONTH($A313)=MONTH($A312),SUM(I313-I312),I313)</f>
        <v>0</v>
      </c>
      <c r="K313" s="124" t="n">
        <f aca="false">IF(WEEKDAY(A313,3)&gt;4,0,(IF(A313&lt;K$2,0,IF(A313&lt;=K$3,1,0))))</f>
        <v>0</v>
      </c>
      <c r="L313" s="124" t="n">
        <f aca="false">J313*K313</f>
        <v>0</v>
      </c>
      <c r="M313" s="124" t="n">
        <f aca="false">SUM(J$280:J313)</f>
        <v>0</v>
      </c>
      <c r="N313" s="124" t="n">
        <f aca="false">SUM(J$6:J313)</f>
        <v>-35909</v>
      </c>
      <c r="P313" s="148" t="n">
        <f aca="false">D313/P$3</f>
        <v>0</v>
      </c>
      <c r="Q313" s="124" t="n">
        <f aca="false">E313/P$3</f>
        <v>0</v>
      </c>
      <c r="R313" s="124" t="n">
        <f aca="false">F313/R$3</f>
        <v>0</v>
      </c>
      <c r="S313" s="126" t="n">
        <f aca="false">J313/$R$3</f>
        <v>0</v>
      </c>
      <c r="T313" s="126" t="n">
        <f aca="false">L313/$R$3</f>
        <v>0</v>
      </c>
      <c r="U313" s="126" t="n">
        <f aca="false">I313/$R$3</f>
        <v>0</v>
      </c>
      <c r="V313" s="126" t="n">
        <f aca="false">M313/$R$3</f>
        <v>0</v>
      </c>
      <c r="W313" s="126" t="n">
        <f aca="false">N313/$R$3</f>
        <v>-35.909</v>
      </c>
    </row>
    <row r="314" customFormat="false" ht="12.75" hidden="false" customHeight="false" outlineLevel="0" collapsed="false">
      <c r="A314" s="120" t="n">
        <f aca="false">A313+1</f>
        <v>37200</v>
      </c>
      <c r="B314" s="131" t="str">
        <f aca="false">INDEX('[4]Master Data'!$A$2:$B$8,MATCH(WEEKDAY('CRD Hedge'!A314,3),'[4]Master Data'!$A$2:$A$8,0),2)</f>
        <v>M</v>
      </c>
      <c r="D314" s="124" t="n">
        <v>0</v>
      </c>
      <c r="E314" s="124" t="n">
        <v>0</v>
      </c>
      <c r="F314" s="124" t="n">
        <v>0</v>
      </c>
      <c r="G314" s="124" t="n">
        <v>0</v>
      </c>
      <c r="I314" s="124" t="n">
        <f aca="false">IF(MONTH($A314)=MONTH($A313),IF(G314=0,I313,G314),G314)</f>
        <v>0</v>
      </c>
      <c r="J314" s="124" t="n">
        <f aca="false">IF(MONTH($A314)=MONTH($A313),SUM(I314-I313),I314)</f>
        <v>0</v>
      </c>
      <c r="K314" s="124" t="n">
        <f aca="false">IF(WEEKDAY(A314,3)&gt;4,0,(IF(A314&lt;K$2,0,IF(A314&lt;=K$3,1,0))))</f>
        <v>0</v>
      </c>
      <c r="L314" s="124" t="n">
        <f aca="false">J314*K314</f>
        <v>0</v>
      </c>
      <c r="M314" s="124" t="n">
        <f aca="false">SUM(J$280:J314)</f>
        <v>0</v>
      </c>
      <c r="N314" s="124" t="n">
        <f aca="false">SUM(J$6:J314)</f>
        <v>-35909</v>
      </c>
      <c r="P314" s="148" t="n">
        <f aca="false">D314/P$3</f>
        <v>0</v>
      </c>
      <c r="Q314" s="124" t="n">
        <f aca="false">E314/P$3</f>
        <v>0</v>
      </c>
      <c r="R314" s="124" t="n">
        <f aca="false">F314/R$3</f>
        <v>0</v>
      </c>
      <c r="S314" s="126" t="n">
        <f aca="false">J314/$R$3</f>
        <v>0</v>
      </c>
      <c r="T314" s="126" t="n">
        <f aca="false">L314/$R$3</f>
        <v>0</v>
      </c>
      <c r="U314" s="126" t="n">
        <f aca="false">I314/$R$3</f>
        <v>0</v>
      </c>
      <c r="V314" s="126" t="n">
        <f aca="false">M314/$R$3</f>
        <v>0</v>
      </c>
      <c r="W314" s="126" t="n">
        <f aca="false">N314/$R$3</f>
        <v>-35.909</v>
      </c>
    </row>
    <row r="315" customFormat="false" ht="12.75" hidden="false" customHeight="false" outlineLevel="0" collapsed="false">
      <c r="A315" s="120" t="n">
        <f aca="false">A314+1</f>
        <v>37201</v>
      </c>
      <c r="B315" s="131" t="str">
        <f aca="false">INDEX('[4]Master Data'!$A$2:$B$8,MATCH(WEEKDAY('CRD Hedge'!A315,3),'[4]Master Data'!$A$2:$A$8,0),2)</f>
        <v>T</v>
      </c>
      <c r="D315" s="124" t="n">
        <v>0</v>
      </c>
      <c r="E315" s="124" t="n">
        <v>0</v>
      </c>
      <c r="F315" s="124" t="n">
        <v>0</v>
      </c>
      <c r="G315" s="124" t="n">
        <v>0</v>
      </c>
      <c r="I315" s="124" t="n">
        <f aca="false">IF(MONTH($A315)=MONTH($A314),IF(G315=0,I314,G315),G315)</f>
        <v>0</v>
      </c>
      <c r="J315" s="124" t="n">
        <f aca="false">IF(MONTH($A315)=MONTH($A314),SUM(I315-I314),I315)</f>
        <v>0</v>
      </c>
      <c r="K315" s="124" t="n">
        <f aca="false">IF(WEEKDAY(A315,3)&gt;4,0,(IF(A315&lt;K$2,0,IF(A315&lt;=K$3,1,0))))</f>
        <v>0</v>
      </c>
      <c r="L315" s="124" t="n">
        <f aca="false">J315*K315</f>
        <v>0</v>
      </c>
      <c r="M315" s="124" t="n">
        <f aca="false">SUM(J$280:J315)</f>
        <v>0</v>
      </c>
      <c r="N315" s="124" t="n">
        <f aca="false">SUM(J$6:J315)</f>
        <v>-35909</v>
      </c>
      <c r="P315" s="148" t="n">
        <f aca="false">D315/P$3</f>
        <v>0</v>
      </c>
      <c r="Q315" s="124" t="n">
        <f aca="false">E315/P$3</f>
        <v>0</v>
      </c>
      <c r="R315" s="124" t="n">
        <f aca="false">F315/R$3</f>
        <v>0</v>
      </c>
      <c r="S315" s="126" t="n">
        <f aca="false">J315/$R$3</f>
        <v>0</v>
      </c>
      <c r="T315" s="126" t="n">
        <f aca="false">L315/$R$3</f>
        <v>0</v>
      </c>
      <c r="U315" s="126" t="n">
        <f aca="false">I315/$R$3</f>
        <v>0</v>
      </c>
      <c r="V315" s="126" t="n">
        <f aca="false">M315/$R$3</f>
        <v>0</v>
      </c>
      <c r="W315" s="126" t="n">
        <f aca="false">N315/$R$3</f>
        <v>-35.909</v>
      </c>
    </row>
    <row r="316" customFormat="false" ht="12.75" hidden="false" customHeight="false" outlineLevel="0" collapsed="false">
      <c r="A316" s="120" t="n">
        <f aca="false">A315+1</f>
        <v>37202</v>
      </c>
      <c r="B316" s="131" t="str">
        <f aca="false">INDEX('[4]Master Data'!$A$2:$B$8,MATCH(WEEKDAY('CRD Hedge'!A316,3),'[4]Master Data'!$A$2:$A$8,0),2)</f>
        <v>W</v>
      </c>
      <c r="D316" s="124" t="n">
        <v>0</v>
      </c>
      <c r="E316" s="124" t="n">
        <v>0</v>
      </c>
      <c r="F316" s="124" t="n">
        <v>0</v>
      </c>
      <c r="G316" s="124" t="n">
        <v>0</v>
      </c>
      <c r="I316" s="124" t="n">
        <f aca="false">IF(MONTH($A316)=MONTH($A315),IF(G316=0,I315,G316),G316)</f>
        <v>0</v>
      </c>
      <c r="J316" s="124" t="n">
        <f aca="false">IF(MONTH($A316)=MONTH($A315),SUM(I316-I315),I316)</f>
        <v>0</v>
      </c>
      <c r="K316" s="124" t="n">
        <f aca="false">IF(WEEKDAY(A316,3)&gt;4,0,(IF(A316&lt;K$2,0,IF(A316&lt;=K$3,1,0))))</f>
        <v>0</v>
      </c>
      <c r="L316" s="124" t="n">
        <f aca="false">J316*K316</f>
        <v>0</v>
      </c>
      <c r="M316" s="124" t="n">
        <f aca="false">SUM(J$280:J316)</f>
        <v>0</v>
      </c>
      <c r="N316" s="124" t="n">
        <f aca="false">SUM(J$6:J316)</f>
        <v>-35909</v>
      </c>
      <c r="P316" s="148" t="n">
        <f aca="false">D316/P$3</f>
        <v>0</v>
      </c>
      <c r="Q316" s="124" t="n">
        <f aca="false">E316/P$3</f>
        <v>0</v>
      </c>
      <c r="R316" s="124" t="n">
        <f aca="false">F316/R$3</f>
        <v>0</v>
      </c>
      <c r="S316" s="126" t="n">
        <f aca="false">J316/$R$3</f>
        <v>0</v>
      </c>
      <c r="T316" s="126" t="n">
        <f aca="false">L316/$R$3</f>
        <v>0</v>
      </c>
      <c r="U316" s="126" t="n">
        <f aca="false">I316/$R$3</f>
        <v>0</v>
      </c>
      <c r="V316" s="126" t="n">
        <f aca="false">M316/$R$3</f>
        <v>0</v>
      </c>
      <c r="W316" s="126" t="n">
        <f aca="false">N316/$R$3</f>
        <v>-35.909</v>
      </c>
    </row>
    <row r="317" customFormat="false" ht="12.75" hidden="false" customHeight="false" outlineLevel="0" collapsed="false">
      <c r="A317" s="120" t="n">
        <f aca="false">A316+1</f>
        <v>37203</v>
      </c>
      <c r="B317" s="131" t="str">
        <f aca="false">INDEX('[4]Master Data'!$A$2:$B$8,MATCH(WEEKDAY('CRD Hedge'!A317,3),'[4]Master Data'!$A$2:$A$8,0),2)</f>
        <v>Th</v>
      </c>
      <c r="D317" s="124" t="n">
        <v>0</v>
      </c>
      <c r="E317" s="124" t="n">
        <v>0</v>
      </c>
      <c r="F317" s="124" t="n">
        <v>0</v>
      </c>
      <c r="G317" s="124" t="n">
        <v>0</v>
      </c>
      <c r="I317" s="124" t="n">
        <f aca="false">IF(MONTH($A317)=MONTH($A316),IF(G317=0,I316,G317),G317)</f>
        <v>0</v>
      </c>
      <c r="J317" s="124" t="n">
        <f aca="false">IF(MONTH($A317)=MONTH($A316),SUM(I317-I316),I317)</f>
        <v>0</v>
      </c>
      <c r="K317" s="124" t="n">
        <f aca="false">IF(WEEKDAY(A317,3)&gt;4,0,(IF(A317&lt;K$2,0,IF(A317&lt;=K$3,1,0))))</f>
        <v>0</v>
      </c>
      <c r="L317" s="124" t="n">
        <f aca="false">J317*K317</f>
        <v>0</v>
      </c>
      <c r="M317" s="124" t="n">
        <f aca="false">SUM(J$280:J317)</f>
        <v>0</v>
      </c>
      <c r="N317" s="124" t="n">
        <f aca="false">SUM(J$6:J317)</f>
        <v>-35909</v>
      </c>
      <c r="P317" s="148" t="n">
        <f aca="false">D317/P$3</f>
        <v>0</v>
      </c>
      <c r="Q317" s="124" t="n">
        <f aca="false">E317/P$3</f>
        <v>0</v>
      </c>
      <c r="R317" s="124" t="n">
        <f aca="false">F317/R$3</f>
        <v>0</v>
      </c>
      <c r="S317" s="126" t="n">
        <f aca="false">J317/$R$3</f>
        <v>0</v>
      </c>
      <c r="T317" s="126" t="n">
        <f aca="false">L317/$R$3</f>
        <v>0</v>
      </c>
      <c r="U317" s="126" t="n">
        <f aca="false">I317/$R$3</f>
        <v>0</v>
      </c>
      <c r="V317" s="126" t="n">
        <f aca="false">M317/$R$3</f>
        <v>0</v>
      </c>
      <c r="W317" s="126" t="n">
        <f aca="false">N317/$R$3</f>
        <v>-35.909</v>
      </c>
    </row>
    <row r="318" customFormat="false" ht="12.75" hidden="false" customHeight="false" outlineLevel="0" collapsed="false">
      <c r="A318" s="120" t="n">
        <f aca="false">A317+1</f>
        <v>37204</v>
      </c>
      <c r="B318" s="131" t="str">
        <f aca="false">INDEX('[4]Master Data'!$A$2:$B$8,MATCH(WEEKDAY('CRD Hedge'!A318,3),'[4]Master Data'!$A$2:$A$8,0),2)</f>
        <v>F</v>
      </c>
      <c r="D318" s="124" t="n">
        <v>0</v>
      </c>
      <c r="E318" s="124" t="n">
        <v>0</v>
      </c>
      <c r="F318" s="124" t="n">
        <v>0</v>
      </c>
      <c r="G318" s="124" t="n">
        <v>0</v>
      </c>
      <c r="I318" s="124" t="n">
        <f aca="false">IF(MONTH($A318)=MONTH($A317),IF(G318=0,I317,G318),G318)</f>
        <v>0</v>
      </c>
      <c r="J318" s="124" t="n">
        <f aca="false">IF(MONTH($A318)=MONTH($A317),SUM(I318-I317),I318)</f>
        <v>0</v>
      </c>
      <c r="K318" s="124" t="n">
        <f aca="false">IF(WEEKDAY(A318,3)&gt;4,0,(IF(A318&lt;K$2,0,IF(A318&lt;=K$3,1,0))))</f>
        <v>0</v>
      </c>
      <c r="L318" s="124" t="n">
        <f aca="false">J318*K318</f>
        <v>0</v>
      </c>
      <c r="M318" s="124" t="n">
        <f aca="false">SUM(J$280:J318)</f>
        <v>0</v>
      </c>
      <c r="N318" s="124" t="n">
        <f aca="false">SUM(J$6:J318)</f>
        <v>-35909</v>
      </c>
      <c r="P318" s="148" t="n">
        <f aca="false">D318/P$3</f>
        <v>0</v>
      </c>
      <c r="Q318" s="124" t="n">
        <f aca="false">E318/P$3</f>
        <v>0</v>
      </c>
      <c r="R318" s="124" t="n">
        <f aca="false">F318/R$3</f>
        <v>0</v>
      </c>
      <c r="S318" s="126" t="n">
        <f aca="false">J318/$R$3</f>
        <v>0</v>
      </c>
      <c r="T318" s="126" t="n">
        <f aca="false">L318/$R$3</f>
        <v>0</v>
      </c>
      <c r="U318" s="126" t="n">
        <f aca="false">I318/$R$3</f>
        <v>0</v>
      </c>
      <c r="V318" s="126" t="n">
        <f aca="false">M318/$R$3</f>
        <v>0</v>
      </c>
      <c r="W318" s="126" t="n">
        <f aca="false">N318/$R$3</f>
        <v>-35.909</v>
      </c>
    </row>
    <row r="319" customFormat="false" ht="12.75" hidden="false" customHeight="false" outlineLevel="0" collapsed="false">
      <c r="A319" s="120" t="n">
        <f aca="false">A318+1</f>
        <v>37205</v>
      </c>
      <c r="B319" s="131" t="str">
        <f aca="false">INDEX('[4]Master Data'!$A$2:$B$8,MATCH(WEEKDAY('CRD Hedge'!A319,3),'[4]Master Data'!$A$2:$A$8,0),2)</f>
        <v>Sa</v>
      </c>
      <c r="D319" s="124" t="n">
        <v>0</v>
      </c>
      <c r="E319" s="124" t="n">
        <v>0</v>
      </c>
      <c r="F319" s="124" t="n">
        <v>0</v>
      </c>
      <c r="G319" s="124" t="n">
        <v>0</v>
      </c>
      <c r="I319" s="124" t="n">
        <f aca="false">IF(MONTH($A319)=MONTH($A318),IF(G319=0,I318,G319),G319)</f>
        <v>0</v>
      </c>
      <c r="J319" s="124" t="n">
        <f aca="false">IF(MONTH($A319)=MONTH($A318),SUM(I319-I318),I319)</f>
        <v>0</v>
      </c>
      <c r="K319" s="124" t="n">
        <f aca="false">IF(WEEKDAY(A319,3)&gt;4,0,(IF(A319&lt;K$2,0,IF(A319&lt;=K$3,1,0))))</f>
        <v>0</v>
      </c>
      <c r="L319" s="124" t="n">
        <f aca="false">J319*K319</f>
        <v>0</v>
      </c>
      <c r="M319" s="124" t="n">
        <f aca="false">SUM(J$280:J319)</f>
        <v>0</v>
      </c>
      <c r="N319" s="124" t="n">
        <f aca="false">SUM(J$6:J319)</f>
        <v>-35909</v>
      </c>
      <c r="P319" s="148" t="n">
        <f aca="false">D319/P$3</f>
        <v>0</v>
      </c>
      <c r="Q319" s="124" t="n">
        <f aca="false">E319/P$3</f>
        <v>0</v>
      </c>
      <c r="R319" s="124" t="n">
        <f aca="false">F319/R$3</f>
        <v>0</v>
      </c>
      <c r="S319" s="126" t="n">
        <f aca="false">J319/$R$3</f>
        <v>0</v>
      </c>
      <c r="T319" s="126" t="n">
        <f aca="false">L319/$R$3</f>
        <v>0</v>
      </c>
      <c r="U319" s="126" t="n">
        <f aca="false">I319/$R$3</f>
        <v>0</v>
      </c>
      <c r="V319" s="126" t="n">
        <f aca="false">M319/$R$3</f>
        <v>0</v>
      </c>
      <c r="W319" s="126" t="n">
        <f aca="false">N319/$R$3</f>
        <v>-35.909</v>
      </c>
    </row>
    <row r="320" customFormat="false" ht="12.75" hidden="false" customHeight="false" outlineLevel="0" collapsed="false">
      <c r="A320" s="120" t="n">
        <f aca="false">A319+1</f>
        <v>37206</v>
      </c>
      <c r="B320" s="131" t="str">
        <f aca="false">INDEX('[4]Master Data'!$A$2:$B$8,MATCH(WEEKDAY('CRD Hedge'!A320,3),'[4]Master Data'!$A$2:$A$8,0),2)</f>
        <v>Su</v>
      </c>
      <c r="D320" s="124" t="n">
        <v>0</v>
      </c>
      <c r="E320" s="124" t="n">
        <v>0</v>
      </c>
      <c r="F320" s="124" t="n">
        <v>0</v>
      </c>
      <c r="G320" s="124" t="n">
        <v>0</v>
      </c>
      <c r="I320" s="124" t="n">
        <f aca="false">IF(MONTH($A320)=MONTH($A319),IF(G320=0,I319,G320),G320)</f>
        <v>0</v>
      </c>
      <c r="J320" s="124" t="n">
        <f aca="false">IF(MONTH($A320)=MONTH($A319),SUM(I320-I319),I320)</f>
        <v>0</v>
      </c>
      <c r="K320" s="124" t="n">
        <f aca="false">IF(WEEKDAY(A320,3)&gt;4,0,(IF(A320&lt;K$2,0,IF(A320&lt;=K$3,1,0))))</f>
        <v>0</v>
      </c>
      <c r="L320" s="124" t="n">
        <f aca="false">J320*K320</f>
        <v>0</v>
      </c>
      <c r="M320" s="124" t="n">
        <f aca="false">SUM(J$280:J320)</f>
        <v>0</v>
      </c>
      <c r="N320" s="124" t="n">
        <f aca="false">SUM(J$6:J320)</f>
        <v>-35909</v>
      </c>
      <c r="P320" s="148" t="n">
        <f aca="false">D320/P$3</f>
        <v>0</v>
      </c>
      <c r="Q320" s="124" t="n">
        <f aca="false">E320/P$3</f>
        <v>0</v>
      </c>
      <c r="R320" s="124" t="n">
        <f aca="false">F320/R$3</f>
        <v>0</v>
      </c>
      <c r="S320" s="126" t="n">
        <f aca="false">J320/$R$3</f>
        <v>0</v>
      </c>
      <c r="T320" s="126" t="n">
        <f aca="false">L320/$R$3</f>
        <v>0</v>
      </c>
      <c r="U320" s="126" t="n">
        <f aca="false">I320/$R$3</f>
        <v>0</v>
      </c>
      <c r="V320" s="126" t="n">
        <f aca="false">M320/$R$3</f>
        <v>0</v>
      </c>
      <c r="W320" s="126" t="n">
        <f aca="false">N320/$R$3</f>
        <v>-35.909</v>
      </c>
    </row>
    <row r="321" customFormat="false" ht="12.75" hidden="false" customHeight="false" outlineLevel="0" collapsed="false">
      <c r="A321" s="120" t="n">
        <f aca="false">A320+1</f>
        <v>37207</v>
      </c>
      <c r="B321" s="131" t="str">
        <f aca="false">INDEX('[4]Master Data'!$A$2:$B$8,MATCH(WEEKDAY('CRD Hedge'!A321,3),'[4]Master Data'!$A$2:$A$8,0),2)</f>
        <v>M</v>
      </c>
      <c r="D321" s="124" t="n">
        <v>0</v>
      </c>
      <c r="E321" s="124" t="n">
        <v>0</v>
      </c>
      <c r="F321" s="124" t="n">
        <v>0</v>
      </c>
      <c r="G321" s="124" t="n">
        <v>0</v>
      </c>
      <c r="I321" s="124" t="n">
        <f aca="false">IF(MONTH($A321)=MONTH($A320),IF(G321=0,I320,G321),G321)</f>
        <v>0</v>
      </c>
      <c r="J321" s="124" t="n">
        <f aca="false">IF(MONTH($A321)=MONTH($A320),SUM(I321-I320),I321)</f>
        <v>0</v>
      </c>
      <c r="K321" s="124" t="n">
        <f aca="false">IF(WEEKDAY(A321,3)&gt;4,0,(IF(A321&lt;K$2,0,IF(A321&lt;=K$3,1,0))))</f>
        <v>0</v>
      </c>
      <c r="L321" s="124" t="n">
        <f aca="false">J321*K321</f>
        <v>0</v>
      </c>
      <c r="M321" s="124" t="n">
        <f aca="false">SUM(J$280:J321)</f>
        <v>0</v>
      </c>
      <c r="N321" s="124" t="n">
        <f aca="false">SUM(J$6:J321)</f>
        <v>-35909</v>
      </c>
      <c r="P321" s="148" t="n">
        <f aca="false">D321/P$3</f>
        <v>0</v>
      </c>
      <c r="Q321" s="124" t="n">
        <f aca="false">E321/P$3</f>
        <v>0</v>
      </c>
      <c r="R321" s="124" t="n">
        <f aca="false">F321/R$3</f>
        <v>0</v>
      </c>
      <c r="S321" s="126" t="n">
        <f aca="false">J321/$R$3</f>
        <v>0</v>
      </c>
      <c r="T321" s="126" t="n">
        <f aca="false">L321/$R$3</f>
        <v>0</v>
      </c>
      <c r="U321" s="126" t="n">
        <f aca="false">I321/$R$3</f>
        <v>0</v>
      </c>
      <c r="V321" s="126" t="n">
        <f aca="false">M321/$R$3</f>
        <v>0</v>
      </c>
      <c r="W321" s="126" t="n">
        <f aca="false">N321/$R$3</f>
        <v>-35.909</v>
      </c>
    </row>
    <row r="322" customFormat="false" ht="12.75" hidden="false" customHeight="false" outlineLevel="0" collapsed="false">
      <c r="A322" s="120" t="n">
        <f aca="false">A321+1</f>
        <v>37208</v>
      </c>
      <c r="B322" s="131" t="str">
        <f aca="false">INDEX('[4]Master Data'!$A$2:$B$8,MATCH(WEEKDAY('CRD Hedge'!A322,3),'[4]Master Data'!$A$2:$A$8,0),2)</f>
        <v>T</v>
      </c>
      <c r="D322" s="124" t="n">
        <v>0</v>
      </c>
      <c r="E322" s="124" t="n">
        <v>0</v>
      </c>
      <c r="F322" s="124" t="n">
        <v>0</v>
      </c>
      <c r="G322" s="124" t="n">
        <v>0</v>
      </c>
      <c r="I322" s="124" t="n">
        <f aca="false">IF(MONTH($A322)=MONTH($A321),IF(G322=0,I321,G322),G322)</f>
        <v>0</v>
      </c>
      <c r="J322" s="124" t="n">
        <f aca="false">IF(MONTH($A322)=MONTH($A321),SUM(I322-I321),I322)</f>
        <v>0</v>
      </c>
      <c r="K322" s="124" t="n">
        <f aca="false">IF(WEEKDAY(A322,3)&gt;4,0,(IF(A322&lt;K$2,0,IF(A322&lt;=K$3,1,0))))</f>
        <v>0</v>
      </c>
      <c r="L322" s="124" t="n">
        <f aca="false">J322*K322</f>
        <v>0</v>
      </c>
      <c r="M322" s="124" t="n">
        <f aca="false">SUM(J$280:J322)</f>
        <v>0</v>
      </c>
      <c r="N322" s="124" t="n">
        <f aca="false">SUM(J$6:J322)</f>
        <v>-35909</v>
      </c>
      <c r="P322" s="148" t="n">
        <f aca="false">D322/P$3</f>
        <v>0</v>
      </c>
      <c r="Q322" s="124" t="n">
        <f aca="false">E322/P$3</f>
        <v>0</v>
      </c>
      <c r="R322" s="124" t="n">
        <f aca="false">F322/R$3</f>
        <v>0</v>
      </c>
      <c r="S322" s="126" t="n">
        <f aca="false">J322/$R$3</f>
        <v>0</v>
      </c>
      <c r="T322" s="126" t="n">
        <f aca="false">L322/$R$3</f>
        <v>0</v>
      </c>
      <c r="U322" s="126" t="n">
        <f aca="false">I322/$R$3</f>
        <v>0</v>
      </c>
      <c r="V322" s="126" t="n">
        <f aca="false">M322/$R$3</f>
        <v>0</v>
      </c>
      <c r="W322" s="126" t="n">
        <f aca="false">N322/$R$3</f>
        <v>-35.909</v>
      </c>
    </row>
    <row r="323" customFormat="false" ht="12.75" hidden="false" customHeight="false" outlineLevel="0" collapsed="false">
      <c r="A323" s="120" t="n">
        <f aca="false">A322+1</f>
        <v>37209</v>
      </c>
      <c r="B323" s="131" t="str">
        <f aca="false">INDEX('[4]Master Data'!$A$2:$B$8,MATCH(WEEKDAY('CRD Hedge'!A323,3),'[4]Master Data'!$A$2:$A$8,0),2)</f>
        <v>W</v>
      </c>
      <c r="D323" s="124" t="n">
        <v>0</v>
      </c>
      <c r="E323" s="124" t="n">
        <v>0</v>
      </c>
      <c r="F323" s="124" t="n">
        <v>0</v>
      </c>
      <c r="G323" s="124" t="n">
        <v>0</v>
      </c>
      <c r="I323" s="124" t="n">
        <f aca="false">IF(MONTH($A323)=MONTH($A322),IF(G323=0,I322,G323),G323)</f>
        <v>0</v>
      </c>
      <c r="J323" s="124" t="n">
        <f aca="false">IF(MONTH($A323)=MONTH($A322),SUM(I323-I322),I323)</f>
        <v>0</v>
      </c>
      <c r="K323" s="124" t="n">
        <f aca="false">IF(WEEKDAY(A323,3)&gt;4,0,(IF(A323&lt;K$2,0,IF(A323&lt;=K$3,1,0))))</f>
        <v>0</v>
      </c>
      <c r="L323" s="124" t="n">
        <f aca="false">J323*K323</f>
        <v>0</v>
      </c>
      <c r="M323" s="124" t="n">
        <f aca="false">SUM(J$280:J323)</f>
        <v>0</v>
      </c>
      <c r="N323" s="124" t="n">
        <f aca="false">SUM(J$6:J323)</f>
        <v>-35909</v>
      </c>
      <c r="P323" s="148" t="n">
        <f aca="false">D323/P$3</f>
        <v>0</v>
      </c>
      <c r="Q323" s="124" t="n">
        <f aca="false">E323/P$3</f>
        <v>0</v>
      </c>
      <c r="R323" s="124" t="n">
        <f aca="false">F323/R$3</f>
        <v>0</v>
      </c>
      <c r="S323" s="126" t="n">
        <f aca="false">J323/$R$3</f>
        <v>0</v>
      </c>
      <c r="T323" s="126" t="n">
        <f aca="false">L323/$R$3</f>
        <v>0</v>
      </c>
      <c r="U323" s="126" t="n">
        <f aca="false">I323/$R$3</f>
        <v>0</v>
      </c>
      <c r="V323" s="126" t="n">
        <f aca="false">M323/$R$3</f>
        <v>0</v>
      </c>
      <c r="W323" s="126" t="n">
        <f aca="false">N323/$R$3</f>
        <v>-35.909</v>
      </c>
    </row>
    <row r="324" customFormat="false" ht="12.75" hidden="false" customHeight="false" outlineLevel="0" collapsed="false">
      <c r="A324" s="120" t="n">
        <f aca="false">A323+1</f>
        <v>37210</v>
      </c>
      <c r="B324" s="131" t="str">
        <f aca="false">INDEX('[4]Master Data'!$A$2:$B$8,MATCH(WEEKDAY('CRD Hedge'!A324,3),'[4]Master Data'!$A$2:$A$8,0),2)</f>
        <v>Th</v>
      </c>
      <c r="D324" s="124" t="n">
        <v>0</v>
      </c>
      <c r="E324" s="124" t="n">
        <v>0</v>
      </c>
      <c r="F324" s="124" t="n">
        <v>0</v>
      </c>
      <c r="G324" s="124" t="n">
        <v>0</v>
      </c>
      <c r="I324" s="124" t="n">
        <f aca="false">IF(MONTH($A324)=MONTH($A323),IF(G324=0,I323,G324),G324)</f>
        <v>0</v>
      </c>
      <c r="J324" s="124" t="n">
        <f aca="false">IF(MONTH($A324)=MONTH($A323),SUM(I324-I323),I324)</f>
        <v>0</v>
      </c>
      <c r="K324" s="124" t="n">
        <f aca="false">IF(WEEKDAY(A324,3)&gt;4,0,(IF(A324&lt;K$2,0,IF(A324&lt;=K$3,1,0))))</f>
        <v>0</v>
      </c>
      <c r="L324" s="124" t="n">
        <f aca="false">J324*K324</f>
        <v>0</v>
      </c>
      <c r="M324" s="124" t="n">
        <f aca="false">SUM(J$280:J324)</f>
        <v>0</v>
      </c>
      <c r="N324" s="124" t="n">
        <f aca="false">SUM(J$6:J324)</f>
        <v>-35909</v>
      </c>
      <c r="P324" s="148" t="n">
        <f aca="false">D324/P$3</f>
        <v>0</v>
      </c>
      <c r="Q324" s="124" t="n">
        <f aca="false">E324/P$3</f>
        <v>0</v>
      </c>
      <c r="R324" s="124" t="n">
        <f aca="false">F324/R$3</f>
        <v>0</v>
      </c>
      <c r="S324" s="126" t="n">
        <f aca="false">J324/$R$3</f>
        <v>0</v>
      </c>
      <c r="T324" s="126" t="n">
        <f aca="false">L324/$R$3</f>
        <v>0</v>
      </c>
      <c r="U324" s="126" t="n">
        <f aca="false">I324/$R$3</f>
        <v>0</v>
      </c>
      <c r="V324" s="126" t="n">
        <f aca="false">M324/$R$3</f>
        <v>0</v>
      </c>
      <c r="W324" s="126" t="n">
        <f aca="false">N324/$R$3</f>
        <v>-35.909</v>
      </c>
    </row>
    <row r="325" customFormat="false" ht="12.75" hidden="false" customHeight="false" outlineLevel="0" collapsed="false">
      <c r="A325" s="120" t="n">
        <f aca="false">A324+1</f>
        <v>37211</v>
      </c>
      <c r="B325" s="131" t="str">
        <f aca="false">INDEX('[4]Master Data'!$A$2:$B$8,MATCH(WEEKDAY('CRD Hedge'!A325,3),'[4]Master Data'!$A$2:$A$8,0),2)</f>
        <v>F</v>
      </c>
      <c r="D325" s="124" t="n">
        <v>0</v>
      </c>
      <c r="E325" s="124" t="n">
        <v>0</v>
      </c>
      <c r="F325" s="124" t="n">
        <v>0</v>
      </c>
      <c r="G325" s="124" t="n">
        <v>0</v>
      </c>
      <c r="I325" s="124" t="n">
        <f aca="false">IF(MONTH($A325)=MONTH($A324),IF(G325=0,I324,G325),G325)</f>
        <v>0</v>
      </c>
      <c r="J325" s="124" t="n">
        <f aca="false">IF(MONTH($A325)=MONTH($A324),SUM(I325-I324),I325)</f>
        <v>0</v>
      </c>
      <c r="K325" s="124" t="n">
        <f aca="false">IF(WEEKDAY(A325,3)&gt;4,0,(IF(A325&lt;K$2,0,IF(A325&lt;=K$3,1,0))))</f>
        <v>0</v>
      </c>
      <c r="L325" s="124" t="n">
        <f aca="false">J325*K325</f>
        <v>0</v>
      </c>
      <c r="M325" s="124" t="n">
        <f aca="false">SUM(J$280:J325)</f>
        <v>0</v>
      </c>
      <c r="N325" s="124" t="n">
        <f aca="false">SUM(J$6:J325)</f>
        <v>-35909</v>
      </c>
      <c r="P325" s="148" t="n">
        <f aca="false">D325/P$3</f>
        <v>0</v>
      </c>
      <c r="Q325" s="124" t="n">
        <f aca="false">E325/P$3</f>
        <v>0</v>
      </c>
      <c r="R325" s="124" t="n">
        <f aca="false">F325/R$3</f>
        <v>0</v>
      </c>
      <c r="S325" s="126" t="n">
        <f aca="false">J325/$R$3</f>
        <v>0</v>
      </c>
      <c r="T325" s="126" t="n">
        <f aca="false">L325/$R$3</f>
        <v>0</v>
      </c>
      <c r="U325" s="126" t="n">
        <f aca="false">I325/$R$3</f>
        <v>0</v>
      </c>
      <c r="V325" s="126" t="n">
        <f aca="false">M325/$R$3</f>
        <v>0</v>
      </c>
      <c r="W325" s="126" t="n">
        <f aca="false">N325/$R$3</f>
        <v>-35.909</v>
      </c>
    </row>
    <row r="326" customFormat="false" ht="12.75" hidden="false" customHeight="false" outlineLevel="0" collapsed="false">
      <c r="A326" s="120" t="n">
        <f aca="false">A325+1</f>
        <v>37212</v>
      </c>
      <c r="B326" s="131" t="str">
        <f aca="false">INDEX('[4]Master Data'!$A$2:$B$8,MATCH(WEEKDAY('CRD Hedge'!A326,3),'[4]Master Data'!$A$2:$A$8,0),2)</f>
        <v>Sa</v>
      </c>
      <c r="D326" s="124" t="n">
        <v>0</v>
      </c>
      <c r="E326" s="124" t="n">
        <v>0</v>
      </c>
      <c r="F326" s="124" t="n">
        <v>0</v>
      </c>
      <c r="G326" s="124" t="n">
        <v>0</v>
      </c>
      <c r="I326" s="124" t="n">
        <f aca="false">IF(MONTH($A326)=MONTH($A325),IF(G326=0,I325,G326),G326)</f>
        <v>0</v>
      </c>
      <c r="J326" s="124" t="n">
        <f aca="false">IF(MONTH($A326)=MONTH($A325),SUM(I326-I325),I326)</f>
        <v>0</v>
      </c>
      <c r="K326" s="124" t="n">
        <f aca="false">IF(WEEKDAY(A326,3)&gt;4,0,(IF(A326&lt;K$2,0,IF(A326&lt;=K$3,1,0))))</f>
        <v>0</v>
      </c>
      <c r="L326" s="124" t="n">
        <f aca="false">J326*K326</f>
        <v>0</v>
      </c>
      <c r="M326" s="124" t="n">
        <f aca="false">SUM(J$280:J326)</f>
        <v>0</v>
      </c>
      <c r="N326" s="124" t="n">
        <f aca="false">SUM(J$6:J326)</f>
        <v>-35909</v>
      </c>
      <c r="P326" s="148" t="n">
        <f aca="false">D326/P$3</f>
        <v>0</v>
      </c>
      <c r="Q326" s="124" t="n">
        <f aca="false">E326/P$3</f>
        <v>0</v>
      </c>
      <c r="R326" s="124" t="n">
        <f aca="false">F326/R$3</f>
        <v>0</v>
      </c>
      <c r="S326" s="126" t="n">
        <f aca="false">J326/$R$3</f>
        <v>0</v>
      </c>
      <c r="T326" s="126" t="n">
        <f aca="false">L326/$R$3</f>
        <v>0</v>
      </c>
      <c r="U326" s="126" t="n">
        <f aca="false">I326/$R$3</f>
        <v>0</v>
      </c>
      <c r="V326" s="126" t="n">
        <f aca="false">M326/$R$3</f>
        <v>0</v>
      </c>
      <c r="W326" s="126" t="n">
        <f aca="false">N326/$R$3</f>
        <v>-35.909</v>
      </c>
    </row>
    <row r="327" customFormat="false" ht="12.75" hidden="false" customHeight="false" outlineLevel="0" collapsed="false">
      <c r="A327" s="120" t="n">
        <f aca="false">A326+1</f>
        <v>37213</v>
      </c>
      <c r="B327" s="131" t="str">
        <f aca="false">INDEX('[4]Master Data'!$A$2:$B$8,MATCH(WEEKDAY('CRD Hedge'!A327,3),'[4]Master Data'!$A$2:$A$8,0),2)</f>
        <v>Su</v>
      </c>
      <c r="D327" s="124" t="n">
        <v>0</v>
      </c>
      <c r="E327" s="124" t="n">
        <v>0</v>
      </c>
      <c r="F327" s="124" t="n">
        <v>0</v>
      </c>
      <c r="G327" s="124" t="n">
        <v>0</v>
      </c>
      <c r="I327" s="124" t="n">
        <f aca="false">IF(MONTH($A327)=MONTH($A326),IF(G327=0,I326,G327),G327)</f>
        <v>0</v>
      </c>
      <c r="J327" s="124" t="n">
        <f aca="false">IF(MONTH($A327)=MONTH($A326),SUM(I327-I326),I327)</f>
        <v>0</v>
      </c>
      <c r="K327" s="124" t="n">
        <f aca="false">IF(WEEKDAY(A327,3)&gt;4,0,(IF(A327&lt;K$2,0,IF(A327&lt;=K$3,1,0))))</f>
        <v>0</v>
      </c>
      <c r="L327" s="124" t="n">
        <f aca="false">J327*K327</f>
        <v>0</v>
      </c>
      <c r="M327" s="124" t="n">
        <f aca="false">SUM(J$280:J327)</f>
        <v>0</v>
      </c>
      <c r="N327" s="124" t="n">
        <f aca="false">SUM(J$6:J327)</f>
        <v>-35909</v>
      </c>
      <c r="P327" s="148" t="n">
        <f aca="false">D327/P$3</f>
        <v>0</v>
      </c>
      <c r="Q327" s="124" t="n">
        <f aca="false">E327/P$3</f>
        <v>0</v>
      </c>
      <c r="R327" s="124" t="n">
        <f aca="false">F327/R$3</f>
        <v>0</v>
      </c>
      <c r="S327" s="126" t="n">
        <f aca="false">J327/$R$3</f>
        <v>0</v>
      </c>
      <c r="T327" s="126" t="n">
        <f aca="false">L327/$R$3</f>
        <v>0</v>
      </c>
      <c r="U327" s="126" t="n">
        <f aca="false">I327/$R$3</f>
        <v>0</v>
      </c>
      <c r="V327" s="126" t="n">
        <f aca="false">M327/$R$3</f>
        <v>0</v>
      </c>
      <c r="W327" s="126" t="n">
        <f aca="false">N327/$R$3</f>
        <v>-35.909</v>
      </c>
    </row>
    <row r="328" customFormat="false" ht="12.75" hidden="false" customHeight="false" outlineLevel="0" collapsed="false">
      <c r="A328" s="120" t="n">
        <f aca="false">A327+1</f>
        <v>37214</v>
      </c>
      <c r="B328" s="131" t="str">
        <f aca="false">INDEX('[4]Master Data'!$A$2:$B$8,MATCH(WEEKDAY('CRD Hedge'!A328,3),'[4]Master Data'!$A$2:$A$8,0),2)</f>
        <v>M</v>
      </c>
      <c r="D328" s="124" t="n">
        <v>0</v>
      </c>
      <c r="E328" s="124" t="n">
        <v>0</v>
      </c>
      <c r="F328" s="124" t="n">
        <v>0</v>
      </c>
      <c r="G328" s="124" t="n">
        <v>0</v>
      </c>
      <c r="I328" s="124" t="n">
        <f aca="false">IF(MONTH($A328)=MONTH($A327),IF(G328=0,I327,G328),G328)</f>
        <v>0</v>
      </c>
      <c r="J328" s="124" t="n">
        <f aca="false">IF(MONTH($A328)=MONTH($A327),SUM(I328-I327),I328)</f>
        <v>0</v>
      </c>
      <c r="K328" s="124" t="n">
        <f aca="false">IF(WEEKDAY(A328,3)&gt;4,0,(IF(A328&lt;K$2,0,IF(A328&lt;=K$3,1,0))))</f>
        <v>0</v>
      </c>
      <c r="L328" s="124" t="n">
        <f aca="false">J328*K328</f>
        <v>0</v>
      </c>
      <c r="M328" s="124" t="n">
        <f aca="false">SUM(J$280:J328)</f>
        <v>0</v>
      </c>
      <c r="N328" s="124" t="n">
        <f aca="false">SUM(J$6:J328)</f>
        <v>-35909</v>
      </c>
      <c r="P328" s="148" t="n">
        <f aca="false">D328/P$3</f>
        <v>0</v>
      </c>
      <c r="Q328" s="124" t="n">
        <f aca="false">E328/P$3</f>
        <v>0</v>
      </c>
      <c r="R328" s="124" t="n">
        <f aca="false">F328/R$3</f>
        <v>0</v>
      </c>
      <c r="S328" s="126" t="n">
        <f aca="false">J328/$R$3</f>
        <v>0</v>
      </c>
      <c r="T328" s="126" t="n">
        <f aca="false">L328/$R$3</f>
        <v>0</v>
      </c>
      <c r="U328" s="126" t="n">
        <f aca="false">I328/$R$3</f>
        <v>0</v>
      </c>
      <c r="V328" s="126" t="n">
        <f aca="false">M328/$R$3</f>
        <v>0</v>
      </c>
      <c r="W328" s="126" t="n">
        <f aca="false">N328/$R$3</f>
        <v>-35.909</v>
      </c>
    </row>
    <row r="329" customFormat="false" ht="12.75" hidden="false" customHeight="false" outlineLevel="0" collapsed="false">
      <c r="A329" s="120" t="n">
        <f aca="false">A328+1</f>
        <v>37215</v>
      </c>
      <c r="B329" s="131" t="str">
        <f aca="false">INDEX('[4]Master Data'!$A$2:$B$8,MATCH(WEEKDAY('CRD Hedge'!A329,3),'[4]Master Data'!$A$2:$A$8,0),2)</f>
        <v>T</v>
      </c>
      <c r="D329" s="124" t="n">
        <v>0</v>
      </c>
      <c r="E329" s="124" t="n">
        <v>0</v>
      </c>
      <c r="F329" s="124" t="n">
        <v>0</v>
      </c>
      <c r="G329" s="124" t="n">
        <v>0</v>
      </c>
      <c r="I329" s="124" t="n">
        <f aca="false">IF(MONTH($A329)=MONTH($A328),IF(G329=0,I328,G329),G329)</f>
        <v>0</v>
      </c>
      <c r="J329" s="124" t="n">
        <f aca="false">IF(MONTH($A329)=MONTH($A328),SUM(I329-I328),I329)</f>
        <v>0</v>
      </c>
      <c r="K329" s="124" t="n">
        <f aca="false">IF(WEEKDAY(A329,3)&gt;4,0,(IF(A329&lt;K$2,0,IF(A329&lt;=K$3,1,0))))</f>
        <v>0</v>
      </c>
      <c r="L329" s="124" t="n">
        <f aca="false">J329*K329</f>
        <v>0</v>
      </c>
      <c r="M329" s="124" t="n">
        <f aca="false">SUM(J$280:J329)</f>
        <v>0</v>
      </c>
      <c r="N329" s="124" t="n">
        <f aca="false">SUM(J$6:J329)</f>
        <v>-35909</v>
      </c>
      <c r="P329" s="148" t="n">
        <f aca="false">D329/P$3</f>
        <v>0</v>
      </c>
      <c r="Q329" s="124" t="n">
        <f aca="false">E329/P$3</f>
        <v>0</v>
      </c>
      <c r="R329" s="124" t="n">
        <f aca="false">F329/R$3</f>
        <v>0</v>
      </c>
      <c r="S329" s="126" t="n">
        <f aca="false">J329/$R$3</f>
        <v>0</v>
      </c>
      <c r="T329" s="126" t="n">
        <f aca="false">L329/$R$3</f>
        <v>0</v>
      </c>
      <c r="U329" s="126" t="n">
        <f aca="false">I329/$R$3</f>
        <v>0</v>
      </c>
      <c r="V329" s="126" t="n">
        <f aca="false">M329/$R$3</f>
        <v>0</v>
      </c>
      <c r="W329" s="126" t="n">
        <f aca="false">N329/$R$3</f>
        <v>-35.909</v>
      </c>
    </row>
    <row r="330" customFormat="false" ht="12.75" hidden="false" customHeight="false" outlineLevel="0" collapsed="false">
      <c r="A330" s="120" t="n">
        <f aca="false">A329+1</f>
        <v>37216</v>
      </c>
      <c r="B330" s="131" t="str">
        <f aca="false">INDEX('[4]Master Data'!$A$2:$B$8,MATCH(WEEKDAY('CRD Hedge'!A330,3),'[4]Master Data'!$A$2:$A$8,0),2)</f>
        <v>W</v>
      </c>
      <c r="D330" s="124" t="n">
        <v>0</v>
      </c>
      <c r="E330" s="124" t="n">
        <v>0</v>
      </c>
      <c r="F330" s="124" t="n">
        <v>0</v>
      </c>
      <c r="G330" s="124" t="n">
        <v>0</v>
      </c>
      <c r="I330" s="124" t="n">
        <f aca="false">IF(MONTH($A330)=MONTH($A329),IF(G330=0,I329,G330),G330)</f>
        <v>0</v>
      </c>
      <c r="J330" s="124" t="n">
        <f aca="false">IF(MONTH($A330)=MONTH($A329),SUM(I330-I329),I330)</f>
        <v>0</v>
      </c>
      <c r="K330" s="124" t="n">
        <f aca="false">IF(WEEKDAY(A330,3)&gt;4,0,(IF(A330&lt;K$2,0,IF(A330&lt;=K$3,1,0))))</f>
        <v>0</v>
      </c>
      <c r="L330" s="124" t="n">
        <f aca="false">J330*K330</f>
        <v>0</v>
      </c>
      <c r="M330" s="124" t="n">
        <f aca="false">SUM(J$280:J330)</f>
        <v>0</v>
      </c>
      <c r="N330" s="124" t="n">
        <f aca="false">SUM(J$6:J330)</f>
        <v>-35909</v>
      </c>
      <c r="P330" s="148" t="n">
        <f aca="false">D330/P$3</f>
        <v>0</v>
      </c>
      <c r="Q330" s="124" t="n">
        <f aca="false">E330/P$3</f>
        <v>0</v>
      </c>
      <c r="R330" s="124" t="n">
        <f aca="false">F330/R$3</f>
        <v>0</v>
      </c>
      <c r="S330" s="126" t="n">
        <f aca="false">J330/$R$3</f>
        <v>0</v>
      </c>
      <c r="T330" s="126" t="n">
        <f aca="false">L330/$R$3</f>
        <v>0</v>
      </c>
      <c r="U330" s="126" t="n">
        <f aca="false">I330/$R$3</f>
        <v>0</v>
      </c>
      <c r="V330" s="126" t="n">
        <f aca="false">M330/$R$3</f>
        <v>0</v>
      </c>
      <c r="W330" s="126" t="n">
        <f aca="false">N330/$R$3</f>
        <v>-35.909</v>
      </c>
    </row>
    <row r="331" customFormat="false" ht="12.75" hidden="false" customHeight="false" outlineLevel="0" collapsed="false">
      <c r="A331" s="120" t="n">
        <f aca="false">A330+1</f>
        <v>37217</v>
      </c>
      <c r="B331" s="131" t="str">
        <f aca="false">INDEX('[4]Master Data'!$A$2:$B$8,MATCH(WEEKDAY('CRD Hedge'!A331,3),'[4]Master Data'!$A$2:$A$8,0),2)</f>
        <v>Th</v>
      </c>
      <c r="D331" s="124" t="n">
        <v>0</v>
      </c>
      <c r="E331" s="124" t="n">
        <v>0</v>
      </c>
      <c r="F331" s="124" t="n">
        <v>0</v>
      </c>
      <c r="G331" s="124" t="n">
        <v>0</v>
      </c>
      <c r="I331" s="124" t="n">
        <f aca="false">IF(MONTH($A331)=MONTH($A330),IF(G331=0,I330,G331),G331)</f>
        <v>0</v>
      </c>
      <c r="J331" s="124" t="n">
        <f aca="false">IF(MONTH($A331)=MONTH($A330),SUM(I331-I330),I331)</f>
        <v>0</v>
      </c>
      <c r="K331" s="124" t="n">
        <f aca="false">IF(WEEKDAY(A331,3)&gt;4,0,(IF(A331&lt;K$2,0,IF(A331&lt;=K$3,1,0))))</f>
        <v>0</v>
      </c>
      <c r="L331" s="124" t="n">
        <f aca="false">J331*K331</f>
        <v>0</v>
      </c>
      <c r="M331" s="124" t="n">
        <f aca="false">SUM(J$280:J331)</f>
        <v>0</v>
      </c>
      <c r="N331" s="124" t="n">
        <f aca="false">SUM(J$6:J331)</f>
        <v>-35909</v>
      </c>
      <c r="P331" s="148" t="n">
        <f aca="false">D331/P$3</f>
        <v>0</v>
      </c>
      <c r="Q331" s="124" t="n">
        <f aca="false">E331/P$3</f>
        <v>0</v>
      </c>
      <c r="R331" s="124" t="n">
        <f aca="false">F331/R$3</f>
        <v>0</v>
      </c>
      <c r="S331" s="126" t="n">
        <f aca="false">J331/$R$3</f>
        <v>0</v>
      </c>
      <c r="T331" s="126" t="n">
        <f aca="false">L331/$R$3</f>
        <v>0</v>
      </c>
      <c r="U331" s="126" t="n">
        <f aca="false">I331/$R$3</f>
        <v>0</v>
      </c>
      <c r="V331" s="126" t="n">
        <f aca="false">M331/$R$3</f>
        <v>0</v>
      </c>
      <c r="W331" s="126" t="n">
        <f aca="false">N331/$R$3</f>
        <v>-35.909</v>
      </c>
    </row>
    <row r="332" customFormat="false" ht="12.75" hidden="false" customHeight="false" outlineLevel="0" collapsed="false">
      <c r="A332" s="120" t="n">
        <f aca="false">A331+1</f>
        <v>37218</v>
      </c>
      <c r="B332" s="131" t="str">
        <f aca="false">INDEX('[4]Master Data'!$A$2:$B$8,MATCH(WEEKDAY('CRD Hedge'!A332,3),'[4]Master Data'!$A$2:$A$8,0),2)</f>
        <v>F</v>
      </c>
      <c r="D332" s="124" t="n">
        <v>0</v>
      </c>
      <c r="E332" s="124" t="n">
        <v>0</v>
      </c>
      <c r="F332" s="124" t="n">
        <v>0</v>
      </c>
      <c r="G332" s="124" t="n">
        <v>0</v>
      </c>
      <c r="I332" s="124" t="n">
        <f aca="false">IF(MONTH($A332)=MONTH($A331),IF(G332=0,I331,G332),G332)</f>
        <v>0</v>
      </c>
      <c r="J332" s="124" t="n">
        <f aca="false">IF(MONTH($A332)=MONTH($A331),SUM(I332-I331),I332)</f>
        <v>0</v>
      </c>
      <c r="K332" s="124" t="n">
        <f aca="false">IF(WEEKDAY(A332,3)&gt;4,0,(IF(A332&lt;K$2,0,IF(A332&lt;=K$3,1,0))))</f>
        <v>0</v>
      </c>
      <c r="L332" s="124" t="n">
        <f aca="false">J332*K332</f>
        <v>0</v>
      </c>
      <c r="M332" s="124" t="n">
        <f aca="false">SUM(J$280:J332)</f>
        <v>0</v>
      </c>
      <c r="N332" s="124" t="n">
        <f aca="false">SUM(J$6:J332)</f>
        <v>-35909</v>
      </c>
      <c r="P332" s="148" t="n">
        <f aca="false">D332/P$3</f>
        <v>0</v>
      </c>
      <c r="Q332" s="124" t="n">
        <f aca="false">E332/P$3</f>
        <v>0</v>
      </c>
      <c r="R332" s="124" t="n">
        <f aca="false">F332/R$3</f>
        <v>0</v>
      </c>
      <c r="S332" s="126" t="n">
        <f aca="false">J332/$R$3</f>
        <v>0</v>
      </c>
      <c r="T332" s="126" t="n">
        <f aca="false">L332/$R$3</f>
        <v>0</v>
      </c>
      <c r="U332" s="126" t="n">
        <f aca="false">I332/$R$3</f>
        <v>0</v>
      </c>
      <c r="V332" s="126" t="n">
        <f aca="false">M332/$R$3</f>
        <v>0</v>
      </c>
      <c r="W332" s="126" t="n">
        <f aca="false">N332/$R$3</f>
        <v>-35.909</v>
      </c>
    </row>
    <row r="333" customFormat="false" ht="12.75" hidden="false" customHeight="false" outlineLevel="0" collapsed="false">
      <c r="A333" s="120" t="n">
        <f aca="false">A332+1</f>
        <v>37219</v>
      </c>
      <c r="B333" s="131" t="str">
        <f aca="false">INDEX('[4]Master Data'!$A$2:$B$8,MATCH(WEEKDAY('CRD Hedge'!A333,3),'[4]Master Data'!$A$2:$A$8,0),2)</f>
        <v>Sa</v>
      </c>
      <c r="D333" s="124"/>
      <c r="E333" s="124" t="n">
        <v>0</v>
      </c>
      <c r="F333" s="124" t="n">
        <v>0</v>
      </c>
      <c r="G333" s="124" t="n">
        <v>0</v>
      </c>
      <c r="I333" s="124" t="n">
        <f aca="false">IF(MONTH($A333)=MONTH($A332),IF(G333=0,I332,G333),G333)</f>
        <v>0</v>
      </c>
      <c r="J333" s="124" t="n">
        <f aca="false">IF(MONTH($A333)=MONTH($A332),SUM(I333-I332),I333)</f>
        <v>0</v>
      </c>
      <c r="K333" s="124" t="n">
        <f aca="false">IF(WEEKDAY(A333,3)&gt;4,0,(IF(A333&lt;K$2,0,IF(A333&lt;=K$3,1,0))))</f>
        <v>0</v>
      </c>
      <c r="L333" s="124" t="n">
        <f aca="false">J333*K333</f>
        <v>0</v>
      </c>
      <c r="M333" s="124" t="n">
        <f aca="false">SUM(J$280:J333)</f>
        <v>0</v>
      </c>
      <c r="N333" s="124" t="n">
        <f aca="false">SUM(J$6:J333)</f>
        <v>-35909</v>
      </c>
      <c r="P333" s="148" t="n">
        <f aca="false">D333/P$3</f>
        <v>0</v>
      </c>
      <c r="Q333" s="124" t="n">
        <f aca="false">E333/P$3</f>
        <v>0</v>
      </c>
      <c r="R333" s="124" t="n">
        <f aca="false">F333/R$3</f>
        <v>0</v>
      </c>
      <c r="S333" s="126" t="n">
        <f aca="false">J333/$R$3</f>
        <v>0</v>
      </c>
      <c r="T333" s="126" t="n">
        <f aca="false">L333/$R$3</f>
        <v>0</v>
      </c>
      <c r="U333" s="126" t="n">
        <f aca="false">I333/$R$3</f>
        <v>0</v>
      </c>
      <c r="V333" s="126" t="n">
        <f aca="false">M333/$R$3</f>
        <v>0</v>
      </c>
      <c r="W333" s="126" t="n">
        <f aca="false">N333/$R$3</f>
        <v>-35.909</v>
      </c>
    </row>
    <row r="334" customFormat="false" ht="12.75" hidden="false" customHeight="false" outlineLevel="0" collapsed="false">
      <c r="A334" s="120" t="n">
        <f aca="false">A333+1</f>
        <v>37220</v>
      </c>
      <c r="B334" s="131" t="str">
        <f aca="false">INDEX('[4]Master Data'!$A$2:$B$8,MATCH(WEEKDAY('CRD Hedge'!A334,3),'[4]Master Data'!$A$2:$A$8,0),2)</f>
        <v>Su</v>
      </c>
      <c r="D334" s="124" t="n">
        <v>0</v>
      </c>
      <c r="E334" s="124" t="n">
        <v>0</v>
      </c>
      <c r="F334" s="124" t="n">
        <v>0</v>
      </c>
      <c r="G334" s="124" t="n">
        <v>0</v>
      </c>
      <c r="I334" s="124" t="n">
        <f aca="false">IF(MONTH($A334)=MONTH($A333),IF(G334=0,I333,G334),G334)</f>
        <v>0</v>
      </c>
      <c r="J334" s="124" t="n">
        <f aca="false">IF(MONTH($A334)=MONTH($A333),SUM(I334-I333),I334)</f>
        <v>0</v>
      </c>
      <c r="K334" s="124" t="n">
        <f aca="false">IF(WEEKDAY(A334,3)&gt;4,0,(IF(A334&lt;K$2,0,IF(A334&lt;=K$3,1,0))))</f>
        <v>0</v>
      </c>
      <c r="L334" s="124" t="n">
        <f aca="false">J334*K334</f>
        <v>0</v>
      </c>
      <c r="M334" s="124" t="n">
        <f aca="false">SUM(J$280:J334)</f>
        <v>0</v>
      </c>
      <c r="N334" s="124" t="n">
        <f aca="false">SUM(J$6:J334)</f>
        <v>-35909</v>
      </c>
      <c r="P334" s="148" t="n">
        <f aca="false">D334/P$3</f>
        <v>0</v>
      </c>
      <c r="Q334" s="124" t="n">
        <f aca="false">E334/P$3</f>
        <v>0</v>
      </c>
      <c r="R334" s="124" t="n">
        <f aca="false">F334/R$3</f>
        <v>0</v>
      </c>
      <c r="S334" s="126" t="n">
        <f aca="false">J334/$R$3</f>
        <v>0</v>
      </c>
      <c r="T334" s="126" t="n">
        <f aca="false">L334/$R$3</f>
        <v>0</v>
      </c>
      <c r="U334" s="126" t="n">
        <f aca="false">I334/$R$3</f>
        <v>0</v>
      </c>
      <c r="V334" s="126" t="n">
        <f aca="false">M334/$R$3</f>
        <v>0</v>
      </c>
      <c r="W334" s="126" t="n">
        <f aca="false">N334/$R$3</f>
        <v>-35.909</v>
      </c>
    </row>
    <row r="335" customFormat="false" ht="12.75" hidden="false" customHeight="false" outlineLevel="0" collapsed="false">
      <c r="A335" s="120" t="n">
        <f aca="false">A334+1</f>
        <v>37221</v>
      </c>
      <c r="B335" s="131" t="str">
        <f aca="false">INDEX('[4]Master Data'!$A$2:$B$8,MATCH(WEEKDAY('CRD Hedge'!A335,3),'[4]Master Data'!$A$2:$A$8,0),2)</f>
        <v>M</v>
      </c>
      <c r="D335" s="124" t="n">
        <v>0</v>
      </c>
      <c r="E335" s="124" t="n">
        <v>0</v>
      </c>
      <c r="F335" s="124" t="n">
        <v>0</v>
      </c>
      <c r="G335" s="124" t="n">
        <v>0</v>
      </c>
      <c r="I335" s="124" t="n">
        <f aca="false">IF(MONTH($A335)=MONTH($A334),IF(G335=0,I334,G335),G335)</f>
        <v>0</v>
      </c>
      <c r="J335" s="124" t="n">
        <f aca="false">IF(MONTH($A335)=MONTH($A334),SUM(I335-I334),I335)</f>
        <v>0</v>
      </c>
      <c r="K335" s="124" t="n">
        <f aca="false">IF(WEEKDAY(A335,3)&gt;4,0,(IF(A335&lt;K$2,0,IF(A335&lt;=K$3,1,0))))</f>
        <v>0</v>
      </c>
      <c r="L335" s="124" t="n">
        <f aca="false">J335*K335</f>
        <v>0</v>
      </c>
      <c r="M335" s="124" t="n">
        <f aca="false">SUM(J$280:J335)</f>
        <v>0</v>
      </c>
      <c r="N335" s="124" t="n">
        <f aca="false">SUM(J$6:J335)</f>
        <v>-35909</v>
      </c>
      <c r="P335" s="148" t="n">
        <f aca="false">D335/P$3</f>
        <v>0</v>
      </c>
      <c r="Q335" s="124" t="n">
        <f aca="false">E335/P$3</f>
        <v>0</v>
      </c>
      <c r="R335" s="124" t="n">
        <f aca="false">F335/R$3</f>
        <v>0</v>
      </c>
      <c r="S335" s="126" t="n">
        <f aca="false">J335/$R$3</f>
        <v>0</v>
      </c>
      <c r="T335" s="126" t="n">
        <f aca="false">L335/$R$3</f>
        <v>0</v>
      </c>
      <c r="U335" s="126" t="n">
        <f aca="false">I335/$R$3</f>
        <v>0</v>
      </c>
      <c r="V335" s="126" t="n">
        <f aca="false">M335/$R$3</f>
        <v>0</v>
      </c>
      <c r="W335" s="126" t="n">
        <f aca="false">N335/$R$3</f>
        <v>-35.909</v>
      </c>
    </row>
    <row r="336" customFormat="false" ht="12.75" hidden="false" customHeight="false" outlineLevel="0" collapsed="false">
      <c r="A336" s="120" t="n">
        <f aca="false">A335+1</f>
        <v>37222</v>
      </c>
      <c r="B336" s="131" t="str">
        <f aca="false">INDEX('[4]Master Data'!$A$2:$B$8,MATCH(WEEKDAY('CRD Hedge'!A336,3),'[4]Master Data'!$A$2:$A$8,0),2)</f>
        <v>T</v>
      </c>
      <c r="D336" s="124" t="n">
        <v>0</v>
      </c>
      <c r="E336" s="124" t="n">
        <v>0</v>
      </c>
      <c r="F336" s="124" t="n">
        <v>0</v>
      </c>
      <c r="G336" s="124" t="n">
        <v>0</v>
      </c>
      <c r="I336" s="124" t="n">
        <f aca="false">IF(MONTH($A336)=MONTH($A335),IF(G336=0,I335,G336),G336)</f>
        <v>0</v>
      </c>
      <c r="J336" s="124" t="n">
        <f aca="false">IF(MONTH($A336)=MONTH($A335),SUM(I336-I335),I336)</f>
        <v>0</v>
      </c>
      <c r="K336" s="124" t="n">
        <f aca="false">IF(WEEKDAY(A336,3)&gt;4,0,(IF(A336&lt;K$2,0,IF(A336&lt;=K$3,1,0))))</f>
        <v>0</v>
      </c>
      <c r="L336" s="124" t="n">
        <f aca="false">J336*K336</f>
        <v>0</v>
      </c>
      <c r="M336" s="124" t="n">
        <f aca="false">SUM(J$280:J336)</f>
        <v>0</v>
      </c>
      <c r="N336" s="124" t="n">
        <f aca="false">SUM(J$6:J336)</f>
        <v>-35909</v>
      </c>
      <c r="P336" s="148" t="n">
        <f aca="false">D336/P$3</f>
        <v>0</v>
      </c>
      <c r="Q336" s="124" t="n">
        <f aca="false">E336/P$3</f>
        <v>0</v>
      </c>
      <c r="R336" s="124" t="n">
        <f aca="false">F336/R$3</f>
        <v>0</v>
      </c>
      <c r="S336" s="126" t="n">
        <f aca="false">J336/$R$3</f>
        <v>0</v>
      </c>
      <c r="T336" s="126" t="n">
        <f aca="false">L336/$R$3</f>
        <v>0</v>
      </c>
      <c r="U336" s="126" t="n">
        <f aca="false">I336/$R$3</f>
        <v>0</v>
      </c>
      <c r="V336" s="126" t="n">
        <f aca="false">M336/$R$3</f>
        <v>0</v>
      </c>
      <c r="W336" s="126" t="n">
        <f aca="false">N336/$R$3</f>
        <v>-35.909</v>
      </c>
    </row>
    <row r="337" customFormat="false" ht="12.75" hidden="false" customHeight="false" outlineLevel="0" collapsed="false">
      <c r="A337" s="120" t="n">
        <f aca="false">A336+1</f>
        <v>37223</v>
      </c>
      <c r="B337" s="131" t="str">
        <f aca="false">INDEX('[4]Master Data'!$A$2:$B$8,MATCH(WEEKDAY('CRD Hedge'!A337,3),'[4]Master Data'!$A$2:$A$8,0),2)</f>
        <v>W</v>
      </c>
      <c r="D337" s="124" t="n">
        <v>-376</v>
      </c>
      <c r="E337" s="124" t="n">
        <v>0</v>
      </c>
      <c r="F337" s="124" t="n">
        <v>0</v>
      </c>
      <c r="G337" s="124" t="n">
        <v>0</v>
      </c>
      <c r="I337" s="124" t="n">
        <f aca="false">IF(MONTH($A337)=MONTH($A336),IF(G337=0,I336,G337),G337)</f>
        <v>0</v>
      </c>
      <c r="J337" s="124" t="n">
        <f aca="false">IF(MONTH($A337)=MONTH($A336),SUM(I337-I336),I337)</f>
        <v>0</v>
      </c>
      <c r="K337" s="124" t="n">
        <f aca="false">IF(WEEKDAY(A337,3)&gt;4,0,(IF(A337&lt;K$2,0,IF(A337&lt;=K$3,1,0))))</f>
        <v>0</v>
      </c>
      <c r="L337" s="124" t="n">
        <f aca="false">J337*K337</f>
        <v>0</v>
      </c>
      <c r="M337" s="124" t="n">
        <f aca="false">SUM(J$280:J337)</f>
        <v>0</v>
      </c>
      <c r="N337" s="124" t="n">
        <f aca="false">SUM(J$6:J337)</f>
        <v>-35909</v>
      </c>
      <c r="P337" s="148" t="n">
        <f aca="false">D337/P$3</f>
        <v>-0.376</v>
      </c>
      <c r="Q337" s="124" t="n">
        <f aca="false">E337/P$3</f>
        <v>0</v>
      </c>
      <c r="R337" s="124" t="n">
        <f aca="false">F337/R$3</f>
        <v>0</v>
      </c>
      <c r="S337" s="126" t="n">
        <f aca="false">J337/$R$3</f>
        <v>0</v>
      </c>
      <c r="T337" s="126" t="n">
        <f aca="false">L337/$R$3</f>
        <v>0</v>
      </c>
      <c r="U337" s="126" t="n">
        <f aca="false">I337/$R$3</f>
        <v>0</v>
      </c>
      <c r="V337" s="126" t="n">
        <f aca="false">M337/$R$3</f>
        <v>0</v>
      </c>
      <c r="W337" s="126" t="n">
        <f aca="false">N337/$R$3</f>
        <v>-35.909</v>
      </c>
    </row>
    <row r="338" customFormat="false" ht="12.75" hidden="false" customHeight="false" outlineLevel="0" collapsed="false">
      <c r="A338" s="120" t="n">
        <f aca="false">A337+1</f>
        <v>37224</v>
      </c>
      <c r="B338" s="131" t="str">
        <f aca="false">INDEX('[4]Master Data'!$A$2:$B$8,MATCH(WEEKDAY('CRD Hedge'!A338,3),'[4]Master Data'!$A$2:$A$8,0),2)</f>
        <v>Th</v>
      </c>
      <c r="D338" s="124" t="n">
        <v>-385</v>
      </c>
      <c r="E338" s="124" t="n">
        <v>0</v>
      </c>
      <c r="F338" s="124" t="n">
        <v>0</v>
      </c>
      <c r="G338" s="124" t="n">
        <v>0</v>
      </c>
      <c r="I338" s="124" t="n">
        <f aca="false">IF(MONTH($A338)=MONTH($A337),IF(G338=0,I337,G338),G338)</f>
        <v>0</v>
      </c>
      <c r="J338" s="124" t="n">
        <f aca="false">IF(MONTH($A338)=MONTH($A337),SUM(I338-I337),I338)</f>
        <v>0</v>
      </c>
      <c r="K338" s="124" t="n">
        <f aca="false">IF(WEEKDAY(A338,3)&gt;4,0,(IF(A338&lt;K$2,0,IF(A338&lt;=K$3,1,0))))</f>
        <v>0</v>
      </c>
      <c r="L338" s="124" t="n">
        <f aca="false">J338*K338</f>
        <v>0</v>
      </c>
      <c r="M338" s="124" t="n">
        <f aca="false">SUM(J$280:J338)</f>
        <v>0</v>
      </c>
      <c r="N338" s="124" t="n">
        <f aca="false">SUM(J$6:J338)</f>
        <v>-35909</v>
      </c>
      <c r="P338" s="148" t="n">
        <f aca="false">D338/P$3</f>
        <v>-0.385</v>
      </c>
      <c r="Q338" s="124" t="n">
        <f aca="false">E338/P$3</f>
        <v>0</v>
      </c>
      <c r="R338" s="124" t="n">
        <f aca="false">F338/R$3</f>
        <v>0</v>
      </c>
      <c r="S338" s="126" t="n">
        <f aca="false">J338/$R$3</f>
        <v>0</v>
      </c>
      <c r="T338" s="126" t="n">
        <f aca="false">L338/$R$3</f>
        <v>0</v>
      </c>
      <c r="U338" s="126" t="n">
        <f aca="false">I338/$R$3</f>
        <v>0</v>
      </c>
      <c r="V338" s="126" t="n">
        <f aca="false">M338/$R$3</f>
        <v>0</v>
      </c>
      <c r="W338" s="126" t="n">
        <f aca="false">N338/$R$3</f>
        <v>-35.909</v>
      </c>
    </row>
    <row r="339" customFormat="false" ht="12.75" hidden="false" customHeight="false" outlineLevel="0" collapsed="false">
      <c r="A339" s="120" t="n">
        <f aca="false">A338+1</f>
        <v>37225</v>
      </c>
      <c r="B339" s="131" t="str">
        <f aca="false">INDEX('[4]Master Data'!$A$2:$B$8,MATCH(WEEKDAY('CRD Hedge'!A339,3),'[4]Master Data'!$A$2:$A$8,0),2)</f>
        <v>F</v>
      </c>
      <c r="D339" s="124" t="n">
        <v>-380</v>
      </c>
      <c r="E339" s="124" t="n">
        <v>0</v>
      </c>
      <c r="F339" s="124" t="n">
        <v>0</v>
      </c>
      <c r="G339" s="124" t="n">
        <v>0</v>
      </c>
      <c r="I339" s="124" t="n">
        <f aca="false">IF(MONTH($A339)=MONTH($A338),IF(G339=0,I338,G339),G339)</f>
        <v>0</v>
      </c>
      <c r="J339" s="124" t="n">
        <f aca="false">IF(MONTH($A339)=MONTH($A338),SUM(I339-I338),I339)</f>
        <v>0</v>
      </c>
      <c r="K339" s="124" t="n">
        <f aca="false">IF(WEEKDAY(A339,3)&gt;4,0,(IF(A339&lt;K$2,0,IF(A339&lt;=K$3,1,0))))</f>
        <v>0</v>
      </c>
      <c r="L339" s="124" t="n">
        <f aca="false">J339*K339</f>
        <v>0</v>
      </c>
      <c r="M339" s="124" t="n">
        <f aca="false">SUM(J$280:J339)</f>
        <v>0</v>
      </c>
      <c r="N339" s="124" t="n">
        <f aca="false">SUM(J$6:J339)</f>
        <v>-35909</v>
      </c>
      <c r="P339" s="148" t="n">
        <f aca="false">D339/P$3</f>
        <v>-0.38</v>
      </c>
      <c r="Q339" s="124" t="n">
        <f aca="false">E339/P$3</f>
        <v>0</v>
      </c>
      <c r="R339" s="124" t="n">
        <f aca="false">F339/R$3</f>
        <v>0</v>
      </c>
      <c r="S339" s="126" t="n">
        <f aca="false">J339/$R$3</f>
        <v>0</v>
      </c>
      <c r="T339" s="126" t="n">
        <f aca="false">L339/$R$3</f>
        <v>0</v>
      </c>
      <c r="U339" s="126" t="n">
        <f aca="false">I339/$R$3</f>
        <v>0</v>
      </c>
      <c r="V339" s="126" t="n">
        <f aca="false">M339/$R$3</f>
        <v>0</v>
      </c>
      <c r="W339" s="126" t="n">
        <f aca="false">N339/$R$3</f>
        <v>-35.909</v>
      </c>
    </row>
    <row r="340" customFormat="false" ht="12.75" hidden="false" customHeight="false" outlineLevel="0" collapsed="false">
      <c r="A340" s="120" t="n">
        <f aca="false">A339+1</f>
        <v>37226</v>
      </c>
      <c r="B340" s="131" t="str">
        <f aca="false">INDEX('[4]Master Data'!$A$2:$B$8,MATCH(WEEKDAY('CRD Hedge'!A340,3),'[4]Master Data'!$A$2:$A$8,0),2)</f>
        <v>Sa</v>
      </c>
      <c r="D340" s="124" t="n">
        <v>-391</v>
      </c>
      <c r="E340" s="124" t="n">
        <v>0</v>
      </c>
      <c r="F340" s="124" t="n">
        <v>0</v>
      </c>
      <c r="G340" s="124" t="n">
        <v>0</v>
      </c>
      <c r="I340" s="124" t="n">
        <f aca="false">IF(MONTH($A340)=MONTH($A339),IF(G340=0,I339,G340),G340)</f>
        <v>0</v>
      </c>
      <c r="J340" s="124" t="n">
        <f aca="false">IF(MONTH($A340)=MONTH($A339),SUM(I340-I339),I340)</f>
        <v>0</v>
      </c>
      <c r="K340" s="124" t="n">
        <f aca="false">IF(WEEKDAY(A340,3)&gt;4,0,(IF(A340&lt;K$2,0,IF(A340&lt;=K$3,1,0))))</f>
        <v>0</v>
      </c>
      <c r="L340" s="124" t="n">
        <f aca="false">J340*K340</f>
        <v>0</v>
      </c>
      <c r="M340" s="124" t="n">
        <f aca="false">SUM(J$280:J340)</f>
        <v>0</v>
      </c>
      <c r="N340" s="124" t="n">
        <f aca="false">SUM(J$6:J340)</f>
        <v>-35909</v>
      </c>
      <c r="P340" s="148" t="n">
        <f aca="false">D340/P$3</f>
        <v>-0.391</v>
      </c>
      <c r="Q340" s="124" t="n">
        <f aca="false">E340/P$3</f>
        <v>0</v>
      </c>
      <c r="R340" s="124" t="n">
        <f aca="false">F340/R$3</f>
        <v>0</v>
      </c>
      <c r="S340" s="126" t="n">
        <f aca="false">J340/$R$3</f>
        <v>0</v>
      </c>
      <c r="T340" s="126" t="n">
        <f aca="false">L340/$R$3</f>
        <v>0</v>
      </c>
      <c r="U340" s="126" t="n">
        <f aca="false">I340/$R$3</f>
        <v>0</v>
      </c>
      <c r="V340" s="126" t="n">
        <f aca="false">M340/$R$3</f>
        <v>0</v>
      </c>
      <c r="W340" s="126" t="n">
        <f aca="false">N340/$R$3</f>
        <v>-35.909</v>
      </c>
    </row>
    <row r="341" customFormat="false" ht="12.75" hidden="false" customHeight="false" outlineLevel="0" collapsed="false">
      <c r="A341" s="120" t="n">
        <f aca="false">A340+1</f>
        <v>37227</v>
      </c>
      <c r="B341" s="131" t="str">
        <f aca="false">INDEX('[4]Master Data'!$A$2:$B$8,MATCH(WEEKDAY('CRD Hedge'!A341,3),'[4]Master Data'!$A$2:$A$8,0),2)</f>
        <v>Su</v>
      </c>
      <c r="D341" s="124" t="n">
        <v>-421</v>
      </c>
      <c r="E341" s="124" t="n">
        <v>0</v>
      </c>
      <c r="F341" s="124" t="n">
        <v>0</v>
      </c>
      <c r="G341" s="124" t="n">
        <v>0</v>
      </c>
      <c r="I341" s="124" t="n">
        <f aca="false">IF(MONTH($A341)=MONTH($A340),IF(G341=0,I340,G341),G341)</f>
        <v>0</v>
      </c>
      <c r="J341" s="124" t="n">
        <f aca="false">IF(MONTH($A341)=MONTH($A340),SUM(I341-I340),I341)</f>
        <v>0</v>
      </c>
      <c r="K341" s="124" t="n">
        <f aca="false">IF(WEEKDAY(A341,3)&gt;4,0,(IF(A341&lt;K$2,0,IF(A341&lt;=K$3,1,0))))</f>
        <v>0</v>
      </c>
      <c r="L341" s="124" t="n">
        <f aca="false">J341*K341</f>
        <v>0</v>
      </c>
      <c r="M341" s="124" t="n">
        <f aca="false">SUM(J$280:J341)</f>
        <v>0</v>
      </c>
      <c r="N341" s="124" t="n">
        <f aca="false">SUM(J$6:J341)</f>
        <v>-35909</v>
      </c>
      <c r="P341" s="148" t="n">
        <f aca="false">D341/P$3</f>
        <v>-0.421</v>
      </c>
      <c r="Q341" s="124" t="n">
        <f aca="false">E341/P$3</f>
        <v>0</v>
      </c>
      <c r="R341" s="124" t="n">
        <f aca="false">F341/R$3</f>
        <v>0</v>
      </c>
      <c r="S341" s="126" t="n">
        <f aca="false">J341/$R$3</f>
        <v>0</v>
      </c>
      <c r="T341" s="126" t="n">
        <f aca="false">L341/$R$3</f>
        <v>0</v>
      </c>
      <c r="U341" s="126" t="n">
        <f aca="false">I341/$R$3</f>
        <v>0</v>
      </c>
      <c r="V341" s="126" t="n">
        <f aca="false">M341/$R$3</f>
        <v>0</v>
      </c>
      <c r="W341" s="126" t="n">
        <f aca="false">N341/$R$3</f>
        <v>-35.909</v>
      </c>
    </row>
    <row r="342" customFormat="false" ht="12.75" hidden="false" customHeight="false" outlineLevel="0" collapsed="false">
      <c r="A342" s="120" t="n">
        <f aca="false">A341+1</f>
        <v>37228</v>
      </c>
      <c r="B342" s="131" t="str">
        <f aca="false">INDEX('[4]Master Data'!$A$2:$B$8,MATCH(WEEKDAY('CRD Hedge'!A342,3),'[4]Master Data'!$A$2:$A$8,0),2)</f>
        <v>M</v>
      </c>
      <c r="D342" s="124" t="n">
        <v>0</v>
      </c>
      <c r="E342" s="124" t="n">
        <v>0</v>
      </c>
      <c r="F342" s="124" t="n">
        <v>0</v>
      </c>
      <c r="G342" s="124" t="n">
        <v>0</v>
      </c>
      <c r="I342" s="124" t="n">
        <f aca="false">IF(MONTH($A342)=MONTH($A341),IF(G342=0,I341,G342),G342)</f>
        <v>0</v>
      </c>
      <c r="J342" s="124" t="n">
        <f aca="false">IF(MONTH($A342)=MONTH($A341),SUM(I342-I341),I342)</f>
        <v>0</v>
      </c>
      <c r="K342" s="124" t="n">
        <f aca="false">IF(WEEKDAY(A342,3)&gt;4,0,(IF(A342&lt;K$2,0,IF(A342&lt;=K$3,1,0))))</f>
        <v>0</v>
      </c>
      <c r="L342" s="124" t="n">
        <f aca="false">J342*K342</f>
        <v>0</v>
      </c>
      <c r="M342" s="124" t="n">
        <f aca="false">SUM(J$280:J342)</f>
        <v>0</v>
      </c>
      <c r="N342" s="124" t="n">
        <f aca="false">SUM(J$6:J342)</f>
        <v>-35909</v>
      </c>
      <c r="P342" s="148" t="n">
        <f aca="false">D342/P$3</f>
        <v>0</v>
      </c>
      <c r="Q342" s="124" t="n">
        <f aca="false">E342/P$3</f>
        <v>0</v>
      </c>
      <c r="R342" s="124" t="n">
        <f aca="false">F342/R$3</f>
        <v>0</v>
      </c>
      <c r="S342" s="126" t="n">
        <f aca="false">J342/$R$3</f>
        <v>0</v>
      </c>
      <c r="T342" s="126" t="n">
        <f aca="false">L342/$R$3</f>
        <v>0</v>
      </c>
      <c r="U342" s="126" t="n">
        <f aca="false">I342/$R$3</f>
        <v>0</v>
      </c>
      <c r="V342" s="126" t="n">
        <f aca="false">M342/$R$3</f>
        <v>0</v>
      </c>
      <c r="W342" s="126" t="n">
        <f aca="false">N342/$R$3</f>
        <v>-35.909</v>
      </c>
    </row>
    <row r="343" customFormat="false" ht="12.75" hidden="false" customHeight="false" outlineLevel="0" collapsed="false">
      <c r="A343" s="120" t="n">
        <f aca="false">A342+1</f>
        <v>37229</v>
      </c>
      <c r="B343" s="131" t="str">
        <f aca="false">INDEX('[4]Master Data'!$A$2:$B$8,MATCH(WEEKDAY('CRD Hedge'!A343,3),'[4]Master Data'!$A$2:$A$8,0),2)</f>
        <v>T</v>
      </c>
      <c r="D343" s="124" t="n">
        <v>0</v>
      </c>
      <c r="E343" s="124" t="n">
        <v>0</v>
      </c>
      <c r="F343" s="124" t="n">
        <v>0</v>
      </c>
      <c r="G343" s="124" t="n">
        <v>0</v>
      </c>
      <c r="I343" s="124" t="n">
        <f aca="false">IF(MONTH($A343)=MONTH($A342),IF(G343=0,I342,G343),G343)</f>
        <v>0</v>
      </c>
      <c r="J343" s="124" t="n">
        <f aca="false">IF(MONTH($A343)=MONTH($A342),SUM(I343-I342),I343)</f>
        <v>0</v>
      </c>
      <c r="K343" s="124" t="n">
        <f aca="false">IF(WEEKDAY(A343,3)&gt;4,0,(IF(A343&lt;K$2,0,IF(A343&lt;=K$3,1,0))))</f>
        <v>0</v>
      </c>
      <c r="L343" s="124" t="n">
        <f aca="false">J343*K343</f>
        <v>0</v>
      </c>
      <c r="M343" s="124" t="n">
        <f aca="false">SUM(J$280:J343)</f>
        <v>0</v>
      </c>
      <c r="N343" s="124" t="n">
        <f aca="false">SUM(J$6:J343)</f>
        <v>-35909</v>
      </c>
      <c r="P343" s="148" t="n">
        <f aca="false">D343/P$3</f>
        <v>0</v>
      </c>
      <c r="Q343" s="124" t="n">
        <f aca="false">E343/P$3</f>
        <v>0</v>
      </c>
      <c r="R343" s="124" t="n">
        <f aca="false">F343/R$3</f>
        <v>0</v>
      </c>
      <c r="S343" s="126" t="n">
        <f aca="false">J343/$R$3</f>
        <v>0</v>
      </c>
      <c r="T343" s="126" t="n">
        <f aca="false">L343/$R$3</f>
        <v>0</v>
      </c>
      <c r="U343" s="126" t="n">
        <f aca="false">I343/$R$3</f>
        <v>0</v>
      </c>
      <c r="V343" s="126" t="n">
        <f aca="false">M343/$R$3</f>
        <v>0</v>
      </c>
      <c r="W343" s="126" t="n">
        <f aca="false">N343/$R$3</f>
        <v>-35.909</v>
      </c>
    </row>
    <row r="344" customFormat="false" ht="12.75" hidden="false" customHeight="false" outlineLevel="0" collapsed="false">
      <c r="A344" s="120" t="n">
        <f aca="false">A343+1</f>
        <v>37230</v>
      </c>
      <c r="B344" s="131" t="str">
        <f aca="false">INDEX('[4]Master Data'!$A$2:$B$8,MATCH(WEEKDAY('CRD Hedge'!A344,3),'[4]Master Data'!$A$2:$A$8,0),2)</f>
        <v>W</v>
      </c>
      <c r="D344" s="124" t="n">
        <v>-337</v>
      </c>
      <c r="E344" s="124" t="n">
        <v>0</v>
      </c>
      <c r="F344" s="124" t="n">
        <v>0</v>
      </c>
      <c r="G344" s="124" t="n">
        <v>0</v>
      </c>
      <c r="I344" s="124" t="n">
        <f aca="false">IF(MONTH($A344)=MONTH($A343),IF(G344=0,I343,G344),G344)</f>
        <v>0</v>
      </c>
      <c r="J344" s="124" t="n">
        <f aca="false">IF(MONTH($A344)=MONTH($A343),SUM(I344-I343),I344)</f>
        <v>0</v>
      </c>
      <c r="K344" s="124" t="n">
        <f aca="false">IF(WEEKDAY(A344,3)&gt;4,0,(IF(A344&lt;K$2,0,IF(A344&lt;=K$3,1,0))))</f>
        <v>0</v>
      </c>
      <c r="L344" s="124" t="n">
        <f aca="false">J344*K344</f>
        <v>0</v>
      </c>
      <c r="M344" s="124" t="n">
        <f aca="false">SUM(J$280:J344)</f>
        <v>0</v>
      </c>
      <c r="N344" s="124" t="n">
        <f aca="false">SUM(J$6:J344)</f>
        <v>-35909</v>
      </c>
      <c r="P344" s="148" t="n">
        <f aca="false">D344/P$3</f>
        <v>-0.337</v>
      </c>
      <c r="Q344" s="124" t="n">
        <f aca="false">E344/P$3</f>
        <v>0</v>
      </c>
      <c r="R344" s="124" t="n">
        <f aca="false">F344/R$3</f>
        <v>0</v>
      </c>
      <c r="S344" s="126" t="n">
        <f aca="false">J344/$R$3</f>
        <v>0</v>
      </c>
      <c r="T344" s="126" t="n">
        <f aca="false">L344/$R$3</f>
        <v>0</v>
      </c>
      <c r="U344" s="126" t="n">
        <f aca="false">I344/$R$3</f>
        <v>0</v>
      </c>
      <c r="V344" s="126" t="n">
        <f aca="false">M344/$R$3</f>
        <v>0</v>
      </c>
      <c r="W344" s="126" t="n">
        <f aca="false">N344/$R$3</f>
        <v>-35.909</v>
      </c>
    </row>
    <row r="345" customFormat="false" ht="12.75" hidden="false" customHeight="false" outlineLevel="0" collapsed="false">
      <c r="A345" s="120" t="n">
        <f aca="false">A344+1</f>
        <v>37231</v>
      </c>
      <c r="B345" s="131" t="str">
        <f aca="false">INDEX('[4]Master Data'!$A$2:$B$8,MATCH(WEEKDAY('CRD Hedge'!A345,3),'[4]Master Data'!$A$2:$A$8,0),2)</f>
        <v>Th</v>
      </c>
      <c r="D345" s="124" t="n">
        <v>-345</v>
      </c>
      <c r="E345" s="124" t="n">
        <v>0</v>
      </c>
      <c r="F345" s="124" t="n">
        <v>0</v>
      </c>
      <c r="G345" s="124" t="n">
        <v>0</v>
      </c>
      <c r="I345" s="124" t="n">
        <f aca="false">IF(MONTH($A345)=MONTH($A344),IF(G345=0,I344,G345),G345)</f>
        <v>0</v>
      </c>
      <c r="J345" s="124" t="n">
        <f aca="false">IF(MONTH($A345)=MONTH($A344),SUM(I345-I344),I345)</f>
        <v>0</v>
      </c>
      <c r="K345" s="124" t="n">
        <f aca="false">IF(WEEKDAY(A345,3)&gt;4,0,(IF(A345&lt;K$2,0,IF(A345&lt;=K$3,1,0))))</f>
        <v>0</v>
      </c>
      <c r="L345" s="124" t="n">
        <f aca="false">J345*K345</f>
        <v>0</v>
      </c>
      <c r="M345" s="124" t="n">
        <f aca="false">SUM(J$280:J345)</f>
        <v>0</v>
      </c>
      <c r="N345" s="124" t="n">
        <f aca="false">SUM(J$6:J345)</f>
        <v>-35909</v>
      </c>
      <c r="P345" s="148" t="n">
        <f aca="false">D345/P$3</f>
        <v>-0.345</v>
      </c>
      <c r="Q345" s="124" t="n">
        <f aca="false">E345/P$3</f>
        <v>0</v>
      </c>
      <c r="R345" s="124" t="n">
        <f aca="false">F345/R$3</f>
        <v>0</v>
      </c>
      <c r="S345" s="126" t="n">
        <f aca="false">J345/$R$3</f>
        <v>0</v>
      </c>
      <c r="T345" s="126" t="n">
        <f aca="false">L345/$R$3</f>
        <v>0</v>
      </c>
      <c r="U345" s="126" t="n">
        <f aca="false">I345/$R$3</f>
        <v>0</v>
      </c>
      <c r="V345" s="126" t="n">
        <f aca="false">M345/$R$3</f>
        <v>0</v>
      </c>
      <c r="W345" s="126" t="n">
        <f aca="false">N345/$R$3</f>
        <v>-35.909</v>
      </c>
    </row>
    <row r="346" customFormat="false" ht="12.75" hidden="false" customHeight="false" outlineLevel="0" collapsed="false">
      <c r="A346" s="120" t="n">
        <f aca="false">A345+1</f>
        <v>37232</v>
      </c>
      <c r="B346" s="131" t="str">
        <f aca="false">INDEX('[4]Master Data'!$A$2:$B$8,MATCH(WEEKDAY('CRD Hedge'!A346,3),'[4]Master Data'!$A$2:$A$8,0),2)</f>
        <v>F</v>
      </c>
      <c r="D346" s="124" t="n">
        <v>-339</v>
      </c>
      <c r="E346" s="124" t="n">
        <v>0</v>
      </c>
      <c r="F346" s="124" t="n">
        <v>0</v>
      </c>
      <c r="G346" s="124" t="n">
        <v>0</v>
      </c>
      <c r="I346" s="124" t="n">
        <f aca="false">IF(MONTH($A346)=MONTH($A345),IF(G346=0,I345,G346),G346)</f>
        <v>0</v>
      </c>
      <c r="J346" s="124" t="n">
        <f aca="false">IF(MONTH($A346)=MONTH($A345),SUM(I346-I345),I346)</f>
        <v>0</v>
      </c>
      <c r="K346" s="124" t="n">
        <f aca="false">IF(WEEKDAY(A346,3)&gt;4,0,(IF(A346&lt;K$2,0,IF(A346&lt;=K$3,1,0))))</f>
        <v>0</v>
      </c>
      <c r="L346" s="124" t="n">
        <f aca="false">J346*K346</f>
        <v>0</v>
      </c>
      <c r="M346" s="124" t="n">
        <f aca="false">SUM(J$280:J346)</f>
        <v>0</v>
      </c>
      <c r="N346" s="124" t="n">
        <f aca="false">SUM(J$6:J346)</f>
        <v>-35909</v>
      </c>
      <c r="P346" s="148" t="n">
        <f aca="false">D346/P$3</f>
        <v>-0.339</v>
      </c>
      <c r="Q346" s="124" t="n">
        <f aca="false">E346/P$3</f>
        <v>0</v>
      </c>
      <c r="R346" s="124" t="n">
        <f aca="false">F346/R$3</f>
        <v>0</v>
      </c>
      <c r="S346" s="126" t="n">
        <f aca="false">J346/$R$3</f>
        <v>0</v>
      </c>
      <c r="T346" s="126" t="n">
        <f aca="false">L346/$R$3</f>
        <v>0</v>
      </c>
      <c r="U346" s="126" t="n">
        <f aca="false">I346/$R$3</f>
        <v>0</v>
      </c>
      <c r="V346" s="126" t="n">
        <f aca="false">M346/$R$3</f>
        <v>0</v>
      </c>
      <c r="W346" s="126" t="n">
        <f aca="false">N346/$R$3</f>
        <v>-35.909</v>
      </c>
    </row>
    <row r="347" customFormat="false" ht="12.75" hidden="false" customHeight="false" outlineLevel="0" collapsed="false">
      <c r="A347" s="120" t="n">
        <f aca="false">A346+1</f>
        <v>37233</v>
      </c>
      <c r="B347" s="131" t="str">
        <f aca="false">INDEX('[4]Master Data'!$A$2:$B$8,MATCH(WEEKDAY('CRD Hedge'!A347,3),'[4]Master Data'!$A$2:$A$8,0),2)</f>
        <v>Sa</v>
      </c>
      <c r="D347" s="124" t="n">
        <v>-353</v>
      </c>
      <c r="E347" s="124" t="n">
        <v>0</v>
      </c>
      <c r="F347" s="124" t="n">
        <v>0</v>
      </c>
      <c r="G347" s="124" t="n">
        <v>0</v>
      </c>
      <c r="I347" s="124" t="n">
        <f aca="false">IF(MONTH($A347)=MONTH($A346),IF(G347=0,I346,G347),G347)</f>
        <v>0</v>
      </c>
      <c r="J347" s="124" t="n">
        <f aca="false">IF(MONTH($A347)=MONTH($A346),SUM(I347-I346),I347)</f>
        <v>0</v>
      </c>
      <c r="K347" s="124" t="n">
        <f aca="false">IF(WEEKDAY(A347,3)&gt;4,0,(IF(A347&lt;K$2,0,IF(A347&lt;=K$3,1,0))))</f>
        <v>0</v>
      </c>
      <c r="L347" s="124" t="n">
        <f aca="false">J347*K347</f>
        <v>0</v>
      </c>
      <c r="M347" s="124" t="n">
        <f aca="false">SUM(J$280:J347)</f>
        <v>0</v>
      </c>
      <c r="N347" s="124" t="n">
        <f aca="false">SUM(J$6:J347)</f>
        <v>-35909</v>
      </c>
      <c r="P347" s="148" t="n">
        <f aca="false">D347/P$3</f>
        <v>-0.353</v>
      </c>
      <c r="Q347" s="124" t="n">
        <f aca="false">E347/P$3</f>
        <v>0</v>
      </c>
      <c r="R347" s="124" t="n">
        <f aca="false">F347/R$3</f>
        <v>0</v>
      </c>
      <c r="S347" s="126" t="n">
        <f aca="false">J347/$R$3</f>
        <v>0</v>
      </c>
      <c r="T347" s="126" t="n">
        <f aca="false">L347/$R$3</f>
        <v>0</v>
      </c>
      <c r="U347" s="126" t="n">
        <f aca="false">I347/$R$3</f>
        <v>0</v>
      </c>
      <c r="V347" s="126" t="n">
        <f aca="false">M347/$R$3</f>
        <v>0</v>
      </c>
      <c r="W347" s="126" t="n">
        <f aca="false">N347/$R$3</f>
        <v>-35.909</v>
      </c>
    </row>
    <row r="348" customFormat="false" ht="12.75" hidden="false" customHeight="false" outlineLevel="0" collapsed="false">
      <c r="A348" s="120" t="n">
        <f aca="false">A347+1</f>
        <v>37234</v>
      </c>
      <c r="B348" s="131" t="str">
        <f aca="false">INDEX('[4]Master Data'!$A$2:$B$8,MATCH(WEEKDAY('CRD Hedge'!A348,3),'[4]Master Data'!$A$2:$A$8,0),2)</f>
        <v>Su</v>
      </c>
      <c r="D348" s="124" t="n">
        <v>-335</v>
      </c>
      <c r="E348" s="124" t="n">
        <v>0</v>
      </c>
      <c r="F348" s="124" t="n">
        <v>0</v>
      </c>
      <c r="G348" s="124" t="n">
        <v>0</v>
      </c>
      <c r="I348" s="124" t="n">
        <f aca="false">IF(MONTH($A348)=MONTH($A347),IF(G348=0,I347,G348),G348)</f>
        <v>0</v>
      </c>
      <c r="J348" s="124" t="n">
        <f aca="false">IF(MONTH($A348)=MONTH($A347),SUM(I348-I347),I348)</f>
        <v>0</v>
      </c>
      <c r="K348" s="124" t="n">
        <f aca="false">IF(WEEKDAY(A348,3)&gt;4,0,(IF(A348&lt;K$2,0,IF(A348&lt;=K$3,1,0))))</f>
        <v>0</v>
      </c>
      <c r="L348" s="124" t="n">
        <f aca="false">J348*K348</f>
        <v>0</v>
      </c>
      <c r="M348" s="124" t="n">
        <f aca="false">SUM(J$280:J348)</f>
        <v>0</v>
      </c>
      <c r="N348" s="124" t="n">
        <f aca="false">SUM(J$6:J348)</f>
        <v>-35909</v>
      </c>
      <c r="P348" s="148" t="n">
        <f aca="false">D348/P$3</f>
        <v>-0.335</v>
      </c>
      <c r="Q348" s="124" t="n">
        <f aca="false">E348/P$3</f>
        <v>0</v>
      </c>
      <c r="R348" s="124" t="n">
        <f aca="false">F348/R$3</f>
        <v>0</v>
      </c>
      <c r="S348" s="126" t="n">
        <f aca="false">J348/$R$3</f>
        <v>0</v>
      </c>
      <c r="T348" s="126" t="n">
        <f aca="false">L348/$R$3</f>
        <v>0</v>
      </c>
      <c r="U348" s="126" t="n">
        <f aca="false">I348/$R$3</f>
        <v>0</v>
      </c>
      <c r="V348" s="126" t="n">
        <f aca="false">M348/$R$3</f>
        <v>0</v>
      </c>
      <c r="W348" s="126" t="n">
        <f aca="false">N348/$R$3</f>
        <v>-35.909</v>
      </c>
    </row>
    <row r="349" customFormat="false" ht="12.75" hidden="false" customHeight="false" outlineLevel="0" collapsed="false">
      <c r="A349" s="120" t="n">
        <f aca="false">A348+1</f>
        <v>37235</v>
      </c>
      <c r="B349" s="131" t="str">
        <f aca="false">INDEX('[4]Master Data'!$A$2:$B$8,MATCH(WEEKDAY('CRD Hedge'!A349,3),'[4]Master Data'!$A$2:$A$8,0),2)</f>
        <v>M</v>
      </c>
      <c r="D349" s="124" t="n">
        <v>0</v>
      </c>
      <c r="E349" s="124" t="n">
        <v>0</v>
      </c>
      <c r="F349" s="124" t="n">
        <v>0</v>
      </c>
      <c r="G349" s="124" t="n">
        <v>0</v>
      </c>
      <c r="I349" s="124" t="n">
        <f aca="false">IF(MONTH($A349)=MONTH($A348),IF(G349=0,I348,G349),G349)</f>
        <v>0</v>
      </c>
      <c r="J349" s="124" t="n">
        <f aca="false">IF(MONTH($A349)=MONTH($A348),SUM(I349-I348),I349)</f>
        <v>0</v>
      </c>
      <c r="K349" s="124" t="n">
        <f aca="false">IF(WEEKDAY(A349,3)&gt;4,0,(IF(A349&lt;K$2,0,IF(A349&lt;=K$3,1,0))))</f>
        <v>0</v>
      </c>
      <c r="L349" s="124" t="n">
        <f aca="false">J349*K349</f>
        <v>0</v>
      </c>
      <c r="M349" s="124" t="n">
        <f aca="false">SUM(J$280:J349)</f>
        <v>0</v>
      </c>
      <c r="N349" s="124" t="n">
        <f aca="false">SUM(J$6:J349)</f>
        <v>-35909</v>
      </c>
      <c r="P349" s="148" t="n">
        <f aca="false">D349/P$3</f>
        <v>0</v>
      </c>
      <c r="Q349" s="124" t="n">
        <f aca="false">E349/P$3</f>
        <v>0</v>
      </c>
      <c r="R349" s="124" t="n">
        <f aca="false">F349/R$3</f>
        <v>0</v>
      </c>
      <c r="S349" s="126" t="n">
        <f aca="false">J349/$R$3</f>
        <v>0</v>
      </c>
      <c r="T349" s="126" t="n">
        <f aca="false">L349/$R$3</f>
        <v>0</v>
      </c>
      <c r="U349" s="126" t="n">
        <f aca="false">I349/$R$3</f>
        <v>0</v>
      </c>
      <c r="V349" s="126" t="n">
        <f aca="false">M349/$R$3</f>
        <v>0</v>
      </c>
      <c r="W349" s="126" t="n">
        <f aca="false">N349/$R$3</f>
        <v>-35.909</v>
      </c>
    </row>
    <row r="350" customFormat="false" ht="12.75" hidden="false" customHeight="false" outlineLevel="0" collapsed="false">
      <c r="A350" s="120" t="n">
        <f aca="false">A349+1</f>
        <v>37236</v>
      </c>
      <c r="B350" s="131" t="str">
        <f aca="false">INDEX('[4]Master Data'!$A$2:$B$8,MATCH(WEEKDAY('CRD Hedge'!A350,3),'[4]Master Data'!$A$2:$A$8,0),2)</f>
        <v>T</v>
      </c>
      <c r="D350" s="124" t="n">
        <v>0</v>
      </c>
      <c r="E350" s="124" t="n">
        <v>0</v>
      </c>
      <c r="F350" s="124" t="n">
        <v>0</v>
      </c>
      <c r="G350" s="124" t="n">
        <v>0</v>
      </c>
      <c r="I350" s="124" t="n">
        <f aca="false">IF(MONTH($A350)=MONTH($A349),IF(G350=0,I349,G350),G350)</f>
        <v>0</v>
      </c>
      <c r="J350" s="124" t="n">
        <f aca="false">IF(MONTH($A350)=MONTH($A349),SUM(I350-I349),I350)</f>
        <v>0</v>
      </c>
      <c r="K350" s="124" t="n">
        <f aca="false">IF(WEEKDAY(A350,3)&gt;4,0,(IF(A350&lt;K$2,0,IF(A350&lt;=K$3,1,0))))</f>
        <v>0</v>
      </c>
      <c r="L350" s="124" t="n">
        <f aca="false">J350*K350</f>
        <v>0</v>
      </c>
      <c r="M350" s="124" t="n">
        <f aca="false">SUM(J$280:J350)</f>
        <v>0</v>
      </c>
      <c r="N350" s="124" t="n">
        <f aca="false">SUM(J$6:J350)</f>
        <v>-35909</v>
      </c>
      <c r="P350" s="148" t="n">
        <f aca="false">D350/P$3</f>
        <v>0</v>
      </c>
      <c r="Q350" s="124" t="n">
        <f aca="false">E350/P$3</f>
        <v>0</v>
      </c>
      <c r="R350" s="124" t="n">
        <f aca="false">F350/R$3</f>
        <v>0</v>
      </c>
      <c r="S350" s="126" t="n">
        <f aca="false">J350/$R$3</f>
        <v>0</v>
      </c>
      <c r="T350" s="126" t="n">
        <f aca="false">L350/$R$3</f>
        <v>0</v>
      </c>
      <c r="U350" s="126" t="n">
        <f aca="false">I350/$R$3</f>
        <v>0</v>
      </c>
      <c r="V350" s="126" t="n">
        <f aca="false">M350/$R$3</f>
        <v>0</v>
      </c>
      <c r="W350" s="126" t="n">
        <f aca="false">N350/$R$3</f>
        <v>-35.909</v>
      </c>
    </row>
    <row r="351" customFormat="false" ht="12.75" hidden="false" customHeight="false" outlineLevel="0" collapsed="false">
      <c r="A351" s="120" t="n">
        <f aca="false">A350+1</f>
        <v>37237</v>
      </c>
      <c r="B351" s="131" t="str">
        <f aca="false">INDEX('[4]Master Data'!$A$2:$B$8,MATCH(WEEKDAY('CRD Hedge'!A351,3),'[4]Master Data'!$A$2:$A$8,0),2)</f>
        <v>W</v>
      </c>
      <c r="D351" s="124" t="n">
        <v>-321</v>
      </c>
      <c r="E351" s="124" t="n">
        <v>0</v>
      </c>
      <c r="F351" s="124" t="n">
        <v>0</v>
      </c>
      <c r="G351" s="124" t="n">
        <v>0</v>
      </c>
      <c r="I351" s="124" t="n">
        <f aca="false">IF(MONTH($A351)=MONTH($A350),IF(G351=0,I350,G351),G351)</f>
        <v>0</v>
      </c>
      <c r="J351" s="124" t="n">
        <f aca="false">IF(MONTH($A351)=MONTH($A350),SUM(I351-I350),I351)</f>
        <v>0</v>
      </c>
      <c r="K351" s="124" t="n">
        <f aca="false">IF(WEEKDAY(A351,3)&gt;4,0,(IF(A351&lt;K$2,0,IF(A351&lt;=K$3,1,0))))</f>
        <v>0</v>
      </c>
      <c r="L351" s="124" t="n">
        <f aca="false">J351*K351</f>
        <v>0</v>
      </c>
      <c r="M351" s="124" t="n">
        <f aca="false">SUM(J$280:J351)</f>
        <v>0</v>
      </c>
      <c r="N351" s="124" t="n">
        <f aca="false">SUM(J$6:J351)</f>
        <v>-35909</v>
      </c>
      <c r="P351" s="148" t="n">
        <f aca="false">D351/P$3</f>
        <v>-0.321</v>
      </c>
      <c r="Q351" s="124" t="n">
        <f aca="false">E351/P$3</f>
        <v>0</v>
      </c>
      <c r="R351" s="124" t="n">
        <f aca="false">F351/R$3</f>
        <v>0</v>
      </c>
      <c r="S351" s="126" t="n">
        <f aca="false">J351/$R$3</f>
        <v>0</v>
      </c>
      <c r="T351" s="126" t="n">
        <f aca="false">L351/$R$3</f>
        <v>0</v>
      </c>
      <c r="U351" s="126" t="n">
        <f aca="false">I351/$R$3</f>
        <v>0</v>
      </c>
      <c r="V351" s="126" t="n">
        <f aca="false">M351/$R$3</f>
        <v>0</v>
      </c>
      <c r="W351" s="126" t="n">
        <f aca="false">N351/$R$3</f>
        <v>-35.909</v>
      </c>
    </row>
    <row r="352" customFormat="false" ht="12.75" hidden="false" customHeight="false" outlineLevel="0" collapsed="false">
      <c r="A352" s="120" t="n">
        <f aca="false">A351+1</f>
        <v>37238</v>
      </c>
      <c r="B352" s="131" t="str">
        <f aca="false">INDEX('[4]Master Data'!$A$2:$B$8,MATCH(WEEKDAY('CRD Hedge'!A352,3),'[4]Master Data'!$A$2:$A$8,0),2)</f>
        <v>Th</v>
      </c>
      <c r="D352" s="124" t="n">
        <v>-321</v>
      </c>
      <c r="E352" s="124" t="n">
        <v>0</v>
      </c>
      <c r="F352" s="124" t="n">
        <v>0</v>
      </c>
      <c r="G352" s="124" t="n">
        <v>0</v>
      </c>
      <c r="I352" s="124" t="n">
        <f aca="false">IF(MONTH($A352)=MONTH($A351),IF(G352=0,I351,G352),G352)</f>
        <v>0</v>
      </c>
      <c r="J352" s="124" t="n">
        <f aca="false">IF(MONTH($A352)=MONTH($A351),SUM(I352-I351),I352)</f>
        <v>0</v>
      </c>
      <c r="K352" s="124" t="n">
        <f aca="false">IF(WEEKDAY(A352,3)&gt;4,0,(IF(A352&lt;K$2,0,IF(A352&lt;=K$3,1,0))))</f>
        <v>0</v>
      </c>
      <c r="L352" s="124" t="n">
        <f aca="false">J352*K352</f>
        <v>0</v>
      </c>
      <c r="M352" s="124" t="n">
        <f aca="false">SUM(J$280:J352)</f>
        <v>0</v>
      </c>
      <c r="N352" s="124" t="n">
        <f aca="false">SUM(J$6:J352)</f>
        <v>-35909</v>
      </c>
      <c r="P352" s="148" t="n">
        <f aca="false">D352/P$3</f>
        <v>-0.321</v>
      </c>
      <c r="Q352" s="124" t="n">
        <f aca="false">E352/P$3</f>
        <v>0</v>
      </c>
      <c r="R352" s="124" t="n">
        <f aca="false">F352/R$3</f>
        <v>0</v>
      </c>
      <c r="S352" s="126" t="n">
        <f aca="false">J352/$R$3</f>
        <v>0</v>
      </c>
      <c r="T352" s="126" t="n">
        <f aca="false">L352/$R$3</f>
        <v>0</v>
      </c>
      <c r="U352" s="126" t="n">
        <f aca="false">I352/$R$3</f>
        <v>0</v>
      </c>
      <c r="V352" s="126" t="n">
        <f aca="false">M352/$R$3</f>
        <v>0</v>
      </c>
      <c r="W352" s="126" t="n">
        <f aca="false">N352/$R$3</f>
        <v>-35.909</v>
      </c>
    </row>
    <row r="353" customFormat="false" ht="12.75" hidden="false" customHeight="false" outlineLevel="0" collapsed="false">
      <c r="A353" s="120" t="n">
        <f aca="false">A352+1</f>
        <v>37239</v>
      </c>
      <c r="B353" s="131" t="str">
        <f aca="false">INDEX('[4]Master Data'!$A$2:$B$8,MATCH(WEEKDAY('CRD Hedge'!A353,3),'[4]Master Data'!$A$2:$A$8,0),2)</f>
        <v>F</v>
      </c>
      <c r="D353" s="124" t="n">
        <v>-371</v>
      </c>
      <c r="E353" s="124" t="n">
        <v>0</v>
      </c>
      <c r="F353" s="124" t="n">
        <v>0</v>
      </c>
      <c r="G353" s="124" t="n">
        <v>0</v>
      </c>
      <c r="I353" s="124" t="n">
        <f aca="false">IF(MONTH($A353)=MONTH($A352),IF(G353=0,I352,G353),G353)</f>
        <v>0</v>
      </c>
      <c r="J353" s="124" t="n">
        <f aca="false">IF(MONTH($A353)=MONTH($A352),SUM(I353-I352),I353)</f>
        <v>0</v>
      </c>
      <c r="K353" s="124" t="n">
        <f aca="false">IF(WEEKDAY(A353,3)&gt;4,0,(IF(A353&lt;K$2,0,IF(A353&lt;=K$3,1,0))))</f>
        <v>0</v>
      </c>
      <c r="L353" s="124" t="n">
        <f aca="false">J353*K353</f>
        <v>0</v>
      </c>
      <c r="M353" s="124" t="n">
        <f aca="false">SUM(J$280:J353)</f>
        <v>0</v>
      </c>
      <c r="N353" s="124" t="n">
        <f aca="false">SUM(J$6:J353)</f>
        <v>-35909</v>
      </c>
      <c r="P353" s="148" t="n">
        <f aca="false">D353/P$3</f>
        <v>-0.371</v>
      </c>
      <c r="Q353" s="124" t="n">
        <f aca="false">E353/P$3</f>
        <v>0</v>
      </c>
      <c r="R353" s="124" t="n">
        <f aca="false">F353/R$3</f>
        <v>0</v>
      </c>
      <c r="S353" s="126" t="n">
        <f aca="false">J353/$R$3</f>
        <v>0</v>
      </c>
      <c r="T353" s="126" t="n">
        <f aca="false">L353/$R$3</f>
        <v>0</v>
      </c>
      <c r="U353" s="126" t="n">
        <f aca="false">I353/$R$3</f>
        <v>0</v>
      </c>
      <c r="V353" s="126" t="n">
        <f aca="false">M353/$R$3</f>
        <v>0</v>
      </c>
      <c r="W353" s="126" t="n">
        <f aca="false">N353/$R$3</f>
        <v>-35.909</v>
      </c>
    </row>
    <row r="354" customFormat="false" ht="12.75" hidden="false" customHeight="false" outlineLevel="0" collapsed="false">
      <c r="A354" s="120" t="n">
        <f aca="false">A353+1</f>
        <v>37240</v>
      </c>
      <c r="B354" s="131" t="str">
        <f aca="false">INDEX('[4]Master Data'!$A$2:$B$8,MATCH(WEEKDAY('CRD Hedge'!A354,3),'[4]Master Data'!$A$2:$A$8,0),2)</f>
        <v>Sa</v>
      </c>
      <c r="D354" s="124" t="n">
        <v>-395</v>
      </c>
      <c r="E354" s="124" t="n">
        <v>0</v>
      </c>
      <c r="F354" s="124" t="n">
        <v>0</v>
      </c>
      <c r="G354" s="124" t="n">
        <v>0</v>
      </c>
      <c r="I354" s="124" t="n">
        <f aca="false">IF(MONTH($A354)=MONTH($A353),IF(G354=0,I353,G354),G354)</f>
        <v>0</v>
      </c>
      <c r="J354" s="124" t="n">
        <f aca="false">IF(MONTH($A354)=MONTH($A353),SUM(I354-I353),I354)</f>
        <v>0</v>
      </c>
      <c r="K354" s="124" t="n">
        <f aca="false">IF(WEEKDAY(A354,3)&gt;4,0,(IF(A354&lt;K$2,0,IF(A354&lt;=K$3,1,0))))</f>
        <v>0</v>
      </c>
      <c r="L354" s="124" t="n">
        <f aca="false">J354*K354</f>
        <v>0</v>
      </c>
      <c r="M354" s="124" t="n">
        <f aca="false">SUM(J$280:J354)</f>
        <v>0</v>
      </c>
      <c r="N354" s="124" t="n">
        <f aca="false">SUM(J$6:J354)</f>
        <v>-35909</v>
      </c>
      <c r="P354" s="148" t="n">
        <f aca="false">D354/P$3</f>
        <v>-0.395</v>
      </c>
      <c r="Q354" s="124" t="n">
        <f aca="false">E354/P$3</f>
        <v>0</v>
      </c>
      <c r="R354" s="124" t="n">
        <f aca="false">F354/R$3</f>
        <v>0</v>
      </c>
      <c r="S354" s="126" t="n">
        <f aca="false">J354/$R$3</f>
        <v>0</v>
      </c>
      <c r="T354" s="126" t="n">
        <f aca="false">L354/$R$3</f>
        <v>0</v>
      </c>
      <c r="U354" s="126" t="n">
        <f aca="false">I354/$R$3</f>
        <v>0</v>
      </c>
      <c r="V354" s="126" t="n">
        <f aca="false">M354/$R$3</f>
        <v>0</v>
      </c>
      <c r="W354" s="126" t="n">
        <f aca="false">N354/$R$3</f>
        <v>-35.909</v>
      </c>
    </row>
    <row r="355" customFormat="false" ht="12.75" hidden="false" customHeight="false" outlineLevel="0" collapsed="false">
      <c r="A355" s="120" t="n">
        <f aca="false">A354+1</f>
        <v>37241</v>
      </c>
      <c r="B355" s="131" t="str">
        <f aca="false">INDEX('[4]Master Data'!$A$2:$B$8,MATCH(WEEKDAY('CRD Hedge'!A355,3),'[4]Master Data'!$A$2:$A$8,0),2)</f>
        <v>Su</v>
      </c>
      <c r="D355" s="124" t="n">
        <v>-380</v>
      </c>
      <c r="E355" s="124" t="n">
        <v>0</v>
      </c>
      <c r="F355" s="124" t="n">
        <v>0</v>
      </c>
      <c r="G355" s="124" t="n">
        <v>0</v>
      </c>
      <c r="I355" s="124" t="n">
        <f aca="false">IF(MONTH($A355)=MONTH($A354),IF(G355=0,I354,G355),G355)</f>
        <v>0</v>
      </c>
      <c r="J355" s="124" t="n">
        <f aca="false">IF(MONTH($A355)=MONTH($A354),SUM(I355-I354),I355)</f>
        <v>0</v>
      </c>
      <c r="K355" s="124" t="n">
        <f aca="false">IF(WEEKDAY(A355,3)&gt;4,0,(IF(A355&lt;K$2,0,IF(A355&lt;=K$3,1,0))))</f>
        <v>0</v>
      </c>
      <c r="L355" s="124" t="n">
        <f aca="false">J355*K355</f>
        <v>0</v>
      </c>
      <c r="M355" s="124" t="n">
        <f aca="false">SUM(J$280:J355)</f>
        <v>0</v>
      </c>
      <c r="N355" s="124" t="n">
        <f aca="false">SUM(J$6:J355)</f>
        <v>-35909</v>
      </c>
      <c r="P355" s="148" t="n">
        <f aca="false">D355/P$3</f>
        <v>-0.38</v>
      </c>
      <c r="Q355" s="124" t="n">
        <f aca="false">E355/P$3</f>
        <v>0</v>
      </c>
      <c r="R355" s="124" t="n">
        <f aca="false">F355/R$3</f>
        <v>0</v>
      </c>
      <c r="S355" s="126" t="n">
        <f aca="false">J355/$R$3</f>
        <v>0</v>
      </c>
      <c r="T355" s="126" t="n">
        <f aca="false">L355/$R$3</f>
        <v>0</v>
      </c>
      <c r="U355" s="126" t="n">
        <f aca="false">I355/$R$3</f>
        <v>0</v>
      </c>
      <c r="V355" s="126" t="n">
        <f aca="false">M355/$R$3</f>
        <v>0</v>
      </c>
      <c r="W355" s="126" t="n">
        <f aca="false">N355/$R$3</f>
        <v>-35.909</v>
      </c>
    </row>
    <row r="356" customFormat="false" ht="12.75" hidden="false" customHeight="false" outlineLevel="0" collapsed="false">
      <c r="A356" s="120" t="n">
        <f aca="false">A355+1</f>
        <v>37242</v>
      </c>
      <c r="B356" s="131" t="str">
        <f aca="false">INDEX('[4]Master Data'!$A$2:$B$8,MATCH(WEEKDAY('CRD Hedge'!A356,3),'[4]Master Data'!$A$2:$A$8,0),2)</f>
        <v>M</v>
      </c>
      <c r="D356" s="124" t="n">
        <v>0</v>
      </c>
      <c r="E356" s="124" t="n">
        <v>0</v>
      </c>
      <c r="F356" s="124" t="n">
        <v>0</v>
      </c>
      <c r="G356" s="124" t="n">
        <v>0</v>
      </c>
      <c r="I356" s="124" t="n">
        <f aca="false">IF(MONTH($A356)=MONTH($A355),IF(G356=0,I355,G356),G356)</f>
        <v>0</v>
      </c>
      <c r="J356" s="124" t="n">
        <f aca="false">IF(MONTH($A356)=MONTH($A355),SUM(I356-I355),I356)</f>
        <v>0</v>
      </c>
      <c r="K356" s="124" t="n">
        <f aca="false">IF(WEEKDAY(A356,3)&gt;4,0,(IF(A356&lt;K$2,0,IF(A356&lt;=K$3,1,0))))</f>
        <v>0</v>
      </c>
      <c r="L356" s="124" t="n">
        <f aca="false">J356*K356</f>
        <v>0</v>
      </c>
      <c r="M356" s="124" t="n">
        <f aca="false">SUM(J$280:J356)</f>
        <v>0</v>
      </c>
      <c r="N356" s="124" t="n">
        <f aca="false">SUM(J$6:J356)</f>
        <v>-35909</v>
      </c>
      <c r="P356" s="148" t="n">
        <f aca="false">D356/P$3</f>
        <v>0</v>
      </c>
      <c r="Q356" s="124" t="n">
        <f aca="false">E356/P$3</f>
        <v>0</v>
      </c>
      <c r="R356" s="124" t="n">
        <f aca="false">F356/R$3</f>
        <v>0</v>
      </c>
      <c r="S356" s="126" t="n">
        <f aca="false">J356/$R$3</f>
        <v>0</v>
      </c>
      <c r="T356" s="126" t="n">
        <f aca="false">L356/$R$3</f>
        <v>0</v>
      </c>
      <c r="U356" s="126" t="n">
        <f aca="false">I356/$R$3</f>
        <v>0</v>
      </c>
      <c r="V356" s="126" t="n">
        <f aca="false">M356/$R$3</f>
        <v>0</v>
      </c>
      <c r="W356" s="126" t="n">
        <f aca="false">N356/$R$3</f>
        <v>-35.909</v>
      </c>
    </row>
    <row r="357" customFormat="false" ht="12.75" hidden="false" customHeight="false" outlineLevel="0" collapsed="false">
      <c r="A357" s="120" t="n">
        <f aca="false">A356+1</f>
        <v>37243</v>
      </c>
      <c r="B357" s="131" t="str">
        <f aca="false">INDEX('[4]Master Data'!$A$2:$B$8,MATCH(WEEKDAY('CRD Hedge'!A357,3),'[4]Master Data'!$A$2:$A$8,0),2)</f>
        <v>T</v>
      </c>
      <c r="D357" s="124" t="n">
        <v>0</v>
      </c>
      <c r="E357" s="124" t="n">
        <v>0</v>
      </c>
      <c r="F357" s="124" t="n">
        <v>0</v>
      </c>
      <c r="G357" s="124" t="n">
        <v>0</v>
      </c>
      <c r="I357" s="124" t="n">
        <f aca="false">IF(MONTH($A357)=MONTH($A356),IF(G357=0,I356,G357),G357)</f>
        <v>0</v>
      </c>
      <c r="J357" s="124" t="n">
        <f aca="false">IF(MONTH($A357)=MONTH($A356),SUM(I357-I356),I357)</f>
        <v>0</v>
      </c>
      <c r="K357" s="124" t="n">
        <f aca="false">IF(WEEKDAY(A357,3)&gt;4,0,(IF(A357&lt;K$2,0,IF(A357&lt;=K$3,1,0))))</f>
        <v>0</v>
      </c>
      <c r="L357" s="124" t="n">
        <f aca="false">J357*K357</f>
        <v>0</v>
      </c>
      <c r="M357" s="124" t="n">
        <f aca="false">SUM(J$280:J357)</f>
        <v>0</v>
      </c>
      <c r="N357" s="124" t="n">
        <f aca="false">SUM(J$6:J357)</f>
        <v>-35909</v>
      </c>
      <c r="P357" s="148" t="n">
        <f aca="false">D357/P$3</f>
        <v>0</v>
      </c>
      <c r="Q357" s="124" t="n">
        <f aca="false">E357/P$3</f>
        <v>0</v>
      </c>
      <c r="R357" s="124" t="n">
        <f aca="false">F357/R$3</f>
        <v>0</v>
      </c>
      <c r="S357" s="126" t="n">
        <f aca="false">J357/$R$3</f>
        <v>0</v>
      </c>
      <c r="T357" s="126" t="n">
        <f aca="false">L357/$R$3</f>
        <v>0</v>
      </c>
      <c r="U357" s="126" t="n">
        <f aca="false">I357/$R$3</f>
        <v>0</v>
      </c>
      <c r="V357" s="126" t="n">
        <f aca="false">M357/$R$3</f>
        <v>0</v>
      </c>
      <c r="W357" s="126" t="n">
        <f aca="false">N357/$R$3</f>
        <v>-35.909</v>
      </c>
    </row>
    <row r="358" customFormat="false" ht="12.75" hidden="false" customHeight="false" outlineLevel="0" collapsed="false">
      <c r="A358" s="120" t="n">
        <f aca="false">A357+1</f>
        <v>37244</v>
      </c>
      <c r="B358" s="131" t="str">
        <f aca="false">INDEX('[4]Master Data'!$A$2:$B$8,MATCH(WEEKDAY('CRD Hedge'!A358,3),'[4]Master Data'!$A$2:$A$8,0),2)</f>
        <v>W</v>
      </c>
      <c r="D358" s="124" t="n">
        <v>-369</v>
      </c>
      <c r="E358" s="124" t="n">
        <v>0</v>
      </c>
      <c r="F358" s="124" t="n">
        <v>0</v>
      </c>
      <c r="G358" s="124" t="n">
        <v>0</v>
      </c>
      <c r="I358" s="124" t="n">
        <f aca="false">IF(MONTH($A358)=MONTH($A357),IF(G358=0,I357,G358),G358)</f>
        <v>0</v>
      </c>
      <c r="J358" s="124" t="n">
        <f aca="false">IF(MONTH($A358)=MONTH($A357),SUM(I358-I357),I358)</f>
        <v>0</v>
      </c>
      <c r="K358" s="124" t="n">
        <f aca="false">IF(WEEKDAY(A358,3)&gt;4,0,(IF(A358&lt;K$2,0,IF(A358&lt;=K$3,1,0))))</f>
        <v>0</v>
      </c>
      <c r="L358" s="124" t="n">
        <f aca="false">J358*K358</f>
        <v>0</v>
      </c>
      <c r="M358" s="124" t="n">
        <f aca="false">SUM(J$280:J358)</f>
        <v>0</v>
      </c>
      <c r="N358" s="124" t="n">
        <f aca="false">SUM(J$6:J358)</f>
        <v>-35909</v>
      </c>
      <c r="P358" s="148" t="n">
        <f aca="false">D358/P$3</f>
        <v>-0.369</v>
      </c>
      <c r="Q358" s="124" t="n">
        <f aca="false">E358/P$3</f>
        <v>0</v>
      </c>
      <c r="R358" s="124" t="n">
        <f aca="false">F358/R$3</f>
        <v>0</v>
      </c>
      <c r="S358" s="126" t="n">
        <f aca="false">J358/$R$3</f>
        <v>0</v>
      </c>
      <c r="T358" s="126" t="n">
        <f aca="false">L358/$R$3</f>
        <v>0</v>
      </c>
      <c r="U358" s="126" t="n">
        <f aca="false">I358/$R$3</f>
        <v>0</v>
      </c>
      <c r="V358" s="126" t="n">
        <f aca="false">M358/$R$3</f>
        <v>0</v>
      </c>
      <c r="W358" s="126" t="n">
        <f aca="false">N358/$R$3</f>
        <v>-35.909</v>
      </c>
    </row>
    <row r="359" customFormat="false" ht="12.75" hidden="false" customHeight="false" outlineLevel="0" collapsed="false">
      <c r="A359" s="120" t="n">
        <f aca="false">A358+1</f>
        <v>37245</v>
      </c>
      <c r="B359" s="131" t="str">
        <f aca="false">INDEX('[4]Master Data'!$A$2:$B$8,MATCH(WEEKDAY('CRD Hedge'!A359,3),'[4]Master Data'!$A$2:$A$8,0),2)</f>
        <v>Th</v>
      </c>
      <c r="D359" s="124" t="n">
        <v>-391</v>
      </c>
      <c r="E359" s="124" t="n">
        <v>0</v>
      </c>
      <c r="F359" s="124" t="n">
        <v>0</v>
      </c>
      <c r="G359" s="124" t="n">
        <v>0</v>
      </c>
      <c r="I359" s="124" t="n">
        <f aca="false">IF(MONTH($A359)=MONTH($A358),IF(G359=0,I358,G359),G359)</f>
        <v>0</v>
      </c>
      <c r="J359" s="124" t="n">
        <f aca="false">IF(MONTH($A359)=MONTH($A358),SUM(I359-I358),I359)</f>
        <v>0</v>
      </c>
      <c r="K359" s="124" t="n">
        <f aca="false">IF(WEEKDAY(A359,3)&gt;4,0,(IF(A359&lt;K$2,0,IF(A359&lt;=K$3,1,0))))</f>
        <v>0</v>
      </c>
      <c r="L359" s="124" t="n">
        <f aca="false">J359*K359</f>
        <v>0</v>
      </c>
      <c r="M359" s="124" t="n">
        <f aca="false">SUM(J$280:J359)</f>
        <v>0</v>
      </c>
      <c r="N359" s="124" t="n">
        <f aca="false">SUM(J$6:J359)</f>
        <v>-35909</v>
      </c>
      <c r="P359" s="148" t="n">
        <f aca="false">D359/P$3</f>
        <v>-0.391</v>
      </c>
      <c r="Q359" s="124" t="n">
        <f aca="false">E359/P$3</f>
        <v>0</v>
      </c>
      <c r="R359" s="124" t="n">
        <f aca="false">F359/R$3</f>
        <v>0</v>
      </c>
      <c r="S359" s="126" t="n">
        <f aca="false">J359/$R$3</f>
        <v>0</v>
      </c>
      <c r="T359" s="126" t="n">
        <f aca="false">L359/$R$3</f>
        <v>0</v>
      </c>
      <c r="U359" s="126" t="n">
        <f aca="false">I359/$R$3</f>
        <v>0</v>
      </c>
      <c r="V359" s="126" t="n">
        <f aca="false">M359/$R$3</f>
        <v>0</v>
      </c>
      <c r="W359" s="126" t="n">
        <f aca="false">N359/$R$3</f>
        <v>-35.909</v>
      </c>
    </row>
    <row r="360" customFormat="false" ht="12.75" hidden="false" customHeight="false" outlineLevel="0" collapsed="false">
      <c r="A360" s="120" t="n">
        <f aca="false">A359+1</f>
        <v>37246</v>
      </c>
      <c r="B360" s="131" t="str">
        <f aca="false">INDEX('[4]Master Data'!$A$2:$B$8,MATCH(WEEKDAY('CRD Hedge'!A360,3),'[4]Master Data'!$A$2:$A$8,0),2)</f>
        <v>F</v>
      </c>
      <c r="D360" s="124" t="n">
        <v>-446</v>
      </c>
      <c r="E360" s="124" t="n">
        <v>0</v>
      </c>
      <c r="F360" s="124" t="n">
        <v>0</v>
      </c>
      <c r="G360" s="124" t="n">
        <v>0</v>
      </c>
      <c r="I360" s="124" t="n">
        <f aca="false">IF(MONTH($A360)=MONTH($A359),IF(G360=0,I359,G360),G360)</f>
        <v>0</v>
      </c>
      <c r="J360" s="124" t="n">
        <f aca="false">IF(MONTH($A360)=MONTH($A359),SUM(I360-I359),I360)</f>
        <v>0</v>
      </c>
      <c r="K360" s="124" t="n">
        <f aca="false">IF(WEEKDAY(A360,3)&gt;4,0,(IF(A360&lt;K$2,0,IF(A360&lt;=K$3,1,0))))</f>
        <v>0</v>
      </c>
      <c r="L360" s="124" t="n">
        <f aca="false">J360*K360</f>
        <v>0</v>
      </c>
      <c r="M360" s="124" t="n">
        <f aca="false">SUM(J$280:J360)</f>
        <v>0</v>
      </c>
      <c r="N360" s="124" t="n">
        <f aca="false">SUM(J$6:J360)</f>
        <v>-35909</v>
      </c>
      <c r="P360" s="148" t="n">
        <f aca="false">D360/P$3</f>
        <v>-0.446</v>
      </c>
      <c r="Q360" s="124" t="n">
        <f aca="false">E360/P$3</f>
        <v>0</v>
      </c>
      <c r="R360" s="124" t="n">
        <f aca="false">F360/R$3</f>
        <v>0</v>
      </c>
      <c r="S360" s="126" t="n">
        <f aca="false">J360/$R$3</f>
        <v>0</v>
      </c>
      <c r="T360" s="126" t="n">
        <f aca="false">L360/$R$3</f>
        <v>0</v>
      </c>
      <c r="U360" s="126" t="n">
        <f aca="false">I360/$R$3</f>
        <v>0</v>
      </c>
      <c r="V360" s="126" t="n">
        <f aca="false">M360/$R$3</f>
        <v>0</v>
      </c>
      <c r="W360" s="126" t="n">
        <f aca="false">N360/$R$3</f>
        <v>-35.909</v>
      </c>
    </row>
    <row r="361" customFormat="false" ht="12.75" hidden="false" customHeight="false" outlineLevel="0" collapsed="false">
      <c r="A361" s="120" t="n">
        <f aca="false">A360+1</f>
        <v>37247</v>
      </c>
      <c r="B361" s="131" t="str">
        <f aca="false">INDEX('[4]Master Data'!$A$2:$B$8,MATCH(WEEKDAY('CRD Hedge'!A361,3),'[4]Master Data'!$A$2:$A$8,0),2)</f>
        <v>Sa</v>
      </c>
      <c r="D361" s="124" t="n">
        <v>-413</v>
      </c>
      <c r="E361" s="124" t="n">
        <v>0</v>
      </c>
      <c r="F361" s="124" t="n">
        <v>0</v>
      </c>
      <c r="G361" s="124" t="n">
        <v>0</v>
      </c>
      <c r="I361" s="124" t="n">
        <f aca="false">IF(MONTH($A361)=MONTH($A360),IF(G361=0,I360,G361),G361)</f>
        <v>0</v>
      </c>
      <c r="J361" s="124" t="n">
        <f aca="false">IF(MONTH($A361)=MONTH($A360),SUM(I361-I360),I361)</f>
        <v>0</v>
      </c>
      <c r="K361" s="124" t="n">
        <f aca="false">IF(WEEKDAY(A361,3)&gt;4,0,(IF(A361&lt;K$2,0,IF(A361&lt;=K$3,1,0))))</f>
        <v>0</v>
      </c>
      <c r="L361" s="124" t="n">
        <f aca="false">J361*K361</f>
        <v>0</v>
      </c>
      <c r="M361" s="124" t="n">
        <f aca="false">SUM(J$280:J361)</f>
        <v>0</v>
      </c>
      <c r="N361" s="124" t="n">
        <f aca="false">SUM(J$6:J361)</f>
        <v>-35909</v>
      </c>
      <c r="P361" s="148" t="n">
        <f aca="false">D361/P$3</f>
        <v>-0.413</v>
      </c>
      <c r="Q361" s="124" t="n">
        <f aca="false">E361/P$3</f>
        <v>0</v>
      </c>
      <c r="R361" s="124" t="n">
        <f aca="false">F361/R$3</f>
        <v>0</v>
      </c>
      <c r="S361" s="126" t="n">
        <f aca="false">J361/$R$3</f>
        <v>0</v>
      </c>
      <c r="T361" s="126" t="n">
        <f aca="false">L361/$R$3</f>
        <v>0</v>
      </c>
      <c r="U361" s="126" t="n">
        <f aca="false">I361/$R$3</f>
        <v>0</v>
      </c>
      <c r="V361" s="126" t="n">
        <f aca="false">M361/$R$3</f>
        <v>0</v>
      </c>
      <c r="W361" s="126" t="n">
        <f aca="false">N361/$R$3</f>
        <v>-35.909</v>
      </c>
    </row>
    <row r="362" customFormat="false" ht="12.75" hidden="false" customHeight="false" outlineLevel="0" collapsed="false">
      <c r="A362" s="120" t="n">
        <f aca="false">A361+1</f>
        <v>37248</v>
      </c>
      <c r="B362" s="131" t="str">
        <f aca="false">INDEX('[4]Master Data'!$A$2:$B$8,MATCH(WEEKDAY('CRD Hedge'!A362,3),'[4]Master Data'!$A$2:$A$8,0),2)</f>
        <v>Su</v>
      </c>
      <c r="D362" s="124" t="n">
        <v>-418</v>
      </c>
      <c r="E362" s="124" t="n">
        <v>0</v>
      </c>
      <c r="F362" s="124" t="n">
        <v>0</v>
      </c>
      <c r="G362" s="124" t="n">
        <v>0</v>
      </c>
      <c r="I362" s="124" t="n">
        <f aca="false">IF(MONTH($A362)=MONTH($A361),IF(G362=0,I361,G362),G362)</f>
        <v>0</v>
      </c>
      <c r="J362" s="124" t="n">
        <f aca="false">IF(MONTH($A362)=MONTH($A361),SUM(I362-I361),I362)</f>
        <v>0</v>
      </c>
      <c r="K362" s="124" t="n">
        <f aca="false">IF(WEEKDAY(A362,3)&gt;4,0,(IF(A362&lt;K$2,0,IF(A362&lt;=K$3,1,0))))</f>
        <v>0</v>
      </c>
      <c r="L362" s="124" t="n">
        <f aca="false">J362*K362</f>
        <v>0</v>
      </c>
      <c r="M362" s="124" t="n">
        <f aca="false">SUM(J$280:J362)</f>
        <v>0</v>
      </c>
      <c r="N362" s="124" t="n">
        <f aca="false">SUM(J$6:J362)</f>
        <v>-35909</v>
      </c>
      <c r="P362" s="148" t="n">
        <f aca="false">D362/P$3</f>
        <v>-0.418</v>
      </c>
      <c r="Q362" s="124" t="n">
        <f aca="false">E362/P$3</f>
        <v>0</v>
      </c>
      <c r="R362" s="124" t="n">
        <f aca="false">F362/R$3</f>
        <v>0</v>
      </c>
      <c r="S362" s="126" t="n">
        <f aca="false">J362/$R$3</f>
        <v>0</v>
      </c>
      <c r="T362" s="126" t="n">
        <f aca="false">L362/$R$3</f>
        <v>0</v>
      </c>
      <c r="U362" s="126" t="n">
        <f aca="false">I362/$R$3</f>
        <v>0</v>
      </c>
      <c r="V362" s="126" t="n">
        <f aca="false">M362/$R$3</f>
        <v>0</v>
      </c>
      <c r="W362" s="126" t="n">
        <f aca="false">N362/$R$3</f>
        <v>-35.909</v>
      </c>
    </row>
    <row r="363" customFormat="false" ht="12.75" hidden="false" customHeight="false" outlineLevel="0" collapsed="false">
      <c r="A363" s="120" t="n">
        <f aca="false">A362+1</f>
        <v>37249</v>
      </c>
      <c r="B363" s="131" t="str">
        <f aca="false">INDEX('[4]Master Data'!$A$2:$B$8,MATCH(WEEKDAY('CRD Hedge'!A363,3),'[4]Master Data'!$A$2:$A$8,0),2)</f>
        <v>M</v>
      </c>
      <c r="D363" s="124" t="n">
        <v>0</v>
      </c>
      <c r="E363" s="124" t="n">
        <v>0</v>
      </c>
      <c r="F363" s="124" t="n">
        <v>0</v>
      </c>
      <c r="G363" s="124" t="n">
        <v>0</v>
      </c>
      <c r="I363" s="124" t="n">
        <f aca="false">IF(MONTH($A363)=MONTH($A362),IF(G363=0,I362,G363),G363)</f>
        <v>0</v>
      </c>
      <c r="J363" s="124" t="n">
        <f aca="false">IF(MONTH($A363)=MONTH($A362),SUM(I363-I362),I363)</f>
        <v>0</v>
      </c>
      <c r="K363" s="124" t="n">
        <f aca="false">IF(WEEKDAY(A363,3)&gt;4,0,(IF(A363&lt;K$2,0,IF(A363&lt;=K$3,1,0))))</f>
        <v>0</v>
      </c>
      <c r="L363" s="124" t="n">
        <f aca="false">J363*K363</f>
        <v>0</v>
      </c>
      <c r="M363" s="124" t="n">
        <f aca="false">SUM(J$280:J363)</f>
        <v>0</v>
      </c>
      <c r="N363" s="124" t="n">
        <f aca="false">SUM(J$6:J363)</f>
        <v>-35909</v>
      </c>
      <c r="P363" s="148" t="n">
        <f aca="false">D363/P$3</f>
        <v>0</v>
      </c>
      <c r="Q363" s="124" t="n">
        <f aca="false">E363/P$3</f>
        <v>0</v>
      </c>
      <c r="R363" s="124" t="n">
        <f aca="false">F363/R$3</f>
        <v>0</v>
      </c>
      <c r="S363" s="126" t="n">
        <f aca="false">J363/$R$3</f>
        <v>0</v>
      </c>
      <c r="T363" s="126" t="n">
        <f aca="false">L363/$R$3</f>
        <v>0</v>
      </c>
      <c r="U363" s="126" t="n">
        <f aca="false">I363/$R$3</f>
        <v>0</v>
      </c>
      <c r="V363" s="126" t="n">
        <f aca="false">M363/$R$3</f>
        <v>0</v>
      </c>
      <c r="W363" s="126" t="n">
        <f aca="false">N363/$R$3</f>
        <v>-35.909</v>
      </c>
    </row>
    <row r="364" customFormat="false" ht="12.75" hidden="false" customHeight="false" outlineLevel="0" collapsed="false">
      <c r="A364" s="120" t="n">
        <f aca="false">A363+1</f>
        <v>37250</v>
      </c>
      <c r="B364" s="131" t="str">
        <f aca="false">INDEX('[4]Master Data'!$A$2:$B$8,MATCH(WEEKDAY('CRD Hedge'!A364,3),'[4]Master Data'!$A$2:$A$8,0),2)</f>
        <v>T</v>
      </c>
      <c r="D364" s="124" t="n">
        <v>0</v>
      </c>
      <c r="E364" s="124" t="n">
        <v>0</v>
      </c>
      <c r="F364" s="124" t="n">
        <v>0</v>
      </c>
      <c r="G364" s="124" t="n">
        <v>0</v>
      </c>
      <c r="I364" s="124" t="n">
        <f aca="false">IF(MONTH($A364)=MONTH($A363),IF(G364=0,I363,G364),G364)</f>
        <v>0</v>
      </c>
      <c r="J364" s="124" t="n">
        <f aca="false">IF(MONTH($A364)=MONTH($A363),SUM(I364-I363),I364)</f>
        <v>0</v>
      </c>
      <c r="K364" s="124" t="n">
        <f aca="false">IF(WEEKDAY(A364,3)&gt;4,0,(IF(A364&lt;K$2,0,IF(A364&lt;=K$3,1,0))))</f>
        <v>0</v>
      </c>
      <c r="L364" s="124" t="n">
        <f aca="false">J364*K364</f>
        <v>0</v>
      </c>
      <c r="M364" s="124" t="n">
        <f aca="false">SUM(J$280:J364)</f>
        <v>0</v>
      </c>
      <c r="N364" s="124" t="n">
        <f aca="false">SUM(J$6:J364)</f>
        <v>-35909</v>
      </c>
      <c r="P364" s="148" t="n">
        <f aca="false">D364/P$3</f>
        <v>0</v>
      </c>
      <c r="Q364" s="124" t="n">
        <f aca="false">E364/P$3</f>
        <v>0</v>
      </c>
      <c r="R364" s="124" t="n">
        <f aca="false">F364/R$3</f>
        <v>0</v>
      </c>
      <c r="S364" s="126" t="n">
        <f aca="false">J364/$R$3</f>
        <v>0</v>
      </c>
      <c r="T364" s="126" t="n">
        <f aca="false">L364/$R$3</f>
        <v>0</v>
      </c>
      <c r="U364" s="126" t="n">
        <f aca="false">I364/$R$3</f>
        <v>0</v>
      </c>
      <c r="V364" s="126" t="n">
        <f aca="false">M364/$R$3</f>
        <v>0</v>
      </c>
      <c r="W364" s="126" t="n">
        <f aca="false">N364/$R$3</f>
        <v>-35.909</v>
      </c>
    </row>
    <row r="365" customFormat="false" ht="12.75" hidden="false" customHeight="false" outlineLevel="0" collapsed="false">
      <c r="A365" s="120" t="n">
        <f aca="false">A364+1</f>
        <v>37251</v>
      </c>
      <c r="B365" s="131" t="str">
        <f aca="false">INDEX('[4]Master Data'!$A$2:$B$8,MATCH(WEEKDAY('CRD Hedge'!A365,3),'[4]Master Data'!$A$2:$A$8,0),2)</f>
        <v>W</v>
      </c>
      <c r="D365" s="124" t="n">
        <v>0</v>
      </c>
      <c r="E365" s="124" t="n">
        <v>0</v>
      </c>
      <c r="F365" s="124" t="n">
        <v>0</v>
      </c>
      <c r="G365" s="124" t="n">
        <v>0</v>
      </c>
      <c r="I365" s="124" t="n">
        <f aca="false">IF(MONTH($A365)=MONTH($A364),IF(G365=0,I364,G365),G365)</f>
        <v>0</v>
      </c>
      <c r="J365" s="124" t="n">
        <f aca="false">IF(MONTH($A365)=MONTH($A364),SUM(I365-I364),I365)</f>
        <v>0</v>
      </c>
      <c r="K365" s="124" t="n">
        <f aca="false">IF(WEEKDAY(A365,3)&gt;4,0,(IF(A365&lt;K$2,0,IF(A365&lt;=K$3,1,0))))</f>
        <v>0</v>
      </c>
      <c r="L365" s="124" t="n">
        <f aca="false">J365*K365</f>
        <v>0</v>
      </c>
      <c r="M365" s="124" t="n">
        <f aca="false">SUM(J$280:J365)</f>
        <v>0</v>
      </c>
      <c r="N365" s="124" t="n">
        <f aca="false">SUM(J$6:J365)</f>
        <v>-35909</v>
      </c>
      <c r="P365" s="148" t="n">
        <f aca="false">D365/P$3</f>
        <v>0</v>
      </c>
      <c r="Q365" s="124" t="n">
        <f aca="false">E365/P$3</f>
        <v>0</v>
      </c>
      <c r="R365" s="124" t="n">
        <f aca="false">F365/R$3</f>
        <v>0</v>
      </c>
      <c r="S365" s="126" t="n">
        <f aca="false">J365/$R$3</f>
        <v>0</v>
      </c>
      <c r="T365" s="126" t="n">
        <f aca="false">L365/$R$3</f>
        <v>0</v>
      </c>
      <c r="U365" s="126" t="n">
        <f aca="false">I365/$R$3</f>
        <v>0</v>
      </c>
      <c r="V365" s="126" t="n">
        <f aca="false">M365/$R$3</f>
        <v>0</v>
      </c>
      <c r="W365" s="126" t="n">
        <f aca="false">N365/$R$3</f>
        <v>-35.909</v>
      </c>
    </row>
    <row r="366" customFormat="false" ht="12.75" hidden="false" customHeight="false" outlineLevel="0" collapsed="false">
      <c r="A366" s="120" t="n">
        <f aca="false">A365+1</f>
        <v>37252</v>
      </c>
      <c r="B366" s="131" t="str">
        <f aca="false">INDEX('[4]Master Data'!$A$2:$B$8,MATCH(WEEKDAY('CRD Hedge'!A366,3),'[4]Master Data'!$A$2:$A$8,0),2)</f>
        <v>Th</v>
      </c>
      <c r="D366" s="124" t="n">
        <v>0</v>
      </c>
      <c r="E366" s="124" t="n">
        <v>0</v>
      </c>
      <c r="F366" s="124" t="n">
        <v>0</v>
      </c>
      <c r="G366" s="124" t="n">
        <v>0</v>
      </c>
      <c r="I366" s="124" t="n">
        <f aca="false">IF(MONTH($A366)=MONTH($A365),IF(G366=0,I365,G366),G366)</f>
        <v>0</v>
      </c>
      <c r="J366" s="124" t="n">
        <f aca="false">IF(MONTH($A366)=MONTH($A365),SUM(I366-I365),I366)</f>
        <v>0</v>
      </c>
      <c r="K366" s="124" t="n">
        <f aca="false">IF(WEEKDAY(A366,3)&gt;4,0,(IF(A366&lt;K$2,0,IF(A366&lt;=K$3,1,0))))</f>
        <v>0</v>
      </c>
      <c r="L366" s="124" t="n">
        <f aca="false">J366*K366</f>
        <v>0</v>
      </c>
      <c r="M366" s="124" t="n">
        <f aca="false">SUM(J$280:J366)</f>
        <v>0</v>
      </c>
      <c r="N366" s="124" t="n">
        <f aca="false">SUM(J$6:J366)</f>
        <v>-35909</v>
      </c>
      <c r="P366" s="148" t="n">
        <f aca="false">D366/P$3</f>
        <v>0</v>
      </c>
      <c r="Q366" s="124" t="n">
        <f aca="false">E366/P$3</f>
        <v>0</v>
      </c>
      <c r="R366" s="124" t="n">
        <f aca="false">F366/R$3</f>
        <v>0</v>
      </c>
      <c r="S366" s="126" t="n">
        <f aca="false">J366/$R$3</f>
        <v>0</v>
      </c>
      <c r="T366" s="126" t="n">
        <f aca="false">L366/$R$3</f>
        <v>0</v>
      </c>
      <c r="U366" s="126" t="n">
        <f aca="false">I366/$R$3</f>
        <v>0</v>
      </c>
      <c r="V366" s="126" t="n">
        <f aca="false">M366/$R$3</f>
        <v>0</v>
      </c>
      <c r="W366" s="126" t="n">
        <f aca="false">N366/$R$3</f>
        <v>-35.909</v>
      </c>
    </row>
    <row r="367" customFormat="false" ht="12.75" hidden="false" customHeight="false" outlineLevel="0" collapsed="false">
      <c r="A367" s="120" t="n">
        <f aca="false">A366+1</f>
        <v>37253</v>
      </c>
      <c r="B367" s="131" t="str">
        <f aca="false">INDEX('[4]Master Data'!$A$2:$B$8,MATCH(WEEKDAY('CRD Hedge'!A367,3),'[4]Master Data'!$A$2:$A$8,0),2)</f>
        <v>F</v>
      </c>
      <c r="D367" s="124" t="n">
        <v>-413</v>
      </c>
      <c r="E367" s="124" t="n">
        <v>0</v>
      </c>
      <c r="F367" s="124" t="n">
        <v>0</v>
      </c>
      <c r="G367" s="124" t="n">
        <v>0</v>
      </c>
      <c r="I367" s="124" t="n">
        <f aca="false">IF(MONTH($A367)=MONTH($A366),IF(G367=0,I366,G367),G367)</f>
        <v>0</v>
      </c>
      <c r="J367" s="124" t="n">
        <f aca="false">IF(MONTH($A367)=MONTH($A366),SUM(I367-I366),I367)</f>
        <v>0</v>
      </c>
      <c r="K367" s="124" t="n">
        <f aca="false">IF(WEEKDAY(A367,3)&gt;4,0,(IF(A367&lt;K$2,0,IF(A367&lt;=K$3,1,0))))</f>
        <v>0</v>
      </c>
      <c r="L367" s="124" t="n">
        <f aca="false">J367*K367</f>
        <v>0</v>
      </c>
      <c r="M367" s="124" t="n">
        <f aca="false">SUM(J$280:J367)</f>
        <v>0</v>
      </c>
      <c r="N367" s="124" t="n">
        <f aca="false">SUM(J$6:J367)</f>
        <v>-35909</v>
      </c>
      <c r="P367" s="148" t="n">
        <f aca="false">D367/P$3</f>
        <v>-0.413</v>
      </c>
      <c r="Q367" s="124" t="n">
        <f aca="false">E367/P$3</f>
        <v>0</v>
      </c>
      <c r="R367" s="124" t="n">
        <f aca="false">F367/R$3</f>
        <v>0</v>
      </c>
      <c r="S367" s="126" t="n">
        <f aca="false">J367/$R$3</f>
        <v>0</v>
      </c>
      <c r="T367" s="126" t="n">
        <f aca="false">L367/$R$3</f>
        <v>0</v>
      </c>
      <c r="U367" s="126" t="n">
        <f aca="false">I367/$R$3</f>
        <v>0</v>
      </c>
      <c r="V367" s="126" t="n">
        <f aca="false">M367/$R$3</f>
        <v>0</v>
      </c>
      <c r="W367" s="126" t="n">
        <f aca="false">N367/$R$3</f>
        <v>-35.909</v>
      </c>
    </row>
    <row r="368" customFormat="false" ht="12.75" hidden="false" customHeight="false" outlineLevel="0" collapsed="false">
      <c r="A368" s="120" t="n">
        <f aca="false">A367+1</f>
        <v>37254</v>
      </c>
      <c r="B368" s="131" t="str">
        <f aca="false">INDEX('[4]Master Data'!$A$2:$B$8,MATCH(WEEKDAY('CRD Hedge'!A368,3),'[4]Master Data'!$A$2:$A$8,0),2)</f>
        <v>Sa</v>
      </c>
      <c r="D368" s="124" t="n">
        <v>-381</v>
      </c>
      <c r="E368" s="124" t="n">
        <v>0</v>
      </c>
      <c r="F368" s="124" t="n">
        <v>0</v>
      </c>
      <c r="G368" s="124" t="n">
        <v>0</v>
      </c>
      <c r="I368" s="124" t="n">
        <f aca="false">IF(MONTH($A368)=MONTH($A367),IF(G368=0,I367,G368),G368)</f>
        <v>0</v>
      </c>
      <c r="J368" s="124" t="n">
        <f aca="false">IF(MONTH($A368)=MONTH($A367),SUM(I368-I367),I368)</f>
        <v>0</v>
      </c>
      <c r="K368" s="124" t="n">
        <f aca="false">IF(WEEKDAY(A368,3)&gt;4,0,(IF(A368&lt;K$2,0,IF(A368&lt;=K$3,1,0))))</f>
        <v>0</v>
      </c>
      <c r="L368" s="124" t="n">
        <f aca="false">J368*K368</f>
        <v>0</v>
      </c>
      <c r="M368" s="124" t="n">
        <f aca="false">SUM(J$280:J368)</f>
        <v>0</v>
      </c>
      <c r="N368" s="124" t="n">
        <f aca="false">SUM(J$6:J368)</f>
        <v>-35909</v>
      </c>
      <c r="P368" s="148" t="n">
        <f aca="false">D368/P$3</f>
        <v>-0.381</v>
      </c>
      <c r="Q368" s="124" t="n">
        <f aca="false">E368/P$3</f>
        <v>0</v>
      </c>
      <c r="R368" s="124" t="n">
        <f aca="false">F368/R$3</f>
        <v>0</v>
      </c>
      <c r="S368" s="126" t="n">
        <f aca="false">J368/$R$3</f>
        <v>0</v>
      </c>
      <c r="T368" s="126" t="n">
        <f aca="false">L368/$R$3</f>
        <v>0</v>
      </c>
      <c r="U368" s="126" t="n">
        <f aca="false">I368/$R$3</f>
        <v>0</v>
      </c>
      <c r="V368" s="126" t="n">
        <f aca="false">M368/$R$3</f>
        <v>0</v>
      </c>
      <c r="W368" s="126" t="n">
        <f aca="false">N368/$R$3</f>
        <v>-35.909</v>
      </c>
    </row>
    <row r="369" customFormat="false" ht="12.75" hidden="false" customHeight="false" outlineLevel="0" collapsed="false">
      <c r="A369" s="120" t="n">
        <f aca="false">A368+1</f>
        <v>37255</v>
      </c>
      <c r="B369" s="131" t="str">
        <f aca="false">INDEX('[4]Master Data'!$A$2:$B$8,MATCH(WEEKDAY('CRD Hedge'!A369,3),'[4]Master Data'!$A$2:$A$8,0),2)</f>
        <v>Su</v>
      </c>
      <c r="D369" s="124" t="n">
        <v>-365</v>
      </c>
      <c r="E369" s="124" t="n">
        <v>0</v>
      </c>
      <c r="F369" s="124" t="n">
        <v>0</v>
      </c>
      <c r="G369" s="124" t="n">
        <v>0</v>
      </c>
      <c r="I369" s="124" t="n">
        <f aca="false">IF(MONTH($A369)=MONTH($A368),IF(G369=0,I368,G369),G369)</f>
        <v>0</v>
      </c>
      <c r="J369" s="124" t="n">
        <f aca="false">IF(MONTH($A369)=MONTH($A368),SUM(I369-I368),I369)</f>
        <v>0</v>
      </c>
      <c r="K369" s="124" t="n">
        <f aca="false">IF(WEEKDAY(A369,3)&gt;4,0,(IF(A369&lt;K$2,0,IF(A369&lt;=K$3,1,0))))</f>
        <v>0</v>
      </c>
      <c r="L369" s="124" t="n">
        <f aca="false">J369*K369</f>
        <v>0</v>
      </c>
      <c r="M369" s="124" t="n">
        <f aca="false">SUM(J$280:J369)</f>
        <v>0</v>
      </c>
      <c r="N369" s="124" t="n">
        <f aca="false">SUM(J$6:J369)</f>
        <v>-35909</v>
      </c>
      <c r="P369" s="148" t="n">
        <f aca="false">D369/P$3</f>
        <v>-0.365</v>
      </c>
      <c r="Q369" s="124" t="n">
        <f aca="false">E369/P$3</f>
        <v>0</v>
      </c>
      <c r="R369" s="124" t="n">
        <f aca="false">F369/R$3</f>
        <v>0</v>
      </c>
      <c r="S369" s="126" t="n">
        <f aca="false">J369/$R$3</f>
        <v>0</v>
      </c>
      <c r="T369" s="126" t="n">
        <f aca="false">L369/$R$3</f>
        <v>0</v>
      </c>
      <c r="U369" s="126" t="n">
        <f aca="false">I369/$R$3</f>
        <v>0</v>
      </c>
      <c r="V369" s="126" t="n">
        <f aca="false">M369/$R$3</f>
        <v>0</v>
      </c>
      <c r="W369" s="126" t="n">
        <f aca="false">N369/$R$3</f>
        <v>-35.909</v>
      </c>
    </row>
    <row r="370" customFormat="false" ht="12.75" hidden="false" customHeight="false" outlineLevel="0" collapsed="false">
      <c r="A370" s="120" t="n">
        <f aca="false">A369+1</f>
        <v>37256</v>
      </c>
      <c r="B370" s="131" t="str">
        <f aca="false">INDEX('[4]Master Data'!$A$2:$B$8,MATCH(WEEKDAY('CRD Hedge'!A370,3),'[4]Master Data'!$A$2:$A$8,0),2)</f>
        <v>M</v>
      </c>
      <c r="D370" s="124" t="n">
        <v>0</v>
      </c>
      <c r="E370" s="124" t="n">
        <v>0</v>
      </c>
      <c r="F370" s="124" t="n">
        <v>0</v>
      </c>
      <c r="G370" s="124" t="n">
        <v>0</v>
      </c>
      <c r="I370" s="124" t="n">
        <f aca="false">IF(MONTH($A370)=MONTH($A369),IF(G370=0,I369,G370),G370)</f>
        <v>0</v>
      </c>
      <c r="J370" s="124" t="n">
        <f aca="false">IF(MONTH($A370)=MONTH($A369),SUM(I370-I369),I370)</f>
        <v>0</v>
      </c>
      <c r="K370" s="124" t="n">
        <f aca="false">IF(WEEKDAY(A370,3)&gt;4,0,(IF(A370&lt;K$2,0,IF(A370&lt;=K$3,1,0))))</f>
        <v>0</v>
      </c>
      <c r="L370" s="124" t="n">
        <f aca="false">J370*K370</f>
        <v>0</v>
      </c>
      <c r="M370" s="124" t="n">
        <f aca="false">SUM(J$280:J370)</f>
        <v>0</v>
      </c>
      <c r="N370" s="124" t="n">
        <f aca="false">SUM(J$6:J370)</f>
        <v>-35909</v>
      </c>
      <c r="P370" s="148" t="n">
        <f aca="false">D370/P$3</f>
        <v>0</v>
      </c>
      <c r="Q370" s="124" t="n">
        <f aca="false">E370/P$3</f>
        <v>0</v>
      </c>
      <c r="R370" s="124" t="n">
        <f aca="false">F370/R$3</f>
        <v>0</v>
      </c>
      <c r="S370" s="126" t="n">
        <f aca="false">J370/$R$3</f>
        <v>0</v>
      </c>
      <c r="T370" s="126" t="n">
        <f aca="false">L370/$R$3</f>
        <v>0</v>
      </c>
      <c r="U370" s="126" t="n">
        <f aca="false">I370/$R$3</f>
        <v>0</v>
      </c>
      <c r="V370" s="126" t="n">
        <f aca="false">M370/$R$3</f>
        <v>0</v>
      </c>
      <c r="W370" s="126" t="n">
        <f aca="false">N370/$R$3</f>
        <v>-35.909</v>
      </c>
    </row>
    <row r="371" customFormat="false" ht="12.75" hidden="false" customHeight="false" outlineLevel="0" collapsed="false">
      <c r="A371" s="120" t="n">
        <f aca="false">A370+1</f>
        <v>37257</v>
      </c>
      <c r="B371" s="131" t="str">
        <f aca="false">INDEX('[4]Master Data'!$A$2:$B$8,MATCH(WEEKDAY('CRD Hedge'!A371,3),'[4]Master Data'!$A$2:$A$8,0),2)</f>
        <v>T</v>
      </c>
      <c r="D371" s="124" t="n">
        <v>0</v>
      </c>
      <c r="E371" s="124" t="n">
        <v>0</v>
      </c>
      <c r="F371" s="124" t="n">
        <v>0</v>
      </c>
      <c r="G371" s="124" t="n">
        <v>0</v>
      </c>
      <c r="I371" s="124" t="n">
        <f aca="false">IF(MONTH($A371)=MONTH($A370),IF(G371=0,I370,G371),G371)</f>
        <v>0</v>
      </c>
      <c r="J371" s="124" t="n">
        <f aca="false">IF(MONTH($A371)=MONTH($A370),SUM(I371-I370),I371)</f>
        <v>0</v>
      </c>
      <c r="K371" s="124" t="n">
        <f aca="false">IF(WEEKDAY(A371,3)&gt;4,0,(IF(A371&lt;K$2,0,IF(A371&lt;=K$3,1,0))))</f>
        <v>0</v>
      </c>
      <c r="L371" s="124" t="n">
        <f aca="false">J371*K371</f>
        <v>0</v>
      </c>
      <c r="M371" s="124" t="n">
        <f aca="false">SUM(J$280:J371)</f>
        <v>0</v>
      </c>
      <c r="N371" s="124" t="n">
        <f aca="false">SUM(J$6:J371)</f>
        <v>-35909</v>
      </c>
      <c r="P371" s="148" t="n">
        <f aca="false">D371/P$3</f>
        <v>0</v>
      </c>
      <c r="Q371" s="124" t="n">
        <f aca="false">E371/P$3</f>
        <v>0</v>
      </c>
      <c r="R371" s="124" t="n">
        <f aca="false">F371/R$3</f>
        <v>0</v>
      </c>
      <c r="S371" s="126" t="n">
        <f aca="false">J371/$R$3</f>
        <v>0</v>
      </c>
      <c r="T371" s="126" t="n">
        <f aca="false">L371/$R$3</f>
        <v>0</v>
      </c>
      <c r="U371" s="126" t="n">
        <f aca="false">I371/$R$3</f>
        <v>0</v>
      </c>
      <c r="V371" s="126" t="n">
        <f aca="false">M371/$R$3</f>
        <v>0</v>
      </c>
      <c r="W371" s="126" t="n">
        <f aca="false">N371/$R$3</f>
        <v>-35.909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78" activeCellId="0" sqref="D78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20" width="7.28"/>
    <col collapsed="false" customWidth="true" hidden="false" outlineLevel="0" max="2" min="2" style="121" width="4.14"/>
    <col collapsed="false" customWidth="true" hidden="false" outlineLevel="0" max="3" min="3" style="122" width="2.7"/>
    <col collapsed="false" customWidth="true" hidden="false" outlineLevel="0" max="7" min="4" style="121" width="14.99"/>
    <col collapsed="false" customWidth="true" hidden="false" outlineLevel="0" max="8" min="8" style="122" width="2.7"/>
    <col collapsed="false" customWidth="true" hidden="false" outlineLevel="0" max="9" min="9" style="123" width="13.14"/>
    <col collapsed="false" customWidth="true" hidden="false" outlineLevel="0" max="10" min="10" style="124" width="13.14"/>
    <col collapsed="false" customWidth="true" hidden="false" outlineLevel="0" max="11" min="11" style="124" width="10.99"/>
    <col collapsed="false" customWidth="true" hidden="false" outlineLevel="0" max="14" min="12" style="124" width="13.14"/>
    <col collapsed="false" customWidth="true" hidden="false" outlineLevel="0" max="15" min="15" style="125" width="2.7"/>
    <col collapsed="false" customWidth="true" hidden="false" outlineLevel="0" max="18" min="16" style="121" width="16.13"/>
    <col collapsed="false" customWidth="true" hidden="false" outlineLevel="0" max="23" min="19" style="126" width="12.7"/>
    <col collapsed="false" customWidth="false" hidden="false" outlineLevel="0" max="257" min="24" style="121" width="9.14"/>
  </cols>
  <sheetData>
    <row r="1" customFormat="false" ht="12.75" hidden="false" customHeight="false" outlineLevel="0" collapsed="false">
      <c r="A1" s="127" t="n">
        <v>1</v>
      </c>
      <c r="B1" s="121" t="n">
        <f aca="false">+A1+1</f>
        <v>2</v>
      </c>
      <c r="C1" s="122" t="n">
        <f aca="false">+B1+1</f>
        <v>3</v>
      </c>
      <c r="D1" s="121" t="n">
        <f aca="false">+C1+1</f>
        <v>4</v>
      </c>
      <c r="E1" s="121" t="n">
        <f aca="false">+D1+1</f>
        <v>5</v>
      </c>
      <c r="F1" s="121" t="n">
        <f aca="false">+E1+1</f>
        <v>6</v>
      </c>
      <c r="G1" s="121" t="n">
        <f aca="false">+F1+1</f>
        <v>7</v>
      </c>
      <c r="H1" s="122" t="n">
        <f aca="false">+G1+1</f>
        <v>8</v>
      </c>
      <c r="I1" s="123" t="n">
        <f aca="false">+H1+1</f>
        <v>9</v>
      </c>
      <c r="J1" s="124" t="n">
        <f aca="false">+I1+1</f>
        <v>10</v>
      </c>
      <c r="K1" s="124" t="n">
        <f aca="false">+J1+1</f>
        <v>11</v>
      </c>
      <c r="L1" s="124" t="n">
        <f aca="false">+K1+1</f>
        <v>12</v>
      </c>
      <c r="M1" s="124" t="n">
        <f aca="false">+L1+1</f>
        <v>13</v>
      </c>
      <c r="N1" s="124" t="n">
        <f aca="false">+M1+1</f>
        <v>14</v>
      </c>
      <c r="O1" s="125" t="n">
        <f aca="false">+N1+1</f>
        <v>15</v>
      </c>
      <c r="P1" s="121" t="n">
        <f aca="false">+O1+1</f>
        <v>16</v>
      </c>
      <c r="Q1" s="121" t="n">
        <f aca="false">+P1+1</f>
        <v>17</v>
      </c>
      <c r="R1" s="121" t="n">
        <f aca="false">+Q1+1</f>
        <v>18</v>
      </c>
      <c r="S1" s="121" t="n">
        <f aca="false">+R1+1</f>
        <v>19</v>
      </c>
      <c r="T1" s="121" t="n">
        <f aca="false">+S1+1</f>
        <v>20</v>
      </c>
      <c r="U1" s="121" t="n">
        <f aca="false">+T1+1</f>
        <v>21</v>
      </c>
      <c r="V1" s="121" t="n">
        <f aca="false">+U1+1</f>
        <v>22</v>
      </c>
      <c r="W1" s="121" t="n">
        <f aca="false">+V1+1</f>
        <v>23</v>
      </c>
    </row>
    <row r="2" customFormat="false" ht="12.75" hidden="false" customHeight="false" outlineLevel="0" collapsed="false">
      <c r="K2" s="128" t="n">
        <f aca="false">WORKDAY(K3,-4)</f>
        <v>37190</v>
      </c>
    </row>
    <row r="3" customFormat="false" ht="12.75" hidden="false" customHeight="false" outlineLevel="0" collapsed="false">
      <c r="K3" s="128" t="n">
        <f aca="false">Summary!B8</f>
        <v>37196</v>
      </c>
      <c r="L3" s="129" t="n">
        <f aca="false">SUM(L6:L371)</f>
        <v>0</v>
      </c>
      <c r="P3" s="124" t="n">
        <v>1000000</v>
      </c>
      <c r="Q3" s="124"/>
      <c r="R3" s="124" t="n">
        <v>1000</v>
      </c>
      <c r="S3" s="121"/>
      <c r="T3" s="130" t="n">
        <f aca="false">SUM(T6:T371)</f>
        <v>0</v>
      </c>
    </row>
    <row r="4" customFormat="false" ht="12.75" hidden="false" customHeight="false" outlineLevel="0" collapsed="false">
      <c r="D4" s="131" t="s">
        <v>84</v>
      </c>
      <c r="E4" s="131" t="s">
        <v>84</v>
      </c>
      <c r="F4" s="131" t="s">
        <v>58</v>
      </c>
      <c r="G4" s="131" t="s">
        <v>58</v>
      </c>
      <c r="I4" s="132" t="s">
        <v>58</v>
      </c>
      <c r="J4" s="132"/>
      <c r="K4" s="132"/>
      <c r="L4" s="132"/>
      <c r="M4" s="132"/>
      <c r="N4" s="132"/>
      <c r="O4" s="133"/>
      <c r="P4" s="134" t="s">
        <v>85</v>
      </c>
      <c r="Q4" s="134"/>
      <c r="R4" s="135" t="s">
        <v>60</v>
      </c>
      <c r="S4" s="135"/>
      <c r="T4" s="135"/>
      <c r="U4" s="135"/>
      <c r="V4" s="135"/>
      <c r="W4" s="135"/>
    </row>
    <row r="5" customFormat="false" ht="12.75" hidden="false" customHeight="false" outlineLevel="0" collapsed="false">
      <c r="A5" s="136" t="s">
        <v>61</v>
      </c>
      <c r="B5" s="131" t="s">
        <v>62</v>
      </c>
      <c r="C5" s="137"/>
      <c r="D5" s="138" t="s">
        <v>63</v>
      </c>
      <c r="E5" s="138" t="s">
        <v>64</v>
      </c>
      <c r="F5" s="138" t="s">
        <v>65</v>
      </c>
      <c r="G5" s="138" t="s">
        <v>66</v>
      </c>
      <c r="H5" s="139"/>
      <c r="I5" s="138" t="s">
        <v>67</v>
      </c>
      <c r="J5" s="140" t="s">
        <v>68</v>
      </c>
      <c r="K5" s="140" t="s">
        <v>69</v>
      </c>
      <c r="L5" s="140" t="s">
        <v>70</v>
      </c>
      <c r="M5" s="140" t="s">
        <v>71</v>
      </c>
      <c r="N5" s="140" t="s">
        <v>72</v>
      </c>
      <c r="O5" s="141"/>
      <c r="P5" s="138" t="s">
        <v>63</v>
      </c>
      <c r="Q5" s="138" t="s">
        <v>64</v>
      </c>
      <c r="R5" s="138" t="s">
        <v>65</v>
      </c>
      <c r="S5" s="142" t="s">
        <v>68</v>
      </c>
      <c r="T5" s="140" t="s">
        <v>70</v>
      </c>
      <c r="U5" s="142" t="s">
        <v>66</v>
      </c>
      <c r="V5" s="142" t="s">
        <v>71</v>
      </c>
      <c r="W5" s="142" t="s">
        <v>72</v>
      </c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1"/>
      <c r="AW5" s="131"/>
      <c r="AX5" s="131"/>
      <c r="AY5" s="131"/>
      <c r="AZ5" s="131"/>
      <c r="BA5" s="131"/>
      <c r="BB5" s="131"/>
      <c r="BC5" s="131"/>
      <c r="BD5" s="131"/>
      <c r="BE5" s="131"/>
      <c r="BF5" s="131"/>
      <c r="BG5" s="131"/>
      <c r="BH5" s="131"/>
      <c r="BI5" s="131"/>
      <c r="BJ5" s="131"/>
      <c r="BK5" s="131"/>
      <c r="BL5" s="131"/>
      <c r="BM5" s="131"/>
      <c r="BN5" s="131"/>
      <c r="BO5" s="131"/>
      <c r="BP5" s="131"/>
      <c r="BQ5" s="131"/>
      <c r="BR5" s="131"/>
      <c r="BS5" s="131"/>
      <c r="BT5" s="131"/>
      <c r="BU5" s="131"/>
      <c r="BV5" s="131"/>
      <c r="BW5" s="131"/>
      <c r="BX5" s="131"/>
      <c r="BY5" s="131"/>
      <c r="BZ5" s="131"/>
      <c r="CA5" s="131"/>
      <c r="CB5" s="131"/>
      <c r="CC5" s="131"/>
      <c r="CD5" s="131"/>
      <c r="CE5" s="131"/>
      <c r="CF5" s="131"/>
      <c r="CG5" s="131"/>
      <c r="CH5" s="131"/>
      <c r="CI5" s="131"/>
      <c r="CJ5" s="131"/>
      <c r="CK5" s="131"/>
      <c r="CL5" s="131"/>
      <c r="CM5" s="131"/>
      <c r="CN5" s="131"/>
      <c r="CO5" s="131"/>
      <c r="CP5" s="131"/>
      <c r="CQ5" s="131"/>
      <c r="CR5" s="131"/>
      <c r="CS5" s="131"/>
      <c r="CT5" s="131"/>
      <c r="CU5" s="131"/>
      <c r="CV5" s="131"/>
      <c r="CW5" s="131"/>
      <c r="CX5" s="131"/>
      <c r="CY5" s="131"/>
      <c r="CZ5" s="131"/>
      <c r="DA5" s="131"/>
      <c r="DB5" s="131"/>
      <c r="DC5" s="131"/>
      <c r="DD5" s="131"/>
      <c r="DE5" s="131"/>
      <c r="DF5" s="131"/>
      <c r="DG5" s="131"/>
      <c r="DH5" s="131"/>
      <c r="DI5" s="131"/>
      <c r="DJ5" s="131"/>
      <c r="DK5" s="131"/>
      <c r="DL5" s="131"/>
      <c r="DM5" s="131"/>
      <c r="DN5" s="131"/>
      <c r="DO5" s="131"/>
      <c r="DP5" s="131"/>
      <c r="DQ5" s="131"/>
      <c r="DR5" s="131"/>
      <c r="DS5" s="131"/>
      <c r="DT5" s="131"/>
      <c r="DU5" s="131"/>
      <c r="DV5" s="131"/>
      <c r="DW5" s="131"/>
      <c r="DX5" s="131"/>
      <c r="DY5" s="131"/>
      <c r="DZ5" s="131"/>
      <c r="EA5" s="131"/>
      <c r="EB5" s="131"/>
      <c r="EC5" s="131"/>
      <c r="ED5" s="131"/>
      <c r="EE5" s="131"/>
      <c r="EF5" s="131"/>
      <c r="EG5" s="131"/>
      <c r="EH5" s="131"/>
      <c r="EI5" s="131"/>
      <c r="EJ5" s="131"/>
      <c r="EK5" s="131"/>
      <c r="EL5" s="131"/>
      <c r="EM5" s="131"/>
      <c r="EN5" s="131"/>
      <c r="EO5" s="131"/>
      <c r="EP5" s="131"/>
      <c r="EQ5" s="131"/>
      <c r="ER5" s="131"/>
      <c r="ES5" s="131"/>
      <c r="ET5" s="131"/>
      <c r="EU5" s="131"/>
      <c r="EV5" s="131"/>
      <c r="EW5" s="131"/>
      <c r="EX5" s="131"/>
      <c r="EY5" s="131"/>
      <c r="EZ5" s="131"/>
      <c r="FA5" s="131"/>
      <c r="FB5" s="131"/>
      <c r="FC5" s="131"/>
      <c r="FD5" s="131"/>
      <c r="FE5" s="131"/>
      <c r="FF5" s="131"/>
      <c r="FG5" s="131"/>
      <c r="FH5" s="131"/>
      <c r="FI5" s="131"/>
      <c r="FJ5" s="131"/>
      <c r="FK5" s="131"/>
      <c r="FL5" s="131"/>
      <c r="FM5" s="131"/>
      <c r="FN5" s="131"/>
      <c r="FO5" s="131"/>
      <c r="FP5" s="131"/>
      <c r="FQ5" s="131"/>
      <c r="FR5" s="131"/>
      <c r="FS5" s="131"/>
      <c r="FT5" s="131"/>
      <c r="FU5" s="131"/>
      <c r="FV5" s="131"/>
      <c r="FW5" s="131"/>
      <c r="FX5" s="131"/>
      <c r="FY5" s="131"/>
      <c r="FZ5" s="131"/>
      <c r="GA5" s="131"/>
      <c r="GB5" s="131"/>
      <c r="GC5" s="131"/>
      <c r="GD5" s="131"/>
      <c r="GE5" s="131"/>
      <c r="GF5" s="131"/>
      <c r="GG5" s="131"/>
      <c r="GH5" s="131"/>
      <c r="GI5" s="131"/>
      <c r="GJ5" s="131"/>
      <c r="GK5" s="131"/>
      <c r="GL5" s="131"/>
      <c r="GM5" s="131"/>
      <c r="GN5" s="131"/>
      <c r="GO5" s="131"/>
      <c r="GP5" s="131"/>
      <c r="GQ5" s="131"/>
      <c r="GR5" s="131"/>
      <c r="GS5" s="131"/>
      <c r="GT5" s="131"/>
      <c r="GU5" s="131"/>
      <c r="GV5" s="131"/>
      <c r="GW5" s="131"/>
      <c r="GX5" s="131"/>
      <c r="GY5" s="131"/>
      <c r="GZ5" s="131"/>
      <c r="HA5" s="131"/>
      <c r="HB5" s="131"/>
      <c r="HC5" s="131"/>
      <c r="HD5" s="131"/>
      <c r="HE5" s="131"/>
      <c r="HF5" s="131"/>
      <c r="HG5" s="131"/>
      <c r="HH5" s="131"/>
      <c r="HI5" s="131"/>
      <c r="HJ5" s="131"/>
      <c r="HK5" s="131"/>
      <c r="HL5" s="131"/>
      <c r="HM5" s="131"/>
      <c r="HN5" s="131"/>
      <c r="HO5" s="131"/>
      <c r="HP5" s="131"/>
      <c r="HQ5" s="131"/>
      <c r="HR5" s="131"/>
      <c r="HS5" s="131"/>
      <c r="HT5" s="131"/>
      <c r="HU5" s="131"/>
      <c r="HV5" s="131"/>
      <c r="HW5" s="131"/>
      <c r="HX5" s="131"/>
      <c r="HY5" s="131"/>
      <c r="HZ5" s="131"/>
      <c r="IA5" s="131"/>
      <c r="IB5" s="131"/>
      <c r="IC5" s="131"/>
      <c r="ID5" s="131"/>
      <c r="IE5" s="131"/>
      <c r="IF5" s="131"/>
      <c r="IG5" s="131"/>
      <c r="IH5" s="131"/>
      <c r="II5" s="131"/>
      <c r="IJ5" s="131"/>
      <c r="IK5" s="131"/>
      <c r="IL5" s="131"/>
      <c r="IM5" s="131"/>
      <c r="IN5" s="131"/>
      <c r="IO5" s="131"/>
      <c r="IP5" s="131"/>
      <c r="IQ5" s="131"/>
      <c r="IR5" s="131"/>
      <c r="IS5" s="131"/>
      <c r="IT5" s="131"/>
      <c r="IU5" s="131"/>
      <c r="IV5" s="131"/>
      <c r="IW5" s="131"/>
    </row>
    <row r="6" customFormat="false" ht="12.75" hidden="true" customHeight="false" outlineLevel="0" collapsed="false">
      <c r="A6" s="120" t="n">
        <v>36892</v>
      </c>
      <c r="B6" s="131" t="str">
        <f aca="false">INDEX('[4]Master Data'!$A$2:$B$8,MATCH(WEEKDAY('GNS Bolv Gas MTM'!A6,3),'[4]Master Data'!$A$2:$A$8,0),2)</f>
        <v>M</v>
      </c>
      <c r="D6" s="124" t="n">
        <v>0</v>
      </c>
      <c r="E6" s="124" t="n">
        <v>0</v>
      </c>
      <c r="F6" s="124" t="n">
        <v>0</v>
      </c>
      <c r="G6" s="124" t="n">
        <v>0</v>
      </c>
      <c r="I6" s="124" t="n">
        <f aca="false">G6</f>
        <v>0</v>
      </c>
      <c r="J6" s="124" t="n">
        <f aca="false">I6</f>
        <v>0</v>
      </c>
      <c r="K6" s="124" t="n">
        <f aca="false">IF(WEEKDAY(A6,3)&gt;4,0,(IF(A6&lt;K$2,0,IF(A6&lt;=K$3,1,0))))</f>
        <v>0</v>
      </c>
      <c r="L6" s="124" t="n">
        <f aca="false">J6*K6</f>
        <v>0</v>
      </c>
      <c r="M6" s="124" t="n">
        <f aca="false">SUM(J$6:J6)</f>
        <v>0</v>
      </c>
      <c r="N6" s="124" t="n">
        <f aca="false">SUM(J$6:J6)</f>
        <v>0</v>
      </c>
      <c r="P6" s="124" t="n">
        <f aca="false">D6/P$3</f>
        <v>0</v>
      </c>
      <c r="Q6" s="124" t="n">
        <f aca="false">E6/P$3</f>
        <v>0</v>
      </c>
      <c r="R6" s="124" t="n">
        <f aca="false">F6/R$3</f>
        <v>0</v>
      </c>
      <c r="S6" s="126" t="n">
        <f aca="false">J6/$R$3</f>
        <v>0</v>
      </c>
      <c r="T6" s="126" t="n">
        <f aca="false">L6/$R$3</f>
        <v>0</v>
      </c>
      <c r="U6" s="126" t="n">
        <f aca="false">I6/$R$3</f>
        <v>0</v>
      </c>
      <c r="V6" s="126" t="n">
        <f aca="false">M6/$R$3</f>
        <v>0</v>
      </c>
      <c r="W6" s="126" t="n">
        <f aca="false">N6/$R$3</f>
        <v>0</v>
      </c>
    </row>
    <row r="7" customFormat="false" ht="12.75" hidden="true" customHeight="false" outlineLevel="0" collapsed="false">
      <c r="A7" s="120" t="n">
        <f aca="false">A6+1</f>
        <v>36893</v>
      </c>
      <c r="B7" s="131" t="str">
        <f aca="false">INDEX('[4]Master Data'!$A$2:$B$8,MATCH(WEEKDAY('GNS Bolv Gas MTM'!A7,3),'[4]Master Data'!$A$2:$A$8,0),2)</f>
        <v>T</v>
      </c>
      <c r="D7" s="124" t="n">
        <v>53869609.6133</v>
      </c>
      <c r="E7" s="124" t="n">
        <v>4200743.53291581</v>
      </c>
      <c r="F7" s="124" t="n">
        <v>0</v>
      </c>
      <c r="G7" s="124" t="n">
        <v>-4774</v>
      </c>
      <c r="I7" s="124" t="n">
        <f aca="false">IF(MONTH($A7)=MONTH($A6),IF(G7=0,I6,G7),0)</f>
        <v>-4774</v>
      </c>
      <c r="J7" s="124" t="n">
        <f aca="false">IF(MONTH($A7)=MONTH($A6),SUM(I7-I6),I7)</f>
        <v>-4774</v>
      </c>
      <c r="K7" s="124" t="n">
        <f aca="false">IF(WEEKDAY(A7,3)&gt;4,0,(IF(A7&lt;K$2,0,IF(A7&lt;=K$3,1,0))))</f>
        <v>0</v>
      </c>
      <c r="L7" s="124" t="n">
        <f aca="false">J7*K7</f>
        <v>-0</v>
      </c>
      <c r="M7" s="124" t="n">
        <f aca="false">SUM(J$6:J7)</f>
        <v>-4774</v>
      </c>
      <c r="N7" s="124" t="n">
        <f aca="false">SUM(J$6:J7)</f>
        <v>-4774</v>
      </c>
      <c r="P7" s="124" t="n">
        <f aca="false">D7/P$3</f>
        <v>53.8696096133</v>
      </c>
      <c r="Q7" s="124" t="n">
        <f aca="false">E7/P$3</f>
        <v>4.20074353291581</v>
      </c>
      <c r="R7" s="124" t="n">
        <f aca="false">F7/R$3</f>
        <v>0</v>
      </c>
      <c r="S7" s="126" t="n">
        <f aca="false">J7/$R$3</f>
        <v>-4.774</v>
      </c>
      <c r="T7" s="126" t="n">
        <f aca="false">L7/$R$3</f>
        <v>-0</v>
      </c>
      <c r="U7" s="126" t="n">
        <f aca="false">I7/$R$3</f>
        <v>-4.774</v>
      </c>
      <c r="V7" s="126" t="n">
        <f aca="false">M7/$R$3</f>
        <v>-4.774</v>
      </c>
      <c r="W7" s="126" t="n">
        <f aca="false">N7/$R$3</f>
        <v>-4.774</v>
      </c>
    </row>
    <row r="8" customFormat="false" ht="12.75" hidden="true" customHeight="false" outlineLevel="0" collapsed="false">
      <c r="A8" s="120" t="n">
        <f aca="false">A7+1</f>
        <v>36894</v>
      </c>
      <c r="B8" s="131" t="str">
        <f aca="false">INDEX('[4]Master Data'!$A$2:$B$8,MATCH(WEEKDAY('GNS Bolv Gas MTM'!A8,3),'[4]Master Data'!$A$2:$A$8,0),2)</f>
        <v>W</v>
      </c>
      <c r="D8" s="124" t="n">
        <v>53163127.0083</v>
      </c>
      <c r="E8" s="124" t="n">
        <v>4181292.74656516</v>
      </c>
      <c r="F8" s="124" t="n">
        <v>0</v>
      </c>
      <c r="G8" s="124" t="n">
        <v>-5890</v>
      </c>
      <c r="I8" s="124" t="n">
        <f aca="false">IF(MONTH($A8)=MONTH($A7),IF(G8=0,I7,G8),0)</f>
        <v>-5890</v>
      </c>
      <c r="J8" s="124" t="n">
        <f aca="false">IF(MONTH($A8)=MONTH($A7),SUM(I8-I7),I8)</f>
        <v>-1116</v>
      </c>
      <c r="K8" s="124" t="n">
        <f aca="false">IF(WEEKDAY(A8,3)&gt;4,0,(IF(A8&lt;K$2,0,IF(A8&lt;=K$3,1,0))))</f>
        <v>0</v>
      </c>
      <c r="L8" s="124" t="n">
        <f aca="false">J8*K8</f>
        <v>-0</v>
      </c>
      <c r="M8" s="124" t="n">
        <f aca="false">SUM(J$6:J8)</f>
        <v>-5890</v>
      </c>
      <c r="N8" s="124" t="n">
        <f aca="false">SUM(J$6:J8)</f>
        <v>-5890</v>
      </c>
      <c r="P8" s="124" t="n">
        <f aca="false">D8/P$3</f>
        <v>53.1631270083</v>
      </c>
      <c r="Q8" s="124" t="n">
        <f aca="false">E8/P$3</f>
        <v>4.18129274656516</v>
      </c>
      <c r="R8" s="124" t="n">
        <f aca="false">F8/R$3</f>
        <v>0</v>
      </c>
      <c r="S8" s="126" t="n">
        <f aca="false">J8/$R$3</f>
        <v>-1.116</v>
      </c>
      <c r="T8" s="126" t="n">
        <f aca="false">L8/$R$3</f>
        <v>-0</v>
      </c>
      <c r="U8" s="126" t="n">
        <f aca="false">I8/$R$3</f>
        <v>-5.89</v>
      </c>
      <c r="V8" s="126" t="n">
        <f aca="false">M8/$R$3</f>
        <v>-5.89</v>
      </c>
      <c r="W8" s="126" t="n">
        <f aca="false">N8/$R$3</f>
        <v>-5.89</v>
      </c>
    </row>
    <row r="9" customFormat="false" ht="12.75" hidden="true" customHeight="false" outlineLevel="0" collapsed="false">
      <c r="A9" s="120" t="n">
        <f aca="false">A8+1</f>
        <v>36895</v>
      </c>
      <c r="B9" s="131" t="str">
        <f aca="false">INDEX('[4]Master Data'!$A$2:$B$8,MATCH(WEEKDAY('GNS Bolv Gas MTM'!A9,3),'[4]Master Data'!$A$2:$A$8,0),2)</f>
        <v>Th</v>
      </c>
      <c r="D9" s="124" t="n">
        <v>53777104.1776</v>
      </c>
      <c r="E9" s="124" t="n">
        <v>4209232.78404146</v>
      </c>
      <c r="F9" s="124" t="n">
        <v>0</v>
      </c>
      <c r="G9" s="124" t="n">
        <v>-7044</v>
      </c>
      <c r="I9" s="124" t="n">
        <f aca="false">IF(MONTH($A9)=MONTH($A8),IF(G9=0,I8,G9),0)</f>
        <v>-7044</v>
      </c>
      <c r="J9" s="124" t="n">
        <f aca="false">IF(MONTH($A9)=MONTH($A8),SUM(I9-I8),I9)</f>
        <v>-1154</v>
      </c>
      <c r="K9" s="124" t="n">
        <f aca="false">IF(WEEKDAY(A9,3)&gt;4,0,(IF(A9&lt;K$2,0,IF(A9&lt;=K$3,1,0))))</f>
        <v>0</v>
      </c>
      <c r="L9" s="124" t="n">
        <f aca="false">J9*K9</f>
        <v>-0</v>
      </c>
      <c r="M9" s="124" t="n">
        <f aca="false">SUM(J$6:J9)</f>
        <v>-7044</v>
      </c>
      <c r="N9" s="124" t="n">
        <f aca="false">SUM(J$6:J9)</f>
        <v>-7044</v>
      </c>
      <c r="P9" s="124" t="n">
        <f aca="false">D9/P$3</f>
        <v>53.7771041776</v>
      </c>
      <c r="Q9" s="124" t="n">
        <f aca="false">E9/P$3</f>
        <v>4.20923278404146</v>
      </c>
      <c r="R9" s="124" t="n">
        <f aca="false">F9/R$3</f>
        <v>0</v>
      </c>
      <c r="S9" s="126" t="n">
        <f aca="false">J9/$R$3</f>
        <v>-1.154</v>
      </c>
      <c r="T9" s="126" t="n">
        <f aca="false">L9/$R$3</f>
        <v>-0</v>
      </c>
      <c r="U9" s="126" t="n">
        <f aca="false">I9/$R$3</f>
        <v>-7.044</v>
      </c>
      <c r="V9" s="126" t="n">
        <f aca="false">M9/$R$3</f>
        <v>-7.044</v>
      </c>
      <c r="W9" s="126" t="n">
        <f aca="false">N9/$R$3</f>
        <v>-7.044</v>
      </c>
    </row>
    <row r="10" customFormat="false" ht="12.75" hidden="true" customHeight="false" outlineLevel="0" collapsed="false">
      <c r="A10" s="120" t="n">
        <f aca="false">A9+1</f>
        <v>36896</v>
      </c>
      <c r="B10" s="131" t="str">
        <f aca="false">INDEX('[4]Master Data'!$A$2:$B$8,MATCH(WEEKDAY('GNS Bolv Gas MTM'!A10,3),'[4]Master Data'!$A$2:$A$8,0),2)</f>
        <v>F</v>
      </c>
      <c r="D10" s="124" t="n">
        <v>53546091.313</v>
      </c>
      <c r="E10" s="124" t="n">
        <v>4028577.82904508</v>
      </c>
      <c r="F10" s="124" t="n">
        <v>0</v>
      </c>
      <c r="G10" s="124" t="n">
        <v>-1087960</v>
      </c>
      <c r="I10" s="124" t="n">
        <f aca="false">IF(MONTH($A10)=MONTH($A9),IF(G10=0,I9,G10),0)</f>
        <v>-1087960</v>
      </c>
      <c r="J10" s="124" t="n">
        <f aca="false">IF(MONTH($A10)=MONTH($A9),SUM(I10-I9),I10)</f>
        <v>-1080916</v>
      </c>
      <c r="K10" s="124" t="n">
        <f aca="false">IF(WEEKDAY(A10,3)&gt;4,0,(IF(A10&lt;K$2,0,IF(A10&lt;=K$3,1,0))))</f>
        <v>0</v>
      </c>
      <c r="L10" s="124" t="n">
        <f aca="false">J10*K10</f>
        <v>-0</v>
      </c>
      <c r="M10" s="124" t="n">
        <f aca="false">SUM(J$6:J10)</f>
        <v>-1087960</v>
      </c>
      <c r="N10" s="124" t="n">
        <f aca="false">SUM(J$6:J10)</f>
        <v>-1087960</v>
      </c>
      <c r="P10" s="124" t="n">
        <f aca="false">D10/P$3</f>
        <v>53.546091313</v>
      </c>
      <c r="Q10" s="124" t="n">
        <f aca="false">E10/P$3</f>
        <v>4.02857782904508</v>
      </c>
      <c r="R10" s="124" t="n">
        <f aca="false">F10/R$3</f>
        <v>0</v>
      </c>
      <c r="S10" s="126" t="n">
        <f aca="false">J10/$R$3</f>
        <v>-1080.916</v>
      </c>
      <c r="T10" s="126" t="n">
        <f aca="false">L10/$R$3</f>
        <v>-0</v>
      </c>
      <c r="U10" s="126" t="n">
        <f aca="false">I10/$R$3</f>
        <v>-1087.96</v>
      </c>
      <c r="V10" s="126" t="n">
        <f aca="false">M10/$R$3</f>
        <v>-1087.96</v>
      </c>
      <c r="W10" s="126" t="n">
        <f aca="false">N10/$R$3</f>
        <v>-1087.96</v>
      </c>
    </row>
    <row r="11" customFormat="false" ht="12.75" hidden="true" customHeight="false" outlineLevel="0" collapsed="false">
      <c r="A11" s="120" t="n">
        <f aca="false">A10+1</f>
        <v>36897</v>
      </c>
      <c r="B11" s="131" t="str">
        <f aca="false">INDEX('[4]Master Data'!$A$2:$B$8,MATCH(WEEKDAY('GNS Bolv Gas MTM'!A11,3),'[4]Master Data'!$A$2:$A$8,0),2)</f>
        <v>Sa</v>
      </c>
      <c r="D11" s="124" t="n">
        <v>0</v>
      </c>
      <c r="E11" s="124" t="n">
        <v>0</v>
      </c>
      <c r="F11" s="124" t="n">
        <v>0</v>
      </c>
      <c r="G11" s="124" t="n">
        <v>0</v>
      </c>
      <c r="I11" s="124" t="n">
        <f aca="false">IF(MONTH($A11)=MONTH($A10),IF(G11=0,I10,G11),0)</f>
        <v>-1087960</v>
      </c>
      <c r="J11" s="124" t="n">
        <f aca="false">IF(MONTH($A11)=MONTH($A10),SUM(I11-I10),I11)</f>
        <v>0</v>
      </c>
      <c r="K11" s="124" t="n">
        <f aca="false">IF(WEEKDAY(A11,3)&gt;4,0,(IF(A11&lt;K$2,0,IF(A11&lt;=K$3,1,0))))</f>
        <v>0</v>
      </c>
      <c r="L11" s="124" t="n">
        <f aca="false">J11*K11</f>
        <v>0</v>
      </c>
      <c r="M11" s="124" t="n">
        <f aca="false">SUM(J$6:J11)</f>
        <v>-1087960</v>
      </c>
      <c r="N11" s="124" t="n">
        <f aca="false">SUM(J$6:J11)</f>
        <v>-1087960</v>
      </c>
      <c r="P11" s="124" t="n">
        <f aca="false">D11/P$3</f>
        <v>0</v>
      </c>
      <c r="Q11" s="124" t="n">
        <f aca="false">E11/P$3</f>
        <v>0</v>
      </c>
      <c r="R11" s="124" t="n">
        <f aca="false">F11/R$3</f>
        <v>0</v>
      </c>
      <c r="S11" s="126" t="n">
        <f aca="false">J11/$R$3</f>
        <v>0</v>
      </c>
      <c r="T11" s="126" t="n">
        <f aca="false">L11/$R$3</f>
        <v>0</v>
      </c>
      <c r="U11" s="126" t="n">
        <f aca="false">I11/$R$3</f>
        <v>-1087.96</v>
      </c>
      <c r="V11" s="126" t="n">
        <f aca="false">M11/$R$3</f>
        <v>-1087.96</v>
      </c>
      <c r="W11" s="126" t="n">
        <f aca="false">N11/$R$3</f>
        <v>-1087.96</v>
      </c>
    </row>
    <row r="12" customFormat="false" ht="12.75" hidden="true" customHeight="false" outlineLevel="0" collapsed="false">
      <c r="A12" s="120" t="n">
        <f aca="false">A11+1</f>
        <v>36898</v>
      </c>
      <c r="B12" s="131" t="str">
        <f aca="false">INDEX('[4]Master Data'!$A$2:$B$8,MATCH(WEEKDAY('GNS Bolv Gas MTM'!A12,3),'[4]Master Data'!$A$2:$A$8,0),2)</f>
        <v>Su</v>
      </c>
      <c r="D12" s="124" t="n">
        <v>0</v>
      </c>
      <c r="E12" s="124" t="n">
        <v>0</v>
      </c>
      <c r="F12" s="124" t="n">
        <v>0</v>
      </c>
      <c r="G12" s="124" t="n">
        <v>0</v>
      </c>
      <c r="I12" s="124" t="n">
        <f aca="false">IF(MONTH($A12)=MONTH($A11),IF(G12=0,I11,G12),0)</f>
        <v>-1087960</v>
      </c>
      <c r="J12" s="124" t="n">
        <f aca="false">IF(MONTH($A12)=MONTH($A11),SUM(I12-I11),I12)</f>
        <v>0</v>
      </c>
      <c r="K12" s="124" t="n">
        <f aca="false">IF(WEEKDAY(A12,3)&gt;4,0,(IF(A12&lt;K$2,0,IF(A12&lt;=K$3,1,0))))</f>
        <v>0</v>
      </c>
      <c r="L12" s="124" t="n">
        <f aca="false">J12*K12</f>
        <v>0</v>
      </c>
      <c r="M12" s="124" t="n">
        <f aca="false">SUM(J$6:J12)</f>
        <v>-1087960</v>
      </c>
      <c r="N12" s="124" t="n">
        <f aca="false">SUM(J$6:J12)</f>
        <v>-1087960</v>
      </c>
      <c r="P12" s="124" t="n">
        <f aca="false">D12/P$3</f>
        <v>0</v>
      </c>
      <c r="Q12" s="124" t="n">
        <f aca="false">E12/P$3</f>
        <v>0</v>
      </c>
      <c r="R12" s="124" t="n">
        <f aca="false">F12/R$3</f>
        <v>0</v>
      </c>
      <c r="S12" s="126" t="n">
        <f aca="false">J12/$R$3</f>
        <v>0</v>
      </c>
      <c r="T12" s="126" t="n">
        <f aca="false">L12/$R$3</f>
        <v>0</v>
      </c>
      <c r="U12" s="126" t="n">
        <f aca="false">I12/$R$3</f>
        <v>-1087.96</v>
      </c>
      <c r="V12" s="126" t="n">
        <f aca="false">M12/$R$3</f>
        <v>-1087.96</v>
      </c>
      <c r="W12" s="126" t="n">
        <f aca="false">N12/$R$3</f>
        <v>-1087.96</v>
      </c>
    </row>
    <row r="13" customFormat="false" ht="12.75" hidden="true" customHeight="false" outlineLevel="0" collapsed="false">
      <c r="A13" s="120" t="n">
        <f aca="false">A12+1</f>
        <v>36899</v>
      </c>
      <c r="B13" s="131" t="str">
        <f aca="false">INDEX('[4]Master Data'!$A$2:$B$8,MATCH(WEEKDAY('GNS Bolv Gas MTM'!A13,3),'[4]Master Data'!$A$2:$A$8,0),2)</f>
        <v>M</v>
      </c>
      <c r="D13" s="124" t="n">
        <v>53931138.2304</v>
      </c>
      <c r="E13" s="124" t="n">
        <v>4060270.59634508</v>
      </c>
      <c r="F13" s="124" t="n">
        <v>0</v>
      </c>
      <c r="G13" s="124" t="n">
        <v>-1092581</v>
      </c>
      <c r="I13" s="124" t="n">
        <f aca="false">IF(MONTH($A13)=MONTH($A12),IF(G13=0,I12,G13),0)</f>
        <v>-1092581</v>
      </c>
      <c r="J13" s="124" t="n">
        <f aca="false">IF(MONTH($A13)=MONTH($A12),SUM(I13-I12),I13)</f>
        <v>-4621</v>
      </c>
      <c r="K13" s="124" t="n">
        <f aca="false">IF(WEEKDAY(A13,3)&gt;4,0,(IF(A13&lt;K$2,0,IF(A13&lt;=K$3,1,0))))</f>
        <v>0</v>
      </c>
      <c r="L13" s="124" t="n">
        <f aca="false">J13*K13</f>
        <v>-0</v>
      </c>
      <c r="M13" s="124" t="n">
        <f aca="false">SUM(J$6:J13)</f>
        <v>-1092581</v>
      </c>
      <c r="N13" s="124" t="n">
        <f aca="false">SUM(J$6:J13)</f>
        <v>-1092581</v>
      </c>
      <c r="P13" s="124" t="n">
        <f aca="false">D13/P$3</f>
        <v>53.9311382304</v>
      </c>
      <c r="Q13" s="124" t="n">
        <f aca="false">E13/P$3</f>
        <v>4.06027059634508</v>
      </c>
      <c r="R13" s="124" t="n">
        <f aca="false">F13/R$3</f>
        <v>0</v>
      </c>
      <c r="S13" s="126" t="n">
        <f aca="false">J13/$R$3</f>
        <v>-4.621</v>
      </c>
      <c r="T13" s="126" t="n">
        <f aca="false">L13/$R$3</f>
        <v>-0</v>
      </c>
      <c r="U13" s="126" t="n">
        <f aca="false">I13/$R$3</f>
        <v>-1092.581</v>
      </c>
      <c r="V13" s="126" t="n">
        <f aca="false">M13/$R$3</f>
        <v>-1092.581</v>
      </c>
      <c r="W13" s="126" t="n">
        <f aca="false">N13/$R$3</f>
        <v>-1092.581</v>
      </c>
    </row>
    <row r="14" customFormat="false" ht="12.75" hidden="true" customHeight="false" outlineLevel="0" collapsed="false">
      <c r="A14" s="120" t="n">
        <f aca="false">A13+1</f>
        <v>36900</v>
      </c>
      <c r="B14" s="131" t="str">
        <f aca="false">INDEX('[4]Master Data'!$A$2:$B$8,MATCH(WEEKDAY('GNS Bolv Gas MTM'!A14,3),'[4]Master Data'!$A$2:$A$8,0),2)</f>
        <v>T</v>
      </c>
      <c r="D14" s="124" t="n">
        <v>53620900.2145</v>
      </c>
      <c r="E14" s="124" t="n">
        <v>4047402.33711443</v>
      </c>
      <c r="F14" s="124" t="n">
        <v>0</v>
      </c>
      <c r="G14" s="124" t="n">
        <v>-1094083</v>
      </c>
      <c r="I14" s="124" t="n">
        <f aca="false">IF(MONTH($A14)=MONTH($A13),IF(G14=0,I13,G14),0)</f>
        <v>-1094083</v>
      </c>
      <c r="J14" s="124" t="n">
        <f aca="false">IF(MONTH($A14)=MONTH($A13),SUM(I14-I13),I14)</f>
        <v>-1502</v>
      </c>
      <c r="K14" s="124" t="n">
        <f aca="false">IF(WEEKDAY(A14,3)&gt;4,0,(IF(A14&lt;K$2,0,IF(A14&lt;=K$3,1,0))))</f>
        <v>0</v>
      </c>
      <c r="L14" s="124" t="n">
        <f aca="false">J14*K14</f>
        <v>-0</v>
      </c>
      <c r="M14" s="124" t="n">
        <f aca="false">SUM(J$6:J14)</f>
        <v>-1094083</v>
      </c>
      <c r="N14" s="124" t="n">
        <f aca="false">SUM(J$6:J14)</f>
        <v>-1094083</v>
      </c>
      <c r="P14" s="124" t="n">
        <f aca="false">D14/P$3</f>
        <v>53.6209002145</v>
      </c>
      <c r="Q14" s="124" t="n">
        <f aca="false">E14/P$3</f>
        <v>4.04740233711443</v>
      </c>
      <c r="R14" s="124" t="n">
        <f aca="false">F14/R$3</f>
        <v>0</v>
      </c>
      <c r="S14" s="126" t="n">
        <f aca="false">J14/$R$3</f>
        <v>-1.502</v>
      </c>
      <c r="T14" s="126" t="n">
        <f aca="false">L14/$R$3</f>
        <v>-0</v>
      </c>
      <c r="U14" s="126" t="n">
        <f aca="false">I14/$R$3</f>
        <v>-1094.083</v>
      </c>
      <c r="V14" s="126" t="n">
        <f aca="false">M14/$R$3</f>
        <v>-1094.083</v>
      </c>
      <c r="W14" s="126" t="n">
        <f aca="false">N14/$R$3</f>
        <v>-1094.083</v>
      </c>
    </row>
    <row r="15" customFormat="false" ht="12.75" hidden="true" customHeight="false" outlineLevel="0" collapsed="false">
      <c r="A15" s="120" t="n">
        <f aca="false">A14+1</f>
        <v>36901</v>
      </c>
      <c r="B15" s="131" t="str">
        <f aca="false">INDEX('[4]Master Data'!$A$2:$B$8,MATCH(WEEKDAY('GNS Bolv Gas MTM'!A15,3),'[4]Master Data'!$A$2:$A$8,0),2)</f>
        <v>W</v>
      </c>
      <c r="D15" s="124" t="n">
        <v>53036880.2713</v>
      </c>
      <c r="E15" s="124" t="n">
        <v>4018534.9704219</v>
      </c>
      <c r="F15" s="124" t="n">
        <v>0</v>
      </c>
      <c r="G15" s="124" t="n">
        <v>-1095570</v>
      </c>
      <c r="I15" s="124" t="n">
        <f aca="false">IF(MONTH($A15)=MONTH($A14),IF(G15=0,I14,G15),0)</f>
        <v>-1095570</v>
      </c>
      <c r="J15" s="124" t="n">
        <f aca="false">IF(MONTH($A15)=MONTH($A14),SUM(I15-I14),I15)</f>
        <v>-1487</v>
      </c>
      <c r="K15" s="124" t="n">
        <f aca="false">IF(WEEKDAY(A15,3)&gt;4,0,(IF(A15&lt;K$2,0,IF(A15&lt;=K$3,1,0))))</f>
        <v>0</v>
      </c>
      <c r="L15" s="124" t="n">
        <f aca="false">J15*K15</f>
        <v>-0</v>
      </c>
      <c r="M15" s="124" t="n">
        <f aca="false">SUM(J$6:J15)</f>
        <v>-1095570</v>
      </c>
      <c r="N15" s="124" t="n">
        <f aca="false">SUM(J$6:J15)</f>
        <v>-1095570</v>
      </c>
      <c r="P15" s="124" t="n">
        <f aca="false">D15/P$3</f>
        <v>53.0368802713</v>
      </c>
      <c r="Q15" s="124" t="n">
        <f aca="false">E15/P$3</f>
        <v>4.0185349704219</v>
      </c>
      <c r="R15" s="124" t="n">
        <f aca="false">F15/R$3</f>
        <v>0</v>
      </c>
      <c r="S15" s="126" t="n">
        <f aca="false">J15/$R$3</f>
        <v>-1.487</v>
      </c>
      <c r="T15" s="126" t="n">
        <f aca="false">L15/$R$3</f>
        <v>-0</v>
      </c>
      <c r="U15" s="126" t="n">
        <f aca="false">I15/$R$3</f>
        <v>-1095.57</v>
      </c>
      <c r="V15" s="126" t="n">
        <f aca="false">M15/$R$3</f>
        <v>-1095.57</v>
      </c>
      <c r="W15" s="126" t="n">
        <f aca="false">N15/$R$3</f>
        <v>-1095.57</v>
      </c>
    </row>
    <row r="16" customFormat="false" ht="12.75" hidden="true" customHeight="false" outlineLevel="0" collapsed="false">
      <c r="A16" s="120" t="n">
        <f aca="false">A15+1</f>
        <v>36902</v>
      </c>
      <c r="B16" s="131" t="str">
        <f aca="false">INDEX('[4]Master Data'!$A$2:$B$8,MATCH(WEEKDAY('GNS Bolv Gas MTM'!A16,3),'[4]Master Data'!$A$2:$A$8,0),2)</f>
        <v>Th</v>
      </c>
      <c r="D16" s="124" t="n">
        <v>52901727.4213</v>
      </c>
      <c r="E16" s="124" t="n">
        <v>4015859.2565219</v>
      </c>
      <c r="F16" s="124" t="n">
        <v>0</v>
      </c>
      <c r="G16" s="124" t="n">
        <v>-1097063</v>
      </c>
      <c r="I16" s="124" t="n">
        <f aca="false">IF(MONTH($A16)=MONTH($A15),IF(G16=0,I15,G16),0)</f>
        <v>-1097063</v>
      </c>
      <c r="J16" s="124" t="n">
        <f aca="false">IF(MONTH($A16)=MONTH($A15),SUM(I16-I15),I16)</f>
        <v>-1493</v>
      </c>
      <c r="K16" s="124" t="n">
        <f aca="false">IF(WEEKDAY(A16,3)&gt;4,0,(IF(A16&lt;K$2,0,IF(A16&lt;=K$3,1,0))))</f>
        <v>0</v>
      </c>
      <c r="L16" s="124" t="n">
        <f aca="false">J16*K16</f>
        <v>-0</v>
      </c>
      <c r="M16" s="124" t="n">
        <f aca="false">SUM(J$6:J16)</f>
        <v>-1097063</v>
      </c>
      <c r="N16" s="124" t="n">
        <f aca="false">SUM(J$6:J16)</f>
        <v>-1097063</v>
      </c>
      <c r="P16" s="124" t="n">
        <f aca="false">D16/P$3</f>
        <v>52.9017274213</v>
      </c>
      <c r="Q16" s="124" t="n">
        <f aca="false">E16/P$3</f>
        <v>4.0158592565219</v>
      </c>
      <c r="R16" s="124" t="n">
        <f aca="false">F16/R$3</f>
        <v>0</v>
      </c>
      <c r="S16" s="126" t="n">
        <f aca="false">J16/$R$3</f>
        <v>-1.493</v>
      </c>
      <c r="T16" s="126" t="n">
        <f aca="false">L16/$R$3</f>
        <v>-0</v>
      </c>
      <c r="U16" s="126" t="n">
        <f aca="false">I16/$R$3</f>
        <v>-1097.063</v>
      </c>
      <c r="V16" s="126" t="n">
        <f aca="false">M16/$R$3</f>
        <v>-1097.063</v>
      </c>
      <c r="W16" s="126" t="n">
        <f aca="false">N16/$R$3</f>
        <v>-1097.063</v>
      </c>
    </row>
    <row r="17" customFormat="false" ht="12.75" hidden="true" customHeight="false" outlineLevel="0" collapsed="false">
      <c r="A17" s="120" t="n">
        <f aca="false">A16+1</f>
        <v>36903</v>
      </c>
      <c r="B17" s="131" t="str">
        <f aca="false">INDEX('[4]Master Data'!$A$2:$B$8,MATCH(WEEKDAY('GNS Bolv Gas MTM'!A17,3),'[4]Master Data'!$A$2:$A$8,0),2)</f>
        <v>F</v>
      </c>
      <c r="D17" s="124" t="n">
        <v>52370052.971</v>
      </c>
      <c r="E17" s="124" t="n">
        <v>3992302.41827396</v>
      </c>
      <c r="F17" s="124" t="n">
        <v>0</v>
      </c>
      <c r="G17" s="124" t="n">
        <v>-1098533</v>
      </c>
      <c r="I17" s="124" t="n">
        <f aca="false">IF(MONTH($A17)=MONTH($A16),IF(G17=0,I16,G17),0)</f>
        <v>-1098533</v>
      </c>
      <c r="J17" s="124" t="n">
        <f aca="false">IF(MONTH($A17)=MONTH($A16),SUM(I17-I16),I17)</f>
        <v>-1470</v>
      </c>
      <c r="K17" s="124" t="n">
        <f aca="false">IF(WEEKDAY(A17,3)&gt;4,0,(IF(A17&lt;K$2,0,IF(A17&lt;=K$3,1,0))))</f>
        <v>0</v>
      </c>
      <c r="L17" s="124" t="n">
        <f aca="false">J17*K17</f>
        <v>-0</v>
      </c>
      <c r="M17" s="124" t="n">
        <f aca="false">SUM(J$6:J17)</f>
        <v>-1098533</v>
      </c>
      <c r="N17" s="124" t="n">
        <f aca="false">SUM(J$6:J17)</f>
        <v>-1098533</v>
      </c>
      <c r="P17" s="124" t="n">
        <f aca="false">D17/P$3</f>
        <v>52.370052971</v>
      </c>
      <c r="Q17" s="124" t="n">
        <f aca="false">E17/P$3</f>
        <v>3.99230241827396</v>
      </c>
      <c r="R17" s="124" t="n">
        <f aca="false">F17/R$3</f>
        <v>0</v>
      </c>
      <c r="S17" s="126" t="n">
        <f aca="false">J17/$R$3</f>
        <v>-1.47</v>
      </c>
      <c r="T17" s="126" t="n">
        <f aca="false">L17/$R$3</f>
        <v>-0</v>
      </c>
      <c r="U17" s="126" t="n">
        <f aca="false">I17/$R$3</f>
        <v>-1098.533</v>
      </c>
      <c r="V17" s="126" t="n">
        <f aca="false">M17/$R$3</f>
        <v>-1098.533</v>
      </c>
      <c r="W17" s="126" t="n">
        <f aca="false">N17/$R$3</f>
        <v>-1098.533</v>
      </c>
    </row>
    <row r="18" customFormat="false" ht="12.75" hidden="true" customHeight="false" outlineLevel="0" collapsed="false">
      <c r="A18" s="120" t="n">
        <f aca="false">A17+1</f>
        <v>36904</v>
      </c>
      <c r="B18" s="131" t="str">
        <f aca="false">INDEX('[4]Master Data'!$A$2:$B$8,MATCH(WEEKDAY('GNS Bolv Gas MTM'!A18,3),'[4]Master Data'!$A$2:$A$8,0),2)</f>
        <v>Sa</v>
      </c>
      <c r="D18" s="124" t="n">
        <v>0</v>
      </c>
      <c r="E18" s="124" t="n">
        <v>0</v>
      </c>
      <c r="F18" s="124" t="n">
        <v>0</v>
      </c>
      <c r="G18" s="124" t="n">
        <v>0</v>
      </c>
      <c r="I18" s="124" t="n">
        <f aca="false">IF(MONTH($A18)=MONTH($A17),IF(G18=0,I17,G18),0)</f>
        <v>-1098533</v>
      </c>
      <c r="J18" s="124" t="n">
        <f aca="false">IF(MONTH($A18)=MONTH($A17),SUM(I18-I17),I18)</f>
        <v>0</v>
      </c>
      <c r="K18" s="124" t="n">
        <f aca="false">IF(WEEKDAY(A18,3)&gt;4,0,(IF(A18&lt;K$2,0,IF(A18&lt;=K$3,1,0))))</f>
        <v>0</v>
      </c>
      <c r="L18" s="124" t="n">
        <f aca="false">J18*K18</f>
        <v>0</v>
      </c>
      <c r="M18" s="124" t="n">
        <f aca="false">SUM(J$6:J18)</f>
        <v>-1098533</v>
      </c>
      <c r="N18" s="124" t="n">
        <f aca="false">SUM(J$6:J18)</f>
        <v>-1098533</v>
      </c>
      <c r="P18" s="124" t="n">
        <f aca="false">D18/P$3</f>
        <v>0</v>
      </c>
      <c r="Q18" s="124" t="n">
        <f aca="false">E18/P$3</f>
        <v>0</v>
      </c>
      <c r="R18" s="124" t="n">
        <f aca="false">F18/R$3</f>
        <v>0</v>
      </c>
      <c r="S18" s="126" t="n">
        <f aca="false">J18/$R$3</f>
        <v>0</v>
      </c>
      <c r="T18" s="126" t="n">
        <f aca="false">L18/$R$3</f>
        <v>0</v>
      </c>
      <c r="U18" s="126" t="n">
        <f aca="false">I18/$R$3</f>
        <v>-1098.533</v>
      </c>
      <c r="V18" s="126" t="n">
        <f aca="false">M18/$R$3</f>
        <v>-1098.533</v>
      </c>
      <c r="W18" s="126" t="n">
        <f aca="false">N18/$R$3</f>
        <v>-1098.533</v>
      </c>
    </row>
    <row r="19" customFormat="false" ht="12.75" hidden="true" customHeight="false" outlineLevel="0" collapsed="false">
      <c r="A19" s="120" t="n">
        <f aca="false">A18+1</f>
        <v>36905</v>
      </c>
      <c r="B19" s="131" t="str">
        <f aca="false">INDEX('[4]Master Data'!$A$2:$B$8,MATCH(WEEKDAY('GNS Bolv Gas MTM'!A19,3),'[4]Master Data'!$A$2:$A$8,0),2)</f>
        <v>Su</v>
      </c>
      <c r="D19" s="124" t="n">
        <v>0</v>
      </c>
      <c r="E19" s="124" t="n">
        <v>0</v>
      </c>
      <c r="F19" s="124" t="n">
        <v>0</v>
      </c>
      <c r="G19" s="124" t="n">
        <v>0</v>
      </c>
      <c r="I19" s="124" t="n">
        <f aca="false">IF(MONTH($A19)=MONTH($A18),IF(G19=0,I18,G19),0)</f>
        <v>-1098533</v>
      </c>
      <c r="J19" s="124" t="n">
        <f aca="false">IF(MONTH($A19)=MONTH($A18),SUM(I19-I18),I19)</f>
        <v>0</v>
      </c>
      <c r="K19" s="124" t="n">
        <f aca="false">IF(WEEKDAY(A19,3)&gt;4,0,(IF(A19&lt;K$2,0,IF(A19&lt;=K$3,1,0))))</f>
        <v>0</v>
      </c>
      <c r="L19" s="124" t="n">
        <f aca="false">J19*K19</f>
        <v>0</v>
      </c>
      <c r="M19" s="124" t="n">
        <f aca="false">SUM(J$6:J19)</f>
        <v>-1098533</v>
      </c>
      <c r="N19" s="124" t="n">
        <f aca="false">SUM(J$6:J19)</f>
        <v>-1098533</v>
      </c>
      <c r="P19" s="124" t="n">
        <f aca="false">D19/P$3</f>
        <v>0</v>
      </c>
      <c r="Q19" s="124" t="n">
        <f aca="false">E19/P$3</f>
        <v>0</v>
      </c>
      <c r="R19" s="124" t="n">
        <f aca="false">F19/R$3</f>
        <v>0</v>
      </c>
      <c r="S19" s="126" t="n">
        <f aca="false">J19/$R$3</f>
        <v>0</v>
      </c>
      <c r="T19" s="126" t="n">
        <f aca="false">L19/$R$3</f>
        <v>0</v>
      </c>
      <c r="U19" s="126" t="n">
        <f aca="false">I19/$R$3</f>
        <v>-1098.533</v>
      </c>
      <c r="V19" s="126" t="n">
        <f aca="false">M19/$R$3</f>
        <v>-1098.533</v>
      </c>
      <c r="W19" s="126" t="n">
        <f aca="false">N19/$R$3</f>
        <v>-1098.533</v>
      </c>
    </row>
    <row r="20" customFormat="false" ht="12.75" hidden="true" customHeight="false" outlineLevel="0" collapsed="false">
      <c r="A20" s="120" t="n">
        <f aca="false">A19+1</f>
        <v>36906</v>
      </c>
      <c r="B20" s="131" t="str">
        <f aca="false">INDEX('[4]Master Data'!$A$2:$B$8,MATCH(WEEKDAY('GNS Bolv Gas MTM'!A20,3),'[4]Master Data'!$A$2:$A$8,0),2)</f>
        <v>M</v>
      </c>
      <c r="D20" s="124" t="n">
        <v>0</v>
      </c>
      <c r="E20" s="124" t="n">
        <v>0</v>
      </c>
      <c r="F20" s="124" t="n">
        <v>0</v>
      </c>
      <c r="G20" s="124" t="n">
        <v>0</v>
      </c>
      <c r="I20" s="124" t="n">
        <f aca="false">IF(MONTH($A20)=MONTH($A19),IF(G20=0,I19,G20),0)</f>
        <v>-1098533</v>
      </c>
      <c r="J20" s="124" t="n">
        <f aca="false">IF(MONTH($A20)=MONTH($A19),SUM(I20-I19),I20)</f>
        <v>0</v>
      </c>
      <c r="K20" s="124" t="n">
        <f aca="false">IF(WEEKDAY(A20,3)&gt;4,0,(IF(A20&lt;K$2,0,IF(A20&lt;=K$3,1,0))))</f>
        <v>0</v>
      </c>
      <c r="L20" s="124" t="n">
        <f aca="false">J20*K20</f>
        <v>0</v>
      </c>
      <c r="M20" s="124" t="n">
        <f aca="false">SUM(J$6:J20)</f>
        <v>-1098533</v>
      </c>
      <c r="N20" s="124" t="n">
        <f aca="false">SUM(J$6:J20)</f>
        <v>-1098533</v>
      </c>
      <c r="P20" s="124" t="n">
        <f aca="false">D20/P$3</f>
        <v>0</v>
      </c>
      <c r="Q20" s="124" t="n">
        <f aca="false">E20/P$3</f>
        <v>0</v>
      </c>
      <c r="R20" s="124" t="n">
        <f aca="false">F20/R$3</f>
        <v>0</v>
      </c>
      <c r="S20" s="126" t="n">
        <f aca="false">J20/$R$3</f>
        <v>0</v>
      </c>
      <c r="T20" s="126" t="n">
        <f aca="false">L20/$R$3</f>
        <v>0</v>
      </c>
      <c r="U20" s="126" t="n">
        <f aca="false">I20/$R$3</f>
        <v>-1098.533</v>
      </c>
      <c r="V20" s="126" t="n">
        <f aca="false">M20/$R$3</f>
        <v>-1098.533</v>
      </c>
      <c r="W20" s="126" t="n">
        <f aca="false">N20/$R$3</f>
        <v>-1098.533</v>
      </c>
    </row>
    <row r="21" customFormat="false" ht="12.75" hidden="true" customHeight="false" outlineLevel="0" collapsed="false">
      <c r="A21" s="120" t="n">
        <f aca="false">A20+1</f>
        <v>36907</v>
      </c>
      <c r="B21" s="131" t="str">
        <f aca="false">INDEX('[4]Master Data'!$A$2:$B$8,MATCH(WEEKDAY('GNS Bolv Gas MTM'!A21,3),'[4]Master Data'!$A$2:$A$8,0),2)</f>
        <v>T</v>
      </c>
      <c r="D21" s="124" t="n">
        <v>52461670.7048</v>
      </c>
      <c r="E21" s="124" t="n">
        <v>4012092.94087396</v>
      </c>
      <c r="F21" s="124" t="n">
        <v>0</v>
      </c>
      <c r="G21" s="124" t="n">
        <v>-1104403</v>
      </c>
      <c r="I21" s="124" t="n">
        <f aca="false">IF(MONTH($A21)=MONTH($A20),IF(G21=0,I20,G21),0)</f>
        <v>-1104403</v>
      </c>
      <c r="J21" s="124" t="n">
        <f aca="false">IF(MONTH($A21)=MONTH($A20),SUM(I21-I20),I21)</f>
        <v>-5870</v>
      </c>
      <c r="K21" s="124" t="n">
        <f aca="false">IF(WEEKDAY(A21,3)&gt;4,0,(IF(A21&lt;K$2,0,IF(A21&lt;=K$3,1,0))))</f>
        <v>0</v>
      </c>
      <c r="L21" s="124" t="n">
        <f aca="false">J21*K21</f>
        <v>-0</v>
      </c>
      <c r="M21" s="124" t="n">
        <f aca="false">SUM(J$6:J21)</f>
        <v>-1104403</v>
      </c>
      <c r="N21" s="124" t="n">
        <f aca="false">SUM(J$6:J21)</f>
        <v>-1104403</v>
      </c>
      <c r="P21" s="124" t="n">
        <f aca="false">D21/P$3</f>
        <v>52.4616707048</v>
      </c>
      <c r="Q21" s="124" t="n">
        <f aca="false">E21/P$3</f>
        <v>4.01209294087396</v>
      </c>
      <c r="R21" s="124" t="n">
        <f aca="false">F21/R$3</f>
        <v>0</v>
      </c>
      <c r="S21" s="126" t="n">
        <f aca="false">J21/$R$3</f>
        <v>-5.87</v>
      </c>
      <c r="T21" s="126" t="n">
        <f aca="false">L21/$R$3</f>
        <v>-0</v>
      </c>
      <c r="U21" s="126" t="n">
        <f aca="false">I21/$R$3</f>
        <v>-1104.403</v>
      </c>
      <c r="V21" s="126" t="n">
        <f aca="false">M21/$R$3</f>
        <v>-1104.403</v>
      </c>
      <c r="W21" s="126" t="n">
        <f aca="false">N21/$R$3</f>
        <v>-1104.403</v>
      </c>
    </row>
    <row r="22" customFormat="false" ht="12.75" hidden="true" customHeight="false" outlineLevel="0" collapsed="false">
      <c r="A22" s="120" t="n">
        <f aca="false">A21+1</f>
        <v>36908</v>
      </c>
      <c r="B22" s="131" t="str">
        <f aca="false">INDEX('[4]Master Data'!$A$2:$B$8,MATCH(WEEKDAY('GNS Bolv Gas MTM'!A22,3),'[4]Master Data'!$A$2:$A$8,0),2)</f>
        <v>W</v>
      </c>
      <c r="D22" s="124" t="n">
        <v>52853711.4723</v>
      </c>
      <c r="E22" s="124" t="n">
        <v>4032850.93577396</v>
      </c>
      <c r="F22" s="124" t="n">
        <v>0</v>
      </c>
      <c r="G22" s="124" t="n">
        <v>-1105860</v>
      </c>
      <c r="I22" s="124" t="n">
        <f aca="false">IF(MONTH($A22)=MONTH($A21),IF(G22=0,I21,G22),0)</f>
        <v>-1105860</v>
      </c>
      <c r="J22" s="124" t="n">
        <f aca="false">IF(MONTH($A22)=MONTH($A21),SUM(I22-I21),I22)</f>
        <v>-1457</v>
      </c>
      <c r="K22" s="124" t="n">
        <f aca="false">IF(WEEKDAY(A22,3)&gt;4,0,(IF(A22&lt;K$2,0,IF(A22&lt;=K$3,1,0))))</f>
        <v>0</v>
      </c>
      <c r="L22" s="124" t="n">
        <f aca="false">J22*K22</f>
        <v>-0</v>
      </c>
      <c r="M22" s="124" t="n">
        <f aca="false">SUM(J$6:J22)</f>
        <v>-1105860</v>
      </c>
      <c r="N22" s="124" t="n">
        <f aca="false">SUM(J$6:J22)</f>
        <v>-1105860</v>
      </c>
      <c r="P22" s="124" t="n">
        <f aca="false">D22/P$3</f>
        <v>52.8537114723</v>
      </c>
      <c r="Q22" s="124" t="n">
        <f aca="false">E22/P$3</f>
        <v>4.03285093577396</v>
      </c>
      <c r="R22" s="124" t="n">
        <f aca="false">F22/R$3</f>
        <v>0</v>
      </c>
      <c r="S22" s="126" t="n">
        <f aca="false">J22/$R$3</f>
        <v>-1.457</v>
      </c>
      <c r="T22" s="126" t="n">
        <f aca="false">L22/$R$3</f>
        <v>-0</v>
      </c>
      <c r="U22" s="126" t="n">
        <f aca="false">I22/$R$3</f>
        <v>-1105.86</v>
      </c>
      <c r="V22" s="126" t="n">
        <f aca="false">M22/$R$3</f>
        <v>-1105.86</v>
      </c>
      <c r="W22" s="126" t="n">
        <f aca="false">N22/$R$3</f>
        <v>-1105.86</v>
      </c>
    </row>
    <row r="23" customFormat="false" ht="12.75" hidden="true" customHeight="false" outlineLevel="0" collapsed="false">
      <c r="A23" s="120" t="n">
        <f aca="false">A22+1</f>
        <v>36909</v>
      </c>
      <c r="B23" s="131" t="str">
        <f aca="false">INDEX('[4]Master Data'!$A$2:$B$8,MATCH(WEEKDAY('GNS Bolv Gas MTM'!A23,3),'[4]Master Data'!$A$2:$A$8,0),2)</f>
        <v>Th</v>
      </c>
      <c r="D23" s="124" t="n">
        <v>52886569.5808</v>
      </c>
      <c r="E23" s="124" t="n">
        <v>4038672.42437396</v>
      </c>
      <c r="F23" s="124" t="n">
        <v>0</v>
      </c>
      <c r="G23" s="124" t="n">
        <v>-1107299</v>
      </c>
      <c r="I23" s="124" t="n">
        <f aca="false">IF(MONTH($A23)=MONTH($A22),IF(G23=0,I22,G23),0)</f>
        <v>-1107299</v>
      </c>
      <c r="J23" s="124" t="n">
        <f aca="false">IF(MONTH($A23)=MONTH($A22),SUM(I23-I22),I23)</f>
        <v>-1439</v>
      </c>
      <c r="K23" s="124" t="n">
        <f aca="false">IF(WEEKDAY(A23,3)&gt;4,0,(IF(A23&lt;K$2,0,IF(A23&lt;=K$3,1,0))))</f>
        <v>0</v>
      </c>
      <c r="L23" s="124" t="n">
        <f aca="false">J23*K23</f>
        <v>-0</v>
      </c>
      <c r="M23" s="124" t="n">
        <f aca="false">SUM(J$6:J23)</f>
        <v>-1107299</v>
      </c>
      <c r="N23" s="124" t="n">
        <f aca="false">SUM(J$6:J23)</f>
        <v>-1107299</v>
      </c>
      <c r="P23" s="124" t="n">
        <f aca="false">D23/P$3</f>
        <v>52.8865695808</v>
      </c>
      <c r="Q23" s="124" t="n">
        <f aca="false">E23/P$3</f>
        <v>4.03867242437396</v>
      </c>
      <c r="R23" s="124" t="n">
        <f aca="false">F23/R$3</f>
        <v>0</v>
      </c>
      <c r="S23" s="126" t="n">
        <f aca="false">J23/$R$3</f>
        <v>-1.439</v>
      </c>
      <c r="T23" s="126" t="n">
        <f aca="false">L23/$R$3</f>
        <v>-0</v>
      </c>
      <c r="U23" s="126" t="n">
        <f aca="false">I23/$R$3</f>
        <v>-1107.299</v>
      </c>
      <c r="V23" s="126" t="n">
        <f aca="false">M23/$R$3</f>
        <v>-1107.299</v>
      </c>
      <c r="W23" s="126" t="n">
        <f aca="false">N23/$R$3</f>
        <v>-1107.299</v>
      </c>
    </row>
    <row r="24" customFormat="false" ht="12.75" hidden="true" customHeight="false" outlineLevel="0" collapsed="false">
      <c r="A24" s="120" t="n">
        <f aca="false">A23+1</f>
        <v>36910</v>
      </c>
      <c r="B24" s="131" t="str">
        <f aca="false">INDEX('[4]Master Data'!$A$2:$B$8,MATCH(WEEKDAY('GNS Bolv Gas MTM'!A24,3),'[4]Master Data'!$A$2:$A$8,0),2)</f>
        <v>F</v>
      </c>
      <c r="D24" s="124" t="n">
        <v>52917311.9263</v>
      </c>
      <c r="E24" s="124" t="n">
        <v>4053255.77057396</v>
      </c>
      <c r="F24" s="124" t="n">
        <v>0</v>
      </c>
      <c r="G24" s="124" t="n">
        <v>-1108731</v>
      </c>
      <c r="I24" s="124" t="n">
        <f aca="false">IF(MONTH($A24)=MONTH($A23),IF(G24=0,I23,G24),0)</f>
        <v>-1108731</v>
      </c>
      <c r="J24" s="124" t="n">
        <f aca="false">IF(MONTH($A24)=MONTH($A23),SUM(I24-I23),I24)</f>
        <v>-1432</v>
      </c>
      <c r="K24" s="124" t="n">
        <f aca="false">IF(WEEKDAY(A24,3)&gt;4,0,(IF(A24&lt;K$2,0,IF(A24&lt;=K$3,1,0))))</f>
        <v>0</v>
      </c>
      <c r="L24" s="124" t="n">
        <f aca="false">J24*K24</f>
        <v>-0</v>
      </c>
      <c r="M24" s="124" t="n">
        <f aca="false">SUM(J$6:J24)</f>
        <v>-1108731</v>
      </c>
      <c r="N24" s="124" t="n">
        <f aca="false">SUM(J$6:J24)</f>
        <v>-1108731</v>
      </c>
      <c r="P24" s="124" t="n">
        <f aca="false">D24/P$3</f>
        <v>52.9173119263</v>
      </c>
      <c r="Q24" s="124" t="n">
        <f aca="false">E24/P$3</f>
        <v>4.05325577057396</v>
      </c>
      <c r="R24" s="124" t="n">
        <f aca="false">F24/R$3</f>
        <v>0</v>
      </c>
      <c r="S24" s="126" t="n">
        <f aca="false">J24/$R$3</f>
        <v>-1.432</v>
      </c>
      <c r="T24" s="126" t="n">
        <f aca="false">L24/$R$3</f>
        <v>-0</v>
      </c>
      <c r="U24" s="126" t="n">
        <f aca="false">I24/$R$3</f>
        <v>-1108.731</v>
      </c>
      <c r="V24" s="126" t="n">
        <f aca="false">M24/$R$3</f>
        <v>-1108.731</v>
      </c>
      <c r="W24" s="126" t="n">
        <f aca="false">N24/$R$3</f>
        <v>-1108.731</v>
      </c>
    </row>
    <row r="25" customFormat="false" ht="12.75" hidden="true" customHeight="false" outlineLevel="0" collapsed="false">
      <c r="A25" s="120" t="n">
        <f aca="false">A24+1</f>
        <v>36911</v>
      </c>
      <c r="B25" s="131" t="str">
        <f aca="false">INDEX('[4]Master Data'!$A$2:$B$8,MATCH(WEEKDAY('GNS Bolv Gas MTM'!A25,3),'[4]Master Data'!$A$2:$A$8,0),2)</f>
        <v>Sa</v>
      </c>
      <c r="D25" s="124" t="n">
        <v>0</v>
      </c>
      <c r="E25" s="124" t="n">
        <v>0</v>
      </c>
      <c r="F25" s="124" t="n">
        <v>0</v>
      </c>
      <c r="G25" s="124" t="n">
        <v>0</v>
      </c>
      <c r="I25" s="124" t="n">
        <f aca="false">IF(MONTH($A25)=MONTH($A24),IF(G25=0,I24,G25),0)</f>
        <v>-1108731</v>
      </c>
      <c r="J25" s="124" t="n">
        <f aca="false">IF(MONTH($A25)=MONTH($A24),SUM(I25-I24),I25)</f>
        <v>0</v>
      </c>
      <c r="K25" s="124" t="n">
        <f aca="false">IF(WEEKDAY(A25,3)&gt;4,0,(IF(A25&lt;K$2,0,IF(A25&lt;=K$3,1,0))))</f>
        <v>0</v>
      </c>
      <c r="L25" s="124" t="n">
        <f aca="false">J25*K25</f>
        <v>0</v>
      </c>
      <c r="M25" s="124" t="n">
        <f aca="false">SUM(J$6:J25)</f>
        <v>-1108731</v>
      </c>
      <c r="N25" s="124" t="n">
        <f aca="false">SUM(J$6:J25)</f>
        <v>-1108731</v>
      </c>
      <c r="P25" s="124" t="n">
        <f aca="false">D25/P$3</f>
        <v>0</v>
      </c>
      <c r="Q25" s="124" t="n">
        <f aca="false">E25/P$3</f>
        <v>0</v>
      </c>
      <c r="R25" s="124" t="n">
        <f aca="false">F25/R$3</f>
        <v>0</v>
      </c>
      <c r="S25" s="126" t="n">
        <f aca="false">J25/$R$3</f>
        <v>0</v>
      </c>
      <c r="T25" s="126" t="n">
        <f aca="false">L25/$R$3</f>
        <v>0</v>
      </c>
      <c r="U25" s="126" t="n">
        <f aca="false">I25/$R$3</f>
        <v>-1108.731</v>
      </c>
      <c r="V25" s="126" t="n">
        <f aca="false">M25/$R$3</f>
        <v>-1108.731</v>
      </c>
      <c r="W25" s="126" t="n">
        <f aca="false">N25/$R$3</f>
        <v>-1108.731</v>
      </c>
    </row>
    <row r="26" customFormat="false" ht="12.75" hidden="true" customHeight="false" outlineLevel="0" collapsed="false">
      <c r="A26" s="120" t="n">
        <f aca="false">A25+1</f>
        <v>36912</v>
      </c>
      <c r="B26" s="131" t="str">
        <f aca="false">INDEX('[4]Master Data'!$A$2:$B$8,MATCH(WEEKDAY('GNS Bolv Gas MTM'!A26,3),'[4]Master Data'!$A$2:$A$8,0),2)</f>
        <v>Su</v>
      </c>
      <c r="D26" s="124" t="n">
        <v>0</v>
      </c>
      <c r="E26" s="124" t="n">
        <v>0</v>
      </c>
      <c r="F26" s="124" t="n">
        <v>0</v>
      </c>
      <c r="G26" s="124" t="n">
        <v>0</v>
      </c>
      <c r="I26" s="124" t="n">
        <f aca="false">IF(MONTH($A26)=MONTH($A25),IF(G26=0,I25,G26),0)</f>
        <v>-1108731</v>
      </c>
      <c r="J26" s="124" t="n">
        <f aca="false">IF(MONTH($A26)=MONTH($A25),SUM(I26-I25),I26)</f>
        <v>0</v>
      </c>
      <c r="K26" s="124" t="n">
        <f aca="false">IF(WEEKDAY(A26,3)&gt;4,0,(IF(A26&lt;K$2,0,IF(A26&lt;=K$3,1,0))))</f>
        <v>0</v>
      </c>
      <c r="L26" s="124" t="n">
        <f aca="false">J26*K26</f>
        <v>0</v>
      </c>
      <c r="M26" s="124" t="n">
        <f aca="false">SUM(J$6:J26)</f>
        <v>-1108731</v>
      </c>
      <c r="N26" s="124" t="n">
        <f aca="false">SUM(J$6:J26)</f>
        <v>-1108731</v>
      </c>
      <c r="P26" s="124" t="n">
        <f aca="false">D26/P$3</f>
        <v>0</v>
      </c>
      <c r="Q26" s="124" t="n">
        <f aca="false">E26/P$3</f>
        <v>0</v>
      </c>
      <c r="R26" s="124" t="n">
        <f aca="false">F26/R$3</f>
        <v>0</v>
      </c>
      <c r="S26" s="126" t="n">
        <f aca="false">J26/$R$3</f>
        <v>0</v>
      </c>
      <c r="T26" s="126" t="n">
        <f aca="false">L26/$R$3</f>
        <v>0</v>
      </c>
      <c r="U26" s="126" t="n">
        <f aca="false">I26/$R$3</f>
        <v>-1108.731</v>
      </c>
      <c r="V26" s="126" t="n">
        <f aca="false">M26/$R$3</f>
        <v>-1108.731</v>
      </c>
      <c r="W26" s="126" t="n">
        <f aca="false">N26/$R$3</f>
        <v>-1108.731</v>
      </c>
    </row>
    <row r="27" customFormat="false" ht="12.75" hidden="true" customHeight="false" outlineLevel="0" collapsed="false">
      <c r="A27" s="120" t="n">
        <f aca="false">A26+1</f>
        <v>36913</v>
      </c>
      <c r="B27" s="131" t="str">
        <f aca="false">INDEX('[4]Master Data'!$A$2:$B$8,MATCH(WEEKDAY('GNS Bolv Gas MTM'!A27,3),'[4]Master Data'!$A$2:$A$8,0),2)</f>
        <v>M</v>
      </c>
      <c r="D27" s="124" t="n">
        <v>52794686.1254</v>
      </c>
      <c r="E27" s="124" t="n">
        <v>4063241.88057396</v>
      </c>
      <c r="F27" s="124" t="n">
        <v>0</v>
      </c>
      <c r="G27" s="124" t="n">
        <v>-1112956</v>
      </c>
      <c r="I27" s="124" t="n">
        <f aca="false">IF(MONTH($A27)=MONTH($A26),IF(G27=0,I26,G27),0)</f>
        <v>-1112956</v>
      </c>
      <c r="J27" s="124" t="n">
        <f aca="false">IF(MONTH($A27)=MONTH($A26),SUM(I27-I26),I27)</f>
        <v>-4225</v>
      </c>
      <c r="K27" s="124" t="n">
        <f aca="false">IF(WEEKDAY(A27,3)&gt;4,0,(IF(A27&lt;K$2,0,IF(A27&lt;=K$3,1,0))))</f>
        <v>0</v>
      </c>
      <c r="L27" s="124" t="n">
        <f aca="false">J27*K27</f>
        <v>-0</v>
      </c>
      <c r="M27" s="124" t="n">
        <f aca="false">SUM(J$6:J27)</f>
        <v>-1112956</v>
      </c>
      <c r="N27" s="124" t="n">
        <f aca="false">SUM(J$6:J27)</f>
        <v>-1112956</v>
      </c>
      <c r="P27" s="124" t="n">
        <f aca="false">D27/P$3</f>
        <v>52.7946861254</v>
      </c>
      <c r="Q27" s="124" t="n">
        <f aca="false">E27/P$3</f>
        <v>4.06324188057396</v>
      </c>
      <c r="R27" s="124" t="n">
        <f aca="false">F27/R$3</f>
        <v>0</v>
      </c>
      <c r="S27" s="126" t="n">
        <f aca="false">J27/$R$3</f>
        <v>-4.225</v>
      </c>
      <c r="T27" s="126" t="n">
        <f aca="false">L27/$R$3</f>
        <v>-0</v>
      </c>
      <c r="U27" s="126" t="n">
        <f aca="false">I27/$R$3</f>
        <v>-1112.956</v>
      </c>
      <c r="V27" s="126" t="n">
        <f aca="false">M27/$R$3</f>
        <v>-1112.956</v>
      </c>
      <c r="W27" s="126" t="n">
        <f aca="false">N27/$R$3</f>
        <v>-1112.956</v>
      </c>
    </row>
    <row r="28" customFormat="false" ht="12.75" hidden="true" customHeight="false" outlineLevel="0" collapsed="false">
      <c r="A28" s="120" t="n">
        <f aca="false">A27+1</f>
        <v>36914</v>
      </c>
      <c r="B28" s="131" t="str">
        <f aca="false">INDEX('[4]Master Data'!$A$2:$B$8,MATCH(WEEKDAY('GNS Bolv Gas MTM'!A28,3),'[4]Master Data'!$A$2:$A$8,0),2)</f>
        <v>T</v>
      </c>
      <c r="D28" s="124" t="n">
        <v>52528320.2264</v>
      </c>
      <c r="E28" s="124" t="n">
        <v>4053613.47387396</v>
      </c>
      <c r="F28" s="124" t="n">
        <v>0</v>
      </c>
      <c r="G28" s="124" t="n">
        <v>-1114344</v>
      </c>
      <c r="I28" s="124" t="n">
        <f aca="false">IF(MONTH($A28)=MONTH($A27),IF(G28=0,I27,G28),0)</f>
        <v>-1114344</v>
      </c>
      <c r="J28" s="124" t="n">
        <f aca="false">IF(MONTH($A28)=MONTH($A27),SUM(I28-I27),I28)</f>
        <v>-1388</v>
      </c>
      <c r="K28" s="124" t="n">
        <f aca="false">IF(WEEKDAY(A28,3)&gt;4,0,(IF(A28&lt;K$2,0,IF(A28&lt;=K$3,1,0))))</f>
        <v>0</v>
      </c>
      <c r="L28" s="124" t="n">
        <f aca="false">J28*K28</f>
        <v>-0</v>
      </c>
      <c r="M28" s="124" t="n">
        <f aca="false">SUM(J$6:J28)</f>
        <v>-1114344</v>
      </c>
      <c r="N28" s="124" t="n">
        <f aca="false">SUM(J$6:J28)</f>
        <v>-1114344</v>
      </c>
      <c r="P28" s="124" t="n">
        <f aca="false">D28/P$3</f>
        <v>52.5283202264</v>
      </c>
      <c r="Q28" s="124" t="n">
        <f aca="false">E28/P$3</f>
        <v>4.05361347387396</v>
      </c>
      <c r="R28" s="124" t="n">
        <f aca="false">F28/R$3</f>
        <v>0</v>
      </c>
      <c r="S28" s="126" t="n">
        <f aca="false">J28/$R$3</f>
        <v>-1.388</v>
      </c>
      <c r="T28" s="126" t="n">
        <f aca="false">L28/$R$3</f>
        <v>-0</v>
      </c>
      <c r="U28" s="126" t="n">
        <f aca="false">I28/$R$3</f>
        <v>-1114.344</v>
      </c>
      <c r="V28" s="126" t="n">
        <f aca="false">M28/$R$3</f>
        <v>-1114.344</v>
      </c>
      <c r="W28" s="126" t="n">
        <f aca="false">N28/$R$3</f>
        <v>-1114.344</v>
      </c>
    </row>
    <row r="29" customFormat="false" ht="12.75" hidden="true" customHeight="false" outlineLevel="0" collapsed="false">
      <c r="A29" s="120" t="n">
        <f aca="false">A28+1</f>
        <v>36915</v>
      </c>
      <c r="B29" s="131" t="str">
        <f aca="false">INDEX('[4]Master Data'!$A$2:$B$8,MATCH(WEEKDAY('GNS Bolv Gas MTM'!A29,3),'[4]Master Data'!$A$2:$A$8,0),2)</f>
        <v>W</v>
      </c>
      <c r="D29" s="124" t="n">
        <v>52531838.5935</v>
      </c>
      <c r="E29" s="124" t="n">
        <v>4055885.02077396</v>
      </c>
      <c r="F29" s="124" t="n">
        <v>0</v>
      </c>
      <c r="G29" s="124" t="n">
        <v>-1115730</v>
      </c>
      <c r="I29" s="124" t="n">
        <f aca="false">IF(MONTH($A29)=MONTH($A28),IF(G29=0,I28,G29),0)</f>
        <v>-1115730</v>
      </c>
      <c r="J29" s="124" t="n">
        <f aca="false">IF(MONTH($A29)=MONTH($A28),SUM(I29-I28),I29)</f>
        <v>-1386</v>
      </c>
      <c r="K29" s="124" t="n">
        <f aca="false">IF(WEEKDAY(A29,3)&gt;4,0,(IF(A29&lt;K$2,0,IF(A29&lt;=K$3,1,0))))</f>
        <v>0</v>
      </c>
      <c r="L29" s="124" t="n">
        <f aca="false">J29*K29</f>
        <v>-0</v>
      </c>
      <c r="M29" s="124" t="n">
        <f aca="false">SUM(J$6:J29)</f>
        <v>-1115730</v>
      </c>
      <c r="N29" s="124" t="n">
        <f aca="false">SUM(J$6:J29)</f>
        <v>-1115730</v>
      </c>
      <c r="P29" s="124" t="n">
        <f aca="false">D29/P$3</f>
        <v>52.5318385935</v>
      </c>
      <c r="Q29" s="124" t="n">
        <f aca="false">E29/P$3</f>
        <v>4.05588502077396</v>
      </c>
      <c r="R29" s="124" t="n">
        <f aca="false">F29/R$3</f>
        <v>0</v>
      </c>
      <c r="S29" s="126" t="n">
        <f aca="false">J29/$R$3</f>
        <v>-1.386</v>
      </c>
      <c r="T29" s="126" t="n">
        <f aca="false">L29/$R$3</f>
        <v>-0</v>
      </c>
      <c r="U29" s="126" t="n">
        <f aca="false">I29/$R$3</f>
        <v>-1115.73</v>
      </c>
      <c r="V29" s="126" t="n">
        <f aca="false">M29/$R$3</f>
        <v>-1115.73</v>
      </c>
      <c r="W29" s="126" t="n">
        <f aca="false">N29/$R$3</f>
        <v>-1115.73</v>
      </c>
    </row>
    <row r="30" customFormat="false" ht="12.75" hidden="true" customHeight="false" outlineLevel="0" collapsed="false">
      <c r="A30" s="120" t="n">
        <f aca="false">A29+1</f>
        <v>36916</v>
      </c>
      <c r="B30" s="131" t="str">
        <f aca="false">INDEX('[4]Master Data'!$A$2:$B$8,MATCH(WEEKDAY('GNS Bolv Gas MTM'!A30,3),'[4]Master Data'!$A$2:$A$8,0),2)</f>
        <v>Th</v>
      </c>
      <c r="D30" s="124" t="n">
        <v>52805262.016</v>
      </c>
      <c r="E30" s="124" t="n">
        <v>4066141.39637396</v>
      </c>
      <c r="F30" s="124" t="n">
        <v>0</v>
      </c>
      <c r="G30" s="124" t="n">
        <v>-1117113</v>
      </c>
      <c r="I30" s="124" t="n">
        <f aca="false">IF(MONTH($A30)=MONTH($A29),IF(G30=0,I29,G30),0)</f>
        <v>-1117113</v>
      </c>
      <c r="J30" s="124" t="n">
        <f aca="false">IF(MONTH($A30)=MONTH($A29),SUM(I30-I29),I30)</f>
        <v>-1383</v>
      </c>
      <c r="K30" s="124" t="n">
        <f aca="false">IF(WEEKDAY(A30,3)&gt;4,0,(IF(A30&lt;K$2,0,IF(A30&lt;=K$3,1,0))))</f>
        <v>0</v>
      </c>
      <c r="L30" s="124" t="n">
        <f aca="false">J30*K30</f>
        <v>-0</v>
      </c>
      <c r="M30" s="124" t="n">
        <f aca="false">SUM(J$6:J30)</f>
        <v>-1117113</v>
      </c>
      <c r="N30" s="124" t="n">
        <f aca="false">SUM(J$6:J30)</f>
        <v>-1117113</v>
      </c>
      <c r="P30" s="124" t="n">
        <f aca="false">D30/P$3</f>
        <v>52.805262016</v>
      </c>
      <c r="Q30" s="124" t="n">
        <f aca="false">E30/P$3</f>
        <v>4.06614139637396</v>
      </c>
      <c r="R30" s="124" t="n">
        <f aca="false">F30/R$3</f>
        <v>0</v>
      </c>
      <c r="S30" s="126" t="n">
        <f aca="false">J30/$R$3</f>
        <v>-1.383</v>
      </c>
      <c r="T30" s="126" t="n">
        <f aca="false">L30/$R$3</f>
        <v>-0</v>
      </c>
      <c r="U30" s="126" t="n">
        <f aca="false">I30/$R$3</f>
        <v>-1117.113</v>
      </c>
      <c r="V30" s="126" t="n">
        <f aca="false">M30/$R$3</f>
        <v>-1117.113</v>
      </c>
      <c r="W30" s="126" t="n">
        <f aca="false">N30/$R$3</f>
        <v>-1117.113</v>
      </c>
    </row>
    <row r="31" customFormat="false" ht="12.75" hidden="true" customHeight="false" outlineLevel="0" collapsed="false">
      <c r="A31" s="120" t="n">
        <f aca="false">A30+1</f>
        <v>36917</v>
      </c>
      <c r="B31" s="131" t="str">
        <f aca="false">INDEX('[4]Master Data'!$A$2:$B$8,MATCH(WEEKDAY('GNS Bolv Gas MTM'!A31,3),'[4]Master Data'!$A$2:$A$8,0),2)</f>
        <v>F</v>
      </c>
      <c r="D31" s="124" t="n">
        <v>52810691.6256</v>
      </c>
      <c r="E31" s="124" t="n">
        <v>4076879.08207396</v>
      </c>
      <c r="F31" s="124" t="n">
        <v>0</v>
      </c>
      <c r="G31" s="124" t="n">
        <v>-1118482</v>
      </c>
      <c r="I31" s="124" t="n">
        <f aca="false">IF(MONTH($A31)=MONTH($A30),IF(G31=0,I30,G31),0)</f>
        <v>-1118482</v>
      </c>
      <c r="J31" s="124" t="n">
        <f aca="false">IF(MONTH($A31)=MONTH($A30),SUM(I31-I30),I31)</f>
        <v>-1369</v>
      </c>
      <c r="K31" s="124" t="n">
        <f aca="false">IF(WEEKDAY(A31,3)&gt;4,0,(IF(A31&lt;K$2,0,IF(A31&lt;=K$3,1,0))))</f>
        <v>0</v>
      </c>
      <c r="L31" s="124" t="n">
        <f aca="false">J31*K31</f>
        <v>-0</v>
      </c>
      <c r="M31" s="124" t="n">
        <f aca="false">SUM(J$6:J31)</f>
        <v>-1118482</v>
      </c>
      <c r="N31" s="124" t="n">
        <f aca="false">SUM(J$6:J31)</f>
        <v>-1118482</v>
      </c>
      <c r="P31" s="124" t="n">
        <f aca="false">D31/P$3</f>
        <v>52.8106916256</v>
      </c>
      <c r="Q31" s="124" t="n">
        <f aca="false">E31/P$3</f>
        <v>4.07687908207396</v>
      </c>
      <c r="R31" s="124" t="n">
        <f aca="false">F31/R$3</f>
        <v>0</v>
      </c>
      <c r="S31" s="126" t="n">
        <f aca="false">J31/$R$3</f>
        <v>-1.369</v>
      </c>
      <c r="T31" s="126" t="n">
        <f aca="false">L31/$R$3</f>
        <v>-0</v>
      </c>
      <c r="U31" s="126" t="n">
        <f aca="false">I31/$R$3</f>
        <v>-1118.482</v>
      </c>
      <c r="V31" s="126" t="n">
        <f aca="false">M31/$R$3</f>
        <v>-1118.482</v>
      </c>
      <c r="W31" s="126" t="n">
        <f aca="false">N31/$R$3</f>
        <v>-1118.482</v>
      </c>
    </row>
    <row r="32" customFormat="false" ht="12.75" hidden="true" customHeight="false" outlineLevel="0" collapsed="false">
      <c r="A32" s="120" t="n">
        <f aca="false">A31+1</f>
        <v>36918</v>
      </c>
      <c r="B32" s="131" t="str">
        <f aca="false">INDEX('[4]Master Data'!$A$2:$B$8,MATCH(WEEKDAY('GNS Bolv Gas MTM'!A32,3),'[4]Master Data'!$A$2:$A$8,0),2)</f>
        <v>Sa</v>
      </c>
      <c r="D32" s="124" t="n">
        <v>0</v>
      </c>
      <c r="E32" s="124" t="n">
        <v>0</v>
      </c>
      <c r="F32" s="124" t="n">
        <v>0</v>
      </c>
      <c r="G32" s="124" t="n">
        <v>0</v>
      </c>
      <c r="I32" s="124" t="n">
        <f aca="false">IF(MONTH($A32)=MONTH($A31),IF(G32=0,I31,G32),0)</f>
        <v>-1118482</v>
      </c>
      <c r="J32" s="124" t="n">
        <f aca="false">IF(MONTH($A32)=MONTH($A31),SUM(I32-I31),I32)</f>
        <v>0</v>
      </c>
      <c r="K32" s="124" t="n">
        <f aca="false">IF(WEEKDAY(A32,3)&gt;4,0,(IF(A32&lt;K$2,0,IF(A32&lt;=K$3,1,0))))</f>
        <v>0</v>
      </c>
      <c r="L32" s="124" t="n">
        <f aca="false">J32*K32</f>
        <v>0</v>
      </c>
      <c r="M32" s="124" t="n">
        <f aca="false">SUM(J$6:J32)</f>
        <v>-1118482</v>
      </c>
      <c r="N32" s="124" t="n">
        <f aca="false">SUM(J$6:J32)</f>
        <v>-1118482</v>
      </c>
      <c r="P32" s="124" t="n">
        <f aca="false">D32/P$3</f>
        <v>0</v>
      </c>
      <c r="Q32" s="124" t="n">
        <f aca="false">E32/P$3</f>
        <v>0</v>
      </c>
      <c r="R32" s="124" t="n">
        <f aca="false">F32/R$3</f>
        <v>0</v>
      </c>
      <c r="S32" s="126" t="n">
        <f aca="false">J32/$R$3</f>
        <v>0</v>
      </c>
      <c r="T32" s="126" t="n">
        <f aca="false">L32/$R$3</f>
        <v>0</v>
      </c>
      <c r="U32" s="126" t="n">
        <f aca="false">I32/$R$3</f>
        <v>-1118.482</v>
      </c>
      <c r="V32" s="126" t="n">
        <f aca="false">M32/$R$3</f>
        <v>-1118.482</v>
      </c>
      <c r="W32" s="126" t="n">
        <f aca="false">N32/$R$3</f>
        <v>-1118.482</v>
      </c>
    </row>
    <row r="33" customFormat="false" ht="12.75" hidden="true" customHeight="false" outlineLevel="0" collapsed="false">
      <c r="A33" s="120" t="n">
        <f aca="false">A32+1</f>
        <v>36919</v>
      </c>
      <c r="B33" s="131" t="str">
        <f aca="false">INDEX('[4]Master Data'!$A$2:$B$8,MATCH(WEEKDAY('GNS Bolv Gas MTM'!A33,3),'[4]Master Data'!$A$2:$A$8,0),2)</f>
        <v>Su</v>
      </c>
      <c r="D33" s="124" t="n">
        <v>0</v>
      </c>
      <c r="E33" s="124" t="n">
        <v>0</v>
      </c>
      <c r="F33" s="124" t="n">
        <v>0</v>
      </c>
      <c r="G33" s="124" t="n">
        <v>0</v>
      </c>
      <c r="I33" s="124" t="n">
        <f aca="false">IF(MONTH($A33)=MONTH($A32),IF(G33=0,I32,G33),0)</f>
        <v>-1118482</v>
      </c>
      <c r="J33" s="124" t="n">
        <f aca="false">IF(MONTH($A33)=MONTH($A32),SUM(I33-I32),I33)</f>
        <v>0</v>
      </c>
      <c r="K33" s="124" t="n">
        <f aca="false">IF(WEEKDAY(A33,3)&gt;4,0,(IF(A33&lt;K$2,0,IF(A33&lt;=K$3,1,0))))</f>
        <v>0</v>
      </c>
      <c r="L33" s="124" t="n">
        <f aca="false">J33*K33</f>
        <v>0</v>
      </c>
      <c r="M33" s="124" t="n">
        <f aca="false">SUM(J$6:J33)</f>
        <v>-1118482</v>
      </c>
      <c r="N33" s="124" t="n">
        <f aca="false">SUM(J$6:J33)</f>
        <v>-1118482</v>
      </c>
      <c r="P33" s="124" t="n">
        <f aca="false">D33/P$3</f>
        <v>0</v>
      </c>
      <c r="Q33" s="124" t="n">
        <f aca="false">E33/P$3</f>
        <v>0</v>
      </c>
      <c r="R33" s="124" t="n">
        <f aca="false">F33/R$3</f>
        <v>0</v>
      </c>
      <c r="S33" s="126" t="n">
        <f aca="false">J33/$R$3</f>
        <v>0</v>
      </c>
      <c r="T33" s="126" t="n">
        <f aca="false">L33/$R$3</f>
        <v>0</v>
      </c>
      <c r="U33" s="126" t="n">
        <f aca="false">I33/$R$3</f>
        <v>-1118.482</v>
      </c>
      <c r="V33" s="126" t="n">
        <f aca="false">M33/$R$3</f>
        <v>-1118.482</v>
      </c>
      <c r="W33" s="126" t="n">
        <f aca="false">N33/$R$3</f>
        <v>-1118.482</v>
      </c>
    </row>
    <row r="34" customFormat="false" ht="12.75" hidden="true" customHeight="false" outlineLevel="0" collapsed="false">
      <c r="A34" s="120" t="n">
        <f aca="false">A33+1</f>
        <v>36920</v>
      </c>
      <c r="B34" s="131" t="str">
        <f aca="false">INDEX('[4]Master Data'!$A$2:$B$8,MATCH(WEEKDAY('GNS Bolv Gas MTM'!A34,3),'[4]Master Data'!$A$2:$A$8,0),2)</f>
        <v>M</v>
      </c>
      <c r="D34" s="124" t="n">
        <v>52823069.2718</v>
      </c>
      <c r="E34" s="124" t="n">
        <v>4095360.23887396</v>
      </c>
      <c r="F34" s="124" t="n">
        <v>0</v>
      </c>
      <c r="G34" s="124" t="n">
        <v>-1122533</v>
      </c>
      <c r="I34" s="124" t="n">
        <f aca="false">IF(MONTH($A34)=MONTH($A33),IF(G34=0,I33,G34),0)</f>
        <v>-1122533</v>
      </c>
      <c r="J34" s="124" t="n">
        <f aca="false">IF(MONTH($A34)=MONTH($A33),SUM(I34-I33),I34)</f>
        <v>-4051</v>
      </c>
      <c r="K34" s="124" t="n">
        <f aca="false">IF(WEEKDAY(A34,3)&gt;4,0,(IF(A34&lt;K$2,0,IF(A34&lt;=K$3,1,0))))</f>
        <v>0</v>
      </c>
      <c r="L34" s="124" t="n">
        <f aca="false">J34*K34</f>
        <v>-0</v>
      </c>
      <c r="M34" s="124" t="n">
        <f aca="false">SUM(J$6:J34)</f>
        <v>-1122533</v>
      </c>
      <c r="N34" s="124" t="n">
        <f aca="false">SUM(J$6:J34)</f>
        <v>-1122533</v>
      </c>
      <c r="P34" s="124" t="n">
        <f aca="false">D34/P$3</f>
        <v>52.8230692718</v>
      </c>
      <c r="Q34" s="124" t="n">
        <f aca="false">E34/P$3</f>
        <v>4.09536023887396</v>
      </c>
      <c r="R34" s="124" t="n">
        <f aca="false">F34/R$3</f>
        <v>0</v>
      </c>
      <c r="S34" s="126" t="n">
        <f aca="false">J34/$R$3</f>
        <v>-4.051</v>
      </c>
      <c r="T34" s="126" t="n">
        <f aca="false">L34/$R$3</f>
        <v>-0</v>
      </c>
      <c r="U34" s="126" t="n">
        <f aca="false">I34/$R$3</f>
        <v>-1122.533</v>
      </c>
      <c r="V34" s="126" t="n">
        <f aca="false">M34/$R$3</f>
        <v>-1122.533</v>
      </c>
      <c r="W34" s="126" t="n">
        <f aca="false">N34/$R$3</f>
        <v>-1122.533</v>
      </c>
    </row>
    <row r="35" customFormat="false" ht="12.75" hidden="true" customHeight="false" outlineLevel="0" collapsed="false">
      <c r="A35" s="120" t="n">
        <f aca="false">A34+1</f>
        <v>36921</v>
      </c>
      <c r="B35" s="131" t="str">
        <f aca="false">INDEX('[4]Master Data'!$A$2:$B$8,MATCH(WEEKDAY('GNS Bolv Gas MTM'!A35,3),'[4]Master Data'!$A$2:$A$8,0),2)</f>
        <v>T</v>
      </c>
      <c r="D35" s="124" t="n">
        <v>53271932.2479</v>
      </c>
      <c r="E35" s="124" t="n">
        <v>4117280.40277396</v>
      </c>
      <c r="F35" s="124" t="n">
        <v>0</v>
      </c>
      <c r="G35" s="124" t="n">
        <v>-1123879</v>
      </c>
      <c r="I35" s="124" t="n">
        <f aca="false">IF(MONTH($A35)=MONTH($A34),IF(G35=0,I34,G35),0)</f>
        <v>-1123879</v>
      </c>
      <c r="J35" s="124" t="n">
        <f aca="false">IF(MONTH($A35)=MONTH($A34),SUM(I35-I34),I35)</f>
        <v>-1346</v>
      </c>
      <c r="K35" s="124" t="n">
        <f aca="false">IF(WEEKDAY(A35,3)&gt;4,0,(IF(A35&lt;K$2,0,IF(A35&lt;=K$3,1,0))))</f>
        <v>0</v>
      </c>
      <c r="L35" s="124" t="n">
        <f aca="false">J35*K35</f>
        <v>-0</v>
      </c>
      <c r="M35" s="124" t="n">
        <f aca="false">SUM(J$6:J35)</f>
        <v>-1123879</v>
      </c>
      <c r="N35" s="124" t="n">
        <f aca="false">SUM(J$6:J35)</f>
        <v>-1123879</v>
      </c>
      <c r="P35" s="124" t="n">
        <f aca="false">D35/P$3</f>
        <v>53.2719322479</v>
      </c>
      <c r="Q35" s="124" t="n">
        <f aca="false">E35/P$3</f>
        <v>4.11728040277396</v>
      </c>
      <c r="R35" s="124" t="n">
        <f aca="false">F35/R$3</f>
        <v>0</v>
      </c>
      <c r="S35" s="126" t="n">
        <f aca="false">J35/$R$3</f>
        <v>-1.346</v>
      </c>
      <c r="T35" s="126" t="n">
        <f aca="false">L35/$R$3</f>
        <v>-0</v>
      </c>
      <c r="U35" s="126" t="n">
        <f aca="false">I35/$R$3</f>
        <v>-1123.879</v>
      </c>
      <c r="V35" s="126" t="n">
        <f aca="false">M35/$R$3</f>
        <v>-1123.879</v>
      </c>
      <c r="W35" s="126" t="n">
        <f aca="false">N35/$R$3</f>
        <v>-1123.879</v>
      </c>
    </row>
    <row r="36" customFormat="false" ht="12.75" hidden="false" customHeight="false" outlineLevel="0" collapsed="false">
      <c r="A36" s="120" t="n">
        <f aca="false">A35+1</f>
        <v>36922</v>
      </c>
      <c r="B36" s="131" t="str">
        <f aca="false">INDEX('[4]Master Data'!$A$2:$B$8,MATCH(WEEKDAY('GNS Bolv Gas MTM'!A36,3),'[4]Master Data'!$A$2:$A$8,0),2)</f>
        <v>W</v>
      </c>
      <c r="D36" s="124" t="n">
        <v>53833670.8762</v>
      </c>
      <c r="E36" s="124" t="n">
        <v>4146490.54767396</v>
      </c>
      <c r="F36" s="124" t="n">
        <v>0</v>
      </c>
      <c r="G36" s="124" t="n">
        <v>-1125222</v>
      </c>
      <c r="I36" s="124" t="n">
        <f aca="false">IF(MONTH($A36)=MONTH($A35),IF(G36=0,I35,G36),0)</f>
        <v>-1125222</v>
      </c>
      <c r="J36" s="124" t="n">
        <f aca="false">IF(MONTH($A36)=MONTH($A35),SUM(I36-I35),I36)</f>
        <v>-1343</v>
      </c>
      <c r="K36" s="124" t="n">
        <f aca="false">IF(WEEKDAY(A36,3)&gt;4,0,(IF(A36&lt;K$2,0,IF(A36&lt;=K$3,1,0))))</f>
        <v>0</v>
      </c>
      <c r="L36" s="124" t="n">
        <f aca="false">J36*K36</f>
        <v>-0</v>
      </c>
      <c r="M36" s="124" t="n">
        <f aca="false">SUM(J$6:J36)</f>
        <v>-1125222</v>
      </c>
      <c r="N36" s="124" t="n">
        <f aca="false">SUM(J$6:J36)</f>
        <v>-1125222</v>
      </c>
      <c r="P36" s="124" t="n">
        <f aca="false">D36/P$3</f>
        <v>53.8336708762</v>
      </c>
      <c r="Q36" s="124" t="n">
        <f aca="false">E36/P$3</f>
        <v>4.14649054767396</v>
      </c>
      <c r="R36" s="124" t="n">
        <f aca="false">F36/R$3</f>
        <v>0</v>
      </c>
      <c r="S36" s="126" t="n">
        <f aca="false">J36/$R$3</f>
        <v>-1.343</v>
      </c>
      <c r="T36" s="126" t="n">
        <f aca="false">L36/$R$3</f>
        <v>-0</v>
      </c>
      <c r="U36" s="126" t="n">
        <f aca="false">I36/$R$3</f>
        <v>-1125.222</v>
      </c>
      <c r="V36" s="126" t="n">
        <f aca="false">M36/$R$3</f>
        <v>-1125.222</v>
      </c>
      <c r="W36" s="126" t="n">
        <f aca="false">N36/$R$3</f>
        <v>-1125.222</v>
      </c>
    </row>
    <row r="37" customFormat="false" ht="12.75" hidden="true" customHeight="false" outlineLevel="0" collapsed="false">
      <c r="A37" s="120" t="n">
        <f aca="false">A36+1</f>
        <v>36923</v>
      </c>
      <c r="B37" s="131" t="str">
        <f aca="false">INDEX('[4]Master Data'!$A$2:$B$8,MATCH(WEEKDAY('GNS Bolv Gas MTM'!A37,3),'[4]Master Data'!$A$2:$A$8,0),2)</f>
        <v>Th</v>
      </c>
      <c r="D37" s="124" t="n">
        <v>54093871.2869</v>
      </c>
      <c r="E37" s="124" t="n">
        <v>4162481.68207396</v>
      </c>
      <c r="F37" s="124" t="n">
        <v>0</v>
      </c>
      <c r="G37" s="124" t="n">
        <v>-1322</v>
      </c>
      <c r="I37" s="124" t="n">
        <f aca="false">IF(MONTH($A37)=MONTH($A36),IF(G37=0,I36,G37),G37)</f>
        <v>-1322</v>
      </c>
      <c r="J37" s="124" t="n">
        <f aca="false">IF(MONTH($A37)=MONTH($A36),SUM(I37-I36),I37)</f>
        <v>-1322</v>
      </c>
      <c r="K37" s="124" t="n">
        <f aca="false">IF(WEEKDAY(A37,3)&gt;4,0,(IF(A37&lt;K$2,0,IF(A37&lt;=K$3,1,0))))</f>
        <v>0</v>
      </c>
      <c r="L37" s="124" t="n">
        <f aca="false">J37*K37</f>
        <v>-0</v>
      </c>
      <c r="M37" s="124" t="n">
        <f aca="false">SUM(J$6:J37)</f>
        <v>-1126544</v>
      </c>
      <c r="N37" s="124" t="n">
        <f aca="false">SUM(J$6:J37)</f>
        <v>-1126544</v>
      </c>
      <c r="P37" s="124" t="n">
        <f aca="false">D37/P$3</f>
        <v>54.0938712869</v>
      </c>
      <c r="Q37" s="124" t="n">
        <f aca="false">E37/P$3</f>
        <v>4.16248168207396</v>
      </c>
      <c r="R37" s="124" t="n">
        <f aca="false">F37/R$3</f>
        <v>0</v>
      </c>
      <c r="S37" s="126" t="n">
        <f aca="false">J37/$R$3</f>
        <v>-1.322</v>
      </c>
      <c r="T37" s="126" t="n">
        <f aca="false">L37/$R$3</f>
        <v>-0</v>
      </c>
      <c r="U37" s="126" t="n">
        <f aca="false">I37/$R$3</f>
        <v>-1.322</v>
      </c>
      <c r="V37" s="126" t="n">
        <f aca="false">M37/$R$3</f>
        <v>-1126.544</v>
      </c>
      <c r="W37" s="126" t="n">
        <f aca="false">N37/$R$3</f>
        <v>-1126.544</v>
      </c>
    </row>
    <row r="38" customFormat="false" ht="12.75" hidden="true" customHeight="false" outlineLevel="0" collapsed="false">
      <c r="A38" s="120" t="n">
        <f aca="false">A37+1</f>
        <v>36924</v>
      </c>
      <c r="B38" s="131" t="str">
        <f aca="false">INDEX('[4]Master Data'!$A$2:$B$8,MATCH(WEEKDAY('GNS Bolv Gas MTM'!A38,3),'[4]Master Data'!$A$2:$A$8,0),2)</f>
        <v>F</v>
      </c>
      <c r="D38" s="124" t="n">
        <v>53688515.6053</v>
      </c>
      <c r="E38" s="124" t="n">
        <v>4145409.60537396</v>
      </c>
      <c r="F38" s="124" t="n">
        <v>0</v>
      </c>
      <c r="G38" s="124" t="n">
        <v>-2616</v>
      </c>
      <c r="I38" s="124" t="n">
        <f aca="false">IF(MONTH($A38)=MONTH($A37),IF(G38=0,I37,G38),G38)</f>
        <v>-2616</v>
      </c>
      <c r="J38" s="124" t="n">
        <f aca="false">IF(MONTH($A38)=MONTH($A37),SUM(I38-I37),I38)</f>
        <v>-1294</v>
      </c>
      <c r="K38" s="124" t="n">
        <f aca="false">IF(WEEKDAY(A38,3)&gt;4,0,(IF(A38&lt;K$2,0,IF(A38&lt;=K$3,1,0))))</f>
        <v>0</v>
      </c>
      <c r="L38" s="124" t="n">
        <f aca="false">J38*K38</f>
        <v>-0</v>
      </c>
      <c r="M38" s="124" t="n">
        <f aca="false">SUM(J$6:J38)</f>
        <v>-1127838</v>
      </c>
      <c r="N38" s="124" t="n">
        <f aca="false">SUM(J$6:J38)</f>
        <v>-1127838</v>
      </c>
      <c r="P38" s="124" t="n">
        <f aca="false">D38/P$3</f>
        <v>53.6885156053</v>
      </c>
      <c r="Q38" s="124" t="n">
        <f aca="false">E38/P$3</f>
        <v>4.14540960537396</v>
      </c>
      <c r="R38" s="124" t="n">
        <f aca="false">F38/R$3</f>
        <v>0</v>
      </c>
      <c r="S38" s="126" t="n">
        <f aca="false">J38/$R$3</f>
        <v>-1.294</v>
      </c>
      <c r="T38" s="126" t="n">
        <f aca="false">L38/$R$3</f>
        <v>-0</v>
      </c>
      <c r="U38" s="126" t="n">
        <f aca="false">I38/$R$3</f>
        <v>-2.616</v>
      </c>
      <c r="V38" s="126" t="n">
        <f aca="false">M38/$R$3</f>
        <v>-1127.838</v>
      </c>
      <c r="W38" s="126" t="n">
        <f aca="false">N38/$R$3</f>
        <v>-1127.838</v>
      </c>
    </row>
    <row r="39" customFormat="false" ht="12.75" hidden="true" customHeight="false" outlineLevel="0" collapsed="false">
      <c r="A39" s="120" t="n">
        <f aca="false">A38+1</f>
        <v>36925</v>
      </c>
      <c r="B39" s="131" t="str">
        <f aca="false">INDEX('[4]Master Data'!$A$2:$B$8,MATCH(WEEKDAY('GNS Bolv Gas MTM'!A39,3),'[4]Master Data'!$A$2:$A$8,0),2)</f>
        <v>Sa</v>
      </c>
      <c r="D39" s="124" t="n">
        <v>0</v>
      </c>
      <c r="E39" s="124" t="n">
        <v>0</v>
      </c>
      <c r="F39" s="124" t="n">
        <v>0</v>
      </c>
      <c r="G39" s="124" t="n">
        <v>0</v>
      </c>
      <c r="I39" s="124" t="n">
        <f aca="false">IF(MONTH($A39)=MONTH($A38),IF(G39=0,I38,G39),G39)</f>
        <v>-2616</v>
      </c>
      <c r="J39" s="124" t="n">
        <f aca="false">IF(MONTH($A39)=MONTH($A38),SUM(I39-I38),I39)</f>
        <v>0</v>
      </c>
      <c r="K39" s="124" t="n">
        <f aca="false">IF(WEEKDAY(A39,3)&gt;4,0,(IF(A39&lt;K$2,0,IF(A39&lt;=K$3,1,0))))</f>
        <v>0</v>
      </c>
      <c r="L39" s="124" t="n">
        <f aca="false">J39*K39</f>
        <v>0</v>
      </c>
      <c r="M39" s="124" t="n">
        <f aca="false">SUM(J$6:J39)</f>
        <v>-1127838</v>
      </c>
      <c r="N39" s="124" t="n">
        <f aca="false">SUM(J$6:J39)</f>
        <v>-1127838</v>
      </c>
      <c r="P39" s="124" t="n">
        <f aca="false">D39/P$3</f>
        <v>0</v>
      </c>
      <c r="Q39" s="124" t="n">
        <f aca="false">E39/P$3</f>
        <v>0</v>
      </c>
      <c r="R39" s="124" t="n">
        <f aca="false">F39/R$3</f>
        <v>0</v>
      </c>
      <c r="S39" s="126" t="n">
        <f aca="false">J39/$R$3</f>
        <v>0</v>
      </c>
      <c r="T39" s="126" t="n">
        <f aca="false">L39/$R$3</f>
        <v>0</v>
      </c>
      <c r="U39" s="126" t="n">
        <f aca="false">I39/$R$3</f>
        <v>-2.616</v>
      </c>
      <c r="V39" s="126" t="n">
        <f aca="false">M39/$R$3</f>
        <v>-1127.838</v>
      </c>
      <c r="W39" s="126" t="n">
        <f aca="false">N39/$R$3</f>
        <v>-1127.838</v>
      </c>
    </row>
    <row r="40" customFormat="false" ht="12.75" hidden="true" customHeight="false" outlineLevel="0" collapsed="false">
      <c r="A40" s="120" t="n">
        <f aca="false">A39+1</f>
        <v>36926</v>
      </c>
      <c r="B40" s="131" t="str">
        <f aca="false">INDEX('[4]Master Data'!$A$2:$B$8,MATCH(WEEKDAY('GNS Bolv Gas MTM'!A40,3),'[4]Master Data'!$A$2:$A$8,0),2)</f>
        <v>Su</v>
      </c>
      <c r="D40" s="124" t="n">
        <v>0</v>
      </c>
      <c r="E40" s="124" t="n">
        <v>0</v>
      </c>
      <c r="F40" s="124" t="n">
        <v>0</v>
      </c>
      <c r="G40" s="124" t="n">
        <v>0</v>
      </c>
      <c r="I40" s="124" t="n">
        <f aca="false">IF(MONTH($A40)=MONTH($A39),IF(G40=0,I39,G40),G40)</f>
        <v>-2616</v>
      </c>
      <c r="J40" s="124" t="n">
        <f aca="false">IF(MONTH($A40)=MONTH($A39),SUM(I40-I39),I40)</f>
        <v>0</v>
      </c>
      <c r="K40" s="124" t="n">
        <f aca="false">IF(WEEKDAY(A40,3)&gt;4,0,(IF(A40&lt;K$2,0,IF(A40&lt;=K$3,1,0))))</f>
        <v>0</v>
      </c>
      <c r="L40" s="124" t="n">
        <f aca="false">J40*K40</f>
        <v>0</v>
      </c>
      <c r="M40" s="124" t="n">
        <f aca="false">SUM(J$6:J40)</f>
        <v>-1127838</v>
      </c>
      <c r="N40" s="124" t="n">
        <f aca="false">SUM(J$6:J40)</f>
        <v>-1127838</v>
      </c>
      <c r="P40" s="124" t="n">
        <f aca="false">D40/P$3</f>
        <v>0</v>
      </c>
      <c r="Q40" s="124" t="n">
        <f aca="false">E40/P$3</f>
        <v>0</v>
      </c>
      <c r="R40" s="124" t="n">
        <f aca="false">F40/R$3</f>
        <v>0</v>
      </c>
      <c r="S40" s="126" t="n">
        <f aca="false">J40/$R$3</f>
        <v>0</v>
      </c>
      <c r="T40" s="126" t="n">
        <f aca="false">L40/$R$3</f>
        <v>0</v>
      </c>
      <c r="U40" s="126" t="n">
        <f aca="false">I40/$R$3</f>
        <v>-2.616</v>
      </c>
      <c r="V40" s="126" t="n">
        <f aca="false">M40/$R$3</f>
        <v>-1127.838</v>
      </c>
      <c r="W40" s="126" t="n">
        <f aca="false">N40/$R$3</f>
        <v>-1127.838</v>
      </c>
    </row>
    <row r="41" customFormat="false" ht="12.75" hidden="true" customHeight="false" outlineLevel="0" collapsed="false">
      <c r="A41" s="120" t="n">
        <f aca="false">A40+1</f>
        <v>36927</v>
      </c>
      <c r="B41" s="131" t="str">
        <f aca="false">INDEX('[4]Master Data'!$A$2:$B$8,MATCH(WEEKDAY('GNS Bolv Gas MTM'!A41,3),'[4]Master Data'!$A$2:$A$8,0),2)</f>
        <v>M</v>
      </c>
      <c r="D41" s="124" t="n">
        <v>53688696.9215</v>
      </c>
      <c r="E41" s="124" t="n">
        <v>4159886.62157396</v>
      </c>
      <c r="F41" s="124" t="n">
        <v>0</v>
      </c>
      <c r="G41" s="124" t="n">
        <v>-6472</v>
      </c>
      <c r="I41" s="124" t="n">
        <f aca="false">IF(MONTH($A41)=MONTH($A40),IF(G41=0,I40,G41),G41)</f>
        <v>-6472</v>
      </c>
      <c r="J41" s="124" t="n">
        <f aca="false">IF(MONTH($A41)=MONTH($A40),SUM(I41-I40),I41)</f>
        <v>-3856</v>
      </c>
      <c r="K41" s="124" t="n">
        <f aca="false">IF(WEEKDAY(A41,3)&gt;4,0,(IF(A41&lt;K$2,0,IF(A41&lt;=K$3,1,0))))</f>
        <v>0</v>
      </c>
      <c r="L41" s="124" t="n">
        <f aca="false">J41*K41</f>
        <v>-0</v>
      </c>
      <c r="M41" s="124" t="n">
        <f aca="false">SUM(J$6:J41)</f>
        <v>-1131694</v>
      </c>
      <c r="N41" s="124" t="n">
        <f aca="false">SUM(J$6:J41)</f>
        <v>-1131694</v>
      </c>
      <c r="P41" s="124" t="n">
        <f aca="false">D41/P$3</f>
        <v>53.6886969215</v>
      </c>
      <c r="Q41" s="124" t="n">
        <f aca="false">E41/P$3</f>
        <v>4.15988662157396</v>
      </c>
      <c r="R41" s="124" t="n">
        <f aca="false">F41/R$3</f>
        <v>0</v>
      </c>
      <c r="S41" s="126" t="n">
        <f aca="false">J41/$R$3</f>
        <v>-3.856</v>
      </c>
      <c r="T41" s="126" t="n">
        <f aca="false">L41/$R$3</f>
        <v>-0</v>
      </c>
      <c r="U41" s="126" t="n">
        <f aca="false">I41/$R$3</f>
        <v>-6.472</v>
      </c>
      <c r="V41" s="126" t="n">
        <f aca="false">M41/$R$3</f>
        <v>-1131.694</v>
      </c>
      <c r="W41" s="126" t="n">
        <f aca="false">N41/$R$3</f>
        <v>-1131.694</v>
      </c>
    </row>
    <row r="42" customFormat="false" ht="12.75" hidden="true" customHeight="false" outlineLevel="0" collapsed="false">
      <c r="A42" s="120" t="n">
        <f aca="false">A41+1</f>
        <v>36928</v>
      </c>
      <c r="B42" s="131" t="str">
        <f aca="false">INDEX('[4]Master Data'!$A$2:$B$8,MATCH(WEEKDAY('GNS Bolv Gas MTM'!A42,3),'[4]Master Data'!$A$2:$A$8,0),2)</f>
        <v>T</v>
      </c>
      <c r="D42" s="124" t="n">
        <v>53503374.9653</v>
      </c>
      <c r="E42" s="124" t="n">
        <v>4154700.90417396</v>
      </c>
      <c r="F42" s="124" t="n">
        <v>0</v>
      </c>
      <c r="G42" s="124" t="n">
        <v>-7733</v>
      </c>
      <c r="I42" s="124" t="n">
        <f aca="false">IF(MONTH($A42)=MONTH($A41),IF(G42=0,I41,G42),G42)</f>
        <v>-7733</v>
      </c>
      <c r="J42" s="124" t="n">
        <f aca="false">IF(MONTH($A42)=MONTH($A41),SUM(I42-I41),I42)</f>
        <v>-1261</v>
      </c>
      <c r="K42" s="124" t="n">
        <f aca="false">IF(WEEKDAY(A42,3)&gt;4,0,(IF(A42&lt;K$2,0,IF(A42&lt;=K$3,1,0))))</f>
        <v>0</v>
      </c>
      <c r="L42" s="124" t="n">
        <f aca="false">J42*K42</f>
        <v>-0</v>
      </c>
      <c r="M42" s="124" t="n">
        <f aca="false">SUM(J$6:J42)</f>
        <v>-1132955</v>
      </c>
      <c r="N42" s="124" t="n">
        <f aca="false">SUM(J$6:J42)</f>
        <v>-1132955</v>
      </c>
      <c r="P42" s="124" t="n">
        <f aca="false">D42/P$3</f>
        <v>53.5033749653</v>
      </c>
      <c r="Q42" s="124" t="n">
        <f aca="false">E42/P$3</f>
        <v>4.15470090417396</v>
      </c>
      <c r="R42" s="124" t="n">
        <f aca="false">F42/R$3</f>
        <v>0</v>
      </c>
      <c r="S42" s="126" t="n">
        <f aca="false">J42/$R$3</f>
        <v>-1.261</v>
      </c>
      <c r="T42" s="126" t="n">
        <f aca="false">L42/$R$3</f>
        <v>-0</v>
      </c>
      <c r="U42" s="126" t="n">
        <f aca="false">I42/$R$3</f>
        <v>-7.733</v>
      </c>
      <c r="V42" s="126" t="n">
        <f aca="false">M42/$R$3</f>
        <v>-1132.955</v>
      </c>
      <c r="W42" s="126" t="n">
        <f aca="false">N42/$R$3</f>
        <v>-1132.955</v>
      </c>
    </row>
    <row r="43" customFormat="false" ht="12.75" hidden="true" customHeight="false" outlineLevel="0" collapsed="false">
      <c r="A43" s="120" t="n">
        <f aca="false">A42+1</f>
        <v>36929</v>
      </c>
      <c r="B43" s="131" t="str">
        <f aca="false">INDEX('[4]Master Data'!$A$2:$B$8,MATCH(WEEKDAY('GNS Bolv Gas MTM'!A43,3),'[4]Master Data'!$A$2:$A$8,0),2)</f>
        <v>W</v>
      </c>
      <c r="D43" s="124" t="n">
        <v>53699011.9022</v>
      </c>
      <c r="E43" s="124" t="n">
        <v>4167436.66667396</v>
      </c>
      <c r="F43" s="124" t="n">
        <v>0</v>
      </c>
      <c r="G43" s="124" t="n">
        <v>-8997</v>
      </c>
      <c r="I43" s="124" t="n">
        <f aca="false">IF(MONTH($A43)=MONTH($A42),IF(G43=0,I42,G43),G43)</f>
        <v>-8997</v>
      </c>
      <c r="J43" s="124" t="n">
        <f aca="false">IF(MONTH($A43)=MONTH($A42),SUM(I43-I42),I43)</f>
        <v>-1264</v>
      </c>
      <c r="K43" s="124" t="n">
        <f aca="false">IF(WEEKDAY(A43,3)&gt;4,0,(IF(A43&lt;K$2,0,IF(A43&lt;=K$3,1,0))))</f>
        <v>0</v>
      </c>
      <c r="L43" s="124" t="n">
        <f aca="false">J43*K43</f>
        <v>-0</v>
      </c>
      <c r="M43" s="124" t="n">
        <f aca="false">SUM(J$6:J43)</f>
        <v>-1134219</v>
      </c>
      <c r="N43" s="124" t="n">
        <f aca="false">SUM(J$6:J43)</f>
        <v>-1134219</v>
      </c>
      <c r="P43" s="124" t="n">
        <f aca="false">D43/P$3</f>
        <v>53.6990119022</v>
      </c>
      <c r="Q43" s="124" t="n">
        <f aca="false">E43/P$3</f>
        <v>4.16743666667396</v>
      </c>
      <c r="R43" s="124" t="n">
        <f aca="false">F43/R$3</f>
        <v>0</v>
      </c>
      <c r="S43" s="126" t="n">
        <f aca="false">J43/$R$3</f>
        <v>-1.264</v>
      </c>
      <c r="T43" s="126" t="n">
        <f aca="false">L43/$R$3</f>
        <v>-0</v>
      </c>
      <c r="U43" s="126" t="n">
        <f aca="false">I43/$R$3</f>
        <v>-8.997</v>
      </c>
      <c r="V43" s="126" t="n">
        <f aca="false">M43/$R$3</f>
        <v>-1134.219</v>
      </c>
      <c r="W43" s="126" t="n">
        <f aca="false">N43/$R$3</f>
        <v>-1134.219</v>
      </c>
    </row>
    <row r="44" customFormat="false" ht="12.75" hidden="true" customHeight="false" outlineLevel="0" collapsed="false">
      <c r="A44" s="120" t="n">
        <f aca="false">A43+1</f>
        <v>36930</v>
      </c>
      <c r="B44" s="131" t="str">
        <f aca="false">INDEX('[4]Master Data'!$A$2:$B$8,MATCH(WEEKDAY('GNS Bolv Gas MTM'!A44,3),'[4]Master Data'!$A$2:$A$8,0),2)</f>
        <v>Th</v>
      </c>
      <c r="D44" s="124" t="n">
        <v>53719551.5976</v>
      </c>
      <c r="E44" s="124" t="n">
        <v>4168456.81347396</v>
      </c>
      <c r="F44" s="124" t="n">
        <v>0</v>
      </c>
      <c r="G44" s="124" t="n">
        <v>-10246</v>
      </c>
      <c r="I44" s="124" t="n">
        <f aca="false">IF(MONTH($A44)=MONTH($A43),IF(G44=0,I43,G44),G44)</f>
        <v>-10246</v>
      </c>
      <c r="J44" s="124" t="n">
        <f aca="false">IF(MONTH($A44)=MONTH($A43),SUM(I44-I43),I44)</f>
        <v>-1249</v>
      </c>
      <c r="K44" s="124" t="n">
        <f aca="false">IF(WEEKDAY(A44,3)&gt;4,0,(IF(A44&lt;K$2,0,IF(A44&lt;=K$3,1,0))))</f>
        <v>0</v>
      </c>
      <c r="L44" s="124" t="n">
        <f aca="false">J44*K44</f>
        <v>-0</v>
      </c>
      <c r="M44" s="124" t="n">
        <f aca="false">SUM(J$6:J44)</f>
        <v>-1135468</v>
      </c>
      <c r="N44" s="124" t="n">
        <f aca="false">SUM(J$6:J44)</f>
        <v>-1135468</v>
      </c>
      <c r="P44" s="124" t="n">
        <f aca="false">D44/P$3</f>
        <v>53.7195515976</v>
      </c>
      <c r="Q44" s="124" t="n">
        <f aca="false">E44/P$3</f>
        <v>4.16845681347396</v>
      </c>
      <c r="R44" s="124" t="n">
        <f aca="false">F44/R$3</f>
        <v>0</v>
      </c>
      <c r="S44" s="126" t="n">
        <f aca="false">J44/$R$3</f>
        <v>-1.249</v>
      </c>
      <c r="T44" s="126" t="n">
        <f aca="false">L44/$R$3</f>
        <v>-0</v>
      </c>
      <c r="U44" s="126" t="n">
        <f aca="false">I44/$R$3</f>
        <v>-10.246</v>
      </c>
      <c r="V44" s="126" t="n">
        <f aca="false">M44/$R$3</f>
        <v>-1135.468</v>
      </c>
      <c r="W44" s="126" t="n">
        <f aca="false">N44/$R$3</f>
        <v>-1135.468</v>
      </c>
    </row>
    <row r="45" customFormat="false" ht="12.75" hidden="true" customHeight="false" outlineLevel="0" collapsed="false">
      <c r="A45" s="120" t="n">
        <f aca="false">A44+1</f>
        <v>36931</v>
      </c>
      <c r="B45" s="131" t="str">
        <f aca="false">INDEX('[4]Master Data'!$A$2:$B$8,MATCH(WEEKDAY('GNS Bolv Gas MTM'!A45,3),'[4]Master Data'!$A$2:$A$8,0),2)</f>
        <v>F</v>
      </c>
      <c r="D45" s="124" t="n">
        <v>54014959.6962</v>
      </c>
      <c r="E45" s="124" t="n">
        <v>4189098.37527396</v>
      </c>
      <c r="F45" s="124" t="n">
        <v>0</v>
      </c>
      <c r="G45" s="124" t="n">
        <v>-11495</v>
      </c>
      <c r="I45" s="124" t="n">
        <f aca="false">IF(MONTH($A45)=MONTH($A44),IF(G45=0,I44,G45),G45)</f>
        <v>-11495</v>
      </c>
      <c r="J45" s="124" t="n">
        <f aca="false">IF(MONTH($A45)=MONTH($A44),SUM(I45-I44),I45)</f>
        <v>-1249</v>
      </c>
      <c r="K45" s="124" t="n">
        <f aca="false">IF(WEEKDAY(A45,3)&gt;4,0,(IF(A45&lt;K$2,0,IF(A45&lt;=K$3,1,0))))</f>
        <v>0</v>
      </c>
      <c r="L45" s="124" t="n">
        <f aca="false">J45*K45</f>
        <v>-0</v>
      </c>
      <c r="M45" s="124" t="n">
        <f aca="false">SUM(J$6:J45)</f>
        <v>-1136717</v>
      </c>
      <c r="N45" s="124" t="n">
        <f aca="false">SUM(J$6:J45)</f>
        <v>-1136717</v>
      </c>
      <c r="P45" s="124" t="n">
        <f aca="false">D45/P$3</f>
        <v>54.0149596962</v>
      </c>
      <c r="Q45" s="124" t="n">
        <f aca="false">E45/P$3</f>
        <v>4.18909837527396</v>
      </c>
      <c r="R45" s="124" t="n">
        <f aca="false">F45/R$3</f>
        <v>0</v>
      </c>
      <c r="S45" s="126" t="n">
        <f aca="false">J45/$R$3</f>
        <v>-1.249</v>
      </c>
      <c r="T45" s="126" t="n">
        <f aca="false">L45/$R$3</f>
        <v>-0</v>
      </c>
      <c r="U45" s="126" t="n">
        <f aca="false">I45/$R$3</f>
        <v>-11.495</v>
      </c>
      <c r="V45" s="126" t="n">
        <f aca="false">M45/$R$3</f>
        <v>-1136.717</v>
      </c>
      <c r="W45" s="126" t="n">
        <f aca="false">N45/$R$3</f>
        <v>-1136.717</v>
      </c>
    </row>
    <row r="46" customFormat="false" ht="12.75" hidden="true" customHeight="false" outlineLevel="0" collapsed="false">
      <c r="A46" s="120" t="n">
        <f aca="false">A45+1</f>
        <v>36932</v>
      </c>
      <c r="B46" s="131" t="str">
        <f aca="false">INDEX('[4]Master Data'!$A$2:$B$8,MATCH(WEEKDAY('GNS Bolv Gas MTM'!A46,3),'[4]Master Data'!$A$2:$A$8,0),2)</f>
        <v>Sa</v>
      </c>
      <c r="D46" s="124" t="n">
        <v>0</v>
      </c>
      <c r="E46" s="124" t="n">
        <v>0</v>
      </c>
      <c r="F46" s="124" t="n">
        <v>0</v>
      </c>
      <c r="G46" s="124" t="n">
        <v>0</v>
      </c>
      <c r="I46" s="124" t="n">
        <f aca="false">IF(MONTH($A46)=MONTH($A45),IF(G46=0,I45,G46),G46)</f>
        <v>-11495</v>
      </c>
      <c r="J46" s="124" t="n">
        <f aca="false">IF(MONTH($A46)=MONTH($A45),SUM(I46-I45),I46)</f>
        <v>0</v>
      </c>
      <c r="K46" s="124" t="n">
        <f aca="false">IF(WEEKDAY(A46,3)&gt;4,0,(IF(A46&lt;K$2,0,IF(A46&lt;=K$3,1,0))))</f>
        <v>0</v>
      </c>
      <c r="L46" s="124" t="n">
        <f aca="false">J46*K46</f>
        <v>0</v>
      </c>
      <c r="M46" s="124" t="n">
        <f aca="false">SUM(J$6:J46)</f>
        <v>-1136717</v>
      </c>
      <c r="N46" s="124" t="n">
        <f aca="false">SUM(J$6:J46)</f>
        <v>-1136717</v>
      </c>
      <c r="P46" s="124" t="n">
        <f aca="false">D46/P$3</f>
        <v>0</v>
      </c>
      <c r="Q46" s="124" t="n">
        <f aca="false">E46/P$3</f>
        <v>0</v>
      </c>
      <c r="R46" s="124" t="n">
        <f aca="false">F46/R$3</f>
        <v>0</v>
      </c>
      <c r="S46" s="126" t="n">
        <f aca="false">J46/$R$3</f>
        <v>0</v>
      </c>
      <c r="T46" s="126" t="n">
        <f aca="false">L46/$R$3</f>
        <v>0</v>
      </c>
      <c r="U46" s="126" t="n">
        <f aca="false">I46/$R$3</f>
        <v>-11.495</v>
      </c>
      <c r="V46" s="126" t="n">
        <f aca="false">M46/$R$3</f>
        <v>-1136.717</v>
      </c>
      <c r="W46" s="126" t="n">
        <f aca="false">N46/$R$3</f>
        <v>-1136.717</v>
      </c>
    </row>
    <row r="47" customFormat="false" ht="12.75" hidden="true" customHeight="false" outlineLevel="0" collapsed="false">
      <c r="A47" s="120" t="n">
        <f aca="false">A46+1</f>
        <v>36933</v>
      </c>
      <c r="B47" s="131" t="str">
        <f aca="false">INDEX('[4]Master Data'!$A$2:$B$8,MATCH(WEEKDAY('GNS Bolv Gas MTM'!A47,3),'[4]Master Data'!$A$2:$A$8,0),2)</f>
        <v>Su</v>
      </c>
      <c r="D47" s="124" t="n">
        <v>0</v>
      </c>
      <c r="E47" s="124" t="n">
        <v>0</v>
      </c>
      <c r="F47" s="124" t="n">
        <v>0</v>
      </c>
      <c r="G47" s="124" t="n">
        <v>0</v>
      </c>
      <c r="I47" s="124" t="n">
        <f aca="false">IF(MONTH($A47)=MONTH($A46),IF(G47=0,I46,G47),G47)</f>
        <v>-11495</v>
      </c>
      <c r="J47" s="124" t="n">
        <f aca="false">IF(MONTH($A47)=MONTH($A46),SUM(I47-I46),I47)</f>
        <v>0</v>
      </c>
      <c r="K47" s="124" t="n">
        <f aca="false">IF(WEEKDAY(A47,3)&gt;4,0,(IF(A47&lt;K$2,0,IF(A47&lt;=K$3,1,0))))</f>
        <v>0</v>
      </c>
      <c r="L47" s="124" t="n">
        <f aca="false">J47*K47</f>
        <v>0</v>
      </c>
      <c r="M47" s="124" t="n">
        <f aca="false">SUM(J$6:J47)</f>
        <v>-1136717</v>
      </c>
      <c r="N47" s="124" t="n">
        <f aca="false">SUM(J$6:J47)</f>
        <v>-1136717</v>
      </c>
      <c r="P47" s="124" t="n">
        <f aca="false">D47/P$3</f>
        <v>0</v>
      </c>
      <c r="Q47" s="124" t="n">
        <f aca="false">E47/P$3</f>
        <v>0</v>
      </c>
      <c r="R47" s="124" t="n">
        <f aca="false">F47/R$3</f>
        <v>0</v>
      </c>
      <c r="S47" s="126" t="n">
        <f aca="false">J47/$R$3</f>
        <v>0</v>
      </c>
      <c r="T47" s="126" t="n">
        <f aca="false">L47/$R$3</f>
        <v>0</v>
      </c>
      <c r="U47" s="126" t="n">
        <f aca="false">I47/$R$3</f>
        <v>-11.495</v>
      </c>
      <c r="V47" s="126" t="n">
        <f aca="false">M47/$R$3</f>
        <v>-1136.717</v>
      </c>
      <c r="W47" s="126" t="n">
        <f aca="false">N47/$R$3</f>
        <v>-1136.717</v>
      </c>
    </row>
    <row r="48" customFormat="false" ht="12.75" hidden="true" customHeight="false" outlineLevel="0" collapsed="false">
      <c r="A48" s="120" t="n">
        <f aca="false">A47+1</f>
        <v>36934</v>
      </c>
      <c r="B48" s="131" t="str">
        <f aca="false">INDEX('[4]Master Data'!$A$2:$B$8,MATCH(WEEKDAY('GNS Bolv Gas MTM'!A48,3),'[4]Master Data'!$A$2:$A$8,0),2)</f>
        <v>M</v>
      </c>
      <c r="D48" s="124" t="n">
        <v>54044955.4265</v>
      </c>
      <c r="E48" s="124" t="n">
        <v>4202381.01817396</v>
      </c>
      <c r="F48" s="124" t="n">
        <v>0</v>
      </c>
      <c r="G48" s="124" t="n">
        <v>-15153</v>
      </c>
      <c r="I48" s="124" t="n">
        <f aca="false">IF(MONTH($A48)=MONTH($A47),IF(G48=0,I47,G48),G48)</f>
        <v>-15153</v>
      </c>
      <c r="J48" s="124" t="n">
        <f aca="false">IF(MONTH($A48)=MONTH($A47),SUM(I48-I47),I48)</f>
        <v>-3658</v>
      </c>
      <c r="K48" s="124" t="n">
        <f aca="false">IF(WEEKDAY(A48,3)&gt;4,0,(IF(A48&lt;K$2,0,IF(A48&lt;=K$3,1,0))))</f>
        <v>0</v>
      </c>
      <c r="L48" s="124" t="n">
        <f aca="false">J48*K48</f>
        <v>-0</v>
      </c>
      <c r="M48" s="124" t="n">
        <f aca="false">SUM(J$6:J48)</f>
        <v>-1140375</v>
      </c>
      <c r="N48" s="124" t="n">
        <f aca="false">SUM(J$6:J48)</f>
        <v>-1140375</v>
      </c>
      <c r="P48" s="124" t="n">
        <f aca="false">D48/P$3</f>
        <v>54.0449554265</v>
      </c>
      <c r="Q48" s="124" t="n">
        <f aca="false">E48/P$3</f>
        <v>4.20238101817396</v>
      </c>
      <c r="R48" s="124" t="n">
        <f aca="false">F48/R$3</f>
        <v>0</v>
      </c>
      <c r="S48" s="126" t="n">
        <f aca="false">J48/$R$3</f>
        <v>-3.658</v>
      </c>
      <c r="T48" s="126" t="n">
        <f aca="false">L48/$R$3</f>
        <v>-0</v>
      </c>
      <c r="U48" s="126" t="n">
        <f aca="false">I48/$R$3</f>
        <v>-15.153</v>
      </c>
      <c r="V48" s="126" t="n">
        <f aca="false">M48/$R$3</f>
        <v>-1140.375</v>
      </c>
      <c r="W48" s="126" t="n">
        <f aca="false">N48/$R$3</f>
        <v>-1140.375</v>
      </c>
    </row>
    <row r="49" customFormat="false" ht="12.75" hidden="true" customHeight="false" outlineLevel="0" collapsed="false">
      <c r="A49" s="120" t="n">
        <f aca="false">A48+1</f>
        <v>36935</v>
      </c>
      <c r="B49" s="131" t="str">
        <f aca="false">INDEX('[4]Master Data'!$A$2:$B$8,MATCH(WEEKDAY('GNS Bolv Gas MTM'!A49,3),'[4]Master Data'!$A$2:$A$8,0),2)</f>
        <v>T</v>
      </c>
      <c r="D49" s="124" t="n">
        <v>53981233.4781</v>
      </c>
      <c r="E49" s="124" t="n">
        <v>4198818.80407396</v>
      </c>
      <c r="F49" s="124" t="n">
        <v>0</v>
      </c>
      <c r="G49" s="124" t="n">
        <v>-16352</v>
      </c>
      <c r="I49" s="124" t="n">
        <f aca="false">IF(MONTH($A49)=MONTH($A48),IF(G49=0,I48,G49),G49)</f>
        <v>-16352</v>
      </c>
      <c r="J49" s="124" t="n">
        <f aca="false">IF(MONTH($A49)=MONTH($A48),SUM(I49-I48),I49)</f>
        <v>-1199</v>
      </c>
      <c r="K49" s="124" t="n">
        <f aca="false">IF(WEEKDAY(A49,3)&gt;4,0,(IF(A49&lt;K$2,0,IF(A49&lt;=K$3,1,0))))</f>
        <v>0</v>
      </c>
      <c r="L49" s="124" t="n">
        <f aca="false">J49*K49</f>
        <v>-0</v>
      </c>
      <c r="M49" s="124" t="n">
        <f aca="false">SUM(J$6:J49)</f>
        <v>-1141574</v>
      </c>
      <c r="N49" s="124" t="n">
        <f aca="false">SUM(J$6:J49)</f>
        <v>-1141574</v>
      </c>
      <c r="P49" s="124" t="n">
        <f aca="false">D49/P$3</f>
        <v>53.9812334781</v>
      </c>
      <c r="Q49" s="124" t="n">
        <f aca="false">E49/P$3</f>
        <v>4.19881880407396</v>
      </c>
      <c r="R49" s="124" t="n">
        <f aca="false">F49/R$3</f>
        <v>0</v>
      </c>
      <c r="S49" s="126" t="n">
        <f aca="false">J49/$R$3</f>
        <v>-1.199</v>
      </c>
      <c r="T49" s="126" t="n">
        <f aca="false">L49/$R$3</f>
        <v>-0</v>
      </c>
      <c r="U49" s="126" t="n">
        <f aca="false">I49/$R$3</f>
        <v>-16.352</v>
      </c>
      <c r="V49" s="126" t="n">
        <f aca="false">M49/$R$3</f>
        <v>-1141.574</v>
      </c>
      <c r="W49" s="126" t="n">
        <f aca="false">N49/$R$3</f>
        <v>-1141.574</v>
      </c>
    </row>
    <row r="50" customFormat="false" ht="12.75" hidden="true" customHeight="false" outlineLevel="0" collapsed="false">
      <c r="A50" s="120" t="n">
        <f aca="false">A49+1</f>
        <v>36936</v>
      </c>
      <c r="B50" s="131" t="str">
        <f aca="false">INDEX('[4]Master Data'!$A$2:$B$8,MATCH(WEEKDAY('GNS Bolv Gas MTM'!A50,3),'[4]Master Data'!$A$2:$A$8,0),2)</f>
        <v>W</v>
      </c>
      <c r="D50" s="124" t="n">
        <v>53608009.4384</v>
      </c>
      <c r="E50" s="124" t="n">
        <v>4185982.19857396</v>
      </c>
      <c r="F50" s="124" t="n">
        <v>0</v>
      </c>
      <c r="G50" s="124" t="n">
        <v>-17528</v>
      </c>
      <c r="I50" s="124" t="n">
        <f aca="false">IF(MONTH($A50)=MONTH($A49),IF(G50=0,I49,G50),G50)</f>
        <v>-17528</v>
      </c>
      <c r="J50" s="124" t="n">
        <f aca="false">IF(MONTH($A50)=MONTH($A49),SUM(I50-I49),I50)</f>
        <v>-1176</v>
      </c>
      <c r="K50" s="124" t="n">
        <f aca="false">IF(WEEKDAY(A50,3)&gt;4,0,(IF(A50&lt;K$2,0,IF(A50&lt;=K$3,1,0))))</f>
        <v>0</v>
      </c>
      <c r="L50" s="124" t="n">
        <f aca="false">J50*K50</f>
        <v>-0</v>
      </c>
      <c r="M50" s="124" t="n">
        <f aca="false">SUM(J$6:J50)</f>
        <v>-1142750</v>
      </c>
      <c r="N50" s="124" t="n">
        <f aca="false">SUM(J$6:J50)</f>
        <v>-1142750</v>
      </c>
      <c r="P50" s="124" t="n">
        <f aca="false">D50/P$3</f>
        <v>53.6080094384</v>
      </c>
      <c r="Q50" s="124" t="n">
        <f aca="false">E50/P$3</f>
        <v>4.18598219857396</v>
      </c>
      <c r="R50" s="124" t="n">
        <f aca="false">F50/R$3</f>
        <v>0</v>
      </c>
      <c r="S50" s="126" t="n">
        <f aca="false">J50/$R$3</f>
        <v>-1.176</v>
      </c>
      <c r="T50" s="126" t="n">
        <f aca="false">L50/$R$3</f>
        <v>-0</v>
      </c>
      <c r="U50" s="126" t="n">
        <f aca="false">I50/$R$3</f>
        <v>-17.528</v>
      </c>
      <c r="V50" s="126" t="n">
        <f aca="false">M50/$R$3</f>
        <v>-1142.75</v>
      </c>
      <c r="W50" s="126" t="n">
        <f aca="false">N50/$R$3</f>
        <v>-1142.75</v>
      </c>
    </row>
    <row r="51" customFormat="false" ht="12.75" hidden="true" customHeight="false" outlineLevel="0" collapsed="false">
      <c r="A51" s="120" t="n">
        <f aca="false">A50+1</f>
        <v>36937</v>
      </c>
      <c r="B51" s="131" t="str">
        <f aca="false">INDEX('[4]Master Data'!$A$2:$B$8,MATCH(WEEKDAY('GNS Bolv Gas MTM'!A51,3),'[4]Master Data'!$A$2:$A$8,0),2)</f>
        <v>Th</v>
      </c>
      <c r="D51" s="124" t="n">
        <v>53395305.8733</v>
      </c>
      <c r="E51" s="124" t="n">
        <v>4180752.42117396</v>
      </c>
      <c r="F51" s="124" t="n">
        <v>0</v>
      </c>
      <c r="G51" s="124" t="n">
        <v>-18701</v>
      </c>
      <c r="I51" s="124" t="n">
        <f aca="false">IF(MONTH($A51)=MONTH($A50),IF(G51=0,I50,G51),G51)</f>
        <v>-18701</v>
      </c>
      <c r="J51" s="124" t="n">
        <f aca="false">IF(MONTH($A51)=MONTH($A50),SUM(I51-I50),I51)</f>
        <v>-1173</v>
      </c>
      <c r="K51" s="124" t="n">
        <f aca="false">IF(WEEKDAY(A51,3)&gt;4,0,(IF(A51&lt;K$2,0,IF(A51&lt;=K$3,1,0))))</f>
        <v>0</v>
      </c>
      <c r="L51" s="124" t="n">
        <f aca="false">J51*K51</f>
        <v>-0</v>
      </c>
      <c r="M51" s="124" t="n">
        <f aca="false">SUM(J$6:J51)</f>
        <v>-1143923</v>
      </c>
      <c r="N51" s="124" t="n">
        <f aca="false">SUM(J$6:J51)</f>
        <v>-1143923</v>
      </c>
      <c r="P51" s="124" t="n">
        <f aca="false">D51/P$3</f>
        <v>53.3953058733</v>
      </c>
      <c r="Q51" s="124" t="n">
        <f aca="false">E51/P$3</f>
        <v>4.18075242117396</v>
      </c>
      <c r="R51" s="124" t="n">
        <f aca="false">F51/R$3</f>
        <v>0</v>
      </c>
      <c r="S51" s="126" t="n">
        <f aca="false">J51/$R$3</f>
        <v>-1.173</v>
      </c>
      <c r="T51" s="126" t="n">
        <f aca="false">L51/$R$3</f>
        <v>-0</v>
      </c>
      <c r="U51" s="126" t="n">
        <f aca="false">I51/$R$3</f>
        <v>-18.701</v>
      </c>
      <c r="V51" s="126" t="n">
        <f aca="false">M51/$R$3</f>
        <v>-1143.923</v>
      </c>
      <c r="W51" s="126" t="n">
        <f aca="false">N51/$R$3</f>
        <v>-1143.923</v>
      </c>
    </row>
    <row r="52" customFormat="false" ht="12.75" hidden="true" customHeight="false" outlineLevel="0" collapsed="false">
      <c r="A52" s="120" t="n">
        <f aca="false">A51+1</f>
        <v>36938</v>
      </c>
      <c r="B52" s="131" t="str">
        <f aca="false">INDEX('[4]Master Data'!$A$2:$B$8,MATCH(WEEKDAY('GNS Bolv Gas MTM'!A52,3),'[4]Master Data'!$A$2:$A$8,0),2)</f>
        <v>F</v>
      </c>
      <c r="D52" s="124" t="n">
        <v>53868201.6626</v>
      </c>
      <c r="E52" s="124" t="n">
        <v>4211488.80727396</v>
      </c>
      <c r="F52" s="124" t="n">
        <v>0</v>
      </c>
      <c r="G52" s="124" t="n">
        <v>-19888</v>
      </c>
      <c r="I52" s="124" t="n">
        <f aca="false">IF(MONTH($A52)=MONTH($A51),IF(G52=0,I51,G52),G52)</f>
        <v>-19888</v>
      </c>
      <c r="J52" s="124" t="n">
        <f aca="false">IF(MONTH($A52)=MONTH($A51),SUM(I52-I51),I52)</f>
        <v>-1187</v>
      </c>
      <c r="K52" s="124" t="n">
        <f aca="false">IF(WEEKDAY(A52,3)&gt;4,0,(IF(A52&lt;K$2,0,IF(A52&lt;=K$3,1,0))))</f>
        <v>0</v>
      </c>
      <c r="L52" s="124" t="n">
        <f aca="false">J52*K52</f>
        <v>-0</v>
      </c>
      <c r="M52" s="124" t="n">
        <f aca="false">SUM(J$6:J52)</f>
        <v>-1145110</v>
      </c>
      <c r="N52" s="124" t="n">
        <f aca="false">SUM(J$6:J52)</f>
        <v>-1145110</v>
      </c>
      <c r="P52" s="124" t="n">
        <f aca="false">D52/P$3</f>
        <v>53.8682016626</v>
      </c>
      <c r="Q52" s="124" t="n">
        <f aca="false">E52/P$3</f>
        <v>4.21148880727396</v>
      </c>
      <c r="R52" s="124" t="n">
        <f aca="false">F52/R$3</f>
        <v>0</v>
      </c>
      <c r="S52" s="126" t="n">
        <f aca="false">J52/$R$3</f>
        <v>-1.187</v>
      </c>
      <c r="T52" s="126" t="n">
        <f aca="false">L52/$R$3</f>
        <v>-0</v>
      </c>
      <c r="U52" s="126" t="n">
        <f aca="false">I52/$R$3</f>
        <v>-19.888</v>
      </c>
      <c r="V52" s="126" t="n">
        <f aca="false">M52/$R$3</f>
        <v>-1145.11</v>
      </c>
      <c r="W52" s="126" t="n">
        <f aca="false">N52/$R$3</f>
        <v>-1145.11</v>
      </c>
    </row>
    <row r="53" customFormat="false" ht="12.75" hidden="true" customHeight="false" outlineLevel="0" collapsed="false">
      <c r="A53" s="120" t="n">
        <f aca="false">A52+1</f>
        <v>36939</v>
      </c>
      <c r="B53" s="131" t="str">
        <f aca="false">INDEX('[4]Master Data'!$A$2:$B$8,MATCH(WEEKDAY('GNS Bolv Gas MTM'!A53,3),'[4]Master Data'!$A$2:$A$8,0),2)</f>
        <v>Sa</v>
      </c>
      <c r="D53" s="124" t="n">
        <v>0</v>
      </c>
      <c r="E53" s="124" t="n">
        <v>0</v>
      </c>
      <c r="F53" s="124" t="n">
        <v>0</v>
      </c>
      <c r="G53" s="124" t="n">
        <v>0</v>
      </c>
      <c r="I53" s="124" t="n">
        <f aca="false">IF(MONTH($A53)=MONTH($A52),IF(G53=0,I52,G53),G53)</f>
        <v>-19888</v>
      </c>
      <c r="J53" s="124" t="n">
        <f aca="false">IF(MONTH($A53)=MONTH($A52),SUM(I53-I52),I53)</f>
        <v>0</v>
      </c>
      <c r="K53" s="124" t="n">
        <f aca="false">IF(WEEKDAY(A53,3)&gt;4,0,(IF(A53&lt;K$2,0,IF(A53&lt;=K$3,1,0))))</f>
        <v>0</v>
      </c>
      <c r="L53" s="124" t="n">
        <f aca="false">J53*K53</f>
        <v>0</v>
      </c>
      <c r="M53" s="124" t="n">
        <f aca="false">SUM(J$6:J53)</f>
        <v>-1145110</v>
      </c>
      <c r="N53" s="124" t="n">
        <f aca="false">SUM(J$6:J53)</f>
        <v>-1145110</v>
      </c>
      <c r="P53" s="124" t="n">
        <f aca="false">D53/P$3</f>
        <v>0</v>
      </c>
      <c r="Q53" s="124" t="n">
        <f aca="false">E53/P$3</f>
        <v>0</v>
      </c>
      <c r="R53" s="124" t="n">
        <f aca="false">F53/R$3</f>
        <v>0</v>
      </c>
      <c r="S53" s="126" t="n">
        <f aca="false">J53/$R$3</f>
        <v>0</v>
      </c>
      <c r="T53" s="126" t="n">
        <f aca="false">L53/$R$3</f>
        <v>0</v>
      </c>
      <c r="U53" s="126" t="n">
        <f aca="false">I53/$R$3</f>
        <v>-19.888</v>
      </c>
      <c r="V53" s="126" t="n">
        <f aca="false">M53/$R$3</f>
        <v>-1145.11</v>
      </c>
      <c r="W53" s="126" t="n">
        <f aca="false">N53/$R$3</f>
        <v>-1145.11</v>
      </c>
    </row>
    <row r="54" customFormat="false" ht="12.75" hidden="true" customHeight="false" outlineLevel="0" collapsed="false">
      <c r="A54" s="120" t="n">
        <f aca="false">A53+1</f>
        <v>36940</v>
      </c>
      <c r="B54" s="131" t="str">
        <f aca="false">INDEX('[4]Master Data'!$A$2:$B$8,MATCH(WEEKDAY('GNS Bolv Gas MTM'!A54,3),'[4]Master Data'!$A$2:$A$8,0),2)</f>
        <v>Su</v>
      </c>
      <c r="D54" s="124" t="n">
        <v>0</v>
      </c>
      <c r="E54" s="124" t="n">
        <v>0</v>
      </c>
      <c r="F54" s="124" t="n">
        <v>0</v>
      </c>
      <c r="G54" s="124" t="n">
        <v>0</v>
      </c>
      <c r="I54" s="124" t="n">
        <f aca="false">IF(MONTH($A54)=MONTH($A53),IF(G54=0,I53,G54),G54)</f>
        <v>-19888</v>
      </c>
      <c r="J54" s="124" t="n">
        <f aca="false">IF(MONTH($A54)=MONTH($A53),SUM(I54-I53),I54)</f>
        <v>0</v>
      </c>
      <c r="K54" s="124" t="n">
        <f aca="false">IF(WEEKDAY(A54,3)&gt;4,0,(IF(A54&lt;K$2,0,IF(A54&lt;=K$3,1,0))))</f>
        <v>0</v>
      </c>
      <c r="L54" s="124" t="n">
        <f aca="false">J54*K54</f>
        <v>0</v>
      </c>
      <c r="M54" s="124" t="n">
        <f aca="false">SUM(J$6:J54)</f>
        <v>-1145110</v>
      </c>
      <c r="N54" s="124" t="n">
        <f aca="false">SUM(J$6:J54)</f>
        <v>-1145110</v>
      </c>
      <c r="P54" s="124" t="n">
        <f aca="false">D54/P$3</f>
        <v>0</v>
      </c>
      <c r="Q54" s="124" t="n">
        <f aca="false">E54/P$3</f>
        <v>0</v>
      </c>
      <c r="R54" s="124" t="n">
        <f aca="false">F54/R$3</f>
        <v>0</v>
      </c>
      <c r="S54" s="126" t="n">
        <f aca="false">J54/$R$3</f>
        <v>0</v>
      </c>
      <c r="T54" s="126" t="n">
        <f aca="false">L54/$R$3</f>
        <v>0</v>
      </c>
      <c r="U54" s="126" t="n">
        <f aca="false">I54/$R$3</f>
        <v>-19.888</v>
      </c>
      <c r="V54" s="126" t="n">
        <f aca="false">M54/$R$3</f>
        <v>-1145.11</v>
      </c>
      <c r="W54" s="126" t="n">
        <f aca="false">N54/$R$3</f>
        <v>-1145.11</v>
      </c>
    </row>
    <row r="55" customFormat="false" ht="12.75" hidden="true" customHeight="false" outlineLevel="0" collapsed="false">
      <c r="A55" s="120" t="n">
        <f aca="false">A54+1</f>
        <v>36941</v>
      </c>
      <c r="B55" s="131" t="str">
        <f aca="false">INDEX('[4]Master Data'!$A$2:$B$8,MATCH(WEEKDAY('GNS Bolv Gas MTM'!A55,3),'[4]Master Data'!$A$2:$A$8,0),2)</f>
        <v>M</v>
      </c>
      <c r="D55" s="124" t="n">
        <v>0</v>
      </c>
      <c r="E55" s="124" t="n">
        <v>0</v>
      </c>
      <c r="F55" s="124" t="n">
        <v>0</v>
      </c>
      <c r="G55" s="124" t="n">
        <v>0</v>
      </c>
      <c r="I55" s="124" t="n">
        <f aca="false">IF(MONTH($A55)=MONTH($A54),IF(G55=0,I54,G55),G55)</f>
        <v>-19888</v>
      </c>
      <c r="J55" s="124" t="n">
        <f aca="false">IF(MONTH($A55)=MONTH($A54),SUM(I55-I54),I55)</f>
        <v>0</v>
      </c>
      <c r="K55" s="124" t="n">
        <f aca="false">IF(WEEKDAY(A55,3)&gt;4,0,(IF(A55&lt;K$2,0,IF(A55&lt;=K$3,1,0))))</f>
        <v>0</v>
      </c>
      <c r="L55" s="124" t="n">
        <f aca="false">J55*K55</f>
        <v>0</v>
      </c>
      <c r="M55" s="124" t="n">
        <f aca="false">SUM(J$6:J55)</f>
        <v>-1145110</v>
      </c>
      <c r="N55" s="124" t="n">
        <f aca="false">SUM(J$6:J55)</f>
        <v>-1145110</v>
      </c>
      <c r="P55" s="124" t="n">
        <f aca="false">D55/P$3</f>
        <v>0</v>
      </c>
      <c r="Q55" s="124" t="n">
        <f aca="false">E55/P$3</f>
        <v>0</v>
      </c>
      <c r="R55" s="124" t="n">
        <f aca="false">F55/R$3</f>
        <v>0</v>
      </c>
      <c r="S55" s="126" t="n">
        <f aca="false">J55/$R$3</f>
        <v>0</v>
      </c>
      <c r="T55" s="126" t="n">
        <f aca="false">L55/$R$3</f>
        <v>0</v>
      </c>
      <c r="U55" s="126" t="n">
        <f aca="false">I55/$R$3</f>
        <v>-19.888</v>
      </c>
      <c r="V55" s="126" t="n">
        <f aca="false">M55/$R$3</f>
        <v>-1145.11</v>
      </c>
      <c r="W55" s="126" t="n">
        <f aca="false">N55/$R$3</f>
        <v>-1145.11</v>
      </c>
    </row>
    <row r="56" customFormat="false" ht="12.75" hidden="true" customHeight="false" outlineLevel="0" collapsed="false">
      <c r="A56" s="120" t="n">
        <f aca="false">A55+1</f>
        <v>36942</v>
      </c>
      <c r="B56" s="131" t="str">
        <f aca="false">INDEX('[4]Master Data'!$A$2:$B$8,MATCH(WEEKDAY('GNS Bolv Gas MTM'!A56,3),'[4]Master Data'!$A$2:$A$8,0),2)</f>
        <v>T</v>
      </c>
      <c r="D56" s="124" t="n">
        <v>54027519.0482</v>
      </c>
      <c r="E56" s="124" t="n">
        <v>4236688.98547396</v>
      </c>
      <c r="F56" s="124" t="n">
        <v>0</v>
      </c>
      <c r="G56" s="124" t="n">
        <v>-24476</v>
      </c>
      <c r="I56" s="124" t="n">
        <f aca="false">IF(MONTH($A56)=MONTH($A55),IF(G56=0,I55,G56),G56)</f>
        <v>-24476</v>
      </c>
      <c r="J56" s="124" t="n">
        <f aca="false">IF(MONTH($A56)=MONTH($A55),SUM(I56-I55),I56)</f>
        <v>-4588</v>
      </c>
      <c r="K56" s="124" t="n">
        <f aca="false">IF(WEEKDAY(A56,3)&gt;4,0,(IF(A56&lt;K$2,0,IF(A56&lt;=K$3,1,0))))</f>
        <v>0</v>
      </c>
      <c r="L56" s="124" t="n">
        <f aca="false">J56*K56</f>
        <v>-0</v>
      </c>
      <c r="M56" s="124" t="n">
        <f aca="false">SUM(J$6:J56)</f>
        <v>-1149698</v>
      </c>
      <c r="N56" s="124" t="n">
        <f aca="false">SUM(J$6:J56)</f>
        <v>-1149698</v>
      </c>
      <c r="P56" s="124" t="n">
        <f aca="false">D56/P$3</f>
        <v>54.0275190482</v>
      </c>
      <c r="Q56" s="124" t="n">
        <f aca="false">E56/P$3</f>
        <v>4.23668898547396</v>
      </c>
      <c r="R56" s="124" t="n">
        <f aca="false">F56/R$3</f>
        <v>0</v>
      </c>
      <c r="S56" s="126" t="n">
        <f aca="false">J56/$R$3</f>
        <v>-4.588</v>
      </c>
      <c r="T56" s="126" t="n">
        <f aca="false">L56/$R$3</f>
        <v>-0</v>
      </c>
      <c r="U56" s="126" t="n">
        <f aca="false">I56/$R$3</f>
        <v>-24.476</v>
      </c>
      <c r="V56" s="126" t="n">
        <f aca="false">M56/$R$3</f>
        <v>-1149.698</v>
      </c>
      <c r="W56" s="126" t="n">
        <f aca="false">N56/$R$3</f>
        <v>-1149.698</v>
      </c>
    </row>
    <row r="57" customFormat="false" ht="12.75" hidden="true" customHeight="false" outlineLevel="0" collapsed="false">
      <c r="A57" s="120" t="n">
        <f aca="false">A56+1</f>
        <v>36943</v>
      </c>
      <c r="B57" s="131" t="str">
        <f aca="false">INDEX('[4]Master Data'!$A$2:$B$8,MATCH(WEEKDAY('GNS Bolv Gas MTM'!A57,3),'[4]Master Data'!$A$2:$A$8,0),2)</f>
        <v>W</v>
      </c>
      <c r="D57" s="124" t="n">
        <v>53964822.2715</v>
      </c>
      <c r="E57" s="124" t="n">
        <v>4243314.61837396</v>
      </c>
      <c r="F57" s="124" t="n">
        <v>0</v>
      </c>
      <c r="G57" s="124" t="n">
        <v>-25595</v>
      </c>
      <c r="I57" s="124" t="n">
        <f aca="false">IF(MONTH($A57)=MONTH($A56),IF(G57=0,I56,G57),G57)</f>
        <v>-25595</v>
      </c>
      <c r="J57" s="124" t="n">
        <f aca="false">IF(MONTH($A57)=MONTH($A56),SUM(I57-I56),I57)</f>
        <v>-1119</v>
      </c>
      <c r="K57" s="124" t="n">
        <f aca="false">IF(WEEKDAY(A57,3)&gt;4,0,(IF(A57&lt;K$2,0,IF(A57&lt;=K$3,1,0))))</f>
        <v>0</v>
      </c>
      <c r="L57" s="124" t="n">
        <f aca="false">J57*K57</f>
        <v>-0</v>
      </c>
      <c r="M57" s="124" t="n">
        <f aca="false">SUM(J$6:J57)</f>
        <v>-1150817</v>
      </c>
      <c r="N57" s="124" t="n">
        <f aca="false">SUM(J$6:J57)</f>
        <v>-1150817</v>
      </c>
      <c r="P57" s="124" t="n">
        <f aca="false">D57/P$3</f>
        <v>53.9648222715</v>
      </c>
      <c r="Q57" s="124" t="n">
        <f aca="false">E57/P$3</f>
        <v>4.24331461837396</v>
      </c>
      <c r="R57" s="124" t="n">
        <f aca="false">F57/R$3</f>
        <v>0</v>
      </c>
      <c r="S57" s="126" t="n">
        <f aca="false">J57/$R$3</f>
        <v>-1.119</v>
      </c>
      <c r="T57" s="126" t="n">
        <f aca="false">L57/$R$3</f>
        <v>-0</v>
      </c>
      <c r="U57" s="126" t="n">
        <f aca="false">I57/$R$3</f>
        <v>-25.595</v>
      </c>
      <c r="V57" s="126" t="n">
        <f aca="false">M57/$R$3</f>
        <v>-1150.817</v>
      </c>
      <c r="W57" s="126" t="n">
        <f aca="false">N57/$R$3</f>
        <v>-1150.817</v>
      </c>
    </row>
    <row r="58" customFormat="false" ht="12.75" hidden="true" customHeight="false" outlineLevel="0" collapsed="false">
      <c r="A58" s="120" t="n">
        <f aca="false">A57+1</f>
        <v>36944</v>
      </c>
      <c r="B58" s="131" t="str">
        <f aca="false">INDEX('[4]Master Data'!$A$2:$B$8,MATCH(WEEKDAY('GNS Bolv Gas MTM'!A58,3),'[4]Master Data'!$A$2:$A$8,0),2)</f>
        <v>Th</v>
      </c>
      <c r="D58" s="124" t="n">
        <v>53828630.1589</v>
      </c>
      <c r="E58" s="124" t="n">
        <v>4256412.28297396</v>
      </c>
      <c r="F58" s="124" t="n">
        <v>0</v>
      </c>
      <c r="G58" s="124" t="n">
        <v>-26702</v>
      </c>
      <c r="I58" s="124" t="n">
        <f aca="false">IF(MONTH($A58)=MONTH($A57),IF(G58=0,I57,G58),G58)</f>
        <v>-26702</v>
      </c>
      <c r="J58" s="124" t="n">
        <f aca="false">IF(MONTH($A58)=MONTH($A57),SUM(I58-I57),I58)</f>
        <v>-1107</v>
      </c>
      <c r="K58" s="124" t="n">
        <f aca="false">IF(WEEKDAY(A58,3)&gt;4,0,(IF(A58&lt;K$2,0,IF(A58&lt;=K$3,1,0))))</f>
        <v>0</v>
      </c>
      <c r="L58" s="124" t="n">
        <f aca="false">J58*K58</f>
        <v>-0</v>
      </c>
      <c r="M58" s="124" t="n">
        <f aca="false">SUM(J$6:J58)</f>
        <v>-1151924</v>
      </c>
      <c r="N58" s="124" t="n">
        <f aca="false">SUM(J$6:J58)</f>
        <v>-1151924</v>
      </c>
      <c r="P58" s="124" t="n">
        <f aca="false">D58/P$3</f>
        <v>53.8286301589</v>
      </c>
      <c r="Q58" s="124" t="n">
        <f aca="false">E58/P$3</f>
        <v>4.25641228297396</v>
      </c>
      <c r="R58" s="124" t="n">
        <f aca="false">F58/R$3</f>
        <v>0</v>
      </c>
      <c r="S58" s="126" t="n">
        <f aca="false">J58/$R$3</f>
        <v>-1.107</v>
      </c>
      <c r="T58" s="126" t="n">
        <f aca="false">L58/$R$3</f>
        <v>-0</v>
      </c>
      <c r="U58" s="126" t="n">
        <f aca="false">I58/$R$3</f>
        <v>-26.702</v>
      </c>
      <c r="V58" s="126" t="n">
        <f aca="false">M58/$R$3</f>
        <v>-1151.924</v>
      </c>
      <c r="W58" s="126" t="n">
        <f aca="false">N58/$R$3</f>
        <v>-1151.924</v>
      </c>
    </row>
    <row r="59" customFormat="false" ht="12.75" hidden="true" customHeight="false" outlineLevel="0" collapsed="false">
      <c r="A59" s="120" t="n">
        <f aca="false">A58+1</f>
        <v>36945</v>
      </c>
      <c r="B59" s="131" t="str">
        <f aca="false">INDEX('[4]Master Data'!$A$2:$B$8,MATCH(WEEKDAY('GNS Bolv Gas MTM'!A59,3),'[4]Master Data'!$A$2:$A$8,0),2)</f>
        <v>F</v>
      </c>
      <c r="D59" s="124" t="n">
        <v>54071318.3931</v>
      </c>
      <c r="E59" s="124" t="n">
        <v>4276944.19127396</v>
      </c>
      <c r="F59" s="124" t="n">
        <v>0</v>
      </c>
      <c r="G59" s="124" t="n">
        <v>-27809</v>
      </c>
      <c r="I59" s="124" t="n">
        <f aca="false">IF(MONTH($A59)=MONTH($A58),IF(G59=0,I58,G59),G59)</f>
        <v>-27809</v>
      </c>
      <c r="J59" s="124" t="n">
        <f aca="false">IF(MONTH($A59)=MONTH($A58),SUM(I59-I58),I59)</f>
        <v>-1107</v>
      </c>
      <c r="K59" s="124" t="n">
        <f aca="false">IF(WEEKDAY(A59,3)&gt;4,0,(IF(A59&lt;K$2,0,IF(A59&lt;=K$3,1,0))))</f>
        <v>0</v>
      </c>
      <c r="L59" s="124" t="n">
        <f aca="false">J59*K59</f>
        <v>-0</v>
      </c>
      <c r="M59" s="124" t="n">
        <f aca="false">SUM(J$6:J59)</f>
        <v>-1153031</v>
      </c>
      <c r="N59" s="124" t="n">
        <f aca="false">SUM(J$6:J59)</f>
        <v>-1153031</v>
      </c>
      <c r="P59" s="124" t="n">
        <f aca="false">D59/P$3</f>
        <v>54.0713183931</v>
      </c>
      <c r="Q59" s="124" t="n">
        <f aca="false">E59/P$3</f>
        <v>4.27694419127396</v>
      </c>
      <c r="R59" s="124" t="n">
        <f aca="false">F59/R$3</f>
        <v>0</v>
      </c>
      <c r="S59" s="126" t="n">
        <f aca="false">J59/$R$3</f>
        <v>-1.107</v>
      </c>
      <c r="T59" s="126" t="n">
        <f aca="false">L59/$R$3</f>
        <v>-0</v>
      </c>
      <c r="U59" s="126" t="n">
        <f aca="false">I59/$R$3</f>
        <v>-27.809</v>
      </c>
      <c r="V59" s="126" t="n">
        <f aca="false">M59/$R$3</f>
        <v>-1153.031</v>
      </c>
      <c r="W59" s="126" t="n">
        <f aca="false">N59/$R$3</f>
        <v>-1153.031</v>
      </c>
    </row>
    <row r="60" customFormat="false" ht="12.75" hidden="true" customHeight="false" outlineLevel="0" collapsed="false">
      <c r="A60" s="120" t="n">
        <f aca="false">A59+1</f>
        <v>36946</v>
      </c>
      <c r="B60" s="131" t="str">
        <f aca="false">INDEX('[4]Master Data'!$A$2:$B$8,MATCH(WEEKDAY('GNS Bolv Gas MTM'!A60,3),'[4]Master Data'!$A$2:$A$8,0),2)</f>
        <v>Sa</v>
      </c>
      <c r="D60" s="124" t="n">
        <v>0</v>
      </c>
      <c r="E60" s="124" t="n">
        <v>0</v>
      </c>
      <c r="F60" s="124" t="n">
        <v>0</v>
      </c>
      <c r="G60" s="124" t="n">
        <v>0</v>
      </c>
      <c r="I60" s="124" t="n">
        <f aca="false">IF(MONTH($A60)=MONTH($A59),IF(G60=0,I59,G60),G60)</f>
        <v>-27809</v>
      </c>
      <c r="J60" s="124" t="n">
        <f aca="false">IF(MONTH($A60)=MONTH($A59),SUM(I60-I59),I60)</f>
        <v>0</v>
      </c>
      <c r="K60" s="124" t="n">
        <f aca="false">IF(WEEKDAY(A60,3)&gt;4,0,(IF(A60&lt;K$2,0,IF(A60&lt;=K$3,1,0))))</f>
        <v>0</v>
      </c>
      <c r="L60" s="124" t="n">
        <f aca="false">J60*K60</f>
        <v>0</v>
      </c>
      <c r="M60" s="124" t="n">
        <f aca="false">SUM(J$6:J60)</f>
        <v>-1153031</v>
      </c>
      <c r="N60" s="124" t="n">
        <f aca="false">SUM(J$6:J60)</f>
        <v>-1153031</v>
      </c>
      <c r="P60" s="124" t="n">
        <f aca="false">D60/P$3</f>
        <v>0</v>
      </c>
      <c r="Q60" s="124" t="n">
        <f aca="false">E60/P$3</f>
        <v>0</v>
      </c>
      <c r="R60" s="124" t="n">
        <f aca="false">F60/R$3</f>
        <v>0</v>
      </c>
      <c r="S60" s="126" t="n">
        <f aca="false">J60/$R$3</f>
        <v>0</v>
      </c>
      <c r="T60" s="126" t="n">
        <f aca="false">L60/$R$3</f>
        <v>0</v>
      </c>
      <c r="U60" s="126" t="n">
        <f aca="false">I60/$R$3</f>
        <v>-27.809</v>
      </c>
      <c r="V60" s="126" t="n">
        <f aca="false">M60/$R$3</f>
        <v>-1153.031</v>
      </c>
      <c r="W60" s="126" t="n">
        <f aca="false">N60/$R$3</f>
        <v>-1153.031</v>
      </c>
    </row>
    <row r="61" customFormat="false" ht="12.75" hidden="true" customHeight="false" outlineLevel="0" collapsed="false">
      <c r="A61" s="120" t="n">
        <f aca="false">A60+1</f>
        <v>36947</v>
      </c>
      <c r="B61" s="131" t="str">
        <f aca="false">INDEX('[4]Master Data'!$A$2:$B$8,MATCH(WEEKDAY('GNS Bolv Gas MTM'!A61,3),'[4]Master Data'!$A$2:$A$8,0),2)</f>
        <v>Su</v>
      </c>
      <c r="D61" s="124" t="n">
        <v>0</v>
      </c>
      <c r="E61" s="124" t="n">
        <v>0</v>
      </c>
      <c r="F61" s="124" t="n">
        <v>0</v>
      </c>
      <c r="G61" s="124" t="n">
        <v>0</v>
      </c>
      <c r="I61" s="124" t="n">
        <f aca="false">IF(MONTH($A61)=MONTH($A60),IF(G61=0,I60,G61),G61)</f>
        <v>-27809</v>
      </c>
      <c r="J61" s="124" t="n">
        <f aca="false">IF(MONTH($A61)=MONTH($A60),SUM(I61-I60),I61)</f>
        <v>0</v>
      </c>
      <c r="K61" s="124" t="n">
        <f aca="false">IF(WEEKDAY(A61,3)&gt;4,0,(IF(A61&lt;K$2,0,IF(A61&lt;=K$3,1,0))))</f>
        <v>0</v>
      </c>
      <c r="L61" s="124" t="n">
        <f aca="false">J61*K61</f>
        <v>0</v>
      </c>
      <c r="M61" s="124" t="n">
        <f aca="false">SUM(J$6:J61)</f>
        <v>-1153031</v>
      </c>
      <c r="N61" s="124" t="n">
        <f aca="false">SUM(J$6:J61)</f>
        <v>-1153031</v>
      </c>
      <c r="P61" s="124" t="n">
        <f aca="false">D61/P$3</f>
        <v>0</v>
      </c>
      <c r="Q61" s="124" t="n">
        <f aca="false">E61/P$3</f>
        <v>0</v>
      </c>
      <c r="R61" s="124" t="n">
        <f aca="false">F61/R$3</f>
        <v>0</v>
      </c>
      <c r="S61" s="126" t="n">
        <f aca="false">J61/$R$3</f>
        <v>0</v>
      </c>
      <c r="T61" s="126" t="n">
        <f aca="false">L61/$R$3</f>
        <v>0</v>
      </c>
      <c r="U61" s="126" t="n">
        <f aca="false">I61/$R$3</f>
        <v>-27.809</v>
      </c>
      <c r="V61" s="126" t="n">
        <f aca="false">M61/$R$3</f>
        <v>-1153.031</v>
      </c>
      <c r="W61" s="126" t="n">
        <f aca="false">N61/$R$3</f>
        <v>-1153.031</v>
      </c>
    </row>
    <row r="62" customFormat="false" ht="12.75" hidden="true" customHeight="false" outlineLevel="0" collapsed="false">
      <c r="A62" s="120" t="n">
        <f aca="false">A61+1</f>
        <v>36948</v>
      </c>
      <c r="B62" s="131" t="str">
        <f aca="false">INDEX('[4]Master Data'!$A$2:$B$8,MATCH(WEEKDAY('GNS Bolv Gas MTM'!A62,3),'[4]Master Data'!$A$2:$A$8,0),2)</f>
        <v>M</v>
      </c>
      <c r="D62" s="124" t="n">
        <v>54377677.5604</v>
      </c>
      <c r="E62" s="124" t="n">
        <v>4300499.50297396</v>
      </c>
      <c r="F62" s="124" t="n">
        <v>0</v>
      </c>
      <c r="G62" s="124" t="n">
        <v>-31066</v>
      </c>
      <c r="I62" s="124" t="n">
        <f aca="false">IF(MONTH($A62)=MONTH($A61),IF(G62=0,I61,G62),G62)</f>
        <v>-31066</v>
      </c>
      <c r="J62" s="124" t="n">
        <f aca="false">IF(MONTH($A62)=MONTH($A61),SUM(I62-I61),I62)</f>
        <v>-3257</v>
      </c>
      <c r="K62" s="124" t="n">
        <f aca="false">IF(WEEKDAY(A62,3)&gt;4,0,(IF(A62&lt;K$2,0,IF(A62&lt;=K$3,1,0))))</f>
        <v>0</v>
      </c>
      <c r="L62" s="124" t="n">
        <f aca="false">J62*K62</f>
        <v>-0</v>
      </c>
      <c r="M62" s="124" t="n">
        <f aca="false">SUM(J$6:J62)</f>
        <v>-1156288</v>
      </c>
      <c r="N62" s="124" t="n">
        <f aca="false">SUM(J$6:J62)</f>
        <v>-1156288</v>
      </c>
      <c r="P62" s="124" t="n">
        <f aca="false">D62/P$3</f>
        <v>54.3776775604</v>
      </c>
      <c r="Q62" s="124" t="n">
        <f aca="false">E62/P$3</f>
        <v>4.30049950297396</v>
      </c>
      <c r="R62" s="124" t="n">
        <f aca="false">F62/R$3</f>
        <v>0</v>
      </c>
      <c r="S62" s="126" t="n">
        <f aca="false">J62/$R$3</f>
        <v>-3.257</v>
      </c>
      <c r="T62" s="126" t="n">
        <f aca="false">L62/$R$3</f>
        <v>-0</v>
      </c>
      <c r="U62" s="126" t="n">
        <f aca="false">I62/$R$3</f>
        <v>-31.066</v>
      </c>
      <c r="V62" s="126" t="n">
        <f aca="false">M62/$R$3</f>
        <v>-1156.288</v>
      </c>
      <c r="W62" s="126" t="n">
        <f aca="false">N62/$R$3</f>
        <v>-1156.288</v>
      </c>
    </row>
    <row r="63" customFormat="false" ht="12.75" hidden="true" customHeight="false" outlineLevel="0" collapsed="false">
      <c r="A63" s="120" t="n">
        <f aca="false">A62+1</f>
        <v>36949</v>
      </c>
      <c r="B63" s="131" t="str">
        <f aca="false">INDEX('[4]Master Data'!$A$2:$B$8,MATCH(WEEKDAY('GNS Bolv Gas MTM'!A63,3),'[4]Master Data'!$A$2:$A$8,0),2)</f>
        <v>T</v>
      </c>
      <c r="D63" s="124" t="n">
        <v>54852035.6024</v>
      </c>
      <c r="E63" s="124" t="n">
        <v>4315963.17867396</v>
      </c>
      <c r="F63" s="124" t="n">
        <v>0</v>
      </c>
      <c r="G63" s="124" t="n">
        <v>-32134</v>
      </c>
      <c r="I63" s="124" t="n">
        <f aca="false">IF(MONTH($A63)=MONTH($A62),IF(G63=0,I62,G63),G63)</f>
        <v>-32134</v>
      </c>
      <c r="J63" s="124" t="n">
        <f aca="false">IF(MONTH($A63)=MONTH($A62),SUM(I63-I62),I63)</f>
        <v>-1068</v>
      </c>
      <c r="K63" s="124" t="n">
        <f aca="false">IF(WEEKDAY(A63,3)&gt;4,0,(IF(A63&lt;K$2,0,IF(A63&lt;=K$3,1,0))))</f>
        <v>0</v>
      </c>
      <c r="L63" s="124" t="n">
        <f aca="false">J63*K63</f>
        <v>-0</v>
      </c>
      <c r="M63" s="124" t="n">
        <f aca="false">SUM(J$6:J63)</f>
        <v>-1157356</v>
      </c>
      <c r="N63" s="124" t="n">
        <f aca="false">SUM(J$6:J63)</f>
        <v>-1157356</v>
      </c>
      <c r="P63" s="124" t="n">
        <f aca="false">D63/P$3</f>
        <v>54.8520356024</v>
      </c>
      <c r="Q63" s="124" t="n">
        <f aca="false">E63/P$3</f>
        <v>4.31596317867396</v>
      </c>
      <c r="R63" s="124" t="n">
        <f aca="false">F63/R$3</f>
        <v>0</v>
      </c>
      <c r="S63" s="126" t="n">
        <f aca="false">J63/$R$3</f>
        <v>-1.068</v>
      </c>
      <c r="T63" s="126" t="n">
        <f aca="false">L63/$R$3</f>
        <v>-0</v>
      </c>
      <c r="U63" s="126" t="n">
        <f aca="false">I63/$R$3</f>
        <v>-32.134</v>
      </c>
      <c r="V63" s="126" t="n">
        <f aca="false">M63/$R$3</f>
        <v>-1157.356</v>
      </c>
      <c r="W63" s="126" t="n">
        <f aca="false">N63/$R$3</f>
        <v>-1157.356</v>
      </c>
    </row>
    <row r="64" customFormat="false" ht="12.75" hidden="false" customHeight="false" outlineLevel="0" collapsed="false">
      <c r="A64" s="120" t="n">
        <f aca="false">A63+1</f>
        <v>36950</v>
      </c>
      <c r="B64" s="131" t="str">
        <f aca="false">INDEX('[4]Master Data'!$A$2:$B$8,MATCH(WEEKDAY('GNS Bolv Gas MTM'!A64,3),'[4]Master Data'!$A$2:$A$8,0),2)</f>
        <v>W</v>
      </c>
      <c r="D64" s="124" t="n">
        <v>54015577.791</v>
      </c>
      <c r="E64" s="124" t="n">
        <v>4066894.4930219</v>
      </c>
      <c r="F64" s="124" t="n">
        <v>0</v>
      </c>
      <c r="G64" s="124" t="n">
        <v>-1590893</v>
      </c>
      <c r="I64" s="124" t="n">
        <f aca="false">IF(MONTH($A64)=MONTH($A63),IF(G64=0,I63,G64),G64)</f>
        <v>-1590893</v>
      </c>
      <c r="J64" s="124" t="n">
        <f aca="false">IF(MONTH($A64)=MONTH($A63),SUM(I64-I63),I64)</f>
        <v>-1558759</v>
      </c>
      <c r="K64" s="124" t="n">
        <f aca="false">IF(WEEKDAY(A64,3)&gt;4,0,(IF(A64&lt;K$2,0,IF(A64&lt;=K$3,1,0))))</f>
        <v>0</v>
      </c>
      <c r="L64" s="124" t="n">
        <f aca="false">J64*K64</f>
        <v>-0</v>
      </c>
      <c r="M64" s="124" t="n">
        <f aca="false">SUM(J$6:J64)</f>
        <v>-2716115</v>
      </c>
      <c r="N64" s="124" t="n">
        <f aca="false">SUM(J$6:J64)</f>
        <v>-2716115</v>
      </c>
      <c r="P64" s="124" t="n">
        <f aca="false">D64/P$3</f>
        <v>54.015577791</v>
      </c>
      <c r="Q64" s="124" t="n">
        <f aca="false">E64/P$3</f>
        <v>4.0668944930219</v>
      </c>
      <c r="R64" s="124" t="n">
        <f aca="false">F64/R$3</f>
        <v>0</v>
      </c>
      <c r="S64" s="126" t="n">
        <f aca="false">J64/$R$3</f>
        <v>-1558.759</v>
      </c>
      <c r="T64" s="126" t="n">
        <f aca="false">L64/$R$3</f>
        <v>-0</v>
      </c>
      <c r="U64" s="126" t="n">
        <f aca="false">I64/$R$3</f>
        <v>-1590.893</v>
      </c>
      <c r="V64" s="126" t="n">
        <f aca="false">M64/$R$3</f>
        <v>-2716.115</v>
      </c>
      <c r="W64" s="126" t="n">
        <f aca="false">N64/$R$3</f>
        <v>-2716.115</v>
      </c>
    </row>
    <row r="65" customFormat="false" ht="12.75" hidden="false" customHeight="false" outlineLevel="0" collapsed="false">
      <c r="A65" s="120" t="n">
        <f aca="false">A64+1</f>
        <v>36951</v>
      </c>
      <c r="B65" s="131" t="str">
        <f aca="false">INDEX('[4]Master Data'!$A$2:$B$8,MATCH(WEEKDAY('GNS Bolv Gas MTM'!A65,3),'[4]Master Data'!$A$2:$A$8,0),2)</f>
        <v>Th</v>
      </c>
      <c r="D65" s="124" t="n">
        <v>54210529.6754</v>
      </c>
      <c r="E65" s="124" t="n">
        <v>4077257.9338219</v>
      </c>
      <c r="F65" s="124" t="n">
        <v>0</v>
      </c>
      <c r="G65" s="124" t="n">
        <v>-1772</v>
      </c>
      <c r="I65" s="124" t="n">
        <f aca="false">IF(MONTH($A65)=MONTH($A64),IF(G65=0,I64,G65),G65)</f>
        <v>-1772</v>
      </c>
      <c r="J65" s="124" t="n">
        <f aca="false">IF(MONTH($A65)=MONTH($A64),SUM(I65-I64),I65)</f>
        <v>-1772</v>
      </c>
      <c r="K65" s="124" t="n">
        <f aca="false">IF(WEEKDAY(A65,3)&gt;4,0,(IF(A65&lt;K$2,0,IF(A65&lt;=K$3,1,0))))</f>
        <v>0</v>
      </c>
      <c r="L65" s="124" t="n">
        <f aca="false">J65*K65</f>
        <v>-0</v>
      </c>
      <c r="M65" s="124" t="n">
        <f aca="false">SUM(J$6:J65)</f>
        <v>-2717887</v>
      </c>
      <c r="N65" s="124" t="n">
        <f aca="false">SUM(J$6:J65)</f>
        <v>-2717887</v>
      </c>
      <c r="P65" s="124" t="n">
        <f aca="false">D65/P$3</f>
        <v>54.2105296754</v>
      </c>
      <c r="Q65" s="124" t="n">
        <f aca="false">E65/P$3</f>
        <v>4.0772579338219</v>
      </c>
      <c r="R65" s="124" t="n">
        <f aca="false">F65/R$3</f>
        <v>0</v>
      </c>
      <c r="S65" s="126" t="n">
        <f aca="false">J65/$R$3</f>
        <v>-1.772</v>
      </c>
      <c r="T65" s="126" t="n">
        <f aca="false">L65/$R$3</f>
        <v>-0</v>
      </c>
      <c r="U65" s="126" t="n">
        <f aca="false">I65/$R$3</f>
        <v>-1.772</v>
      </c>
      <c r="V65" s="126" t="n">
        <f aca="false">M65/$R$3</f>
        <v>-2717.887</v>
      </c>
      <c r="W65" s="126" t="n">
        <f aca="false">N65/$R$3</f>
        <v>-2717.887</v>
      </c>
    </row>
    <row r="66" customFormat="false" ht="12.75" hidden="false" customHeight="false" outlineLevel="0" collapsed="false">
      <c r="A66" s="120" t="n">
        <f aca="false">A65+1</f>
        <v>36952</v>
      </c>
      <c r="B66" s="131" t="str">
        <f aca="false">INDEX('[4]Master Data'!$A$2:$B$8,MATCH(WEEKDAY('GNS Bolv Gas MTM'!A66,3),'[4]Master Data'!$A$2:$A$8,0),2)</f>
        <v>F</v>
      </c>
      <c r="D66" s="124" t="n">
        <v>53942878.6069</v>
      </c>
      <c r="E66" s="124" t="n">
        <v>4068225.9796219</v>
      </c>
      <c r="F66" s="124" t="n">
        <v>0</v>
      </c>
      <c r="G66" s="124" t="n">
        <v>-3521</v>
      </c>
      <c r="I66" s="124" t="n">
        <f aca="false">IF(MONTH($A66)=MONTH($A65),IF(G66=0,I65,G66),G66)</f>
        <v>-3521</v>
      </c>
      <c r="J66" s="124" t="n">
        <f aca="false">IF(MONTH($A66)=MONTH($A65),SUM(I66-I65),I66)</f>
        <v>-1749</v>
      </c>
      <c r="K66" s="124" t="n">
        <f aca="false">IF(WEEKDAY(A66,3)&gt;4,0,(IF(A66&lt;K$2,0,IF(A66&lt;=K$3,1,0))))</f>
        <v>0</v>
      </c>
      <c r="L66" s="124" t="n">
        <f aca="false">J66*K66</f>
        <v>-0</v>
      </c>
      <c r="M66" s="124" t="n">
        <f aca="false">SUM(J$6:J66)</f>
        <v>-2719636</v>
      </c>
      <c r="N66" s="124" t="n">
        <f aca="false">SUM(J$6:J66)</f>
        <v>-2719636</v>
      </c>
      <c r="P66" s="124" t="n">
        <f aca="false">D66/P$3</f>
        <v>53.9428786069</v>
      </c>
      <c r="Q66" s="124" t="n">
        <f aca="false">E66/P$3</f>
        <v>4.0682259796219</v>
      </c>
      <c r="R66" s="124" t="n">
        <f aca="false">F66/R$3</f>
        <v>0</v>
      </c>
      <c r="S66" s="126" t="n">
        <f aca="false">J66/$R$3</f>
        <v>-1.749</v>
      </c>
      <c r="T66" s="126" t="n">
        <f aca="false">L66/$R$3</f>
        <v>-0</v>
      </c>
      <c r="U66" s="126" t="n">
        <f aca="false">I66/$R$3</f>
        <v>-3.521</v>
      </c>
      <c r="V66" s="126" t="n">
        <f aca="false">M66/$R$3</f>
        <v>-2719.636</v>
      </c>
      <c r="W66" s="126" t="n">
        <f aca="false">N66/$R$3</f>
        <v>-2719.636</v>
      </c>
    </row>
    <row r="67" customFormat="false" ht="12.75" hidden="false" customHeight="false" outlineLevel="0" collapsed="false">
      <c r="A67" s="120" t="n">
        <f aca="false">A66+1</f>
        <v>36953</v>
      </c>
      <c r="B67" s="131" t="str">
        <f aca="false">INDEX('[4]Master Data'!$A$2:$B$8,MATCH(WEEKDAY('GNS Bolv Gas MTM'!A67,3),'[4]Master Data'!$A$2:$A$8,0),2)</f>
        <v>Sa</v>
      </c>
      <c r="D67" s="124" t="n">
        <v>0</v>
      </c>
      <c r="E67" s="124" t="n">
        <v>0</v>
      </c>
      <c r="F67" s="124" t="n">
        <v>0</v>
      </c>
      <c r="G67" s="124" t="n">
        <v>0</v>
      </c>
      <c r="I67" s="124" t="n">
        <f aca="false">IF(MONTH($A67)=MONTH($A66),IF(G67=0,I66,G67),G67)</f>
        <v>-3521</v>
      </c>
      <c r="J67" s="124" t="n">
        <f aca="false">IF(MONTH($A67)=MONTH($A66),SUM(I67-I66),I67)</f>
        <v>0</v>
      </c>
      <c r="K67" s="124" t="n">
        <f aca="false">IF(WEEKDAY(A67,3)&gt;4,0,(IF(A67&lt;K$2,0,IF(A67&lt;=K$3,1,0))))</f>
        <v>0</v>
      </c>
      <c r="L67" s="124" t="n">
        <f aca="false">J67*K67</f>
        <v>0</v>
      </c>
      <c r="M67" s="124" t="n">
        <f aca="false">SUM(J$6:J67)</f>
        <v>-2719636</v>
      </c>
      <c r="N67" s="124" t="n">
        <f aca="false">SUM(J$6:J67)</f>
        <v>-2719636</v>
      </c>
      <c r="P67" s="124" t="n">
        <f aca="false">D67/P$3</f>
        <v>0</v>
      </c>
      <c r="Q67" s="124" t="n">
        <f aca="false">E67/P$3</f>
        <v>0</v>
      </c>
      <c r="R67" s="124" t="n">
        <f aca="false">F67/R$3</f>
        <v>0</v>
      </c>
      <c r="S67" s="126" t="n">
        <f aca="false">J67/$R$3</f>
        <v>0</v>
      </c>
      <c r="T67" s="126" t="n">
        <f aca="false">L67/$R$3</f>
        <v>0</v>
      </c>
      <c r="U67" s="126" t="n">
        <f aca="false">I67/$R$3</f>
        <v>-3.521</v>
      </c>
      <c r="V67" s="126" t="n">
        <f aca="false">M67/$R$3</f>
        <v>-2719.636</v>
      </c>
      <c r="W67" s="126" t="n">
        <f aca="false">N67/$R$3</f>
        <v>-2719.636</v>
      </c>
    </row>
    <row r="68" customFormat="false" ht="12.75" hidden="false" customHeight="false" outlineLevel="0" collapsed="false">
      <c r="A68" s="120" t="n">
        <f aca="false">A67+1</f>
        <v>36954</v>
      </c>
      <c r="B68" s="131" t="str">
        <f aca="false">INDEX('[4]Master Data'!$A$2:$B$8,MATCH(WEEKDAY('GNS Bolv Gas MTM'!A68,3),'[4]Master Data'!$A$2:$A$8,0),2)</f>
        <v>Su</v>
      </c>
      <c r="D68" s="124" t="n">
        <v>0</v>
      </c>
      <c r="E68" s="124" t="n">
        <v>0</v>
      </c>
      <c r="F68" s="124" t="n">
        <v>0</v>
      </c>
      <c r="G68" s="124" t="n">
        <v>0</v>
      </c>
      <c r="I68" s="124" t="n">
        <f aca="false">IF(MONTH($A68)=MONTH($A67),IF(G68=0,I67,G68),G68)</f>
        <v>-3521</v>
      </c>
      <c r="J68" s="124" t="n">
        <f aca="false">IF(MONTH($A68)=MONTH($A67),SUM(I68-I67),I68)</f>
        <v>0</v>
      </c>
      <c r="K68" s="124" t="n">
        <f aca="false">IF(WEEKDAY(A68,3)&gt;4,0,(IF(A68&lt;K$2,0,IF(A68&lt;=K$3,1,0))))</f>
        <v>0</v>
      </c>
      <c r="L68" s="124" t="n">
        <f aca="false">J68*K68</f>
        <v>0</v>
      </c>
      <c r="M68" s="124" t="n">
        <f aca="false">SUM(J$6:J68)</f>
        <v>-2719636</v>
      </c>
      <c r="N68" s="124" t="n">
        <f aca="false">SUM(J$6:J68)</f>
        <v>-2719636</v>
      </c>
      <c r="P68" s="124" t="n">
        <f aca="false">D68/P$3</f>
        <v>0</v>
      </c>
      <c r="Q68" s="124" t="n">
        <f aca="false">E68/P$3</f>
        <v>0</v>
      </c>
      <c r="R68" s="124" t="n">
        <f aca="false">F68/R$3</f>
        <v>0</v>
      </c>
      <c r="S68" s="126" t="n">
        <f aca="false">J68/$R$3</f>
        <v>0</v>
      </c>
      <c r="T68" s="126" t="n">
        <f aca="false">L68/$R$3</f>
        <v>0</v>
      </c>
      <c r="U68" s="126" t="n">
        <f aca="false">I68/$R$3</f>
        <v>-3.521</v>
      </c>
      <c r="V68" s="126" t="n">
        <f aca="false">M68/$R$3</f>
        <v>-2719.636</v>
      </c>
      <c r="W68" s="126" t="n">
        <f aca="false">N68/$R$3</f>
        <v>-2719.636</v>
      </c>
    </row>
    <row r="69" customFormat="false" ht="12.75" hidden="false" customHeight="false" outlineLevel="0" collapsed="false">
      <c r="A69" s="120" t="n">
        <f aca="false">A68+1</f>
        <v>36955</v>
      </c>
      <c r="B69" s="131" t="str">
        <f aca="false">INDEX('[4]Master Data'!$A$2:$B$8,MATCH(WEEKDAY('GNS Bolv Gas MTM'!A69,3),'[4]Master Data'!$A$2:$A$8,0),2)</f>
        <v>M</v>
      </c>
      <c r="D69" s="124" t="n">
        <v>54082267.342</v>
      </c>
      <c r="E69" s="124" t="n">
        <v>4087040.3153219</v>
      </c>
      <c r="F69" s="124" t="n">
        <v>0</v>
      </c>
      <c r="G69" s="124" t="n">
        <v>-8712</v>
      </c>
      <c r="I69" s="124" t="n">
        <f aca="false">IF(MONTH($A69)=MONTH($A68),IF(G69=0,I68,G69),G69)</f>
        <v>-8712</v>
      </c>
      <c r="J69" s="124" t="n">
        <f aca="false">IF(MONTH($A69)=MONTH($A68),SUM(I69-I68),I69)</f>
        <v>-5191</v>
      </c>
      <c r="K69" s="124" t="n">
        <f aca="false">IF(WEEKDAY(A69,3)&gt;4,0,(IF(A69&lt;K$2,0,IF(A69&lt;=K$3,1,0))))</f>
        <v>0</v>
      </c>
      <c r="L69" s="124" t="n">
        <f aca="false">J69*K69</f>
        <v>-0</v>
      </c>
      <c r="M69" s="124" t="n">
        <f aca="false">SUM(J$6:J69)</f>
        <v>-2724827</v>
      </c>
      <c r="N69" s="124" t="n">
        <f aca="false">SUM(J$6:J69)</f>
        <v>-2724827</v>
      </c>
      <c r="P69" s="124" t="n">
        <f aca="false">D69/P$3</f>
        <v>54.082267342</v>
      </c>
      <c r="Q69" s="124" t="n">
        <f aca="false">E69/P$3</f>
        <v>4.0870403153219</v>
      </c>
      <c r="R69" s="124" t="n">
        <f aca="false">F69/R$3</f>
        <v>0</v>
      </c>
      <c r="S69" s="126" t="n">
        <f aca="false">J69/$R$3</f>
        <v>-5.191</v>
      </c>
      <c r="T69" s="126" t="n">
        <f aca="false">L69/$R$3</f>
        <v>-0</v>
      </c>
      <c r="U69" s="126" t="n">
        <f aca="false">I69/$R$3</f>
        <v>-8.712</v>
      </c>
      <c r="V69" s="126" t="n">
        <f aca="false">M69/$R$3</f>
        <v>-2724.827</v>
      </c>
      <c r="W69" s="126" t="n">
        <f aca="false">N69/$R$3</f>
        <v>-2724.827</v>
      </c>
    </row>
    <row r="70" customFormat="false" ht="12.75" hidden="false" customHeight="false" outlineLevel="0" collapsed="false">
      <c r="A70" s="120" t="n">
        <f aca="false">A69+1</f>
        <v>36956</v>
      </c>
      <c r="B70" s="131" t="str">
        <f aca="false">INDEX('[4]Master Data'!$A$2:$B$8,MATCH(WEEKDAY('GNS Bolv Gas MTM'!A70,3),'[4]Master Data'!$A$2:$A$8,0),2)</f>
        <v>T</v>
      </c>
      <c r="D70" s="124" t="n">
        <v>53938373.2154</v>
      </c>
      <c r="E70" s="124" t="n">
        <v>3967111.07441401</v>
      </c>
      <c r="F70" s="124" t="n">
        <v>0</v>
      </c>
      <c r="G70" s="124" t="n">
        <v>-10412</v>
      </c>
      <c r="I70" s="124" t="n">
        <f aca="false">IF(MONTH($A70)=MONTH($A69),IF(G70=0,I69,G70),G70)</f>
        <v>-10412</v>
      </c>
      <c r="J70" s="124" t="n">
        <f aca="false">IF(MONTH($A70)=MONTH($A69),SUM(I70-I69),I70)</f>
        <v>-1700</v>
      </c>
      <c r="K70" s="124" t="n">
        <f aca="false">IF(WEEKDAY(A70,3)&gt;4,0,(IF(A70&lt;K$2,0,IF(A70&lt;=K$3,1,0))))</f>
        <v>0</v>
      </c>
      <c r="L70" s="124" t="n">
        <f aca="false">J70*K70</f>
        <v>-0</v>
      </c>
      <c r="M70" s="124" t="n">
        <f aca="false">SUM(J$6:J70)</f>
        <v>-2726527</v>
      </c>
      <c r="N70" s="124" t="n">
        <f aca="false">SUM(J$6:J70)</f>
        <v>-2726527</v>
      </c>
      <c r="P70" s="124" t="n">
        <f aca="false">D70/P$3</f>
        <v>53.9383732154</v>
      </c>
      <c r="Q70" s="124" t="n">
        <f aca="false">E70/P$3</f>
        <v>3.96711107441401</v>
      </c>
      <c r="R70" s="124" t="n">
        <f aca="false">F70/R$3</f>
        <v>0</v>
      </c>
      <c r="S70" s="126" t="n">
        <f aca="false">J70/$R$3</f>
        <v>-1.7</v>
      </c>
      <c r="T70" s="126" t="n">
        <f aca="false">L70/$R$3</f>
        <v>-0</v>
      </c>
      <c r="U70" s="126" t="n">
        <f aca="false">I70/$R$3</f>
        <v>-10.412</v>
      </c>
      <c r="V70" s="126" t="n">
        <f aca="false">M70/$R$3</f>
        <v>-2726.527</v>
      </c>
      <c r="W70" s="126" t="n">
        <f aca="false">N70/$R$3</f>
        <v>-2726.527</v>
      </c>
    </row>
    <row r="71" customFormat="false" ht="12.75" hidden="false" customHeight="false" outlineLevel="0" collapsed="false">
      <c r="A71" s="120" t="n">
        <f aca="false">A70+1</f>
        <v>36957</v>
      </c>
      <c r="B71" s="131" t="str">
        <f aca="false">INDEX('[4]Master Data'!$A$2:$B$8,MATCH(WEEKDAY('GNS Bolv Gas MTM'!A71,3),'[4]Master Data'!$A$2:$A$8,0),2)</f>
        <v>W</v>
      </c>
      <c r="D71" s="124" t="n">
        <v>54197990.3972</v>
      </c>
      <c r="E71" s="124" t="n">
        <v>3969468.34031114</v>
      </c>
      <c r="F71" s="124" t="n">
        <v>0</v>
      </c>
      <c r="G71" s="124" t="n">
        <v>-12109</v>
      </c>
      <c r="I71" s="124" t="n">
        <f aca="false">IF(MONTH($A71)=MONTH($A70),IF(G71=0,I70,G71),G71)</f>
        <v>-12109</v>
      </c>
      <c r="J71" s="124" t="n">
        <f aca="false">IF(MONTH($A71)=MONTH($A70),SUM(I71-I70),I71)</f>
        <v>-1697</v>
      </c>
      <c r="K71" s="124" t="n">
        <f aca="false">IF(WEEKDAY(A71,3)&gt;4,0,(IF(A71&lt;K$2,0,IF(A71&lt;=K$3,1,0))))</f>
        <v>0</v>
      </c>
      <c r="L71" s="124" t="n">
        <f aca="false">J71*K71</f>
        <v>-0</v>
      </c>
      <c r="M71" s="124" t="n">
        <f aca="false">SUM(J$6:J71)</f>
        <v>-2728224</v>
      </c>
      <c r="N71" s="124" t="n">
        <f aca="false">SUM(J$6:J71)</f>
        <v>-2728224</v>
      </c>
      <c r="P71" s="124" t="n">
        <f aca="false">D71/P$3</f>
        <v>54.1979903972</v>
      </c>
      <c r="Q71" s="124" t="n">
        <f aca="false">E71/P$3</f>
        <v>3.96946834031114</v>
      </c>
      <c r="R71" s="124" t="n">
        <f aca="false">F71/R$3</f>
        <v>0</v>
      </c>
      <c r="S71" s="126" t="n">
        <f aca="false">J71/$R$3</f>
        <v>-1.697</v>
      </c>
      <c r="T71" s="126" t="n">
        <f aca="false">L71/$R$3</f>
        <v>-0</v>
      </c>
      <c r="U71" s="126" t="n">
        <f aca="false">I71/$R$3</f>
        <v>-12.109</v>
      </c>
      <c r="V71" s="126" t="n">
        <f aca="false">M71/$R$3</f>
        <v>-2728.224</v>
      </c>
      <c r="W71" s="126" t="n">
        <f aca="false">N71/$R$3</f>
        <v>-2728.224</v>
      </c>
    </row>
    <row r="72" customFormat="false" ht="12.75" hidden="false" customHeight="false" outlineLevel="0" collapsed="false">
      <c r="A72" s="120" t="n">
        <f aca="false">A71+1</f>
        <v>36958</v>
      </c>
      <c r="B72" s="131" t="str">
        <f aca="false">INDEX('[4]Master Data'!$A$2:$B$8,MATCH(WEEKDAY('GNS Bolv Gas MTM'!A72,3),'[4]Master Data'!$A$2:$A$8,0),2)</f>
        <v>Th</v>
      </c>
      <c r="D72" s="124" t="n">
        <v>54299897.64</v>
      </c>
      <c r="E72" s="124" t="n">
        <v>3985118.15528418</v>
      </c>
      <c r="F72" s="124" t="n">
        <v>0</v>
      </c>
      <c r="G72" s="124" t="n">
        <v>-13787</v>
      </c>
      <c r="I72" s="124" t="n">
        <f aca="false">IF(MONTH($A72)=MONTH($A71),IF(G72=0,I71,G72),G72)</f>
        <v>-13787</v>
      </c>
      <c r="J72" s="124" t="n">
        <f aca="false">IF(MONTH($A72)=MONTH($A71),SUM(I72-I71),I72)</f>
        <v>-1678</v>
      </c>
      <c r="K72" s="124" t="n">
        <f aca="false">IF(WEEKDAY(A72,3)&gt;4,0,(IF(A72&lt;K$2,0,IF(A72&lt;=K$3,1,0))))</f>
        <v>0</v>
      </c>
      <c r="L72" s="124" t="n">
        <f aca="false">J72*K72</f>
        <v>-0</v>
      </c>
      <c r="M72" s="124" t="n">
        <f aca="false">SUM(J$6:J72)</f>
        <v>-2729902</v>
      </c>
      <c r="N72" s="124" t="n">
        <f aca="false">SUM(J$6:J72)</f>
        <v>-2729902</v>
      </c>
      <c r="P72" s="124" t="n">
        <f aca="false">D72/P$3</f>
        <v>54.29989764</v>
      </c>
      <c r="Q72" s="124" t="n">
        <f aca="false">E72/P$3</f>
        <v>3.98511815528418</v>
      </c>
      <c r="R72" s="124" t="n">
        <f aca="false">F72/R$3</f>
        <v>0</v>
      </c>
      <c r="S72" s="126" t="n">
        <f aca="false">J72/$R$3</f>
        <v>-1.678</v>
      </c>
      <c r="T72" s="126" t="n">
        <f aca="false">L72/$R$3</f>
        <v>-0</v>
      </c>
      <c r="U72" s="126" t="n">
        <f aca="false">I72/$R$3</f>
        <v>-13.787</v>
      </c>
      <c r="V72" s="126" t="n">
        <f aca="false">M72/$R$3</f>
        <v>-2729.902</v>
      </c>
      <c r="W72" s="126" t="n">
        <f aca="false">N72/$R$3</f>
        <v>-2729.902</v>
      </c>
    </row>
    <row r="73" customFormat="false" ht="12.75" hidden="false" customHeight="false" outlineLevel="0" collapsed="false">
      <c r="A73" s="120" t="n">
        <f aca="false">A72+1</f>
        <v>36959</v>
      </c>
      <c r="B73" s="131" t="str">
        <f aca="false">INDEX('[4]Master Data'!$A$2:$B$8,MATCH(WEEKDAY('GNS Bolv Gas MTM'!A73,3),'[4]Master Data'!$A$2:$A$8,0),2)</f>
        <v>F</v>
      </c>
      <c r="D73" s="124" t="n">
        <v>54111343.4059</v>
      </c>
      <c r="E73" s="124" t="n">
        <v>3982784.46308508</v>
      </c>
      <c r="F73" s="124" t="n">
        <v>0</v>
      </c>
      <c r="G73" s="124" t="n">
        <v>-15447</v>
      </c>
      <c r="I73" s="124" t="n">
        <f aca="false">IF(MONTH($A73)=MONTH($A72),IF(G73=0,I72,G73),G73)</f>
        <v>-15447</v>
      </c>
      <c r="J73" s="124" t="n">
        <f aca="false">IF(MONTH($A73)=MONTH($A72),SUM(I73-I72),I73)</f>
        <v>-1660</v>
      </c>
      <c r="K73" s="124" t="n">
        <f aca="false">IF(WEEKDAY(A73,3)&gt;4,0,(IF(A73&lt;K$2,0,IF(A73&lt;=K$3,1,0))))</f>
        <v>0</v>
      </c>
      <c r="L73" s="124" t="n">
        <f aca="false">J73*K73</f>
        <v>-0</v>
      </c>
      <c r="M73" s="124" t="n">
        <f aca="false">SUM(J$6:J73)</f>
        <v>-2731562</v>
      </c>
      <c r="N73" s="124" t="n">
        <f aca="false">SUM(J$6:J73)</f>
        <v>-2731562</v>
      </c>
      <c r="P73" s="124" t="n">
        <f aca="false">D73/P$3</f>
        <v>54.1113434059</v>
      </c>
      <c r="Q73" s="124" t="n">
        <f aca="false">E73/P$3</f>
        <v>3.98278446308508</v>
      </c>
      <c r="R73" s="124" t="n">
        <f aca="false">F73/R$3</f>
        <v>0</v>
      </c>
      <c r="S73" s="126" t="n">
        <f aca="false">J73/$R$3</f>
        <v>-1.66</v>
      </c>
      <c r="T73" s="126" t="n">
        <f aca="false">L73/$R$3</f>
        <v>-0</v>
      </c>
      <c r="U73" s="126" t="n">
        <f aca="false">I73/$R$3</f>
        <v>-15.447</v>
      </c>
      <c r="V73" s="126" t="n">
        <f aca="false">M73/$R$3</f>
        <v>-2731.562</v>
      </c>
      <c r="W73" s="126" t="n">
        <f aca="false">N73/$R$3</f>
        <v>-2731.562</v>
      </c>
    </row>
    <row r="74" customFormat="false" ht="12.75" hidden="false" customHeight="false" outlineLevel="0" collapsed="false">
      <c r="A74" s="120" t="n">
        <f aca="false">A73+1</f>
        <v>36960</v>
      </c>
      <c r="B74" s="131" t="str">
        <f aca="false">INDEX('[4]Master Data'!$A$2:$B$8,MATCH(WEEKDAY('GNS Bolv Gas MTM'!A74,3),'[4]Master Data'!$A$2:$A$8,0),2)</f>
        <v>Sa</v>
      </c>
      <c r="D74" s="124" t="n">
        <v>0</v>
      </c>
      <c r="E74" s="124" t="n">
        <v>0</v>
      </c>
      <c r="F74" s="124" t="n">
        <v>0</v>
      </c>
      <c r="G74" s="124" t="n">
        <v>0</v>
      </c>
      <c r="I74" s="124" t="n">
        <f aca="false">IF(MONTH($A74)=MONTH($A73),IF(G74=0,I73,G74),G74)</f>
        <v>-15447</v>
      </c>
      <c r="J74" s="124" t="n">
        <f aca="false">IF(MONTH($A74)=MONTH($A73),SUM(I74-I73),I74)</f>
        <v>0</v>
      </c>
      <c r="K74" s="124" t="n">
        <f aca="false">IF(WEEKDAY(A74,3)&gt;4,0,(IF(A74&lt;K$2,0,IF(A74&lt;=K$3,1,0))))</f>
        <v>0</v>
      </c>
      <c r="L74" s="124" t="n">
        <f aca="false">J74*K74</f>
        <v>0</v>
      </c>
      <c r="M74" s="124" t="n">
        <f aca="false">SUM(J$6:J74)</f>
        <v>-2731562</v>
      </c>
      <c r="N74" s="124" t="n">
        <f aca="false">SUM(J$6:J74)</f>
        <v>-2731562</v>
      </c>
      <c r="P74" s="124" t="n">
        <f aca="false">D74/P$3</f>
        <v>0</v>
      </c>
      <c r="Q74" s="124" t="n">
        <f aca="false">E74/P$3</f>
        <v>0</v>
      </c>
      <c r="R74" s="124" t="n">
        <f aca="false">F74/R$3</f>
        <v>0</v>
      </c>
      <c r="S74" s="126" t="n">
        <f aca="false">J74/$R$3</f>
        <v>0</v>
      </c>
      <c r="T74" s="126" t="n">
        <f aca="false">L74/$R$3</f>
        <v>0</v>
      </c>
      <c r="U74" s="126" t="n">
        <f aca="false">I74/$R$3</f>
        <v>-15.447</v>
      </c>
      <c r="V74" s="126" t="n">
        <f aca="false">M74/$R$3</f>
        <v>-2731.562</v>
      </c>
      <c r="W74" s="126" t="n">
        <f aca="false">N74/$R$3</f>
        <v>-2731.562</v>
      </c>
    </row>
    <row r="75" customFormat="false" ht="12.75" hidden="false" customHeight="false" outlineLevel="0" collapsed="false">
      <c r="A75" s="120" t="n">
        <f aca="false">A74+1</f>
        <v>36961</v>
      </c>
      <c r="B75" s="131" t="str">
        <f aca="false">INDEX('[4]Master Data'!$A$2:$B$8,MATCH(WEEKDAY('GNS Bolv Gas MTM'!A75,3),'[4]Master Data'!$A$2:$A$8,0),2)</f>
        <v>Su</v>
      </c>
      <c r="D75" s="124" t="n">
        <v>0</v>
      </c>
      <c r="E75" s="124" t="n">
        <v>0</v>
      </c>
      <c r="F75" s="124" t="n">
        <v>0</v>
      </c>
      <c r="G75" s="124" t="n">
        <v>0</v>
      </c>
      <c r="I75" s="124" t="n">
        <f aca="false">IF(MONTH($A75)=MONTH($A74),IF(G75=0,I74,G75),G75)</f>
        <v>-15447</v>
      </c>
      <c r="J75" s="124" t="n">
        <f aca="false">IF(MONTH($A75)=MONTH($A74),SUM(I75-I74),I75)</f>
        <v>0</v>
      </c>
      <c r="K75" s="124" t="n">
        <f aca="false">IF(WEEKDAY(A75,3)&gt;4,0,(IF(A75&lt;K$2,0,IF(A75&lt;=K$3,1,0))))</f>
        <v>0</v>
      </c>
      <c r="L75" s="124" t="n">
        <f aca="false">J75*K75</f>
        <v>0</v>
      </c>
      <c r="M75" s="124" t="n">
        <f aca="false">SUM(J$6:J75)</f>
        <v>-2731562</v>
      </c>
      <c r="N75" s="124" t="n">
        <f aca="false">SUM(J$6:J75)</f>
        <v>-2731562</v>
      </c>
      <c r="P75" s="124" t="n">
        <f aca="false">D75/P$3</f>
        <v>0</v>
      </c>
      <c r="Q75" s="124" t="n">
        <f aca="false">E75/P$3</f>
        <v>0</v>
      </c>
      <c r="R75" s="124" t="n">
        <f aca="false">F75/R$3</f>
        <v>0</v>
      </c>
      <c r="S75" s="126" t="n">
        <f aca="false">J75/$R$3</f>
        <v>0</v>
      </c>
      <c r="T75" s="126" t="n">
        <f aca="false">L75/$R$3</f>
        <v>0</v>
      </c>
      <c r="U75" s="126" t="n">
        <f aca="false">I75/$R$3</f>
        <v>-15.447</v>
      </c>
      <c r="V75" s="126" t="n">
        <f aca="false">M75/$R$3</f>
        <v>-2731.562</v>
      </c>
      <c r="W75" s="126" t="n">
        <f aca="false">N75/$R$3</f>
        <v>-2731.562</v>
      </c>
    </row>
    <row r="76" customFormat="false" ht="12.75" hidden="false" customHeight="false" outlineLevel="0" collapsed="false">
      <c r="A76" s="120" t="n">
        <f aca="false">A75+1</f>
        <v>36962</v>
      </c>
      <c r="B76" s="131" t="str">
        <f aca="false">INDEX('[4]Master Data'!$A$2:$B$8,MATCH(WEEKDAY('GNS Bolv Gas MTM'!A76,3),'[4]Master Data'!$A$2:$A$8,0),2)</f>
        <v>M</v>
      </c>
      <c r="D76" s="124" t="n">
        <v>54274760.2364</v>
      </c>
      <c r="E76" s="124" t="n">
        <v>4001631.0131159</v>
      </c>
      <c r="F76" s="124" t="n">
        <v>0</v>
      </c>
      <c r="G76" s="124" t="n">
        <v>-20364</v>
      </c>
      <c r="I76" s="124" t="n">
        <f aca="false">IF(MONTH($A76)=MONTH($A75),IF(G76=0,I75,G76),G76)</f>
        <v>-20364</v>
      </c>
      <c r="J76" s="124" t="n">
        <f aca="false">IF(MONTH($A76)=MONTH($A75),SUM(I76-I75),I76)</f>
        <v>-4917</v>
      </c>
      <c r="K76" s="124" t="n">
        <f aca="false">IF(WEEKDAY(A76,3)&gt;4,0,(IF(A76&lt;K$2,0,IF(A76&lt;=K$3,1,0))))</f>
        <v>0</v>
      </c>
      <c r="L76" s="124" t="n">
        <f aca="false">J76*K76</f>
        <v>-0</v>
      </c>
      <c r="M76" s="124" t="n">
        <f aca="false">SUM(J$6:J76)</f>
        <v>-2736479</v>
      </c>
      <c r="N76" s="124" t="n">
        <f aca="false">SUM(J$6:J76)</f>
        <v>-2736479</v>
      </c>
      <c r="P76" s="124" t="n">
        <f aca="false">D76/P$3</f>
        <v>54.2747602364</v>
      </c>
      <c r="Q76" s="124" t="n">
        <f aca="false">E76/P$3</f>
        <v>4.0016310131159</v>
      </c>
      <c r="R76" s="124" t="n">
        <f aca="false">F76/R$3</f>
        <v>0</v>
      </c>
      <c r="S76" s="126" t="n">
        <f aca="false">J76/$R$3</f>
        <v>-4.917</v>
      </c>
      <c r="T76" s="126" t="n">
        <f aca="false">L76/$R$3</f>
        <v>-0</v>
      </c>
      <c r="U76" s="126" t="n">
        <f aca="false">I76/$R$3</f>
        <v>-20.364</v>
      </c>
      <c r="V76" s="126" t="n">
        <f aca="false">M76/$R$3</f>
        <v>-2736.479</v>
      </c>
      <c r="W76" s="126" t="n">
        <f aca="false">N76/$R$3</f>
        <v>-2736.479</v>
      </c>
    </row>
    <row r="77" customFormat="false" ht="12.75" hidden="false" customHeight="false" outlineLevel="0" collapsed="false">
      <c r="A77" s="120" t="n">
        <f aca="false">A76+1</f>
        <v>36963</v>
      </c>
      <c r="B77" s="131" t="str">
        <f aca="false">INDEX('[4]Master Data'!$A$2:$B$8,MATCH(WEEKDAY('GNS Bolv Gas MTM'!A77,3),'[4]Master Data'!$A$2:$A$8,0),2)</f>
        <v>T</v>
      </c>
      <c r="D77" s="124" t="n">
        <v>54104652.5738</v>
      </c>
      <c r="E77" s="124" t="n">
        <v>4011098.76679443</v>
      </c>
      <c r="F77" s="124" t="n">
        <v>0</v>
      </c>
      <c r="G77" s="124" t="n">
        <v>-21969</v>
      </c>
      <c r="I77" s="124" t="n">
        <f aca="false">IF(MONTH($A77)=MONTH($A76),IF(G77=0,I76,G77),G77)</f>
        <v>-21969</v>
      </c>
      <c r="J77" s="124" t="n">
        <f aca="false">IF(MONTH($A77)=MONTH($A76),SUM(I77-I76),I77)</f>
        <v>-1605</v>
      </c>
      <c r="K77" s="124" t="n">
        <f aca="false">IF(WEEKDAY(A77,3)&gt;4,0,(IF(A77&lt;K$2,0,IF(A77&lt;=K$3,1,0))))</f>
        <v>0</v>
      </c>
      <c r="L77" s="124" t="n">
        <f aca="false">J77*K77</f>
        <v>-0</v>
      </c>
      <c r="M77" s="124" t="n">
        <f aca="false">SUM(J$6:J77)</f>
        <v>-2738084</v>
      </c>
      <c r="N77" s="124" t="n">
        <f aca="false">SUM(J$6:J77)</f>
        <v>-2738084</v>
      </c>
      <c r="P77" s="124" t="n">
        <f aca="false">D77/P$3</f>
        <v>54.1046525738</v>
      </c>
      <c r="Q77" s="124" t="n">
        <f aca="false">E77/P$3</f>
        <v>4.01109876679443</v>
      </c>
      <c r="R77" s="124" t="n">
        <f aca="false">F77/R$3</f>
        <v>0</v>
      </c>
      <c r="S77" s="126" t="n">
        <f aca="false">J77/$R$3</f>
        <v>-1.605</v>
      </c>
      <c r="T77" s="126" t="n">
        <f aca="false">L77/$R$3</f>
        <v>-0</v>
      </c>
      <c r="U77" s="126" t="n">
        <f aca="false">I77/$R$3</f>
        <v>-21.969</v>
      </c>
      <c r="V77" s="126" t="n">
        <f aca="false">M77/$R$3</f>
        <v>-2738.084</v>
      </c>
      <c r="W77" s="126" t="n">
        <f aca="false">N77/$R$3</f>
        <v>-2738.084</v>
      </c>
    </row>
    <row r="78" customFormat="false" ht="12.75" hidden="false" customHeight="false" outlineLevel="0" collapsed="false">
      <c r="A78" s="120" t="n">
        <f aca="false">A77+1</f>
        <v>36964</v>
      </c>
      <c r="B78" s="131" t="str">
        <f aca="false">INDEX('[4]Master Data'!$A$2:$B$8,MATCH(WEEKDAY('GNS Bolv Gas MTM'!A78,3),'[4]Master Data'!$A$2:$A$8,0),2)</f>
        <v>W</v>
      </c>
      <c r="D78" s="124" t="n">
        <v>54572822.1679</v>
      </c>
      <c r="E78" s="124" t="n">
        <v>4049170.25801834</v>
      </c>
      <c r="F78" s="124" t="n">
        <v>0</v>
      </c>
      <c r="G78" s="124" t="n">
        <v>-23577</v>
      </c>
      <c r="I78" s="124" t="n">
        <f aca="false">IF(MONTH($A78)=MONTH($A77),IF(G78=0,I77,G78),G78)</f>
        <v>-23577</v>
      </c>
      <c r="J78" s="124" t="n">
        <f aca="false">IF(MONTH($A78)=MONTH($A77),SUM(I78-I77),I78)</f>
        <v>-1608</v>
      </c>
      <c r="K78" s="124" t="n">
        <f aca="false">IF(WEEKDAY(A78,3)&gt;4,0,(IF(A78&lt;K$2,0,IF(A78&lt;=K$3,1,0))))</f>
        <v>0</v>
      </c>
      <c r="L78" s="124" t="n">
        <f aca="false">J78*K78</f>
        <v>-0</v>
      </c>
      <c r="M78" s="124" t="n">
        <f aca="false">SUM(J$6:J78)</f>
        <v>-2739692</v>
      </c>
      <c r="N78" s="124" t="n">
        <f aca="false">SUM(J$6:J78)</f>
        <v>-2739692</v>
      </c>
      <c r="P78" s="124" t="n">
        <f aca="false">D78/P$3</f>
        <v>54.5728221679</v>
      </c>
      <c r="Q78" s="124" t="n">
        <f aca="false">E78/P$3</f>
        <v>4.04917025801834</v>
      </c>
      <c r="R78" s="124" t="n">
        <f aca="false">F78/R$3</f>
        <v>0</v>
      </c>
      <c r="S78" s="126" t="n">
        <f aca="false">J78/$R$3</f>
        <v>-1.608</v>
      </c>
      <c r="T78" s="126" t="n">
        <f aca="false">L78/$R$3</f>
        <v>-0</v>
      </c>
      <c r="U78" s="126" t="n">
        <f aca="false">I78/$R$3</f>
        <v>-23.577</v>
      </c>
      <c r="V78" s="126" t="n">
        <f aca="false">M78/$R$3</f>
        <v>-2739.692</v>
      </c>
      <c r="W78" s="126" t="n">
        <f aca="false">N78/$R$3</f>
        <v>-2739.692</v>
      </c>
    </row>
    <row r="79" customFormat="false" ht="12.75" hidden="false" customHeight="false" outlineLevel="0" collapsed="false">
      <c r="A79" s="120" t="n">
        <f aca="false">A78+1</f>
        <v>36965</v>
      </c>
      <c r="B79" s="131" t="str">
        <f aca="false">INDEX('[4]Master Data'!$A$2:$B$8,MATCH(WEEKDAY('GNS Bolv Gas MTM'!A79,3),'[4]Master Data'!$A$2:$A$8,0),2)</f>
        <v>Th</v>
      </c>
      <c r="D79" s="124" t="n">
        <v>54883713.252</v>
      </c>
      <c r="E79" s="124" t="n">
        <v>4057551.08693499</v>
      </c>
      <c r="F79" s="124" t="n">
        <v>0</v>
      </c>
      <c r="G79" s="124" t="n">
        <v>-25168</v>
      </c>
      <c r="I79" s="124" t="n">
        <f aca="false">IF(MONTH($A79)=MONTH($A78),IF(G79=0,I78,G79),G79)</f>
        <v>-25168</v>
      </c>
      <c r="J79" s="124" t="n">
        <f aca="false">IF(MONTH($A79)=MONTH($A78),SUM(I79-I78),I79)</f>
        <v>-1591</v>
      </c>
      <c r="K79" s="124" t="n">
        <f aca="false">IF(WEEKDAY(A79,3)&gt;4,0,(IF(A79&lt;K$2,0,IF(A79&lt;=K$3,1,0))))</f>
        <v>0</v>
      </c>
      <c r="L79" s="124" t="n">
        <f aca="false">J79*K79</f>
        <v>-0</v>
      </c>
      <c r="M79" s="124" t="n">
        <f aca="false">SUM(J$6:J79)</f>
        <v>-2741283</v>
      </c>
      <c r="N79" s="124" t="n">
        <f aca="false">SUM(J$6:J79)</f>
        <v>-2741283</v>
      </c>
      <c r="P79" s="124" t="n">
        <f aca="false">D79/P$3</f>
        <v>54.883713252</v>
      </c>
      <c r="Q79" s="124" t="n">
        <f aca="false">E79/P$3</f>
        <v>4.05755108693499</v>
      </c>
      <c r="R79" s="124" t="n">
        <f aca="false">F79/R$3</f>
        <v>0</v>
      </c>
      <c r="S79" s="126" t="n">
        <f aca="false">J79/$R$3</f>
        <v>-1.591</v>
      </c>
      <c r="T79" s="126" t="n">
        <f aca="false">L79/$R$3</f>
        <v>-0</v>
      </c>
      <c r="U79" s="126" t="n">
        <f aca="false">I79/$R$3</f>
        <v>-25.168</v>
      </c>
      <c r="V79" s="126" t="n">
        <f aca="false">M79/$R$3</f>
        <v>-2741.283</v>
      </c>
      <c r="W79" s="126" t="n">
        <f aca="false">N79/$R$3</f>
        <v>-2741.283</v>
      </c>
    </row>
    <row r="80" customFormat="false" ht="12.75" hidden="false" customHeight="false" outlineLevel="0" collapsed="false">
      <c r="A80" s="120" t="n">
        <f aca="false">A79+1</f>
        <v>36966</v>
      </c>
      <c r="B80" s="131" t="str">
        <f aca="false">INDEX('[4]Master Data'!$A$2:$B$8,MATCH(WEEKDAY('GNS Bolv Gas MTM'!A80,3),'[4]Master Data'!$A$2:$A$8,0),2)</f>
        <v>F</v>
      </c>
      <c r="D80" s="124" t="n">
        <v>55049950.4926</v>
      </c>
      <c r="E80" s="124" t="n">
        <v>4069739.03921357</v>
      </c>
      <c r="F80" s="124" t="n">
        <v>0</v>
      </c>
      <c r="G80" s="124" t="n">
        <v>-26740</v>
      </c>
      <c r="I80" s="124" t="n">
        <f aca="false">IF(MONTH($A80)=MONTH($A79),IF(G80=0,I79,G80),G80)</f>
        <v>-26740</v>
      </c>
      <c r="J80" s="124" t="n">
        <f aca="false">IF(MONTH($A80)=MONTH($A79),SUM(I80-I79),I80)</f>
        <v>-1572</v>
      </c>
      <c r="K80" s="124" t="n">
        <f aca="false">IF(WEEKDAY(A80,3)&gt;4,0,(IF(A80&lt;K$2,0,IF(A80&lt;=K$3,1,0))))</f>
        <v>0</v>
      </c>
      <c r="L80" s="124" t="n">
        <f aca="false">J80*K80</f>
        <v>-0</v>
      </c>
      <c r="M80" s="124" t="n">
        <f aca="false">SUM(J$6:J80)</f>
        <v>-2742855</v>
      </c>
      <c r="N80" s="124" t="n">
        <f aca="false">SUM(J$6:J80)</f>
        <v>-2742855</v>
      </c>
      <c r="P80" s="124" t="n">
        <f aca="false">D80/P$3</f>
        <v>55.0499504926</v>
      </c>
      <c r="Q80" s="124" t="n">
        <f aca="false">E80/P$3</f>
        <v>4.06973903921357</v>
      </c>
      <c r="R80" s="124" t="n">
        <f aca="false">F80/R$3</f>
        <v>0</v>
      </c>
      <c r="S80" s="126" t="n">
        <f aca="false">J80/$R$3</f>
        <v>-1.572</v>
      </c>
      <c r="T80" s="126" t="n">
        <f aca="false">L80/$R$3</f>
        <v>-0</v>
      </c>
      <c r="U80" s="126" t="n">
        <f aca="false">I80/$R$3</f>
        <v>-26.74</v>
      </c>
      <c r="V80" s="126" t="n">
        <f aca="false">M80/$R$3</f>
        <v>-2742.855</v>
      </c>
      <c r="W80" s="126" t="n">
        <f aca="false">N80/$R$3</f>
        <v>-2742.855</v>
      </c>
    </row>
    <row r="81" customFormat="false" ht="12.75" hidden="false" customHeight="false" outlineLevel="0" collapsed="false">
      <c r="A81" s="120" t="n">
        <f aca="false">A80+1</f>
        <v>36967</v>
      </c>
      <c r="B81" s="131" t="str">
        <f aca="false">INDEX('[4]Master Data'!$A$2:$B$8,MATCH(WEEKDAY('GNS Bolv Gas MTM'!A81,3),'[4]Master Data'!$A$2:$A$8,0),2)</f>
        <v>Sa</v>
      </c>
      <c r="D81" s="124" t="n">
        <v>0</v>
      </c>
      <c r="E81" s="124" t="n">
        <v>0</v>
      </c>
      <c r="F81" s="124" t="n">
        <v>0</v>
      </c>
      <c r="G81" s="124" t="n">
        <v>0</v>
      </c>
      <c r="I81" s="124" t="n">
        <f aca="false">IF(MONTH($A81)=MONTH($A80),IF(G81=0,I80,G81),G81)</f>
        <v>-26740</v>
      </c>
      <c r="J81" s="124" t="n">
        <f aca="false">IF(MONTH($A81)=MONTH($A80),SUM(I81-I80),I81)</f>
        <v>0</v>
      </c>
      <c r="K81" s="124" t="n">
        <f aca="false">IF(WEEKDAY(A81,3)&gt;4,0,(IF(A81&lt;K$2,0,IF(A81&lt;=K$3,1,0))))</f>
        <v>0</v>
      </c>
      <c r="L81" s="124" t="n">
        <f aca="false">J81*K81</f>
        <v>0</v>
      </c>
      <c r="M81" s="124" t="n">
        <f aca="false">SUM(J$6:J81)</f>
        <v>-2742855</v>
      </c>
      <c r="N81" s="124" t="n">
        <f aca="false">SUM(J$6:J81)</f>
        <v>-2742855</v>
      </c>
      <c r="P81" s="124" t="n">
        <f aca="false">D81/P$3</f>
        <v>0</v>
      </c>
      <c r="Q81" s="124" t="n">
        <f aca="false">E81/P$3</f>
        <v>0</v>
      </c>
      <c r="R81" s="124" t="n">
        <f aca="false">F81/R$3</f>
        <v>0</v>
      </c>
      <c r="S81" s="126" t="n">
        <f aca="false">J81/$R$3</f>
        <v>0</v>
      </c>
      <c r="T81" s="126" t="n">
        <f aca="false">L81/$R$3</f>
        <v>0</v>
      </c>
      <c r="U81" s="126" t="n">
        <f aca="false">I81/$R$3</f>
        <v>-26.74</v>
      </c>
      <c r="V81" s="126" t="n">
        <f aca="false">M81/$R$3</f>
        <v>-2742.855</v>
      </c>
      <c r="W81" s="126" t="n">
        <f aca="false">N81/$R$3</f>
        <v>-2742.855</v>
      </c>
    </row>
    <row r="82" customFormat="false" ht="12.75" hidden="false" customHeight="false" outlineLevel="0" collapsed="false">
      <c r="A82" s="120" t="n">
        <f aca="false">A81+1</f>
        <v>36968</v>
      </c>
      <c r="B82" s="131" t="str">
        <f aca="false">INDEX('[4]Master Data'!$A$2:$B$8,MATCH(WEEKDAY('GNS Bolv Gas MTM'!A82,3),'[4]Master Data'!$A$2:$A$8,0),2)</f>
        <v>Su</v>
      </c>
      <c r="D82" s="124" t="n">
        <v>0</v>
      </c>
      <c r="E82" s="124" t="n">
        <v>0</v>
      </c>
      <c r="F82" s="124" t="n">
        <v>0</v>
      </c>
      <c r="G82" s="124" t="n">
        <v>0</v>
      </c>
      <c r="I82" s="124" t="n">
        <f aca="false">IF(MONTH($A82)=MONTH($A81),IF(G82=0,I81,G82),G82)</f>
        <v>-26740</v>
      </c>
      <c r="J82" s="124" t="n">
        <f aca="false">IF(MONTH($A82)=MONTH($A81),SUM(I82-I81),I82)</f>
        <v>0</v>
      </c>
      <c r="K82" s="124" t="n">
        <f aca="false">IF(WEEKDAY(A82,3)&gt;4,0,(IF(A82&lt;K$2,0,IF(A82&lt;=K$3,1,0))))</f>
        <v>0</v>
      </c>
      <c r="L82" s="124" t="n">
        <f aca="false">J82*K82</f>
        <v>0</v>
      </c>
      <c r="M82" s="124" t="n">
        <f aca="false">SUM(J$6:J82)</f>
        <v>-2742855</v>
      </c>
      <c r="N82" s="124" t="n">
        <f aca="false">SUM(J$6:J82)</f>
        <v>-2742855</v>
      </c>
      <c r="P82" s="124" t="n">
        <f aca="false">D82/P$3</f>
        <v>0</v>
      </c>
      <c r="Q82" s="124" t="n">
        <f aca="false">E82/P$3</f>
        <v>0</v>
      </c>
      <c r="R82" s="124" t="n">
        <f aca="false">F82/R$3</f>
        <v>0</v>
      </c>
      <c r="S82" s="126" t="n">
        <f aca="false">J82/$R$3</f>
        <v>0</v>
      </c>
      <c r="T82" s="126" t="n">
        <f aca="false">L82/$R$3</f>
        <v>0</v>
      </c>
      <c r="U82" s="126" t="n">
        <f aca="false">I82/$R$3</f>
        <v>-26.74</v>
      </c>
      <c r="V82" s="126" t="n">
        <f aca="false">M82/$R$3</f>
        <v>-2742.855</v>
      </c>
      <c r="W82" s="126" t="n">
        <f aca="false">N82/$R$3</f>
        <v>-2742.855</v>
      </c>
    </row>
    <row r="83" customFormat="false" ht="12.75" hidden="false" customHeight="false" outlineLevel="0" collapsed="false">
      <c r="A83" s="120" t="n">
        <f aca="false">A82+1</f>
        <v>36969</v>
      </c>
      <c r="B83" s="131" t="str">
        <f aca="false">INDEX('[4]Master Data'!$A$2:$B$8,MATCH(WEEKDAY('GNS Bolv Gas MTM'!A83,3),'[4]Master Data'!$A$2:$A$8,0),2)</f>
        <v>M</v>
      </c>
      <c r="D83" s="124" t="n">
        <v>55986144.1498</v>
      </c>
      <c r="E83" s="124" t="n">
        <v>4376117.45547893</v>
      </c>
      <c r="F83" s="124" t="n">
        <v>0</v>
      </c>
      <c r="G83" s="124" t="n">
        <v>1554719</v>
      </c>
      <c r="I83" s="124" t="n">
        <f aca="false">IF(MONTH($A83)=MONTH($A82),IF(G83=0,I82,G83),G83)</f>
        <v>1554719</v>
      </c>
      <c r="J83" s="124" t="n">
        <f aca="false">IF(MONTH($A83)=MONTH($A82),SUM(I83-I82),I83)</f>
        <v>1581459</v>
      </c>
      <c r="K83" s="124" t="n">
        <f aca="false">IF(WEEKDAY(A83,3)&gt;4,0,(IF(A83&lt;K$2,0,IF(A83&lt;=K$3,1,0))))</f>
        <v>0</v>
      </c>
      <c r="L83" s="124" t="n">
        <f aca="false">J83*K83</f>
        <v>0</v>
      </c>
      <c r="M83" s="124" t="n">
        <f aca="false">SUM(J$6:J83)</f>
        <v>-1161396</v>
      </c>
      <c r="N83" s="124" t="n">
        <f aca="false">SUM(J$6:J83)</f>
        <v>-1161396</v>
      </c>
      <c r="P83" s="124" t="n">
        <f aca="false">D83/P$3</f>
        <v>55.9861441498</v>
      </c>
      <c r="Q83" s="124" t="n">
        <f aca="false">E83/P$3</f>
        <v>4.37611745547893</v>
      </c>
      <c r="R83" s="124" t="n">
        <f aca="false">F83/R$3</f>
        <v>0</v>
      </c>
      <c r="S83" s="126" t="n">
        <f aca="false">J83/$R$3</f>
        <v>1581.459</v>
      </c>
      <c r="T83" s="126" t="n">
        <f aca="false">L83/$R$3</f>
        <v>0</v>
      </c>
      <c r="U83" s="126" t="n">
        <f aca="false">I83/$R$3</f>
        <v>1554.719</v>
      </c>
      <c r="V83" s="126" t="n">
        <f aca="false">M83/$R$3</f>
        <v>-1161.396</v>
      </c>
      <c r="W83" s="126" t="n">
        <f aca="false">N83/$R$3</f>
        <v>-1161.396</v>
      </c>
    </row>
    <row r="84" customFormat="false" ht="12.75" hidden="false" customHeight="false" outlineLevel="0" collapsed="false">
      <c r="A84" s="120" t="n">
        <f aca="false">A83+1</f>
        <v>36970</v>
      </c>
      <c r="B84" s="131" t="str">
        <f aca="false">INDEX('[4]Master Data'!$A$2:$B$8,MATCH(WEEKDAY('GNS Bolv Gas MTM'!A84,3),'[4]Master Data'!$A$2:$A$8,0),2)</f>
        <v>T</v>
      </c>
      <c r="D84" s="124" t="n">
        <v>0</v>
      </c>
      <c r="E84" s="124" t="n">
        <v>0</v>
      </c>
      <c r="F84" s="124" t="n">
        <v>0</v>
      </c>
      <c r="G84" s="124" t="n">
        <v>0</v>
      </c>
      <c r="I84" s="124" t="n">
        <f aca="false">IF(MONTH($A84)=MONTH($A83),IF(G84=0,I83,G84),G84)</f>
        <v>1554719</v>
      </c>
      <c r="J84" s="124" t="n">
        <f aca="false">IF(MONTH($A84)=MONTH($A83),SUM(I84-I83),I84)</f>
        <v>0</v>
      </c>
      <c r="K84" s="124" t="n">
        <f aca="false">IF(WEEKDAY(A84,3)&gt;4,0,(IF(A84&lt;K$2,0,IF(A84&lt;=K$3,1,0))))</f>
        <v>0</v>
      </c>
      <c r="L84" s="124" t="n">
        <f aca="false">J84*K84</f>
        <v>0</v>
      </c>
      <c r="M84" s="124" t="n">
        <f aca="false">SUM(J$6:J84)</f>
        <v>-1161396</v>
      </c>
      <c r="N84" s="124" t="n">
        <f aca="false">SUM(J$6:J84)</f>
        <v>-1161396</v>
      </c>
      <c r="P84" s="124" t="n">
        <f aca="false">D84/P$3</f>
        <v>0</v>
      </c>
      <c r="Q84" s="124" t="n">
        <f aca="false">E84/P$3</f>
        <v>0</v>
      </c>
      <c r="R84" s="124" t="n">
        <f aca="false">F84/R$3</f>
        <v>0</v>
      </c>
      <c r="S84" s="126" t="n">
        <f aca="false">J84/$R$3</f>
        <v>0</v>
      </c>
      <c r="T84" s="126" t="n">
        <f aca="false">L84/$R$3</f>
        <v>0</v>
      </c>
      <c r="U84" s="126" t="n">
        <f aca="false">I84/$R$3</f>
        <v>1554.719</v>
      </c>
      <c r="V84" s="126" t="n">
        <f aca="false">M84/$R$3</f>
        <v>-1161.396</v>
      </c>
      <c r="W84" s="126" t="n">
        <f aca="false">N84/$R$3</f>
        <v>-1161.396</v>
      </c>
    </row>
    <row r="85" customFormat="false" ht="12.75" hidden="false" customHeight="false" outlineLevel="0" collapsed="false">
      <c r="A85" s="120" t="n">
        <f aca="false">A84+1</f>
        <v>36971</v>
      </c>
      <c r="B85" s="131" t="str">
        <f aca="false">INDEX('[4]Master Data'!$A$2:$B$8,MATCH(WEEKDAY('GNS Bolv Gas MTM'!A85,3),'[4]Master Data'!$A$2:$A$8,0),2)</f>
        <v>W</v>
      </c>
      <c r="D85" s="124" t="n">
        <v>0</v>
      </c>
      <c r="E85" s="153" t="n">
        <v>0</v>
      </c>
      <c r="F85" s="124" t="n">
        <v>0</v>
      </c>
      <c r="G85" s="124" t="n">
        <v>0</v>
      </c>
      <c r="I85" s="124" t="n">
        <f aca="false">IF(MONTH($A85)=MONTH($A84),IF(G85=0,I84,G85),G85)</f>
        <v>1554719</v>
      </c>
      <c r="J85" s="124" t="n">
        <f aca="false">IF(MONTH($A85)=MONTH($A84),SUM(I85-I84),I85)</f>
        <v>0</v>
      </c>
      <c r="K85" s="124" t="n">
        <f aca="false">IF(WEEKDAY(A85,3)&gt;4,0,(IF(A85&lt;K$2,0,IF(A85&lt;=K$3,1,0))))</f>
        <v>0</v>
      </c>
      <c r="L85" s="124" t="n">
        <f aca="false">J85*K85</f>
        <v>0</v>
      </c>
      <c r="M85" s="124" t="n">
        <f aca="false">SUM(J$6:J85)</f>
        <v>-1161396</v>
      </c>
      <c r="N85" s="124" t="n">
        <f aca="false">SUM(J$6:J85)</f>
        <v>-1161396</v>
      </c>
      <c r="P85" s="124" t="n">
        <f aca="false">D85/P$3</f>
        <v>0</v>
      </c>
      <c r="Q85" s="124" t="n">
        <f aca="false">E85/P$3</f>
        <v>0</v>
      </c>
      <c r="R85" s="124" t="n">
        <f aca="false">F85/R$3</f>
        <v>0</v>
      </c>
      <c r="S85" s="126" t="n">
        <f aca="false">J85/$R$3</f>
        <v>0</v>
      </c>
      <c r="T85" s="126" t="n">
        <f aca="false">L85/$R$3</f>
        <v>0</v>
      </c>
      <c r="U85" s="126" t="n">
        <f aca="false">I85/$R$3</f>
        <v>1554.719</v>
      </c>
      <c r="V85" s="126" t="n">
        <f aca="false">M85/$R$3</f>
        <v>-1161.396</v>
      </c>
      <c r="W85" s="126" t="n">
        <f aca="false">N85/$R$3</f>
        <v>-1161.396</v>
      </c>
    </row>
    <row r="86" customFormat="false" ht="12.75" hidden="false" customHeight="false" outlineLevel="0" collapsed="false">
      <c r="A86" s="120" t="n">
        <f aca="false">A85+1</f>
        <v>36972</v>
      </c>
      <c r="B86" s="131" t="str">
        <f aca="false">INDEX('[4]Master Data'!$A$2:$B$8,MATCH(WEEKDAY('GNS Bolv Gas MTM'!A86,3),'[4]Master Data'!$A$2:$A$8,0),2)</f>
        <v>Th</v>
      </c>
      <c r="D86" s="153" t="n">
        <v>0</v>
      </c>
      <c r="E86" s="153" t="n">
        <v>0</v>
      </c>
      <c r="F86" s="124" t="n">
        <v>0</v>
      </c>
      <c r="G86" s="153" t="n">
        <v>2678876</v>
      </c>
      <c r="I86" s="124" t="n">
        <f aca="false">IF(MONTH($A86)=MONTH($A85),IF(G86=0,I85,G86),G86)</f>
        <v>2678876</v>
      </c>
      <c r="J86" s="124" t="n">
        <f aca="false">IF(MONTH($A86)=MONTH($A85),SUM(I86-I85),I86)</f>
        <v>1124157</v>
      </c>
      <c r="K86" s="124" t="n">
        <f aca="false">IF(WEEKDAY(A86,3)&gt;4,0,(IF(A86&lt;K$2,0,IF(A86&lt;=K$3,1,0))))</f>
        <v>0</v>
      </c>
      <c r="L86" s="124" t="n">
        <f aca="false">J86*K86</f>
        <v>0</v>
      </c>
      <c r="M86" s="124" t="n">
        <f aca="false">SUM(J$6:J86)</f>
        <v>-37239</v>
      </c>
      <c r="N86" s="124" t="n">
        <f aca="false">SUM(J$6:J86)</f>
        <v>-37239</v>
      </c>
      <c r="P86" s="124" t="n">
        <f aca="false">D86/P$3</f>
        <v>0</v>
      </c>
      <c r="Q86" s="124" t="n">
        <f aca="false">E86/P$3</f>
        <v>0</v>
      </c>
      <c r="R86" s="124" t="n">
        <f aca="false">F86/R$3</f>
        <v>0</v>
      </c>
      <c r="S86" s="126" t="n">
        <f aca="false">J86/$R$3</f>
        <v>1124.157</v>
      </c>
      <c r="T86" s="126" t="n">
        <f aca="false">L86/$R$3</f>
        <v>0</v>
      </c>
      <c r="U86" s="126" t="n">
        <f aca="false">I86/$R$3</f>
        <v>2678.876</v>
      </c>
      <c r="V86" s="126" t="n">
        <f aca="false">M86/$R$3</f>
        <v>-37.239</v>
      </c>
      <c r="W86" s="126" t="n">
        <f aca="false">N86/$R$3</f>
        <v>-37.239</v>
      </c>
    </row>
    <row r="87" customFormat="false" ht="12.75" hidden="false" customHeight="false" outlineLevel="0" collapsed="false">
      <c r="A87" s="120" t="n">
        <f aca="false">A86+1</f>
        <v>36973</v>
      </c>
      <c r="B87" s="131" t="str">
        <f aca="false">INDEX('[4]Master Data'!$A$2:$B$8,MATCH(WEEKDAY('GNS Bolv Gas MTM'!A87,3),'[4]Master Data'!$A$2:$A$8,0),2)</f>
        <v>F</v>
      </c>
      <c r="D87" s="124" t="n">
        <v>0</v>
      </c>
      <c r="E87" s="124" t="n">
        <v>0</v>
      </c>
      <c r="F87" s="124" t="n">
        <v>0</v>
      </c>
      <c r="G87" s="124" t="n">
        <v>0</v>
      </c>
      <c r="I87" s="124" t="n">
        <f aca="false">IF(MONTH($A87)=MONTH($A86),IF(G87=0,I86,G87),G87)</f>
        <v>2678876</v>
      </c>
      <c r="J87" s="124" t="n">
        <f aca="false">IF(MONTH($A87)=MONTH($A86),SUM(I87-I86),I87)</f>
        <v>0</v>
      </c>
      <c r="K87" s="124" t="n">
        <f aca="false">IF(WEEKDAY(A87,3)&gt;4,0,(IF(A87&lt;K$2,0,IF(A87&lt;=K$3,1,0))))</f>
        <v>0</v>
      </c>
      <c r="L87" s="124" t="n">
        <f aca="false">J87*K87</f>
        <v>0</v>
      </c>
      <c r="M87" s="124" t="n">
        <f aca="false">SUM(J$6:J87)</f>
        <v>-37239</v>
      </c>
      <c r="N87" s="124" t="n">
        <f aca="false">SUM(J$6:J87)</f>
        <v>-37239</v>
      </c>
      <c r="P87" s="124" t="n">
        <f aca="false">D87/P$3</f>
        <v>0</v>
      </c>
      <c r="Q87" s="124" t="n">
        <f aca="false">E87/P$3</f>
        <v>0</v>
      </c>
      <c r="R87" s="124" t="n">
        <f aca="false">F87/R$3</f>
        <v>0</v>
      </c>
      <c r="S87" s="126" t="n">
        <f aca="false">J87/$R$3</f>
        <v>0</v>
      </c>
      <c r="T87" s="126" t="n">
        <f aca="false">L87/$R$3</f>
        <v>0</v>
      </c>
      <c r="U87" s="126" t="n">
        <f aca="false">I87/$R$3</f>
        <v>2678.876</v>
      </c>
      <c r="V87" s="126" t="n">
        <f aca="false">M87/$R$3</f>
        <v>-37.239</v>
      </c>
      <c r="W87" s="126" t="n">
        <f aca="false">N87/$R$3</f>
        <v>-37.239</v>
      </c>
    </row>
    <row r="88" customFormat="false" ht="12.75" hidden="false" customHeight="false" outlineLevel="0" collapsed="false">
      <c r="A88" s="120" t="n">
        <f aca="false">A87+1</f>
        <v>36974</v>
      </c>
      <c r="B88" s="131" t="str">
        <f aca="false">INDEX('[4]Master Data'!$A$2:$B$8,MATCH(WEEKDAY('GNS Bolv Gas MTM'!A88,3),'[4]Master Data'!$A$2:$A$8,0),2)</f>
        <v>Sa</v>
      </c>
      <c r="D88" s="124" t="n">
        <v>0</v>
      </c>
      <c r="E88" s="124" t="n">
        <v>0</v>
      </c>
      <c r="F88" s="124" t="n">
        <v>0</v>
      </c>
      <c r="G88" s="124" t="n">
        <v>0</v>
      </c>
      <c r="I88" s="124" t="n">
        <f aca="false">IF(MONTH($A88)=MONTH($A87),IF(G88=0,I87,G88),G88)</f>
        <v>2678876</v>
      </c>
      <c r="J88" s="124" t="n">
        <f aca="false">IF(MONTH($A88)=MONTH($A87),SUM(I88-I87),I88)</f>
        <v>0</v>
      </c>
      <c r="K88" s="124" t="n">
        <f aca="false">IF(WEEKDAY(A88,3)&gt;4,0,(IF(A88&lt;K$2,0,IF(A88&lt;=K$3,1,0))))</f>
        <v>0</v>
      </c>
      <c r="L88" s="124" t="n">
        <f aca="false">J88*K88</f>
        <v>0</v>
      </c>
      <c r="M88" s="124" t="n">
        <f aca="false">SUM(J$6:J88)</f>
        <v>-37239</v>
      </c>
      <c r="N88" s="124" t="n">
        <f aca="false">SUM(J$6:J88)</f>
        <v>-37239</v>
      </c>
      <c r="P88" s="124" t="n">
        <f aca="false">D88/P$3</f>
        <v>0</v>
      </c>
      <c r="Q88" s="124" t="n">
        <f aca="false">E88/P$3</f>
        <v>0</v>
      </c>
      <c r="R88" s="124" t="n">
        <f aca="false">F88/R$3</f>
        <v>0</v>
      </c>
      <c r="S88" s="126" t="n">
        <f aca="false">J88/$R$3</f>
        <v>0</v>
      </c>
      <c r="T88" s="126" t="n">
        <f aca="false">L88/$R$3</f>
        <v>0</v>
      </c>
      <c r="U88" s="126" t="n">
        <f aca="false">I88/$R$3</f>
        <v>2678.876</v>
      </c>
      <c r="V88" s="126" t="n">
        <f aca="false">M88/$R$3</f>
        <v>-37.239</v>
      </c>
      <c r="W88" s="126" t="n">
        <f aca="false">N88/$R$3</f>
        <v>-37.239</v>
      </c>
    </row>
    <row r="89" customFormat="false" ht="12.75" hidden="false" customHeight="false" outlineLevel="0" collapsed="false">
      <c r="A89" s="120" t="n">
        <f aca="false">A88+1</f>
        <v>36975</v>
      </c>
      <c r="B89" s="131" t="str">
        <f aca="false">INDEX('[4]Master Data'!$A$2:$B$8,MATCH(WEEKDAY('GNS Bolv Gas MTM'!A89,3),'[4]Master Data'!$A$2:$A$8,0),2)</f>
        <v>Su</v>
      </c>
      <c r="D89" s="124" t="n">
        <v>0</v>
      </c>
      <c r="E89" s="124" t="n">
        <v>0</v>
      </c>
      <c r="F89" s="124" t="n">
        <v>0</v>
      </c>
      <c r="G89" s="124" t="n">
        <v>0</v>
      </c>
      <c r="I89" s="124" t="n">
        <f aca="false">IF(MONTH($A89)=MONTH($A88),IF(G89=0,I88,G89),G89)</f>
        <v>2678876</v>
      </c>
      <c r="J89" s="124" t="n">
        <f aca="false">IF(MONTH($A89)=MONTH($A88),SUM(I89-I88),I89)</f>
        <v>0</v>
      </c>
      <c r="K89" s="124" t="n">
        <f aca="false">IF(WEEKDAY(A89,3)&gt;4,0,(IF(A89&lt;K$2,0,IF(A89&lt;=K$3,1,0))))</f>
        <v>0</v>
      </c>
      <c r="L89" s="124" t="n">
        <f aca="false">J89*K89</f>
        <v>0</v>
      </c>
      <c r="M89" s="124" t="n">
        <f aca="false">SUM(J$6:J89)</f>
        <v>-37239</v>
      </c>
      <c r="N89" s="124" t="n">
        <f aca="false">SUM(J$6:J89)</f>
        <v>-37239</v>
      </c>
      <c r="P89" s="124" t="n">
        <f aca="false">D89/P$3</f>
        <v>0</v>
      </c>
      <c r="Q89" s="124" t="n">
        <f aca="false">E89/P$3</f>
        <v>0</v>
      </c>
      <c r="R89" s="124" t="n">
        <f aca="false">F89/R$3</f>
        <v>0</v>
      </c>
      <c r="S89" s="126" t="n">
        <f aca="false">J89/$R$3</f>
        <v>0</v>
      </c>
      <c r="T89" s="126" t="n">
        <f aca="false">L89/$R$3</f>
        <v>0</v>
      </c>
      <c r="U89" s="126" t="n">
        <f aca="false">I89/$R$3</f>
        <v>2678.876</v>
      </c>
      <c r="V89" s="126" t="n">
        <f aca="false">M89/$R$3</f>
        <v>-37.239</v>
      </c>
      <c r="W89" s="126" t="n">
        <f aca="false">N89/$R$3</f>
        <v>-37.239</v>
      </c>
    </row>
    <row r="90" customFormat="false" ht="12.75" hidden="false" customHeight="false" outlineLevel="0" collapsed="false">
      <c r="A90" s="120" t="n">
        <f aca="false">A89+1</f>
        <v>36976</v>
      </c>
      <c r="B90" s="131" t="str">
        <f aca="false">INDEX('[4]Master Data'!$A$2:$B$8,MATCH(WEEKDAY('GNS Bolv Gas MTM'!A90,3),'[4]Master Data'!$A$2:$A$8,0),2)</f>
        <v>M</v>
      </c>
      <c r="D90" s="124" t="n">
        <v>0</v>
      </c>
      <c r="E90" s="124" t="n">
        <v>0</v>
      </c>
      <c r="F90" s="124" t="n">
        <v>0</v>
      </c>
      <c r="G90" s="124" t="n">
        <v>0</v>
      </c>
      <c r="I90" s="124" t="n">
        <f aca="false">IF(MONTH($A90)=MONTH($A89),IF(G90=0,I89,G90),G90)</f>
        <v>2678876</v>
      </c>
      <c r="J90" s="124" t="n">
        <f aca="false">IF(MONTH($A90)=MONTH($A89),SUM(I90-I89),I90)</f>
        <v>0</v>
      </c>
      <c r="K90" s="124" t="n">
        <f aca="false">IF(WEEKDAY(A90,3)&gt;4,0,(IF(A90&lt;K$2,0,IF(A90&lt;=K$3,1,0))))</f>
        <v>0</v>
      </c>
      <c r="L90" s="124" t="n">
        <f aca="false">J90*K90</f>
        <v>0</v>
      </c>
      <c r="M90" s="124" t="n">
        <f aca="false">SUM(J$6:J90)</f>
        <v>-37239</v>
      </c>
      <c r="N90" s="124" t="n">
        <f aca="false">SUM(J$6:J90)</f>
        <v>-37239</v>
      </c>
      <c r="P90" s="124" t="n">
        <f aca="false">D90/P$3</f>
        <v>0</v>
      </c>
      <c r="Q90" s="124" t="n">
        <f aca="false">E90/P$3</f>
        <v>0</v>
      </c>
      <c r="R90" s="124" t="n">
        <f aca="false">F90/R$3</f>
        <v>0</v>
      </c>
      <c r="S90" s="126" t="n">
        <f aca="false">J90/$R$3</f>
        <v>0</v>
      </c>
      <c r="T90" s="126" t="n">
        <f aca="false">L90/$R$3</f>
        <v>0</v>
      </c>
      <c r="U90" s="126" t="n">
        <f aca="false">I90/$R$3</f>
        <v>2678.876</v>
      </c>
      <c r="V90" s="126" t="n">
        <f aca="false">M90/$R$3</f>
        <v>-37.239</v>
      </c>
      <c r="W90" s="126" t="n">
        <f aca="false">N90/$R$3</f>
        <v>-37.239</v>
      </c>
    </row>
    <row r="91" customFormat="false" ht="12.75" hidden="false" customHeight="false" outlineLevel="0" collapsed="false">
      <c r="A91" s="120" t="n">
        <f aca="false">A90+1</f>
        <v>36977</v>
      </c>
      <c r="B91" s="131" t="str">
        <f aca="false">INDEX('[4]Master Data'!$A$2:$B$8,MATCH(WEEKDAY('GNS Bolv Gas MTM'!A91,3),'[4]Master Data'!$A$2:$A$8,0),2)</f>
        <v>T</v>
      </c>
      <c r="D91" s="124" t="n">
        <v>0</v>
      </c>
      <c r="E91" s="124" t="n">
        <v>0</v>
      </c>
      <c r="F91" s="124" t="n">
        <v>0</v>
      </c>
      <c r="G91" s="124" t="n">
        <v>0</v>
      </c>
      <c r="I91" s="124" t="n">
        <f aca="false">IF(MONTH($A91)=MONTH($A90),IF(G91=0,I90,G91),G91)</f>
        <v>2678876</v>
      </c>
      <c r="J91" s="124" t="n">
        <f aca="false">IF(MONTH($A91)=MONTH($A90),SUM(I91-I90),I91)</f>
        <v>0</v>
      </c>
      <c r="K91" s="124" t="n">
        <f aca="false">IF(WEEKDAY(A91,3)&gt;4,0,(IF(A91&lt;K$2,0,IF(A91&lt;=K$3,1,0))))</f>
        <v>0</v>
      </c>
      <c r="L91" s="124" t="n">
        <f aca="false">J91*K91</f>
        <v>0</v>
      </c>
      <c r="M91" s="124" t="n">
        <f aca="false">SUM(J$6:J91)</f>
        <v>-37239</v>
      </c>
      <c r="N91" s="124" t="n">
        <f aca="false">SUM(J$6:J91)</f>
        <v>-37239</v>
      </c>
      <c r="P91" s="124" t="n">
        <f aca="false">D91/P$3</f>
        <v>0</v>
      </c>
      <c r="Q91" s="124" t="n">
        <f aca="false">E91/P$3</f>
        <v>0</v>
      </c>
      <c r="R91" s="124" t="n">
        <f aca="false">F91/R$3</f>
        <v>0</v>
      </c>
      <c r="S91" s="126" t="n">
        <f aca="false">J91/$R$3</f>
        <v>0</v>
      </c>
      <c r="T91" s="126" t="n">
        <f aca="false">L91/$R$3</f>
        <v>0</v>
      </c>
      <c r="U91" s="126" t="n">
        <f aca="false">I91/$R$3</f>
        <v>2678.876</v>
      </c>
      <c r="V91" s="126" t="n">
        <f aca="false">M91/$R$3</f>
        <v>-37.239</v>
      </c>
      <c r="W91" s="126" t="n">
        <f aca="false">N91/$R$3</f>
        <v>-37.239</v>
      </c>
    </row>
    <row r="92" customFormat="false" ht="12.75" hidden="false" customHeight="false" outlineLevel="0" collapsed="false">
      <c r="A92" s="120" t="n">
        <f aca="false">A91+1</f>
        <v>36978</v>
      </c>
      <c r="B92" s="131" t="str">
        <f aca="false">INDEX('[4]Master Data'!$A$2:$B$8,MATCH(WEEKDAY('GNS Bolv Gas MTM'!A92,3),'[4]Master Data'!$A$2:$A$8,0),2)</f>
        <v>W</v>
      </c>
      <c r="D92" s="124" t="n">
        <v>0</v>
      </c>
      <c r="E92" s="124" t="n">
        <v>0</v>
      </c>
      <c r="F92" s="124" t="n">
        <v>0</v>
      </c>
      <c r="G92" s="124" t="n">
        <v>0</v>
      </c>
      <c r="I92" s="124" t="n">
        <f aca="false">IF(MONTH($A92)=MONTH($A91),IF(G92=0,I91,G92),G92)</f>
        <v>2678876</v>
      </c>
      <c r="J92" s="124" t="n">
        <f aca="false">IF(MONTH($A92)=MONTH($A91),SUM(I92-I91),I92)</f>
        <v>0</v>
      </c>
      <c r="K92" s="124" t="n">
        <f aca="false">IF(WEEKDAY(A92,3)&gt;4,0,(IF(A92&lt;K$2,0,IF(A92&lt;=K$3,1,0))))</f>
        <v>0</v>
      </c>
      <c r="L92" s="124" t="n">
        <f aca="false">J92*K92</f>
        <v>0</v>
      </c>
      <c r="M92" s="124" t="n">
        <f aca="false">SUM(J$6:J92)</f>
        <v>-37239</v>
      </c>
      <c r="N92" s="124" t="n">
        <f aca="false">SUM(J$6:J92)</f>
        <v>-37239</v>
      </c>
      <c r="P92" s="124" t="n">
        <f aca="false">D92/P$3</f>
        <v>0</v>
      </c>
      <c r="Q92" s="124" t="n">
        <f aca="false">E92/P$3</f>
        <v>0</v>
      </c>
      <c r="R92" s="124" t="n">
        <f aca="false">F92/R$3</f>
        <v>0</v>
      </c>
      <c r="S92" s="126" t="n">
        <f aca="false">J92/$R$3</f>
        <v>0</v>
      </c>
      <c r="T92" s="126" t="n">
        <f aca="false">L92/$R$3</f>
        <v>0</v>
      </c>
      <c r="U92" s="126" t="n">
        <f aca="false">I92/$R$3</f>
        <v>2678.876</v>
      </c>
      <c r="V92" s="126" t="n">
        <f aca="false">M92/$R$3</f>
        <v>-37.239</v>
      </c>
      <c r="W92" s="126" t="n">
        <f aca="false">N92/$R$3</f>
        <v>-37.239</v>
      </c>
    </row>
    <row r="93" customFormat="false" ht="12.75" hidden="false" customHeight="false" outlineLevel="0" collapsed="false">
      <c r="A93" s="120" t="n">
        <f aca="false">A92+1</f>
        <v>36979</v>
      </c>
      <c r="B93" s="131" t="str">
        <f aca="false">INDEX('[4]Master Data'!$A$2:$B$8,MATCH(WEEKDAY('GNS Bolv Gas MTM'!A93,3),'[4]Master Data'!$A$2:$A$8,0),2)</f>
        <v>Th</v>
      </c>
      <c r="D93" s="124" t="n">
        <v>0</v>
      </c>
      <c r="E93" s="124" t="n">
        <v>0</v>
      </c>
      <c r="F93" s="124" t="n">
        <v>0</v>
      </c>
      <c r="G93" s="124" t="n">
        <v>0</v>
      </c>
      <c r="I93" s="124" t="n">
        <f aca="false">IF(MONTH($A93)=MONTH($A92),IF(G93=0,I92,G93),G93)</f>
        <v>2678876</v>
      </c>
      <c r="J93" s="124" t="n">
        <f aca="false">IF(MONTH($A93)=MONTH($A92),SUM(I93-I92),I93)</f>
        <v>0</v>
      </c>
      <c r="K93" s="124" t="n">
        <f aca="false">IF(WEEKDAY(A93,3)&gt;4,0,(IF(A93&lt;K$2,0,IF(A93&lt;=K$3,1,0))))</f>
        <v>0</v>
      </c>
      <c r="L93" s="124" t="n">
        <f aca="false">J93*K93</f>
        <v>0</v>
      </c>
      <c r="M93" s="124" t="n">
        <f aca="false">SUM(J$6:J93)</f>
        <v>-37239</v>
      </c>
      <c r="N93" s="124" t="n">
        <f aca="false">SUM(J$6:J93)</f>
        <v>-37239</v>
      </c>
      <c r="P93" s="124" t="n">
        <f aca="false">D93/P$3</f>
        <v>0</v>
      </c>
      <c r="Q93" s="124" t="n">
        <f aca="false">E93/P$3</f>
        <v>0</v>
      </c>
      <c r="R93" s="124" t="n">
        <f aca="false">F93/R$3</f>
        <v>0</v>
      </c>
      <c r="S93" s="126" t="n">
        <f aca="false">J93/$R$3</f>
        <v>0</v>
      </c>
      <c r="T93" s="126" t="n">
        <f aca="false">L93/$R$3</f>
        <v>0</v>
      </c>
      <c r="U93" s="126" t="n">
        <f aca="false">I93/$R$3</f>
        <v>2678.876</v>
      </c>
      <c r="V93" s="126" t="n">
        <f aca="false">M93/$R$3</f>
        <v>-37.239</v>
      </c>
      <c r="W93" s="126" t="n">
        <f aca="false">N93/$R$3</f>
        <v>-37.239</v>
      </c>
    </row>
    <row r="94" customFormat="false" ht="12.75" hidden="false" customHeight="false" outlineLevel="0" collapsed="false">
      <c r="A94" s="120" t="n">
        <f aca="false">A93+1</f>
        <v>36980</v>
      </c>
      <c r="B94" s="131" t="str">
        <f aca="false">INDEX('[4]Master Data'!$A$2:$B$8,MATCH(WEEKDAY('GNS Bolv Gas MTM'!A94,3),'[4]Master Data'!$A$2:$A$8,0),2)</f>
        <v>F</v>
      </c>
      <c r="D94" s="124" t="n">
        <v>0</v>
      </c>
      <c r="E94" s="124" t="n">
        <v>0</v>
      </c>
      <c r="F94" s="124" t="n">
        <v>0</v>
      </c>
      <c r="G94" s="124" t="n">
        <v>0</v>
      </c>
      <c r="I94" s="124" t="n">
        <f aca="false">IF(MONTH($A94)=MONTH($A93),IF(G94=0,I93,G94),G94)</f>
        <v>2678876</v>
      </c>
      <c r="J94" s="124" t="n">
        <f aca="false">IF(MONTH($A94)=MONTH($A93),SUM(I94-I93),I94)</f>
        <v>0</v>
      </c>
      <c r="K94" s="124" t="n">
        <f aca="false">IF(WEEKDAY(A94,3)&gt;4,0,(IF(A94&lt;K$2,0,IF(A94&lt;=K$3,1,0))))</f>
        <v>0</v>
      </c>
      <c r="L94" s="124" t="n">
        <f aca="false">J94*K94</f>
        <v>0</v>
      </c>
      <c r="M94" s="124" t="n">
        <f aca="false">SUM(J$6:J94)</f>
        <v>-37239</v>
      </c>
      <c r="N94" s="124" t="n">
        <f aca="false">SUM(J$6:J94)</f>
        <v>-37239</v>
      </c>
      <c r="P94" s="124" t="n">
        <f aca="false">D94/P$3</f>
        <v>0</v>
      </c>
      <c r="Q94" s="124" t="n">
        <f aca="false">E94/P$3</f>
        <v>0</v>
      </c>
      <c r="R94" s="124" t="n">
        <f aca="false">F94/R$3</f>
        <v>0</v>
      </c>
      <c r="S94" s="126" t="n">
        <f aca="false">J94/$R$3</f>
        <v>0</v>
      </c>
      <c r="T94" s="126" t="n">
        <f aca="false">L94/$R$3</f>
        <v>0</v>
      </c>
      <c r="U94" s="126" t="n">
        <f aca="false">I94/$R$3</f>
        <v>2678.876</v>
      </c>
      <c r="V94" s="126" t="n">
        <f aca="false">M94/$R$3</f>
        <v>-37.239</v>
      </c>
      <c r="W94" s="126" t="n">
        <f aca="false">N94/$R$3</f>
        <v>-37.239</v>
      </c>
    </row>
    <row r="95" customFormat="false" ht="12.75" hidden="false" customHeight="false" outlineLevel="0" collapsed="false">
      <c r="A95" s="120" t="n">
        <f aca="false">A94+1</f>
        <v>36981</v>
      </c>
      <c r="B95" s="131" t="str">
        <f aca="false">INDEX('[4]Master Data'!$A$2:$B$8,MATCH(WEEKDAY('GNS Bolv Gas MTM'!A95,3),'[4]Master Data'!$A$2:$A$8,0),2)</f>
        <v>Sa</v>
      </c>
      <c r="D95" s="124" t="n">
        <v>0</v>
      </c>
      <c r="E95" s="124" t="n">
        <v>0</v>
      </c>
      <c r="F95" s="124" t="n">
        <v>0</v>
      </c>
      <c r="G95" s="124" t="n">
        <v>0</v>
      </c>
      <c r="I95" s="124" t="n">
        <f aca="false">IF(MONTH($A95)=MONTH($A94),IF(G95=0,I94,G95),G95)</f>
        <v>2678876</v>
      </c>
      <c r="J95" s="124" t="n">
        <f aca="false">IF(MONTH($A95)=MONTH($A94),SUM(I95-I94),I95)</f>
        <v>0</v>
      </c>
      <c r="K95" s="124" t="n">
        <f aca="false">IF(WEEKDAY(A95,3)&gt;4,0,(IF(A95&lt;K$2,0,IF(A95&lt;=K$3,1,0))))</f>
        <v>0</v>
      </c>
      <c r="L95" s="124" t="n">
        <f aca="false">J95*K95</f>
        <v>0</v>
      </c>
      <c r="M95" s="124" t="n">
        <f aca="false">SUM(J$6:J95)</f>
        <v>-37239</v>
      </c>
      <c r="N95" s="124" t="n">
        <f aca="false">SUM(J$6:J95)</f>
        <v>-37239</v>
      </c>
      <c r="P95" s="124" t="n">
        <f aca="false">D95/P$3</f>
        <v>0</v>
      </c>
      <c r="Q95" s="124" t="n">
        <f aca="false">E95/P$3</f>
        <v>0</v>
      </c>
      <c r="R95" s="124" t="n">
        <f aca="false">F95/R$3</f>
        <v>0</v>
      </c>
      <c r="S95" s="126" t="n">
        <f aca="false">J95/$R$3</f>
        <v>0</v>
      </c>
      <c r="T95" s="126" t="n">
        <f aca="false">L95/$R$3</f>
        <v>0</v>
      </c>
      <c r="U95" s="126" t="n">
        <f aca="false">I95/$R$3</f>
        <v>2678.876</v>
      </c>
      <c r="V95" s="126" t="n">
        <f aca="false">M95/$R$3</f>
        <v>-37.239</v>
      </c>
      <c r="W95" s="126" t="n">
        <f aca="false">N95/$R$3</f>
        <v>-37.239</v>
      </c>
    </row>
    <row r="96" customFormat="false" ht="12.75" hidden="false" customHeight="false" outlineLevel="0" collapsed="false">
      <c r="A96" s="120" t="n">
        <f aca="false">A95+1</f>
        <v>36982</v>
      </c>
      <c r="B96" s="131" t="str">
        <f aca="false">INDEX('[4]Master Data'!$A$2:$B$8,MATCH(WEEKDAY('GNS Bolv Gas MTM'!A96,3),'[4]Master Data'!$A$2:$A$8,0),2)</f>
        <v>Su</v>
      </c>
      <c r="D96" s="124" t="n">
        <v>0</v>
      </c>
      <c r="E96" s="124" t="n">
        <v>0</v>
      </c>
      <c r="F96" s="124" t="n">
        <v>0</v>
      </c>
      <c r="G96" s="124" t="n">
        <v>0</v>
      </c>
      <c r="I96" s="124" t="n">
        <f aca="false">IF(MONTH($A96)=MONTH($A95),IF(G96=0,I95,G96),G96)</f>
        <v>0</v>
      </c>
      <c r="J96" s="124" t="n">
        <f aca="false">IF(MONTH($A96)=MONTH($A95),SUM(I96-I95),I96)</f>
        <v>0</v>
      </c>
      <c r="K96" s="124" t="n">
        <f aca="false">IF(WEEKDAY(A96,3)&gt;4,0,(IF(A96&lt;K$2,0,IF(A96&lt;=K$3,1,0))))</f>
        <v>0</v>
      </c>
      <c r="L96" s="124" t="n">
        <f aca="false">J96*K96</f>
        <v>0</v>
      </c>
      <c r="M96" s="124" t="n">
        <f aca="false">SUM(J$6:J96)</f>
        <v>-37239</v>
      </c>
      <c r="N96" s="124" t="n">
        <f aca="false">SUM(J$6:J96)</f>
        <v>-37239</v>
      </c>
      <c r="P96" s="124" t="n">
        <f aca="false">D96/P$3</f>
        <v>0</v>
      </c>
      <c r="Q96" s="124" t="n">
        <f aca="false">E96/P$3</f>
        <v>0</v>
      </c>
      <c r="R96" s="124" t="n">
        <f aca="false">F96/R$3</f>
        <v>0</v>
      </c>
      <c r="S96" s="126" t="n">
        <f aca="false">J96/$R$3</f>
        <v>0</v>
      </c>
      <c r="T96" s="126" t="n">
        <f aca="false">L96/$R$3</f>
        <v>0</v>
      </c>
      <c r="U96" s="126" t="n">
        <f aca="false">I96/$R$3</f>
        <v>0</v>
      </c>
      <c r="V96" s="126" t="n">
        <f aca="false">M96/$R$3</f>
        <v>-37.239</v>
      </c>
      <c r="W96" s="126" t="n">
        <f aca="false">N96/$R$3</f>
        <v>-37.239</v>
      </c>
    </row>
    <row r="97" customFormat="false" ht="12.75" hidden="false" customHeight="false" outlineLevel="0" collapsed="false">
      <c r="A97" s="120" t="n">
        <f aca="false">A96+1</f>
        <v>36983</v>
      </c>
      <c r="B97" s="131" t="str">
        <f aca="false">INDEX('[4]Master Data'!$A$2:$B$8,MATCH(WEEKDAY('GNS Bolv Gas MTM'!A97,3),'[4]Master Data'!$A$2:$A$8,0),2)</f>
        <v>M</v>
      </c>
      <c r="D97" s="124" t="n">
        <v>0</v>
      </c>
      <c r="E97" s="124" t="n">
        <v>0</v>
      </c>
      <c r="F97" s="124" t="n">
        <v>0</v>
      </c>
      <c r="G97" s="124" t="n">
        <v>0</v>
      </c>
      <c r="I97" s="124" t="n">
        <f aca="false">IF(MONTH($A97)=MONTH($A96),IF(G97=0,I96,G97),G97)</f>
        <v>0</v>
      </c>
      <c r="J97" s="124" t="n">
        <f aca="false">IF(MONTH($A97)=MONTH($A96),SUM(I97-I96),I97)</f>
        <v>0</v>
      </c>
      <c r="K97" s="124" t="n">
        <f aca="false">IF(WEEKDAY(A97,3)&gt;4,0,(IF(A97&lt;K$2,0,IF(A97&lt;=K$3,1,0))))</f>
        <v>0</v>
      </c>
      <c r="L97" s="124" t="n">
        <f aca="false">J97*K97</f>
        <v>0</v>
      </c>
      <c r="M97" s="124" t="n">
        <f aca="false">SUM(J$97:J97)</f>
        <v>0</v>
      </c>
      <c r="N97" s="124" t="n">
        <f aca="false">SUM(J$6:J97)</f>
        <v>-37239</v>
      </c>
      <c r="P97" s="124" t="n">
        <f aca="false">D97/P$3</f>
        <v>0</v>
      </c>
      <c r="Q97" s="124" t="n">
        <f aca="false">E97/P$3</f>
        <v>0</v>
      </c>
      <c r="R97" s="124" t="n">
        <f aca="false">F97/R$3</f>
        <v>0</v>
      </c>
      <c r="S97" s="126" t="n">
        <f aca="false">J97/$R$3</f>
        <v>0</v>
      </c>
      <c r="T97" s="126" t="n">
        <f aca="false">L97/$R$3</f>
        <v>0</v>
      </c>
      <c r="U97" s="126" t="n">
        <f aca="false">I97/$R$3</f>
        <v>0</v>
      </c>
      <c r="V97" s="126" t="n">
        <f aca="false">M97/$R$3</f>
        <v>0</v>
      </c>
      <c r="W97" s="126" t="n">
        <f aca="false">N97/$R$3</f>
        <v>-37.239</v>
      </c>
    </row>
    <row r="98" customFormat="false" ht="12.75" hidden="false" customHeight="false" outlineLevel="0" collapsed="false">
      <c r="A98" s="120" t="n">
        <f aca="false">A97+1</f>
        <v>36984</v>
      </c>
      <c r="B98" s="131" t="str">
        <f aca="false">INDEX('[4]Master Data'!$A$2:$B$8,MATCH(WEEKDAY('GNS Bolv Gas MTM'!A98,3),'[4]Master Data'!$A$2:$A$8,0),2)</f>
        <v>T</v>
      </c>
      <c r="D98" s="124" t="n">
        <v>0</v>
      </c>
      <c r="E98" s="124" t="n">
        <v>0</v>
      </c>
      <c r="F98" s="124" t="n">
        <v>0</v>
      </c>
      <c r="G98" s="124" t="n">
        <v>0</v>
      </c>
      <c r="I98" s="124" t="n">
        <f aca="false">IF(MONTH($A98)=MONTH($A97),IF(G98=0,I97,G98),G98)</f>
        <v>0</v>
      </c>
      <c r="J98" s="124" t="n">
        <f aca="false">IF(MONTH($A98)=MONTH($A97),SUM(I98-I97),I98)</f>
        <v>0</v>
      </c>
      <c r="K98" s="124" t="n">
        <f aca="false">IF(WEEKDAY(A98,3)&gt;4,0,(IF(A98&lt;K$2,0,IF(A98&lt;=K$3,1,0))))</f>
        <v>0</v>
      </c>
      <c r="L98" s="124" t="n">
        <f aca="false">J98*K98</f>
        <v>0</v>
      </c>
      <c r="M98" s="124" t="n">
        <f aca="false">SUM(J$97:J98)</f>
        <v>0</v>
      </c>
      <c r="N98" s="124" t="n">
        <f aca="false">SUM(J$6:J98)</f>
        <v>-37239</v>
      </c>
      <c r="P98" s="124" t="n">
        <f aca="false">D98/P$3</f>
        <v>0</v>
      </c>
      <c r="Q98" s="124" t="n">
        <f aca="false">E98/P$3</f>
        <v>0</v>
      </c>
      <c r="R98" s="124" t="n">
        <f aca="false">F98/R$3</f>
        <v>0</v>
      </c>
      <c r="S98" s="126" t="n">
        <f aca="false">J98/$R$3</f>
        <v>0</v>
      </c>
      <c r="T98" s="126" t="n">
        <f aca="false">L98/$R$3</f>
        <v>0</v>
      </c>
      <c r="U98" s="126" t="n">
        <f aca="false">I98/$R$3</f>
        <v>0</v>
      </c>
      <c r="V98" s="126" t="n">
        <f aca="false">M98/$R$3</f>
        <v>0</v>
      </c>
      <c r="W98" s="126" t="n">
        <f aca="false">N98/$R$3</f>
        <v>-37.239</v>
      </c>
    </row>
    <row r="99" customFormat="false" ht="12.75" hidden="false" customHeight="false" outlineLevel="0" collapsed="false">
      <c r="A99" s="120" t="n">
        <f aca="false">A98+1</f>
        <v>36985</v>
      </c>
      <c r="B99" s="131" t="str">
        <f aca="false">INDEX('[4]Master Data'!$A$2:$B$8,MATCH(WEEKDAY('GNS Bolv Gas MTM'!A99,3),'[4]Master Data'!$A$2:$A$8,0),2)</f>
        <v>W</v>
      </c>
      <c r="D99" s="124" t="n">
        <v>0</v>
      </c>
      <c r="E99" s="124" t="n">
        <v>0</v>
      </c>
      <c r="F99" s="124" t="n">
        <v>0</v>
      </c>
      <c r="G99" s="124" t="n">
        <v>0</v>
      </c>
      <c r="I99" s="124" t="n">
        <f aca="false">IF(MONTH($A99)=MONTH($A98),IF(G99=0,I98,G99),G99)</f>
        <v>0</v>
      </c>
      <c r="J99" s="124" t="n">
        <f aca="false">IF(MONTH($A99)=MONTH($A98),SUM(I99-I98),I99)</f>
        <v>0</v>
      </c>
      <c r="K99" s="124" t="n">
        <f aca="false">IF(WEEKDAY(A99,3)&gt;4,0,(IF(A99&lt;K$2,0,IF(A99&lt;=K$3,1,0))))</f>
        <v>0</v>
      </c>
      <c r="L99" s="124" t="n">
        <f aca="false">J99*K99</f>
        <v>0</v>
      </c>
      <c r="M99" s="124" t="n">
        <f aca="false">SUM(J$97:J99)</f>
        <v>0</v>
      </c>
      <c r="N99" s="124" t="n">
        <f aca="false">SUM(J$6:J99)</f>
        <v>-37239</v>
      </c>
      <c r="P99" s="124" t="n">
        <f aca="false">D99/P$3</f>
        <v>0</v>
      </c>
      <c r="Q99" s="124" t="n">
        <f aca="false">E99/P$3</f>
        <v>0</v>
      </c>
      <c r="R99" s="124" t="n">
        <f aca="false">F99/R$3</f>
        <v>0</v>
      </c>
      <c r="S99" s="126" t="n">
        <f aca="false">J99/$R$3</f>
        <v>0</v>
      </c>
      <c r="T99" s="126" t="n">
        <f aca="false">L99/$R$3</f>
        <v>0</v>
      </c>
      <c r="U99" s="126" t="n">
        <f aca="false">I99/$R$3</f>
        <v>0</v>
      </c>
      <c r="V99" s="126" t="n">
        <f aca="false">M99/$R$3</f>
        <v>0</v>
      </c>
      <c r="W99" s="126" t="n">
        <f aca="false">N99/$R$3</f>
        <v>-37.239</v>
      </c>
    </row>
    <row r="100" customFormat="false" ht="12.75" hidden="false" customHeight="false" outlineLevel="0" collapsed="false">
      <c r="A100" s="120" t="n">
        <f aca="false">A99+1</f>
        <v>36986</v>
      </c>
      <c r="B100" s="131" t="str">
        <f aca="false">INDEX('[4]Master Data'!$A$2:$B$8,MATCH(WEEKDAY('GNS Bolv Gas MTM'!A100,3),'[4]Master Data'!$A$2:$A$8,0),2)</f>
        <v>Th</v>
      </c>
      <c r="D100" s="124" t="n">
        <v>0</v>
      </c>
      <c r="E100" s="124" t="n">
        <v>0</v>
      </c>
      <c r="F100" s="124" t="n">
        <v>0</v>
      </c>
      <c r="G100" s="124" t="n">
        <v>0</v>
      </c>
      <c r="I100" s="124" t="n">
        <f aca="false">IF(MONTH($A100)=MONTH($A99),IF(G100=0,I99,G100),G100)</f>
        <v>0</v>
      </c>
      <c r="J100" s="124" t="n">
        <f aca="false">IF(MONTH($A100)=MONTH($A99),SUM(I100-I99),I100)</f>
        <v>0</v>
      </c>
      <c r="K100" s="124" t="n">
        <f aca="false">IF(WEEKDAY(A100,3)&gt;4,0,(IF(A100&lt;K$2,0,IF(A100&lt;=K$3,1,0))))</f>
        <v>0</v>
      </c>
      <c r="L100" s="124" t="n">
        <f aca="false">J100*K100</f>
        <v>0</v>
      </c>
      <c r="M100" s="124" t="n">
        <f aca="false">SUM(J$97:J100)</f>
        <v>0</v>
      </c>
      <c r="N100" s="124" t="n">
        <f aca="false">SUM(J$6:J100)</f>
        <v>-37239</v>
      </c>
      <c r="P100" s="124" t="n">
        <f aca="false">D100/P$3</f>
        <v>0</v>
      </c>
      <c r="Q100" s="124" t="n">
        <f aca="false">E100/P$3</f>
        <v>0</v>
      </c>
      <c r="R100" s="124" t="n">
        <f aca="false">F100/R$3</f>
        <v>0</v>
      </c>
      <c r="S100" s="126" t="n">
        <f aca="false">J100/$R$3</f>
        <v>0</v>
      </c>
      <c r="T100" s="126" t="n">
        <f aca="false">L100/$R$3</f>
        <v>0</v>
      </c>
      <c r="U100" s="126" t="n">
        <f aca="false">I100/$R$3</f>
        <v>0</v>
      </c>
      <c r="V100" s="126" t="n">
        <f aca="false">M100/$R$3</f>
        <v>0</v>
      </c>
      <c r="W100" s="126" t="n">
        <f aca="false">N100/$R$3</f>
        <v>-37.239</v>
      </c>
    </row>
    <row r="101" customFormat="false" ht="12.75" hidden="false" customHeight="false" outlineLevel="0" collapsed="false">
      <c r="A101" s="120" t="n">
        <f aca="false">A100+1</f>
        <v>36987</v>
      </c>
      <c r="B101" s="131" t="str">
        <f aca="false">INDEX('[4]Master Data'!$A$2:$B$8,MATCH(WEEKDAY('GNS Bolv Gas MTM'!A101,3),'[4]Master Data'!$A$2:$A$8,0),2)</f>
        <v>F</v>
      </c>
      <c r="D101" s="124" t="n">
        <v>0</v>
      </c>
      <c r="E101" s="124" t="n">
        <v>0</v>
      </c>
      <c r="F101" s="124" t="n">
        <v>0</v>
      </c>
      <c r="G101" s="124" t="n">
        <v>0</v>
      </c>
      <c r="I101" s="124" t="n">
        <f aca="false">IF(MONTH($A101)=MONTH($A100),IF(G101=0,I100,G101),G101)</f>
        <v>0</v>
      </c>
      <c r="J101" s="124" t="n">
        <f aca="false">IF(MONTH($A101)=MONTH($A100),SUM(I101-I100),I101)</f>
        <v>0</v>
      </c>
      <c r="K101" s="124" t="n">
        <f aca="false">IF(WEEKDAY(A101,3)&gt;4,0,(IF(A101&lt;K$2,0,IF(A101&lt;=K$3,1,0))))</f>
        <v>0</v>
      </c>
      <c r="L101" s="124" t="n">
        <f aca="false">J101*K101</f>
        <v>0</v>
      </c>
      <c r="M101" s="124" t="n">
        <f aca="false">SUM(J$97:J101)</f>
        <v>0</v>
      </c>
      <c r="N101" s="124" t="n">
        <f aca="false">SUM(J$6:J101)</f>
        <v>-37239</v>
      </c>
      <c r="P101" s="124" t="n">
        <f aca="false">D101/P$3</f>
        <v>0</v>
      </c>
      <c r="Q101" s="124" t="n">
        <f aca="false">E101/P$3</f>
        <v>0</v>
      </c>
      <c r="R101" s="124" t="n">
        <f aca="false">F101/R$3</f>
        <v>0</v>
      </c>
      <c r="S101" s="126" t="n">
        <f aca="false">J101/$R$3</f>
        <v>0</v>
      </c>
      <c r="T101" s="126" t="n">
        <f aca="false">L101/$R$3</f>
        <v>0</v>
      </c>
      <c r="U101" s="126" t="n">
        <f aca="false">I101/$R$3</f>
        <v>0</v>
      </c>
      <c r="V101" s="126" t="n">
        <f aca="false">M101/$R$3</f>
        <v>0</v>
      </c>
      <c r="W101" s="126" t="n">
        <f aca="false">N101/$R$3</f>
        <v>-37.239</v>
      </c>
    </row>
    <row r="102" customFormat="false" ht="12.75" hidden="false" customHeight="false" outlineLevel="0" collapsed="false">
      <c r="A102" s="120" t="n">
        <f aca="false">A101+1</f>
        <v>36988</v>
      </c>
      <c r="B102" s="131" t="str">
        <f aca="false">INDEX('[4]Master Data'!$A$2:$B$8,MATCH(WEEKDAY('GNS Bolv Gas MTM'!A102,3),'[4]Master Data'!$A$2:$A$8,0),2)</f>
        <v>Sa</v>
      </c>
      <c r="D102" s="124" t="n">
        <v>0</v>
      </c>
      <c r="E102" s="124" t="n">
        <v>0</v>
      </c>
      <c r="F102" s="124" t="n">
        <v>0</v>
      </c>
      <c r="G102" s="124" t="n">
        <v>0</v>
      </c>
      <c r="I102" s="124" t="n">
        <f aca="false">IF(MONTH($A102)=MONTH($A101),IF(G102=0,I101,G102),G102)</f>
        <v>0</v>
      </c>
      <c r="J102" s="124" t="n">
        <f aca="false">IF(MONTH($A102)=MONTH($A101),SUM(I102-I101),I102)</f>
        <v>0</v>
      </c>
      <c r="K102" s="124" t="n">
        <f aca="false">IF(WEEKDAY(A102,3)&gt;4,0,(IF(A102&lt;K$2,0,IF(A102&lt;=K$3,1,0))))</f>
        <v>0</v>
      </c>
      <c r="L102" s="124" t="n">
        <f aca="false">J102*K102</f>
        <v>0</v>
      </c>
      <c r="M102" s="124" t="n">
        <f aca="false">SUM(J$97:J102)</f>
        <v>0</v>
      </c>
      <c r="N102" s="124" t="n">
        <f aca="false">SUM(J$6:J102)</f>
        <v>-37239</v>
      </c>
      <c r="P102" s="124" t="n">
        <f aca="false">D102/P$3</f>
        <v>0</v>
      </c>
      <c r="Q102" s="124" t="n">
        <f aca="false">E102/P$3</f>
        <v>0</v>
      </c>
      <c r="R102" s="124" t="n">
        <f aca="false">F102/R$3</f>
        <v>0</v>
      </c>
      <c r="S102" s="126" t="n">
        <f aca="false">J102/$R$3</f>
        <v>0</v>
      </c>
      <c r="T102" s="126" t="n">
        <f aca="false">L102/$R$3</f>
        <v>0</v>
      </c>
      <c r="U102" s="126" t="n">
        <f aca="false">I102/$R$3</f>
        <v>0</v>
      </c>
      <c r="V102" s="126" t="n">
        <f aca="false">M102/$R$3</f>
        <v>0</v>
      </c>
      <c r="W102" s="126" t="n">
        <f aca="false">N102/$R$3</f>
        <v>-37.239</v>
      </c>
    </row>
    <row r="103" customFormat="false" ht="12.75" hidden="false" customHeight="false" outlineLevel="0" collapsed="false">
      <c r="A103" s="120" t="n">
        <f aca="false">A102+1</f>
        <v>36989</v>
      </c>
      <c r="B103" s="131" t="str">
        <f aca="false">INDEX('[4]Master Data'!$A$2:$B$8,MATCH(WEEKDAY('GNS Bolv Gas MTM'!A103,3),'[4]Master Data'!$A$2:$A$8,0),2)</f>
        <v>Su</v>
      </c>
      <c r="D103" s="124" t="n">
        <v>0</v>
      </c>
      <c r="E103" s="124" t="n">
        <v>0</v>
      </c>
      <c r="F103" s="124" t="n">
        <v>0</v>
      </c>
      <c r="G103" s="124" t="n">
        <v>0</v>
      </c>
      <c r="I103" s="124" t="n">
        <f aca="false">IF(MONTH($A103)=MONTH($A102),IF(G103=0,I102,G103),G103)</f>
        <v>0</v>
      </c>
      <c r="J103" s="124" t="n">
        <f aca="false">IF(MONTH($A103)=MONTH($A102),SUM(I103-I102),I103)</f>
        <v>0</v>
      </c>
      <c r="K103" s="124" t="n">
        <f aca="false">IF(WEEKDAY(A103,3)&gt;4,0,(IF(A103&lt;K$2,0,IF(A103&lt;=K$3,1,0))))</f>
        <v>0</v>
      </c>
      <c r="L103" s="124" t="n">
        <f aca="false">J103*K103</f>
        <v>0</v>
      </c>
      <c r="M103" s="124" t="n">
        <f aca="false">SUM(J$97:J103)</f>
        <v>0</v>
      </c>
      <c r="N103" s="124" t="n">
        <f aca="false">SUM(J$6:J103)</f>
        <v>-37239</v>
      </c>
      <c r="P103" s="124" t="n">
        <f aca="false">D103/P$3</f>
        <v>0</v>
      </c>
      <c r="Q103" s="124" t="n">
        <f aca="false">E103/P$3</f>
        <v>0</v>
      </c>
      <c r="R103" s="124" t="n">
        <f aca="false">F103/R$3</f>
        <v>0</v>
      </c>
      <c r="S103" s="126" t="n">
        <f aca="false">J103/$R$3</f>
        <v>0</v>
      </c>
      <c r="T103" s="126" t="n">
        <f aca="false">L103/$R$3</f>
        <v>0</v>
      </c>
      <c r="U103" s="126" t="n">
        <f aca="false">I103/$R$3</f>
        <v>0</v>
      </c>
      <c r="V103" s="126" t="n">
        <f aca="false">M103/$R$3</f>
        <v>0</v>
      </c>
      <c r="W103" s="126" t="n">
        <f aca="false">N103/$R$3</f>
        <v>-37.239</v>
      </c>
    </row>
    <row r="104" customFormat="false" ht="12.75" hidden="false" customHeight="false" outlineLevel="0" collapsed="false">
      <c r="A104" s="120" t="n">
        <f aca="false">A103+1</f>
        <v>36990</v>
      </c>
      <c r="B104" s="131" t="str">
        <f aca="false">INDEX('[4]Master Data'!$A$2:$B$8,MATCH(WEEKDAY('GNS Bolv Gas MTM'!A104,3),'[4]Master Data'!$A$2:$A$8,0),2)</f>
        <v>M</v>
      </c>
      <c r="D104" s="124" t="n">
        <v>0</v>
      </c>
      <c r="E104" s="124" t="n">
        <v>0</v>
      </c>
      <c r="F104" s="124" t="n">
        <v>0</v>
      </c>
      <c r="G104" s="124" t="n">
        <v>0</v>
      </c>
      <c r="I104" s="124" t="n">
        <f aca="false">IF(MONTH($A104)=MONTH($A103),IF(G104=0,I103,G104),G104)</f>
        <v>0</v>
      </c>
      <c r="J104" s="124" t="n">
        <f aca="false">IF(MONTH($A104)=MONTH($A103),SUM(I104-I103),I104)</f>
        <v>0</v>
      </c>
      <c r="K104" s="124" t="n">
        <f aca="false">IF(WEEKDAY(A104,3)&gt;4,0,(IF(A104&lt;K$2,0,IF(A104&lt;=K$3,1,0))))</f>
        <v>0</v>
      </c>
      <c r="L104" s="124" t="n">
        <f aca="false">J104*K104</f>
        <v>0</v>
      </c>
      <c r="M104" s="124" t="n">
        <f aca="false">SUM(J$97:J104)</f>
        <v>0</v>
      </c>
      <c r="N104" s="124" t="n">
        <f aca="false">SUM(J$6:J104)</f>
        <v>-37239</v>
      </c>
      <c r="P104" s="124" t="n">
        <f aca="false">D104/P$3</f>
        <v>0</v>
      </c>
      <c r="Q104" s="124" t="n">
        <f aca="false">E104/P$3</f>
        <v>0</v>
      </c>
      <c r="R104" s="124" t="n">
        <f aca="false">F104/R$3</f>
        <v>0</v>
      </c>
      <c r="S104" s="126" t="n">
        <f aca="false">J104/$R$3</f>
        <v>0</v>
      </c>
      <c r="T104" s="126" t="n">
        <f aca="false">L104/$R$3</f>
        <v>0</v>
      </c>
      <c r="U104" s="126" t="n">
        <f aca="false">I104/$R$3</f>
        <v>0</v>
      </c>
      <c r="V104" s="126" t="n">
        <f aca="false">M104/$R$3</f>
        <v>0</v>
      </c>
      <c r="W104" s="126" t="n">
        <f aca="false">N104/$R$3</f>
        <v>-37.239</v>
      </c>
    </row>
    <row r="105" customFormat="false" ht="12.75" hidden="false" customHeight="false" outlineLevel="0" collapsed="false">
      <c r="A105" s="120" t="n">
        <f aca="false">A104+1</f>
        <v>36991</v>
      </c>
      <c r="B105" s="131" t="str">
        <f aca="false">INDEX('[4]Master Data'!$A$2:$B$8,MATCH(WEEKDAY('GNS Bolv Gas MTM'!A105,3),'[4]Master Data'!$A$2:$A$8,0),2)</f>
        <v>T</v>
      </c>
      <c r="D105" s="124" t="n">
        <v>0</v>
      </c>
      <c r="E105" s="124" t="n">
        <v>0</v>
      </c>
      <c r="F105" s="124" t="n">
        <v>0</v>
      </c>
      <c r="G105" s="124" t="n">
        <v>0</v>
      </c>
      <c r="I105" s="124" t="n">
        <f aca="false">IF(MONTH($A105)=MONTH($A104),IF(G105=0,I104,G105),G105)</f>
        <v>0</v>
      </c>
      <c r="J105" s="124" t="n">
        <f aca="false">IF(MONTH($A105)=MONTH($A104),SUM(I105-I104),I105)</f>
        <v>0</v>
      </c>
      <c r="K105" s="124" t="n">
        <f aca="false">IF(WEEKDAY(A105,3)&gt;4,0,(IF(A105&lt;K$2,0,IF(A105&lt;=K$3,1,0))))</f>
        <v>0</v>
      </c>
      <c r="L105" s="124" t="n">
        <f aca="false">J105*K105</f>
        <v>0</v>
      </c>
      <c r="M105" s="124" t="n">
        <f aca="false">SUM(J$97:J105)</f>
        <v>0</v>
      </c>
      <c r="N105" s="124" t="n">
        <f aca="false">SUM(J$6:J105)</f>
        <v>-37239</v>
      </c>
      <c r="P105" s="124" t="n">
        <f aca="false">D105/P$3</f>
        <v>0</v>
      </c>
      <c r="Q105" s="124" t="n">
        <f aca="false">E105/P$3</f>
        <v>0</v>
      </c>
      <c r="R105" s="124" t="n">
        <f aca="false">F105/R$3</f>
        <v>0</v>
      </c>
      <c r="S105" s="126" t="n">
        <f aca="false">J105/$R$3</f>
        <v>0</v>
      </c>
      <c r="T105" s="126" t="n">
        <f aca="false">L105/$R$3</f>
        <v>0</v>
      </c>
      <c r="U105" s="126" t="n">
        <f aca="false">I105/$R$3</f>
        <v>0</v>
      </c>
      <c r="V105" s="126" t="n">
        <f aca="false">M105/$R$3</f>
        <v>0</v>
      </c>
      <c r="W105" s="126" t="n">
        <f aca="false">N105/$R$3</f>
        <v>-37.239</v>
      </c>
    </row>
    <row r="106" customFormat="false" ht="12.75" hidden="false" customHeight="false" outlineLevel="0" collapsed="false">
      <c r="A106" s="120" t="n">
        <f aca="false">A105+1</f>
        <v>36992</v>
      </c>
      <c r="B106" s="131" t="str">
        <f aca="false">INDEX('[4]Master Data'!$A$2:$B$8,MATCH(WEEKDAY('GNS Bolv Gas MTM'!A106,3),'[4]Master Data'!$A$2:$A$8,0),2)</f>
        <v>W</v>
      </c>
      <c r="D106" s="124" t="n">
        <v>0</v>
      </c>
      <c r="E106" s="124" t="n">
        <v>0</v>
      </c>
      <c r="F106" s="124" t="n">
        <v>0</v>
      </c>
      <c r="G106" s="124" t="n">
        <v>0</v>
      </c>
      <c r="I106" s="124" t="n">
        <f aca="false">IF(MONTH($A106)=MONTH($A105),IF(G106=0,I105,G106),G106)</f>
        <v>0</v>
      </c>
      <c r="J106" s="124" t="n">
        <f aca="false">IF(MONTH($A106)=MONTH($A105),SUM(I106-I105),I106)</f>
        <v>0</v>
      </c>
      <c r="K106" s="124" t="n">
        <f aca="false">IF(WEEKDAY(A106,3)&gt;4,0,(IF(A106&lt;K$2,0,IF(A106&lt;=K$3,1,0))))</f>
        <v>0</v>
      </c>
      <c r="L106" s="124" t="n">
        <f aca="false">J106*K106</f>
        <v>0</v>
      </c>
      <c r="M106" s="124" t="n">
        <f aca="false">SUM(J$97:J106)</f>
        <v>0</v>
      </c>
      <c r="N106" s="124" t="n">
        <f aca="false">SUM(J$6:J106)</f>
        <v>-37239</v>
      </c>
      <c r="P106" s="124" t="n">
        <f aca="false">D106/P$3</f>
        <v>0</v>
      </c>
      <c r="Q106" s="124" t="n">
        <f aca="false">E106/P$3</f>
        <v>0</v>
      </c>
      <c r="R106" s="124" t="n">
        <f aca="false">F106/R$3</f>
        <v>0</v>
      </c>
      <c r="S106" s="126" t="n">
        <f aca="false">J106/$R$3</f>
        <v>0</v>
      </c>
      <c r="T106" s="126" t="n">
        <f aca="false">L106/$R$3</f>
        <v>0</v>
      </c>
      <c r="U106" s="126" t="n">
        <f aca="false">I106/$R$3</f>
        <v>0</v>
      </c>
      <c r="V106" s="126" t="n">
        <f aca="false">M106/$R$3</f>
        <v>0</v>
      </c>
      <c r="W106" s="126" t="n">
        <f aca="false">N106/$R$3</f>
        <v>-37.239</v>
      </c>
    </row>
    <row r="107" customFormat="false" ht="12.75" hidden="false" customHeight="false" outlineLevel="0" collapsed="false">
      <c r="A107" s="120" t="n">
        <f aca="false">A106+1</f>
        <v>36993</v>
      </c>
      <c r="B107" s="131" t="str">
        <f aca="false">INDEX('[4]Master Data'!$A$2:$B$8,MATCH(WEEKDAY('GNS Bolv Gas MTM'!A107,3),'[4]Master Data'!$A$2:$A$8,0),2)</f>
        <v>Th</v>
      </c>
      <c r="D107" s="124" t="n">
        <v>0</v>
      </c>
      <c r="E107" s="124" t="n">
        <v>0</v>
      </c>
      <c r="F107" s="124" t="n">
        <v>0</v>
      </c>
      <c r="G107" s="124" t="n">
        <v>0</v>
      </c>
      <c r="I107" s="124" t="n">
        <f aca="false">IF(MONTH($A107)=MONTH($A106),IF(G107=0,I106,G107),G107)</f>
        <v>0</v>
      </c>
      <c r="J107" s="124" t="n">
        <f aca="false">IF(MONTH($A107)=MONTH($A106),SUM(I107-I106),I107)</f>
        <v>0</v>
      </c>
      <c r="K107" s="124" t="n">
        <f aca="false">IF(WEEKDAY(A107,3)&gt;4,0,(IF(A107&lt;K$2,0,IF(A107&lt;=K$3,1,0))))</f>
        <v>0</v>
      </c>
      <c r="L107" s="124" t="n">
        <f aca="false">J107*K107</f>
        <v>0</v>
      </c>
      <c r="M107" s="124" t="n">
        <f aca="false">SUM(J$97:J107)</f>
        <v>0</v>
      </c>
      <c r="N107" s="124" t="n">
        <f aca="false">SUM(J$6:J107)</f>
        <v>-37239</v>
      </c>
      <c r="P107" s="124" t="n">
        <f aca="false">D107/P$3</f>
        <v>0</v>
      </c>
      <c r="Q107" s="124" t="n">
        <f aca="false">E107/P$3</f>
        <v>0</v>
      </c>
      <c r="R107" s="124" t="n">
        <f aca="false">F107/R$3</f>
        <v>0</v>
      </c>
      <c r="S107" s="126" t="n">
        <f aca="false">J107/$R$3</f>
        <v>0</v>
      </c>
      <c r="T107" s="126" t="n">
        <f aca="false">L107/$R$3</f>
        <v>0</v>
      </c>
      <c r="U107" s="126" t="n">
        <f aca="false">I107/$R$3</f>
        <v>0</v>
      </c>
      <c r="V107" s="126" t="n">
        <f aca="false">M107/$R$3</f>
        <v>0</v>
      </c>
      <c r="W107" s="126" t="n">
        <f aca="false">N107/$R$3</f>
        <v>-37.239</v>
      </c>
    </row>
    <row r="108" customFormat="false" ht="12.75" hidden="false" customHeight="false" outlineLevel="0" collapsed="false">
      <c r="A108" s="120" t="n">
        <f aca="false">A107+1</f>
        <v>36994</v>
      </c>
      <c r="B108" s="131" t="str">
        <f aca="false">INDEX('[4]Master Data'!$A$2:$B$8,MATCH(WEEKDAY('GNS Bolv Gas MTM'!A108,3),'[4]Master Data'!$A$2:$A$8,0),2)</f>
        <v>F</v>
      </c>
      <c r="D108" s="124" t="n">
        <v>0</v>
      </c>
      <c r="E108" s="124" t="n">
        <v>0</v>
      </c>
      <c r="F108" s="124" t="n">
        <v>0</v>
      </c>
      <c r="G108" s="124" t="n">
        <v>0</v>
      </c>
      <c r="I108" s="124" t="n">
        <f aca="false">IF(MONTH($A108)=MONTH($A107),IF(G108=0,I107,G108),G108)</f>
        <v>0</v>
      </c>
      <c r="J108" s="124" t="n">
        <f aca="false">IF(MONTH($A108)=MONTH($A107),SUM(I108-I107),I108)</f>
        <v>0</v>
      </c>
      <c r="K108" s="124" t="n">
        <f aca="false">IF(WEEKDAY(A108,3)&gt;4,0,(IF(A108&lt;K$2,0,IF(A108&lt;=K$3,1,0))))</f>
        <v>0</v>
      </c>
      <c r="L108" s="124" t="n">
        <f aca="false">J108*K108</f>
        <v>0</v>
      </c>
      <c r="M108" s="124" t="n">
        <f aca="false">SUM(J$97:J108)</f>
        <v>0</v>
      </c>
      <c r="N108" s="124" t="n">
        <f aca="false">SUM(J$6:J108)</f>
        <v>-37239</v>
      </c>
      <c r="P108" s="124" t="n">
        <f aca="false">D108/P$3</f>
        <v>0</v>
      </c>
      <c r="Q108" s="124" t="n">
        <f aca="false">E108/P$3</f>
        <v>0</v>
      </c>
      <c r="R108" s="124" t="n">
        <f aca="false">F108/R$3</f>
        <v>0</v>
      </c>
      <c r="S108" s="126" t="n">
        <f aca="false">J108/$R$3</f>
        <v>0</v>
      </c>
      <c r="T108" s="126" t="n">
        <f aca="false">L108/$R$3</f>
        <v>0</v>
      </c>
      <c r="U108" s="126" t="n">
        <f aca="false">I108/$R$3</f>
        <v>0</v>
      </c>
      <c r="V108" s="126" t="n">
        <f aca="false">M108/$R$3</f>
        <v>0</v>
      </c>
      <c r="W108" s="126" t="n">
        <f aca="false">N108/$R$3</f>
        <v>-37.239</v>
      </c>
    </row>
    <row r="109" customFormat="false" ht="12.75" hidden="false" customHeight="false" outlineLevel="0" collapsed="false">
      <c r="A109" s="120" t="n">
        <f aca="false">A108+1</f>
        <v>36995</v>
      </c>
      <c r="B109" s="131" t="str">
        <f aca="false">INDEX('[4]Master Data'!$A$2:$B$8,MATCH(WEEKDAY('GNS Bolv Gas MTM'!A109,3),'[4]Master Data'!$A$2:$A$8,0),2)</f>
        <v>Sa</v>
      </c>
      <c r="D109" s="124" t="n">
        <v>0</v>
      </c>
      <c r="E109" s="124" t="n">
        <v>0</v>
      </c>
      <c r="F109" s="124" t="n">
        <v>0</v>
      </c>
      <c r="G109" s="124" t="n">
        <v>0</v>
      </c>
      <c r="I109" s="124" t="n">
        <f aca="false">IF(MONTH($A109)=MONTH($A108),IF(G109=0,I108,G109),G109)</f>
        <v>0</v>
      </c>
      <c r="J109" s="124" t="n">
        <f aca="false">IF(MONTH($A109)=MONTH($A108),SUM(I109-I108),I109)</f>
        <v>0</v>
      </c>
      <c r="K109" s="124" t="n">
        <f aca="false">IF(WEEKDAY(A109,3)&gt;4,0,(IF(A109&lt;K$2,0,IF(A109&lt;=K$3,1,0))))</f>
        <v>0</v>
      </c>
      <c r="L109" s="124" t="n">
        <f aca="false">J109*K109</f>
        <v>0</v>
      </c>
      <c r="M109" s="124" t="n">
        <f aca="false">SUM(J$97:J109)</f>
        <v>0</v>
      </c>
      <c r="N109" s="124" t="n">
        <f aca="false">SUM(J$6:J109)</f>
        <v>-37239</v>
      </c>
      <c r="P109" s="124" t="n">
        <f aca="false">D109/P$3</f>
        <v>0</v>
      </c>
      <c r="Q109" s="124" t="n">
        <f aca="false">E109/P$3</f>
        <v>0</v>
      </c>
      <c r="R109" s="124" t="n">
        <f aca="false">F109/R$3</f>
        <v>0</v>
      </c>
      <c r="S109" s="126" t="n">
        <f aca="false">J109/$R$3</f>
        <v>0</v>
      </c>
      <c r="T109" s="126" t="n">
        <f aca="false">L109/$R$3</f>
        <v>0</v>
      </c>
      <c r="U109" s="126" t="n">
        <f aca="false">I109/$R$3</f>
        <v>0</v>
      </c>
      <c r="V109" s="126" t="n">
        <f aca="false">M109/$R$3</f>
        <v>0</v>
      </c>
      <c r="W109" s="126" t="n">
        <f aca="false">N109/$R$3</f>
        <v>-37.239</v>
      </c>
    </row>
    <row r="110" customFormat="false" ht="12.75" hidden="false" customHeight="false" outlineLevel="0" collapsed="false">
      <c r="A110" s="120" t="n">
        <f aca="false">A109+1</f>
        <v>36996</v>
      </c>
      <c r="B110" s="131" t="str">
        <f aca="false">INDEX('[4]Master Data'!$A$2:$B$8,MATCH(WEEKDAY('GNS Bolv Gas MTM'!A110,3),'[4]Master Data'!$A$2:$A$8,0),2)</f>
        <v>Su</v>
      </c>
      <c r="D110" s="124" t="n">
        <v>0</v>
      </c>
      <c r="E110" s="124" t="n">
        <v>0</v>
      </c>
      <c r="F110" s="124" t="n">
        <v>0</v>
      </c>
      <c r="G110" s="124" t="n">
        <v>0</v>
      </c>
      <c r="I110" s="124" t="n">
        <f aca="false">IF(MONTH($A110)=MONTH($A109),IF(G110=0,I109,G110),G110)</f>
        <v>0</v>
      </c>
      <c r="J110" s="124" t="n">
        <f aca="false">IF(MONTH($A110)=MONTH($A109),SUM(I110-I109),I110)</f>
        <v>0</v>
      </c>
      <c r="K110" s="124" t="n">
        <f aca="false">IF(WEEKDAY(A110,3)&gt;4,0,(IF(A110&lt;K$2,0,IF(A110&lt;=K$3,1,0))))</f>
        <v>0</v>
      </c>
      <c r="L110" s="124" t="n">
        <f aca="false">J110*K110</f>
        <v>0</v>
      </c>
      <c r="M110" s="124" t="n">
        <f aca="false">SUM(J$97:J110)</f>
        <v>0</v>
      </c>
      <c r="N110" s="124" t="n">
        <f aca="false">SUM(J$6:J110)</f>
        <v>-37239</v>
      </c>
      <c r="P110" s="124" t="n">
        <f aca="false">D110/P$3</f>
        <v>0</v>
      </c>
      <c r="Q110" s="124" t="n">
        <f aca="false">E110/P$3</f>
        <v>0</v>
      </c>
      <c r="R110" s="124" t="n">
        <f aca="false">F110/R$3</f>
        <v>0</v>
      </c>
      <c r="S110" s="126" t="n">
        <f aca="false">J110/$R$3</f>
        <v>0</v>
      </c>
      <c r="T110" s="126" t="n">
        <f aca="false">L110/$R$3</f>
        <v>0</v>
      </c>
      <c r="U110" s="126" t="n">
        <f aca="false">I110/$R$3</f>
        <v>0</v>
      </c>
      <c r="V110" s="126" t="n">
        <f aca="false">M110/$R$3</f>
        <v>0</v>
      </c>
      <c r="W110" s="126" t="n">
        <f aca="false">N110/$R$3</f>
        <v>-37.239</v>
      </c>
    </row>
    <row r="111" customFormat="false" ht="12.75" hidden="false" customHeight="false" outlineLevel="0" collapsed="false">
      <c r="A111" s="120" t="n">
        <f aca="false">A110+1</f>
        <v>36997</v>
      </c>
      <c r="B111" s="131" t="str">
        <f aca="false">INDEX('[4]Master Data'!$A$2:$B$8,MATCH(WEEKDAY('GNS Bolv Gas MTM'!A111,3),'[4]Master Data'!$A$2:$A$8,0),2)</f>
        <v>M</v>
      </c>
      <c r="D111" s="124" t="n">
        <v>0</v>
      </c>
      <c r="E111" s="124" t="n">
        <v>0</v>
      </c>
      <c r="F111" s="124" t="n">
        <v>0</v>
      </c>
      <c r="G111" s="124" t="n">
        <v>0</v>
      </c>
      <c r="I111" s="124" t="n">
        <f aca="false">IF(MONTH($A111)=MONTH($A110),IF(G111=0,I110,G111),G111)</f>
        <v>0</v>
      </c>
      <c r="J111" s="124" t="n">
        <f aca="false">IF(MONTH($A111)=MONTH($A110),SUM(I111-I110),I111)</f>
        <v>0</v>
      </c>
      <c r="K111" s="124" t="n">
        <f aca="false">IF(WEEKDAY(A111,3)&gt;4,0,(IF(A111&lt;K$2,0,IF(A111&lt;=K$3,1,0))))</f>
        <v>0</v>
      </c>
      <c r="L111" s="124" t="n">
        <f aca="false">J111*K111</f>
        <v>0</v>
      </c>
      <c r="M111" s="124" t="n">
        <f aca="false">SUM(J$97:J111)</f>
        <v>0</v>
      </c>
      <c r="N111" s="124" t="n">
        <f aca="false">SUM(J$6:J111)</f>
        <v>-37239</v>
      </c>
      <c r="P111" s="124" t="n">
        <f aca="false">D111/P$3</f>
        <v>0</v>
      </c>
      <c r="Q111" s="124" t="n">
        <f aca="false">E111/P$3</f>
        <v>0</v>
      </c>
      <c r="R111" s="124" t="n">
        <f aca="false">F111/R$3</f>
        <v>0</v>
      </c>
      <c r="S111" s="126" t="n">
        <f aca="false">J111/$R$3</f>
        <v>0</v>
      </c>
      <c r="T111" s="126" t="n">
        <f aca="false">L111/$R$3</f>
        <v>0</v>
      </c>
      <c r="U111" s="126" t="n">
        <f aca="false">I111/$R$3</f>
        <v>0</v>
      </c>
      <c r="V111" s="126" t="n">
        <f aca="false">M111/$R$3</f>
        <v>0</v>
      </c>
      <c r="W111" s="126" t="n">
        <f aca="false">N111/$R$3</f>
        <v>-37.239</v>
      </c>
    </row>
    <row r="112" customFormat="false" ht="12.75" hidden="false" customHeight="false" outlineLevel="0" collapsed="false">
      <c r="A112" s="120" t="n">
        <f aca="false">A111+1</f>
        <v>36998</v>
      </c>
      <c r="B112" s="131" t="str">
        <f aca="false">INDEX('[4]Master Data'!$A$2:$B$8,MATCH(WEEKDAY('GNS Bolv Gas MTM'!A112,3),'[4]Master Data'!$A$2:$A$8,0),2)</f>
        <v>T</v>
      </c>
      <c r="D112" s="124" t="n">
        <v>0</v>
      </c>
      <c r="E112" s="124" t="n">
        <v>0</v>
      </c>
      <c r="F112" s="124" t="n">
        <v>0</v>
      </c>
      <c r="G112" s="124" t="n">
        <v>0</v>
      </c>
      <c r="I112" s="124" t="n">
        <f aca="false">IF(MONTH($A112)=MONTH($A111),IF(G112=0,I111,G112),G112)</f>
        <v>0</v>
      </c>
      <c r="J112" s="124" t="n">
        <f aca="false">IF(MONTH($A112)=MONTH($A111),SUM(I112-I111),I112)</f>
        <v>0</v>
      </c>
      <c r="K112" s="124" t="n">
        <f aca="false">IF(WEEKDAY(A112,3)&gt;4,0,(IF(A112&lt;K$2,0,IF(A112&lt;=K$3,1,0))))</f>
        <v>0</v>
      </c>
      <c r="L112" s="124" t="n">
        <f aca="false">J112*K112</f>
        <v>0</v>
      </c>
      <c r="M112" s="124" t="n">
        <f aca="false">SUM(J$97:J112)</f>
        <v>0</v>
      </c>
      <c r="N112" s="124" t="n">
        <f aca="false">SUM(J$6:J112)</f>
        <v>-37239</v>
      </c>
      <c r="P112" s="124" t="n">
        <f aca="false">D112/P$3</f>
        <v>0</v>
      </c>
      <c r="Q112" s="124" t="n">
        <f aca="false">E112/P$3</f>
        <v>0</v>
      </c>
      <c r="R112" s="124" t="n">
        <f aca="false">F112/R$3</f>
        <v>0</v>
      </c>
      <c r="S112" s="126" t="n">
        <f aca="false">J112/$R$3</f>
        <v>0</v>
      </c>
      <c r="T112" s="126" t="n">
        <f aca="false">L112/$R$3</f>
        <v>0</v>
      </c>
      <c r="U112" s="126" t="n">
        <f aca="false">I112/$R$3</f>
        <v>0</v>
      </c>
      <c r="V112" s="126" t="n">
        <f aca="false">M112/$R$3</f>
        <v>0</v>
      </c>
      <c r="W112" s="126" t="n">
        <f aca="false">N112/$R$3</f>
        <v>-37.239</v>
      </c>
    </row>
    <row r="113" customFormat="false" ht="12.75" hidden="false" customHeight="false" outlineLevel="0" collapsed="false">
      <c r="A113" s="120" t="n">
        <f aca="false">A112+1</f>
        <v>36999</v>
      </c>
      <c r="B113" s="131" t="str">
        <f aca="false">INDEX('[4]Master Data'!$A$2:$B$8,MATCH(WEEKDAY('GNS Bolv Gas MTM'!A113,3),'[4]Master Data'!$A$2:$A$8,0),2)</f>
        <v>W</v>
      </c>
      <c r="D113" s="124" t="n">
        <v>0</v>
      </c>
      <c r="E113" s="124" t="n">
        <v>0</v>
      </c>
      <c r="F113" s="124" t="n">
        <v>0</v>
      </c>
      <c r="G113" s="124" t="n">
        <v>0</v>
      </c>
      <c r="I113" s="124" t="n">
        <f aca="false">IF(MONTH($A113)=MONTH($A112),IF(G113=0,I112,G113),G113)</f>
        <v>0</v>
      </c>
      <c r="J113" s="124" t="n">
        <f aca="false">IF(MONTH($A113)=MONTH($A112),SUM(I113-I112),I113)</f>
        <v>0</v>
      </c>
      <c r="K113" s="124" t="n">
        <f aca="false">IF(WEEKDAY(A113,3)&gt;4,0,(IF(A113&lt;K$2,0,IF(A113&lt;=K$3,1,0))))</f>
        <v>0</v>
      </c>
      <c r="L113" s="124" t="n">
        <f aca="false">J113*K113</f>
        <v>0</v>
      </c>
      <c r="M113" s="124" t="n">
        <f aca="false">SUM(J$97:J113)</f>
        <v>0</v>
      </c>
      <c r="N113" s="124" t="n">
        <f aca="false">SUM(J$6:J113)</f>
        <v>-37239</v>
      </c>
      <c r="P113" s="124" t="n">
        <f aca="false">D113/P$3</f>
        <v>0</v>
      </c>
      <c r="Q113" s="124" t="n">
        <f aca="false">E113/P$3</f>
        <v>0</v>
      </c>
      <c r="R113" s="124" t="n">
        <f aca="false">F113/R$3</f>
        <v>0</v>
      </c>
      <c r="S113" s="126" t="n">
        <f aca="false">J113/$R$3</f>
        <v>0</v>
      </c>
      <c r="T113" s="126" t="n">
        <f aca="false">L113/$R$3</f>
        <v>0</v>
      </c>
      <c r="U113" s="126" t="n">
        <f aca="false">I113/$R$3</f>
        <v>0</v>
      </c>
      <c r="V113" s="126" t="n">
        <f aca="false">M113/$R$3</f>
        <v>0</v>
      </c>
      <c r="W113" s="126" t="n">
        <f aca="false">N113/$R$3</f>
        <v>-37.239</v>
      </c>
    </row>
    <row r="114" customFormat="false" ht="12.75" hidden="false" customHeight="false" outlineLevel="0" collapsed="false">
      <c r="A114" s="120" t="n">
        <f aca="false">A113+1</f>
        <v>37000</v>
      </c>
      <c r="B114" s="131" t="str">
        <f aca="false">INDEX('[4]Master Data'!$A$2:$B$8,MATCH(WEEKDAY('GNS Bolv Gas MTM'!A114,3),'[4]Master Data'!$A$2:$A$8,0),2)</f>
        <v>Th</v>
      </c>
      <c r="D114" s="124" t="n">
        <v>0</v>
      </c>
      <c r="E114" s="124" t="n">
        <v>0</v>
      </c>
      <c r="F114" s="124" t="n">
        <v>0</v>
      </c>
      <c r="G114" s="124" t="n">
        <v>0</v>
      </c>
      <c r="I114" s="124" t="n">
        <f aca="false">IF(MONTH($A114)=MONTH($A113),IF(G114=0,I113,G114),G114)</f>
        <v>0</v>
      </c>
      <c r="J114" s="124" t="n">
        <f aca="false">IF(MONTH($A114)=MONTH($A113),SUM(I114-I113),I114)</f>
        <v>0</v>
      </c>
      <c r="K114" s="124" t="n">
        <f aca="false">IF(WEEKDAY(A114,3)&gt;4,0,(IF(A114&lt;K$2,0,IF(A114&lt;=K$3,1,0))))</f>
        <v>0</v>
      </c>
      <c r="L114" s="124" t="n">
        <f aca="false">J114*K114</f>
        <v>0</v>
      </c>
      <c r="M114" s="124" t="n">
        <f aca="false">SUM(J$97:J114)</f>
        <v>0</v>
      </c>
      <c r="N114" s="124" t="n">
        <f aca="false">SUM(J$6:J114)</f>
        <v>-37239</v>
      </c>
      <c r="P114" s="124" t="n">
        <f aca="false">D114/P$3</f>
        <v>0</v>
      </c>
      <c r="Q114" s="124" t="n">
        <f aca="false">E114/P$3</f>
        <v>0</v>
      </c>
      <c r="R114" s="124" t="n">
        <f aca="false">F114/R$3</f>
        <v>0</v>
      </c>
      <c r="S114" s="126" t="n">
        <f aca="false">J114/$R$3</f>
        <v>0</v>
      </c>
      <c r="T114" s="126" t="n">
        <f aca="false">L114/$R$3</f>
        <v>0</v>
      </c>
      <c r="U114" s="126" t="n">
        <f aca="false">I114/$R$3</f>
        <v>0</v>
      </c>
      <c r="V114" s="126" t="n">
        <f aca="false">M114/$R$3</f>
        <v>0</v>
      </c>
      <c r="W114" s="126" t="n">
        <f aca="false">N114/$R$3</f>
        <v>-37.239</v>
      </c>
    </row>
    <row r="115" customFormat="false" ht="12.75" hidden="false" customHeight="false" outlineLevel="0" collapsed="false">
      <c r="A115" s="120" t="n">
        <f aca="false">A114+1</f>
        <v>37001</v>
      </c>
      <c r="B115" s="131" t="str">
        <f aca="false">INDEX('[4]Master Data'!$A$2:$B$8,MATCH(WEEKDAY('GNS Bolv Gas MTM'!A115,3),'[4]Master Data'!$A$2:$A$8,0),2)</f>
        <v>F</v>
      </c>
      <c r="D115" s="124" t="n">
        <v>0</v>
      </c>
      <c r="E115" s="124" t="n">
        <v>0</v>
      </c>
      <c r="F115" s="124" t="n">
        <v>0</v>
      </c>
      <c r="G115" s="124" t="n">
        <v>0</v>
      </c>
      <c r="I115" s="124" t="n">
        <f aca="false">IF(MONTH($A115)=MONTH($A114),IF(G115=0,I114,G115),G115)</f>
        <v>0</v>
      </c>
      <c r="J115" s="124" t="n">
        <f aca="false">IF(MONTH($A115)=MONTH($A114),SUM(I115-I114),I115)</f>
        <v>0</v>
      </c>
      <c r="K115" s="124" t="n">
        <f aca="false">IF(WEEKDAY(A115,3)&gt;4,0,(IF(A115&lt;K$2,0,IF(A115&lt;=K$3,1,0))))</f>
        <v>0</v>
      </c>
      <c r="L115" s="124" t="n">
        <f aca="false">J115*K115</f>
        <v>0</v>
      </c>
      <c r="M115" s="124" t="n">
        <f aca="false">SUM(J$97:J115)</f>
        <v>0</v>
      </c>
      <c r="N115" s="124" t="n">
        <f aca="false">SUM(J$6:J115)</f>
        <v>-37239</v>
      </c>
      <c r="P115" s="124" t="n">
        <f aca="false">D115/P$3</f>
        <v>0</v>
      </c>
      <c r="Q115" s="124" t="n">
        <f aca="false">E115/P$3</f>
        <v>0</v>
      </c>
      <c r="R115" s="124" t="n">
        <f aca="false">F115/R$3</f>
        <v>0</v>
      </c>
      <c r="S115" s="126" t="n">
        <f aca="false">J115/$R$3</f>
        <v>0</v>
      </c>
      <c r="T115" s="126" t="n">
        <f aca="false">L115/$R$3</f>
        <v>0</v>
      </c>
      <c r="U115" s="126" t="n">
        <f aca="false">I115/$R$3</f>
        <v>0</v>
      </c>
      <c r="V115" s="126" t="n">
        <f aca="false">M115/$R$3</f>
        <v>0</v>
      </c>
      <c r="W115" s="126" t="n">
        <f aca="false">N115/$R$3</f>
        <v>-37.239</v>
      </c>
    </row>
    <row r="116" customFormat="false" ht="12.75" hidden="false" customHeight="false" outlineLevel="0" collapsed="false">
      <c r="A116" s="120" t="n">
        <f aca="false">A115+1</f>
        <v>37002</v>
      </c>
      <c r="B116" s="131" t="str">
        <f aca="false">INDEX('[4]Master Data'!$A$2:$B$8,MATCH(WEEKDAY('GNS Bolv Gas MTM'!A116,3),'[4]Master Data'!$A$2:$A$8,0),2)</f>
        <v>Sa</v>
      </c>
      <c r="D116" s="124" t="n">
        <v>0</v>
      </c>
      <c r="E116" s="124" t="n">
        <v>0</v>
      </c>
      <c r="F116" s="124" t="n">
        <v>0</v>
      </c>
      <c r="G116" s="124" t="n">
        <v>0</v>
      </c>
      <c r="I116" s="124" t="n">
        <f aca="false">IF(MONTH($A116)=MONTH($A115),IF(G116=0,I115,G116),G116)</f>
        <v>0</v>
      </c>
      <c r="J116" s="124" t="n">
        <f aca="false">IF(MONTH($A116)=MONTH($A115),SUM(I116-I115),I116)</f>
        <v>0</v>
      </c>
      <c r="K116" s="124" t="n">
        <f aca="false">IF(WEEKDAY(A116,3)&gt;4,0,(IF(A116&lt;K$2,0,IF(A116&lt;=K$3,1,0))))</f>
        <v>0</v>
      </c>
      <c r="L116" s="124" t="n">
        <f aca="false">J116*K116</f>
        <v>0</v>
      </c>
      <c r="M116" s="124" t="n">
        <f aca="false">SUM(J$97:J116)</f>
        <v>0</v>
      </c>
      <c r="N116" s="124" t="n">
        <f aca="false">SUM(J$6:J116)</f>
        <v>-37239</v>
      </c>
      <c r="P116" s="124" t="n">
        <f aca="false">D116/P$3</f>
        <v>0</v>
      </c>
      <c r="Q116" s="124" t="n">
        <f aca="false">E116/P$3</f>
        <v>0</v>
      </c>
      <c r="R116" s="124" t="n">
        <f aca="false">F116/R$3</f>
        <v>0</v>
      </c>
      <c r="S116" s="126" t="n">
        <f aca="false">J116/$R$3</f>
        <v>0</v>
      </c>
      <c r="T116" s="126" t="n">
        <f aca="false">L116/$R$3</f>
        <v>0</v>
      </c>
      <c r="U116" s="126" t="n">
        <f aca="false">I116/$R$3</f>
        <v>0</v>
      </c>
      <c r="V116" s="126" t="n">
        <f aca="false">M116/$R$3</f>
        <v>0</v>
      </c>
      <c r="W116" s="126" t="n">
        <f aca="false">N116/$R$3</f>
        <v>-37.239</v>
      </c>
    </row>
    <row r="117" customFormat="false" ht="12.75" hidden="false" customHeight="false" outlineLevel="0" collapsed="false">
      <c r="A117" s="120" t="n">
        <f aca="false">A116+1</f>
        <v>37003</v>
      </c>
      <c r="B117" s="131" t="str">
        <f aca="false">INDEX('[4]Master Data'!$A$2:$B$8,MATCH(WEEKDAY('GNS Bolv Gas MTM'!A117,3),'[4]Master Data'!$A$2:$A$8,0),2)</f>
        <v>Su</v>
      </c>
      <c r="D117" s="124" t="n">
        <v>0</v>
      </c>
      <c r="E117" s="124" t="n">
        <v>0</v>
      </c>
      <c r="F117" s="124" t="n">
        <v>0</v>
      </c>
      <c r="G117" s="124" t="n">
        <v>0</v>
      </c>
      <c r="I117" s="124" t="n">
        <f aca="false">IF(MONTH($A117)=MONTH($A116),IF(G117=0,I116,G117),G117)</f>
        <v>0</v>
      </c>
      <c r="J117" s="124" t="n">
        <f aca="false">IF(MONTH($A117)=MONTH($A116),SUM(I117-I116),I117)</f>
        <v>0</v>
      </c>
      <c r="K117" s="124" t="n">
        <f aca="false">IF(WEEKDAY(A117,3)&gt;4,0,(IF(A117&lt;K$2,0,IF(A117&lt;=K$3,1,0))))</f>
        <v>0</v>
      </c>
      <c r="L117" s="124" t="n">
        <f aca="false">J117*K117</f>
        <v>0</v>
      </c>
      <c r="M117" s="124" t="n">
        <f aca="false">SUM(J$97:J117)</f>
        <v>0</v>
      </c>
      <c r="N117" s="124" t="n">
        <f aca="false">SUM(J$6:J117)</f>
        <v>-37239</v>
      </c>
      <c r="P117" s="124" t="n">
        <f aca="false">D117/P$3</f>
        <v>0</v>
      </c>
      <c r="Q117" s="124" t="n">
        <f aca="false">E117/P$3</f>
        <v>0</v>
      </c>
      <c r="R117" s="124" t="n">
        <f aca="false">F117/R$3</f>
        <v>0</v>
      </c>
      <c r="S117" s="126" t="n">
        <f aca="false">J117/$R$3</f>
        <v>0</v>
      </c>
      <c r="T117" s="126" t="n">
        <f aca="false">L117/$R$3</f>
        <v>0</v>
      </c>
      <c r="U117" s="126" t="n">
        <f aca="false">I117/$R$3</f>
        <v>0</v>
      </c>
      <c r="V117" s="126" t="n">
        <f aca="false">M117/$R$3</f>
        <v>0</v>
      </c>
      <c r="W117" s="126" t="n">
        <f aca="false">N117/$R$3</f>
        <v>-37.239</v>
      </c>
    </row>
    <row r="118" customFormat="false" ht="12.75" hidden="false" customHeight="false" outlineLevel="0" collapsed="false">
      <c r="A118" s="120" t="n">
        <f aca="false">A117+1</f>
        <v>37004</v>
      </c>
      <c r="B118" s="131" t="str">
        <f aca="false">INDEX('[4]Master Data'!$A$2:$B$8,MATCH(WEEKDAY('GNS Bolv Gas MTM'!A118,3),'[4]Master Data'!$A$2:$A$8,0),2)</f>
        <v>M</v>
      </c>
      <c r="D118" s="124" t="n">
        <v>0</v>
      </c>
      <c r="E118" s="124" t="n">
        <v>0</v>
      </c>
      <c r="F118" s="124" t="n">
        <v>0</v>
      </c>
      <c r="G118" s="124" t="n">
        <v>0</v>
      </c>
      <c r="I118" s="124" t="n">
        <f aca="false">IF(MONTH($A118)=MONTH($A117),IF(G118=0,I117,G118),G118)</f>
        <v>0</v>
      </c>
      <c r="J118" s="124" t="n">
        <f aca="false">IF(MONTH($A118)=MONTH($A117),SUM(I118-I117),I118)</f>
        <v>0</v>
      </c>
      <c r="K118" s="124" t="n">
        <f aca="false">IF(WEEKDAY(A118,3)&gt;4,0,(IF(A118&lt;K$2,0,IF(A118&lt;=K$3,1,0))))</f>
        <v>0</v>
      </c>
      <c r="L118" s="124" t="n">
        <f aca="false">J118*K118</f>
        <v>0</v>
      </c>
      <c r="M118" s="124" t="n">
        <f aca="false">SUM(J$97:J118)</f>
        <v>0</v>
      </c>
      <c r="N118" s="124" t="n">
        <f aca="false">SUM(J$6:J118)</f>
        <v>-37239</v>
      </c>
      <c r="P118" s="124" t="n">
        <f aca="false">D118/P$3</f>
        <v>0</v>
      </c>
      <c r="Q118" s="124" t="n">
        <f aca="false">E118/P$3</f>
        <v>0</v>
      </c>
      <c r="R118" s="124" t="n">
        <f aca="false">F118/R$3</f>
        <v>0</v>
      </c>
      <c r="S118" s="126" t="n">
        <f aca="false">J118/$R$3</f>
        <v>0</v>
      </c>
      <c r="T118" s="126" t="n">
        <f aca="false">L118/$R$3</f>
        <v>0</v>
      </c>
      <c r="U118" s="126" t="n">
        <f aca="false">I118/$R$3</f>
        <v>0</v>
      </c>
      <c r="V118" s="126" t="n">
        <f aca="false">M118/$R$3</f>
        <v>0</v>
      </c>
      <c r="W118" s="126" t="n">
        <f aca="false">N118/$R$3</f>
        <v>-37.239</v>
      </c>
    </row>
    <row r="119" customFormat="false" ht="12.75" hidden="false" customHeight="false" outlineLevel="0" collapsed="false">
      <c r="A119" s="120" t="n">
        <f aca="false">A118+1</f>
        <v>37005</v>
      </c>
      <c r="B119" s="131" t="str">
        <f aca="false">INDEX('[4]Master Data'!$A$2:$B$8,MATCH(WEEKDAY('GNS Bolv Gas MTM'!A119,3),'[4]Master Data'!$A$2:$A$8,0),2)</f>
        <v>T</v>
      </c>
      <c r="D119" s="124" t="n">
        <v>0</v>
      </c>
      <c r="E119" s="124" t="n">
        <v>0</v>
      </c>
      <c r="F119" s="124" t="n">
        <v>0</v>
      </c>
      <c r="G119" s="124" t="n">
        <v>0</v>
      </c>
      <c r="I119" s="124" t="n">
        <f aca="false">IF(MONTH($A119)=MONTH($A118),IF(G119=0,I118,G119),G119)</f>
        <v>0</v>
      </c>
      <c r="J119" s="124" t="n">
        <f aca="false">IF(MONTH($A119)=MONTH($A118),SUM(I119-I118),I119)</f>
        <v>0</v>
      </c>
      <c r="K119" s="124" t="n">
        <f aca="false">IF(WEEKDAY(A119,3)&gt;4,0,(IF(A119&lt;K$2,0,IF(A119&lt;=K$3,1,0))))</f>
        <v>0</v>
      </c>
      <c r="L119" s="124" t="n">
        <f aca="false">J119*K119</f>
        <v>0</v>
      </c>
      <c r="M119" s="124" t="n">
        <f aca="false">SUM(J$97:J119)</f>
        <v>0</v>
      </c>
      <c r="N119" s="124" t="n">
        <f aca="false">SUM(J$6:J119)</f>
        <v>-37239</v>
      </c>
      <c r="P119" s="124" t="n">
        <f aca="false">D119/P$3</f>
        <v>0</v>
      </c>
      <c r="Q119" s="124" t="n">
        <f aca="false">E119/P$3</f>
        <v>0</v>
      </c>
      <c r="R119" s="124" t="n">
        <f aca="false">F119/R$3</f>
        <v>0</v>
      </c>
      <c r="S119" s="126" t="n">
        <f aca="false">J119/$R$3</f>
        <v>0</v>
      </c>
      <c r="T119" s="126" t="n">
        <f aca="false">L119/$R$3</f>
        <v>0</v>
      </c>
      <c r="U119" s="126" t="n">
        <f aca="false">I119/$R$3</f>
        <v>0</v>
      </c>
      <c r="V119" s="126" t="n">
        <f aca="false">M119/$R$3</f>
        <v>0</v>
      </c>
      <c r="W119" s="126" t="n">
        <f aca="false">N119/$R$3</f>
        <v>-37.239</v>
      </c>
    </row>
    <row r="120" customFormat="false" ht="12.75" hidden="false" customHeight="false" outlineLevel="0" collapsed="false">
      <c r="A120" s="120" t="n">
        <f aca="false">A119+1</f>
        <v>37006</v>
      </c>
      <c r="B120" s="131" t="str">
        <f aca="false">INDEX('[4]Master Data'!$A$2:$B$8,MATCH(WEEKDAY('GNS Bolv Gas MTM'!A120,3),'[4]Master Data'!$A$2:$A$8,0),2)</f>
        <v>W</v>
      </c>
      <c r="D120" s="124" t="n">
        <v>0</v>
      </c>
      <c r="E120" s="124" t="n">
        <v>0</v>
      </c>
      <c r="F120" s="124" t="n">
        <v>0</v>
      </c>
      <c r="G120" s="124" t="n">
        <v>0</v>
      </c>
      <c r="I120" s="124" t="n">
        <f aca="false">IF(MONTH($A120)=MONTH($A119),IF(G120=0,I119,G120),G120)</f>
        <v>0</v>
      </c>
      <c r="J120" s="124" t="n">
        <f aca="false">IF(MONTH($A120)=MONTH($A119),SUM(I120-I119),I120)</f>
        <v>0</v>
      </c>
      <c r="K120" s="124" t="n">
        <f aca="false">IF(WEEKDAY(A120,3)&gt;4,0,(IF(A120&lt;K$2,0,IF(A120&lt;=K$3,1,0))))</f>
        <v>0</v>
      </c>
      <c r="L120" s="124" t="n">
        <f aca="false">J120*K120</f>
        <v>0</v>
      </c>
      <c r="M120" s="124" t="n">
        <f aca="false">SUM(J$97:J120)</f>
        <v>0</v>
      </c>
      <c r="N120" s="124" t="n">
        <f aca="false">SUM(J$6:J120)</f>
        <v>-37239</v>
      </c>
      <c r="P120" s="124" t="n">
        <f aca="false">D120/P$3</f>
        <v>0</v>
      </c>
      <c r="Q120" s="124" t="n">
        <f aca="false">E120/P$3</f>
        <v>0</v>
      </c>
      <c r="R120" s="124" t="n">
        <f aca="false">F120/R$3</f>
        <v>0</v>
      </c>
      <c r="S120" s="126" t="n">
        <f aca="false">J120/$R$3</f>
        <v>0</v>
      </c>
      <c r="T120" s="126" t="n">
        <f aca="false">L120/$R$3</f>
        <v>0</v>
      </c>
      <c r="U120" s="126" t="n">
        <f aca="false">I120/$R$3</f>
        <v>0</v>
      </c>
      <c r="V120" s="126" t="n">
        <f aca="false">M120/$R$3</f>
        <v>0</v>
      </c>
      <c r="W120" s="126" t="n">
        <f aca="false">N120/$R$3</f>
        <v>-37.239</v>
      </c>
    </row>
    <row r="121" customFormat="false" ht="12.75" hidden="false" customHeight="false" outlineLevel="0" collapsed="false">
      <c r="A121" s="120" t="n">
        <f aca="false">A120+1</f>
        <v>37007</v>
      </c>
      <c r="B121" s="131" t="str">
        <f aca="false">INDEX('[4]Master Data'!$A$2:$B$8,MATCH(WEEKDAY('GNS Bolv Gas MTM'!A121,3),'[4]Master Data'!$A$2:$A$8,0),2)</f>
        <v>Th</v>
      </c>
      <c r="D121" s="124" t="n">
        <v>0</v>
      </c>
      <c r="E121" s="124" t="n">
        <v>0</v>
      </c>
      <c r="F121" s="124" t="n">
        <v>0</v>
      </c>
      <c r="G121" s="124" t="n">
        <v>0</v>
      </c>
      <c r="I121" s="124" t="n">
        <f aca="false">IF(MONTH($A121)=MONTH($A120),IF(G121=0,I120,G121),G121)</f>
        <v>0</v>
      </c>
      <c r="J121" s="124" t="n">
        <f aca="false">IF(MONTH($A121)=MONTH($A120),SUM(I121-I120),I121)</f>
        <v>0</v>
      </c>
      <c r="K121" s="124" t="n">
        <f aca="false">IF(WEEKDAY(A121,3)&gt;4,0,(IF(A121&lt;K$2,0,IF(A121&lt;=K$3,1,0))))</f>
        <v>0</v>
      </c>
      <c r="L121" s="124" t="n">
        <f aca="false">J121*K121</f>
        <v>0</v>
      </c>
      <c r="M121" s="124" t="n">
        <f aca="false">SUM(J$97:J121)</f>
        <v>0</v>
      </c>
      <c r="N121" s="124" t="n">
        <f aca="false">SUM(J$6:J121)</f>
        <v>-37239</v>
      </c>
      <c r="P121" s="124" t="n">
        <f aca="false">D121/P$3</f>
        <v>0</v>
      </c>
      <c r="Q121" s="124" t="n">
        <f aca="false">E121/P$3</f>
        <v>0</v>
      </c>
      <c r="R121" s="124" t="n">
        <f aca="false">F121/R$3</f>
        <v>0</v>
      </c>
      <c r="S121" s="126" t="n">
        <f aca="false">J121/$R$3</f>
        <v>0</v>
      </c>
      <c r="T121" s="126" t="n">
        <f aca="false">L121/$R$3</f>
        <v>0</v>
      </c>
      <c r="U121" s="126" t="n">
        <f aca="false">I121/$R$3</f>
        <v>0</v>
      </c>
      <c r="V121" s="126" t="n">
        <f aca="false">M121/$R$3</f>
        <v>0</v>
      </c>
      <c r="W121" s="126" t="n">
        <f aca="false">N121/$R$3</f>
        <v>-37.239</v>
      </c>
    </row>
    <row r="122" customFormat="false" ht="12.75" hidden="false" customHeight="false" outlineLevel="0" collapsed="false">
      <c r="A122" s="120" t="n">
        <f aca="false">A121+1</f>
        <v>37008</v>
      </c>
      <c r="B122" s="131" t="str">
        <f aca="false">INDEX('[4]Master Data'!$A$2:$B$8,MATCH(WEEKDAY('GNS Bolv Gas MTM'!A122,3),'[4]Master Data'!$A$2:$A$8,0),2)</f>
        <v>F</v>
      </c>
      <c r="D122" s="124" t="n">
        <v>0</v>
      </c>
      <c r="E122" s="124" t="n">
        <v>0</v>
      </c>
      <c r="F122" s="124" t="n">
        <v>0</v>
      </c>
      <c r="G122" s="124" t="n">
        <v>0</v>
      </c>
      <c r="I122" s="124" t="n">
        <f aca="false">IF(MONTH($A122)=MONTH($A121),IF(G122=0,I121,G122),G122)</f>
        <v>0</v>
      </c>
      <c r="J122" s="124" t="n">
        <f aca="false">IF(MONTH($A122)=MONTH($A121),SUM(I122-I121),I122)</f>
        <v>0</v>
      </c>
      <c r="K122" s="124" t="n">
        <f aca="false">IF(WEEKDAY(A122,3)&gt;4,0,(IF(A122&lt;K$2,0,IF(A122&lt;=K$3,1,0))))</f>
        <v>0</v>
      </c>
      <c r="L122" s="124" t="n">
        <f aca="false">J122*K122</f>
        <v>0</v>
      </c>
      <c r="M122" s="124" t="n">
        <f aca="false">SUM(J$97:J122)</f>
        <v>0</v>
      </c>
      <c r="N122" s="124" t="n">
        <f aca="false">SUM(J$6:J122)</f>
        <v>-37239</v>
      </c>
      <c r="P122" s="124" t="n">
        <f aca="false">D122/P$3</f>
        <v>0</v>
      </c>
      <c r="Q122" s="124" t="n">
        <f aca="false">E122/P$3</f>
        <v>0</v>
      </c>
      <c r="R122" s="124" t="n">
        <f aca="false">F122/R$3</f>
        <v>0</v>
      </c>
      <c r="S122" s="126" t="n">
        <f aca="false">J122/$R$3</f>
        <v>0</v>
      </c>
      <c r="T122" s="126" t="n">
        <f aca="false">L122/$R$3</f>
        <v>0</v>
      </c>
      <c r="U122" s="126" t="n">
        <f aca="false">I122/$R$3</f>
        <v>0</v>
      </c>
      <c r="V122" s="126" t="n">
        <f aca="false">M122/$R$3</f>
        <v>0</v>
      </c>
      <c r="W122" s="126" t="n">
        <f aca="false">N122/$R$3</f>
        <v>-37.239</v>
      </c>
    </row>
    <row r="123" customFormat="false" ht="12.75" hidden="false" customHeight="false" outlineLevel="0" collapsed="false">
      <c r="A123" s="120" t="n">
        <f aca="false">A122+1</f>
        <v>37009</v>
      </c>
      <c r="B123" s="131" t="str">
        <f aca="false">INDEX('[4]Master Data'!$A$2:$B$8,MATCH(WEEKDAY('GNS Bolv Gas MTM'!A123,3),'[4]Master Data'!$A$2:$A$8,0),2)</f>
        <v>Sa</v>
      </c>
      <c r="D123" s="124" t="n">
        <v>0</v>
      </c>
      <c r="E123" s="124" t="n">
        <v>0</v>
      </c>
      <c r="F123" s="124" t="n">
        <v>0</v>
      </c>
      <c r="G123" s="124" t="n">
        <v>0</v>
      </c>
      <c r="I123" s="124" t="n">
        <f aca="false">IF(MONTH($A123)=MONTH($A122),IF(G123=0,I122,G123),G123)</f>
        <v>0</v>
      </c>
      <c r="J123" s="124" t="n">
        <f aca="false">IF(MONTH($A123)=MONTH($A122),SUM(I123-I122),I123)</f>
        <v>0</v>
      </c>
      <c r="K123" s="124" t="n">
        <f aca="false">IF(WEEKDAY(A123,3)&gt;4,0,(IF(A123&lt;K$2,0,IF(A123&lt;=K$3,1,0))))</f>
        <v>0</v>
      </c>
      <c r="L123" s="124" t="n">
        <f aca="false">J123*K123</f>
        <v>0</v>
      </c>
      <c r="M123" s="124" t="n">
        <f aca="false">SUM(J$97:J123)</f>
        <v>0</v>
      </c>
      <c r="N123" s="124" t="n">
        <f aca="false">SUM(J$6:J123)</f>
        <v>-37239</v>
      </c>
      <c r="P123" s="124" t="n">
        <f aca="false">D123/P$3</f>
        <v>0</v>
      </c>
      <c r="Q123" s="124" t="n">
        <f aca="false">E123/P$3</f>
        <v>0</v>
      </c>
      <c r="R123" s="124" t="n">
        <f aca="false">F123/R$3</f>
        <v>0</v>
      </c>
      <c r="S123" s="126" t="n">
        <f aca="false">J123/$R$3</f>
        <v>0</v>
      </c>
      <c r="T123" s="126" t="n">
        <f aca="false">L123/$R$3</f>
        <v>0</v>
      </c>
      <c r="U123" s="126" t="n">
        <f aca="false">I123/$R$3</f>
        <v>0</v>
      </c>
      <c r="V123" s="126" t="n">
        <f aca="false">M123/$R$3</f>
        <v>0</v>
      </c>
      <c r="W123" s="126" t="n">
        <f aca="false">N123/$R$3</f>
        <v>-37.239</v>
      </c>
    </row>
    <row r="124" customFormat="false" ht="12.75" hidden="false" customHeight="false" outlineLevel="0" collapsed="false">
      <c r="A124" s="120" t="n">
        <f aca="false">A123+1</f>
        <v>37010</v>
      </c>
      <c r="B124" s="131" t="str">
        <f aca="false">INDEX('[4]Master Data'!$A$2:$B$8,MATCH(WEEKDAY('GNS Bolv Gas MTM'!A124,3),'[4]Master Data'!$A$2:$A$8,0),2)</f>
        <v>Su</v>
      </c>
      <c r="D124" s="124" t="n">
        <v>0</v>
      </c>
      <c r="E124" s="124" t="n">
        <v>0</v>
      </c>
      <c r="F124" s="124" t="n">
        <v>0</v>
      </c>
      <c r="G124" s="124" t="n">
        <v>0</v>
      </c>
      <c r="I124" s="124" t="n">
        <f aca="false">IF(MONTH($A124)=MONTH($A123),IF(G124=0,I123,G124),G124)</f>
        <v>0</v>
      </c>
      <c r="J124" s="124" t="n">
        <f aca="false">IF(MONTH($A124)=MONTH($A123),SUM(I124-I123),I124)</f>
        <v>0</v>
      </c>
      <c r="K124" s="124" t="n">
        <f aca="false">IF(WEEKDAY(A124,3)&gt;4,0,(IF(A124&lt;K$2,0,IF(A124&lt;=K$3,1,0))))</f>
        <v>0</v>
      </c>
      <c r="L124" s="124" t="n">
        <f aca="false">J124*K124</f>
        <v>0</v>
      </c>
      <c r="M124" s="124" t="n">
        <f aca="false">SUM(J$97:J124)</f>
        <v>0</v>
      </c>
      <c r="N124" s="124" t="n">
        <f aca="false">SUM(J$6:J124)</f>
        <v>-37239</v>
      </c>
      <c r="P124" s="124" t="n">
        <f aca="false">D124/P$3</f>
        <v>0</v>
      </c>
      <c r="Q124" s="124" t="n">
        <f aca="false">E124/P$3</f>
        <v>0</v>
      </c>
      <c r="R124" s="124" t="n">
        <f aca="false">F124/R$3</f>
        <v>0</v>
      </c>
      <c r="S124" s="126" t="n">
        <f aca="false">J124/$R$3</f>
        <v>0</v>
      </c>
      <c r="T124" s="126" t="n">
        <f aca="false">L124/$R$3</f>
        <v>0</v>
      </c>
      <c r="U124" s="126" t="n">
        <f aca="false">I124/$R$3</f>
        <v>0</v>
      </c>
      <c r="V124" s="126" t="n">
        <f aca="false">M124/$R$3</f>
        <v>0</v>
      </c>
      <c r="W124" s="126" t="n">
        <f aca="false">N124/$R$3</f>
        <v>-37.239</v>
      </c>
    </row>
    <row r="125" customFormat="false" ht="12.75" hidden="false" customHeight="false" outlineLevel="0" collapsed="false">
      <c r="A125" s="120" t="n">
        <f aca="false">A124+1</f>
        <v>37011</v>
      </c>
      <c r="B125" s="131" t="str">
        <f aca="false">INDEX('[4]Master Data'!$A$2:$B$8,MATCH(WEEKDAY('GNS Bolv Gas MTM'!A125,3),'[4]Master Data'!$A$2:$A$8,0),2)</f>
        <v>M</v>
      </c>
      <c r="D125" s="124" t="n">
        <v>0</v>
      </c>
      <c r="E125" s="124" t="n">
        <v>0</v>
      </c>
      <c r="F125" s="124" t="n">
        <v>0</v>
      </c>
      <c r="G125" s="124" t="n">
        <v>0</v>
      </c>
      <c r="I125" s="124" t="n">
        <f aca="false">IF(MONTH($A125)=MONTH($A124),IF(G125=0,I124,G125),G125)</f>
        <v>0</v>
      </c>
      <c r="J125" s="124" t="n">
        <f aca="false">IF(MONTH($A125)=MONTH($A124),SUM(I125-I124),I125)</f>
        <v>0</v>
      </c>
      <c r="K125" s="124" t="n">
        <f aca="false">IF(WEEKDAY(A125,3)&gt;4,0,(IF(A125&lt;K$2,0,IF(A125&lt;=K$3,1,0))))</f>
        <v>0</v>
      </c>
      <c r="L125" s="124" t="n">
        <f aca="false">J125*K125</f>
        <v>0</v>
      </c>
      <c r="M125" s="124" t="n">
        <f aca="false">SUM(J$97:J125)</f>
        <v>0</v>
      </c>
      <c r="N125" s="124" t="n">
        <f aca="false">SUM(J$6:J125)</f>
        <v>-37239</v>
      </c>
      <c r="P125" s="124" t="n">
        <f aca="false">D125/P$3</f>
        <v>0</v>
      </c>
      <c r="Q125" s="124" t="n">
        <f aca="false">E125/P$3</f>
        <v>0</v>
      </c>
      <c r="R125" s="124" t="n">
        <f aca="false">F125/R$3</f>
        <v>0</v>
      </c>
      <c r="S125" s="126" t="n">
        <f aca="false">J125/$R$3</f>
        <v>0</v>
      </c>
      <c r="T125" s="126" t="n">
        <f aca="false">L125/$R$3</f>
        <v>0</v>
      </c>
      <c r="U125" s="126" t="n">
        <f aca="false">I125/$R$3</f>
        <v>0</v>
      </c>
      <c r="V125" s="126" t="n">
        <f aca="false">M125/$R$3</f>
        <v>0</v>
      </c>
      <c r="W125" s="126" t="n">
        <f aca="false">N125/$R$3</f>
        <v>-37.239</v>
      </c>
    </row>
    <row r="126" customFormat="false" ht="12.75" hidden="false" customHeight="false" outlineLevel="0" collapsed="false">
      <c r="A126" s="120" t="n">
        <f aca="false">A125+1</f>
        <v>37012</v>
      </c>
      <c r="B126" s="131" t="str">
        <f aca="false">INDEX('[4]Master Data'!$A$2:$B$8,MATCH(WEEKDAY('GNS Bolv Gas MTM'!A126,3),'[4]Master Data'!$A$2:$A$8,0),2)</f>
        <v>T</v>
      </c>
      <c r="D126" s="124" t="n">
        <v>0</v>
      </c>
      <c r="E126" s="124" t="n">
        <v>0</v>
      </c>
      <c r="F126" s="124" t="n">
        <v>0</v>
      </c>
      <c r="G126" s="124" t="n">
        <v>0</v>
      </c>
      <c r="I126" s="124" t="n">
        <f aca="false">IF(MONTH($A126)=MONTH($A125),IF(G126=0,I125,G126),G126)</f>
        <v>0</v>
      </c>
      <c r="J126" s="124" t="n">
        <f aca="false">IF(MONTH($A126)=MONTH($A125),SUM(I126-I125),I126)</f>
        <v>0</v>
      </c>
      <c r="K126" s="124" t="n">
        <f aca="false">IF(WEEKDAY(A126,3)&gt;4,0,(IF(A126&lt;K$2,0,IF(A126&lt;=K$3,1,0))))</f>
        <v>0</v>
      </c>
      <c r="L126" s="124" t="n">
        <f aca="false">J126*K126</f>
        <v>0</v>
      </c>
      <c r="M126" s="124" t="n">
        <f aca="false">SUM(J$97:J126)</f>
        <v>0</v>
      </c>
      <c r="N126" s="124" t="n">
        <f aca="false">SUM(J$6:J126)</f>
        <v>-37239</v>
      </c>
      <c r="P126" s="124" t="n">
        <f aca="false">D126/P$3</f>
        <v>0</v>
      </c>
      <c r="Q126" s="124" t="n">
        <f aca="false">E126/P$3</f>
        <v>0</v>
      </c>
      <c r="R126" s="124" t="n">
        <f aca="false">F126/R$3</f>
        <v>0</v>
      </c>
      <c r="S126" s="126" t="n">
        <f aca="false">J126/$R$3</f>
        <v>0</v>
      </c>
      <c r="T126" s="126" t="n">
        <f aca="false">L126/$R$3</f>
        <v>0</v>
      </c>
      <c r="U126" s="126" t="n">
        <f aca="false">I126/$R$3</f>
        <v>0</v>
      </c>
      <c r="V126" s="126" t="n">
        <f aca="false">M126/$R$3</f>
        <v>0</v>
      </c>
      <c r="W126" s="126" t="n">
        <f aca="false">N126/$R$3</f>
        <v>-37.239</v>
      </c>
    </row>
    <row r="127" customFormat="false" ht="12.75" hidden="false" customHeight="false" outlineLevel="0" collapsed="false">
      <c r="A127" s="120" t="n">
        <f aca="false">A126+1</f>
        <v>37013</v>
      </c>
      <c r="B127" s="131" t="str">
        <f aca="false">INDEX('[4]Master Data'!$A$2:$B$8,MATCH(WEEKDAY('GNS Bolv Gas MTM'!A127,3),'[4]Master Data'!$A$2:$A$8,0),2)</f>
        <v>W</v>
      </c>
      <c r="D127" s="124" t="n">
        <v>0</v>
      </c>
      <c r="E127" s="124" t="n">
        <v>0</v>
      </c>
      <c r="F127" s="124" t="n">
        <v>0</v>
      </c>
      <c r="G127" s="124" t="n">
        <v>0</v>
      </c>
      <c r="I127" s="124" t="n">
        <f aca="false">IF(MONTH($A127)=MONTH($A126),IF(G127=0,I126,G127),G127)</f>
        <v>0</v>
      </c>
      <c r="J127" s="124" t="n">
        <f aca="false">IF(MONTH($A127)=MONTH($A126),SUM(I127-I126),I127)</f>
        <v>0</v>
      </c>
      <c r="K127" s="124" t="n">
        <f aca="false">IF(WEEKDAY(A127,3)&gt;4,0,(IF(A127&lt;K$2,0,IF(A127&lt;=K$3,1,0))))</f>
        <v>0</v>
      </c>
      <c r="L127" s="124" t="n">
        <f aca="false">J127*K127</f>
        <v>0</v>
      </c>
      <c r="M127" s="124" t="n">
        <f aca="false">SUM(J$97:J127)</f>
        <v>0</v>
      </c>
      <c r="N127" s="124" t="n">
        <f aca="false">SUM(J$6:J127)</f>
        <v>-37239</v>
      </c>
      <c r="P127" s="124" t="n">
        <f aca="false">D127/P$3</f>
        <v>0</v>
      </c>
      <c r="Q127" s="124" t="n">
        <f aca="false">E127/P$3</f>
        <v>0</v>
      </c>
      <c r="R127" s="124" t="n">
        <f aca="false">F127/R$3</f>
        <v>0</v>
      </c>
      <c r="S127" s="126" t="n">
        <f aca="false">J127/$R$3</f>
        <v>0</v>
      </c>
      <c r="T127" s="126" t="n">
        <f aca="false">L127/$R$3</f>
        <v>0</v>
      </c>
      <c r="U127" s="126" t="n">
        <f aca="false">I127/$R$3</f>
        <v>0</v>
      </c>
      <c r="V127" s="126" t="n">
        <f aca="false">M127/$R$3</f>
        <v>0</v>
      </c>
      <c r="W127" s="126" t="n">
        <f aca="false">N127/$R$3</f>
        <v>-37.239</v>
      </c>
    </row>
    <row r="128" customFormat="false" ht="12.75" hidden="false" customHeight="false" outlineLevel="0" collapsed="false">
      <c r="A128" s="120" t="n">
        <f aca="false">A127+1</f>
        <v>37014</v>
      </c>
      <c r="B128" s="131" t="str">
        <f aca="false">INDEX('[4]Master Data'!$A$2:$B$8,MATCH(WEEKDAY('GNS Bolv Gas MTM'!A128,3),'[4]Master Data'!$A$2:$A$8,0),2)</f>
        <v>Th</v>
      </c>
      <c r="D128" s="124" t="n">
        <v>0</v>
      </c>
      <c r="E128" s="124" t="n">
        <v>0</v>
      </c>
      <c r="F128" s="124" t="n">
        <v>0</v>
      </c>
      <c r="G128" s="124" t="n">
        <v>0</v>
      </c>
      <c r="I128" s="124" t="n">
        <f aca="false">IF(MONTH($A128)=MONTH($A127),IF(G128=0,I127,G128),G128)</f>
        <v>0</v>
      </c>
      <c r="J128" s="124" t="n">
        <f aca="false">IF(MONTH($A128)=MONTH($A127),SUM(I128-I127),I128)</f>
        <v>0</v>
      </c>
      <c r="K128" s="124" t="n">
        <f aca="false">IF(WEEKDAY(A128,3)&gt;4,0,(IF(A128&lt;K$2,0,IF(A128&lt;=K$3,1,0))))</f>
        <v>0</v>
      </c>
      <c r="L128" s="124" t="n">
        <f aca="false">J128*K128</f>
        <v>0</v>
      </c>
      <c r="M128" s="124" t="n">
        <f aca="false">SUM(J$97:J128)</f>
        <v>0</v>
      </c>
      <c r="N128" s="124" t="n">
        <f aca="false">SUM(J$6:J128)</f>
        <v>-37239</v>
      </c>
      <c r="P128" s="124" t="n">
        <f aca="false">D128/P$3</f>
        <v>0</v>
      </c>
      <c r="Q128" s="124" t="n">
        <f aca="false">E128/P$3</f>
        <v>0</v>
      </c>
      <c r="R128" s="124" t="n">
        <f aca="false">F128/R$3</f>
        <v>0</v>
      </c>
      <c r="S128" s="126" t="n">
        <f aca="false">J128/$R$3</f>
        <v>0</v>
      </c>
      <c r="T128" s="126" t="n">
        <f aca="false">L128/$R$3</f>
        <v>0</v>
      </c>
      <c r="U128" s="126" t="n">
        <f aca="false">I128/$R$3</f>
        <v>0</v>
      </c>
      <c r="V128" s="126" t="n">
        <f aca="false">M128/$R$3</f>
        <v>0</v>
      </c>
      <c r="W128" s="126" t="n">
        <f aca="false">N128/$R$3</f>
        <v>-37.239</v>
      </c>
    </row>
    <row r="129" customFormat="false" ht="12.75" hidden="false" customHeight="false" outlineLevel="0" collapsed="false">
      <c r="A129" s="120" t="n">
        <f aca="false">A128+1</f>
        <v>37015</v>
      </c>
      <c r="B129" s="131" t="str">
        <f aca="false">INDEX('[4]Master Data'!$A$2:$B$8,MATCH(WEEKDAY('GNS Bolv Gas MTM'!A129,3),'[4]Master Data'!$A$2:$A$8,0),2)</f>
        <v>F</v>
      </c>
      <c r="D129" s="124" t="n">
        <v>0</v>
      </c>
      <c r="E129" s="124" t="n">
        <v>0</v>
      </c>
      <c r="F129" s="124" t="n">
        <v>0</v>
      </c>
      <c r="G129" s="124" t="n">
        <v>0</v>
      </c>
      <c r="I129" s="124" t="n">
        <f aca="false">IF(MONTH($A129)=MONTH($A128),IF(G129=0,I128,G129),G129)</f>
        <v>0</v>
      </c>
      <c r="J129" s="124" t="n">
        <f aca="false">IF(MONTH($A129)=MONTH($A128),SUM(I129-I128),I129)</f>
        <v>0</v>
      </c>
      <c r="K129" s="124" t="n">
        <f aca="false">IF(WEEKDAY(A129,3)&gt;4,0,(IF(A129&lt;K$2,0,IF(A129&lt;=K$3,1,0))))</f>
        <v>0</v>
      </c>
      <c r="L129" s="124" t="n">
        <f aca="false">J129*K129</f>
        <v>0</v>
      </c>
      <c r="M129" s="124" t="n">
        <f aca="false">SUM(J$97:J129)</f>
        <v>0</v>
      </c>
      <c r="N129" s="124" t="n">
        <f aca="false">SUM(J$6:J129)</f>
        <v>-37239</v>
      </c>
      <c r="P129" s="124" t="n">
        <f aca="false">D129/P$3</f>
        <v>0</v>
      </c>
      <c r="Q129" s="124" t="n">
        <f aca="false">E129/P$3</f>
        <v>0</v>
      </c>
      <c r="R129" s="124" t="n">
        <f aca="false">F129/R$3</f>
        <v>0</v>
      </c>
      <c r="S129" s="126" t="n">
        <f aca="false">J129/$R$3</f>
        <v>0</v>
      </c>
      <c r="T129" s="126" t="n">
        <f aca="false">L129/$R$3</f>
        <v>0</v>
      </c>
      <c r="U129" s="126" t="n">
        <f aca="false">I129/$R$3</f>
        <v>0</v>
      </c>
      <c r="V129" s="126" t="n">
        <f aca="false">M129/$R$3</f>
        <v>0</v>
      </c>
      <c r="W129" s="126" t="n">
        <f aca="false">N129/$R$3</f>
        <v>-37.239</v>
      </c>
    </row>
    <row r="130" customFormat="false" ht="12.75" hidden="false" customHeight="false" outlineLevel="0" collapsed="false">
      <c r="A130" s="120" t="n">
        <f aca="false">A129+1</f>
        <v>37016</v>
      </c>
      <c r="B130" s="131" t="str">
        <f aca="false">INDEX('[4]Master Data'!$A$2:$B$8,MATCH(WEEKDAY('GNS Bolv Gas MTM'!A130,3),'[4]Master Data'!$A$2:$A$8,0),2)</f>
        <v>Sa</v>
      </c>
      <c r="D130" s="124" t="n">
        <v>0</v>
      </c>
      <c r="E130" s="124" t="n">
        <v>0</v>
      </c>
      <c r="F130" s="124" t="n">
        <v>0</v>
      </c>
      <c r="G130" s="124" t="n">
        <v>0</v>
      </c>
      <c r="I130" s="124" t="n">
        <f aca="false">IF(MONTH($A130)=MONTH($A129),IF(G130=0,I129,G130),G130)</f>
        <v>0</v>
      </c>
      <c r="J130" s="124" t="n">
        <f aca="false">IF(MONTH($A130)=MONTH($A129),SUM(I130-I129),I130)</f>
        <v>0</v>
      </c>
      <c r="K130" s="124" t="n">
        <f aca="false">IF(WEEKDAY(A130,3)&gt;4,0,(IF(A130&lt;K$2,0,IF(A130&lt;=K$3,1,0))))</f>
        <v>0</v>
      </c>
      <c r="L130" s="124" t="n">
        <f aca="false">J130*K130</f>
        <v>0</v>
      </c>
      <c r="M130" s="124" t="n">
        <f aca="false">SUM(J$97:J130)</f>
        <v>0</v>
      </c>
      <c r="N130" s="124" t="n">
        <f aca="false">SUM(J$6:J130)</f>
        <v>-37239</v>
      </c>
      <c r="P130" s="124" t="n">
        <f aca="false">D130/P$3</f>
        <v>0</v>
      </c>
      <c r="Q130" s="124" t="n">
        <f aca="false">E130/P$3</f>
        <v>0</v>
      </c>
      <c r="R130" s="124" t="n">
        <f aca="false">F130/R$3</f>
        <v>0</v>
      </c>
      <c r="S130" s="126" t="n">
        <f aca="false">J130/$R$3</f>
        <v>0</v>
      </c>
      <c r="T130" s="126" t="n">
        <f aca="false">L130/$R$3</f>
        <v>0</v>
      </c>
      <c r="U130" s="126" t="n">
        <f aca="false">I130/$R$3</f>
        <v>0</v>
      </c>
      <c r="V130" s="126" t="n">
        <f aca="false">M130/$R$3</f>
        <v>0</v>
      </c>
      <c r="W130" s="126" t="n">
        <f aca="false">N130/$R$3</f>
        <v>-37.239</v>
      </c>
    </row>
    <row r="131" customFormat="false" ht="12.75" hidden="false" customHeight="false" outlineLevel="0" collapsed="false">
      <c r="A131" s="120" t="n">
        <f aca="false">A130+1</f>
        <v>37017</v>
      </c>
      <c r="B131" s="131" t="str">
        <f aca="false">INDEX('[4]Master Data'!$A$2:$B$8,MATCH(WEEKDAY('GNS Bolv Gas MTM'!A131,3),'[4]Master Data'!$A$2:$A$8,0),2)</f>
        <v>Su</v>
      </c>
      <c r="D131" s="124" t="n">
        <v>0</v>
      </c>
      <c r="E131" s="124" t="n">
        <v>0</v>
      </c>
      <c r="F131" s="124" t="n">
        <v>0</v>
      </c>
      <c r="G131" s="124" t="n">
        <v>0</v>
      </c>
      <c r="I131" s="124" t="n">
        <f aca="false">IF(MONTH($A131)=MONTH($A130),IF(G131=0,I130,G131),G131)</f>
        <v>0</v>
      </c>
      <c r="J131" s="124" t="n">
        <f aca="false">IF(MONTH($A131)=MONTH($A130),SUM(I131-I130),I131)</f>
        <v>0</v>
      </c>
      <c r="K131" s="124" t="n">
        <f aca="false">IF(WEEKDAY(A131,3)&gt;4,0,(IF(A131&lt;K$2,0,IF(A131&lt;=K$3,1,0))))</f>
        <v>0</v>
      </c>
      <c r="L131" s="124" t="n">
        <f aca="false">J131*K131</f>
        <v>0</v>
      </c>
      <c r="M131" s="124" t="n">
        <f aca="false">SUM(J$97:J131)</f>
        <v>0</v>
      </c>
      <c r="N131" s="124" t="n">
        <f aca="false">SUM(J$6:J131)</f>
        <v>-37239</v>
      </c>
      <c r="P131" s="124" t="n">
        <f aca="false">D131/P$3</f>
        <v>0</v>
      </c>
      <c r="Q131" s="124" t="n">
        <f aca="false">E131/P$3</f>
        <v>0</v>
      </c>
      <c r="R131" s="124" t="n">
        <f aca="false">F131/R$3</f>
        <v>0</v>
      </c>
      <c r="S131" s="126" t="n">
        <f aca="false">J131/$R$3</f>
        <v>0</v>
      </c>
      <c r="T131" s="126" t="n">
        <f aca="false">L131/$R$3</f>
        <v>0</v>
      </c>
      <c r="U131" s="126" t="n">
        <f aca="false">I131/$R$3</f>
        <v>0</v>
      </c>
      <c r="V131" s="126" t="n">
        <f aca="false">M131/$R$3</f>
        <v>0</v>
      </c>
      <c r="W131" s="126" t="n">
        <f aca="false">N131/$R$3</f>
        <v>-37.239</v>
      </c>
    </row>
    <row r="132" customFormat="false" ht="12.75" hidden="false" customHeight="false" outlineLevel="0" collapsed="false">
      <c r="A132" s="120" t="n">
        <f aca="false">A131+1</f>
        <v>37018</v>
      </c>
      <c r="B132" s="131" t="str">
        <f aca="false">INDEX('[4]Master Data'!$A$2:$B$8,MATCH(WEEKDAY('GNS Bolv Gas MTM'!A132,3),'[4]Master Data'!$A$2:$A$8,0),2)</f>
        <v>M</v>
      </c>
      <c r="D132" s="124" t="n">
        <v>0</v>
      </c>
      <c r="E132" s="124" t="n">
        <v>0</v>
      </c>
      <c r="F132" s="124" t="n">
        <v>0</v>
      </c>
      <c r="G132" s="124" t="n">
        <v>0</v>
      </c>
      <c r="I132" s="124" t="n">
        <f aca="false">IF(MONTH($A132)=MONTH($A131),IF(G132=0,I131,G132),G132)</f>
        <v>0</v>
      </c>
      <c r="J132" s="124" t="n">
        <f aca="false">IF(MONTH($A132)=MONTH($A131),SUM(I132-I131),I132)</f>
        <v>0</v>
      </c>
      <c r="K132" s="124" t="n">
        <f aca="false">IF(WEEKDAY(A132,3)&gt;4,0,(IF(A132&lt;K$2,0,IF(A132&lt;=K$3,1,0))))</f>
        <v>0</v>
      </c>
      <c r="L132" s="124" t="n">
        <f aca="false">J132*K132</f>
        <v>0</v>
      </c>
      <c r="M132" s="124" t="n">
        <f aca="false">SUM(J$97:J132)</f>
        <v>0</v>
      </c>
      <c r="N132" s="124" t="n">
        <f aca="false">SUM(J$6:J132)</f>
        <v>-37239</v>
      </c>
      <c r="P132" s="124" t="n">
        <f aca="false">D132/P$3</f>
        <v>0</v>
      </c>
      <c r="Q132" s="124" t="n">
        <f aca="false">E132/P$3</f>
        <v>0</v>
      </c>
      <c r="R132" s="124" t="n">
        <f aca="false">F132/R$3</f>
        <v>0</v>
      </c>
      <c r="S132" s="126" t="n">
        <f aca="false">J132/$R$3</f>
        <v>0</v>
      </c>
      <c r="T132" s="126" t="n">
        <f aca="false">L132/$R$3</f>
        <v>0</v>
      </c>
      <c r="U132" s="126" t="n">
        <f aca="false">I132/$R$3</f>
        <v>0</v>
      </c>
      <c r="V132" s="126" t="n">
        <f aca="false">M132/$R$3</f>
        <v>0</v>
      </c>
      <c r="W132" s="126" t="n">
        <f aca="false">N132/$R$3</f>
        <v>-37.239</v>
      </c>
    </row>
    <row r="133" customFormat="false" ht="12.75" hidden="false" customHeight="false" outlineLevel="0" collapsed="false">
      <c r="A133" s="120" t="n">
        <f aca="false">A132+1</f>
        <v>37019</v>
      </c>
      <c r="B133" s="131" t="str">
        <f aca="false">INDEX('[4]Master Data'!$A$2:$B$8,MATCH(WEEKDAY('GNS Bolv Gas MTM'!A133,3),'[4]Master Data'!$A$2:$A$8,0),2)</f>
        <v>T</v>
      </c>
      <c r="D133" s="124" t="n">
        <v>0</v>
      </c>
      <c r="E133" s="124" t="n">
        <v>0</v>
      </c>
      <c r="F133" s="124" t="n">
        <v>0</v>
      </c>
      <c r="G133" s="124" t="n">
        <v>0</v>
      </c>
      <c r="I133" s="124" t="n">
        <f aca="false">IF(MONTH($A133)=MONTH($A132),IF(G133=0,I132,G133),G133)</f>
        <v>0</v>
      </c>
      <c r="J133" s="124" t="n">
        <f aca="false">IF(MONTH($A133)=MONTH($A132),SUM(I133-I132),I133)</f>
        <v>0</v>
      </c>
      <c r="K133" s="124" t="n">
        <f aca="false">IF(WEEKDAY(A133,3)&gt;4,0,(IF(A133&lt;K$2,0,IF(A133&lt;=K$3,1,0))))</f>
        <v>0</v>
      </c>
      <c r="L133" s="124" t="n">
        <f aca="false">J133*K133</f>
        <v>0</v>
      </c>
      <c r="M133" s="124" t="n">
        <f aca="false">SUM(J$97:J133)</f>
        <v>0</v>
      </c>
      <c r="N133" s="124" t="n">
        <f aca="false">SUM(J$6:J133)</f>
        <v>-37239</v>
      </c>
      <c r="P133" s="124" t="n">
        <f aca="false">D133/P$3</f>
        <v>0</v>
      </c>
      <c r="Q133" s="124" t="n">
        <f aca="false">E133/P$3</f>
        <v>0</v>
      </c>
      <c r="R133" s="124" t="n">
        <f aca="false">F133/R$3</f>
        <v>0</v>
      </c>
      <c r="S133" s="126" t="n">
        <f aca="false">J133/$R$3</f>
        <v>0</v>
      </c>
      <c r="T133" s="126" t="n">
        <f aca="false">L133/$R$3</f>
        <v>0</v>
      </c>
      <c r="U133" s="126" t="n">
        <f aca="false">I133/$R$3</f>
        <v>0</v>
      </c>
      <c r="V133" s="126" t="n">
        <f aca="false">M133/$R$3</f>
        <v>0</v>
      </c>
      <c r="W133" s="126" t="n">
        <f aca="false">N133/$R$3</f>
        <v>-37.239</v>
      </c>
    </row>
    <row r="134" customFormat="false" ht="12.75" hidden="false" customHeight="false" outlineLevel="0" collapsed="false">
      <c r="A134" s="120" t="n">
        <f aca="false">A133+1</f>
        <v>37020</v>
      </c>
      <c r="B134" s="131" t="str">
        <f aca="false">INDEX('[4]Master Data'!$A$2:$B$8,MATCH(WEEKDAY('GNS Bolv Gas MTM'!A134,3),'[4]Master Data'!$A$2:$A$8,0),2)</f>
        <v>W</v>
      </c>
      <c r="D134" s="124" t="n">
        <v>0</v>
      </c>
      <c r="E134" s="124" t="n">
        <v>0</v>
      </c>
      <c r="F134" s="124" t="n">
        <v>0</v>
      </c>
      <c r="G134" s="124" t="n">
        <v>0</v>
      </c>
      <c r="I134" s="124" t="n">
        <f aca="false">IF(MONTH($A134)=MONTH($A133),IF(G134=0,I133,G134),G134)</f>
        <v>0</v>
      </c>
      <c r="J134" s="124" t="n">
        <f aca="false">IF(MONTH($A134)=MONTH($A133),SUM(I134-I133),I134)</f>
        <v>0</v>
      </c>
      <c r="K134" s="124" t="n">
        <f aca="false">IF(WEEKDAY(A134,3)&gt;4,0,(IF(A134&lt;K$2,0,IF(A134&lt;=K$3,1,0))))</f>
        <v>0</v>
      </c>
      <c r="L134" s="124" t="n">
        <f aca="false">J134*K134</f>
        <v>0</v>
      </c>
      <c r="M134" s="124" t="n">
        <f aca="false">SUM(J$97:J134)</f>
        <v>0</v>
      </c>
      <c r="N134" s="124" t="n">
        <f aca="false">SUM(J$6:J134)</f>
        <v>-37239</v>
      </c>
      <c r="P134" s="124" t="n">
        <f aca="false">D134/P$3</f>
        <v>0</v>
      </c>
      <c r="Q134" s="124" t="n">
        <f aca="false">E134/P$3</f>
        <v>0</v>
      </c>
      <c r="R134" s="124" t="n">
        <f aca="false">F134/R$3</f>
        <v>0</v>
      </c>
      <c r="S134" s="126" t="n">
        <f aca="false">J134/$R$3</f>
        <v>0</v>
      </c>
      <c r="T134" s="126" t="n">
        <f aca="false">L134/$R$3</f>
        <v>0</v>
      </c>
      <c r="U134" s="126" t="n">
        <f aca="false">I134/$R$3</f>
        <v>0</v>
      </c>
      <c r="V134" s="126" t="n">
        <f aca="false">M134/$R$3</f>
        <v>0</v>
      </c>
      <c r="W134" s="126" t="n">
        <f aca="false">N134/$R$3</f>
        <v>-37.239</v>
      </c>
    </row>
    <row r="135" customFormat="false" ht="12.75" hidden="false" customHeight="false" outlineLevel="0" collapsed="false">
      <c r="A135" s="120" t="n">
        <f aca="false">A134+1</f>
        <v>37021</v>
      </c>
      <c r="B135" s="131" t="str">
        <f aca="false">INDEX('[4]Master Data'!$A$2:$B$8,MATCH(WEEKDAY('GNS Bolv Gas MTM'!A135,3),'[4]Master Data'!$A$2:$A$8,0),2)</f>
        <v>Th</v>
      </c>
      <c r="D135" s="124" t="n">
        <v>0</v>
      </c>
      <c r="E135" s="124" t="n">
        <v>0</v>
      </c>
      <c r="F135" s="124" t="n">
        <v>0</v>
      </c>
      <c r="G135" s="124" t="n">
        <v>0</v>
      </c>
      <c r="I135" s="124" t="n">
        <f aca="false">IF(MONTH($A135)=MONTH($A134),IF(G135=0,I134,G135),G135)</f>
        <v>0</v>
      </c>
      <c r="J135" s="124" t="n">
        <f aca="false">IF(MONTH($A135)=MONTH($A134),SUM(I135-I134),I135)</f>
        <v>0</v>
      </c>
      <c r="K135" s="124" t="n">
        <f aca="false">IF(WEEKDAY(A135,3)&gt;4,0,(IF(A135&lt;K$2,0,IF(A135&lt;=K$3,1,0))))</f>
        <v>0</v>
      </c>
      <c r="L135" s="124" t="n">
        <f aca="false">J135*K135</f>
        <v>0</v>
      </c>
      <c r="M135" s="124" t="n">
        <f aca="false">SUM(J$97:J135)</f>
        <v>0</v>
      </c>
      <c r="N135" s="124" t="n">
        <f aca="false">SUM(J$6:J135)</f>
        <v>-37239</v>
      </c>
      <c r="P135" s="124" t="n">
        <f aca="false">D135/P$3</f>
        <v>0</v>
      </c>
      <c r="Q135" s="124" t="n">
        <f aca="false">E135/P$3</f>
        <v>0</v>
      </c>
      <c r="R135" s="124" t="n">
        <f aca="false">F135/R$3</f>
        <v>0</v>
      </c>
      <c r="S135" s="126" t="n">
        <f aca="false">J135/$R$3</f>
        <v>0</v>
      </c>
      <c r="T135" s="126" t="n">
        <f aca="false">L135/$R$3</f>
        <v>0</v>
      </c>
      <c r="U135" s="126" t="n">
        <f aca="false">I135/$R$3</f>
        <v>0</v>
      </c>
      <c r="V135" s="126" t="n">
        <f aca="false">M135/$R$3</f>
        <v>0</v>
      </c>
      <c r="W135" s="126" t="n">
        <f aca="false">N135/$R$3</f>
        <v>-37.239</v>
      </c>
    </row>
    <row r="136" customFormat="false" ht="12.75" hidden="false" customHeight="false" outlineLevel="0" collapsed="false">
      <c r="A136" s="120" t="n">
        <f aca="false">A135+1</f>
        <v>37022</v>
      </c>
      <c r="B136" s="131" t="str">
        <f aca="false">INDEX('[4]Master Data'!$A$2:$B$8,MATCH(WEEKDAY('GNS Bolv Gas MTM'!A136,3),'[4]Master Data'!$A$2:$A$8,0),2)</f>
        <v>F</v>
      </c>
      <c r="D136" s="124" t="n">
        <v>0</v>
      </c>
      <c r="E136" s="124" t="n">
        <v>0</v>
      </c>
      <c r="F136" s="124" t="n">
        <v>0</v>
      </c>
      <c r="G136" s="124" t="n">
        <v>0</v>
      </c>
      <c r="I136" s="124" t="n">
        <f aca="false">IF(MONTH($A136)=MONTH($A135),IF(G136=0,I135,G136),G136)</f>
        <v>0</v>
      </c>
      <c r="J136" s="124" t="n">
        <f aca="false">IF(MONTH($A136)=MONTH($A135),SUM(I136-I135),I136)</f>
        <v>0</v>
      </c>
      <c r="K136" s="124" t="n">
        <f aca="false">IF(WEEKDAY(A136,3)&gt;4,0,(IF(A136&lt;K$2,0,IF(A136&lt;=K$3,1,0))))</f>
        <v>0</v>
      </c>
      <c r="L136" s="124" t="n">
        <f aca="false">J136*K136</f>
        <v>0</v>
      </c>
      <c r="M136" s="124" t="n">
        <f aca="false">SUM(J$97:J136)</f>
        <v>0</v>
      </c>
      <c r="N136" s="124" t="n">
        <f aca="false">SUM(J$6:J136)</f>
        <v>-37239</v>
      </c>
      <c r="P136" s="124" t="n">
        <f aca="false">D136/P$3</f>
        <v>0</v>
      </c>
      <c r="Q136" s="124" t="n">
        <f aca="false">E136/P$3</f>
        <v>0</v>
      </c>
      <c r="R136" s="124" t="n">
        <f aca="false">F136/R$3</f>
        <v>0</v>
      </c>
      <c r="S136" s="126" t="n">
        <f aca="false">J136/$R$3</f>
        <v>0</v>
      </c>
      <c r="T136" s="126" t="n">
        <f aca="false">L136/$R$3</f>
        <v>0</v>
      </c>
      <c r="U136" s="126" t="n">
        <f aca="false">I136/$R$3</f>
        <v>0</v>
      </c>
      <c r="V136" s="126" t="n">
        <f aca="false">M136/$R$3</f>
        <v>0</v>
      </c>
      <c r="W136" s="126" t="n">
        <f aca="false">N136/$R$3</f>
        <v>-37.239</v>
      </c>
    </row>
    <row r="137" customFormat="false" ht="12.75" hidden="false" customHeight="false" outlineLevel="0" collapsed="false">
      <c r="A137" s="120" t="n">
        <f aca="false">A136+1</f>
        <v>37023</v>
      </c>
      <c r="B137" s="131" t="str">
        <f aca="false">INDEX('[4]Master Data'!$A$2:$B$8,MATCH(WEEKDAY('GNS Bolv Gas MTM'!A137,3),'[4]Master Data'!$A$2:$A$8,0),2)</f>
        <v>Sa</v>
      </c>
      <c r="D137" s="124" t="n">
        <v>0</v>
      </c>
      <c r="E137" s="124" t="n">
        <v>0</v>
      </c>
      <c r="F137" s="124" t="n">
        <v>0</v>
      </c>
      <c r="G137" s="124" t="n">
        <v>0</v>
      </c>
      <c r="I137" s="124" t="n">
        <f aca="false">IF(MONTH($A137)=MONTH($A136),IF(G137=0,I136,G137),G137)</f>
        <v>0</v>
      </c>
      <c r="J137" s="124" t="n">
        <f aca="false">IF(MONTH($A137)=MONTH($A136),SUM(I137-I136),I137)</f>
        <v>0</v>
      </c>
      <c r="K137" s="124" t="n">
        <f aca="false">IF(WEEKDAY(A137,3)&gt;4,0,(IF(A137&lt;K$2,0,IF(A137&lt;=K$3,1,0))))</f>
        <v>0</v>
      </c>
      <c r="L137" s="124" t="n">
        <f aca="false">J137*K137</f>
        <v>0</v>
      </c>
      <c r="M137" s="124" t="n">
        <f aca="false">SUM(J$97:J137)</f>
        <v>0</v>
      </c>
      <c r="N137" s="124" t="n">
        <f aca="false">SUM(J$6:J137)</f>
        <v>-37239</v>
      </c>
      <c r="P137" s="124" t="n">
        <f aca="false">D137/P$3</f>
        <v>0</v>
      </c>
      <c r="Q137" s="124" t="n">
        <f aca="false">E137/P$3</f>
        <v>0</v>
      </c>
      <c r="R137" s="124" t="n">
        <f aca="false">F137/R$3</f>
        <v>0</v>
      </c>
      <c r="S137" s="126" t="n">
        <f aca="false">J137/$R$3</f>
        <v>0</v>
      </c>
      <c r="T137" s="126" t="n">
        <f aca="false">L137/$R$3</f>
        <v>0</v>
      </c>
      <c r="U137" s="126" t="n">
        <f aca="false">I137/$R$3</f>
        <v>0</v>
      </c>
      <c r="V137" s="126" t="n">
        <f aca="false">M137/$R$3</f>
        <v>0</v>
      </c>
      <c r="W137" s="126" t="n">
        <f aca="false">N137/$R$3</f>
        <v>-37.239</v>
      </c>
    </row>
    <row r="138" customFormat="false" ht="12.75" hidden="false" customHeight="false" outlineLevel="0" collapsed="false">
      <c r="A138" s="120" t="n">
        <f aca="false">A137+1</f>
        <v>37024</v>
      </c>
      <c r="B138" s="131" t="str">
        <f aca="false">INDEX('[4]Master Data'!$A$2:$B$8,MATCH(WEEKDAY('GNS Bolv Gas MTM'!A138,3),'[4]Master Data'!$A$2:$A$8,0),2)</f>
        <v>Su</v>
      </c>
      <c r="D138" s="124" t="n">
        <v>0</v>
      </c>
      <c r="E138" s="124" t="n">
        <v>0</v>
      </c>
      <c r="F138" s="124" t="n">
        <v>0</v>
      </c>
      <c r="G138" s="124" t="n">
        <v>0</v>
      </c>
      <c r="I138" s="124" t="n">
        <f aca="false">IF(MONTH($A138)=MONTH($A137),IF(G138=0,I137,G138),G138)</f>
        <v>0</v>
      </c>
      <c r="J138" s="124" t="n">
        <f aca="false">IF(MONTH($A138)=MONTH($A137),SUM(I138-I137),I138)</f>
        <v>0</v>
      </c>
      <c r="K138" s="124" t="n">
        <f aca="false">IF(WEEKDAY(A138,3)&gt;4,0,(IF(A138&lt;K$2,0,IF(A138&lt;=K$3,1,0))))</f>
        <v>0</v>
      </c>
      <c r="L138" s="124" t="n">
        <f aca="false">J138*K138</f>
        <v>0</v>
      </c>
      <c r="M138" s="124" t="n">
        <f aca="false">SUM(J$97:J138)</f>
        <v>0</v>
      </c>
      <c r="N138" s="124" t="n">
        <f aca="false">SUM(J$6:J138)</f>
        <v>-37239</v>
      </c>
      <c r="P138" s="124" t="n">
        <f aca="false">D138/P$3</f>
        <v>0</v>
      </c>
      <c r="Q138" s="124" t="n">
        <f aca="false">E138/P$3</f>
        <v>0</v>
      </c>
      <c r="R138" s="124" t="n">
        <f aca="false">F138/R$3</f>
        <v>0</v>
      </c>
      <c r="S138" s="126" t="n">
        <f aca="false">J138/$R$3</f>
        <v>0</v>
      </c>
      <c r="T138" s="126" t="n">
        <f aca="false">L138/$R$3</f>
        <v>0</v>
      </c>
      <c r="U138" s="126" t="n">
        <f aca="false">I138/$R$3</f>
        <v>0</v>
      </c>
      <c r="V138" s="126" t="n">
        <f aca="false">M138/$R$3</f>
        <v>0</v>
      </c>
      <c r="W138" s="126" t="n">
        <f aca="false">N138/$R$3</f>
        <v>-37.239</v>
      </c>
    </row>
    <row r="139" customFormat="false" ht="12.75" hidden="false" customHeight="false" outlineLevel="0" collapsed="false">
      <c r="A139" s="120" t="n">
        <f aca="false">A138+1</f>
        <v>37025</v>
      </c>
      <c r="B139" s="131" t="str">
        <f aca="false">INDEX('[4]Master Data'!$A$2:$B$8,MATCH(WEEKDAY('GNS Bolv Gas MTM'!A139,3),'[4]Master Data'!$A$2:$A$8,0),2)</f>
        <v>M</v>
      </c>
      <c r="D139" s="124" t="n">
        <v>0</v>
      </c>
      <c r="E139" s="124" t="n">
        <v>0</v>
      </c>
      <c r="F139" s="124" t="n">
        <v>0</v>
      </c>
      <c r="G139" s="124" t="n">
        <v>0</v>
      </c>
      <c r="I139" s="124" t="n">
        <f aca="false">IF(MONTH($A139)=MONTH($A138),IF(G139=0,I138,G139),G139)</f>
        <v>0</v>
      </c>
      <c r="J139" s="124" t="n">
        <f aca="false">IF(MONTH($A139)=MONTH($A138),SUM(I139-I138),I139)</f>
        <v>0</v>
      </c>
      <c r="K139" s="124" t="n">
        <f aca="false">IF(WEEKDAY(A139,3)&gt;4,0,(IF(A139&lt;K$2,0,IF(A139&lt;=K$3,1,0))))</f>
        <v>0</v>
      </c>
      <c r="L139" s="124" t="n">
        <f aca="false">J139*K139</f>
        <v>0</v>
      </c>
      <c r="M139" s="124" t="n">
        <f aca="false">SUM(J$97:J139)</f>
        <v>0</v>
      </c>
      <c r="N139" s="124" t="n">
        <f aca="false">SUM(J$6:J139)</f>
        <v>-37239</v>
      </c>
      <c r="P139" s="124" t="n">
        <f aca="false">D139/P$3</f>
        <v>0</v>
      </c>
      <c r="Q139" s="124" t="n">
        <f aca="false">E139/P$3</f>
        <v>0</v>
      </c>
      <c r="R139" s="124" t="n">
        <f aca="false">F139/R$3</f>
        <v>0</v>
      </c>
      <c r="S139" s="126" t="n">
        <f aca="false">J139/$R$3</f>
        <v>0</v>
      </c>
      <c r="T139" s="126" t="n">
        <f aca="false">L139/$R$3</f>
        <v>0</v>
      </c>
      <c r="U139" s="126" t="n">
        <f aca="false">I139/$R$3</f>
        <v>0</v>
      </c>
      <c r="V139" s="126" t="n">
        <f aca="false">M139/$R$3</f>
        <v>0</v>
      </c>
      <c r="W139" s="126" t="n">
        <f aca="false">N139/$R$3</f>
        <v>-37.239</v>
      </c>
    </row>
    <row r="140" customFormat="false" ht="12.75" hidden="false" customHeight="false" outlineLevel="0" collapsed="false">
      <c r="A140" s="120" t="n">
        <f aca="false">A139+1</f>
        <v>37026</v>
      </c>
      <c r="B140" s="131" t="str">
        <f aca="false">INDEX('[4]Master Data'!$A$2:$B$8,MATCH(WEEKDAY('GNS Bolv Gas MTM'!A140,3),'[4]Master Data'!$A$2:$A$8,0),2)</f>
        <v>T</v>
      </c>
      <c r="D140" s="124" t="n">
        <v>0</v>
      </c>
      <c r="E140" s="124" t="n">
        <v>0</v>
      </c>
      <c r="F140" s="124" t="n">
        <v>0</v>
      </c>
      <c r="G140" s="124" t="n">
        <v>0</v>
      </c>
      <c r="I140" s="124" t="n">
        <f aca="false">IF(MONTH($A140)=MONTH($A139),IF(G140=0,I139,G140),G140)</f>
        <v>0</v>
      </c>
      <c r="J140" s="124" t="n">
        <f aca="false">IF(MONTH($A140)=MONTH($A139),SUM(I140-I139),I140)</f>
        <v>0</v>
      </c>
      <c r="K140" s="124" t="n">
        <f aca="false">IF(WEEKDAY(A140,3)&gt;4,0,(IF(A140&lt;K$2,0,IF(A140&lt;=K$3,1,0))))</f>
        <v>0</v>
      </c>
      <c r="L140" s="124" t="n">
        <f aca="false">J140*K140</f>
        <v>0</v>
      </c>
      <c r="M140" s="124" t="n">
        <f aca="false">SUM(J$97:J140)</f>
        <v>0</v>
      </c>
      <c r="N140" s="124" t="n">
        <f aca="false">SUM(J$6:J140)</f>
        <v>-37239</v>
      </c>
      <c r="P140" s="124" t="n">
        <f aca="false">D140/P$3</f>
        <v>0</v>
      </c>
      <c r="Q140" s="124" t="n">
        <f aca="false">E140/P$3</f>
        <v>0</v>
      </c>
      <c r="R140" s="124" t="n">
        <f aca="false">F140/R$3</f>
        <v>0</v>
      </c>
      <c r="S140" s="126" t="n">
        <f aca="false">J140/$R$3</f>
        <v>0</v>
      </c>
      <c r="T140" s="126" t="n">
        <f aca="false">L140/$R$3</f>
        <v>0</v>
      </c>
      <c r="U140" s="126" t="n">
        <f aca="false">I140/$R$3</f>
        <v>0</v>
      </c>
      <c r="V140" s="126" t="n">
        <f aca="false">M140/$R$3</f>
        <v>0</v>
      </c>
      <c r="W140" s="126" t="n">
        <f aca="false">N140/$R$3</f>
        <v>-37.239</v>
      </c>
    </row>
    <row r="141" customFormat="false" ht="12.75" hidden="false" customHeight="false" outlineLevel="0" collapsed="false">
      <c r="A141" s="120" t="n">
        <f aca="false">A140+1</f>
        <v>37027</v>
      </c>
      <c r="B141" s="131" t="str">
        <f aca="false">INDEX('[4]Master Data'!$A$2:$B$8,MATCH(WEEKDAY('GNS Bolv Gas MTM'!A141,3),'[4]Master Data'!$A$2:$A$8,0),2)</f>
        <v>W</v>
      </c>
      <c r="D141" s="124" t="n">
        <v>0</v>
      </c>
      <c r="E141" s="124" t="n">
        <v>0</v>
      </c>
      <c r="F141" s="124" t="n">
        <v>0</v>
      </c>
      <c r="G141" s="124" t="n">
        <v>0</v>
      </c>
      <c r="I141" s="124" t="n">
        <f aca="false">IF(MONTH($A141)=MONTH($A140),IF(G141=0,I140,G141),G141)</f>
        <v>0</v>
      </c>
      <c r="J141" s="124" t="n">
        <f aca="false">IF(MONTH($A141)=MONTH($A140),SUM(I141-I140),I141)</f>
        <v>0</v>
      </c>
      <c r="K141" s="124" t="n">
        <f aca="false">IF(WEEKDAY(A141,3)&gt;4,0,(IF(A141&lt;K$2,0,IF(A141&lt;=K$3,1,0))))</f>
        <v>0</v>
      </c>
      <c r="L141" s="124" t="n">
        <f aca="false">J141*K141</f>
        <v>0</v>
      </c>
      <c r="M141" s="124" t="n">
        <f aca="false">SUM(J$97:J141)</f>
        <v>0</v>
      </c>
      <c r="N141" s="124" t="n">
        <f aca="false">SUM(J$6:J141)</f>
        <v>-37239</v>
      </c>
      <c r="P141" s="124" t="n">
        <f aca="false">D141/P$3</f>
        <v>0</v>
      </c>
      <c r="Q141" s="124" t="n">
        <f aca="false">E141/P$3</f>
        <v>0</v>
      </c>
      <c r="R141" s="124" t="n">
        <f aca="false">F141/R$3</f>
        <v>0</v>
      </c>
      <c r="S141" s="126" t="n">
        <f aca="false">J141/$R$3</f>
        <v>0</v>
      </c>
      <c r="T141" s="126" t="n">
        <f aca="false">L141/$R$3</f>
        <v>0</v>
      </c>
      <c r="U141" s="126" t="n">
        <f aca="false">I141/$R$3</f>
        <v>0</v>
      </c>
      <c r="V141" s="126" t="n">
        <f aca="false">M141/$R$3</f>
        <v>0</v>
      </c>
      <c r="W141" s="126" t="n">
        <f aca="false">N141/$R$3</f>
        <v>-37.239</v>
      </c>
    </row>
    <row r="142" customFormat="false" ht="12.75" hidden="false" customHeight="false" outlineLevel="0" collapsed="false">
      <c r="A142" s="120" t="n">
        <f aca="false">A141+1</f>
        <v>37028</v>
      </c>
      <c r="B142" s="131" t="str">
        <f aca="false">INDEX('[4]Master Data'!$A$2:$B$8,MATCH(WEEKDAY('GNS Bolv Gas MTM'!A142,3),'[4]Master Data'!$A$2:$A$8,0),2)</f>
        <v>Th</v>
      </c>
      <c r="D142" s="124" t="n">
        <v>0</v>
      </c>
      <c r="E142" s="124" t="n">
        <v>0</v>
      </c>
      <c r="F142" s="124" t="n">
        <v>0</v>
      </c>
      <c r="G142" s="124" t="n">
        <v>0</v>
      </c>
      <c r="I142" s="124" t="n">
        <f aca="false">IF(MONTH($A142)=MONTH($A141),IF(G142=0,I141,G142),G142)</f>
        <v>0</v>
      </c>
      <c r="J142" s="124" t="n">
        <f aca="false">IF(MONTH($A142)=MONTH($A141),SUM(I142-I141),I142)</f>
        <v>0</v>
      </c>
      <c r="K142" s="124" t="n">
        <f aca="false">IF(WEEKDAY(A142,3)&gt;4,0,(IF(A142&lt;K$2,0,IF(A142&lt;=K$3,1,0))))</f>
        <v>0</v>
      </c>
      <c r="L142" s="124" t="n">
        <f aca="false">J142*K142</f>
        <v>0</v>
      </c>
      <c r="M142" s="124" t="n">
        <f aca="false">SUM(J$97:J142)</f>
        <v>0</v>
      </c>
      <c r="N142" s="124" t="n">
        <f aca="false">SUM(J$6:J142)</f>
        <v>-37239</v>
      </c>
      <c r="P142" s="124" t="n">
        <f aca="false">D142/P$3</f>
        <v>0</v>
      </c>
      <c r="Q142" s="124" t="n">
        <f aca="false">E142/P$3</f>
        <v>0</v>
      </c>
      <c r="R142" s="124" t="n">
        <f aca="false">F142/R$3</f>
        <v>0</v>
      </c>
      <c r="S142" s="126" t="n">
        <f aca="false">J142/$R$3</f>
        <v>0</v>
      </c>
      <c r="T142" s="126" t="n">
        <f aca="false">L142/$R$3</f>
        <v>0</v>
      </c>
      <c r="U142" s="126" t="n">
        <f aca="false">I142/$R$3</f>
        <v>0</v>
      </c>
      <c r="V142" s="126" t="n">
        <f aca="false">M142/$R$3</f>
        <v>0</v>
      </c>
      <c r="W142" s="126" t="n">
        <f aca="false">N142/$R$3</f>
        <v>-37.239</v>
      </c>
    </row>
    <row r="143" customFormat="false" ht="12.75" hidden="false" customHeight="false" outlineLevel="0" collapsed="false">
      <c r="A143" s="120" t="n">
        <f aca="false">A142+1</f>
        <v>37029</v>
      </c>
      <c r="B143" s="131" t="str">
        <f aca="false">INDEX('[4]Master Data'!$A$2:$B$8,MATCH(WEEKDAY('GNS Bolv Gas MTM'!A143,3),'[4]Master Data'!$A$2:$A$8,0),2)</f>
        <v>F</v>
      </c>
      <c r="D143" s="124" t="n">
        <v>0</v>
      </c>
      <c r="E143" s="124" t="n">
        <v>0</v>
      </c>
      <c r="F143" s="124" t="n">
        <v>0</v>
      </c>
      <c r="G143" s="124" t="n">
        <v>0</v>
      </c>
      <c r="I143" s="124" t="n">
        <f aca="false">IF(MONTH($A143)=MONTH($A142),IF(G143=0,I142,G143),G143)</f>
        <v>0</v>
      </c>
      <c r="J143" s="124" t="n">
        <f aca="false">IF(MONTH($A143)=MONTH($A142),SUM(I143-I142),I143)</f>
        <v>0</v>
      </c>
      <c r="K143" s="124" t="n">
        <f aca="false">IF(WEEKDAY(A143,3)&gt;4,0,(IF(A143&lt;K$2,0,IF(A143&lt;=K$3,1,0))))</f>
        <v>0</v>
      </c>
      <c r="L143" s="124" t="n">
        <f aca="false">J143*K143</f>
        <v>0</v>
      </c>
      <c r="M143" s="124" t="n">
        <f aca="false">SUM(J$97:J143)</f>
        <v>0</v>
      </c>
      <c r="N143" s="124" t="n">
        <f aca="false">SUM(J$6:J143)</f>
        <v>-37239</v>
      </c>
      <c r="P143" s="124" t="n">
        <f aca="false">D143/P$3</f>
        <v>0</v>
      </c>
      <c r="Q143" s="124" t="n">
        <f aca="false">E143/P$3</f>
        <v>0</v>
      </c>
      <c r="R143" s="124" t="n">
        <f aca="false">F143/R$3</f>
        <v>0</v>
      </c>
      <c r="S143" s="126" t="n">
        <f aca="false">J143/$R$3</f>
        <v>0</v>
      </c>
      <c r="T143" s="126" t="n">
        <f aca="false">L143/$R$3</f>
        <v>0</v>
      </c>
      <c r="U143" s="126" t="n">
        <f aca="false">I143/$R$3</f>
        <v>0</v>
      </c>
      <c r="V143" s="126" t="n">
        <f aca="false">M143/$R$3</f>
        <v>0</v>
      </c>
      <c r="W143" s="126" t="n">
        <f aca="false">N143/$R$3</f>
        <v>-37.239</v>
      </c>
    </row>
    <row r="144" customFormat="false" ht="12.75" hidden="false" customHeight="false" outlineLevel="0" collapsed="false">
      <c r="A144" s="120" t="n">
        <f aca="false">A143+1</f>
        <v>37030</v>
      </c>
      <c r="B144" s="131" t="str">
        <f aca="false">INDEX('[4]Master Data'!$A$2:$B$8,MATCH(WEEKDAY('GNS Bolv Gas MTM'!A144,3),'[4]Master Data'!$A$2:$A$8,0),2)</f>
        <v>Sa</v>
      </c>
      <c r="D144" s="124" t="n">
        <v>0</v>
      </c>
      <c r="E144" s="124" t="n">
        <v>0</v>
      </c>
      <c r="F144" s="124" t="n">
        <v>0</v>
      </c>
      <c r="G144" s="124" t="n">
        <v>0</v>
      </c>
      <c r="I144" s="124" t="n">
        <f aca="false">IF(MONTH($A144)=MONTH($A143),IF(G144=0,I143,G144),G144)</f>
        <v>0</v>
      </c>
      <c r="J144" s="124" t="n">
        <f aca="false">IF(MONTH($A144)=MONTH($A143),SUM(I144-I143),I144)</f>
        <v>0</v>
      </c>
      <c r="K144" s="124" t="n">
        <f aca="false">IF(WEEKDAY(A144,3)&gt;4,0,(IF(A144&lt;K$2,0,IF(A144&lt;=K$3,1,0))))</f>
        <v>0</v>
      </c>
      <c r="L144" s="124" t="n">
        <f aca="false">J144*K144</f>
        <v>0</v>
      </c>
      <c r="M144" s="124" t="n">
        <f aca="false">SUM(J$97:J144)</f>
        <v>0</v>
      </c>
      <c r="N144" s="124" t="n">
        <f aca="false">SUM(J$6:J144)</f>
        <v>-37239</v>
      </c>
      <c r="P144" s="124" t="n">
        <f aca="false">D144/P$3</f>
        <v>0</v>
      </c>
      <c r="Q144" s="124" t="n">
        <f aca="false">E144/P$3</f>
        <v>0</v>
      </c>
      <c r="R144" s="124" t="n">
        <f aca="false">F144/R$3</f>
        <v>0</v>
      </c>
      <c r="S144" s="126" t="n">
        <f aca="false">J144/$R$3</f>
        <v>0</v>
      </c>
      <c r="T144" s="126" t="n">
        <f aca="false">L144/$R$3</f>
        <v>0</v>
      </c>
      <c r="U144" s="126" t="n">
        <f aca="false">I144/$R$3</f>
        <v>0</v>
      </c>
      <c r="V144" s="126" t="n">
        <f aca="false">M144/$R$3</f>
        <v>0</v>
      </c>
      <c r="W144" s="126" t="n">
        <f aca="false">N144/$R$3</f>
        <v>-37.239</v>
      </c>
    </row>
    <row r="145" customFormat="false" ht="12.75" hidden="false" customHeight="false" outlineLevel="0" collapsed="false">
      <c r="A145" s="120" t="n">
        <f aca="false">A144+1</f>
        <v>37031</v>
      </c>
      <c r="B145" s="131" t="str">
        <f aca="false">INDEX('[4]Master Data'!$A$2:$B$8,MATCH(WEEKDAY('GNS Bolv Gas MTM'!A145,3),'[4]Master Data'!$A$2:$A$8,0),2)</f>
        <v>Su</v>
      </c>
      <c r="D145" s="124" t="n">
        <v>0</v>
      </c>
      <c r="E145" s="124" t="n">
        <v>0</v>
      </c>
      <c r="F145" s="124" t="n">
        <v>0</v>
      </c>
      <c r="G145" s="124" t="n">
        <v>0</v>
      </c>
      <c r="I145" s="124" t="n">
        <f aca="false">IF(MONTH($A145)=MONTH($A144),IF(G145=0,I144,G145),G145)</f>
        <v>0</v>
      </c>
      <c r="J145" s="124" t="n">
        <f aca="false">IF(MONTH($A145)=MONTH($A144),SUM(I145-I144),I145)</f>
        <v>0</v>
      </c>
      <c r="K145" s="124" t="n">
        <f aca="false">IF(WEEKDAY(A145,3)&gt;4,0,(IF(A145&lt;K$2,0,IF(A145&lt;=K$3,1,0))))</f>
        <v>0</v>
      </c>
      <c r="L145" s="124" t="n">
        <f aca="false">J145*K145</f>
        <v>0</v>
      </c>
      <c r="M145" s="124" t="n">
        <f aca="false">SUM(J$97:J145)</f>
        <v>0</v>
      </c>
      <c r="N145" s="124" t="n">
        <f aca="false">SUM(J$6:J145)</f>
        <v>-37239</v>
      </c>
      <c r="P145" s="124" t="n">
        <f aca="false">D145/P$3</f>
        <v>0</v>
      </c>
      <c r="Q145" s="124" t="n">
        <f aca="false">E145/P$3</f>
        <v>0</v>
      </c>
      <c r="R145" s="124" t="n">
        <f aca="false">F145/R$3</f>
        <v>0</v>
      </c>
      <c r="S145" s="126" t="n">
        <f aca="false">J145/$R$3</f>
        <v>0</v>
      </c>
      <c r="T145" s="126" t="n">
        <f aca="false">L145/$R$3</f>
        <v>0</v>
      </c>
      <c r="U145" s="126" t="n">
        <f aca="false">I145/$R$3</f>
        <v>0</v>
      </c>
      <c r="V145" s="126" t="n">
        <f aca="false">M145/$R$3</f>
        <v>0</v>
      </c>
      <c r="W145" s="126" t="n">
        <f aca="false">N145/$R$3</f>
        <v>-37.239</v>
      </c>
    </row>
    <row r="146" customFormat="false" ht="12.75" hidden="false" customHeight="false" outlineLevel="0" collapsed="false">
      <c r="A146" s="120" t="n">
        <f aca="false">A145+1</f>
        <v>37032</v>
      </c>
      <c r="B146" s="131" t="str">
        <f aca="false">INDEX('[4]Master Data'!$A$2:$B$8,MATCH(WEEKDAY('GNS Bolv Gas MTM'!A146,3),'[4]Master Data'!$A$2:$A$8,0),2)</f>
        <v>M</v>
      </c>
      <c r="D146" s="124" t="n">
        <v>0</v>
      </c>
      <c r="E146" s="124" t="n">
        <v>0</v>
      </c>
      <c r="F146" s="124" t="n">
        <v>0</v>
      </c>
      <c r="G146" s="124" t="n">
        <v>0</v>
      </c>
      <c r="I146" s="124" t="n">
        <f aca="false">IF(MONTH($A146)=MONTH($A145),IF(G146=0,I145,G146),G146)</f>
        <v>0</v>
      </c>
      <c r="J146" s="124" t="n">
        <f aca="false">IF(MONTH($A146)=MONTH($A145),SUM(I146-I145),I146)</f>
        <v>0</v>
      </c>
      <c r="K146" s="124" t="n">
        <f aca="false">IF(WEEKDAY(A146,3)&gt;4,0,(IF(A146&lt;K$2,0,IF(A146&lt;=K$3,1,0))))</f>
        <v>0</v>
      </c>
      <c r="L146" s="124" t="n">
        <f aca="false">J146*K146</f>
        <v>0</v>
      </c>
      <c r="M146" s="124" t="n">
        <f aca="false">SUM(J$97:J146)</f>
        <v>0</v>
      </c>
      <c r="N146" s="124" t="n">
        <f aca="false">SUM(J$6:J146)</f>
        <v>-37239</v>
      </c>
      <c r="P146" s="124" t="n">
        <f aca="false">D146/P$3</f>
        <v>0</v>
      </c>
      <c r="Q146" s="124" t="n">
        <f aca="false">E146/P$3</f>
        <v>0</v>
      </c>
      <c r="R146" s="124" t="n">
        <f aca="false">F146/R$3</f>
        <v>0</v>
      </c>
      <c r="S146" s="126" t="n">
        <f aca="false">J146/$R$3</f>
        <v>0</v>
      </c>
      <c r="T146" s="126" t="n">
        <f aca="false">L146/$R$3</f>
        <v>0</v>
      </c>
      <c r="U146" s="126" t="n">
        <f aca="false">I146/$R$3</f>
        <v>0</v>
      </c>
      <c r="V146" s="126" t="n">
        <f aca="false">M146/$R$3</f>
        <v>0</v>
      </c>
      <c r="W146" s="126" t="n">
        <f aca="false">N146/$R$3</f>
        <v>-37.239</v>
      </c>
    </row>
    <row r="147" customFormat="false" ht="12.75" hidden="false" customHeight="false" outlineLevel="0" collapsed="false">
      <c r="A147" s="120" t="n">
        <f aca="false">A146+1</f>
        <v>37033</v>
      </c>
      <c r="B147" s="131" t="str">
        <f aca="false">INDEX('[4]Master Data'!$A$2:$B$8,MATCH(WEEKDAY('GNS Bolv Gas MTM'!A147,3),'[4]Master Data'!$A$2:$A$8,0),2)</f>
        <v>T</v>
      </c>
      <c r="D147" s="124" t="n">
        <v>0</v>
      </c>
      <c r="E147" s="124" t="n">
        <v>0</v>
      </c>
      <c r="F147" s="124" t="n">
        <v>0</v>
      </c>
      <c r="G147" s="124" t="n">
        <v>0</v>
      </c>
      <c r="I147" s="124" t="n">
        <f aca="false">IF(MONTH($A147)=MONTH($A146),IF(G147=0,I146,G147),G147)</f>
        <v>0</v>
      </c>
      <c r="J147" s="124" t="n">
        <f aca="false">IF(MONTH($A147)=MONTH($A146),SUM(I147-I146),I147)</f>
        <v>0</v>
      </c>
      <c r="K147" s="124" t="n">
        <f aca="false">IF(WEEKDAY(A147,3)&gt;4,0,(IF(A147&lt;K$2,0,IF(A147&lt;=K$3,1,0))))</f>
        <v>0</v>
      </c>
      <c r="L147" s="124" t="n">
        <f aca="false">J147*K147</f>
        <v>0</v>
      </c>
      <c r="M147" s="124" t="n">
        <f aca="false">SUM(J$97:J147)</f>
        <v>0</v>
      </c>
      <c r="N147" s="124" t="n">
        <f aca="false">SUM(J$6:J147)</f>
        <v>-37239</v>
      </c>
      <c r="P147" s="124" t="n">
        <f aca="false">D147/P$3</f>
        <v>0</v>
      </c>
      <c r="Q147" s="124" t="n">
        <f aca="false">E147/P$3</f>
        <v>0</v>
      </c>
      <c r="R147" s="124" t="n">
        <f aca="false">F147/R$3</f>
        <v>0</v>
      </c>
      <c r="S147" s="126" t="n">
        <f aca="false">J147/$R$3</f>
        <v>0</v>
      </c>
      <c r="T147" s="126" t="n">
        <f aca="false">L147/$R$3</f>
        <v>0</v>
      </c>
      <c r="U147" s="126" t="n">
        <f aca="false">I147/$R$3</f>
        <v>0</v>
      </c>
      <c r="V147" s="126" t="n">
        <f aca="false">M147/$R$3</f>
        <v>0</v>
      </c>
      <c r="W147" s="126" t="n">
        <f aca="false">N147/$R$3</f>
        <v>-37.239</v>
      </c>
    </row>
    <row r="148" customFormat="false" ht="12.75" hidden="false" customHeight="false" outlineLevel="0" collapsed="false">
      <c r="A148" s="120" t="n">
        <f aca="false">A147+1</f>
        <v>37034</v>
      </c>
      <c r="B148" s="131" t="str">
        <f aca="false">INDEX('[4]Master Data'!$A$2:$B$8,MATCH(WEEKDAY('GNS Bolv Gas MTM'!A148,3),'[4]Master Data'!$A$2:$A$8,0),2)</f>
        <v>W</v>
      </c>
      <c r="D148" s="124" t="n">
        <v>0</v>
      </c>
      <c r="E148" s="124" t="n">
        <v>0</v>
      </c>
      <c r="F148" s="124" t="n">
        <v>0</v>
      </c>
      <c r="G148" s="124" t="n">
        <v>0</v>
      </c>
      <c r="I148" s="124" t="n">
        <f aca="false">IF(MONTH($A148)=MONTH($A147),IF(G148=0,I147,G148),G148)</f>
        <v>0</v>
      </c>
      <c r="J148" s="124" t="n">
        <f aca="false">IF(MONTH($A148)=MONTH($A147),SUM(I148-I147),I148)</f>
        <v>0</v>
      </c>
      <c r="K148" s="124" t="n">
        <f aca="false">IF(WEEKDAY(A148,3)&gt;4,0,(IF(A148&lt;K$2,0,IF(A148&lt;=K$3,1,0))))</f>
        <v>0</v>
      </c>
      <c r="L148" s="124" t="n">
        <f aca="false">J148*K148</f>
        <v>0</v>
      </c>
      <c r="M148" s="124" t="n">
        <f aca="false">SUM(J$97:J148)</f>
        <v>0</v>
      </c>
      <c r="N148" s="124" t="n">
        <f aca="false">SUM(J$6:J148)</f>
        <v>-37239</v>
      </c>
      <c r="P148" s="124" t="n">
        <f aca="false">D148/P$3</f>
        <v>0</v>
      </c>
      <c r="Q148" s="124" t="n">
        <f aca="false">E148/P$3</f>
        <v>0</v>
      </c>
      <c r="R148" s="124" t="n">
        <f aca="false">F148/R$3</f>
        <v>0</v>
      </c>
      <c r="S148" s="126" t="n">
        <f aca="false">J148/$R$3</f>
        <v>0</v>
      </c>
      <c r="T148" s="126" t="n">
        <f aca="false">L148/$R$3</f>
        <v>0</v>
      </c>
      <c r="U148" s="126" t="n">
        <f aca="false">I148/$R$3</f>
        <v>0</v>
      </c>
      <c r="V148" s="126" t="n">
        <f aca="false">M148/$R$3</f>
        <v>0</v>
      </c>
      <c r="W148" s="126" t="n">
        <f aca="false">N148/$R$3</f>
        <v>-37.239</v>
      </c>
    </row>
    <row r="149" customFormat="false" ht="12.75" hidden="false" customHeight="false" outlineLevel="0" collapsed="false">
      <c r="A149" s="120" t="n">
        <f aca="false">A148+1</f>
        <v>37035</v>
      </c>
      <c r="B149" s="131" t="str">
        <f aca="false">INDEX('[4]Master Data'!$A$2:$B$8,MATCH(WEEKDAY('GNS Bolv Gas MTM'!A149,3),'[4]Master Data'!$A$2:$A$8,0),2)</f>
        <v>Th</v>
      </c>
      <c r="D149" s="124" t="n">
        <v>0</v>
      </c>
      <c r="E149" s="124" t="n">
        <v>0</v>
      </c>
      <c r="F149" s="124" t="n">
        <v>0</v>
      </c>
      <c r="G149" s="124" t="n">
        <v>0</v>
      </c>
      <c r="I149" s="124" t="n">
        <f aca="false">IF(MONTH($A149)=MONTH($A148),IF(G149=0,I148,G149),G149)</f>
        <v>0</v>
      </c>
      <c r="J149" s="124" t="n">
        <f aca="false">IF(MONTH($A149)=MONTH($A148),SUM(I149-I148),I149)</f>
        <v>0</v>
      </c>
      <c r="K149" s="124" t="n">
        <f aca="false">IF(WEEKDAY(A149,3)&gt;4,0,(IF(A149&lt;K$2,0,IF(A149&lt;=K$3,1,0))))</f>
        <v>0</v>
      </c>
      <c r="L149" s="124" t="n">
        <f aca="false">J149*K149</f>
        <v>0</v>
      </c>
      <c r="M149" s="124" t="n">
        <f aca="false">SUM(J$97:J149)</f>
        <v>0</v>
      </c>
      <c r="N149" s="124" t="n">
        <f aca="false">SUM(J$6:J149)</f>
        <v>-37239</v>
      </c>
      <c r="P149" s="124" t="n">
        <f aca="false">D149/P$3</f>
        <v>0</v>
      </c>
      <c r="Q149" s="124" t="n">
        <f aca="false">E149/P$3</f>
        <v>0</v>
      </c>
      <c r="R149" s="124" t="n">
        <f aca="false">F149/R$3</f>
        <v>0</v>
      </c>
      <c r="S149" s="126" t="n">
        <f aca="false">J149/$R$3</f>
        <v>0</v>
      </c>
      <c r="T149" s="126" t="n">
        <f aca="false">L149/$R$3</f>
        <v>0</v>
      </c>
      <c r="U149" s="126" t="n">
        <f aca="false">I149/$R$3</f>
        <v>0</v>
      </c>
      <c r="V149" s="126" t="n">
        <f aca="false">M149/$R$3</f>
        <v>0</v>
      </c>
      <c r="W149" s="126" t="n">
        <f aca="false">N149/$R$3</f>
        <v>-37.239</v>
      </c>
    </row>
    <row r="150" customFormat="false" ht="12.75" hidden="false" customHeight="false" outlineLevel="0" collapsed="false">
      <c r="A150" s="120" t="n">
        <f aca="false">A149+1</f>
        <v>37036</v>
      </c>
      <c r="B150" s="131" t="str">
        <f aca="false">INDEX('[4]Master Data'!$A$2:$B$8,MATCH(WEEKDAY('GNS Bolv Gas MTM'!A150,3),'[4]Master Data'!$A$2:$A$8,0),2)</f>
        <v>F</v>
      </c>
      <c r="D150" s="124" t="n">
        <v>0</v>
      </c>
      <c r="E150" s="124" t="n">
        <v>0</v>
      </c>
      <c r="F150" s="124" t="n">
        <v>0</v>
      </c>
      <c r="G150" s="124" t="n">
        <v>0</v>
      </c>
      <c r="I150" s="124" t="n">
        <f aca="false">IF(MONTH($A150)=MONTH($A149),IF(G150=0,I149,G150),G150)</f>
        <v>0</v>
      </c>
      <c r="J150" s="124" t="n">
        <f aca="false">IF(MONTH($A150)=MONTH($A149),SUM(I150-I149),I150)</f>
        <v>0</v>
      </c>
      <c r="K150" s="124" t="n">
        <f aca="false">IF(WEEKDAY(A150,3)&gt;4,0,(IF(A150&lt;K$2,0,IF(A150&lt;=K$3,1,0))))</f>
        <v>0</v>
      </c>
      <c r="L150" s="124" t="n">
        <f aca="false">J150*K150</f>
        <v>0</v>
      </c>
      <c r="M150" s="124" t="n">
        <f aca="false">SUM(J$97:J150)</f>
        <v>0</v>
      </c>
      <c r="N150" s="124" t="n">
        <f aca="false">SUM(J$6:J150)</f>
        <v>-37239</v>
      </c>
      <c r="P150" s="124" t="n">
        <f aca="false">D150/P$3</f>
        <v>0</v>
      </c>
      <c r="Q150" s="124" t="n">
        <f aca="false">E150/P$3</f>
        <v>0</v>
      </c>
      <c r="R150" s="124" t="n">
        <f aca="false">F150/R$3</f>
        <v>0</v>
      </c>
      <c r="S150" s="126" t="n">
        <f aca="false">J150/$R$3</f>
        <v>0</v>
      </c>
      <c r="T150" s="126" t="n">
        <f aca="false">L150/$R$3</f>
        <v>0</v>
      </c>
      <c r="U150" s="126" t="n">
        <f aca="false">I150/$R$3</f>
        <v>0</v>
      </c>
      <c r="V150" s="126" t="n">
        <f aca="false">M150/$R$3</f>
        <v>0</v>
      </c>
      <c r="W150" s="126" t="n">
        <f aca="false">N150/$R$3</f>
        <v>-37.239</v>
      </c>
    </row>
    <row r="151" customFormat="false" ht="12.75" hidden="false" customHeight="false" outlineLevel="0" collapsed="false">
      <c r="A151" s="120" t="n">
        <f aca="false">A150+1</f>
        <v>37037</v>
      </c>
      <c r="B151" s="131" t="str">
        <f aca="false">INDEX('[4]Master Data'!$A$2:$B$8,MATCH(WEEKDAY('GNS Bolv Gas MTM'!A151,3),'[4]Master Data'!$A$2:$A$8,0),2)</f>
        <v>Sa</v>
      </c>
      <c r="D151" s="124" t="n">
        <v>0</v>
      </c>
      <c r="E151" s="124" t="n">
        <v>0</v>
      </c>
      <c r="F151" s="124" t="n">
        <v>0</v>
      </c>
      <c r="G151" s="124" t="n">
        <v>0</v>
      </c>
      <c r="I151" s="124" t="n">
        <f aca="false">IF(MONTH($A151)=MONTH($A150),IF(G151=0,I150,G151),G151)</f>
        <v>0</v>
      </c>
      <c r="J151" s="124" t="n">
        <f aca="false">IF(MONTH($A151)=MONTH($A150),SUM(I151-I150),I151)</f>
        <v>0</v>
      </c>
      <c r="K151" s="124" t="n">
        <f aca="false">IF(WEEKDAY(A151,3)&gt;4,0,(IF(A151&lt;K$2,0,IF(A151&lt;=K$3,1,0))))</f>
        <v>0</v>
      </c>
      <c r="L151" s="124" t="n">
        <f aca="false">J151*K151</f>
        <v>0</v>
      </c>
      <c r="M151" s="124" t="n">
        <f aca="false">SUM(J$97:J151)</f>
        <v>0</v>
      </c>
      <c r="N151" s="124" t="n">
        <f aca="false">SUM(J$6:J151)</f>
        <v>-37239</v>
      </c>
      <c r="P151" s="124" t="n">
        <f aca="false">D151/P$3</f>
        <v>0</v>
      </c>
      <c r="Q151" s="124" t="n">
        <f aca="false">E151/P$3</f>
        <v>0</v>
      </c>
      <c r="R151" s="124" t="n">
        <f aca="false">F151/R$3</f>
        <v>0</v>
      </c>
      <c r="S151" s="126" t="n">
        <f aca="false">J151/$R$3</f>
        <v>0</v>
      </c>
      <c r="T151" s="126" t="n">
        <f aca="false">L151/$R$3</f>
        <v>0</v>
      </c>
      <c r="U151" s="126" t="n">
        <f aca="false">I151/$R$3</f>
        <v>0</v>
      </c>
      <c r="V151" s="126" t="n">
        <f aca="false">M151/$R$3</f>
        <v>0</v>
      </c>
      <c r="W151" s="126" t="n">
        <f aca="false">N151/$R$3</f>
        <v>-37.239</v>
      </c>
    </row>
    <row r="152" customFormat="false" ht="12.75" hidden="false" customHeight="false" outlineLevel="0" collapsed="false">
      <c r="A152" s="120" t="n">
        <f aca="false">A151+1</f>
        <v>37038</v>
      </c>
      <c r="B152" s="131" t="str">
        <f aca="false">INDEX('[4]Master Data'!$A$2:$B$8,MATCH(WEEKDAY('GNS Bolv Gas MTM'!A152,3),'[4]Master Data'!$A$2:$A$8,0),2)</f>
        <v>Su</v>
      </c>
      <c r="D152" s="124" t="n">
        <v>0</v>
      </c>
      <c r="E152" s="124" t="n">
        <v>0</v>
      </c>
      <c r="F152" s="124" t="n">
        <v>0</v>
      </c>
      <c r="G152" s="124" t="n">
        <v>0</v>
      </c>
      <c r="I152" s="124" t="n">
        <f aca="false">IF(MONTH($A152)=MONTH($A151),IF(G152=0,I151,G152),G152)</f>
        <v>0</v>
      </c>
      <c r="J152" s="124" t="n">
        <f aca="false">IF(MONTH($A152)=MONTH($A151),SUM(I152-I151),I152)</f>
        <v>0</v>
      </c>
      <c r="K152" s="124" t="n">
        <f aca="false">IF(WEEKDAY(A152,3)&gt;4,0,(IF(A152&lt;K$2,0,IF(A152&lt;=K$3,1,0))))</f>
        <v>0</v>
      </c>
      <c r="L152" s="124" t="n">
        <f aca="false">J152*K152</f>
        <v>0</v>
      </c>
      <c r="M152" s="124" t="n">
        <f aca="false">SUM(J$97:J152)</f>
        <v>0</v>
      </c>
      <c r="N152" s="124" t="n">
        <f aca="false">SUM(J$6:J152)</f>
        <v>-37239</v>
      </c>
      <c r="P152" s="124" t="n">
        <f aca="false">D152/P$3</f>
        <v>0</v>
      </c>
      <c r="Q152" s="124" t="n">
        <f aca="false">E152/P$3</f>
        <v>0</v>
      </c>
      <c r="R152" s="124" t="n">
        <f aca="false">F152/R$3</f>
        <v>0</v>
      </c>
      <c r="S152" s="126" t="n">
        <f aca="false">J152/$R$3</f>
        <v>0</v>
      </c>
      <c r="T152" s="126" t="n">
        <f aca="false">L152/$R$3</f>
        <v>0</v>
      </c>
      <c r="U152" s="126" t="n">
        <f aca="false">I152/$R$3</f>
        <v>0</v>
      </c>
      <c r="V152" s="126" t="n">
        <f aca="false">M152/$R$3</f>
        <v>0</v>
      </c>
      <c r="W152" s="126" t="n">
        <f aca="false">N152/$R$3</f>
        <v>-37.239</v>
      </c>
    </row>
    <row r="153" customFormat="false" ht="12.75" hidden="false" customHeight="false" outlineLevel="0" collapsed="false">
      <c r="A153" s="120" t="n">
        <f aca="false">A152+1</f>
        <v>37039</v>
      </c>
      <c r="B153" s="131" t="str">
        <f aca="false">INDEX('[4]Master Data'!$A$2:$B$8,MATCH(WEEKDAY('GNS Bolv Gas MTM'!A153,3),'[4]Master Data'!$A$2:$A$8,0),2)</f>
        <v>M</v>
      </c>
      <c r="D153" s="124" t="n">
        <v>0</v>
      </c>
      <c r="E153" s="124" t="n">
        <v>0</v>
      </c>
      <c r="F153" s="124" t="n">
        <v>0</v>
      </c>
      <c r="G153" s="124" t="n">
        <v>0</v>
      </c>
      <c r="I153" s="124" t="n">
        <f aca="false">IF(MONTH($A153)=MONTH($A152),IF(G153=0,I152,G153),G153)</f>
        <v>0</v>
      </c>
      <c r="J153" s="124" t="n">
        <f aca="false">IF(MONTH($A153)=MONTH($A152),SUM(I153-I152),I153)</f>
        <v>0</v>
      </c>
      <c r="K153" s="124" t="n">
        <f aca="false">IF(WEEKDAY(A153,3)&gt;4,0,(IF(A153&lt;K$2,0,IF(A153&lt;=K$3,1,0))))</f>
        <v>0</v>
      </c>
      <c r="L153" s="124" t="n">
        <f aca="false">J153*K153</f>
        <v>0</v>
      </c>
      <c r="M153" s="124" t="n">
        <f aca="false">SUM(J$97:J153)</f>
        <v>0</v>
      </c>
      <c r="N153" s="124" t="n">
        <f aca="false">SUM(J$6:J153)</f>
        <v>-37239</v>
      </c>
      <c r="P153" s="124" t="n">
        <f aca="false">D153/P$3</f>
        <v>0</v>
      </c>
      <c r="Q153" s="124" t="n">
        <f aca="false">E153/P$3</f>
        <v>0</v>
      </c>
      <c r="R153" s="124" t="n">
        <f aca="false">F153/R$3</f>
        <v>0</v>
      </c>
      <c r="S153" s="126" t="n">
        <f aca="false">J153/$R$3</f>
        <v>0</v>
      </c>
      <c r="T153" s="126" t="n">
        <f aca="false">L153/$R$3</f>
        <v>0</v>
      </c>
      <c r="U153" s="126" t="n">
        <f aca="false">I153/$R$3</f>
        <v>0</v>
      </c>
      <c r="V153" s="126" t="n">
        <f aca="false">M153/$R$3</f>
        <v>0</v>
      </c>
      <c r="W153" s="126" t="n">
        <f aca="false">N153/$R$3</f>
        <v>-37.239</v>
      </c>
    </row>
    <row r="154" customFormat="false" ht="12.75" hidden="false" customHeight="false" outlineLevel="0" collapsed="false">
      <c r="A154" s="120" t="n">
        <f aca="false">A153+1</f>
        <v>37040</v>
      </c>
      <c r="B154" s="131" t="str">
        <f aca="false">INDEX('[4]Master Data'!$A$2:$B$8,MATCH(WEEKDAY('GNS Bolv Gas MTM'!A154,3),'[4]Master Data'!$A$2:$A$8,0),2)</f>
        <v>T</v>
      </c>
      <c r="D154" s="124" t="n">
        <v>0</v>
      </c>
      <c r="E154" s="124" t="n">
        <v>0</v>
      </c>
      <c r="F154" s="124" t="n">
        <v>0</v>
      </c>
      <c r="G154" s="124" t="n">
        <v>0</v>
      </c>
      <c r="I154" s="124" t="n">
        <f aca="false">IF(MONTH($A154)=MONTH($A153),IF(G154=0,I153,G154),G154)</f>
        <v>0</v>
      </c>
      <c r="J154" s="124" t="n">
        <f aca="false">IF(MONTH($A154)=MONTH($A153),SUM(I154-I153),I154)</f>
        <v>0</v>
      </c>
      <c r="K154" s="124" t="n">
        <f aca="false">IF(WEEKDAY(A154,3)&gt;4,0,(IF(A154&lt;K$2,0,IF(A154&lt;=K$3,1,0))))</f>
        <v>0</v>
      </c>
      <c r="L154" s="124" t="n">
        <f aca="false">J154*K154</f>
        <v>0</v>
      </c>
      <c r="M154" s="124" t="n">
        <f aca="false">SUM(J$97:J154)</f>
        <v>0</v>
      </c>
      <c r="N154" s="124" t="n">
        <f aca="false">SUM(J$6:J154)</f>
        <v>-37239</v>
      </c>
      <c r="P154" s="124" t="n">
        <f aca="false">D154/P$3</f>
        <v>0</v>
      </c>
      <c r="Q154" s="124" t="n">
        <f aca="false">E154/P$3</f>
        <v>0</v>
      </c>
      <c r="R154" s="124" t="n">
        <f aca="false">F154/R$3</f>
        <v>0</v>
      </c>
      <c r="S154" s="126" t="n">
        <f aca="false">J154/$R$3</f>
        <v>0</v>
      </c>
      <c r="T154" s="126" t="n">
        <f aca="false">L154/$R$3</f>
        <v>0</v>
      </c>
      <c r="U154" s="126" t="n">
        <f aca="false">I154/$R$3</f>
        <v>0</v>
      </c>
      <c r="V154" s="126" t="n">
        <f aca="false">M154/$R$3</f>
        <v>0</v>
      </c>
      <c r="W154" s="126" t="n">
        <f aca="false">N154/$R$3</f>
        <v>-37.239</v>
      </c>
    </row>
    <row r="155" customFormat="false" ht="12.75" hidden="false" customHeight="false" outlineLevel="0" collapsed="false">
      <c r="A155" s="120" t="n">
        <f aca="false">A154+1</f>
        <v>37041</v>
      </c>
      <c r="B155" s="131" t="str">
        <f aca="false">INDEX('[4]Master Data'!$A$2:$B$8,MATCH(WEEKDAY('GNS Bolv Gas MTM'!A155,3),'[4]Master Data'!$A$2:$A$8,0),2)</f>
        <v>W</v>
      </c>
      <c r="D155" s="124" t="n">
        <v>0</v>
      </c>
      <c r="E155" s="124" t="n">
        <v>0</v>
      </c>
      <c r="F155" s="124" t="n">
        <v>0</v>
      </c>
      <c r="G155" s="124" t="n">
        <v>0</v>
      </c>
      <c r="I155" s="124" t="n">
        <f aca="false">IF(MONTH($A155)=MONTH($A154),IF(G155=0,I154,G155),G155)</f>
        <v>0</v>
      </c>
      <c r="J155" s="124" t="n">
        <f aca="false">IF(MONTH($A155)=MONTH($A154),SUM(I155-I154),I155)</f>
        <v>0</v>
      </c>
      <c r="K155" s="124" t="n">
        <f aca="false">IF(WEEKDAY(A155,3)&gt;4,0,(IF(A155&lt;K$2,0,IF(A155&lt;=K$3,1,0))))</f>
        <v>0</v>
      </c>
      <c r="L155" s="124" t="n">
        <f aca="false">J155*K155</f>
        <v>0</v>
      </c>
      <c r="M155" s="124" t="n">
        <f aca="false">SUM(J$97:J155)</f>
        <v>0</v>
      </c>
      <c r="N155" s="124" t="n">
        <f aca="false">SUM(J$6:J155)</f>
        <v>-37239</v>
      </c>
      <c r="P155" s="124" t="n">
        <f aca="false">D155/P$3</f>
        <v>0</v>
      </c>
      <c r="Q155" s="124" t="n">
        <f aca="false">E155/P$3</f>
        <v>0</v>
      </c>
      <c r="R155" s="124" t="n">
        <f aca="false">F155/R$3</f>
        <v>0</v>
      </c>
      <c r="S155" s="126" t="n">
        <f aca="false">J155/$R$3</f>
        <v>0</v>
      </c>
      <c r="T155" s="126" t="n">
        <f aca="false">L155/$R$3</f>
        <v>0</v>
      </c>
      <c r="U155" s="126" t="n">
        <f aca="false">I155/$R$3</f>
        <v>0</v>
      </c>
      <c r="V155" s="126" t="n">
        <f aca="false">M155/$R$3</f>
        <v>0</v>
      </c>
      <c r="W155" s="126" t="n">
        <f aca="false">N155/$R$3</f>
        <v>-37.239</v>
      </c>
    </row>
    <row r="156" customFormat="false" ht="12.75" hidden="false" customHeight="false" outlineLevel="0" collapsed="false">
      <c r="A156" s="120" t="n">
        <f aca="false">A155+1</f>
        <v>37042</v>
      </c>
      <c r="B156" s="131" t="str">
        <f aca="false">INDEX('[4]Master Data'!$A$2:$B$8,MATCH(WEEKDAY('GNS Bolv Gas MTM'!A156,3),'[4]Master Data'!$A$2:$A$8,0),2)</f>
        <v>Th</v>
      </c>
      <c r="D156" s="124" t="n">
        <v>0</v>
      </c>
      <c r="E156" s="124" t="n">
        <v>0</v>
      </c>
      <c r="F156" s="124" t="n">
        <v>0</v>
      </c>
      <c r="G156" s="124" t="n">
        <v>0</v>
      </c>
      <c r="I156" s="124" t="n">
        <f aca="false">IF(MONTH($A156)=MONTH($A155),IF(G156=0,I155,G156),G156)</f>
        <v>0</v>
      </c>
      <c r="J156" s="124" t="n">
        <f aca="false">IF(MONTH($A156)=MONTH($A155),SUM(I156-I155),I156)</f>
        <v>0</v>
      </c>
      <c r="K156" s="124" t="n">
        <f aca="false">IF(WEEKDAY(A156,3)&gt;4,0,(IF(A156&lt;K$2,0,IF(A156&lt;=K$3,1,0))))</f>
        <v>0</v>
      </c>
      <c r="L156" s="124" t="n">
        <f aca="false">J156*K156</f>
        <v>0</v>
      </c>
      <c r="M156" s="124" t="n">
        <f aca="false">SUM(J$97:J156)</f>
        <v>0</v>
      </c>
      <c r="N156" s="124" t="n">
        <f aca="false">SUM(J$6:J156)</f>
        <v>-37239</v>
      </c>
      <c r="P156" s="124" t="n">
        <f aca="false">D156/P$3</f>
        <v>0</v>
      </c>
      <c r="Q156" s="124" t="n">
        <f aca="false">E156/P$3</f>
        <v>0</v>
      </c>
      <c r="R156" s="124" t="n">
        <f aca="false">F156/R$3</f>
        <v>0</v>
      </c>
      <c r="S156" s="126" t="n">
        <f aca="false">J156/$R$3</f>
        <v>0</v>
      </c>
      <c r="T156" s="126" t="n">
        <f aca="false">L156/$R$3</f>
        <v>0</v>
      </c>
      <c r="U156" s="126" t="n">
        <f aca="false">I156/$R$3</f>
        <v>0</v>
      </c>
      <c r="V156" s="126" t="n">
        <f aca="false">M156/$R$3</f>
        <v>0</v>
      </c>
      <c r="W156" s="126" t="n">
        <f aca="false">N156/$R$3</f>
        <v>-37.239</v>
      </c>
    </row>
    <row r="157" customFormat="false" ht="12.75" hidden="false" customHeight="false" outlineLevel="0" collapsed="false">
      <c r="A157" s="120" t="n">
        <f aca="false">A156+1</f>
        <v>37043</v>
      </c>
      <c r="B157" s="131" t="str">
        <f aca="false">INDEX('[4]Master Data'!$A$2:$B$8,MATCH(WEEKDAY('GNS Bolv Gas MTM'!A157,3),'[4]Master Data'!$A$2:$A$8,0),2)</f>
        <v>F</v>
      </c>
      <c r="D157" s="124" t="n">
        <v>0</v>
      </c>
      <c r="E157" s="124" t="n">
        <v>0</v>
      </c>
      <c r="F157" s="124" t="n">
        <v>0</v>
      </c>
      <c r="G157" s="124" t="n">
        <v>0</v>
      </c>
      <c r="I157" s="124" t="n">
        <f aca="false">IF(MONTH($A157)=MONTH($A156),IF(G157=0,I156,G157),G157)</f>
        <v>0</v>
      </c>
      <c r="J157" s="124" t="n">
        <f aca="false">IF(MONTH($A157)=MONTH($A156),SUM(I157-I156),I157)</f>
        <v>0</v>
      </c>
      <c r="K157" s="124" t="n">
        <f aca="false">IF(WEEKDAY(A157,3)&gt;4,0,(IF(A157&lt;K$2,0,IF(A157&lt;=K$3,1,0))))</f>
        <v>0</v>
      </c>
      <c r="L157" s="124" t="n">
        <f aca="false">J157*K157</f>
        <v>0</v>
      </c>
      <c r="M157" s="124" t="n">
        <f aca="false">SUM(J$97:J157)</f>
        <v>0</v>
      </c>
      <c r="N157" s="124" t="n">
        <f aca="false">SUM(J$6:J157)</f>
        <v>-37239</v>
      </c>
      <c r="P157" s="124" t="n">
        <f aca="false">D157/P$3</f>
        <v>0</v>
      </c>
      <c r="Q157" s="124" t="n">
        <f aca="false">E157/P$3</f>
        <v>0</v>
      </c>
      <c r="R157" s="124" t="n">
        <f aca="false">F157/R$3</f>
        <v>0</v>
      </c>
      <c r="S157" s="126" t="n">
        <f aca="false">J157/$R$3</f>
        <v>0</v>
      </c>
      <c r="T157" s="126" t="n">
        <f aca="false">L157/$R$3</f>
        <v>0</v>
      </c>
      <c r="U157" s="126" t="n">
        <f aca="false">I157/$R$3</f>
        <v>0</v>
      </c>
      <c r="V157" s="126" t="n">
        <f aca="false">M157/$R$3</f>
        <v>0</v>
      </c>
      <c r="W157" s="126" t="n">
        <f aca="false">N157/$R$3</f>
        <v>-37.239</v>
      </c>
    </row>
    <row r="158" customFormat="false" ht="12.75" hidden="false" customHeight="false" outlineLevel="0" collapsed="false">
      <c r="A158" s="120" t="n">
        <f aca="false">A157+1</f>
        <v>37044</v>
      </c>
      <c r="B158" s="131" t="str">
        <f aca="false">INDEX('[4]Master Data'!$A$2:$B$8,MATCH(WEEKDAY('GNS Bolv Gas MTM'!A158,3),'[4]Master Data'!$A$2:$A$8,0),2)</f>
        <v>Sa</v>
      </c>
      <c r="D158" s="124" t="n">
        <v>0</v>
      </c>
      <c r="E158" s="124" t="n">
        <v>0</v>
      </c>
      <c r="F158" s="124" t="n">
        <v>0</v>
      </c>
      <c r="G158" s="124" t="n">
        <v>0</v>
      </c>
      <c r="I158" s="124" t="n">
        <f aca="false">IF(MONTH($A158)=MONTH($A157),IF(G158=0,I157,G158),G158)</f>
        <v>0</v>
      </c>
      <c r="J158" s="124" t="n">
        <f aca="false">IF(MONTH($A158)=MONTH($A157),SUM(I158-I157),I158)</f>
        <v>0</v>
      </c>
      <c r="K158" s="124" t="n">
        <f aca="false">IF(WEEKDAY(A158,3)&gt;4,0,(IF(A158&lt;K$2,0,IF(A158&lt;=K$3,1,0))))</f>
        <v>0</v>
      </c>
      <c r="L158" s="124" t="n">
        <f aca="false">J158*K158</f>
        <v>0</v>
      </c>
      <c r="M158" s="124" t="n">
        <f aca="false">SUM(J$97:J158)</f>
        <v>0</v>
      </c>
      <c r="N158" s="124" t="n">
        <f aca="false">SUM(J$6:J158)</f>
        <v>-37239</v>
      </c>
      <c r="P158" s="124" t="n">
        <f aca="false">D158/P$3</f>
        <v>0</v>
      </c>
      <c r="Q158" s="124" t="n">
        <f aca="false">E158/P$3</f>
        <v>0</v>
      </c>
      <c r="R158" s="124" t="n">
        <f aca="false">F158/R$3</f>
        <v>0</v>
      </c>
      <c r="S158" s="126" t="n">
        <f aca="false">J158/$R$3</f>
        <v>0</v>
      </c>
      <c r="T158" s="126" t="n">
        <f aca="false">L158/$R$3</f>
        <v>0</v>
      </c>
      <c r="U158" s="126" t="n">
        <f aca="false">I158/$R$3</f>
        <v>0</v>
      </c>
      <c r="V158" s="126" t="n">
        <f aca="false">M158/$R$3</f>
        <v>0</v>
      </c>
      <c r="W158" s="126" t="n">
        <f aca="false">N158/$R$3</f>
        <v>-37.239</v>
      </c>
    </row>
    <row r="159" customFormat="false" ht="12.75" hidden="false" customHeight="false" outlineLevel="0" collapsed="false">
      <c r="A159" s="120" t="n">
        <f aca="false">A158+1</f>
        <v>37045</v>
      </c>
      <c r="B159" s="131" t="str">
        <f aca="false">INDEX('[4]Master Data'!$A$2:$B$8,MATCH(WEEKDAY('GNS Bolv Gas MTM'!A159,3),'[4]Master Data'!$A$2:$A$8,0),2)</f>
        <v>Su</v>
      </c>
      <c r="D159" s="124" t="n">
        <v>0</v>
      </c>
      <c r="E159" s="124" t="n">
        <v>0</v>
      </c>
      <c r="F159" s="124" t="n">
        <v>0</v>
      </c>
      <c r="G159" s="124" t="n">
        <v>0</v>
      </c>
      <c r="I159" s="124" t="n">
        <f aca="false">IF(MONTH($A159)=MONTH($A158),IF(G159=0,I158,G159),G159)</f>
        <v>0</v>
      </c>
      <c r="J159" s="124" t="n">
        <f aca="false">IF(MONTH($A159)=MONTH($A158),SUM(I159-I158),I159)</f>
        <v>0</v>
      </c>
      <c r="K159" s="124" t="n">
        <f aca="false">IF(WEEKDAY(A159,3)&gt;4,0,(IF(A159&lt;K$2,0,IF(A159&lt;=K$3,1,0))))</f>
        <v>0</v>
      </c>
      <c r="L159" s="124" t="n">
        <f aca="false">J159*K159</f>
        <v>0</v>
      </c>
      <c r="M159" s="124" t="n">
        <f aca="false">SUM(J$97:J159)</f>
        <v>0</v>
      </c>
      <c r="N159" s="124" t="n">
        <f aca="false">SUM(J$6:J159)</f>
        <v>-37239</v>
      </c>
      <c r="P159" s="124" t="n">
        <f aca="false">D159/P$3</f>
        <v>0</v>
      </c>
      <c r="Q159" s="124" t="n">
        <f aca="false">E159/P$3</f>
        <v>0</v>
      </c>
      <c r="R159" s="124" t="n">
        <f aca="false">F159/R$3</f>
        <v>0</v>
      </c>
      <c r="S159" s="126" t="n">
        <f aca="false">J159/$R$3</f>
        <v>0</v>
      </c>
      <c r="T159" s="126" t="n">
        <f aca="false">L159/$R$3</f>
        <v>0</v>
      </c>
      <c r="U159" s="126" t="n">
        <f aca="false">I159/$R$3</f>
        <v>0</v>
      </c>
      <c r="V159" s="126" t="n">
        <f aca="false">M159/$R$3</f>
        <v>0</v>
      </c>
      <c r="W159" s="126" t="n">
        <f aca="false">N159/$R$3</f>
        <v>-37.239</v>
      </c>
    </row>
    <row r="160" customFormat="false" ht="12.75" hidden="false" customHeight="false" outlineLevel="0" collapsed="false">
      <c r="A160" s="120" t="n">
        <f aca="false">A159+1</f>
        <v>37046</v>
      </c>
      <c r="B160" s="131" t="str">
        <f aca="false">INDEX('[4]Master Data'!$A$2:$B$8,MATCH(WEEKDAY('GNS Bolv Gas MTM'!A160,3),'[4]Master Data'!$A$2:$A$8,0),2)</f>
        <v>M</v>
      </c>
      <c r="D160" s="124" t="n">
        <v>0</v>
      </c>
      <c r="E160" s="124" t="n">
        <v>0</v>
      </c>
      <c r="F160" s="124" t="n">
        <v>0</v>
      </c>
      <c r="G160" s="124" t="n">
        <v>0</v>
      </c>
      <c r="I160" s="124" t="n">
        <f aca="false">IF(MONTH($A160)=MONTH($A159),IF(G160=0,I159,G160),G160)</f>
        <v>0</v>
      </c>
      <c r="J160" s="124" t="n">
        <f aca="false">IF(MONTH($A160)=MONTH($A159),SUM(I160-I159),I160)</f>
        <v>0</v>
      </c>
      <c r="K160" s="124" t="n">
        <f aca="false">IF(WEEKDAY(A160,3)&gt;4,0,(IF(A160&lt;K$2,0,IF(A160&lt;=K$3,1,0))))</f>
        <v>0</v>
      </c>
      <c r="L160" s="124" t="n">
        <f aca="false">J160*K160</f>
        <v>0</v>
      </c>
      <c r="M160" s="124" t="n">
        <f aca="false">SUM(J$97:J160)</f>
        <v>0</v>
      </c>
      <c r="N160" s="124" t="n">
        <f aca="false">SUM(J$6:J160)</f>
        <v>-37239</v>
      </c>
      <c r="P160" s="124" t="n">
        <f aca="false">D160/P$3</f>
        <v>0</v>
      </c>
      <c r="Q160" s="124" t="n">
        <f aca="false">E160/P$3</f>
        <v>0</v>
      </c>
      <c r="R160" s="124" t="n">
        <f aca="false">F160/R$3</f>
        <v>0</v>
      </c>
      <c r="S160" s="126" t="n">
        <f aca="false">J160/$R$3</f>
        <v>0</v>
      </c>
      <c r="T160" s="126" t="n">
        <f aca="false">L160/$R$3</f>
        <v>0</v>
      </c>
      <c r="U160" s="126" t="n">
        <f aca="false">I160/$R$3</f>
        <v>0</v>
      </c>
      <c r="V160" s="126" t="n">
        <f aca="false">M160/$R$3</f>
        <v>0</v>
      </c>
      <c r="W160" s="126" t="n">
        <f aca="false">N160/$R$3</f>
        <v>-37.239</v>
      </c>
    </row>
    <row r="161" customFormat="false" ht="12.75" hidden="false" customHeight="false" outlineLevel="0" collapsed="false">
      <c r="A161" s="120" t="n">
        <f aca="false">A160+1</f>
        <v>37047</v>
      </c>
      <c r="B161" s="131" t="str">
        <f aca="false">INDEX('[4]Master Data'!$A$2:$B$8,MATCH(WEEKDAY('GNS Bolv Gas MTM'!A161,3),'[4]Master Data'!$A$2:$A$8,0),2)</f>
        <v>T</v>
      </c>
      <c r="D161" s="124" t="n">
        <v>0</v>
      </c>
      <c r="E161" s="124" t="n">
        <v>0</v>
      </c>
      <c r="F161" s="124" t="n">
        <v>0</v>
      </c>
      <c r="G161" s="124" t="n">
        <v>0</v>
      </c>
      <c r="I161" s="124" t="n">
        <f aca="false">IF(MONTH($A161)=MONTH($A160),IF(G161=0,I160,G161),G161)</f>
        <v>0</v>
      </c>
      <c r="J161" s="124" t="n">
        <f aca="false">IF(MONTH($A161)=MONTH($A160),SUM(I161-I160),I161)</f>
        <v>0</v>
      </c>
      <c r="K161" s="124" t="n">
        <f aca="false">IF(WEEKDAY(A161,3)&gt;4,0,(IF(A161&lt;K$2,0,IF(A161&lt;=K$3,1,0))))</f>
        <v>0</v>
      </c>
      <c r="L161" s="124" t="n">
        <f aca="false">J161*K161</f>
        <v>0</v>
      </c>
      <c r="M161" s="124" t="n">
        <f aca="false">SUM(J$97:J161)</f>
        <v>0</v>
      </c>
      <c r="N161" s="124" t="n">
        <f aca="false">SUM(J$6:J161)</f>
        <v>-37239</v>
      </c>
      <c r="P161" s="124" t="n">
        <f aca="false">D161/P$3</f>
        <v>0</v>
      </c>
      <c r="Q161" s="124" t="n">
        <f aca="false">E161/P$3</f>
        <v>0</v>
      </c>
      <c r="R161" s="124" t="n">
        <f aca="false">F161/R$3</f>
        <v>0</v>
      </c>
      <c r="S161" s="126" t="n">
        <f aca="false">J161/$R$3</f>
        <v>0</v>
      </c>
      <c r="T161" s="126" t="n">
        <f aca="false">L161/$R$3</f>
        <v>0</v>
      </c>
      <c r="U161" s="126" t="n">
        <f aca="false">I161/$R$3</f>
        <v>0</v>
      </c>
      <c r="V161" s="126" t="n">
        <f aca="false">M161/$R$3</f>
        <v>0</v>
      </c>
      <c r="W161" s="126" t="n">
        <f aca="false">N161/$R$3</f>
        <v>-37.239</v>
      </c>
    </row>
    <row r="162" customFormat="false" ht="12.75" hidden="false" customHeight="false" outlineLevel="0" collapsed="false">
      <c r="A162" s="120" t="n">
        <f aca="false">A161+1</f>
        <v>37048</v>
      </c>
      <c r="B162" s="131" t="str">
        <f aca="false">INDEX('[4]Master Data'!$A$2:$B$8,MATCH(WEEKDAY('GNS Bolv Gas MTM'!A162,3),'[4]Master Data'!$A$2:$A$8,0),2)</f>
        <v>W</v>
      </c>
      <c r="D162" s="124" t="n">
        <v>0</v>
      </c>
      <c r="E162" s="124" t="n">
        <v>0</v>
      </c>
      <c r="F162" s="124" t="n">
        <v>0</v>
      </c>
      <c r="G162" s="124" t="n">
        <v>0</v>
      </c>
      <c r="I162" s="124" t="n">
        <f aca="false">IF(MONTH($A162)=MONTH($A161),IF(G162=0,I161,G162),G162)</f>
        <v>0</v>
      </c>
      <c r="J162" s="124" t="n">
        <f aca="false">IF(MONTH($A162)=MONTH($A161),SUM(I162-I161),I162)</f>
        <v>0</v>
      </c>
      <c r="K162" s="124" t="n">
        <f aca="false">IF(WEEKDAY(A162,3)&gt;4,0,(IF(A162&lt;K$2,0,IF(A162&lt;=K$3,1,0))))</f>
        <v>0</v>
      </c>
      <c r="L162" s="124" t="n">
        <f aca="false">J162*K162</f>
        <v>0</v>
      </c>
      <c r="M162" s="124" t="n">
        <f aca="false">SUM(J$97:J162)</f>
        <v>0</v>
      </c>
      <c r="N162" s="124" t="n">
        <f aca="false">SUM(J$6:J162)</f>
        <v>-37239</v>
      </c>
      <c r="P162" s="124" t="n">
        <f aca="false">D162/P$3</f>
        <v>0</v>
      </c>
      <c r="Q162" s="124" t="n">
        <f aca="false">E162/P$3</f>
        <v>0</v>
      </c>
      <c r="R162" s="124" t="n">
        <f aca="false">F162/R$3</f>
        <v>0</v>
      </c>
      <c r="S162" s="126" t="n">
        <f aca="false">J162/$R$3</f>
        <v>0</v>
      </c>
      <c r="T162" s="126" t="n">
        <f aca="false">L162/$R$3</f>
        <v>0</v>
      </c>
      <c r="U162" s="126" t="n">
        <f aca="false">I162/$R$3</f>
        <v>0</v>
      </c>
      <c r="V162" s="126" t="n">
        <f aca="false">M162/$R$3</f>
        <v>0</v>
      </c>
      <c r="W162" s="126" t="n">
        <f aca="false">N162/$R$3</f>
        <v>-37.239</v>
      </c>
    </row>
    <row r="163" customFormat="false" ht="12.75" hidden="false" customHeight="false" outlineLevel="0" collapsed="false">
      <c r="A163" s="120" t="n">
        <f aca="false">A162+1</f>
        <v>37049</v>
      </c>
      <c r="B163" s="131" t="str">
        <f aca="false">INDEX('[4]Master Data'!$A$2:$B$8,MATCH(WEEKDAY('GNS Bolv Gas MTM'!A163,3),'[4]Master Data'!$A$2:$A$8,0),2)</f>
        <v>Th</v>
      </c>
      <c r="D163" s="124" t="n">
        <v>0</v>
      </c>
      <c r="E163" s="124" t="n">
        <v>0</v>
      </c>
      <c r="F163" s="124" t="n">
        <v>0</v>
      </c>
      <c r="G163" s="124" t="n">
        <v>0</v>
      </c>
      <c r="I163" s="124" t="n">
        <f aca="false">IF(MONTH($A163)=MONTH($A162),IF(G163=0,I162,G163),G163)</f>
        <v>0</v>
      </c>
      <c r="J163" s="124" t="n">
        <f aca="false">IF(MONTH($A163)=MONTH($A162),SUM(I163-I162),I163)</f>
        <v>0</v>
      </c>
      <c r="K163" s="124" t="n">
        <f aca="false">IF(WEEKDAY(A163,3)&gt;4,0,(IF(A163&lt;K$2,0,IF(A163&lt;=K$3,1,0))))</f>
        <v>0</v>
      </c>
      <c r="L163" s="124" t="n">
        <f aca="false">J163*K163</f>
        <v>0</v>
      </c>
      <c r="M163" s="124" t="n">
        <f aca="false">SUM(J$97:J163)</f>
        <v>0</v>
      </c>
      <c r="N163" s="124" t="n">
        <f aca="false">SUM(J$6:J163)</f>
        <v>-37239</v>
      </c>
      <c r="P163" s="124" t="n">
        <f aca="false">D163/P$3</f>
        <v>0</v>
      </c>
      <c r="Q163" s="124" t="n">
        <f aca="false">E163/P$3</f>
        <v>0</v>
      </c>
      <c r="R163" s="124" t="n">
        <f aca="false">F163/R$3</f>
        <v>0</v>
      </c>
      <c r="S163" s="126" t="n">
        <f aca="false">J163/$R$3</f>
        <v>0</v>
      </c>
      <c r="T163" s="126" t="n">
        <f aca="false">L163/$R$3</f>
        <v>0</v>
      </c>
      <c r="U163" s="126" t="n">
        <f aca="false">I163/$R$3</f>
        <v>0</v>
      </c>
      <c r="V163" s="126" t="n">
        <f aca="false">M163/$R$3</f>
        <v>0</v>
      </c>
      <c r="W163" s="126" t="n">
        <f aca="false">N163/$R$3</f>
        <v>-37.239</v>
      </c>
    </row>
    <row r="164" customFormat="false" ht="12.75" hidden="false" customHeight="false" outlineLevel="0" collapsed="false">
      <c r="A164" s="120" t="n">
        <f aca="false">A163+1</f>
        <v>37050</v>
      </c>
      <c r="B164" s="131" t="str">
        <f aca="false">INDEX('[4]Master Data'!$A$2:$B$8,MATCH(WEEKDAY('GNS Bolv Gas MTM'!A164,3),'[4]Master Data'!$A$2:$A$8,0),2)</f>
        <v>F</v>
      </c>
      <c r="D164" s="124" t="n">
        <v>0</v>
      </c>
      <c r="E164" s="124" t="n">
        <v>0</v>
      </c>
      <c r="F164" s="124" t="n">
        <v>0</v>
      </c>
      <c r="G164" s="124" t="n">
        <v>0</v>
      </c>
      <c r="I164" s="124" t="n">
        <f aca="false">IF(MONTH($A164)=MONTH($A163),IF(G164=0,I163,G164),G164)</f>
        <v>0</v>
      </c>
      <c r="J164" s="124" t="n">
        <f aca="false">IF(MONTH($A164)=MONTH($A163),SUM(I164-I163),I164)</f>
        <v>0</v>
      </c>
      <c r="K164" s="124" t="n">
        <f aca="false">IF(WEEKDAY(A164,3)&gt;4,0,(IF(A164&lt;K$2,0,IF(A164&lt;=K$3,1,0))))</f>
        <v>0</v>
      </c>
      <c r="L164" s="124" t="n">
        <f aca="false">J164*K164</f>
        <v>0</v>
      </c>
      <c r="M164" s="124" t="n">
        <f aca="false">SUM(J$97:J164)</f>
        <v>0</v>
      </c>
      <c r="N164" s="124" t="n">
        <f aca="false">SUM(J$6:J164)</f>
        <v>-37239</v>
      </c>
      <c r="P164" s="124" t="n">
        <f aca="false">D164/P$3</f>
        <v>0</v>
      </c>
      <c r="Q164" s="124" t="n">
        <f aca="false">E164/P$3</f>
        <v>0</v>
      </c>
      <c r="R164" s="124" t="n">
        <f aca="false">F164/R$3</f>
        <v>0</v>
      </c>
      <c r="S164" s="126" t="n">
        <f aca="false">J164/$R$3</f>
        <v>0</v>
      </c>
      <c r="T164" s="126" t="n">
        <f aca="false">L164/$R$3</f>
        <v>0</v>
      </c>
      <c r="U164" s="126" t="n">
        <f aca="false">I164/$R$3</f>
        <v>0</v>
      </c>
      <c r="V164" s="126" t="n">
        <f aca="false">M164/$R$3</f>
        <v>0</v>
      </c>
      <c r="W164" s="126" t="n">
        <f aca="false">N164/$R$3</f>
        <v>-37.239</v>
      </c>
    </row>
    <row r="165" customFormat="false" ht="12.75" hidden="false" customHeight="false" outlineLevel="0" collapsed="false">
      <c r="A165" s="120" t="n">
        <f aca="false">A164+1</f>
        <v>37051</v>
      </c>
      <c r="B165" s="131" t="str">
        <f aca="false">INDEX('[4]Master Data'!$A$2:$B$8,MATCH(WEEKDAY('GNS Bolv Gas MTM'!A165,3),'[4]Master Data'!$A$2:$A$8,0),2)</f>
        <v>Sa</v>
      </c>
      <c r="D165" s="124" t="n">
        <v>0</v>
      </c>
      <c r="E165" s="124" t="n">
        <v>0</v>
      </c>
      <c r="F165" s="124" t="n">
        <v>0</v>
      </c>
      <c r="G165" s="124" t="n">
        <v>0</v>
      </c>
      <c r="I165" s="124" t="n">
        <f aca="false">IF(MONTH($A165)=MONTH($A164),IF(G165=0,I164,G165),G165)</f>
        <v>0</v>
      </c>
      <c r="J165" s="124" t="n">
        <f aca="false">IF(MONTH($A165)=MONTH($A164),SUM(I165-I164),I165)</f>
        <v>0</v>
      </c>
      <c r="K165" s="124" t="n">
        <f aca="false">IF(WEEKDAY(A165,3)&gt;4,0,(IF(A165&lt;K$2,0,IF(A165&lt;=K$3,1,0))))</f>
        <v>0</v>
      </c>
      <c r="L165" s="124" t="n">
        <f aca="false">J165*K165</f>
        <v>0</v>
      </c>
      <c r="M165" s="124" t="n">
        <f aca="false">SUM(J$97:J165)</f>
        <v>0</v>
      </c>
      <c r="N165" s="124" t="n">
        <f aca="false">SUM(J$6:J165)</f>
        <v>-37239</v>
      </c>
      <c r="P165" s="124" t="n">
        <f aca="false">D165/P$3</f>
        <v>0</v>
      </c>
      <c r="Q165" s="124" t="n">
        <f aca="false">E165/P$3</f>
        <v>0</v>
      </c>
      <c r="R165" s="124" t="n">
        <f aca="false">F165/R$3</f>
        <v>0</v>
      </c>
      <c r="S165" s="126" t="n">
        <f aca="false">J165/$R$3</f>
        <v>0</v>
      </c>
      <c r="T165" s="126" t="n">
        <f aca="false">L165/$R$3</f>
        <v>0</v>
      </c>
      <c r="U165" s="126" t="n">
        <f aca="false">I165/$R$3</f>
        <v>0</v>
      </c>
      <c r="V165" s="126" t="n">
        <f aca="false">M165/$R$3</f>
        <v>0</v>
      </c>
      <c r="W165" s="126" t="n">
        <f aca="false">N165/$R$3</f>
        <v>-37.239</v>
      </c>
    </row>
    <row r="166" customFormat="false" ht="12.75" hidden="false" customHeight="false" outlineLevel="0" collapsed="false">
      <c r="A166" s="120" t="n">
        <f aca="false">A165+1</f>
        <v>37052</v>
      </c>
      <c r="B166" s="131" t="str">
        <f aca="false">INDEX('[4]Master Data'!$A$2:$B$8,MATCH(WEEKDAY('GNS Bolv Gas MTM'!A166,3),'[4]Master Data'!$A$2:$A$8,0),2)</f>
        <v>Su</v>
      </c>
      <c r="D166" s="124" t="n">
        <v>0</v>
      </c>
      <c r="E166" s="124" t="n">
        <v>0</v>
      </c>
      <c r="F166" s="124" t="n">
        <v>0</v>
      </c>
      <c r="G166" s="124" t="n">
        <v>0</v>
      </c>
      <c r="I166" s="124" t="n">
        <f aca="false">IF(MONTH($A166)=MONTH($A165),IF(G166=0,I165,G166),G166)</f>
        <v>0</v>
      </c>
      <c r="J166" s="124" t="n">
        <f aca="false">IF(MONTH($A166)=MONTH($A165),SUM(I166-I165),I166)</f>
        <v>0</v>
      </c>
      <c r="K166" s="124" t="n">
        <f aca="false">IF(WEEKDAY(A166,3)&gt;4,0,(IF(A166&lt;K$2,0,IF(A166&lt;=K$3,1,0))))</f>
        <v>0</v>
      </c>
      <c r="L166" s="124" t="n">
        <f aca="false">J166*K166</f>
        <v>0</v>
      </c>
      <c r="M166" s="124" t="n">
        <f aca="false">SUM(J$97:J166)</f>
        <v>0</v>
      </c>
      <c r="N166" s="124" t="n">
        <f aca="false">SUM(J$6:J166)</f>
        <v>-37239</v>
      </c>
      <c r="P166" s="124" t="n">
        <f aca="false">D166/P$3</f>
        <v>0</v>
      </c>
      <c r="Q166" s="124" t="n">
        <f aca="false">E166/P$3</f>
        <v>0</v>
      </c>
      <c r="R166" s="124" t="n">
        <f aca="false">F166/R$3</f>
        <v>0</v>
      </c>
      <c r="S166" s="126" t="n">
        <f aca="false">J166/$R$3</f>
        <v>0</v>
      </c>
      <c r="T166" s="126" t="n">
        <f aca="false">L166/$R$3</f>
        <v>0</v>
      </c>
      <c r="U166" s="126" t="n">
        <f aca="false">I166/$R$3</f>
        <v>0</v>
      </c>
      <c r="V166" s="126" t="n">
        <f aca="false">M166/$R$3</f>
        <v>0</v>
      </c>
      <c r="W166" s="126" t="n">
        <f aca="false">N166/$R$3</f>
        <v>-37.239</v>
      </c>
    </row>
    <row r="167" customFormat="false" ht="12.75" hidden="false" customHeight="false" outlineLevel="0" collapsed="false">
      <c r="A167" s="120" t="n">
        <f aca="false">A166+1</f>
        <v>37053</v>
      </c>
      <c r="B167" s="131" t="str">
        <f aca="false">INDEX('[4]Master Data'!$A$2:$B$8,MATCH(WEEKDAY('GNS Bolv Gas MTM'!A167,3),'[4]Master Data'!$A$2:$A$8,0),2)</f>
        <v>M</v>
      </c>
      <c r="D167" s="124" t="n">
        <v>0</v>
      </c>
      <c r="E167" s="124" t="n">
        <v>0</v>
      </c>
      <c r="F167" s="124" t="n">
        <v>0</v>
      </c>
      <c r="G167" s="124" t="n">
        <v>0</v>
      </c>
      <c r="I167" s="124" t="n">
        <f aca="false">IF(MONTH($A167)=MONTH($A166),IF(G167=0,I166,G167),G167)</f>
        <v>0</v>
      </c>
      <c r="J167" s="124" t="n">
        <f aca="false">IF(MONTH($A167)=MONTH($A166),SUM(I167-I166),I167)</f>
        <v>0</v>
      </c>
      <c r="K167" s="124" t="n">
        <f aca="false">IF(WEEKDAY(A167,3)&gt;4,0,(IF(A167&lt;K$2,0,IF(A167&lt;=K$3,1,0))))</f>
        <v>0</v>
      </c>
      <c r="L167" s="124" t="n">
        <f aca="false">J167*K167</f>
        <v>0</v>
      </c>
      <c r="M167" s="124" t="n">
        <f aca="false">SUM(J$97:J167)</f>
        <v>0</v>
      </c>
      <c r="N167" s="124" t="n">
        <f aca="false">SUM(J$6:J167)</f>
        <v>-37239</v>
      </c>
      <c r="P167" s="124" t="n">
        <f aca="false">D167/P$3</f>
        <v>0</v>
      </c>
      <c r="Q167" s="124" t="n">
        <f aca="false">E167/P$3</f>
        <v>0</v>
      </c>
      <c r="R167" s="124" t="n">
        <f aca="false">F167/R$3</f>
        <v>0</v>
      </c>
      <c r="S167" s="126" t="n">
        <f aca="false">J167/$R$3</f>
        <v>0</v>
      </c>
      <c r="T167" s="126" t="n">
        <f aca="false">L167/$R$3</f>
        <v>0</v>
      </c>
      <c r="U167" s="126" t="n">
        <f aca="false">I167/$R$3</f>
        <v>0</v>
      </c>
      <c r="V167" s="126" t="n">
        <f aca="false">M167/$R$3</f>
        <v>0</v>
      </c>
      <c r="W167" s="126" t="n">
        <f aca="false">N167/$R$3</f>
        <v>-37.239</v>
      </c>
    </row>
    <row r="168" customFormat="false" ht="12.75" hidden="false" customHeight="false" outlineLevel="0" collapsed="false">
      <c r="A168" s="120" t="n">
        <f aca="false">A167+1</f>
        <v>37054</v>
      </c>
      <c r="B168" s="131" t="str">
        <f aca="false">INDEX('[4]Master Data'!$A$2:$B$8,MATCH(WEEKDAY('GNS Bolv Gas MTM'!A168,3),'[4]Master Data'!$A$2:$A$8,0),2)</f>
        <v>T</v>
      </c>
      <c r="D168" s="124" t="n">
        <v>0</v>
      </c>
      <c r="E168" s="124" t="n">
        <v>0</v>
      </c>
      <c r="F168" s="124" t="n">
        <v>0</v>
      </c>
      <c r="G168" s="124" t="n">
        <v>0</v>
      </c>
      <c r="I168" s="124" t="n">
        <f aca="false">IF(MONTH($A168)=MONTH($A167),IF(G168=0,I167,G168),G168)</f>
        <v>0</v>
      </c>
      <c r="J168" s="124" t="n">
        <f aca="false">IF(MONTH($A168)=MONTH($A167),SUM(I168-I167),I168)</f>
        <v>0</v>
      </c>
      <c r="K168" s="124" t="n">
        <f aca="false">IF(WEEKDAY(A168,3)&gt;4,0,(IF(A168&lt;K$2,0,IF(A168&lt;=K$3,1,0))))</f>
        <v>0</v>
      </c>
      <c r="L168" s="124" t="n">
        <f aca="false">J168*K168</f>
        <v>0</v>
      </c>
      <c r="M168" s="124" t="n">
        <f aca="false">SUM(J$97:J168)</f>
        <v>0</v>
      </c>
      <c r="N168" s="124" t="n">
        <f aca="false">SUM(J$6:J168)</f>
        <v>-37239</v>
      </c>
      <c r="P168" s="124" t="n">
        <f aca="false">D168/P$3</f>
        <v>0</v>
      </c>
      <c r="Q168" s="124" t="n">
        <f aca="false">E168/P$3</f>
        <v>0</v>
      </c>
      <c r="R168" s="124" t="n">
        <f aca="false">F168/R$3</f>
        <v>0</v>
      </c>
      <c r="S168" s="126" t="n">
        <f aca="false">J168/$R$3</f>
        <v>0</v>
      </c>
      <c r="T168" s="126" t="n">
        <f aca="false">L168/$R$3</f>
        <v>0</v>
      </c>
      <c r="U168" s="126" t="n">
        <f aca="false">I168/$R$3</f>
        <v>0</v>
      </c>
      <c r="V168" s="126" t="n">
        <f aca="false">M168/$R$3</f>
        <v>0</v>
      </c>
      <c r="W168" s="126" t="n">
        <f aca="false">N168/$R$3</f>
        <v>-37.239</v>
      </c>
    </row>
    <row r="169" customFormat="false" ht="12.75" hidden="false" customHeight="false" outlineLevel="0" collapsed="false">
      <c r="A169" s="120" t="n">
        <f aca="false">A168+1</f>
        <v>37055</v>
      </c>
      <c r="B169" s="131" t="str">
        <f aca="false">INDEX('[4]Master Data'!$A$2:$B$8,MATCH(WEEKDAY('GNS Bolv Gas MTM'!A169,3),'[4]Master Data'!$A$2:$A$8,0),2)</f>
        <v>W</v>
      </c>
      <c r="D169" s="124" t="n">
        <v>0</v>
      </c>
      <c r="E169" s="124" t="n">
        <v>0</v>
      </c>
      <c r="F169" s="124" t="n">
        <v>0</v>
      </c>
      <c r="G169" s="124" t="n">
        <v>0</v>
      </c>
      <c r="I169" s="124" t="n">
        <f aca="false">IF(MONTH($A169)=MONTH($A168),IF(G169=0,I168,G169),G169)</f>
        <v>0</v>
      </c>
      <c r="J169" s="124" t="n">
        <f aca="false">IF(MONTH($A169)=MONTH($A168),SUM(I169-I168),I169)</f>
        <v>0</v>
      </c>
      <c r="K169" s="124" t="n">
        <f aca="false">IF(WEEKDAY(A169,3)&gt;4,0,(IF(A169&lt;K$2,0,IF(A169&lt;=K$3,1,0))))</f>
        <v>0</v>
      </c>
      <c r="L169" s="124" t="n">
        <f aca="false">J169*K169</f>
        <v>0</v>
      </c>
      <c r="M169" s="124" t="n">
        <f aca="false">SUM(J$97:J169)</f>
        <v>0</v>
      </c>
      <c r="N169" s="124" t="n">
        <f aca="false">SUM(J$6:J169)</f>
        <v>-37239</v>
      </c>
      <c r="P169" s="124" t="n">
        <f aca="false">D169/P$3</f>
        <v>0</v>
      </c>
      <c r="Q169" s="124" t="n">
        <f aca="false">E169/P$3</f>
        <v>0</v>
      </c>
      <c r="R169" s="124" t="n">
        <f aca="false">F169/R$3</f>
        <v>0</v>
      </c>
      <c r="S169" s="126" t="n">
        <f aca="false">J169/$R$3</f>
        <v>0</v>
      </c>
      <c r="T169" s="126" t="n">
        <f aca="false">L169/$R$3</f>
        <v>0</v>
      </c>
      <c r="U169" s="126" t="n">
        <f aca="false">I169/$R$3</f>
        <v>0</v>
      </c>
      <c r="V169" s="126" t="n">
        <f aca="false">M169/$R$3</f>
        <v>0</v>
      </c>
      <c r="W169" s="126" t="n">
        <f aca="false">N169/$R$3</f>
        <v>-37.239</v>
      </c>
    </row>
    <row r="170" customFormat="false" ht="12.75" hidden="false" customHeight="false" outlineLevel="0" collapsed="false">
      <c r="A170" s="120" t="n">
        <f aca="false">A169+1</f>
        <v>37056</v>
      </c>
      <c r="B170" s="131" t="str">
        <f aca="false">INDEX('[4]Master Data'!$A$2:$B$8,MATCH(WEEKDAY('GNS Bolv Gas MTM'!A170,3),'[4]Master Data'!$A$2:$A$8,0),2)</f>
        <v>Th</v>
      </c>
      <c r="D170" s="124" t="n">
        <v>0</v>
      </c>
      <c r="E170" s="124" t="n">
        <v>0</v>
      </c>
      <c r="F170" s="124" t="n">
        <v>0</v>
      </c>
      <c r="G170" s="124" t="n">
        <v>0</v>
      </c>
      <c r="I170" s="124" t="n">
        <f aca="false">IF(MONTH($A170)=MONTH($A169),IF(G170=0,I169,G170),G170)</f>
        <v>0</v>
      </c>
      <c r="J170" s="124" t="n">
        <f aca="false">IF(MONTH($A170)=MONTH($A169),SUM(I170-I169),I170)</f>
        <v>0</v>
      </c>
      <c r="K170" s="124" t="n">
        <f aca="false">IF(WEEKDAY(A170,3)&gt;4,0,(IF(A170&lt;K$2,0,IF(A170&lt;=K$3,1,0))))</f>
        <v>0</v>
      </c>
      <c r="L170" s="124" t="n">
        <f aca="false">J170*K170</f>
        <v>0</v>
      </c>
      <c r="M170" s="124" t="n">
        <f aca="false">SUM(J$97:J170)</f>
        <v>0</v>
      </c>
      <c r="N170" s="124" t="n">
        <f aca="false">SUM(J$6:J170)</f>
        <v>-37239</v>
      </c>
      <c r="P170" s="124" t="n">
        <f aca="false">D170/P$3</f>
        <v>0</v>
      </c>
      <c r="Q170" s="124" t="n">
        <f aca="false">E170/P$3</f>
        <v>0</v>
      </c>
      <c r="R170" s="124" t="n">
        <f aca="false">F170/R$3</f>
        <v>0</v>
      </c>
      <c r="S170" s="126" t="n">
        <f aca="false">J170/$R$3</f>
        <v>0</v>
      </c>
      <c r="T170" s="126" t="n">
        <f aca="false">L170/$R$3</f>
        <v>0</v>
      </c>
      <c r="U170" s="126" t="n">
        <f aca="false">I170/$R$3</f>
        <v>0</v>
      </c>
      <c r="V170" s="126" t="n">
        <f aca="false">M170/$R$3</f>
        <v>0</v>
      </c>
      <c r="W170" s="126" t="n">
        <f aca="false">N170/$R$3</f>
        <v>-37.239</v>
      </c>
    </row>
    <row r="171" customFormat="false" ht="12.75" hidden="false" customHeight="false" outlineLevel="0" collapsed="false">
      <c r="A171" s="120" t="n">
        <f aca="false">A170+1</f>
        <v>37057</v>
      </c>
      <c r="B171" s="131" t="str">
        <f aca="false">INDEX('[4]Master Data'!$A$2:$B$8,MATCH(WEEKDAY('GNS Bolv Gas MTM'!A171,3),'[4]Master Data'!$A$2:$A$8,0),2)</f>
        <v>F</v>
      </c>
      <c r="D171" s="124" t="n">
        <v>0</v>
      </c>
      <c r="E171" s="124" t="n">
        <v>0</v>
      </c>
      <c r="F171" s="124" t="n">
        <v>0</v>
      </c>
      <c r="G171" s="124" t="n">
        <v>0</v>
      </c>
      <c r="I171" s="124" t="n">
        <f aca="false">IF(MONTH($A171)=MONTH($A170),IF(G171=0,I170,G171),G171)</f>
        <v>0</v>
      </c>
      <c r="J171" s="124" t="n">
        <f aca="false">IF(MONTH($A171)=MONTH($A170),SUM(I171-I170),I171)</f>
        <v>0</v>
      </c>
      <c r="K171" s="124" t="n">
        <f aca="false">IF(WEEKDAY(A171,3)&gt;4,0,(IF(A171&lt;K$2,0,IF(A171&lt;=K$3,1,0))))</f>
        <v>0</v>
      </c>
      <c r="L171" s="124" t="n">
        <f aca="false">J171*K171</f>
        <v>0</v>
      </c>
      <c r="M171" s="124" t="n">
        <f aca="false">SUM(J$97:J171)</f>
        <v>0</v>
      </c>
      <c r="N171" s="124" t="n">
        <f aca="false">SUM(J$6:J171)</f>
        <v>-37239</v>
      </c>
      <c r="P171" s="124" t="n">
        <f aca="false">D171/P$3</f>
        <v>0</v>
      </c>
      <c r="Q171" s="124" t="n">
        <f aca="false">E171/P$3</f>
        <v>0</v>
      </c>
      <c r="R171" s="124" t="n">
        <f aca="false">F171/R$3</f>
        <v>0</v>
      </c>
      <c r="S171" s="126" t="n">
        <f aca="false">J171/$R$3</f>
        <v>0</v>
      </c>
      <c r="T171" s="126" t="n">
        <f aca="false">L171/$R$3</f>
        <v>0</v>
      </c>
      <c r="U171" s="126" t="n">
        <f aca="false">I171/$R$3</f>
        <v>0</v>
      </c>
      <c r="V171" s="126" t="n">
        <f aca="false">M171/$R$3</f>
        <v>0</v>
      </c>
      <c r="W171" s="126" t="n">
        <f aca="false">N171/$R$3</f>
        <v>-37.239</v>
      </c>
    </row>
    <row r="172" customFormat="false" ht="12.75" hidden="false" customHeight="false" outlineLevel="0" collapsed="false">
      <c r="A172" s="120" t="n">
        <f aca="false">A171+1</f>
        <v>37058</v>
      </c>
      <c r="B172" s="131" t="str">
        <f aca="false">INDEX('[4]Master Data'!$A$2:$B$8,MATCH(WEEKDAY('GNS Bolv Gas MTM'!A172,3),'[4]Master Data'!$A$2:$A$8,0),2)</f>
        <v>Sa</v>
      </c>
      <c r="D172" s="124" t="n">
        <v>0</v>
      </c>
      <c r="E172" s="124" t="n">
        <v>0</v>
      </c>
      <c r="F172" s="124" t="n">
        <v>0</v>
      </c>
      <c r="G172" s="124" t="n">
        <v>0</v>
      </c>
      <c r="I172" s="124" t="n">
        <f aca="false">IF(MONTH($A172)=MONTH($A171),IF(G172=0,I171,G172),G172)</f>
        <v>0</v>
      </c>
      <c r="J172" s="124" t="n">
        <f aca="false">IF(MONTH($A172)=MONTH($A171),SUM(I172-I171),I172)</f>
        <v>0</v>
      </c>
      <c r="K172" s="124" t="n">
        <f aca="false">IF(WEEKDAY(A172,3)&gt;4,0,(IF(A172&lt;K$2,0,IF(A172&lt;=K$3,1,0))))</f>
        <v>0</v>
      </c>
      <c r="L172" s="124" t="n">
        <f aca="false">J172*K172</f>
        <v>0</v>
      </c>
      <c r="M172" s="124" t="n">
        <f aca="false">SUM(J$97:J172)</f>
        <v>0</v>
      </c>
      <c r="N172" s="124" t="n">
        <f aca="false">SUM(J$6:J172)</f>
        <v>-37239</v>
      </c>
      <c r="P172" s="124" t="n">
        <f aca="false">D172/P$3</f>
        <v>0</v>
      </c>
      <c r="Q172" s="124" t="n">
        <f aca="false">E172/P$3</f>
        <v>0</v>
      </c>
      <c r="R172" s="124" t="n">
        <f aca="false">F172/R$3</f>
        <v>0</v>
      </c>
      <c r="S172" s="126" t="n">
        <f aca="false">J172/$R$3</f>
        <v>0</v>
      </c>
      <c r="T172" s="126" t="n">
        <f aca="false">L172/$R$3</f>
        <v>0</v>
      </c>
      <c r="U172" s="126" t="n">
        <f aca="false">I172/$R$3</f>
        <v>0</v>
      </c>
      <c r="V172" s="126" t="n">
        <f aca="false">M172/$R$3</f>
        <v>0</v>
      </c>
      <c r="W172" s="126" t="n">
        <f aca="false">N172/$R$3</f>
        <v>-37.239</v>
      </c>
    </row>
    <row r="173" customFormat="false" ht="12.75" hidden="false" customHeight="false" outlineLevel="0" collapsed="false">
      <c r="A173" s="120" t="n">
        <f aca="false">A172+1</f>
        <v>37059</v>
      </c>
      <c r="B173" s="131" t="str">
        <f aca="false">INDEX('[4]Master Data'!$A$2:$B$8,MATCH(WEEKDAY('GNS Bolv Gas MTM'!A173,3),'[4]Master Data'!$A$2:$A$8,0),2)</f>
        <v>Su</v>
      </c>
      <c r="D173" s="124" t="n">
        <v>0</v>
      </c>
      <c r="E173" s="124" t="n">
        <v>0</v>
      </c>
      <c r="F173" s="124" t="n">
        <v>0</v>
      </c>
      <c r="G173" s="124" t="n">
        <v>0</v>
      </c>
      <c r="I173" s="124" t="n">
        <f aca="false">IF(MONTH($A173)=MONTH($A172),IF(G173=0,I172,G173),G173)</f>
        <v>0</v>
      </c>
      <c r="J173" s="124" t="n">
        <f aca="false">IF(MONTH($A173)=MONTH($A172),SUM(I173-I172),I173)</f>
        <v>0</v>
      </c>
      <c r="K173" s="124" t="n">
        <f aca="false">IF(WEEKDAY(A173,3)&gt;4,0,(IF(A173&lt;K$2,0,IF(A173&lt;=K$3,1,0))))</f>
        <v>0</v>
      </c>
      <c r="L173" s="124" t="n">
        <f aca="false">J173*K173</f>
        <v>0</v>
      </c>
      <c r="M173" s="124" t="n">
        <f aca="false">SUM(J$97:J173)</f>
        <v>0</v>
      </c>
      <c r="N173" s="124" t="n">
        <f aca="false">SUM(J$6:J173)</f>
        <v>-37239</v>
      </c>
      <c r="P173" s="124" t="n">
        <f aca="false">D173/P$3</f>
        <v>0</v>
      </c>
      <c r="Q173" s="124" t="n">
        <f aca="false">E173/P$3</f>
        <v>0</v>
      </c>
      <c r="R173" s="124" t="n">
        <f aca="false">F173/R$3</f>
        <v>0</v>
      </c>
      <c r="S173" s="126" t="n">
        <f aca="false">J173/$R$3</f>
        <v>0</v>
      </c>
      <c r="T173" s="126" t="n">
        <f aca="false">L173/$R$3</f>
        <v>0</v>
      </c>
      <c r="U173" s="126" t="n">
        <f aca="false">I173/$R$3</f>
        <v>0</v>
      </c>
      <c r="V173" s="126" t="n">
        <f aca="false">M173/$R$3</f>
        <v>0</v>
      </c>
      <c r="W173" s="126" t="n">
        <f aca="false">N173/$R$3</f>
        <v>-37.239</v>
      </c>
    </row>
    <row r="174" customFormat="false" ht="12.75" hidden="false" customHeight="false" outlineLevel="0" collapsed="false">
      <c r="A174" s="120" t="n">
        <f aca="false">A173+1</f>
        <v>37060</v>
      </c>
      <c r="B174" s="131" t="str">
        <f aca="false">INDEX('[4]Master Data'!$A$2:$B$8,MATCH(WEEKDAY('GNS Bolv Gas MTM'!A174,3),'[4]Master Data'!$A$2:$A$8,0),2)</f>
        <v>M</v>
      </c>
      <c r="D174" s="124" t="n">
        <v>0</v>
      </c>
      <c r="E174" s="124" t="n">
        <v>0</v>
      </c>
      <c r="F174" s="124" t="n">
        <v>0</v>
      </c>
      <c r="G174" s="124" t="n">
        <v>0</v>
      </c>
      <c r="I174" s="124" t="n">
        <f aca="false">IF(MONTH($A174)=MONTH($A173),IF(G174=0,I173,G174),G174)</f>
        <v>0</v>
      </c>
      <c r="J174" s="124" t="n">
        <f aca="false">IF(MONTH($A174)=MONTH($A173),SUM(I174-I173),I174)</f>
        <v>0</v>
      </c>
      <c r="K174" s="124" t="n">
        <f aca="false">IF(WEEKDAY(A174,3)&gt;4,0,(IF(A174&lt;K$2,0,IF(A174&lt;=K$3,1,0))))</f>
        <v>0</v>
      </c>
      <c r="L174" s="124" t="n">
        <f aca="false">J174*K174</f>
        <v>0</v>
      </c>
      <c r="M174" s="124" t="n">
        <f aca="false">SUM(J$97:J174)</f>
        <v>0</v>
      </c>
      <c r="N174" s="124" t="n">
        <f aca="false">SUM(J$6:J174)</f>
        <v>-37239</v>
      </c>
      <c r="P174" s="124" t="n">
        <f aca="false">D174/P$3</f>
        <v>0</v>
      </c>
      <c r="Q174" s="124" t="n">
        <f aca="false">E174/P$3</f>
        <v>0</v>
      </c>
      <c r="R174" s="124" t="n">
        <f aca="false">F174/R$3</f>
        <v>0</v>
      </c>
      <c r="S174" s="126" t="n">
        <f aca="false">J174/$R$3</f>
        <v>0</v>
      </c>
      <c r="T174" s="126" t="n">
        <f aca="false">L174/$R$3</f>
        <v>0</v>
      </c>
      <c r="U174" s="126" t="n">
        <f aca="false">I174/$R$3</f>
        <v>0</v>
      </c>
      <c r="V174" s="126" t="n">
        <f aca="false">M174/$R$3</f>
        <v>0</v>
      </c>
      <c r="W174" s="126" t="n">
        <f aca="false">N174/$R$3</f>
        <v>-37.239</v>
      </c>
    </row>
    <row r="175" customFormat="false" ht="12.75" hidden="false" customHeight="false" outlineLevel="0" collapsed="false">
      <c r="A175" s="120" t="n">
        <f aca="false">A174+1</f>
        <v>37061</v>
      </c>
      <c r="B175" s="131" t="str">
        <f aca="false">INDEX('[4]Master Data'!$A$2:$B$8,MATCH(WEEKDAY('GNS Bolv Gas MTM'!A175,3),'[4]Master Data'!$A$2:$A$8,0),2)</f>
        <v>T</v>
      </c>
      <c r="D175" s="124" t="n">
        <v>0</v>
      </c>
      <c r="E175" s="124" t="n">
        <v>0</v>
      </c>
      <c r="F175" s="124" t="n">
        <v>0</v>
      </c>
      <c r="G175" s="124" t="n">
        <v>0</v>
      </c>
      <c r="I175" s="124" t="n">
        <f aca="false">IF(MONTH($A175)=MONTH($A174),IF(G175=0,I174,G175),G175)</f>
        <v>0</v>
      </c>
      <c r="J175" s="124" t="n">
        <f aca="false">IF(MONTH($A175)=MONTH($A174),SUM(I175-I174),I175)</f>
        <v>0</v>
      </c>
      <c r="K175" s="124" t="n">
        <f aca="false">IF(WEEKDAY(A175,3)&gt;4,0,(IF(A175&lt;K$2,0,IF(A175&lt;=K$3,1,0))))</f>
        <v>0</v>
      </c>
      <c r="L175" s="124" t="n">
        <f aca="false">J175*K175</f>
        <v>0</v>
      </c>
      <c r="M175" s="124" t="n">
        <f aca="false">SUM(J$97:J175)</f>
        <v>0</v>
      </c>
      <c r="N175" s="124" t="n">
        <f aca="false">SUM(J$6:J175)</f>
        <v>-37239</v>
      </c>
      <c r="P175" s="124" t="n">
        <f aca="false">D175/P$3</f>
        <v>0</v>
      </c>
      <c r="Q175" s="124" t="n">
        <f aca="false">E175/P$3</f>
        <v>0</v>
      </c>
      <c r="R175" s="124" t="n">
        <f aca="false">F175/R$3</f>
        <v>0</v>
      </c>
      <c r="S175" s="126" t="n">
        <f aca="false">J175/$R$3</f>
        <v>0</v>
      </c>
      <c r="T175" s="126" t="n">
        <f aca="false">L175/$R$3</f>
        <v>0</v>
      </c>
      <c r="U175" s="126" t="n">
        <f aca="false">I175/$R$3</f>
        <v>0</v>
      </c>
      <c r="V175" s="126" t="n">
        <f aca="false">M175/$R$3</f>
        <v>0</v>
      </c>
      <c r="W175" s="126" t="n">
        <f aca="false">N175/$R$3</f>
        <v>-37.239</v>
      </c>
    </row>
    <row r="176" customFormat="false" ht="12.75" hidden="false" customHeight="false" outlineLevel="0" collapsed="false">
      <c r="A176" s="120" t="n">
        <f aca="false">A175+1</f>
        <v>37062</v>
      </c>
      <c r="B176" s="131" t="str">
        <f aca="false">INDEX('[4]Master Data'!$A$2:$B$8,MATCH(WEEKDAY('GNS Bolv Gas MTM'!A176,3),'[4]Master Data'!$A$2:$A$8,0),2)</f>
        <v>W</v>
      </c>
      <c r="D176" s="124" t="n">
        <v>0</v>
      </c>
      <c r="E176" s="124" t="n">
        <v>0</v>
      </c>
      <c r="F176" s="124" t="n">
        <v>0</v>
      </c>
      <c r="G176" s="124" t="n">
        <v>0</v>
      </c>
      <c r="I176" s="124" t="n">
        <f aca="false">IF(MONTH($A176)=MONTH($A175),IF(G176=0,I175,G176),G176)</f>
        <v>0</v>
      </c>
      <c r="J176" s="124" t="n">
        <f aca="false">IF(MONTH($A176)=MONTH($A175),SUM(I176-I175),I176)</f>
        <v>0</v>
      </c>
      <c r="K176" s="124" t="n">
        <f aca="false">IF(WEEKDAY(A176,3)&gt;4,0,(IF(A176&lt;K$2,0,IF(A176&lt;=K$3,1,0))))</f>
        <v>0</v>
      </c>
      <c r="L176" s="124" t="n">
        <f aca="false">J176*K176</f>
        <v>0</v>
      </c>
      <c r="M176" s="124" t="n">
        <f aca="false">SUM(J$97:J176)</f>
        <v>0</v>
      </c>
      <c r="N176" s="124" t="n">
        <f aca="false">SUM(J$6:J176)</f>
        <v>-37239</v>
      </c>
      <c r="P176" s="124" t="n">
        <f aca="false">D176/P$3</f>
        <v>0</v>
      </c>
      <c r="Q176" s="124" t="n">
        <f aca="false">E176/P$3</f>
        <v>0</v>
      </c>
      <c r="R176" s="124" t="n">
        <f aca="false">F176/R$3</f>
        <v>0</v>
      </c>
      <c r="S176" s="126" t="n">
        <f aca="false">J176/$R$3</f>
        <v>0</v>
      </c>
      <c r="T176" s="126" t="n">
        <f aca="false">L176/$R$3</f>
        <v>0</v>
      </c>
      <c r="U176" s="126" t="n">
        <f aca="false">I176/$R$3</f>
        <v>0</v>
      </c>
      <c r="V176" s="126" t="n">
        <f aca="false">M176/$R$3</f>
        <v>0</v>
      </c>
      <c r="W176" s="126" t="n">
        <f aca="false">N176/$R$3</f>
        <v>-37.239</v>
      </c>
    </row>
    <row r="177" customFormat="false" ht="12.75" hidden="false" customHeight="false" outlineLevel="0" collapsed="false">
      <c r="A177" s="120" t="n">
        <f aca="false">A176+1</f>
        <v>37063</v>
      </c>
      <c r="B177" s="131" t="str">
        <f aca="false">INDEX('[4]Master Data'!$A$2:$B$8,MATCH(WEEKDAY('GNS Bolv Gas MTM'!A177,3),'[4]Master Data'!$A$2:$A$8,0),2)</f>
        <v>Th</v>
      </c>
      <c r="D177" s="124" t="n">
        <v>0</v>
      </c>
      <c r="E177" s="124" t="n">
        <v>0</v>
      </c>
      <c r="F177" s="124" t="n">
        <v>0</v>
      </c>
      <c r="G177" s="124" t="n">
        <v>0</v>
      </c>
      <c r="I177" s="124" t="n">
        <f aca="false">IF(MONTH($A177)=MONTH($A176),IF(G177=0,I176,G177),G177)</f>
        <v>0</v>
      </c>
      <c r="J177" s="124" t="n">
        <f aca="false">IF(MONTH($A177)=MONTH($A176),SUM(I177-I176),I177)</f>
        <v>0</v>
      </c>
      <c r="K177" s="124" t="n">
        <f aca="false">IF(WEEKDAY(A177,3)&gt;4,0,(IF(A177&lt;K$2,0,IF(A177&lt;=K$3,1,0))))</f>
        <v>0</v>
      </c>
      <c r="L177" s="124" t="n">
        <f aca="false">J177*K177</f>
        <v>0</v>
      </c>
      <c r="M177" s="124" t="n">
        <f aca="false">SUM(J$97:J177)</f>
        <v>0</v>
      </c>
      <c r="N177" s="124" t="n">
        <f aca="false">SUM(J$6:J177)</f>
        <v>-37239</v>
      </c>
      <c r="P177" s="124" t="n">
        <f aca="false">D177/P$3</f>
        <v>0</v>
      </c>
      <c r="Q177" s="124" t="n">
        <f aca="false">E177/P$3</f>
        <v>0</v>
      </c>
      <c r="R177" s="124" t="n">
        <f aca="false">F177/R$3</f>
        <v>0</v>
      </c>
      <c r="S177" s="126" t="n">
        <f aca="false">J177/$R$3</f>
        <v>0</v>
      </c>
      <c r="T177" s="126" t="n">
        <f aca="false">L177/$R$3</f>
        <v>0</v>
      </c>
      <c r="U177" s="126" t="n">
        <f aca="false">I177/$R$3</f>
        <v>0</v>
      </c>
      <c r="V177" s="126" t="n">
        <f aca="false">M177/$R$3</f>
        <v>0</v>
      </c>
      <c r="W177" s="126" t="n">
        <f aca="false">N177/$R$3</f>
        <v>-37.239</v>
      </c>
    </row>
    <row r="178" customFormat="false" ht="12.75" hidden="false" customHeight="false" outlineLevel="0" collapsed="false">
      <c r="A178" s="120" t="n">
        <f aca="false">A177+1</f>
        <v>37064</v>
      </c>
      <c r="B178" s="131" t="str">
        <f aca="false">INDEX('[4]Master Data'!$A$2:$B$8,MATCH(WEEKDAY('GNS Bolv Gas MTM'!A178,3),'[4]Master Data'!$A$2:$A$8,0),2)</f>
        <v>F</v>
      </c>
      <c r="D178" s="124" t="n">
        <v>0</v>
      </c>
      <c r="E178" s="124" t="n">
        <v>0</v>
      </c>
      <c r="F178" s="124" t="n">
        <v>0</v>
      </c>
      <c r="G178" s="124" t="n">
        <v>0</v>
      </c>
      <c r="I178" s="124" t="n">
        <f aca="false">IF(MONTH($A178)=MONTH($A177),IF(G178=0,I177,G178),G178)</f>
        <v>0</v>
      </c>
      <c r="J178" s="124" t="n">
        <f aca="false">IF(MONTH($A178)=MONTH($A177),SUM(I178-I177),I178)</f>
        <v>0</v>
      </c>
      <c r="K178" s="124" t="n">
        <f aca="false">IF(WEEKDAY(A178,3)&gt;4,0,(IF(A178&lt;K$2,0,IF(A178&lt;=K$3,1,0))))</f>
        <v>0</v>
      </c>
      <c r="L178" s="124" t="n">
        <f aca="false">J178*K178</f>
        <v>0</v>
      </c>
      <c r="M178" s="124" t="n">
        <f aca="false">SUM(J$97:J178)</f>
        <v>0</v>
      </c>
      <c r="N178" s="124" t="n">
        <f aca="false">SUM(J$6:J178)</f>
        <v>-37239</v>
      </c>
      <c r="P178" s="124" t="n">
        <f aca="false">D178/P$3</f>
        <v>0</v>
      </c>
      <c r="Q178" s="124" t="n">
        <f aca="false">E178/P$3</f>
        <v>0</v>
      </c>
      <c r="R178" s="124" t="n">
        <f aca="false">F178/R$3</f>
        <v>0</v>
      </c>
      <c r="S178" s="126" t="n">
        <f aca="false">J178/$R$3</f>
        <v>0</v>
      </c>
      <c r="T178" s="126" t="n">
        <f aca="false">L178/$R$3</f>
        <v>0</v>
      </c>
      <c r="U178" s="126" t="n">
        <f aca="false">I178/$R$3</f>
        <v>0</v>
      </c>
      <c r="V178" s="126" t="n">
        <f aca="false">M178/$R$3</f>
        <v>0</v>
      </c>
      <c r="W178" s="126" t="n">
        <f aca="false">N178/$R$3</f>
        <v>-37.239</v>
      </c>
    </row>
    <row r="179" customFormat="false" ht="12.75" hidden="false" customHeight="false" outlineLevel="0" collapsed="false">
      <c r="A179" s="120" t="n">
        <f aca="false">A178+1</f>
        <v>37065</v>
      </c>
      <c r="B179" s="131" t="str">
        <f aca="false">INDEX('[4]Master Data'!$A$2:$B$8,MATCH(WEEKDAY('GNS Bolv Gas MTM'!A179,3),'[4]Master Data'!$A$2:$A$8,0),2)</f>
        <v>Sa</v>
      </c>
      <c r="D179" s="124" t="n">
        <v>0</v>
      </c>
      <c r="E179" s="124" t="n">
        <v>0</v>
      </c>
      <c r="F179" s="124" t="n">
        <v>0</v>
      </c>
      <c r="G179" s="124" t="n">
        <v>0</v>
      </c>
      <c r="I179" s="124" t="n">
        <f aca="false">IF(MONTH($A179)=MONTH($A178),IF(G179=0,I178,G179),G179)</f>
        <v>0</v>
      </c>
      <c r="J179" s="124" t="n">
        <f aca="false">IF(MONTH($A179)=MONTH($A178),SUM(I179-I178),I179)</f>
        <v>0</v>
      </c>
      <c r="K179" s="124" t="n">
        <f aca="false">IF(WEEKDAY(A179,3)&gt;4,0,(IF(A179&lt;K$2,0,IF(A179&lt;=K$3,1,0))))</f>
        <v>0</v>
      </c>
      <c r="L179" s="124" t="n">
        <f aca="false">J179*K179</f>
        <v>0</v>
      </c>
      <c r="M179" s="124" t="n">
        <f aca="false">SUM(J$97:J179)</f>
        <v>0</v>
      </c>
      <c r="N179" s="124" t="n">
        <f aca="false">SUM(J$6:J179)</f>
        <v>-37239</v>
      </c>
      <c r="P179" s="124" t="n">
        <f aca="false">D179/P$3</f>
        <v>0</v>
      </c>
      <c r="Q179" s="124" t="n">
        <f aca="false">E179/P$3</f>
        <v>0</v>
      </c>
      <c r="R179" s="124" t="n">
        <f aca="false">F179/R$3</f>
        <v>0</v>
      </c>
      <c r="S179" s="126" t="n">
        <f aca="false">J179/$R$3</f>
        <v>0</v>
      </c>
      <c r="T179" s="126" t="n">
        <f aca="false">L179/$R$3</f>
        <v>0</v>
      </c>
      <c r="U179" s="126" t="n">
        <f aca="false">I179/$R$3</f>
        <v>0</v>
      </c>
      <c r="V179" s="126" t="n">
        <f aca="false">M179/$R$3</f>
        <v>0</v>
      </c>
      <c r="W179" s="126" t="n">
        <f aca="false">N179/$R$3</f>
        <v>-37.239</v>
      </c>
    </row>
    <row r="180" customFormat="false" ht="12.75" hidden="false" customHeight="false" outlineLevel="0" collapsed="false">
      <c r="A180" s="120" t="n">
        <f aca="false">A179+1</f>
        <v>37066</v>
      </c>
      <c r="B180" s="131" t="str">
        <f aca="false">INDEX('[4]Master Data'!$A$2:$B$8,MATCH(WEEKDAY('GNS Bolv Gas MTM'!A180,3),'[4]Master Data'!$A$2:$A$8,0),2)</f>
        <v>Su</v>
      </c>
      <c r="D180" s="124" t="n">
        <v>0</v>
      </c>
      <c r="E180" s="124" t="n">
        <v>0</v>
      </c>
      <c r="F180" s="124" t="n">
        <v>0</v>
      </c>
      <c r="G180" s="124" t="n">
        <v>0</v>
      </c>
      <c r="I180" s="124" t="n">
        <f aca="false">IF(MONTH($A180)=MONTH($A179),IF(G180=0,I179,G180),G180)</f>
        <v>0</v>
      </c>
      <c r="J180" s="124" t="n">
        <f aca="false">IF(MONTH($A180)=MONTH($A179),SUM(I180-I179),I180)</f>
        <v>0</v>
      </c>
      <c r="K180" s="124" t="n">
        <f aca="false">IF(WEEKDAY(A180,3)&gt;4,0,(IF(A180&lt;K$2,0,IF(A180&lt;=K$3,1,0))))</f>
        <v>0</v>
      </c>
      <c r="L180" s="124" t="n">
        <f aca="false">J180*K180</f>
        <v>0</v>
      </c>
      <c r="M180" s="124" t="n">
        <f aca="false">SUM(J$97:J180)</f>
        <v>0</v>
      </c>
      <c r="N180" s="124" t="n">
        <f aca="false">SUM(J$6:J180)</f>
        <v>-37239</v>
      </c>
      <c r="P180" s="124" t="n">
        <f aca="false">D180/P$3</f>
        <v>0</v>
      </c>
      <c r="Q180" s="124" t="n">
        <f aca="false">E180/P$3</f>
        <v>0</v>
      </c>
      <c r="R180" s="124" t="n">
        <f aca="false">F180/R$3</f>
        <v>0</v>
      </c>
      <c r="S180" s="126" t="n">
        <f aca="false">J180/$R$3</f>
        <v>0</v>
      </c>
      <c r="T180" s="126" t="n">
        <f aca="false">L180/$R$3</f>
        <v>0</v>
      </c>
      <c r="U180" s="126" t="n">
        <f aca="false">I180/$R$3</f>
        <v>0</v>
      </c>
      <c r="V180" s="126" t="n">
        <f aca="false">M180/$R$3</f>
        <v>0</v>
      </c>
      <c r="W180" s="126" t="n">
        <f aca="false">N180/$R$3</f>
        <v>-37.239</v>
      </c>
    </row>
    <row r="181" customFormat="false" ht="12.75" hidden="false" customHeight="false" outlineLevel="0" collapsed="false">
      <c r="A181" s="120" t="n">
        <f aca="false">A180+1</f>
        <v>37067</v>
      </c>
      <c r="B181" s="131" t="str">
        <f aca="false">INDEX('[4]Master Data'!$A$2:$B$8,MATCH(WEEKDAY('GNS Bolv Gas MTM'!A181,3),'[4]Master Data'!$A$2:$A$8,0),2)</f>
        <v>M</v>
      </c>
      <c r="D181" s="124" t="n">
        <v>0</v>
      </c>
      <c r="E181" s="124" t="n">
        <v>0</v>
      </c>
      <c r="F181" s="124" t="n">
        <v>0</v>
      </c>
      <c r="G181" s="124" t="n">
        <v>0</v>
      </c>
      <c r="I181" s="124" t="n">
        <f aca="false">IF(MONTH($A181)=MONTH($A180),IF(G181=0,I180,G181),G181)</f>
        <v>0</v>
      </c>
      <c r="J181" s="124" t="n">
        <f aca="false">IF(MONTH($A181)=MONTH($A180),SUM(I181-I180),I181)</f>
        <v>0</v>
      </c>
      <c r="K181" s="124" t="n">
        <f aca="false">IF(WEEKDAY(A181,3)&gt;4,0,(IF(A181&lt;K$2,0,IF(A181&lt;=K$3,1,0))))</f>
        <v>0</v>
      </c>
      <c r="L181" s="124" t="n">
        <f aca="false">J181*K181</f>
        <v>0</v>
      </c>
      <c r="M181" s="124" t="n">
        <f aca="false">SUM(J$97:J181)</f>
        <v>0</v>
      </c>
      <c r="N181" s="124" t="n">
        <f aca="false">SUM(J$6:J181)</f>
        <v>-37239</v>
      </c>
      <c r="P181" s="124" t="n">
        <f aca="false">D181/P$3</f>
        <v>0</v>
      </c>
      <c r="Q181" s="124" t="n">
        <f aca="false">E181/P$3</f>
        <v>0</v>
      </c>
      <c r="R181" s="124" t="n">
        <f aca="false">F181/R$3</f>
        <v>0</v>
      </c>
      <c r="S181" s="126" t="n">
        <f aca="false">J181/$R$3</f>
        <v>0</v>
      </c>
      <c r="T181" s="126" t="n">
        <f aca="false">L181/$R$3</f>
        <v>0</v>
      </c>
      <c r="U181" s="126" t="n">
        <f aca="false">I181/$R$3</f>
        <v>0</v>
      </c>
      <c r="V181" s="126" t="n">
        <f aca="false">M181/$R$3</f>
        <v>0</v>
      </c>
      <c r="W181" s="126" t="n">
        <f aca="false">N181/$R$3</f>
        <v>-37.239</v>
      </c>
    </row>
    <row r="182" customFormat="false" ht="12.75" hidden="false" customHeight="false" outlineLevel="0" collapsed="false">
      <c r="A182" s="120" t="n">
        <f aca="false">A181+1</f>
        <v>37068</v>
      </c>
      <c r="B182" s="131" t="str">
        <f aca="false">INDEX('[4]Master Data'!$A$2:$B$8,MATCH(WEEKDAY('GNS Bolv Gas MTM'!A182,3),'[4]Master Data'!$A$2:$A$8,0),2)</f>
        <v>T</v>
      </c>
      <c r="D182" s="124" t="n">
        <v>0</v>
      </c>
      <c r="E182" s="124" t="n">
        <v>0</v>
      </c>
      <c r="F182" s="124" t="n">
        <v>0</v>
      </c>
      <c r="G182" s="124" t="n">
        <v>0</v>
      </c>
      <c r="I182" s="124" t="n">
        <f aca="false">IF(MONTH($A182)=MONTH($A181),IF(G182=0,I181,G182),G182)</f>
        <v>0</v>
      </c>
      <c r="J182" s="124" t="n">
        <f aca="false">IF(MONTH($A182)=MONTH($A181),SUM(I182-I181),I182)</f>
        <v>0</v>
      </c>
      <c r="K182" s="124" t="n">
        <f aca="false">IF(WEEKDAY(A182,3)&gt;4,0,(IF(A182&lt;K$2,0,IF(A182&lt;=K$3,1,0))))</f>
        <v>0</v>
      </c>
      <c r="L182" s="124" t="n">
        <f aca="false">J182*K182</f>
        <v>0</v>
      </c>
      <c r="M182" s="124" t="n">
        <f aca="false">SUM(J$97:J182)</f>
        <v>0</v>
      </c>
      <c r="N182" s="124" t="n">
        <f aca="false">SUM(J$6:J182)</f>
        <v>-37239</v>
      </c>
      <c r="P182" s="124" t="n">
        <f aca="false">D182/P$3</f>
        <v>0</v>
      </c>
      <c r="Q182" s="124" t="n">
        <f aca="false">E182/P$3</f>
        <v>0</v>
      </c>
      <c r="R182" s="124" t="n">
        <f aca="false">F182/R$3</f>
        <v>0</v>
      </c>
      <c r="S182" s="126" t="n">
        <f aca="false">J182/$R$3</f>
        <v>0</v>
      </c>
      <c r="T182" s="126" t="n">
        <f aca="false">L182/$R$3</f>
        <v>0</v>
      </c>
      <c r="U182" s="126" t="n">
        <f aca="false">I182/$R$3</f>
        <v>0</v>
      </c>
      <c r="V182" s="126" t="n">
        <f aca="false">M182/$R$3</f>
        <v>0</v>
      </c>
      <c r="W182" s="126" t="n">
        <f aca="false">N182/$R$3</f>
        <v>-37.239</v>
      </c>
    </row>
    <row r="183" customFormat="false" ht="12.75" hidden="false" customHeight="false" outlineLevel="0" collapsed="false">
      <c r="A183" s="120" t="n">
        <f aca="false">A182+1</f>
        <v>37069</v>
      </c>
      <c r="B183" s="131" t="str">
        <f aca="false">INDEX('[4]Master Data'!$A$2:$B$8,MATCH(WEEKDAY('GNS Bolv Gas MTM'!A183,3),'[4]Master Data'!$A$2:$A$8,0),2)</f>
        <v>W</v>
      </c>
      <c r="D183" s="124" t="n">
        <v>0</v>
      </c>
      <c r="E183" s="124" t="n">
        <v>0</v>
      </c>
      <c r="F183" s="124" t="n">
        <v>0</v>
      </c>
      <c r="G183" s="124" t="n">
        <v>0</v>
      </c>
      <c r="I183" s="124" t="n">
        <f aca="false">IF(MONTH($A183)=MONTH($A182),IF(G183=0,I182,G183),G183)</f>
        <v>0</v>
      </c>
      <c r="J183" s="124" t="n">
        <f aca="false">IF(MONTH($A183)=MONTH($A182),SUM(I183-I182),I183)</f>
        <v>0</v>
      </c>
      <c r="K183" s="124" t="n">
        <f aca="false">IF(WEEKDAY(A183,3)&gt;4,0,(IF(A183&lt;K$2,0,IF(A183&lt;=K$3,1,0))))</f>
        <v>0</v>
      </c>
      <c r="L183" s="124" t="n">
        <f aca="false">J183*K183</f>
        <v>0</v>
      </c>
      <c r="M183" s="124" t="n">
        <f aca="false">SUM(J$97:J183)</f>
        <v>0</v>
      </c>
      <c r="N183" s="124" t="n">
        <f aca="false">SUM(J$6:J183)</f>
        <v>-37239</v>
      </c>
      <c r="P183" s="124" t="n">
        <f aca="false">D183/P$3</f>
        <v>0</v>
      </c>
      <c r="Q183" s="124" t="n">
        <f aca="false">E183/P$3</f>
        <v>0</v>
      </c>
      <c r="R183" s="124" t="n">
        <f aca="false">F183/R$3</f>
        <v>0</v>
      </c>
      <c r="S183" s="126" t="n">
        <f aca="false">J183/$R$3</f>
        <v>0</v>
      </c>
      <c r="T183" s="126" t="n">
        <f aca="false">L183/$R$3</f>
        <v>0</v>
      </c>
      <c r="U183" s="126" t="n">
        <f aca="false">I183/$R$3</f>
        <v>0</v>
      </c>
      <c r="V183" s="126" t="n">
        <f aca="false">M183/$R$3</f>
        <v>0</v>
      </c>
      <c r="W183" s="126" t="n">
        <f aca="false">N183/$R$3</f>
        <v>-37.239</v>
      </c>
    </row>
    <row r="184" customFormat="false" ht="12.75" hidden="false" customHeight="false" outlineLevel="0" collapsed="false">
      <c r="A184" s="120" t="n">
        <f aca="false">A183+1</f>
        <v>37070</v>
      </c>
      <c r="B184" s="131" t="str">
        <f aca="false">INDEX('[4]Master Data'!$A$2:$B$8,MATCH(WEEKDAY('GNS Bolv Gas MTM'!A184,3),'[4]Master Data'!$A$2:$A$8,0),2)</f>
        <v>Th</v>
      </c>
      <c r="D184" s="124" t="n">
        <v>0</v>
      </c>
      <c r="E184" s="124" t="n">
        <v>0</v>
      </c>
      <c r="F184" s="124" t="n">
        <v>0</v>
      </c>
      <c r="G184" s="124" t="n">
        <v>0</v>
      </c>
      <c r="I184" s="124" t="n">
        <f aca="false">IF(MONTH($A184)=MONTH($A183),IF(G184=0,I183,G184),G184)</f>
        <v>0</v>
      </c>
      <c r="J184" s="124" t="n">
        <f aca="false">IF(MONTH($A184)=MONTH($A183),SUM(I184-I183),I184)</f>
        <v>0</v>
      </c>
      <c r="K184" s="124" t="n">
        <f aca="false">IF(WEEKDAY(A184,3)&gt;4,0,(IF(A184&lt;K$2,0,IF(A184&lt;=K$3,1,0))))</f>
        <v>0</v>
      </c>
      <c r="L184" s="124" t="n">
        <f aca="false">J184*K184</f>
        <v>0</v>
      </c>
      <c r="M184" s="124" t="n">
        <f aca="false">SUM(J$97:J184)</f>
        <v>0</v>
      </c>
      <c r="N184" s="124" t="n">
        <f aca="false">SUM(J$6:J184)</f>
        <v>-37239</v>
      </c>
      <c r="P184" s="124" t="n">
        <f aca="false">D184/P$3</f>
        <v>0</v>
      </c>
      <c r="Q184" s="124" t="n">
        <f aca="false">E184/P$3</f>
        <v>0</v>
      </c>
      <c r="R184" s="124" t="n">
        <f aca="false">F184/R$3</f>
        <v>0</v>
      </c>
      <c r="S184" s="126" t="n">
        <f aca="false">J184/$R$3</f>
        <v>0</v>
      </c>
      <c r="T184" s="126" t="n">
        <f aca="false">L184/$R$3</f>
        <v>0</v>
      </c>
      <c r="U184" s="126" t="n">
        <f aca="false">I184/$R$3</f>
        <v>0</v>
      </c>
      <c r="V184" s="126" t="n">
        <f aca="false">M184/$R$3</f>
        <v>0</v>
      </c>
      <c r="W184" s="126" t="n">
        <f aca="false">N184/$R$3</f>
        <v>-37.239</v>
      </c>
    </row>
    <row r="185" customFormat="false" ht="12.75" hidden="false" customHeight="false" outlineLevel="0" collapsed="false">
      <c r="A185" s="120" t="n">
        <f aca="false">A184+1</f>
        <v>37071</v>
      </c>
      <c r="B185" s="131" t="str">
        <f aca="false">INDEX('[4]Master Data'!$A$2:$B$8,MATCH(WEEKDAY('GNS Bolv Gas MTM'!A185,3),'[4]Master Data'!$A$2:$A$8,0),2)</f>
        <v>F</v>
      </c>
      <c r="D185" s="124" t="n">
        <v>0</v>
      </c>
      <c r="E185" s="124" t="n">
        <v>0</v>
      </c>
      <c r="F185" s="124" t="n">
        <v>0</v>
      </c>
      <c r="G185" s="124" t="n">
        <v>0</v>
      </c>
      <c r="I185" s="124" t="n">
        <f aca="false">IF(MONTH($A185)=MONTH($A184),IF(G185=0,I184,G185),G185)</f>
        <v>0</v>
      </c>
      <c r="J185" s="124" t="n">
        <f aca="false">IF(MONTH($A185)=MONTH($A184),SUM(I185-I184),I185)</f>
        <v>0</v>
      </c>
      <c r="K185" s="124" t="n">
        <f aca="false">IF(WEEKDAY(A185,3)&gt;4,0,(IF(A185&lt;K$2,0,IF(A185&lt;=K$3,1,0))))</f>
        <v>0</v>
      </c>
      <c r="L185" s="124" t="n">
        <f aca="false">J185*K185</f>
        <v>0</v>
      </c>
      <c r="M185" s="124" t="n">
        <f aca="false">SUM(J$97:J185)</f>
        <v>0</v>
      </c>
      <c r="N185" s="124" t="n">
        <f aca="false">SUM(J$6:J185)</f>
        <v>-37239</v>
      </c>
      <c r="P185" s="124" t="n">
        <f aca="false">D185/P$3</f>
        <v>0</v>
      </c>
      <c r="Q185" s="124" t="n">
        <f aca="false">E185/P$3</f>
        <v>0</v>
      </c>
      <c r="R185" s="124" t="n">
        <f aca="false">F185/R$3</f>
        <v>0</v>
      </c>
      <c r="S185" s="126" t="n">
        <f aca="false">J185/$R$3</f>
        <v>0</v>
      </c>
      <c r="T185" s="126" t="n">
        <f aca="false">L185/$R$3</f>
        <v>0</v>
      </c>
      <c r="U185" s="126" t="n">
        <f aca="false">I185/$R$3</f>
        <v>0</v>
      </c>
      <c r="V185" s="126" t="n">
        <f aca="false">M185/$R$3</f>
        <v>0</v>
      </c>
      <c r="W185" s="126" t="n">
        <f aca="false">N185/$R$3</f>
        <v>-37.239</v>
      </c>
    </row>
    <row r="186" customFormat="false" ht="12.75" hidden="false" customHeight="false" outlineLevel="0" collapsed="false">
      <c r="A186" s="120" t="n">
        <f aca="false">A185+1</f>
        <v>37072</v>
      </c>
      <c r="B186" s="131" t="str">
        <f aca="false">INDEX('[4]Master Data'!$A$2:$B$8,MATCH(WEEKDAY('GNS Bolv Gas MTM'!A186,3),'[4]Master Data'!$A$2:$A$8,0),2)</f>
        <v>Sa</v>
      </c>
      <c r="D186" s="124" t="n">
        <v>0</v>
      </c>
      <c r="E186" s="124" t="n">
        <v>0</v>
      </c>
      <c r="F186" s="124" t="n">
        <v>0</v>
      </c>
      <c r="G186" s="124" t="n">
        <v>0</v>
      </c>
      <c r="I186" s="124" t="n">
        <f aca="false">IF(MONTH($A186)=MONTH($A185),IF(G186=0,I185,G186),G186)</f>
        <v>0</v>
      </c>
      <c r="J186" s="124" t="n">
        <f aca="false">IF(MONTH($A186)=MONTH($A185),SUM(I186-I185),I186)</f>
        <v>0</v>
      </c>
      <c r="K186" s="124" t="n">
        <f aca="false">IF(WEEKDAY(A186,3)&gt;4,0,(IF(A186&lt;K$2,0,IF(A186&lt;=K$3,1,0))))</f>
        <v>0</v>
      </c>
      <c r="L186" s="124" t="n">
        <f aca="false">J186*K186</f>
        <v>0</v>
      </c>
      <c r="M186" s="124" t="n">
        <f aca="false">SUM(J$97:J186)</f>
        <v>0</v>
      </c>
      <c r="N186" s="124" t="n">
        <f aca="false">SUM(J$6:J186)</f>
        <v>-37239</v>
      </c>
      <c r="P186" s="124" t="n">
        <f aca="false">D186/P$3</f>
        <v>0</v>
      </c>
      <c r="Q186" s="124" t="n">
        <f aca="false">E186/P$3</f>
        <v>0</v>
      </c>
      <c r="R186" s="124" t="n">
        <f aca="false">F186/R$3</f>
        <v>0</v>
      </c>
      <c r="S186" s="126" t="n">
        <f aca="false">J186/$R$3</f>
        <v>0</v>
      </c>
      <c r="T186" s="126" t="n">
        <f aca="false">L186/$R$3</f>
        <v>0</v>
      </c>
      <c r="U186" s="126" t="n">
        <f aca="false">I186/$R$3</f>
        <v>0</v>
      </c>
      <c r="V186" s="126" t="n">
        <f aca="false">M186/$R$3</f>
        <v>0</v>
      </c>
      <c r="W186" s="126" t="n">
        <f aca="false">N186/$R$3</f>
        <v>-37.239</v>
      </c>
    </row>
    <row r="187" customFormat="false" ht="12.75" hidden="false" customHeight="false" outlineLevel="0" collapsed="false">
      <c r="A187" s="120" t="n">
        <f aca="false">A186+1</f>
        <v>37073</v>
      </c>
      <c r="B187" s="131" t="str">
        <f aca="false">INDEX('[4]Master Data'!$A$2:$B$8,MATCH(WEEKDAY('GNS Bolv Gas MTM'!A187,3),'[4]Master Data'!$A$2:$A$8,0),2)</f>
        <v>Su</v>
      </c>
      <c r="D187" s="124" t="n">
        <v>0</v>
      </c>
      <c r="E187" s="124" t="n">
        <v>0</v>
      </c>
      <c r="F187" s="124" t="n">
        <v>0</v>
      </c>
      <c r="G187" s="124" t="n">
        <v>0</v>
      </c>
      <c r="I187" s="124" t="n">
        <f aca="false">IF(MONTH($A187)=MONTH($A186),IF(G187=0,I186,G187),G187)</f>
        <v>0</v>
      </c>
      <c r="J187" s="124" t="n">
        <f aca="false">IF(MONTH($A187)=MONTH($A186),SUM(I187-I186),I187)</f>
        <v>0</v>
      </c>
      <c r="K187" s="124" t="n">
        <f aca="false">IF(WEEKDAY(A187,3)&gt;4,0,(IF(A187&lt;K$2,0,IF(A187&lt;=K$3,1,0))))</f>
        <v>0</v>
      </c>
      <c r="L187" s="124" t="n">
        <f aca="false">J187*K187</f>
        <v>0</v>
      </c>
      <c r="M187" s="124" t="n">
        <f aca="false">SUM(J$97:J187)</f>
        <v>0</v>
      </c>
      <c r="N187" s="124" t="n">
        <f aca="false">SUM(J$6:J187)</f>
        <v>-37239</v>
      </c>
      <c r="P187" s="124" t="n">
        <f aca="false">D187/P$3</f>
        <v>0</v>
      </c>
      <c r="Q187" s="124" t="n">
        <f aca="false">E187/P$3</f>
        <v>0</v>
      </c>
      <c r="R187" s="124" t="n">
        <f aca="false">F187/R$3</f>
        <v>0</v>
      </c>
      <c r="S187" s="126" t="n">
        <f aca="false">J187/$R$3</f>
        <v>0</v>
      </c>
      <c r="T187" s="126" t="n">
        <f aca="false">L187/$R$3</f>
        <v>0</v>
      </c>
      <c r="U187" s="126" t="n">
        <f aca="false">I187/$R$3</f>
        <v>0</v>
      </c>
      <c r="V187" s="126" t="n">
        <f aca="false">M187/$R$3</f>
        <v>0</v>
      </c>
      <c r="W187" s="126" t="n">
        <f aca="false">N187/$R$3</f>
        <v>-37.239</v>
      </c>
    </row>
    <row r="188" customFormat="false" ht="12.75" hidden="false" customHeight="false" outlineLevel="0" collapsed="false">
      <c r="A188" s="120" t="n">
        <f aca="false">A187+1</f>
        <v>37074</v>
      </c>
      <c r="B188" s="131" t="str">
        <f aca="false">INDEX('[4]Master Data'!$A$2:$B$8,MATCH(WEEKDAY('GNS Bolv Gas MTM'!A188,3),'[4]Master Data'!$A$2:$A$8,0),2)</f>
        <v>M</v>
      </c>
      <c r="D188" s="124" t="n">
        <v>0</v>
      </c>
      <c r="E188" s="124" t="n">
        <v>0</v>
      </c>
      <c r="F188" s="124" t="n">
        <v>0</v>
      </c>
      <c r="G188" s="124" t="n">
        <v>0</v>
      </c>
      <c r="I188" s="124" t="n">
        <f aca="false">IF(MONTH($A188)=MONTH($A187),IF(G188=0,I187,G188),G188)</f>
        <v>0</v>
      </c>
      <c r="J188" s="124" t="n">
        <f aca="false">IF(MONTH($A188)=MONTH($A187),SUM(I188-I187),I188)</f>
        <v>0</v>
      </c>
      <c r="K188" s="124" t="n">
        <f aca="false">IF(WEEKDAY(A188,3)&gt;4,0,(IF(A188&lt;K$2,0,IF(A188&lt;=K$3,1,0))))</f>
        <v>0</v>
      </c>
      <c r="L188" s="124" t="n">
        <f aca="false">J188*K188</f>
        <v>0</v>
      </c>
      <c r="M188" s="124" t="n">
        <f aca="false">SUM(J$188:J188)</f>
        <v>0</v>
      </c>
      <c r="N188" s="124" t="n">
        <f aca="false">SUM(J$6:J188)</f>
        <v>-37239</v>
      </c>
      <c r="P188" s="124" t="n">
        <f aca="false">D188/P$3</f>
        <v>0</v>
      </c>
      <c r="Q188" s="124" t="n">
        <f aca="false">E188/P$3</f>
        <v>0</v>
      </c>
      <c r="R188" s="124" t="n">
        <f aca="false">F188/R$3</f>
        <v>0</v>
      </c>
      <c r="S188" s="126" t="n">
        <f aca="false">J188/$R$3</f>
        <v>0</v>
      </c>
      <c r="T188" s="126" t="n">
        <f aca="false">L188/$R$3</f>
        <v>0</v>
      </c>
      <c r="U188" s="126" t="n">
        <f aca="false">I188/$R$3</f>
        <v>0</v>
      </c>
      <c r="V188" s="126" t="n">
        <f aca="false">M188/$R$3</f>
        <v>0</v>
      </c>
      <c r="W188" s="126" t="n">
        <f aca="false">N188/$R$3</f>
        <v>-37.239</v>
      </c>
    </row>
    <row r="189" customFormat="false" ht="12.75" hidden="false" customHeight="false" outlineLevel="0" collapsed="false">
      <c r="A189" s="120" t="n">
        <f aca="false">A188+1</f>
        <v>37075</v>
      </c>
      <c r="B189" s="131" t="str">
        <f aca="false">INDEX('[4]Master Data'!$A$2:$B$8,MATCH(WEEKDAY('GNS Bolv Gas MTM'!A189,3),'[4]Master Data'!$A$2:$A$8,0),2)</f>
        <v>T</v>
      </c>
      <c r="D189" s="124" t="n">
        <v>0</v>
      </c>
      <c r="E189" s="124" t="n">
        <v>0</v>
      </c>
      <c r="F189" s="124" t="n">
        <v>0</v>
      </c>
      <c r="G189" s="124" t="n">
        <v>0</v>
      </c>
      <c r="I189" s="124" t="n">
        <f aca="false">IF(MONTH($A189)=MONTH($A188),IF(G189=0,I188,G189),G189)</f>
        <v>0</v>
      </c>
      <c r="J189" s="124" t="n">
        <f aca="false">IF(MONTH($A189)=MONTH($A188),SUM(I189-I188),I189)</f>
        <v>0</v>
      </c>
      <c r="K189" s="124" t="n">
        <f aca="false">IF(WEEKDAY(A189,3)&gt;4,0,(IF(A189&lt;K$2,0,IF(A189&lt;=K$3,1,0))))</f>
        <v>0</v>
      </c>
      <c r="L189" s="124" t="n">
        <f aca="false">J189*K189</f>
        <v>0</v>
      </c>
      <c r="M189" s="124" t="n">
        <f aca="false">SUM(J$188:J189)</f>
        <v>0</v>
      </c>
      <c r="N189" s="124" t="n">
        <f aca="false">SUM(J$6:J189)</f>
        <v>-37239</v>
      </c>
      <c r="P189" s="124" t="n">
        <f aca="false">D189/P$3</f>
        <v>0</v>
      </c>
      <c r="Q189" s="124" t="n">
        <f aca="false">E189/P$3</f>
        <v>0</v>
      </c>
      <c r="R189" s="124" t="n">
        <f aca="false">F189/R$3</f>
        <v>0</v>
      </c>
      <c r="S189" s="126" t="n">
        <f aca="false">J189/$R$3</f>
        <v>0</v>
      </c>
      <c r="T189" s="126" t="n">
        <f aca="false">L189/$R$3</f>
        <v>0</v>
      </c>
      <c r="U189" s="126" t="n">
        <f aca="false">I189/$R$3</f>
        <v>0</v>
      </c>
      <c r="V189" s="126" t="n">
        <f aca="false">M189/$R$3</f>
        <v>0</v>
      </c>
      <c r="W189" s="126" t="n">
        <f aca="false">N189/$R$3</f>
        <v>-37.239</v>
      </c>
    </row>
    <row r="190" customFormat="false" ht="12.75" hidden="false" customHeight="false" outlineLevel="0" collapsed="false">
      <c r="A190" s="120" t="n">
        <f aca="false">A189+1</f>
        <v>37076</v>
      </c>
      <c r="B190" s="131" t="str">
        <f aca="false">INDEX('[4]Master Data'!$A$2:$B$8,MATCH(WEEKDAY('GNS Bolv Gas MTM'!A190,3),'[4]Master Data'!$A$2:$A$8,0),2)</f>
        <v>W</v>
      </c>
      <c r="D190" s="124" t="n">
        <v>0</v>
      </c>
      <c r="E190" s="124" t="n">
        <v>0</v>
      </c>
      <c r="F190" s="124" t="n">
        <v>0</v>
      </c>
      <c r="G190" s="124" t="n">
        <v>0</v>
      </c>
      <c r="I190" s="124" t="n">
        <f aca="false">IF(MONTH($A190)=MONTH($A189),IF(G190=0,I189,G190),G190)</f>
        <v>0</v>
      </c>
      <c r="J190" s="124" t="n">
        <f aca="false">IF(MONTH($A190)=MONTH($A189),SUM(I190-I189),I190)</f>
        <v>0</v>
      </c>
      <c r="K190" s="124" t="n">
        <f aca="false">IF(WEEKDAY(A190,3)&gt;4,0,(IF(A190&lt;K$2,0,IF(A190&lt;=K$3,1,0))))</f>
        <v>0</v>
      </c>
      <c r="L190" s="124" t="n">
        <f aca="false">J190*K190</f>
        <v>0</v>
      </c>
      <c r="M190" s="124" t="n">
        <f aca="false">SUM(J$188:J190)</f>
        <v>0</v>
      </c>
      <c r="N190" s="124" t="n">
        <f aca="false">SUM(J$6:J190)</f>
        <v>-37239</v>
      </c>
      <c r="P190" s="124" t="n">
        <f aca="false">D190/P$3</f>
        <v>0</v>
      </c>
      <c r="Q190" s="124" t="n">
        <f aca="false">E190/P$3</f>
        <v>0</v>
      </c>
      <c r="R190" s="124" t="n">
        <f aca="false">F190/R$3</f>
        <v>0</v>
      </c>
      <c r="S190" s="126" t="n">
        <f aca="false">J190/$R$3</f>
        <v>0</v>
      </c>
      <c r="T190" s="126" t="n">
        <f aca="false">L190/$R$3</f>
        <v>0</v>
      </c>
      <c r="U190" s="126" t="n">
        <f aca="false">I190/$R$3</f>
        <v>0</v>
      </c>
      <c r="V190" s="126" t="n">
        <f aca="false">M190/$R$3</f>
        <v>0</v>
      </c>
      <c r="W190" s="126" t="n">
        <f aca="false">N190/$R$3</f>
        <v>-37.239</v>
      </c>
    </row>
    <row r="191" customFormat="false" ht="12.75" hidden="false" customHeight="false" outlineLevel="0" collapsed="false">
      <c r="A191" s="120" t="n">
        <f aca="false">A190+1</f>
        <v>37077</v>
      </c>
      <c r="B191" s="131" t="str">
        <f aca="false">INDEX('[4]Master Data'!$A$2:$B$8,MATCH(WEEKDAY('GNS Bolv Gas MTM'!A191,3),'[4]Master Data'!$A$2:$A$8,0),2)</f>
        <v>Th</v>
      </c>
      <c r="D191" s="124" t="n">
        <v>0</v>
      </c>
      <c r="E191" s="124" t="n">
        <v>0</v>
      </c>
      <c r="F191" s="124" t="n">
        <v>0</v>
      </c>
      <c r="G191" s="124" t="n">
        <v>0</v>
      </c>
      <c r="I191" s="124" t="n">
        <f aca="false">IF(MONTH($A191)=MONTH($A190),IF(G191=0,I190,G191),G191)</f>
        <v>0</v>
      </c>
      <c r="J191" s="124" t="n">
        <f aca="false">IF(MONTH($A191)=MONTH($A190),SUM(I191-I190),I191)</f>
        <v>0</v>
      </c>
      <c r="K191" s="124" t="n">
        <f aca="false">IF(WEEKDAY(A191,3)&gt;4,0,(IF(A191&lt;K$2,0,IF(A191&lt;=K$3,1,0))))</f>
        <v>0</v>
      </c>
      <c r="L191" s="124" t="n">
        <f aca="false">J191*K191</f>
        <v>0</v>
      </c>
      <c r="M191" s="124" t="n">
        <f aca="false">SUM(J$188:J191)</f>
        <v>0</v>
      </c>
      <c r="N191" s="124" t="n">
        <f aca="false">SUM(J$6:J191)</f>
        <v>-37239</v>
      </c>
      <c r="P191" s="124" t="n">
        <f aca="false">D191/P$3</f>
        <v>0</v>
      </c>
      <c r="Q191" s="124" t="n">
        <f aca="false">E191/P$3</f>
        <v>0</v>
      </c>
      <c r="R191" s="124" t="n">
        <f aca="false">F191/R$3</f>
        <v>0</v>
      </c>
      <c r="S191" s="126" t="n">
        <f aca="false">J191/$R$3</f>
        <v>0</v>
      </c>
      <c r="T191" s="126" t="n">
        <f aca="false">L191/$R$3</f>
        <v>0</v>
      </c>
      <c r="U191" s="126" t="n">
        <f aca="false">I191/$R$3</f>
        <v>0</v>
      </c>
      <c r="V191" s="126" t="n">
        <f aca="false">M191/$R$3</f>
        <v>0</v>
      </c>
      <c r="W191" s="126" t="n">
        <f aca="false">N191/$R$3</f>
        <v>-37.239</v>
      </c>
    </row>
    <row r="192" customFormat="false" ht="12.75" hidden="false" customHeight="false" outlineLevel="0" collapsed="false">
      <c r="A192" s="120" t="n">
        <f aca="false">A191+1</f>
        <v>37078</v>
      </c>
      <c r="B192" s="131" t="str">
        <f aca="false">INDEX('[4]Master Data'!$A$2:$B$8,MATCH(WEEKDAY('GNS Bolv Gas MTM'!A192,3),'[4]Master Data'!$A$2:$A$8,0),2)</f>
        <v>F</v>
      </c>
      <c r="D192" s="124" t="n">
        <v>0</v>
      </c>
      <c r="E192" s="124" t="n">
        <v>0</v>
      </c>
      <c r="F192" s="124" t="n">
        <v>0</v>
      </c>
      <c r="G192" s="124" t="n">
        <v>0</v>
      </c>
      <c r="I192" s="124" t="n">
        <f aca="false">IF(MONTH($A192)=MONTH($A191),IF(G192=0,I191,G192),G192)</f>
        <v>0</v>
      </c>
      <c r="J192" s="124" t="n">
        <f aca="false">IF(MONTH($A192)=MONTH($A191),SUM(I192-I191),I192)</f>
        <v>0</v>
      </c>
      <c r="K192" s="124" t="n">
        <f aca="false">IF(WEEKDAY(A192,3)&gt;4,0,(IF(A192&lt;K$2,0,IF(A192&lt;=K$3,1,0))))</f>
        <v>0</v>
      </c>
      <c r="L192" s="124" t="n">
        <f aca="false">J192*K192</f>
        <v>0</v>
      </c>
      <c r="M192" s="124" t="n">
        <f aca="false">SUM(J$188:J192)</f>
        <v>0</v>
      </c>
      <c r="N192" s="124" t="n">
        <f aca="false">SUM(J$6:J192)</f>
        <v>-37239</v>
      </c>
      <c r="P192" s="124" t="n">
        <f aca="false">D192/P$3</f>
        <v>0</v>
      </c>
      <c r="Q192" s="124" t="n">
        <f aca="false">E192/P$3</f>
        <v>0</v>
      </c>
      <c r="R192" s="124" t="n">
        <f aca="false">F192/R$3</f>
        <v>0</v>
      </c>
      <c r="S192" s="126" t="n">
        <f aca="false">J192/$R$3</f>
        <v>0</v>
      </c>
      <c r="T192" s="126" t="n">
        <f aca="false">L192/$R$3</f>
        <v>0</v>
      </c>
      <c r="U192" s="126" t="n">
        <f aca="false">I192/$R$3</f>
        <v>0</v>
      </c>
      <c r="V192" s="126" t="n">
        <f aca="false">M192/$R$3</f>
        <v>0</v>
      </c>
      <c r="W192" s="126" t="n">
        <f aca="false">N192/$R$3</f>
        <v>-37.239</v>
      </c>
    </row>
    <row r="193" customFormat="false" ht="12.75" hidden="false" customHeight="false" outlineLevel="0" collapsed="false">
      <c r="A193" s="120" t="n">
        <f aca="false">A192+1</f>
        <v>37079</v>
      </c>
      <c r="B193" s="131" t="str">
        <f aca="false">INDEX('[4]Master Data'!$A$2:$B$8,MATCH(WEEKDAY('GNS Bolv Gas MTM'!A193,3),'[4]Master Data'!$A$2:$A$8,0),2)</f>
        <v>Sa</v>
      </c>
      <c r="D193" s="124" t="n">
        <v>0</v>
      </c>
      <c r="E193" s="124" t="n">
        <v>0</v>
      </c>
      <c r="F193" s="124" t="n">
        <v>0</v>
      </c>
      <c r="G193" s="124" t="n">
        <v>0</v>
      </c>
      <c r="I193" s="124" t="n">
        <f aca="false">IF(MONTH($A193)=MONTH($A192),IF(G193=0,I192,G193),G193)</f>
        <v>0</v>
      </c>
      <c r="J193" s="124" t="n">
        <f aca="false">IF(MONTH($A193)=MONTH($A192),SUM(I193-I192),I193)</f>
        <v>0</v>
      </c>
      <c r="K193" s="124" t="n">
        <f aca="false">IF(WEEKDAY(A193,3)&gt;4,0,(IF(A193&lt;K$2,0,IF(A193&lt;=K$3,1,0))))</f>
        <v>0</v>
      </c>
      <c r="L193" s="124" t="n">
        <f aca="false">J193*K193</f>
        <v>0</v>
      </c>
      <c r="M193" s="124" t="n">
        <f aca="false">SUM(J$188:J193)</f>
        <v>0</v>
      </c>
      <c r="N193" s="124" t="n">
        <f aca="false">SUM(J$6:J193)</f>
        <v>-37239</v>
      </c>
      <c r="P193" s="124" t="n">
        <f aca="false">D193/P$3</f>
        <v>0</v>
      </c>
      <c r="Q193" s="124" t="n">
        <f aca="false">E193/P$3</f>
        <v>0</v>
      </c>
      <c r="R193" s="124" t="n">
        <f aca="false">F193/R$3</f>
        <v>0</v>
      </c>
      <c r="S193" s="126" t="n">
        <f aca="false">J193/$R$3</f>
        <v>0</v>
      </c>
      <c r="T193" s="126" t="n">
        <f aca="false">L193/$R$3</f>
        <v>0</v>
      </c>
      <c r="U193" s="126" t="n">
        <f aca="false">I193/$R$3</f>
        <v>0</v>
      </c>
      <c r="V193" s="126" t="n">
        <f aca="false">M193/$R$3</f>
        <v>0</v>
      </c>
      <c r="W193" s="126" t="n">
        <f aca="false">N193/$R$3</f>
        <v>-37.239</v>
      </c>
    </row>
    <row r="194" customFormat="false" ht="12.75" hidden="false" customHeight="false" outlineLevel="0" collapsed="false">
      <c r="A194" s="120" t="n">
        <f aca="false">A193+1</f>
        <v>37080</v>
      </c>
      <c r="B194" s="131" t="str">
        <f aca="false">INDEX('[4]Master Data'!$A$2:$B$8,MATCH(WEEKDAY('GNS Bolv Gas MTM'!A194,3),'[4]Master Data'!$A$2:$A$8,0),2)</f>
        <v>Su</v>
      </c>
      <c r="D194" s="124" t="n">
        <v>0</v>
      </c>
      <c r="E194" s="124" t="n">
        <v>0</v>
      </c>
      <c r="F194" s="124" t="n">
        <v>0</v>
      </c>
      <c r="G194" s="124" t="n">
        <v>0</v>
      </c>
      <c r="I194" s="124" t="n">
        <f aca="false">IF(MONTH($A194)=MONTH($A193),IF(G194=0,I193,G194),G194)</f>
        <v>0</v>
      </c>
      <c r="J194" s="124" t="n">
        <f aca="false">IF(MONTH($A194)=MONTH($A193),SUM(I194-I193),I194)</f>
        <v>0</v>
      </c>
      <c r="K194" s="124" t="n">
        <f aca="false">IF(WEEKDAY(A194,3)&gt;4,0,(IF(A194&lt;K$2,0,IF(A194&lt;=K$3,1,0))))</f>
        <v>0</v>
      </c>
      <c r="L194" s="124" t="n">
        <f aca="false">J194*K194</f>
        <v>0</v>
      </c>
      <c r="M194" s="124" t="n">
        <f aca="false">SUM(J$188:J194)</f>
        <v>0</v>
      </c>
      <c r="N194" s="124" t="n">
        <f aca="false">SUM(J$6:J194)</f>
        <v>-37239</v>
      </c>
      <c r="P194" s="124" t="n">
        <f aca="false">D194/P$3</f>
        <v>0</v>
      </c>
      <c r="Q194" s="124" t="n">
        <f aca="false">E194/P$3</f>
        <v>0</v>
      </c>
      <c r="R194" s="124" t="n">
        <f aca="false">F194/R$3</f>
        <v>0</v>
      </c>
      <c r="S194" s="126" t="n">
        <f aca="false">J194/$R$3</f>
        <v>0</v>
      </c>
      <c r="T194" s="126" t="n">
        <f aca="false">L194/$R$3</f>
        <v>0</v>
      </c>
      <c r="U194" s="126" t="n">
        <f aca="false">I194/$R$3</f>
        <v>0</v>
      </c>
      <c r="V194" s="126" t="n">
        <f aca="false">M194/$R$3</f>
        <v>0</v>
      </c>
      <c r="W194" s="126" t="n">
        <f aca="false">N194/$R$3</f>
        <v>-37.239</v>
      </c>
    </row>
    <row r="195" customFormat="false" ht="12.75" hidden="false" customHeight="false" outlineLevel="0" collapsed="false">
      <c r="A195" s="120" t="n">
        <f aca="false">A194+1</f>
        <v>37081</v>
      </c>
      <c r="B195" s="131" t="str">
        <f aca="false">INDEX('[4]Master Data'!$A$2:$B$8,MATCH(WEEKDAY('GNS Bolv Gas MTM'!A195,3),'[4]Master Data'!$A$2:$A$8,0),2)</f>
        <v>M</v>
      </c>
      <c r="D195" s="124" t="n">
        <v>0</v>
      </c>
      <c r="E195" s="124" t="n">
        <v>0</v>
      </c>
      <c r="F195" s="124" t="n">
        <v>0</v>
      </c>
      <c r="G195" s="124" t="n">
        <v>0</v>
      </c>
      <c r="I195" s="124" t="n">
        <f aca="false">IF(MONTH($A195)=MONTH($A194),IF(G195=0,I194,G195),G195)</f>
        <v>0</v>
      </c>
      <c r="J195" s="124" t="n">
        <f aca="false">IF(MONTH($A195)=MONTH($A194),SUM(I195-I194),I195)</f>
        <v>0</v>
      </c>
      <c r="K195" s="124" t="n">
        <f aca="false">IF(WEEKDAY(A195,3)&gt;4,0,(IF(A195&lt;K$2,0,IF(A195&lt;=K$3,1,0))))</f>
        <v>0</v>
      </c>
      <c r="L195" s="124" t="n">
        <f aca="false">J195*K195</f>
        <v>0</v>
      </c>
      <c r="M195" s="124" t="n">
        <f aca="false">SUM(J$188:J195)</f>
        <v>0</v>
      </c>
      <c r="N195" s="124" t="n">
        <f aca="false">SUM(J$6:J195)</f>
        <v>-37239</v>
      </c>
      <c r="P195" s="124" t="n">
        <f aca="false">D195/P$3</f>
        <v>0</v>
      </c>
      <c r="Q195" s="124" t="n">
        <f aca="false">E195/P$3</f>
        <v>0</v>
      </c>
      <c r="R195" s="124" t="n">
        <f aca="false">F195/R$3</f>
        <v>0</v>
      </c>
      <c r="S195" s="126" t="n">
        <f aca="false">J195/$R$3</f>
        <v>0</v>
      </c>
      <c r="T195" s="126" t="n">
        <f aca="false">L195/$R$3</f>
        <v>0</v>
      </c>
      <c r="U195" s="126" t="n">
        <f aca="false">I195/$R$3</f>
        <v>0</v>
      </c>
      <c r="V195" s="126" t="n">
        <f aca="false">M195/$R$3</f>
        <v>0</v>
      </c>
      <c r="W195" s="126" t="n">
        <f aca="false">N195/$R$3</f>
        <v>-37.239</v>
      </c>
    </row>
    <row r="196" customFormat="false" ht="12.75" hidden="false" customHeight="false" outlineLevel="0" collapsed="false">
      <c r="A196" s="120" t="n">
        <f aca="false">A195+1</f>
        <v>37082</v>
      </c>
      <c r="B196" s="131" t="str">
        <f aca="false">INDEX('[4]Master Data'!$A$2:$B$8,MATCH(WEEKDAY('GNS Bolv Gas MTM'!A196,3),'[4]Master Data'!$A$2:$A$8,0),2)</f>
        <v>T</v>
      </c>
      <c r="D196" s="124" t="n">
        <v>0</v>
      </c>
      <c r="E196" s="124" t="n">
        <v>0</v>
      </c>
      <c r="F196" s="124" t="n">
        <v>0</v>
      </c>
      <c r="G196" s="124" t="n">
        <v>0</v>
      </c>
      <c r="I196" s="124" t="n">
        <f aca="false">IF(MONTH($A196)=MONTH($A195),IF(G196=0,I195,G196),G196)</f>
        <v>0</v>
      </c>
      <c r="J196" s="124" t="n">
        <f aca="false">IF(MONTH($A196)=MONTH($A195),SUM(I196-I195),I196)</f>
        <v>0</v>
      </c>
      <c r="K196" s="124" t="n">
        <f aca="false">IF(WEEKDAY(A196,3)&gt;4,0,(IF(A196&lt;K$2,0,IF(A196&lt;=K$3,1,0))))</f>
        <v>0</v>
      </c>
      <c r="L196" s="124" t="n">
        <f aca="false">J196*K196</f>
        <v>0</v>
      </c>
      <c r="M196" s="124" t="n">
        <f aca="false">SUM(J$188:J196)</f>
        <v>0</v>
      </c>
      <c r="N196" s="124" t="n">
        <f aca="false">SUM(J$6:J196)</f>
        <v>-37239</v>
      </c>
      <c r="P196" s="124" t="n">
        <f aca="false">D196/P$3</f>
        <v>0</v>
      </c>
      <c r="Q196" s="124" t="n">
        <f aca="false">E196/P$3</f>
        <v>0</v>
      </c>
      <c r="R196" s="124" t="n">
        <f aca="false">F196/R$3</f>
        <v>0</v>
      </c>
      <c r="S196" s="126" t="n">
        <f aca="false">J196/$R$3</f>
        <v>0</v>
      </c>
      <c r="T196" s="126" t="n">
        <f aca="false">L196/$R$3</f>
        <v>0</v>
      </c>
      <c r="U196" s="126" t="n">
        <f aca="false">I196/$R$3</f>
        <v>0</v>
      </c>
      <c r="V196" s="126" t="n">
        <f aca="false">M196/$R$3</f>
        <v>0</v>
      </c>
      <c r="W196" s="126" t="n">
        <f aca="false">N196/$R$3</f>
        <v>-37.239</v>
      </c>
    </row>
    <row r="197" customFormat="false" ht="12.75" hidden="false" customHeight="false" outlineLevel="0" collapsed="false">
      <c r="A197" s="120" t="n">
        <f aca="false">A196+1</f>
        <v>37083</v>
      </c>
      <c r="B197" s="131" t="str">
        <f aca="false">INDEX('[4]Master Data'!$A$2:$B$8,MATCH(WEEKDAY('GNS Bolv Gas MTM'!A197,3),'[4]Master Data'!$A$2:$A$8,0),2)</f>
        <v>W</v>
      </c>
      <c r="D197" s="124" t="n">
        <v>0</v>
      </c>
      <c r="E197" s="124" t="n">
        <v>0</v>
      </c>
      <c r="F197" s="124" t="n">
        <v>0</v>
      </c>
      <c r="G197" s="124" t="n">
        <v>0</v>
      </c>
      <c r="I197" s="124" t="n">
        <f aca="false">IF(MONTH($A197)=MONTH($A196),IF(G197=0,I196,G197),G197)</f>
        <v>0</v>
      </c>
      <c r="J197" s="124" t="n">
        <f aca="false">IF(MONTH($A197)=MONTH($A196),SUM(I197-I196),I197)</f>
        <v>0</v>
      </c>
      <c r="K197" s="124" t="n">
        <f aca="false">IF(WEEKDAY(A197,3)&gt;4,0,(IF(A197&lt;K$2,0,IF(A197&lt;=K$3,1,0))))</f>
        <v>0</v>
      </c>
      <c r="L197" s="124" t="n">
        <f aca="false">J197*K197</f>
        <v>0</v>
      </c>
      <c r="M197" s="124" t="n">
        <f aca="false">SUM(J$188:J197)</f>
        <v>0</v>
      </c>
      <c r="N197" s="124" t="n">
        <f aca="false">SUM(J$6:J197)</f>
        <v>-37239</v>
      </c>
      <c r="P197" s="124" t="n">
        <f aca="false">D197/P$3</f>
        <v>0</v>
      </c>
      <c r="Q197" s="124" t="n">
        <f aca="false">E197/P$3</f>
        <v>0</v>
      </c>
      <c r="R197" s="124" t="n">
        <f aca="false">F197/R$3</f>
        <v>0</v>
      </c>
      <c r="S197" s="126" t="n">
        <f aca="false">J197/$R$3</f>
        <v>0</v>
      </c>
      <c r="T197" s="126" t="n">
        <f aca="false">L197/$R$3</f>
        <v>0</v>
      </c>
      <c r="U197" s="126" t="n">
        <f aca="false">I197/$R$3</f>
        <v>0</v>
      </c>
      <c r="V197" s="126" t="n">
        <f aca="false">M197/$R$3</f>
        <v>0</v>
      </c>
      <c r="W197" s="126" t="n">
        <f aca="false">N197/$R$3</f>
        <v>-37.239</v>
      </c>
    </row>
    <row r="198" customFormat="false" ht="12.75" hidden="false" customHeight="false" outlineLevel="0" collapsed="false">
      <c r="A198" s="120" t="n">
        <f aca="false">A197+1</f>
        <v>37084</v>
      </c>
      <c r="B198" s="131" t="str">
        <f aca="false">INDEX('[4]Master Data'!$A$2:$B$8,MATCH(WEEKDAY('GNS Bolv Gas MTM'!A198,3),'[4]Master Data'!$A$2:$A$8,0),2)</f>
        <v>Th</v>
      </c>
      <c r="D198" s="124" t="n">
        <v>0</v>
      </c>
      <c r="E198" s="124" t="n">
        <v>0</v>
      </c>
      <c r="F198" s="124" t="n">
        <v>0</v>
      </c>
      <c r="G198" s="124" t="n">
        <v>0</v>
      </c>
      <c r="I198" s="124" t="n">
        <f aca="false">IF(MONTH($A198)=MONTH($A197),IF(G198=0,I197,G198),G198)</f>
        <v>0</v>
      </c>
      <c r="J198" s="124" t="n">
        <f aca="false">IF(MONTH($A198)=MONTH($A197),SUM(I198-I197),I198)</f>
        <v>0</v>
      </c>
      <c r="K198" s="124" t="n">
        <f aca="false">IF(WEEKDAY(A198,3)&gt;4,0,(IF(A198&lt;K$2,0,IF(A198&lt;=K$3,1,0))))</f>
        <v>0</v>
      </c>
      <c r="L198" s="124" t="n">
        <f aca="false">J198*K198</f>
        <v>0</v>
      </c>
      <c r="M198" s="124" t="n">
        <f aca="false">SUM(J$188:J198)</f>
        <v>0</v>
      </c>
      <c r="N198" s="124" t="n">
        <f aca="false">SUM(J$6:J198)</f>
        <v>-37239</v>
      </c>
      <c r="P198" s="124" t="n">
        <f aca="false">D198/P$3</f>
        <v>0</v>
      </c>
      <c r="Q198" s="124" t="n">
        <f aca="false">E198/P$3</f>
        <v>0</v>
      </c>
      <c r="R198" s="124" t="n">
        <f aca="false">F198/R$3</f>
        <v>0</v>
      </c>
      <c r="S198" s="126" t="n">
        <f aca="false">J198/$R$3</f>
        <v>0</v>
      </c>
      <c r="T198" s="126" t="n">
        <f aca="false">L198/$R$3</f>
        <v>0</v>
      </c>
      <c r="U198" s="126" t="n">
        <f aca="false">I198/$R$3</f>
        <v>0</v>
      </c>
      <c r="V198" s="126" t="n">
        <f aca="false">M198/$R$3</f>
        <v>0</v>
      </c>
      <c r="W198" s="126" t="n">
        <f aca="false">N198/$R$3</f>
        <v>-37.239</v>
      </c>
    </row>
    <row r="199" customFormat="false" ht="12.75" hidden="false" customHeight="false" outlineLevel="0" collapsed="false">
      <c r="A199" s="120" t="n">
        <f aca="false">A198+1</f>
        <v>37085</v>
      </c>
      <c r="B199" s="131" t="str">
        <f aca="false">INDEX('[4]Master Data'!$A$2:$B$8,MATCH(WEEKDAY('GNS Bolv Gas MTM'!A199,3),'[4]Master Data'!$A$2:$A$8,0),2)</f>
        <v>F</v>
      </c>
      <c r="D199" s="124" t="n">
        <v>0</v>
      </c>
      <c r="E199" s="124" t="n">
        <v>0</v>
      </c>
      <c r="F199" s="124" t="n">
        <v>0</v>
      </c>
      <c r="G199" s="124" t="n">
        <v>0</v>
      </c>
      <c r="I199" s="124" t="n">
        <f aca="false">IF(MONTH($A199)=MONTH($A198),IF(G199=0,I198,G199),G199)</f>
        <v>0</v>
      </c>
      <c r="J199" s="124" t="n">
        <f aca="false">IF(MONTH($A199)=MONTH($A198),SUM(I199-I198),I199)</f>
        <v>0</v>
      </c>
      <c r="K199" s="124" t="n">
        <f aca="false">IF(WEEKDAY(A199,3)&gt;4,0,(IF(A199&lt;K$2,0,IF(A199&lt;=K$3,1,0))))</f>
        <v>0</v>
      </c>
      <c r="L199" s="124" t="n">
        <f aca="false">J199*K199</f>
        <v>0</v>
      </c>
      <c r="M199" s="124" t="n">
        <f aca="false">SUM(J$188:J199)</f>
        <v>0</v>
      </c>
      <c r="N199" s="124" t="n">
        <f aca="false">SUM(J$6:J199)</f>
        <v>-37239</v>
      </c>
      <c r="P199" s="124" t="n">
        <f aca="false">D199/P$3</f>
        <v>0</v>
      </c>
      <c r="Q199" s="124" t="n">
        <f aca="false">E199/P$3</f>
        <v>0</v>
      </c>
      <c r="R199" s="124" t="n">
        <f aca="false">F199/R$3</f>
        <v>0</v>
      </c>
      <c r="S199" s="126" t="n">
        <f aca="false">J199/$R$3</f>
        <v>0</v>
      </c>
      <c r="T199" s="126" t="n">
        <f aca="false">L199/$R$3</f>
        <v>0</v>
      </c>
      <c r="U199" s="126" t="n">
        <f aca="false">I199/$R$3</f>
        <v>0</v>
      </c>
      <c r="V199" s="126" t="n">
        <f aca="false">M199/$R$3</f>
        <v>0</v>
      </c>
      <c r="W199" s="126" t="n">
        <f aca="false">N199/$R$3</f>
        <v>-37.239</v>
      </c>
    </row>
    <row r="200" customFormat="false" ht="12.75" hidden="false" customHeight="false" outlineLevel="0" collapsed="false">
      <c r="A200" s="120" t="n">
        <f aca="false">A199+1</f>
        <v>37086</v>
      </c>
      <c r="B200" s="131" t="str">
        <f aca="false">INDEX('[4]Master Data'!$A$2:$B$8,MATCH(WEEKDAY('GNS Bolv Gas MTM'!A200,3),'[4]Master Data'!$A$2:$A$8,0),2)</f>
        <v>Sa</v>
      </c>
      <c r="D200" s="124" t="n">
        <v>0</v>
      </c>
      <c r="E200" s="124" t="n">
        <v>0</v>
      </c>
      <c r="F200" s="124" t="n">
        <v>0</v>
      </c>
      <c r="G200" s="124" t="n">
        <v>0</v>
      </c>
      <c r="I200" s="124" t="n">
        <f aca="false">IF(MONTH($A200)=MONTH($A199),IF(G200=0,I199,G200),G200)</f>
        <v>0</v>
      </c>
      <c r="J200" s="124" t="n">
        <f aca="false">IF(MONTH($A200)=MONTH($A199),SUM(I200-I199),I200)</f>
        <v>0</v>
      </c>
      <c r="K200" s="124" t="n">
        <f aca="false">IF(WEEKDAY(A200,3)&gt;4,0,(IF(A200&lt;K$2,0,IF(A200&lt;=K$3,1,0))))</f>
        <v>0</v>
      </c>
      <c r="L200" s="124" t="n">
        <f aca="false">J200*K200</f>
        <v>0</v>
      </c>
      <c r="M200" s="124" t="n">
        <f aca="false">SUM(J$188:J200)</f>
        <v>0</v>
      </c>
      <c r="N200" s="124" t="n">
        <f aca="false">SUM(J$6:J200)</f>
        <v>-37239</v>
      </c>
      <c r="P200" s="124" t="n">
        <f aca="false">D200/P$3</f>
        <v>0</v>
      </c>
      <c r="Q200" s="124" t="n">
        <f aca="false">E200/P$3</f>
        <v>0</v>
      </c>
      <c r="R200" s="124" t="n">
        <f aca="false">F200/R$3</f>
        <v>0</v>
      </c>
      <c r="S200" s="126" t="n">
        <f aca="false">J200/$R$3</f>
        <v>0</v>
      </c>
      <c r="T200" s="126" t="n">
        <f aca="false">L200/$R$3</f>
        <v>0</v>
      </c>
      <c r="U200" s="126" t="n">
        <f aca="false">I200/$R$3</f>
        <v>0</v>
      </c>
      <c r="V200" s="126" t="n">
        <f aca="false">M200/$R$3</f>
        <v>0</v>
      </c>
      <c r="W200" s="126" t="n">
        <f aca="false">N200/$R$3</f>
        <v>-37.239</v>
      </c>
    </row>
    <row r="201" customFormat="false" ht="12.75" hidden="false" customHeight="false" outlineLevel="0" collapsed="false">
      <c r="A201" s="120" t="n">
        <f aca="false">A200+1</f>
        <v>37087</v>
      </c>
      <c r="B201" s="131" t="str">
        <f aca="false">INDEX('[4]Master Data'!$A$2:$B$8,MATCH(WEEKDAY('GNS Bolv Gas MTM'!A201,3),'[4]Master Data'!$A$2:$A$8,0),2)</f>
        <v>Su</v>
      </c>
      <c r="D201" s="124" t="n">
        <v>0</v>
      </c>
      <c r="E201" s="124" t="n">
        <v>0</v>
      </c>
      <c r="F201" s="124" t="n">
        <v>0</v>
      </c>
      <c r="G201" s="124" t="n">
        <v>0</v>
      </c>
      <c r="I201" s="124" t="n">
        <f aca="false">IF(MONTH($A201)=MONTH($A200),IF(G201=0,I200,G201),G201)</f>
        <v>0</v>
      </c>
      <c r="J201" s="124" t="n">
        <f aca="false">IF(MONTH($A201)=MONTH($A200),SUM(I201-I200),I201)</f>
        <v>0</v>
      </c>
      <c r="K201" s="124" t="n">
        <f aca="false">IF(WEEKDAY(A201,3)&gt;4,0,(IF(A201&lt;K$2,0,IF(A201&lt;=K$3,1,0))))</f>
        <v>0</v>
      </c>
      <c r="L201" s="124" t="n">
        <f aca="false">J201*K201</f>
        <v>0</v>
      </c>
      <c r="M201" s="124" t="n">
        <f aca="false">SUM(J$188:J201)</f>
        <v>0</v>
      </c>
      <c r="N201" s="124" t="n">
        <f aca="false">SUM(J$6:J201)</f>
        <v>-37239</v>
      </c>
      <c r="P201" s="124" t="n">
        <f aca="false">D201/P$3</f>
        <v>0</v>
      </c>
      <c r="Q201" s="124" t="n">
        <f aca="false">E201/P$3</f>
        <v>0</v>
      </c>
      <c r="R201" s="124" t="n">
        <f aca="false">F201/R$3</f>
        <v>0</v>
      </c>
      <c r="S201" s="126" t="n">
        <f aca="false">J201/$R$3</f>
        <v>0</v>
      </c>
      <c r="T201" s="126" t="n">
        <f aca="false">L201/$R$3</f>
        <v>0</v>
      </c>
      <c r="U201" s="126" t="n">
        <f aca="false">I201/$R$3</f>
        <v>0</v>
      </c>
      <c r="V201" s="126" t="n">
        <f aca="false">M201/$R$3</f>
        <v>0</v>
      </c>
      <c r="W201" s="126" t="n">
        <f aca="false">N201/$R$3</f>
        <v>-37.239</v>
      </c>
    </row>
    <row r="202" customFormat="false" ht="12.75" hidden="false" customHeight="false" outlineLevel="0" collapsed="false">
      <c r="A202" s="120" t="n">
        <f aca="false">A201+1</f>
        <v>37088</v>
      </c>
      <c r="B202" s="131" t="str">
        <f aca="false">INDEX('[4]Master Data'!$A$2:$B$8,MATCH(WEEKDAY('GNS Bolv Gas MTM'!A202,3),'[4]Master Data'!$A$2:$A$8,0),2)</f>
        <v>M</v>
      </c>
      <c r="D202" s="124" t="n">
        <v>0</v>
      </c>
      <c r="E202" s="124" t="n">
        <v>0</v>
      </c>
      <c r="F202" s="124" t="n">
        <v>0</v>
      </c>
      <c r="G202" s="124" t="n">
        <v>0</v>
      </c>
      <c r="I202" s="124" t="n">
        <f aca="false">IF(MONTH($A202)=MONTH($A201),IF(G202=0,I201,G202),G202)</f>
        <v>0</v>
      </c>
      <c r="J202" s="124" t="n">
        <f aca="false">IF(MONTH($A202)=MONTH($A201),SUM(I202-I201),I202)</f>
        <v>0</v>
      </c>
      <c r="K202" s="124" t="n">
        <f aca="false">IF(WEEKDAY(A202,3)&gt;4,0,(IF(A202&lt;K$2,0,IF(A202&lt;=K$3,1,0))))</f>
        <v>0</v>
      </c>
      <c r="L202" s="124" t="n">
        <f aca="false">J202*K202</f>
        <v>0</v>
      </c>
      <c r="M202" s="124" t="n">
        <f aca="false">SUM(J$188:J202)</f>
        <v>0</v>
      </c>
      <c r="N202" s="124" t="n">
        <f aca="false">SUM(J$6:J202)</f>
        <v>-37239</v>
      </c>
      <c r="P202" s="124" t="n">
        <f aca="false">D202/P$3</f>
        <v>0</v>
      </c>
      <c r="Q202" s="124" t="n">
        <f aca="false">E202/P$3</f>
        <v>0</v>
      </c>
      <c r="R202" s="124" t="n">
        <f aca="false">F202/R$3</f>
        <v>0</v>
      </c>
      <c r="S202" s="126" t="n">
        <f aca="false">J202/$R$3</f>
        <v>0</v>
      </c>
      <c r="T202" s="126" t="n">
        <f aca="false">L202/$R$3</f>
        <v>0</v>
      </c>
      <c r="U202" s="126" t="n">
        <f aca="false">I202/$R$3</f>
        <v>0</v>
      </c>
      <c r="V202" s="126" t="n">
        <f aca="false">M202/$R$3</f>
        <v>0</v>
      </c>
      <c r="W202" s="126" t="n">
        <f aca="false">N202/$R$3</f>
        <v>-37.239</v>
      </c>
    </row>
    <row r="203" customFormat="false" ht="12.75" hidden="false" customHeight="false" outlineLevel="0" collapsed="false">
      <c r="A203" s="120" t="n">
        <f aca="false">A202+1</f>
        <v>37089</v>
      </c>
      <c r="B203" s="131" t="str">
        <f aca="false">INDEX('[4]Master Data'!$A$2:$B$8,MATCH(WEEKDAY('GNS Bolv Gas MTM'!A203,3),'[4]Master Data'!$A$2:$A$8,0),2)</f>
        <v>T</v>
      </c>
      <c r="D203" s="124" t="n">
        <v>0</v>
      </c>
      <c r="E203" s="124" t="n">
        <v>0</v>
      </c>
      <c r="F203" s="124" t="n">
        <v>0</v>
      </c>
      <c r="G203" s="124" t="n">
        <v>0</v>
      </c>
      <c r="I203" s="124" t="n">
        <f aca="false">IF(MONTH($A203)=MONTH($A202),IF(G203=0,I202,G203),G203)</f>
        <v>0</v>
      </c>
      <c r="J203" s="124" t="n">
        <f aca="false">IF(MONTH($A203)=MONTH($A202),SUM(I203-I202),I203)</f>
        <v>0</v>
      </c>
      <c r="K203" s="124" t="n">
        <f aca="false">IF(WEEKDAY(A203,3)&gt;4,0,(IF(A203&lt;K$2,0,IF(A203&lt;=K$3,1,0))))</f>
        <v>0</v>
      </c>
      <c r="L203" s="124" t="n">
        <f aca="false">J203*K203</f>
        <v>0</v>
      </c>
      <c r="M203" s="124" t="n">
        <f aca="false">SUM(J$188:J203)</f>
        <v>0</v>
      </c>
      <c r="N203" s="124" t="n">
        <f aca="false">SUM(J$6:J203)</f>
        <v>-37239</v>
      </c>
      <c r="P203" s="124" t="n">
        <f aca="false">D203/P$3</f>
        <v>0</v>
      </c>
      <c r="Q203" s="124" t="n">
        <f aca="false">E203/P$3</f>
        <v>0</v>
      </c>
      <c r="R203" s="124" t="n">
        <f aca="false">F203/R$3</f>
        <v>0</v>
      </c>
      <c r="S203" s="126" t="n">
        <f aca="false">J203/$R$3</f>
        <v>0</v>
      </c>
      <c r="T203" s="126" t="n">
        <f aca="false">L203/$R$3</f>
        <v>0</v>
      </c>
      <c r="U203" s="126" t="n">
        <f aca="false">I203/$R$3</f>
        <v>0</v>
      </c>
      <c r="V203" s="126" t="n">
        <f aca="false">M203/$R$3</f>
        <v>0</v>
      </c>
      <c r="W203" s="126" t="n">
        <f aca="false">N203/$R$3</f>
        <v>-37.239</v>
      </c>
    </row>
    <row r="204" customFormat="false" ht="12.75" hidden="false" customHeight="false" outlineLevel="0" collapsed="false">
      <c r="A204" s="120" t="n">
        <f aca="false">A203+1</f>
        <v>37090</v>
      </c>
      <c r="B204" s="131" t="str">
        <f aca="false">INDEX('[4]Master Data'!$A$2:$B$8,MATCH(WEEKDAY('GNS Bolv Gas MTM'!A204,3),'[4]Master Data'!$A$2:$A$8,0),2)</f>
        <v>W</v>
      </c>
      <c r="D204" s="124" t="n">
        <v>0</v>
      </c>
      <c r="E204" s="124" t="n">
        <v>0</v>
      </c>
      <c r="F204" s="124" t="n">
        <v>0</v>
      </c>
      <c r="G204" s="124" t="n">
        <v>0</v>
      </c>
      <c r="I204" s="124" t="n">
        <f aca="false">IF(MONTH($A204)=MONTH($A203),IF(G204=0,I203,G204),G204)</f>
        <v>0</v>
      </c>
      <c r="J204" s="124" t="n">
        <f aca="false">IF(MONTH($A204)=MONTH($A203),SUM(I204-I203),I204)</f>
        <v>0</v>
      </c>
      <c r="K204" s="124" t="n">
        <f aca="false">IF(WEEKDAY(A204,3)&gt;4,0,(IF(A204&lt;K$2,0,IF(A204&lt;=K$3,1,0))))</f>
        <v>0</v>
      </c>
      <c r="L204" s="124" t="n">
        <f aca="false">J204*K204</f>
        <v>0</v>
      </c>
      <c r="M204" s="124" t="n">
        <f aca="false">SUM(J$188:J204)</f>
        <v>0</v>
      </c>
      <c r="N204" s="124" t="n">
        <f aca="false">SUM(J$6:J204)</f>
        <v>-37239</v>
      </c>
      <c r="P204" s="124" t="n">
        <f aca="false">D204/P$3</f>
        <v>0</v>
      </c>
      <c r="Q204" s="124" t="n">
        <f aca="false">E204/P$3</f>
        <v>0</v>
      </c>
      <c r="R204" s="124" t="n">
        <f aca="false">F204/R$3</f>
        <v>0</v>
      </c>
      <c r="S204" s="126" t="n">
        <f aca="false">J204/$R$3</f>
        <v>0</v>
      </c>
      <c r="T204" s="126" t="n">
        <f aca="false">L204/$R$3</f>
        <v>0</v>
      </c>
      <c r="U204" s="126" t="n">
        <f aca="false">I204/$R$3</f>
        <v>0</v>
      </c>
      <c r="V204" s="126" t="n">
        <f aca="false">M204/$R$3</f>
        <v>0</v>
      </c>
      <c r="W204" s="126" t="n">
        <f aca="false">N204/$R$3</f>
        <v>-37.239</v>
      </c>
    </row>
    <row r="205" customFormat="false" ht="12.75" hidden="false" customHeight="false" outlineLevel="0" collapsed="false">
      <c r="A205" s="120" t="n">
        <f aca="false">A204+1</f>
        <v>37091</v>
      </c>
      <c r="B205" s="131" t="str">
        <f aca="false">INDEX('[4]Master Data'!$A$2:$B$8,MATCH(WEEKDAY('GNS Bolv Gas MTM'!A205,3),'[4]Master Data'!$A$2:$A$8,0),2)</f>
        <v>Th</v>
      </c>
      <c r="D205" s="124" t="n">
        <v>0</v>
      </c>
      <c r="E205" s="124" t="n">
        <v>0</v>
      </c>
      <c r="F205" s="124" t="n">
        <v>0</v>
      </c>
      <c r="G205" s="124" t="n">
        <v>0</v>
      </c>
      <c r="I205" s="124" t="n">
        <f aca="false">IF(MONTH($A205)=MONTH($A204),IF(G205=0,I204,G205),G205)</f>
        <v>0</v>
      </c>
      <c r="J205" s="124" t="n">
        <f aca="false">IF(MONTH($A205)=MONTH($A204),SUM(I205-I204),I205)</f>
        <v>0</v>
      </c>
      <c r="K205" s="124" t="n">
        <f aca="false">IF(WEEKDAY(A205,3)&gt;4,0,(IF(A205&lt;K$2,0,IF(A205&lt;=K$3,1,0))))</f>
        <v>0</v>
      </c>
      <c r="L205" s="124" t="n">
        <f aca="false">J205*K205</f>
        <v>0</v>
      </c>
      <c r="M205" s="124" t="n">
        <f aca="false">SUM(J$188:J205)</f>
        <v>0</v>
      </c>
      <c r="N205" s="124" t="n">
        <f aca="false">SUM(J$6:J205)</f>
        <v>-37239</v>
      </c>
      <c r="P205" s="124" t="n">
        <f aca="false">D205/P$3</f>
        <v>0</v>
      </c>
      <c r="Q205" s="124" t="n">
        <f aca="false">E205/P$3</f>
        <v>0</v>
      </c>
      <c r="R205" s="124" t="n">
        <f aca="false">F205/R$3</f>
        <v>0</v>
      </c>
      <c r="S205" s="126" t="n">
        <f aca="false">J205/$R$3</f>
        <v>0</v>
      </c>
      <c r="T205" s="126" t="n">
        <f aca="false">L205/$R$3</f>
        <v>0</v>
      </c>
      <c r="U205" s="126" t="n">
        <f aca="false">I205/$R$3</f>
        <v>0</v>
      </c>
      <c r="V205" s="126" t="n">
        <f aca="false">M205/$R$3</f>
        <v>0</v>
      </c>
      <c r="W205" s="126" t="n">
        <f aca="false">N205/$R$3</f>
        <v>-37.239</v>
      </c>
    </row>
    <row r="206" customFormat="false" ht="12.75" hidden="false" customHeight="false" outlineLevel="0" collapsed="false">
      <c r="A206" s="120" t="n">
        <f aca="false">A205+1</f>
        <v>37092</v>
      </c>
      <c r="B206" s="131" t="str">
        <f aca="false">INDEX('[4]Master Data'!$A$2:$B$8,MATCH(WEEKDAY('GNS Bolv Gas MTM'!A206,3),'[4]Master Data'!$A$2:$A$8,0),2)</f>
        <v>F</v>
      </c>
      <c r="D206" s="124" t="n">
        <v>0</v>
      </c>
      <c r="E206" s="124" t="n">
        <v>0</v>
      </c>
      <c r="F206" s="124" t="n">
        <v>0</v>
      </c>
      <c r="G206" s="124" t="n">
        <v>0</v>
      </c>
      <c r="I206" s="124" t="n">
        <f aca="false">IF(MONTH($A206)=MONTH($A205),IF(G206=0,I205,G206),G206)</f>
        <v>0</v>
      </c>
      <c r="J206" s="124" t="n">
        <f aca="false">IF(MONTH($A206)=MONTH($A205),SUM(I206-I205),I206)</f>
        <v>0</v>
      </c>
      <c r="K206" s="124" t="n">
        <f aca="false">IF(WEEKDAY(A206,3)&gt;4,0,(IF(A206&lt;K$2,0,IF(A206&lt;=K$3,1,0))))</f>
        <v>0</v>
      </c>
      <c r="L206" s="124" t="n">
        <f aca="false">J206*K206</f>
        <v>0</v>
      </c>
      <c r="M206" s="124" t="n">
        <f aca="false">SUM(J$188:J206)</f>
        <v>0</v>
      </c>
      <c r="N206" s="124" t="n">
        <f aca="false">SUM(J$6:J206)</f>
        <v>-37239</v>
      </c>
      <c r="P206" s="124" t="n">
        <f aca="false">D206/P$3</f>
        <v>0</v>
      </c>
      <c r="Q206" s="124" t="n">
        <f aca="false">E206/P$3</f>
        <v>0</v>
      </c>
      <c r="R206" s="124" t="n">
        <f aca="false">F206/R$3</f>
        <v>0</v>
      </c>
      <c r="S206" s="126" t="n">
        <f aca="false">J206/$R$3</f>
        <v>0</v>
      </c>
      <c r="T206" s="126" t="n">
        <f aca="false">L206/$R$3</f>
        <v>0</v>
      </c>
      <c r="U206" s="126" t="n">
        <f aca="false">I206/$R$3</f>
        <v>0</v>
      </c>
      <c r="V206" s="126" t="n">
        <f aca="false">M206/$R$3</f>
        <v>0</v>
      </c>
      <c r="W206" s="126" t="n">
        <f aca="false">N206/$R$3</f>
        <v>-37.239</v>
      </c>
    </row>
    <row r="207" customFormat="false" ht="12.75" hidden="false" customHeight="false" outlineLevel="0" collapsed="false">
      <c r="A207" s="120" t="n">
        <f aca="false">A206+1</f>
        <v>37093</v>
      </c>
      <c r="B207" s="131" t="str">
        <f aca="false">INDEX('[4]Master Data'!$A$2:$B$8,MATCH(WEEKDAY('GNS Bolv Gas MTM'!A207,3),'[4]Master Data'!$A$2:$A$8,0),2)</f>
        <v>Sa</v>
      </c>
      <c r="D207" s="124" t="n">
        <v>0</v>
      </c>
      <c r="E207" s="124" t="n">
        <v>0</v>
      </c>
      <c r="F207" s="124" t="n">
        <v>0</v>
      </c>
      <c r="G207" s="124" t="n">
        <v>0</v>
      </c>
      <c r="I207" s="124" t="n">
        <f aca="false">IF(MONTH($A207)=MONTH($A206),IF(G207=0,I206,G207),G207)</f>
        <v>0</v>
      </c>
      <c r="J207" s="124" t="n">
        <f aca="false">IF(MONTH($A207)=MONTH($A206),SUM(I207-I206),I207)</f>
        <v>0</v>
      </c>
      <c r="K207" s="124" t="n">
        <f aca="false">IF(WEEKDAY(A207,3)&gt;4,0,(IF(A207&lt;K$2,0,IF(A207&lt;=K$3,1,0))))</f>
        <v>0</v>
      </c>
      <c r="L207" s="124" t="n">
        <f aca="false">J207*K207</f>
        <v>0</v>
      </c>
      <c r="M207" s="124" t="n">
        <f aca="false">SUM(J$188:J207)</f>
        <v>0</v>
      </c>
      <c r="N207" s="124" t="n">
        <f aca="false">SUM(J$6:J207)</f>
        <v>-37239</v>
      </c>
      <c r="P207" s="124" t="n">
        <f aca="false">D207/P$3</f>
        <v>0</v>
      </c>
      <c r="Q207" s="124" t="n">
        <f aca="false">E207/P$3</f>
        <v>0</v>
      </c>
      <c r="R207" s="124" t="n">
        <f aca="false">F207/R$3</f>
        <v>0</v>
      </c>
      <c r="S207" s="126" t="n">
        <f aca="false">J207/$R$3</f>
        <v>0</v>
      </c>
      <c r="T207" s="126" t="n">
        <f aca="false">L207/$R$3</f>
        <v>0</v>
      </c>
      <c r="U207" s="126" t="n">
        <f aca="false">I207/$R$3</f>
        <v>0</v>
      </c>
      <c r="V207" s="126" t="n">
        <f aca="false">M207/$R$3</f>
        <v>0</v>
      </c>
      <c r="W207" s="126" t="n">
        <f aca="false">N207/$R$3</f>
        <v>-37.239</v>
      </c>
    </row>
    <row r="208" customFormat="false" ht="12.75" hidden="false" customHeight="false" outlineLevel="0" collapsed="false">
      <c r="A208" s="120" t="n">
        <f aca="false">A207+1</f>
        <v>37094</v>
      </c>
      <c r="B208" s="131" t="str">
        <f aca="false">INDEX('[4]Master Data'!$A$2:$B$8,MATCH(WEEKDAY('GNS Bolv Gas MTM'!A208,3),'[4]Master Data'!$A$2:$A$8,0),2)</f>
        <v>Su</v>
      </c>
      <c r="D208" s="124" t="n">
        <v>0</v>
      </c>
      <c r="E208" s="124" t="n">
        <v>0</v>
      </c>
      <c r="F208" s="124" t="n">
        <v>0</v>
      </c>
      <c r="G208" s="124" t="n">
        <v>0</v>
      </c>
      <c r="I208" s="124" t="n">
        <f aca="false">IF(MONTH($A208)=MONTH($A207),IF(G208=0,I207,G208),G208)</f>
        <v>0</v>
      </c>
      <c r="J208" s="124" t="n">
        <f aca="false">IF(MONTH($A208)=MONTH($A207),SUM(I208-I207),I208)</f>
        <v>0</v>
      </c>
      <c r="K208" s="124" t="n">
        <f aca="false">IF(WEEKDAY(A208,3)&gt;4,0,(IF(A208&lt;K$2,0,IF(A208&lt;=K$3,1,0))))</f>
        <v>0</v>
      </c>
      <c r="L208" s="124" t="n">
        <f aca="false">J208*K208</f>
        <v>0</v>
      </c>
      <c r="M208" s="124" t="n">
        <f aca="false">SUM(J$188:J208)</f>
        <v>0</v>
      </c>
      <c r="N208" s="124" t="n">
        <f aca="false">SUM(J$6:J208)</f>
        <v>-37239</v>
      </c>
      <c r="P208" s="124" t="n">
        <f aca="false">D208/P$3</f>
        <v>0</v>
      </c>
      <c r="Q208" s="124" t="n">
        <f aca="false">E208/P$3</f>
        <v>0</v>
      </c>
      <c r="R208" s="124" t="n">
        <f aca="false">F208/R$3</f>
        <v>0</v>
      </c>
      <c r="S208" s="126" t="n">
        <f aca="false">J208/$R$3</f>
        <v>0</v>
      </c>
      <c r="T208" s="126" t="n">
        <f aca="false">L208/$R$3</f>
        <v>0</v>
      </c>
      <c r="U208" s="126" t="n">
        <f aca="false">I208/$R$3</f>
        <v>0</v>
      </c>
      <c r="V208" s="126" t="n">
        <f aca="false">M208/$R$3</f>
        <v>0</v>
      </c>
      <c r="W208" s="126" t="n">
        <f aca="false">N208/$R$3</f>
        <v>-37.239</v>
      </c>
    </row>
    <row r="209" customFormat="false" ht="12.75" hidden="false" customHeight="false" outlineLevel="0" collapsed="false">
      <c r="A209" s="120" t="n">
        <f aca="false">A208+1</f>
        <v>37095</v>
      </c>
      <c r="B209" s="131" t="str">
        <f aca="false">INDEX('[4]Master Data'!$A$2:$B$8,MATCH(WEEKDAY('GNS Bolv Gas MTM'!A209,3),'[4]Master Data'!$A$2:$A$8,0),2)</f>
        <v>M</v>
      </c>
      <c r="D209" s="124" t="n">
        <v>0</v>
      </c>
      <c r="E209" s="124" t="n">
        <v>0</v>
      </c>
      <c r="F209" s="124" t="n">
        <v>0</v>
      </c>
      <c r="G209" s="124" t="n">
        <v>0</v>
      </c>
      <c r="I209" s="124" t="n">
        <f aca="false">IF(MONTH($A209)=MONTH($A208),IF(G209=0,I208,G209),G209)</f>
        <v>0</v>
      </c>
      <c r="J209" s="124" t="n">
        <f aca="false">IF(MONTH($A209)=MONTH($A208),SUM(I209-I208),I209)</f>
        <v>0</v>
      </c>
      <c r="K209" s="124" t="n">
        <f aca="false">IF(WEEKDAY(A209,3)&gt;4,0,(IF(A209&lt;K$2,0,IF(A209&lt;=K$3,1,0))))</f>
        <v>0</v>
      </c>
      <c r="L209" s="124" t="n">
        <f aca="false">J209*K209</f>
        <v>0</v>
      </c>
      <c r="M209" s="124" t="n">
        <f aca="false">SUM(J$188:J209)</f>
        <v>0</v>
      </c>
      <c r="N209" s="124" t="n">
        <f aca="false">SUM(J$6:J209)</f>
        <v>-37239</v>
      </c>
      <c r="P209" s="124" t="n">
        <f aca="false">D209/P$3</f>
        <v>0</v>
      </c>
      <c r="Q209" s="124" t="n">
        <f aca="false">E209/P$3</f>
        <v>0</v>
      </c>
      <c r="R209" s="124" t="n">
        <f aca="false">F209/R$3</f>
        <v>0</v>
      </c>
      <c r="S209" s="126" t="n">
        <f aca="false">J209/$R$3</f>
        <v>0</v>
      </c>
      <c r="T209" s="126" t="n">
        <f aca="false">L209/$R$3</f>
        <v>0</v>
      </c>
      <c r="U209" s="126" t="n">
        <f aca="false">I209/$R$3</f>
        <v>0</v>
      </c>
      <c r="V209" s="126" t="n">
        <f aca="false">M209/$R$3</f>
        <v>0</v>
      </c>
      <c r="W209" s="126" t="n">
        <f aca="false">N209/$R$3</f>
        <v>-37.239</v>
      </c>
    </row>
    <row r="210" customFormat="false" ht="12.75" hidden="false" customHeight="false" outlineLevel="0" collapsed="false">
      <c r="A210" s="120" t="n">
        <f aca="false">A209+1</f>
        <v>37096</v>
      </c>
      <c r="B210" s="131" t="str">
        <f aca="false">INDEX('[4]Master Data'!$A$2:$B$8,MATCH(WEEKDAY('GNS Bolv Gas MTM'!A210,3),'[4]Master Data'!$A$2:$A$8,0),2)</f>
        <v>T</v>
      </c>
      <c r="D210" s="124" t="n">
        <v>0</v>
      </c>
      <c r="E210" s="124" t="n">
        <v>0</v>
      </c>
      <c r="F210" s="124" t="n">
        <v>0</v>
      </c>
      <c r="G210" s="124" t="n">
        <v>0</v>
      </c>
      <c r="I210" s="124" t="n">
        <f aca="false">IF(MONTH($A210)=MONTH($A209),IF(G210=0,I209,G210),G210)</f>
        <v>0</v>
      </c>
      <c r="J210" s="124" t="n">
        <f aca="false">IF(MONTH($A210)=MONTH($A209),SUM(I210-I209),I210)</f>
        <v>0</v>
      </c>
      <c r="K210" s="124" t="n">
        <f aca="false">IF(WEEKDAY(A210,3)&gt;4,0,(IF(A210&lt;K$2,0,IF(A210&lt;=K$3,1,0))))</f>
        <v>0</v>
      </c>
      <c r="L210" s="124" t="n">
        <f aca="false">J210*K210</f>
        <v>0</v>
      </c>
      <c r="M210" s="124" t="n">
        <f aca="false">SUM(J$188:J210)</f>
        <v>0</v>
      </c>
      <c r="N210" s="124" t="n">
        <f aca="false">SUM(J$6:J210)</f>
        <v>-37239</v>
      </c>
      <c r="P210" s="124" t="n">
        <f aca="false">D210/P$3</f>
        <v>0</v>
      </c>
      <c r="Q210" s="124" t="n">
        <f aca="false">E210/P$3</f>
        <v>0</v>
      </c>
      <c r="R210" s="124" t="n">
        <f aca="false">F210/R$3</f>
        <v>0</v>
      </c>
      <c r="S210" s="126" t="n">
        <f aca="false">J210/$R$3</f>
        <v>0</v>
      </c>
      <c r="T210" s="126" t="n">
        <f aca="false">L210/$R$3</f>
        <v>0</v>
      </c>
      <c r="U210" s="126" t="n">
        <f aca="false">I210/$R$3</f>
        <v>0</v>
      </c>
      <c r="V210" s="126" t="n">
        <f aca="false">M210/$R$3</f>
        <v>0</v>
      </c>
      <c r="W210" s="126" t="n">
        <f aca="false">N210/$R$3</f>
        <v>-37.239</v>
      </c>
    </row>
    <row r="211" customFormat="false" ht="12.75" hidden="false" customHeight="false" outlineLevel="0" collapsed="false">
      <c r="A211" s="120" t="n">
        <f aca="false">A210+1</f>
        <v>37097</v>
      </c>
      <c r="B211" s="131" t="str">
        <f aca="false">INDEX('[4]Master Data'!$A$2:$B$8,MATCH(WEEKDAY('GNS Bolv Gas MTM'!A211,3),'[4]Master Data'!$A$2:$A$8,0),2)</f>
        <v>W</v>
      </c>
      <c r="D211" s="124" t="n">
        <v>0</v>
      </c>
      <c r="E211" s="124" t="n">
        <v>0</v>
      </c>
      <c r="F211" s="124" t="n">
        <v>0</v>
      </c>
      <c r="G211" s="124" t="n">
        <v>0</v>
      </c>
      <c r="I211" s="124" t="n">
        <f aca="false">IF(MONTH($A211)=MONTH($A210),IF(G211=0,I210,G211),G211)</f>
        <v>0</v>
      </c>
      <c r="J211" s="124" t="n">
        <f aca="false">IF(MONTH($A211)=MONTH($A210),SUM(I211-I210),I211)</f>
        <v>0</v>
      </c>
      <c r="K211" s="124" t="n">
        <f aca="false">IF(WEEKDAY(A211,3)&gt;4,0,(IF(A211&lt;K$2,0,IF(A211&lt;=K$3,1,0))))</f>
        <v>0</v>
      </c>
      <c r="L211" s="124" t="n">
        <f aca="false">J211*K211</f>
        <v>0</v>
      </c>
      <c r="M211" s="124" t="n">
        <f aca="false">SUM(J$188:J211)</f>
        <v>0</v>
      </c>
      <c r="N211" s="124" t="n">
        <f aca="false">SUM(J$6:J211)</f>
        <v>-37239</v>
      </c>
      <c r="P211" s="124" t="n">
        <f aca="false">D211/P$3</f>
        <v>0</v>
      </c>
      <c r="Q211" s="124" t="n">
        <f aca="false">E211/P$3</f>
        <v>0</v>
      </c>
      <c r="R211" s="124" t="n">
        <f aca="false">F211/R$3</f>
        <v>0</v>
      </c>
      <c r="S211" s="126" t="n">
        <f aca="false">J211/$R$3</f>
        <v>0</v>
      </c>
      <c r="T211" s="126" t="n">
        <f aca="false">L211/$R$3</f>
        <v>0</v>
      </c>
      <c r="U211" s="126" t="n">
        <f aca="false">I211/$R$3</f>
        <v>0</v>
      </c>
      <c r="V211" s="126" t="n">
        <f aca="false">M211/$R$3</f>
        <v>0</v>
      </c>
      <c r="W211" s="126" t="n">
        <f aca="false">N211/$R$3</f>
        <v>-37.239</v>
      </c>
    </row>
    <row r="212" customFormat="false" ht="12.75" hidden="false" customHeight="false" outlineLevel="0" collapsed="false">
      <c r="A212" s="120" t="n">
        <f aca="false">A211+1</f>
        <v>37098</v>
      </c>
      <c r="B212" s="131" t="str">
        <f aca="false">INDEX('[4]Master Data'!$A$2:$B$8,MATCH(WEEKDAY('GNS Bolv Gas MTM'!A212,3),'[4]Master Data'!$A$2:$A$8,0),2)</f>
        <v>Th</v>
      </c>
      <c r="D212" s="124" t="n">
        <v>0</v>
      </c>
      <c r="E212" s="124" t="n">
        <v>0</v>
      </c>
      <c r="F212" s="124" t="n">
        <v>0</v>
      </c>
      <c r="G212" s="124" t="n">
        <v>0</v>
      </c>
      <c r="I212" s="124" t="n">
        <f aca="false">IF(MONTH($A212)=MONTH($A211),IF(G212=0,I211,G212),G212)</f>
        <v>0</v>
      </c>
      <c r="J212" s="124" t="n">
        <f aca="false">IF(MONTH($A212)=MONTH($A211),SUM(I212-I211),I212)</f>
        <v>0</v>
      </c>
      <c r="K212" s="124" t="n">
        <f aca="false">IF(WEEKDAY(A212,3)&gt;4,0,(IF(A212&lt;K$2,0,IF(A212&lt;=K$3,1,0))))</f>
        <v>0</v>
      </c>
      <c r="L212" s="124" t="n">
        <f aca="false">J212*K212</f>
        <v>0</v>
      </c>
      <c r="M212" s="124" t="n">
        <f aca="false">SUM(J$188:J212)</f>
        <v>0</v>
      </c>
      <c r="N212" s="124" t="n">
        <f aca="false">SUM(J$6:J212)</f>
        <v>-37239</v>
      </c>
      <c r="P212" s="124" t="n">
        <f aca="false">D212/P$3</f>
        <v>0</v>
      </c>
      <c r="Q212" s="124" t="n">
        <f aca="false">E212/P$3</f>
        <v>0</v>
      </c>
      <c r="R212" s="124" t="n">
        <f aca="false">F212/R$3</f>
        <v>0</v>
      </c>
      <c r="S212" s="126" t="n">
        <f aca="false">J212/$R$3</f>
        <v>0</v>
      </c>
      <c r="T212" s="126" t="n">
        <f aca="false">L212/$R$3</f>
        <v>0</v>
      </c>
      <c r="U212" s="126" t="n">
        <f aca="false">I212/$R$3</f>
        <v>0</v>
      </c>
      <c r="V212" s="126" t="n">
        <f aca="false">M212/$R$3</f>
        <v>0</v>
      </c>
      <c r="W212" s="126" t="n">
        <f aca="false">N212/$R$3</f>
        <v>-37.239</v>
      </c>
    </row>
    <row r="213" customFormat="false" ht="12.75" hidden="false" customHeight="false" outlineLevel="0" collapsed="false">
      <c r="A213" s="120" t="n">
        <f aca="false">A212+1</f>
        <v>37099</v>
      </c>
      <c r="B213" s="131" t="str">
        <f aca="false">INDEX('[4]Master Data'!$A$2:$B$8,MATCH(WEEKDAY('GNS Bolv Gas MTM'!A213,3),'[4]Master Data'!$A$2:$A$8,0),2)</f>
        <v>F</v>
      </c>
      <c r="D213" s="124" t="n">
        <v>0</v>
      </c>
      <c r="E213" s="124" t="n">
        <v>0</v>
      </c>
      <c r="F213" s="124" t="n">
        <v>0</v>
      </c>
      <c r="G213" s="124" t="n">
        <v>0</v>
      </c>
      <c r="I213" s="124" t="n">
        <f aca="false">IF(MONTH($A213)=MONTH($A212),IF(G213=0,I212,G213),G213)</f>
        <v>0</v>
      </c>
      <c r="J213" s="124" t="n">
        <f aca="false">IF(MONTH($A213)=MONTH($A212),SUM(I213-I212),I213)</f>
        <v>0</v>
      </c>
      <c r="K213" s="124" t="n">
        <f aca="false">IF(WEEKDAY(A213,3)&gt;4,0,(IF(A213&lt;K$2,0,IF(A213&lt;=K$3,1,0))))</f>
        <v>0</v>
      </c>
      <c r="L213" s="124" t="n">
        <f aca="false">J213*K213</f>
        <v>0</v>
      </c>
      <c r="M213" s="124" t="n">
        <f aca="false">SUM(J$188:J213)</f>
        <v>0</v>
      </c>
      <c r="N213" s="124" t="n">
        <f aca="false">SUM(J$6:J213)</f>
        <v>-37239</v>
      </c>
      <c r="P213" s="124" t="n">
        <f aca="false">D213/P$3</f>
        <v>0</v>
      </c>
      <c r="Q213" s="124" t="n">
        <f aca="false">E213/P$3</f>
        <v>0</v>
      </c>
      <c r="R213" s="124" t="n">
        <f aca="false">F213/R$3</f>
        <v>0</v>
      </c>
      <c r="S213" s="126" t="n">
        <f aca="false">J213/$R$3</f>
        <v>0</v>
      </c>
      <c r="T213" s="126" t="n">
        <f aca="false">L213/$R$3</f>
        <v>0</v>
      </c>
      <c r="U213" s="126" t="n">
        <f aca="false">I213/$R$3</f>
        <v>0</v>
      </c>
      <c r="V213" s="126" t="n">
        <f aca="false">M213/$R$3</f>
        <v>0</v>
      </c>
      <c r="W213" s="126" t="n">
        <f aca="false">N213/$R$3</f>
        <v>-37.239</v>
      </c>
    </row>
    <row r="214" customFormat="false" ht="12.75" hidden="false" customHeight="false" outlineLevel="0" collapsed="false">
      <c r="A214" s="120" t="n">
        <f aca="false">A213+1</f>
        <v>37100</v>
      </c>
      <c r="B214" s="131" t="str">
        <f aca="false">INDEX('[4]Master Data'!$A$2:$B$8,MATCH(WEEKDAY('GNS Bolv Gas MTM'!A214,3),'[4]Master Data'!$A$2:$A$8,0),2)</f>
        <v>Sa</v>
      </c>
      <c r="D214" s="124" t="n">
        <v>0</v>
      </c>
      <c r="E214" s="124" t="n">
        <v>0</v>
      </c>
      <c r="F214" s="124" t="n">
        <v>0</v>
      </c>
      <c r="G214" s="124" t="n">
        <v>0</v>
      </c>
      <c r="I214" s="124" t="n">
        <f aca="false">IF(MONTH($A214)=MONTH($A213),IF(G214=0,I213,G214),G214)</f>
        <v>0</v>
      </c>
      <c r="J214" s="124" t="n">
        <f aca="false">IF(MONTH($A214)=MONTH($A213),SUM(I214-I213),I214)</f>
        <v>0</v>
      </c>
      <c r="K214" s="124" t="n">
        <f aca="false">IF(WEEKDAY(A214,3)&gt;4,0,(IF(A214&lt;K$2,0,IF(A214&lt;=K$3,1,0))))</f>
        <v>0</v>
      </c>
      <c r="L214" s="124" t="n">
        <f aca="false">J214*K214</f>
        <v>0</v>
      </c>
      <c r="M214" s="124" t="n">
        <f aca="false">SUM(J$188:J214)</f>
        <v>0</v>
      </c>
      <c r="N214" s="124" t="n">
        <f aca="false">SUM(J$6:J214)</f>
        <v>-37239</v>
      </c>
      <c r="P214" s="124" t="n">
        <f aca="false">D214/P$3</f>
        <v>0</v>
      </c>
      <c r="Q214" s="124" t="n">
        <f aca="false">E214/P$3</f>
        <v>0</v>
      </c>
      <c r="R214" s="124" t="n">
        <f aca="false">F214/R$3</f>
        <v>0</v>
      </c>
      <c r="S214" s="126" t="n">
        <f aca="false">J214/$R$3</f>
        <v>0</v>
      </c>
      <c r="T214" s="126" t="n">
        <f aca="false">L214/$R$3</f>
        <v>0</v>
      </c>
      <c r="U214" s="126" t="n">
        <f aca="false">I214/$R$3</f>
        <v>0</v>
      </c>
      <c r="V214" s="126" t="n">
        <f aca="false">M214/$R$3</f>
        <v>0</v>
      </c>
      <c r="W214" s="126" t="n">
        <f aca="false">N214/$R$3</f>
        <v>-37.239</v>
      </c>
    </row>
    <row r="215" customFormat="false" ht="12.75" hidden="false" customHeight="false" outlineLevel="0" collapsed="false">
      <c r="A215" s="120" t="n">
        <f aca="false">A214+1</f>
        <v>37101</v>
      </c>
      <c r="B215" s="131" t="str">
        <f aca="false">INDEX('[4]Master Data'!$A$2:$B$8,MATCH(WEEKDAY('GNS Bolv Gas MTM'!A215,3),'[4]Master Data'!$A$2:$A$8,0),2)</f>
        <v>Su</v>
      </c>
      <c r="D215" s="124" t="n">
        <v>0</v>
      </c>
      <c r="E215" s="124" t="n">
        <v>0</v>
      </c>
      <c r="F215" s="124" t="n">
        <v>0</v>
      </c>
      <c r="G215" s="124" t="n">
        <v>0</v>
      </c>
      <c r="I215" s="124" t="n">
        <f aca="false">IF(MONTH($A215)=MONTH($A214),IF(G215=0,I214,G215),G215)</f>
        <v>0</v>
      </c>
      <c r="J215" s="124" t="n">
        <f aca="false">IF(MONTH($A215)=MONTH($A214),SUM(I215-I214),I215)</f>
        <v>0</v>
      </c>
      <c r="K215" s="124" t="n">
        <f aca="false">IF(WEEKDAY(A215,3)&gt;4,0,(IF(A215&lt;K$2,0,IF(A215&lt;=K$3,1,0))))</f>
        <v>0</v>
      </c>
      <c r="L215" s="124" t="n">
        <f aca="false">J215*K215</f>
        <v>0</v>
      </c>
      <c r="M215" s="124" t="n">
        <f aca="false">SUM(J$188:J215)</f>
        <v>0</v>
      </c>
      <c r="N215" s="124" t="n">
        <f aca="false">SUM(J$6:J215)</f>
        <v>-37239</v>
      </c>
      <c r="P215" s="124" t="n">
        <f aca="false">D215/P$3</f>
        <v>0</v>
      </c>
      <c r="Q215" s="124" t="n">
        <f aca="false">E215/P$3</f>
        <v>0</v>
      </c>
      <c r="R215" s="124" t="n">
        <f aca="false">F215/R$3</f>
        <v>0</v>
      </c>
      <c r="S215" s="126" t="n">
        <f aca="false">J215/$R$3</f>
        <v>0</v>
      </c>
      <c r="T215" s="126" t="n">
        <f aca="false">L215/$R$3</f>
        <v>0</v>
      </c>
      <c r="U215" s="126" t="n">
        <f aca="false">I215/$R$3</f>
        <v>0</v>
      </c>
      <c r="V215" s="126" t="n">
        <f aca="false">M215/$R$3</f>
        <v>0</v>
      </c>
      <c r="W215" s="126" t="n">
        <f aca="false">N215/$R$3</f>
        <v>-37.239</v>
      </c>
    </row>
    <row r="216" customFormat="false" ht="12.75" hidden="false" customHeight="false" outlineLevel="0" collapsed="false">
      <c r="A216" s="120" t="n">
        <f aca="false">A215+1</f>
        <v>37102</v>
      </c>
      <c r="B216" s="131" t="str">
        <f aca="false">INDEX('[4]Master Data'!$A$2:$B$8,MATCH(WEEKDAY('GNS Bolv Gas MTM'!A216,3),'[4]Master Data'!$A$2:$A$8,0),2)</f>
        <v>M</v>
      </c>
      <c r="D216" s="124" t="n">
        <v>0</v>
      </c>
      <c r="E216" s="124" t="n">
        <v>0</v>
      </c>
      <c r="F216" s="124" t="n">
        <v>0</v>
      </c>
      <c r="G216" s="124" t="n">
        <v>0</v>
      </c>
      <c r="I216" s="124" t="n">
        <f aca="false">IF(MONTH($A216)=MONTH($A215),IF(G216=0,I215,G216),G216)</f>
        <v>0</v>
      </c>
      <c r="J216" s="124" t="n">
        <f aca="false">IF(MONTH($A216)=MONTH($A215),SUM(I216-I215),I216)</f>
        <v>0</v>
      </c>
      <c r="K216" s="124" t="n">
        <f aca="false">IF(WEEKDAY(A216,3)&gt;4,0,(IF(A216&lt;K$2,0,IF(A216&lt;=K$3,1,0))))</f>
        <v>0</v>
      </c>
      <c r="L216" s="124" t="n">
        <f aca="false">J216*K216</f>
        <v>0</v>
      </c>
      <c r="M216" s="124" t="n">
        <f aca="false">SUM(J$188:J216)</f>
        <v>0</v>
      </c>
      <c r="N216" s="124" t="n">
        <f aca="false">SUM(J$6:J216)</f>
        <v>-37239</v>
      </c>
      <c r="P216" s="124" t="n">
        <f aca="false">D216/P$3</f>
        <v>0</v>
      </c>
      <c r="Q216" s="124" t="n">
        <f aca="false">E216/P$3</f>
        <v>0</v>
      </c>
      <c r="R216" s="124" t="n">
        <f aca="false">F216/R$3</f>
        <v>0</v>
      </c>
      <c r="S216" s="126" t="n">
        <f aca="false">J216/$R$3</f>
        <v>0</v>
      </c>
      <c r="T216" s="126" t="n">
        <f aca="false">L216/$R$3</f>
        <v>0</v>
      </c>
      <c r="U216" s="126" t="n">
        <f aca="false">I216/$R$3</f>
        <v>0</v>
      </c>
      <c r="V216" s="126" t="n">
        <f aca="false">M216/$R$3</f>
        <v>0</v>
      </c>
      <c r="W216" s="126" t="n">
        <f aca="false">N216/$R$3</f>
        <v>-37.239</v>
      </c>
    </row>
    <row r="217" customFormat="false" ht="12.75" hidden="false" customHeight="false" outlineLevel="0" collapsed="false">
      <c r="A217" s="120" t="n">
        <f aca="false">A216+1</f>
        <v>37103</v>
      </c>
      <c r="B217" s="131" t="str">
        <f aca="false">INDEX('[4]Master Data'!$A$2:$B$8,MATCH(WEEKDAY('GNS Bolv Gas MTM'!A217,3),'[4]Master Data'!$A$2:$A$8,0),2)</f>
        <v>T</v>
      </c>
      <c r="D217" s="124" t="n">
        <v>0</v>
      </c>
      <c r="E217" s="124" t="n">
        <v>0</v>
      </c>
      <c r="F217" s="124" t="n">
        <v>0</v>
      </c>
      <c r="G217" s="124" t="n">
        <v>0</v>
      </c>
      <c r="I217" s="124" t="n">
        <f aca="false">IF(MONTH($A217)=MONTH($A216),IF(G217=0,I216,G217),G217)</f>
        <v>0</v>
      </c>
      <c r="J217" s="124" t="n">
        <f aca="false">IF(MONTH($A217)=MONTH($A216),SUM(I217-I216),I217)</f>
        <v>0</v>
      </c>
      <c r="K217" s="124" t="n">
        <f aca="false">IF(WEEKDAY(A217,3)&gt;4,0,(IF(A217&lt;K$2,0,IF(A217&lt;=K$3,1,0))))</f>
        <v>0</v>
      </c>
      <c r="L217" s="124" t="n">
        <f aca="false">J217*K217</f>
        <v>0</v>
      </c>
      <c r="M217" s="124" t="n">
        <f aca="false">SUM(J$188:J217)</f>
        <v>0</v>
      </c>
      <c r="N217" s="124" t="n">
        <f aca="false">SUM(J$6:J217)</f>
        <v>-37239</v>
      </c>
      <c r="P217" s="124" t="n">
        <f aca="false">D217/P$3</f>
        <v>0</v>
      </c>
      <c r="Q217" s="124" t="n">
        <f aca="false">E217/P$3</f>
        <v>0</v>
      </c>
      <c r="R217" s="124" t="n">
        <f aca="false">F217/R$3</f>
        <v>0</v>
      </c>
      <c r="S217" s="126" t="n">
        <f aca="false">J217/$R$3</f>
        <v>0</v>
      </c>
      <c r="T217" s="126" t="n">
        <f aca="false">L217/$R$3</f>
        <v>0</v>
      </c>
      <c r="U217" s="126" t="n">
        <f aca="false">I217/$R$3</f>
        <v>0</v>
      </c>
      <c r="V217" s="126" t="n">
        <f aca="false">M217/$R$3</f>
        <v>0</v>
      </c>
      <c r="W217" s="126" t="n">
        <f aca="false">N217/$R$3</f>
        <v>-37.239</v>
      </c>
    </row>
    <row r="218" customFormat="false" ht="12.75" hidden="false" customHeight="false" outlineLevel="0" collapsed="false">
      <c r="A218" s="120" t="n">
        <f aca="false">A217+1</f>
        <v>37104</v>
      </c>
      <c r="B218" s="131" t="str">
        <f aca="false">INDEX('[4]Master Data'!$A$2:$B$8,MATCH(WEEKDAY('GNS Bolv Gas MTM'!A218,3),'[4]Master Data'!$A$2:$A$8,0),2)</f>
        <v>W</v>
      </c>
      <c r="D218" s="124" t="n">
        <v>0</v>
      </c>
      <c r="E218" s="124" t="n">
        <v>0</v>
      </c>
      <c r="F218" s="124" t="n">
        <v>0</v>
      </c>
      <c r="G218" s="124" t="n">
        <v>0</v>
      </c>
      <c r="I218" s="124" t="n">
        <f aca="false">IF(MONTH($A218)=MONTH($A217),IF(G218=0,I217,G218),G218)</f>
        <v>0</v>
      </c>
      <c r="J218" s="124" t="n">
        <f aca="false">IF(MONTH($A218)=MONTH($A217),SUM(I218-I217),I218)</f>
        <v>0</v>
      </c>
      <c r="K218" s="124" t="n">
        <f aca="false">IF(WEEKDAY(A218,3)&gt;4,0,(IF(A218&lt;K$2,0,IF(A218&lt;=K$3,1,0))))</f>
        <v>0</v>
      </c>
      <c r="L218" s="124" t="n">
        <f aca="false">J218*K218</f>
        <v>0</v>
      </c>
      <c r="M218" s="124" t="n">
        <f aca="false">SUM(J$188:J218)</f>
        <v>0</v>
      </c>
      <c r="N218" s="124" t="n">
        <f aca="false">SUM(J$6:J218)</f>
        <v>-37239</v>
      </c>
      <c r="P218" s="124" t="n">
        <f aca="false">D218/P$3</f>
        <v>0</v>
      </c>
      <c r="Q218" s="124" t="n">
        <f aca="false">E218/P$3</f>
        <v>0</v>
      </c>
      <c r="R218" s="124" t="n">
        <f aca="false">F218/R$3</f>
        <v>0</v>
      </c>
      <c r="S218" s="126" t="n">
        <f aca="false">J218/$R$3</f>
        <v>0</v>
      </c>
      <c r="T218" s="126" t="n">
        <f aca="false">L218/$R$3</f>
        <v>0</v>
      </c>
      <c r="U218" s="126" t="n">
        <f aca="false">I218/$R$3</f>
        <v>0</v>
      </c>
      <c r="V218" s="126" t="n">
        <f aca="false">M218/$R$3</f>
        <v>0</v>
      </c>
      <c r="W218" s="126" t="n">
        <f aca="false">N218/$R$3</f>
        <v>-37.239</v>
      </c>
    </row>
    <row r="219" customFormat="false" ht="12.75" hidden="false" customHeight="false" outlineLevel="0" collapsed="false">
      <c r="A219" s="120" t="n">
        <f aca="false">A218+1</f>
        <v>37105</v>
      </c>
      <c r="B219" s="131" t="str">
        <f aca="false">INDEX('[4]Master Data'!$A$2:$B$8,MATCH(WEEKDAY('GNS Bolv Gas MTM'!A219,3),'[4]Master Data'!$A$2:$A$8,0),2)</f>
        <v>Th</v>
      </c>
      <c r="D219" s="124" t="n">
        <v>0</v>
      </c>
      <c r="E219" s="124" t="n">
        <v>0</v>
      </c>
      <c r="F219" s="124" t="n">
        <v>0</v>
      </c>
      <c r="G219" s="124" t="n">
        <v>0</v>
      </c>
      <c r="I219" s="124" t="n">
        <f aca="false">IF(MONTH($A219)=MONTH($A218),IF(G219=0,I218,G219),G219)</f>
        <v>0</v>
      </c>
      <c r="J219" s="124" t="n">
        <f aca="false">IF(MONTH($A219)=MONTH($A218),SUM(I219-I218),I219)</f>
        <v>0</v>
      </c>
      <c r="K219" s="124" t="n">
        <f aca="false">IF(WEEKDAY(A219,3)&gt;4,0,(IF(A219&lt;K$2,0,IF(A219&lt;=K$3,1,0))))</f>
        <v>0</v>
      </c>
      <c r="L219" s="124" t="n">
        <f aca="false">J219*K219</f>
        <v>0</v>
      </c>
      <c r="M219" s="124" t="n">
        <f aca="false">SUM(J$188:J219)</f>
        <v>0</v>
      </c>
      <c r="N219" s="124" t="n">
        <f aca="false">SUM(J$6:J219)</f>
        <v>-37239</v>
      </c>
      <c r="P219" s="124" t="n">
        <f aca="false">D219/P$3</f>
        <v>0</v>
      </c>
      <c r="Q219" s="124" t="n">
        <f aca="false">E219/P$3</f>
        <v>0</v>
      </c>
      <c r="R219" s="124" t="n">
        <f aca="false">F219/R$3</f>
        <v>0</v>
      </c>
      <c r="S219" s="126" t="n">
        <f aca="false">J219/$R$3</f>
        <v>0</v>
      </c>
      <c r="T219" s="126" t="n">
        <f aca="false">L219/$R$3</f>
        <v>0</v>
      </c>
      <c r="U219" s="126" t="n">
        <f aca="false">I219/$R$3</f>
        <v>0</v>
      </c>
      <c r="V219" s="126" t="n">
        <f aca="false">M219/$R$3</f>
        <v>0</v>
      </c>
      <c r="W219" s="126" t="n">
        <f aca="false">N219/$R$3</f>
        <v>-37.239</v>
      </c>
    </row>
    <row r="220" customFormat="false" ht="12.75" hidden="false" customHeight="false" outlineLevel="0" collapsed="false">
      <c r="A220" s="120" t="n">
        <f aca="false">A219+1</f>
        <v>37106</v>
      </c>
      <c r="B220" s="131" t="str">
        <f aca="false">INDEX('[4]Master Data'!$A$2:$B$8,MATCH(WEEKDAY('GNS Bolv Gas MTM'!A220,3),'[4]Master Data'!$A$2:$A$8,0),2)</f>
        <v>F</v>
      </c>
      <c r="D220" s="124" t="n">
        <v>0</v>
      </c>
      <c r="E220" s="124" t="n">
        <v>0</v>
      </c>
      <c r="F220" s="124" t="n">
        <v>0</v>
      </c>
      <c r="G220" s="124" t="n">
        <v>0</v>
      </c>
      <c r="I220" s="124" t="n">
        <f aca="false">IF(MONTH($A220)=MONTH($A219),IF(G220=0,I219,G220),G220)</f>
        <v>0</v>
      </c>
      <c r="J220" s="124" t="n">
        <f aca="false">IF(MONTH($A220)=MONTH($A219),SUM(I220-I219),I220)</f>
        <v>0</v>
      </c>
      <c r="K220" s="124" t="n">
        <f aca="false">IF(WEEKDAY(A220,3)&gt;4,0,(IF(A220&lt;K$2,0,IF(A220&lt;=K$3,1,0))))</f>
        <v>0</v>
      </c>
      <c r="L220" s="124" t="n">
        <f aca="false">J220*K220</f>
        <v>0</v>
      </c>
      <c r="M220" s="124" t="n">
        <f aca="false">SUM(J$188:J220)</f>
        <v>0</v>
      </c>
      <c r="N220" s="124" t="n">
        <f aca="false">SUM(J$6:J220)</f>
        <v>-37239</v>
      </c>
      <c r="P220" s="124" t="n">
        <f aca="false">D220/P$3</f>
        <v>0</v>
      </c>
      <c r="Q220" s="124" t="n">
        <f aca="false">E220/P$3</f>
        <v>0</v>
      </c>
      <c r="R220" s="124" t="n">
        <f aca="false">F220/R$3</f>
        <v>0</v>
      </c>
      <c r="S220" s="126" t="n">
        <f aca="false">J220/$R$3</f>
        <v>0</v>
      </c>
      <c r="T220" s="126" t="n">
        <f aca="false">L220/$R$3</f>
        <v>0</v>
      </c>
      <c r="U220" s="126" t="n">
        <f aca="false">I220/$R$3</f>
        <v>0</v>
      </c>
      <c r="V220" s="126" t="n">
        <f aca="false">M220/$R$3</f>
        <v>0</v>
      </c>
      <c r="W220" s="126" t="n">
        <f aca="false">N220/$R$3</f>
        <v>-37.239</v>
      </c>
    </row>
    <row r="221" customFormat="false" ht="12.75" hidden="false" customHeight="false" outlineLevel="0" collapsed="false">
      <c r="A221" s="120" t="n">
        <f aca="false">A220+1</f>
        <v>37107</v>
      </c>
      <c r="B221" s="131" t="str">
        <f aca="false">INDEX('[4]Master Data'!$A$2:$B$8,MATCH(WEEKDAY('GNS Bolv Gas MTM'!A221,3),'[4]Master Data'!$A$2:$A$8,0),2)</f>
        <v>Sa</v>
      </c>
      <c r="D221" s="124" t="n">
        <v>0</v>
      </c>
      <c r="E221" s="124" t="n">
        <v>0</v>
      </c>
      <c r="F221" s="124" t="n">
        <v>0</v>
      </c>
      <c r="G221" s="124" t="n">
        <v>0</v>
      </c>
      <c r="I221" s="124" t="n">
        <f aca="false">IF(MONTH($A221)=MONTH($A220),IF(G221=0,I220,G221),G221)</f>
        <v>0</v>
      </c>
      <c r="J221" s="124" t="n">
        <f aca="false">IF(MONTH($A221)=MONTH($A220),SUM(I221-I220),I221)</f>
        <v>0</v>
      </c>
      <c r="K221" s="124" t="n">
        <f aca="false">IF(WEEKDAY(A221,3)&gt;4,0,(IF(A221&lt;K$2,0,IF(A221&lt;=K$3,1,0))))</f>
        <v>0</v>
      </c>
      <c r="L221" s="124" t="n">
        <f aca="false">J221*K221</f>
        <v>0</v>
      </c>
      <c r="M221" s="124" t="n">
        <f aca="false">SUM(J$188:J221)</f>
        <v>0</v>
      </c>
      <c r="N221" s="124" t="n">
        <f aca="false">SUM(J$6:J221)</f>
        <v>-37239</v>
      </c>
      <c r="P221" s="124" t="n">
        <f aca="false">D221/P$3</f>
        <v>0</v>
      </c>
      <c r="Q221" s="124" t="n">
        <f aca="false">E221/P$3</f>
        <v>0</v>
      </c>
      <c r="R221" s="124" t="n">
        <f aca="false">F221/R$3</f>
        <v>0</v>
      </c>
      <c r="S221" s="126" t="n">
        <f aca="false">J221/$R$3</f>
        <v>0</v>
      </c>
      <c r="T221" s="126" t="n">
        <f aca="false">L221/$R$3</f>
        <v>0</v>
      </c>
      <c r="U221" s="126" t="n">
        <f aca="false">I221/$R$3</f>
        <v>0</v>
      </c>
      <c r="V221" s="126" t="n">
        <f aca="false">M221/$R$3</f>
        <v>0</v>
      </c>
      <c r="W221" s="126" t="n">
        <f aca="false">N221/$R$3</f>
        <v>-37.239</v>
      </c>
    </row>
    <row r="222" customFormat="false" ht="12.75" hidden="false" customHeight="false" outlineLevel="0" collapsed="false">
      <c r="A222" s="120" t="n">
        <f aca="false">A221+1</f>
        <v>37108</v>
      </c>
      <c r="B222" s="131" t="str">
        <f aca="false">INDEX('[4]Master Data'!$A$2:$B$8,MATCH(WEEKDAY('GNS Bolv Gas MTM'!A222,3),'[4]Master Data'!$A$2:$A$8,0),2)</f>
        <v>Su</v>
      </c>
      <c r="D222" s="124" t="n">
        <v>0</v>
      </c>
      <c r="E222" s="124" t="n">
        <v>0</v>
      </c>
      <c r="F222" s="124" t="n">
        <v>0</v>
      </c>
      <c r="G222" s="124" t="n">
        <v>0</v>
      </c>
      <c r="I222" s="124" t="n">
        <f aca="false">IF(MONTH($A222)=MONTH($A221),IF(G222=0,I221,G222),G222)</f>
        <v>0</v>
      </c>
      <c r="J222" s="124" t="n">
        <f aca="false">IF(MONTH($A222)=MONTH($A221),SUM(I222-I221),I222)</f>
        <v>0</v>
      </c>
      <c r="K222" s="124" t="n">
        <f aca="false">IF(WEEKDAY(A222,3)&gt;4,0,(IF(A222&lt;K$2,0,IF(A222&lt;=K$3,1,0))))</f>
        <v>0</v>
      </c>
      <c r="L222" s="124" t="n">
        <f aca="false">J222*K222</f>
        <v>0</v>
      </c>
      <c r="M222" s="124" t="n">
        <f aca="false">SUM(J$188:J222)</f>
        <v>0</v>
      </c>
      <c r="N222" s="124" t="n">
        <f aca="false">SUM(J$6:J222)</f>
        <v>-37239</v>
      </c>
      <c r="P222" s="124" t="n">
        <f aca="false">D222/P$3</f>
        <v>0</v>
      </c>
      <c r="Q222" s="124" t="n">
        <f aca="false">E222/P$3</f>
        <v>0</v>
      </c>
      <c r="R222" s="124" t="n">
        <f aca="false">F222/R$3</f>
        <v>0</v>
      </c>
      <c r="S222" s="126" t="n">
        <f aca="false">J222/$R$3</f>
        <v>0</v>
      </c>
      <c r="T222" s="126" t="n">
        <f aca="false">L222/$R$3</f>
        <v>0</v>
      </c>
      <c r="U222" s="126" t="n">
        <f aca="false">I222/$R$3</f>
        <v>0</v>
      </c>
      <c r="V222" s="126" t="n">
        <f aca="false">M222/$R$3</f>
        <v>0</v>
      </c>
      <c r="W222" s="126" t="n">
        <f aca="false">N222/$R$3</f>
        <v>-37.239</v>
      </c>
    </row>
    <row r="223" customFormat="false" ht="12.75" hidden="false" customHeight="false" outlineLevel="0" collapsed="false">
      <c r="A223" s="120" t="n">
        <f aca="false">A222+1</f>
        <v>37109</v>
      </c>
      <c r="B223" s="131" t="str">
        <f aca="false">INDEX('[4]Master Data'!$A$2:$B$8,MATCH(WEEKDAY('GNS Bolv Gas MTM'!A223,3),'[4]Master Data'!$A$2:$A$8,0),2)</f>
        <v>M</v>
      </c>
      <c r="D223" s="124" t="n">
        <v>0</v>
      </c>
      <c r="E223" s="124" t="n">
        <v>0</v>
      </c>
      <c r="F223" s="124" t="n">
        <v>0</v>
      </c>
      <c r="G223" s="124" t="n">
        <v>0</v>
      </c>
      <c r="I223" s="124" t="n">
        <f aca="false">IF(MONTH($A223)=MONTH($A222),IF(G223=0,I222,G223),G223)</f>
        <v>0</v>
      </c>
      <c r="J223" s="124" t="n">
        <f aca="false">IF(MONTH($A223)=MONTH($A222),SUM(I223-I222),I223)</f>
        <v>0</v>
      </c>
      <c r="K223" s="124" t="n">
        <f aca="false">IF(WEEKDAY(A223,3)&gt;4,0,(IF(A223&lt;K$2,0,IF(A223&lt;=K$3,1,0))))</f>
        <v>0</v>
      </c>
      <c r="L223" s="124" t="n">
        <f aca="false">J223*K223</f>
        <v>0</v>
      </c>
      <c r="M223" s="124" t="n">
        <f aca="false">SUM(J$188:J223)</f>
        <v>0</v>
      </c>
      <c r="N223" s="124" t="n">
        <f aca="false">SUM(J$6:J223)</f>
        <v>-37239</v>
      </c>
      <c r="P223" s="124" t="n">
        <f aca="false">D223/P$3</f>
        <v>0</v>
      </c>
      <c r="Q223" s="124" t="n">
        <f aca="false">E223/P$3</f>
        <v>0</v>
      </c>
      <c r="R223" s="124" t="n">
        <f aca="false">F223/R$3</f>
        <v>0</v>
      </c>
      <c r="S223" s="126" t="n">
        <f aca="false">J223/$R$3</f>
        <v>0</v>
      </c>
      <c r="T223" s="126" t="n">
        <f aca="false">L223/$R$3</f>
        <v>0</v>
      </c>
      <c r="U223" s="126" t="n">
        <f aca="false">I223/$R$3</f>
        <v>0</v>
      </c>
      <c r="V223" s="126" t="n">
        <f aca="false">M223/$R$3</f>
        <v>0</v>
      </c>
      <c r="W223" s="126" t="n">
        <f aca="false">N223/$R$3</f>
        <v>-37.239</v>
      </c>
    </row>
    <row r="224" customFormat="false" ht="12.75" hidden="false" customHeight="false" outlineLevel="0" collapsed="false">
      <c r="A224" s="120" t="n">
        <f aca="false">A223+1</f>
        <v>37110</v>
      </c>
      <c r="B224" s="131" t="str">
        <f aca="false">INDEX('[4]Master Data'!$A$2:$B$8,MATCH(WEEKDAY('GNS Bolv Gas MTM'!A224,3),'[4]Master Data'!$A$2:$A$8,0),2)</f>
        <v>T</v>
      </c>
      <c r="D224" s="124" t="n">
        <v>0</v>
      </c>
      <c r="E224" s="124" t="n">
        <v>0</v>
      </c>
      <c r="F224" s="124" t="n">
        <v>0</v>
      </c>
      <c r="G224" s="124" t="n">
        <v>0</v>
      </c>
      <c r="I224" s="124" t="n">
        <f aca="false">IF(MONTH($A224)=MONTH($A223),IF(G224=0,I223,G224),G224)</f>
        <v>0</v>
      </c>
      <c r="J224" s="124" t="n">
        <f aca="false">IF(MONTH($A224)=MONTH($A223),SUM(I224-I223),I224)</f>
        <v>0</v>
      </c>
      <c r="K224" s="124" t="n">
        <f aca="false">IF(WEEKDAY(A224,3)&gt;4,0,(IF(A224&lt;K$2,0,IF(A224&lt;=K$3,1,0))))</f>
        <v>0</v>
      </c>
      <c r="L224" s="124" t="n">
        <f aca="false">J224*K224</f>
        <v>0</v>
      </c>
      <c r="M224" s="124" t="n">
        <f aca="false">SUM(J$188:J224)</f>
        <v>0</v>
      </c>
      <c r="N224" s="124" t="n">
        <f aca="false">SUM(J$6:J224)</f>
        <v>-37239</v>
      </c>
      <c r="P224" s="124" t="n">
        <f aca="false">D224/P$3</f>
        <v>0</v>
      </c>
      <c r="Q224" s="124" t="n">
        <f aca="false">E224/P$3</f>
        <v>0</v>
      </c>
      <c r="R224" s="124" t="n">
        <f aca="false">F224/R$3</f>
        <v>0</v>
      </c>
      <c r="S224" s="126" t="n">
        <f aca="false">J224/$R$3</f>
        <v>0</v>
      </c>
      <c r="T224" s="126" t="n">
        <f aca="false">L224/$R$3</f>
        <v>0</v>
      </c>
      <c r="U224" s="126" t="n">
        <f aca="false">I224/$R$3</f>
        <v>0</v>
      </c>
      <c r="V224" s="126" t="n">
        <f aca="false">M224/$R$3</f>
        <v>0</v>
      </c>
      <c r="W224" s="126" t="n">
        <f aca="false">N224/$R$3</f>
        <v>-37.239</v>
      </c>
    </row>
    <row r="225" customFormat="false" ht="12.75" hidden="false" customHeight="false" outlineLevel="0" collapsed="false">
      <c r="A225" s="120" t="n">
        <f aca="false">A224+1</f>
        <v>37111</v>
      </c>
      <c r="B225" s="131" t="str">
        <f aca="false">INDEX('[4]Master Data'!$A$2:$B$8,MATCH(WEEKDAY('GNS Bolv Gas MTM'!A225,3),'[4]Master Data'!$A$2:$A$8,0),2)</f>
        <v>W</v>
      </c>
      <c r="D225" s="124" t="n">
        <v>0</v>
      </c>
      <c r="E225" s="124" t="n">
        <v>0</v>
      </c>
      <c r="F225" s="124" t="n">
        <v>0</v>
      </c>
      <c r="G225" s="124" t="n">
        <v>0</v>
      </c>
      <c r="I225" s="124" t="n">
        <f aca="false">IF(MONTH($A225)=MONTH($A224),IF(G225=0,I224,G225),G225)</f>
        <v>0</v>
      </c>
      <c r="J225" s="124" t="n">
        <f aca="false">IF(MONTH($A225)=MONTH($A224),SUM(I225-I224),I225)</f>
        <v>0</v>
      </c>
      <c r="K225" s="124" t="n">
        <f aca="false">IF(WEEKDAY(A225,3)&gt;4,0,(IF(A225&lt;K$2,0,IF(A225&lt;=K$3,1,0))))</f>
        <v>0</v>
      </c>
      <c r="L225" s="124" t="n">
        <f aca="false">J225*K225</f>
        <v>0</v>
      </c>
      <c r="M225" s="124" t="n">
        <f aca="false">SUM(J$188:J225)</f>
        <v>0</v>
      </c>
      <c r="N225" s="124" t="n">
        <f aca="false">SUM(J$6:J225)</f>
        <v>-37239</v>
      </c>
      <c r="P225" s="124" t="n">
        <f aca="false">D225/P$3</f>
        <v>0</v>
      </c>
      <c r="Q225" s="124" t="n">
        <f aca="false">E225/P$3</f>
        <v>0</v>
      </c>
      <c r="R225" s="124" t="n">
        <f aca="false">F225/R$3</f>
        <v>0</v>
      </c>
      <c r="S225" s="126" t="n">
        <f aca="false">J225/$R$3</f>
        <v>0</v>
      </c>
      <c r="T225" s="126" t="n">
        <f aca="false">L225/$R$3</f>
        <v>0</v>
      </c>
      <c r="U225" s="126" t="n">
        <f aca="false">I225/$R$3</f>
        <v>0</v>
      </c>
      <c r="V225" s="126" t="n">
        <f aca="false">M225/$R$3</f>
        <v>0</v>
      </c>
      <c r="W225" s="126" t="n">
        <f aca="false">N225/$R$3</f>
        <v>-37.239</v>
      </c>
    </row>
    <row r="226" customFormat="false" ht="12.75" hidden="false" customHeight="false" outlineLevel="0" collapsed="false">
      <c r="A226" s="120" t="n">
        <f aca="false">A225+1</f>
        <v>37112</v>
      </c>
      <c r="B226" s="131" t="str">
        <f aca="false">INDEX('[4]Master Data'!$A$2:$B$8,MATCH(WEEKDAY('GNS Bolv Gas MTM'!A226,3),'[4]Master Data'!$A$2:$A$8,0),2)</f>
        <v>Th</v>
      </c>
      <c r="D226" s="124" t="n">
        <v>0</v>
      </c>
      <c r="E226" s="124" t="n">
        <v>0</v>
      </c>
      <c r="F226" s="124" t="n">
        <v>0</v>
      </c>
      <c r="G226" s="124" t="n">
        <v>0</v>
      </c>
      <c r="I226" s="124" t="n">
        <f aca="false">IF(MONTH($A226)=MONTH($A225),IF(G226=0,I225,G226),G226)</f>
        <v>0</v>
      </c>
      <c r="J226" s="124" t="n">
        <f aca="false">IF(MONTH($A226)=MONTH($A225),SUM(I226-I225),I226)</f>
        <v>0</v>
      </c>
      <c r="K226" s="124" t="n">
        <f aca="false">IF(WEEKDAY(A226,3)&gt;4,0,(IF(A226&lt;K$2,0,IF(A226&lt;=K$3,1,0))))</f>
        <v>0</v>
      </c>
      <c r="L226" s="124" t="n">
        <f aca="false">J226*K226</f>
        <v>0</v>
      </c>
      <c r="M226" s="124" t="n">
        <f aca="false">SUM(J$188:J226)</f>
        <v>0</v>
      </c>
      <c r="N226" s="124" t="n">
        <f aca="false">SUM(J$6:J226)</f>
        <v>-37239</v>
      </c>
      <c r="P226" s="124" t="n">
        <f aca="false">D226/P$3</f>
        <v>0</v>
      </c>
      <c r="Q226" s="124" t="n">
        <f aca="false">E226/P$3</f>
        <v>0</v>
      </c>
      <c r="R226" s="124" t="n">
        <f aca="false">F226/R$3</f>
        <v>0</v>
      </c>
      <c r="S226" s="126" t="n">
        <f aca="false">J226/$R$3</f>
        <v>0</v>
      </c>
      <c r="T226" s="126" t="n">
        <f aca="false">L226/$R$3</f>
        <v>0</v>
      </c>
      <c r="U226" s="126" t="n">
        <f aca="false">I226/$R$3</f>
        <v>0</v>
      </c>
      <c r="V226" s="126" t="n">
        <f aca="false">M226/$R$3</f>
        <v>0</v>
      </c>
      <c r="W226" s="126" t="n">
        <f aca="false">N226/$R$3</f>
        <v>-37.239</v>
      </c>
    </row>
    <row r="227" customFormat="false" ht="12.75" hidden="false" customHeight="false" outlineLevel="0" collapsed="false">
      <c r="A227" s="120" t="n">
        <f aca="false">A226+1</f>
        <v>37113</v>
      </c>
      <c r="B227" s="131" t="str">
        <f aca="false">INDEX('[4]Master Data'!$A$2:$B$8,MATCH(WEEKDAY('GNS Bolv Gas MTM'!A227,3),'[4]Master Data'!$A$2:$A$8,0),2)</f>
        <v>F</v>
      </c>
      <c r="D227" s="124" t="n">
        <v>0</v>
      </c>
      <c r="E227" s="124" t="n">
        <v>0</v>
      </c>
      <c r="F227" s="124" t="n">
        <v>0</v>
      </c>
      <c r="G227" s="124" t="n">
        <v>0</v>
      </c>
      <c r="I227" s="124" t="n">
        <f aca="false">IF(MONTH($A227)=MONTH($A226),IF(G227=0,I226,G227),G227)</f>
        <v>0</v>
      </c>
      <c r="J227" s="124" t="n">
        <f aca="false">IF(MONTH($A227)=MONTH($A226),SUM(I227-I226),I227)</f>
        <v>0</v>
      </c>
      <c r="K227" s="124" t="n">
        <f aca="false">IF(WEEKDAY(A227,3)&gt;4,0,(IF(A227&lt;K$2,0,IF(A227&lt;=K$3,1,0))))</f>
        <v>0</v>
      </c>
      <c r="L227" s="124" t="n">
        <f aca="false">J227*K227</f>
        <v>0</v>
      </c>
      <c r="M227" s="124" t="n">
        <f aca="false">SUM(J$188:J227)</f>
        <v>0</v>
      </c>
      <c r="N227" s="124" t="n">
        <f aca="false">SUM(J$6:J227)</f>
        <v>-37239</v>
      </c>
      <c r="P227" s="124" t="n">
        <f aca="false">D227/P$3</f>
        <v>0</v>
      </c>
      <c r="Q227" s="124" t="n">
        <f aca="false">E227/P$3</f>
        <v>0</v>
      </c>
      <c r="R227" s="124" t="n">
        <f aca="false">F227/R$3</f>
        <v>0</v>
      </c>
      <c r="S227" s="126" t="n">
        <f aca="false">J227/$R$3</f>
        <v>0</v>
      </c>
      <c r="T227" s="126" t="n">
        <f aca="false">L227/$R$3</f>
        <v>0</v>
      </c>
      <c r="U227" s="126" t="n">
        <f aca="false">I227/$R$3</f>
        <v>0</v>
      </c>
      <c r="V227" s="126" t="n">
        <f aca="false">M227/$R$3</f>
        <v>0</v>
      </c>
      <c r="W227" s="126" t="n">
        <f aca="false">N227/$R$3</f>
        <v>-37.239</v>
      </c>
    </row>
    <row r="228" customFormat="false" ht="12.75" hidden="false" customHeight="false" outlineLevel="0" collapsed="false">
      <c r="A228" s="120" t="n">
        <f aca="false">A227+1</f>
        <v>37114</v>
      </c>
      <c r="B228" s="131" t="str">
        <f aca="false">INDEX('[4]Master Data'!$A$2:$B$8,MATCH(WEEKDAY('GNS Bolv Gas MTM'!A228,3),'[4]Master Data'!$A$2:$A$8,0),2)</f>
        <v>Sa</v>
      </c>
      <c r="D228" s="124" t="n">
        <v>0</v>
      </c>
      <c r="E228" s="124" t="n">
        <v>0</v>
      </c>
      <c r="F228" s="124" t="n">
        <v>0</v>
      </c>
      <c r="G228" s="124" t="n">
        <v>0</v>
      </c>
      <c r="I228" s="124" t="n">
        <f aca="false">IF(MONTH($A228)=MONTH($A227),IF(G228=0,I227,G228),G228)</f>
        <v>0</v>
      </c>
      <c r="J228" s="124" t="n">
        <f aca="false">IF(MONTH($A228)=MONTH($A227),SUM(I228-I227),I228)</f>
        <v>0</v>
      </c>
      <c r="K228" s="124" t="n">
        <f aca="false">IF(WEEKDAY(A228,3)&gt;4,0,(IF(A228&lt;K$2,0,IF(A228&lt;=K$3,1,0))))</f>
        <v>0</v>
      </c>
      <c r="L228" s="124" t="n">
        <f aca="false">J228*K228</f>
        <v>0</v>
      </c>
      <c r="M228" s="124" t="n">
        <f aca="false">SUM(J$188:J228)</f>
        <v>0</v>
      </c>
      <c r="N228" s="124" t="n">
        <f aca="false">SUM(J$6:J228)</f>
        <v>-37239</v>
      </c>
      <c r="P228" s="124" t="n">
        <f aca="false">D228/P$3</f>
        <v>0</v>
      </c>
      <c r="Q228" s="124" t="n">
        <f aca="false">E228/P$3</f>
        <v>0</v>
      </c>
      <c r="R228" s="124" t="n">
        <f aca="false">F228/R$3</f>
        <v>0</v>
      </c>
      <c r="S228" s="126" t="n">
        <f aca="false">J228/$R$3</f>
        <v>0</v>
      </c>
      <c r="T228" s="126" t="n">
        <f aca="false">L228/$R$3</f>
        <v>0</v>
      </c>
      <c r="U228" s="126" t="n">
        <f aca="false">I228/$R$3</f>
        <v>0</v>
      </c>
      <c r="V228" s="126" t="n">
        <f aca="false">M228/$R$3</f>
        <v>0</v>
      </c>
      <c r="W228" s="126" t="n">
        <f aca="false">N228/$R$3</f>
        <v>-37.239</v>
      </c>
    </row>
    <row r="229" customFormat="false" ht="12.75" hidden="false" customHeight="false" outlineLevel="0" collapsed="false">
      <c r="A229" s="120" t="n">
        <f aca="false">A228+1</f>
        <v>37115</v>
      </c>
      <c r="B229" s="131" t="str">
        <f aca="false">INDEX('[4]Master Data'!$A$2:$B$8,MATCH(WEEKDAY('GNS Bolv Gas MTM'!A229,3),'[4]Master Data'!$A$2:$A$8,0),2)</f>
        <v>Su</v>
      </c>
      <c r="D229" s="124" t="n">
        <v>0</v>
      </c>
      <c r="E229" s="124" t="n">
        <v>0</v>
      </c>
      <c r="F229" s="124" t="n">
        <v>0</v>
      </c>
      <c r="G229" s="124" t="n">
        <v>0</v>
      </c>
      <c r="I229" s="124" t="n">
        <f aca="false">IF(MONTH($A229)=MONTH($A228),IF(G229=0,I228,G229),G229)</f>
        <v>0</v>
      </c>
      <c r="J229" s="124" t="n">
        <f aca="false">IF(MONTH($A229)=MONTH($A228),SUM(I229-I228),I229)</f>
        <v>0</v>
      </c>
      <c r="K229" s="124" t="n">
        <f aca="false">IF(WEEKDAY(A229,3)&gt;4,0,(IF(A229&lt;K$2,0,IF(A229&lt;=K$3,1,0))))</f>
        <v>0</v>
      </c>
      <c r="L229" s="124" t="n">
        <f aca="false">J229*K229</f>
        <v>0</v>
      </c>
      <c r="M229" s="124" t="n">
        <f aca="false">SUM(J$188:J229)</f>
        <v>0</v>
      </c>
      <c r="N229" s="124" t="n">
        <f aca="false">SUM(J$6:J229)</f>
        <v>-37239</v>
      </c>
      <c r="P229" s="124" t="n">
        <f aca="false">D229/P$3</f>
        <v>0</v>
      </c>
      <c r="Q229" s="124" t="n">
        <f aca="false">E229/P$3</f>
        <v>0</v>
      </c>
      <c r="R229" s="124" t="n">
        <f aca="false">F229/R$3</f>
        <v>0</v>
      </c>
      <c r="S229" s="126" t="n">
        <f aca="false">J229/$R$3</f>
        <v>0</v>
      </c>
      <c r="T229" s="126" t="n">
        <f aca="false">L229/$R$3</f>
        <v>0</v>
      </c>
      <c r="U229" s="126" t="n">
        <f aca="false">I229/$R$3</f>
        <v>0</v>
      </c>
      <c r="V229" s="126" t="n">
        <f aca="false">M229/$R$3</f>
        <v>0</v>
      </c>
      <c r="W229" s="126" t="n">
        <f aca="false">N229/$R$3</f>
        <v>-37.239</v>
      </c>
    </row>
    <row r="230" customFormat="false" ht="12.75" hidden="false" customHeight="false" outlineLevel="0" collapsed="false">
      <c r="A230" s="120" t="n">
        <f aca="false">A229+1</f>
        <v>37116</v>
      </c>
      <c r="B230" s="131" t="str">
        <f aca="false">INDEX('[4]Master Data'!$A$2:$B$8,MATCH(WEEKDAY('GNS Bolv Gas MTM'!A230,3),'[4]Master Data'!$A$2:$A$8,0),2)</f>
        <v>M</v>
      </c>
      <c r="D230" s="124" t="n">
        <v>0</v>
      </c>
      <c r="E230" s="124" t="n">
        <v>0</v>
      </c>
      <c r="F230" s="124" t="n">
        <v>0</v>
      </c>
      <c r="G230" s="124" t="n">
        <v>0</v>
      </c>
      <c r="I230" s="124" t="n">
        <f aca="false">IF(MONTH($A230)=MONTH($A229),IF(G230=0,I229,G230),G230)</f>
        <v>0</v>
      </c>
      <c r="J230" s="124" t="n">
        <f aca="false">IF(MONTH($A230)=MONTH($A229),SUM(I230-I229),I230)</f>
        <v>0</v>
      </c>
      <c r="K230" s="124" t="n">
        <f aca="false">IF(WEEKDAY(A230,3)&gt;4,0,(IF(A230&lt;K$2,0,IF(A230&lt;=K$3,1,0))))</f>
        <v>0</v>
      </c>
      <c r="L230" s="124" t="n">
        <f aca="false">J230*K230</f>
        <v>0</v>
      </c>
      <c r="M230" s="124" t="n">
        <f aca="false">SUM(J$188:J230)</f>
        <v>0</v>
      </c>
      <c r="N230" s="124" t="n">
        <f aca="false">SUM(J$6:J230)</f>
        <v>-37239</v>
      </c>
      <c r="P230" s="124" t="n">
        <f aca="false">D230/P$3</f>
        <v>0</v>
      </c>
      <c r="Q230" s="124" t="n">
        <f aca="false">E230/P$3</f>
        <v>0</v>
      </c>
      <c r="R230" s="124" t="n">
        <f aca="false">F230/R$3</f>
        <v>0</v>
      </c>
      <c r="S230" s="126" t="n">
        <f aca="false">J230/$R$3</f>
        <v>0</v>
      </c>
      <c r="T230" s="126" t="n">
        <f aca="false">L230/$R$3</f>
        <v>0</v>
      </c>
      <c r="U230" s="126" t="n">
        <f aca="false">I230/$R$3</f>
        <v>0</v>
      </c>
      <c r="V230" s="126" t="n">
        <f aca="false">M230/$R$3</f>
        <v>0</v>
      </c>
      <c r="W230" s="126" t="n">
        <f aca="false">N230/$R$3</f>
        <v>-37.239</v>
      </c>
    </row>
    <row r="231" customFormat="false" ht="12.75" hidden="false" customHeight="false" outlineLevel="0" collapsed="false">
      <c r="A231" s="120" t="n">
        <f aca="false">A230+1</f>
        <v>37117</v>
      </c>
      <c r="B231" s="131" t="str">
        <f aca="false">INDEX('[4]Master Data'!$A$2:$B$8,MATCH(WEEKDAY('GNS Bolv Gas MTM'!A231,3),'[4]Master Data'!$A$2:$A$8,0),2)</f>
        <v>T</v>
      </c>
      <c r="D231" s="124" t="n">
        <v>0</v>
      </c>
      <c r="E231" s="124" t="n">
        <v>0</v>
      </c>
      <c r="F231" s="124" t="n">
        <v>0</v>
      </c>
      <c r="G231" s="124" t="n">
        <v>0</v>
      </c>
      <c r="I231" s="124" t="n">
        <f aca="false">IF(MONTH($A231)=MONTH($A230),IF(G231=0,I230,G231),G231)</f>
        <v>0</v>
      </c>
      <c r="J231" s="124" t="n">
        <f aca="false">IF(MONTH($A231)=MONTH($A230),SUM(I231-I230),I231)</f>
        <v>0</v>
      </c>
      <c r="K231" s="124" t="n">
        <f aca="false">IF(WEEKDAY(A231,3)&gt;4,0,(IF(A231&lt;K$2,0,IF(A231&lt;=K$3,1,0))))</f>
        <v>0</v>
      </c>
      <c r="L231" s="124" t="n">
        <f aca="false">J231*K231</f>
        <v>0</v>
      </c>
      <c r="M231" s="124" t="n">
        <f aca="false">SUM(J$188:J231)</f>
        <v>0</v>
      </c>
      <c r="N231" s="124" t="n">
        <f aca="false">SUM(J$6:J231)</f>
        <v>-37239</v>
      </c>
      <c r="P231" s="124" t="n">
        <f aca="false">D231/P$3</f>
        <v>0</v>
      </c>
      <c r="Q231" s="124" t="n">
        <f aca="false">E231/P$3</f>
        <v>0</v>
      </c>
      <c r="R231" s="124" t="n">
        <f aca="false">F231/R$3</f>
        <v>0</v>
      </c>
      <c r="S231" s="126" t="n">
        <f aca="false">J231/$R$3</f>
        <v>0</v>
      </c>
      <c r="T231" s="126" t="n">
        <f aca="false">L231/$R$3</f>
        <v>0</v>
      </c>
      <c r="U231" s="126" t="n">
        <f aca="false">I231/$R$3</f>
        <v>0</v>
      </c>
      <c r="V231" s="126" t="n">
        <f aca="false">M231/$R$3</f>
        <v>0</v>
      </c>
      <c r="W231" s="126" t="n">
        <f aca="false">N231/$R$3</f>
        <v>-37.239</v>
      </c>
    </row>
    <row r="232" customFormat="false" ht="12.75" hidden="false" customHeight="false" outlineLevel="0" collapsed="false">
      <c r="A232" s="120" t="n">
        <f aca="false">A231+1</f>
        <v>37118</v>
      </c>
      <c r="B232" s="131" t="str">
        <f aca="false">INDEX('[4]Master Data'!$A$2:$B$8,MATCH(WEEKDAY('GNS Bolv Gas MTM'!A232,3),'[4]Master Data'!$A$2:$A$8,0),2)</f>
        <v>W</v>
      </c>
      <c r="D232" s="124" t="n">
        <v>0</v>
      </c>
      <c r="E232" s="124" t="n">
        <v>0</v>
      </c>
      <c r="F232" s="124" t="n">
        <v>0</v>
      </c>
      <c r="G232" s="124" t="n">
        <v>0</v>
      </c>
      <c r="I232" s="124" t="n">
        <f aca="false">IF(MONTH($A232)=MONTH($A231),IF(G232=0,I231,G232),G232)</f>
        <v>0</v>
      </c>
      <c r="J232" s="124" t="n">
        <f aca="false">IF(MONTH($A232)=MONTH($A231),SUM(I232-I231),I232)</f>
        <v>0</v>
      </c>
      <c r="K232" s="124" t="n">
        <f aca="false">IF(WEEKDAY(A232,3)&gt;4,0,(IF(A232&lt;K$2,0,IF(A232&lt;=K$3,1,0))))</f>
        <v>0</v>
      </c>
      <c r="L232" s="124" t="n">
        <f aca="false">J232*K232</f>
        <v>0</v>
      </c>
      <c r="M232" s="124" t="n">
        <f aca="false">SUM(J$188:J232)</f>
        <v>0</v>
      </c>
      <c r="N232" s="124" t="n">
        <f aca="false">SUM(J$6:J232)</f>
        <v>-37239</v>
      </c>
      <c r="P232" s="124" t="n">
        <f aca="false">D232/P$3</f>
        <v>0</v>
      </c>
      <c r="Q232" s="124" t="n">
        <f aca="false">E232/P$3</f>
        <v>0</v>
      </c>
      <c r="R232" s="124" t="n">
        <f aca="false">F232/R$3</f>
        <v>0</v>
      </c>
      <c r="S232" s="126" t="n">
        <f aca="false">J232/$R$3</f>
        <v>0</v>
      </c>
      <c r="T232" s="126" t="n">
        <f aca="false">L232/$R$3</f>
        <v>0</v>
      </c>
      <c r="U232" s="126" t="n">
        <f aca="false">I232/$R$3</f>
        <v>0</v>
      </c>
      <c r="V232" s="126" t="n">
        <f aca="false">M232/$R$3</f>
        <v>0</v>
      </c>
      <c r="W232" s="126" t="n">
        <f aca="false">N232/$R$3</f>
        <v>-37.239</v>
      </c>
    </row>
    <row r="233" customFormat="false" ht="12.75" hidden="false" customHeight="false" outlineLevel="0" collapsed="false">
      <c r="A233" s="120" t="n">
        <f aca="false">A232+1</f>
        <v>37119</v>
      </c>
      <c r="B233" s="131" t="str">
        <f aca="false">INDEX('[4]Master Data'!$A$2:$B$8,MATCH(WEEKDAY('GNS Bolv Gas MTM'!A233,3),'[4]Master Data'!$A$2:$A$8,0),2)</f>
        <v>Th</v>
      </c>
      <c r="D233" s="124" t="n">
        <v>0</v>
      </c>
      <c r="E233" s="124" t="n">
        <v>0</v>
      </c>
      <c r="F233" s="124" t="n">
        <v>0</v>
      </c>
      <c r="G233" s="124" t="n">
        <v>0</v>
      </c>
      <c r="I233" s="124" t="n">
        <f aca="false">IF(MONTH($A233)=MONTH($A232),IF(G233=0,I232,G233),G233)</f>
        <v>0</v>
      </c>
      <c r="J233" s="124" t="n">
        <f aca="false">IF(MONTH($A233)=MONTH($A232),SUM(I233-I232),I233)</f>
        <v>0</v>
      </c>
      <c r="K233" s="124" t="n">
        <f aca="false">IF(WEEKDAY(A233,3)&gt;4,0,(IF(A233&lt;K$2,0,IF(A233&lt;=K$3,1,0))))</f>
        <v>0</v>
      </c>
      <c r="L233" s="124" t="n">
        <f aca="false">J233*K233</f>
        <v>0</v>
      </c>
      <c r="M233" s="124" t="n">
        <f aca="false">SUM(J$188:J233)</f>
        <v>0</v>
      </c>
      <c r="N233" s="124" t="n">
        <f aca="false">SUM(J$6:J233)</f>
        <v>-37239</v>
      </c>
      <c r="P233" s="124" t="n">
        <f aca="false">D233/P$3</f>
        <v>0</v>
      </c>
      <c r="Q233" s="124" t="n">
        <f aca="false">E233/P$3</f>
        <v>0</v>
      </c>
      <c r="R233" s="124" t="n">
        <f aca="false">F233/R$3</f>
        <v>0</v>
      </c>
      <c r="S233" s="126" t="n">
        <f aca="false">J233/$R$3</f>
        <v>0</v>
      </c>
      <c r="T233" s="126" t="n">
        <f aca="false">L233/$R$3</f>
        <v>0</v>
      </c>
      <c r="U233" s="126" t="n">
        <f aca="false">I233/$R$3</f>
        <v>0</v>
      </c>
      <c r="V233" s="126" t="n">
        <f aca="false">M233/$R$3</f>
        <v>0</v>
      </c>
      <c r="W233" s="126" t="n">
        <f aca="false">N233/$R$3</f>
        <v>-37.239</v>
      </c>
    </row>
    <row r="234" customFormat="false" ht="12.75" hidden="false" customHeight="false" outlineLevel="0" collapsed="false">
      <c r="A234" s="120" t="n">
        <f aca="false">A233+1</f>
        <v>37120</v>
      </c>
      <c r="B234" s="131" t="str">
        <f aca="false">INDEX('[4]Master Data'!$A$2:$B$8,MATCH(WEEKDAY('GNS Bolv Gas MTM'!A234,3),'[4]Master Data'!$A$2:$A$8,0),2)</f>
        <v>F</v>
      </c>
      <c r="D234" s="124" t="n">
        <v>0</v>
      </c>
      <c r="E234" s="124" t="n">
        <v>0</v>
      </c>
      <c r="F234" s="124" t="n">
        <v>0</v>
      </c>
      <c r="G234" s="124" t="n">
        <v>0</v>
      </c>
      <c r="I234" s="124" t="n">
        <f aca="false">IF(MONTH($A234)=MONTH($A233),IF(G234=0,I233,G234),G234)</f>
        <v>0</v>
      </c>
      <c r="J234" s="124" t="n">
        <f aca="false">IF(MONTH($A234)=MONTH($A233),SUM(I234-I233),I234)</f>
        <v>0</v>
      </c>
      <c r="K234" s="124" t="n">
        <f aca="false">IF(WEEKDAY(A234,3)&gt;4,0,(IF(A234&lt;K$2,0,IF(A234&lt;=K$3,1,0))))</f>
        <v>0</v>
      </c>
      <c r="L234" s="124" t="n">
        <f aca="false">J234*K234</f>
        <v>0</v>
      </c>
      <c r="M234" s="124" t="n">
        <f aca="false">SUM(J$188:J234)</f>
        <v>0</v>
      </c>
      <c r="N234" s="124" t="n">
        <f aca="false">SUM(J$6:J234)</f>
        <v>-37239</v>
      </c>
      <c r="P234" s="124" t="n">
        <f aca="false">D234/P$3</f>
        <v>0</v>
      </c>
      <c r="Q234" s="124" t="n">
        <f aca="false">E234/P$3</f>
        <v>0</v>
      </c>
      <c r="R234" s="124" t="n">
        <f aca="false">F234/R$3</f>
        <v>0</v>
      </c>
      <c r="S234" s="126" t="n">
        <f aca="false">J234/$R$3</f>
        <v>0</v>
      </c>
      <c r="T234" s="126" t="n">
        <f aca="false">L234/$R$3</f>
        <v>0</v>
      </c>
      <c r="U234" s="126" t="n">
        <f aca="false">I234/$R$3</f>
        <v>0</v>
      </c>
      <c r="V234" s="126" t="n">
        <f aca="false">M234/$R$3</f>
        <v>0</v>
      </c>
      <c r="W234" s="126" t="n">
        <f aca="false">N234/$R$3</f>
        <v>-37.239</v>
      </c>
    </row>
    <row r="235" customFormat="false" ht="12.75" hidden="false" customHeight="false" outlineLevel="0" collapsed="false">
      <c r="A235" s="120" t="n">
        <f aca="false">A234+1</f>
        <v>37121</v>
      </c>
      <c r="B235" s="131" t="str">
        <f aca="false">INDEX('[4]Master Data'!$A$2:$B$8,MATCH(WEEKDAY('GNS Bolv Gas MTM'!A235,3),'[4]Master Data'!$A$2:$A$8,0),2)</f>
        <v>Sa</v>
      </c>
      <c r="D235" s="124" t="n">
        <v>0</v>
      </c>
      <c r="E235" s="124" t="n">
        <v>0</v>
      </c>
      <c r="F235" s="124" t="n">
        <v>0</v>
      </c>
      <c r="G235" s="124" t="n">
        <v>0</v>
      </c>
      <c r="I235" s="124" t="n">
        <f aca="false">IF(MONTH($A235)=MONTH($A234),IF(G235=0,I234,G235),G235)</f>
        <v>0</v>
      </c>
      <c r="J235" s="124" t="n">
        <f aca="false">IF(MONTH($A235)=MONTH($A234),SUM(I235-I234),I235)</f>
        <v>0</v>
      </c>
      <c r="K235" s="124" t="n">
        <f aca="false">IF(WEEKDAY(A235,3)&gt;4,0,(IF(A235&lt;K$2,0,IF(A235&lt;=K$3,1,0))))</f>
        <v>0</v>
      </c>
      <c r="L235" s="124" t="n">
        <f aca="false">J235*K235</f>
        <v>0</v>
      </c>
      <c r="M235" s="124" t="n">
        <f aca="false">SUM(J$188:J235)</f>
        <v>0</v>
      </c>
      <c r="N235" s="124" t="n">
        <f aca="false">SUM(J$6:J235)</f>
        <v>-37239</v>
      </c>
      <c r="P235" s="124" t="n">
        <f aca="false">D235/P$3</f>
        <v>0</v>
      </c>
      <c r="Q235" s="124" t="n">
        <f aca="false">E235/P$3</f>
        <v>0</v>
      </c>
      <c r="R235" s="124" t="n">
        <f aca="false">F235/R$3</f>
        <v>0</v>
      </c>
      <c r="S235" s="126" t="n">
        <f aca="false">J235/$R$3</f>
        <v>0</v>
      </c>
      <c r="T235" s="126" t="n">
        <f aca="false">L235/$R$3</f>
        <v>0</v>
      </c>
      <c r="U235" s="126" t="n">
        <f aca="false">I235/$R$3</f>
        <v>0</v>
      </c>
      <c r="V235" s="126" t="n">
        <f aca="false">M235/$R$3</f>
        <v>0</v>
      </c>
      <c r="W235" s="126" t="n">
        <f aca="false">N235/$R$3</f>
        <v>-37.239</v>
      </c>
    </row>
    <row r="236" customFormat="false" ht="12.75" hidden="false" customHeight="false" outlineLevel="0" collapsed="false">
      <c r="A236" s="120" t="n">
        <f aca="false">A235+1</f>
        <v>37122</v>
      </c>
      <c r="B236" s="131" t="str">
        <f aca="false">INDEX('[4]Master Data'!$A$2:$B$8,MATCH(WEEKDAY('GNS Bolv Gas MTM'!A236,3),'[4]Master Data'!$A$2:$A$8,0),2)</f>
        <v>Su</v>
      </c>
      <c r="D236" s="124" t="n">
        <v>0</v>
      </c>
      <c r="E236" s="124" t="n">
        <v>0</v>
      </c>
      <c r="F236" s="124" t="n">
        <v>0</v>
      </c>
      <c r="G236" s="124" t="n">
        <v>0</v>
      </c>
      <c r="I236" s="124" t="n">
        <f aca="false">IF(MONTH($A236)=MONTH($A235),IF(G236=0,I235,G236),G236)</f>
        <v>0</v>
      </c>
      <c r="J236" s="124" t="n">
        <f aca="false">IF(MONTH($A236)=MONTH($A235),SUM(I236-I235),I236)</f>
        <v>0</v>
      </c>
      <c r="K236" s="124" t="n">
        <f aca="false">IF(WEEKDAY(A236,3)&gt;4,0,(IF(A236&lt;K$2,0,IF(A236&lt;=K$3,1,0))))</f>
        <v>0</v>
      </c>
      <c r="L236" s="124" t="n">
        <f aca="false">J236*K236</f>
        <v>0</v>
      </c>
      <c r="M236" s="124" t="n">
        <f aca="false">SUM(J$188:J236)</f>
        <v>0</v>
      </c>
      <c r="N236" s="124" t="n">
        <f aca="false">SUM(J$6:J236)</f>
        <v>-37239</v>
      </c>
      <c r="P236" s="124" t="n">
        <f aca="false">D236/P$3</f>
        <v>0</v>
      </c>
      <c r="Q236" s="124" t="n">
        <f aca="false">E236/P$3</f>
        <v>0</v>
      </c>
      <c r="R236" s="124" t="n">
        <f aca="false">F236/R$3</f>
        <v>0</v>
      </c>
      <c r="S236" s="126" t="n">
        <f aca="false">J236/$R$3</f>
        <v>0</v>
      </c>
      <c r="T236" s="126" t="n">
        <f aca="false">L236/$R$3</f>
        <v>0</v>
      </c>
      <c r="U236" s="126" t="n">
        <f aca="false">I236/$R$3</f>
        <v>0</v>
      </c>
      <c r="V236" s="126" t="n">
        <f aca="false">M236/$R$3</f>
        <v>0</v>
      </c>
      <c r="W236" s="126" t="n">
        <f aca="false">N236/$R$3</f>
        <v>-37.239</v>
      </c>
    </row>
    <row r="237" customFormat="false" ht="12.75" hidden="false" customHeight="false" outlineLevel="0" collapsed="false">
      <c r="A237" s="120" t="n">
        <f aca="false">A236+1</f>
        <v>37123</v>
      </c>
      <c r="B237" s="131" t="str">
        <f aca="false">INDEX('[4]Master Data'!$A$2:$B$8,MATCH(WEEKDAY('GNS Bolv Gas MTM'!A237,3),'[4]Master Data'!$A$2:$A$8,0),2)</f>
        <v>M</v>
      </c>
      <c r="D237" s="124" t="n">
        <v>0</v>
      </c>
      <c r="E237" s="124" t="n">
        <v>0</v>
      </c>
      <c r="F237" s="124" t="n">
        <v>0</v>
      </c>
      <c r="G237" s="124" t="n">
        <v>0</v>
      </c>
      <c r="I237" s="124" t="n">
        <f aca="false">IF(MONTH($A237)=MONTH($A236),IF(G237=0,I236,G237),G237)</f>
        <v>0</v>
      </c>
      <c r="J237" s="124" t="n">
        <f aca="false">IF(MONTH($A237)=MONTH($A236),SUM(I237-I236),I237)</f>
        <v>0</v>
      </c>
      <c r="K237" s="124" t="n">
        <f aca="false">IF(WEEKDAY(A237,3)&gt;4,0,(IF(A237&lt;K$2,0,IF(A237&lt;=K$3,1,0))))</f>
        <v>0</v>
      </c>
      <c r="L237" s="124" t="n">
        <f aca="false">J237*K237</f>
        <v>0</v>
      </c>
      <c r="M237" s="124" t="n">
        <f aca="false">SUM(J$188:J237)</f>
        <v>0</v>
      </c>
      <c r="N237" s="124" t="n">
        <f aca="false">SUM(J$6:J237)</f>
        <v>-37239</v>
      </c>
      <c r="P237" s="124" t="n">
        <f aca="false">D237/P$3</f>
        <v>0</v>
      </c>
      <c r="Q237" s="124" t="n">
        <f aca="false">E237/P$3</f>
        <v>0</v>
      </c>
      <c r="R237" s="124" t="n">
        <f aca="false">F237/R$3</f>
        <v>0</v>
      </c>
      <c r="S237" s="126" t="n">
        <f aca="false">J237/$R$3</f>
        <v>0</v>
      </c>
      <c r="T237" s="126" t="n">
        <f aca="false">L237/$R$3</f>
        <v>0</v>
      </c>
      <c r="U237" s="126" t="n">
        <f aca="false">I237/$R$3</f>
        <v>0</v>
      </c>
      <c r="V237" s="126" t="n">
        <f aca="false">M237/$R$3</f>
        <v>0</v>
      </c>
      <c r="W237" s="126" t="n">
        <f aca="false">N237/$R$3</f>
        <v>-37.239</v>
      </c>
    </row>
    <row r="238" customFormat="false" ht="12.75" hidden="false" customHeight="false" outlineLevel="0" collapsed="false">
      <c r="A238" s="120" t="n">
        <f aca="false">A237+1</f>
        <v>37124</v>
      </c>
      <c r="B238" s="131" t="str">
        <f aca="false">INDEX('[4]Master Data'!$A$2:$B$8,MATCH(WEEKDAY('GNS Bolv Gas MTM'!A238,3),'[4]Master Data'!$A$2:$A$8,0),2)</f>
        <v>T</v>
      </c>
      <c r="D238" s="124" t="n">
        <v>0</v>
      </c>
      <c r="E238" s="124" t="n">
        <v>0</v>
      </c>
      <c r="F238" s="124" t="n">
        <v>0</v>
      </c>
      <c r="G238" s="124" t="n">
        <v>0</v>
      </c>
      <c r="I238" s="124" t="n">
        <f aca="false">IF(MONTH($A238)=MONTH($A237),IF(G238=0,I237,G238),G238)</f>
        <v>0</v>
      </c>
      <c r="J238" s="124" t="n">
        <f aca="false">IF(MONTH($A238)=MONTH($A237),SUM(I238-I237),I238)</f>
        <v>0</v>
      </c>
      <c r="K238" s="124" t="n">
        <f aca="false">IF(WEEKDAY(A238,3)&gt;4,0,(IF(A238&lt;K$2,0,IF(A238&lt;=K$3,1,0))))</f>
        <v>0</v>
      </c>
      <c r="L238" s="124" t="n">
        <f aca="false">J238*K238</f>
        <v>0</v>
      </c>
      <c r="M238" s="124" t="n">
        <f aca="false">SUM(J$188:J238)</f>
        <v>0</v>
      </c>
      <c r="N238" s="124" t="n">
        <f aca="false">SUM(J$6:J238)</f>
        <v>-37239</v>
      </c>
      <c r="P238" s="124" t="n">
        <f aca="false">D238/P$3</f>
        <v>0</v>
      </c>
      <c r="Q238" s="124" t="n">
        <f aca="false">E238/P$3</f>
        <v>0</v>
      </c>
      <c r="R238" s="124" t="n">
        <f aca="false">F238/R$3</f>
        <v>0</v>
      </c>
      <c r="S238" s="126" t="n">
        <f aca="false">J238/$R$3</f>
        <v>0</v>
      </c>
      <c r="T238" s="126" t="n">
        <f aca="false">L238/$R$3</f>
        <v>0</v>
      </c>
      <c r="U238" s="126" t="n">
        <f aca="false">I238/$R$3</f>
        <v>0</v>
      </c>
      <c r="V238" s="126" t="n">
        <f aca="false">M238/$R$3</f>
        <v>0</v>
      </c>
      <c r="W238" s="126" t="n">
        <f aca="false">N238/$R$3</f>
        <v>-37.239</v>
      </c>
    </row>
    <row r="239" customFormat="false" ht="12.75" hidden="false" customHeight="false" outlineLevel="0" collapsed="false">
      <c r="A239" s="120" t="n">
        <f aca="false">A238+1</f>
        <v>37125</v>
      </c>
      <c r="B239" s="131" t="str">
        <f aca="false">INDEX('[4]Master Data'!$A$2:$B$8,MATCH(WEEKDAY('GNS Bolv Gas MTM'!A239,3),'[4]Master Data'!$A$2:$A$8,0),2)</f>
        <v>W</v>
      </c>
      <c r="D239" s="124" t="n">
        <v>0</v>
      </c>
      <c r="E239" s="124" t="n">
        <v>0</v>
      </c>
      <c r="F239" s="124" t="n">
        <v>0</v>
      </c>
      <c r="G239" s="124" t="n">
        <v>0</v>
      </c>
      <c r="I239" s="124" t="n">
        <f aca="false">IF(MONTH($A239)=MONTH($A238),IF(G239=0,I238,G239),G239)</f>
        <v>0</v>
      </c>
      <c r="J239" s="124" t="n">
        <f aca="false">IF(MONTH($A239)=MONTH($A238),SUM(I239-I238),I239)</f>
        <v>0</v>
      </c>
      <c r="K239" s="124" t="n">
        <f aca="false">IF(WEEKDAY(A239,3)&gt;4,0,(IF(A239&lt;K$2,0,IF(A239&lt;=K$3,1,0))))</f>
        <v>0</v>
      </c>
      <c r="L239" s="124" t="n">
        <f aca="false">J239*K239</f>
        <v>0</v>
      </c>
      <c r="M239" s="124" t="n">
        <f aca="false">SUM(J$188:J239)</f>
        <v>0</v>
      </c>
      <c r="N239" s="124" t="n">
        <f aca="false">SUM(J$6:J239)</f>
        <v>-37239</v>
      </c>
      <c r="P239" s="124" t="n">
        <f aca="false">D239/P$3</f>
        <v>0</v>
      </c>
      <c r="Q239" s="124" t="n">
        <f aca="false">E239/P$3</f>
        <v>0</v>
      </c>
      <c r="R239" s="124" t="n">
        <f aca="false">F239/R$3</f>
        <v>0</v>
      </c>
      <c r="S239" s="126" t="n">
        <f aca="false">J239/$R$3</f>
        <v>0</v>
      </c>
      <c r="T239" s="126" t="n">
        <f aca="false">L239/$R$3</f>
        <v>0</v>
      </c>
      <c r="U239" s="126" t="n">
        <f aca="false">I239/$R$3</f>
        <v>0</v>
      </c>
      <c r="V239" s="126" t="n">
        <f aca="false">M239/$R$3</f>
        <v>0</v>
      </c>
      <c r="W239" s="126" t="n">
        <f aca="false">N239/$R$3</f>
        <v>-37.239</v>
      </c>
    </row>
    <row r="240" customFormat="false" ht="12.75" hidden="false" customHeight="false" outlineLevel="0" collapsed="false">
      <c r="A240" s="120" t="n">
        <f aca="false">A239+1</f>
        <v>37126</v>
      </c>
      <c r="B240" s="131" t="str">
        <f aca="false">INDEX('[4]Master Data'!$A$2:$B$8,MATCH(WEEKDAY('GNS Bolv Gas MTM'!A240,3),'[4]Master Data'!$A$2:$A$8,0),2)</f>
        <v>Th</v>
      </c>
      <c r="D240" s="124" t="n">
        <v>0</v>
      </c>
      <c r="E240" s="124" t="n">
        <v>0</v>
      </c>
      <c r="F240" s="124" t="n">
        <v>0</v>
      </c>
      <c r="G240" s="124" t="n">
        <v>0</v>
      </c>
      <c r="I240" s="124" t="n">
        <f aca="false">IF(MONTH($A240)=MONTH($A239),IF(G240=0,I239,G240),G240)</f>
        <v>0</v>
      </c>
      <c r="J240" s="124" t="n">
        <f aca="false">IF(MONTH($A240)=MONTH($A239),SUM(I240-I239),I240)</f>
        <v>0</v>
      </c>
      <c r="K240" s="124" t="n">
        <f aca="false">IF(WEEKDAY(A240,3)&gt;4,0,(IF(A240&lt;K$2,0,IF(A240&lt;=K$3,1,0))))</f>
        <v>0</v>
      </c>
      <c r="L240" s="124" t="n">
        <f aca="false">J240*K240</f>
        <v>0</v>
      </c>
      <c r="M240" s="124" t="n">
        <f aca="false">SUM(J$188:J240)</f>
        <v>0</v>
      </c>
      <c r="N240" s="124" t="n">
        <f aca="false">SUM(J$6:J240)</f>
        <v>-37239</v>
      </c>
      <c r="P240" s="124" t="n">
        <f aca="false">D240/P$3</f>
        <v>0</v>
      </c>
      <c r="Q240" s="124" t="n">
        <f aca="false">E240/P$3</f>
        <v>0</v>
      </c>
      <c r="R240" s="124" t="n">
        <f aca="false">F240/R$3</f>
        <v>0</v>
      </c>
      <c r="S240" s="126" t="n">
        <f aca="false">J240/$R$3</f>
        <v>0</v>
      </c>
      <c r="T240" s="126" t="n">
        <f aca="false">L240/$R$3</f>
        <v>0</v>
      </c>
      <c r="U240" s="126" t="n">
        <f aca="false">I240/$R$3</f>
        <v>0</v>
      </c>
      <c r="V240" s="126" t="n">
        <f aca="false">M240/$R$3</f>
        <v>0</v>
      </c>
      <c r="W240" s="126" t="n">
        <f aca="false">N240/$R$3</f>
        <v>-37.239</v>
      </c>
    </row>
    <row r="241" customFormat="false" ht="12.75" hidden="false" customHeight="false" outlineLevel="0" collapsed="false">
      <c r="A241" s="120" t="n">
        <f aca="false">A240+1</f>
        <v>37127</v>
      </c>
      <c r="B241" s="131" t="str">
        <f aca="false">INDEX('[4]Master Data'!$A$2:$B$8,MATCH(WEEKDAY('GNS Bolv Gas MTM'!A241,3),'[4]Master Data'!$A$2:$A$8,0),2)</f>
        <v>F</v>
      </c>
      <c r="D241" s="124" t="n">
        <v>0</v>
      </c>
      <c r="E241" s="124" t="n">
        <v>0</v>
      </c>
      <c r="F241" s="124" t="n">
        <v>0</v>
      </c>
      <c r="G241" s="124" t="n">
        <v>0</v>
      </c>
      <c r="I241" s="124" t="n">
        <f aca="false">IF(MONTH($A241)=MONTH($A240),IF(G241=0,I240,G241),G241)</f>
        <v>0</v>
      </c>
      <c r="J241" s="124" t="n">
        <f aca="false">IF(MONTH($A241)=MONTH($A240),SUM(I241-I240),I241)</f>
        <v>0</v>
      </c>
      <c r="K241" s="124" t="n">
        <f aca="false">IF(WEEKDAY(A241,3)&gt;4,0,(IF(A241&lt;K$2,0,IF(A241&lt;=K$3,1,0))))</f>
        <v>0</v>
      </c>
      <c r="L241" s="124" t="n">
        <f aca="false">J241*K241</f>
        <v>0</v>
      </c>
      <c r="M241" s="124" t="n">
        <f aca="false">SUM(J$188:J241)</f>
        <v>0</v>
      </c>
      <c r="N241" s="124" t="n">
        <f aca="false">SUM(J$6:J241)</f>
        <v>-37239</v>
      </c>
      <c r="P241" s="124" t="n">
        <f aca="false">D241/P$3</f>
        <v>0</v>
      </c>
      <c r="Q241" s="124" t="n">
        <f aca="false">E241/P$3</f>
        <v>0</v>
      </c>
      <c r="R241" s="124" t="n">
        <f aca="false">F241/R$3</f>
        <v>0</v>
      </c>
      <c r="S241" s="126" t="n">
        <f aca="false">J241/$R$3</f>
        <v>0</v>
      </c>
      <c r="T241" s="126" t="n">
        <f aca="false">L241/$R$3</f>
        <v>0</v>
      </c>
      <c r="U241" s="126" t="n">
        <f aca="false">I241/$R$3</f>
        <v>0</v>
      </c>
      <c r="V241" s="126" t="n">
        <f aca="false">M241/$R$3</f>
        <v>0</v>
      </c>
      <c r="W241" s="126" t="n">
        <f aca="false">N241/$R$3</f>
        <v>-37.239</v>
      </c>
    </row>
    <row r="242" customFormat="false" ht="12.75" hidden="false" customHeight="false" outlineLevel="0" collapsed="false">
      <c r="A242" s="120" t="n">
        <f aca="false">A241+1</f>
        <v>37128</v>
      </c>
      <c r="B242" s="131" t="str">
        <f aca="false">INDEX('[4]Master Data'!$A$2:$B$8,MATCH(WEEKDAY('GNS Bolv Gas MTM'!A242,3),'[4]Master Data'!$A$2:$A$8,0),2)</f>
        <v>Sa</v>
      </c>
      <c r="D242" s="124" t="n">
        <v>0</v>
      </c>
      <c r="E242" s="124" t="n">
        <v>0</v>
      </c>
      <c r="F242" s="124" t="n">
        <v>0</v>
      </c>
      <c r="G242" s="124" t="n">
        <v>0</v>
      </c>
      <c r="I242" s="124" t="n">
        <f aca="false">IF(MONTH($A242)=MONTH($A241),IF(G242=0,I241,G242),G242)</f>
        <v>0</v>
      </c>
      <c r="J242" s="124" t="n">
        <f aca="false">IF(MONTH($A242)=MONTH($A241),SUM(I242-I241),I242)</f>
        <v>0</v>
      </c>
      <c r="K242" s="124" t="n">
        <f aca="false">IF(WEEKDAY(A242,3)&gt;4,0,(IF(A242&lt;K$2,0,IF(A242&lt;=K$3,1,0))))</f>
        <v>0</v>
      </c>
      <c r="L242" s="124" t="n">
        <f aca="false">J242*K242</f>
        <v>0</v>
      </c>
      <c r="M242" s="124" t="n">
        <f aca="false">SUM(J$188:J242)</f>
        <v>0</v>
      </c>
      <c r="N242" s="124" t="n">
        <f aca="false">SUM(J$6:J242)</f>
        <v>-37239</v>
      </c>
      <c r="P242" s="124" t="n">
        <f aca="false">D242/P$3</f>
        <v>0</v>
      </c>
      <c r="Q242" s="124" t="n">
        <f aca="false">E242/P$3</f>
        <v>0</v>
      </c>
      <c r="R242" s="124" t="n">
        <f aca="false">F242/R$3</f>
        <v>0</v>
      </c>
      <c r="S242" s="126" t="n">
        <f aca="false">J242/$R$3</f>
        <v>0</v>
      </c>
      <c r="T242" s="126" t="n">
        <f aca="false">L242/$R$3</f>
        <v>0</v>
      </c>
      <c r="U242" s="126" t="n">
        <f aca="false">I242/$R$3</f>
        <v>0</v>
      </c>
      <c r="V242" s="126" t="n">
        <f aca="false">M242/$R$3</f>
        <v>0</v>
      </c>
      <c r="W242" s="126" t="n">
        <f aca="false">N242/$R$3</f>
        <v>-37.239</v>
      </c>
    </row>
    <row r="243" customFormat="false" ht="12.75" hidden="false" customHeight="false" outlineLevel="0" collapsed="false">
      <c r="A243" s="120" t="n">
        <f aca="false">A242+1</f>
        <v>37129</v>
      </c>
      <c r="B243" s="131" t="str">
        <f aca="false">INDEX('[4]Master Data'!$A$2:$B$8,MATCH(WEEKDAY('GNS Bolv Gas MTM'!A243,3),'[4]Master Data'!$A$2:$A$8,0),2)</f>
        <v>Su</v>
      </c>
      <c r="D243" s="124" t="n">
        <v>0</v>
      </c>
      <c r="E243" s="124" t="n">
        <v>0</v>
      </c>
      <c r="F243" s="124" t="n">
        <v>0</v>
      </c>
      <c r="G243" s="124" t="n">
        <v>0</v>
      </c>
      <c r="I243" s="124" t="n">
        <f aca="false">IF(MONTH($A243)=MONTH($A242),IF(G243=0,I242,G243),G243)</f>
        <v>0</v>
      </c>
      <c r="J243" s="124" t="n">
        <f aca="false">IF(MONTH($A243)=MONTH($A242),SUM(I243-I242),I243)</f>
        <v>0</v>
      </c>
      <c r="K243" s="124" t="n">
        <f aca="false">IF(WEEKDAY(A243,3)&gt;4,0,(IF(A243&lt;K$2,0,IF(A243&lt;=K$3,1,0))))</f>
        <v>0</v>
      </c>
      <c r="L243" s="124" t="n">
        <f aca="false">J243*K243</f>
        <v>0</v>
      </c>
      <c r="M243" s="124" t="n">
        <f aca="false">SUM(J$188:J243)</f>
        <v>0</v>
      </c>
      <c r="N243" s="124" t="n">
        <f aca="false">SUM(J$6:J243)</f>
        <v>-37239</v>
      </c>
      <c r="P243" s="124" t="n">
        <f aca="false">D243/P$3</f>
        <v>0</v>
      </c>
      <c r="Q243" s="124" t="n">
        <f aca="false">E243/P$3</f>
        <v>0</v>
      </c>
      <c r="R243" s="124" t="n">
        <f aca="false">F243/R$3</f>
        <v>0</v>
      </c>
      <c r="S243" s="126" t="n">
        <f aca="false">J243/$R$3</f>
        <v>0</v>
      </c>
      <c r="T243" s="126" t="n">
        <f aca="false">L243/$R$3</f>
        <v>0</v>
      </c>
      <c r="U243" s="126" t="n">
        <f aca="false">I243/$R$3</f>
        <v>0</v>
      </c>
      <c r="V243" s="126" t="n">
        <f aca="false">M243/$R$3</f>
        <v>0</v>
      </c>
      <c r="W243" s="126" t="n">
        <f aca="false">N243/$R$3</f>
        <v>-37.239</v>
      </c>
    </row>
    <row r="244" customFormat="false" ht="12.75" hidden="false" customHeight="false" outlineLevel="0" collapsed="false">
      <c r="A244" s="120" t="n">
        <f aca="false">A243+1</f>
        <v>37130</v>
      </c>
      <c r="B244" s="131" t="str">
        <f aca="false">INDEX('[4]Master Data'!$A$2:$B$8,MATCH(WEEKDAY('GNS Bolv Gas MTM'!A244,3),'[4]Master Data'!$A$2:$A$8,0),2)</f>
        <v>M</v>
      </c>
      <c r="D244" s="124" t="n">
        <v>0</v>
      </c>
      <c r="E244" s="124" t="n">
        <v>0</v>
      </c>
      <c r="F244" s="124" t="n">
        <v>0</v>
      </c>
      <c r="G244" s="124" t="n">
        <v>0</v>
      </c>
      <c r="I244" s="124" t="n">
        <f aca="false">IF(MONTH($A244)=MONTH($A243),IF(G244=0,I243,G244),G244)</f>
        <v>0</v>
      </c>
      <c r="J244" s="124" t="n">
        <f aca="false">IF(MONTH($A244)=MONTH($A243),SUM(I244-I243),I244)</f>
        <v>0</v>
      </c>
      <c r="K244" s="124" t="n">
        <f aca="false">IF(WEEKDAY(A244,3)&gt;4,0,(IF(A244&lt;K$2,0,IF(A244&lt;=K$3,1,0))))</f>
        <v>0</v>
      </c>
      <c r="L244" s="124" t="n">
        <f aca="false">J244*K244</f>
        <v>0</v>
      </c>
      <c r="M244" s="124" t="n">
        <f aca="false">SUM(J$188:J244)</f>
        <v>0</v>
      </c>
      <c r="N244" s="124" t="n">
        <f aca="false">SUM(J$6:J244)</f>
        <v>-37239</v>
      </c>
      <c r="P244" s="124" t="n">
        <f aca="false">D244/P$3</f>
        <v>0</v>
      </c>
      <c r="Q244" s="124" t="n">
        <f aca="false">E244/P$3</f>
        <v>0</v>
      </c>
      <c r="R244" s="124" t="n">
        <f aca="false">F244/R$3</f>
        <v>0</v>
      </c>
      <c r="S244" s="126" t="n">
        <f aca="false">J244/$R$3</f>
        <v>0</v>
      </c>
      <c r="T244" s="126" t="n">
        <f aca="false">L244/$R$3</f>
        <v>0</v>
      </c>
      <c r="U244" s="126" t="n">
        <f aca="false">I244/$R$3</f>
        <v>0</v>
      </c>
      <c r="V244" s="126" t="n">
        <f aca="false">M244/$R$3</f>
        <v>0</v>
      </c>
      <c r="W244" s="126" t="n">
        <f aca="false">N244/$R$3</f>
        <v>-37.239</v>
      </c>
    </row>
    <row r="245" customFormat="false" ht="12.75" hidden="false" customHeight="false" outlineLevel="0" collapsed="false">
      <c r="A245" s="120" t="n">
        <f aca="false">A244+1</f>
        <v>37131</v>
      </c>
      <c r="B245" s="131" t="str">
        <f aca="false">INDEX('[4]Master Data'!$A$2:$B$8,MATCH(WEEKDAY('GNS Bolv Gas MTM'!A245,3),'[4]Master Data'!$A$2:$A$8,0),2)</f>
        <v>T</v>
      </c>
      <c r="D245" s="124" t="n">
        <v>0</v>
      </c>
      <c r="E245" s="124" t="n">
        <v>0</v>
      </c>
      <c r="F245" s="124" t="n">
        <v>0</v>
      </c>
      <c r="G245" s="124" t="n">
        <v>0</v>
      </c>
      <c r="I245" s="124" t="n">
        <f aca="false">IF(MONTH($A245)=MONTH($A244),IF(G245=0,I244,G245),G245)</f>
        <v>0</v>
      </c>
      <c r="J245" s="124" t="n">
        <f aca="false">IF(MONTH($A245)=MONTH($A244),SUM(I245-I244),I245)</f>
        <v>0</v>
      </c>
      <c r="K245" s="124" t="n">
        <f aca="false">IF(WEEKDAY(A245,3)&gt;4,0,(IF(A245&lt;K$2,0,IF(A245&lt;=K$3,1,0))))</f>
        <v>0</v>
      </c>
      <c r="L245" s="124" t="n">
        <f aca="false">J245*K245</f>
        <v>0</v>
      </c>
      <c r="M245" s="124" t="n">
        <f aca="false">SUM(J$188:J245)</f>
        <v>0</v>
      </c>
      <c r="N245" s="124" t="n">
        <f aca="false">SUM(J$6:J245)</f>
        <v>-37239</v>
      </c>
      <c r="P245" s="124" t="n">
        <f aca="false">D245/P$3</f>
        <v>0</v>
      </c>
      <c r="Q245" s="124" t="n">
        <f aca="false">E245/P$3</f>
        <v>0</v>
      </c>
      <c r="R245" s="124" t="n">
        <f aca="false">F245/R$3</f>
        <v>0</v>
      </c>
      <c r="S245" s="126" t="n">
        <f aca="false">J245/$R$3</f>
        <v>0</v>
      </c>
      <c r="T245" s="126" t="n">
        <f aca="false">L245/$R$3</f>
        <v>0</v>
      </c>
      <c r="U245" s="126" t="n">
        <f aca="false">I245/$R$3</f>
        <v>0</v>
      </c>
      <c r="V245" s="126" t="n">
        <f aca="false">M245/$R$3</f>
        <v>0</v>
      </c>
      <c r="W245" s="126" t="n">
        <f aca="false">N245/$R$3</f>
        <v>-37.239</v>
      </c>
    </row>
    <row r="246" customFormat="false" ht="12.75" hidden="false" customHeight="false" outlineLevel="0" collapsed="false">
      <c r="A246" s="120" t="n">
        <f aca="false">A245+1</f>
        <v>37132</v>
      </c>
      <c r="B246" s="131" t="str">
        <f aca="false">INDEX('[4]Master Data'!$A$2:$B$8,MATCH(WEEKDAY('GNS Bolv Gas MTM'!A246,3),'[4]Master Data'!$A$2:$A$8,0),2)</f>
        <v>W</v>
      </c>
      <c r="D246" s="124" t="n">
        <v>0</v>
      </c>
      <c r="E246" s="124" t="n">
        <v>0</v>
      </c>
      <c r="F246" s="124" t="n">
        <v>0</v>
      </c>
      <c r="G246" s="124" t="n">
        <v>0</v>
      </c>
      <c r="I246" s="124" t="n">
        <f aca="false">IF(MONTH($A246)=MONTH($A245),IF(G246=0,I245,G246),G246)</f>
        <v>0</v>
      </c>
      <c r="J246" s="124" t="n">
        <f aca="false">IF(MONTH($A246)=MONTH($A245),SUM(I246-I245),I246)</f>
        <v>0</v>
      </c>
      <c r="K246" s="124" t="n">
        <f aca="false">IF(WEEKDAY(A246,3)&gt;4,0,(IF(A246&lt;K$2,0,IF(A246&lt;=K$3,1,0))))</f>
        <v>0</v>
      </c>
      <c r="L246" s="124" t="n">
        <f aca="false">J246*K246</f>
        <v>0</v>
      </c>
      <c r="M246" s="124" t="n">
        <f aca="false">SUM(J$188:J246)</f>
        <v>0</v>
      </c>
      <c r="N246" s="124" t="n">
        <f aca="false">SUM(J$6:J246)</f>
        <v>-37239</v>
      </c>
      <c r="P246" s="124" t="n">
        <f aca="false">D246/P$3</f>
        <v>0</v>
      </c>
      <c r="Q246" s="124" t="n">
        <f aca="false">E246/P$3</f>
        <v>0</v>
      </c>
      <c r="R246" s="124" t="n">
        <f aca="false">F246/R$3</f>
        <v>0</v>
      </c>
      <c r="S246" s="126" t="n">
        <f aca="false">J246/$R$3</f>
        <v>0</v>
      </c>
      <c r="T246" s="126" t="n">
        <f aca="false">L246/$R$3</f>
        <v>0</v>
      </c>
      <c r="U246" s="126" t="n">
        <f aca="false">I246/$R$3</f>
        <v>0</v>
      </c>
      <c r="V246" s="126" t="n">
        <f aca="false">M246/$R$3</f>
        <v>0</v>
      </c>
      <c r="W246" s="126" t="n">
        <f aca="false">N246/$R$3</f>
        <v>-37.239</v>
      </c>
    </row>
    <row r="247" customFormat="false" ht="12.75" hidden="false" customHeight="false" outlineLevel="0" collapsed="false">
      <c r="A247" s="120" t="n">
        <f aca="false">A246+1</f>
        <v>37133</v>
      </c>
      <c r="B247" s="131" t="str">
        <f aca="false">INDEX('[4]Master Data'!$A$2:$B$8,MATCH(WEEKDAY('GNS Bolv Gas MTM'!A247,3),'[4]Master Data'!$A$2:$A$8,0),2)</f>
        <v>Th</v>
      </c>
      <c r="D247" s="124" t="n">
        <v>0</v>
      </c>
      <c r="E247" s="124" t="n">
        <v>0</v>
      </c>
      <c r="F247" s="124" t="n">
        <v>0</v>
      </c>
      <c r="G247" s="124" t="n">
        <v>0</v>
      </c>
      <c r="I247" s="124" t="n">
        <f aca="false">IF(MONTH($A247)=MONTH($A246),IF(G247=0,I246,G247),G247)</f>
        <v>0</v>
      </c>
      <c r="J247" s="124" t="n">
        <f aca="false">IF(MONTH($A247)=MONTH($A246),SUM(I247-I246),I247)</f>
        <v>0</v>
      </c>
      <c r="K247" s="124" t="n">
        <f aca="false">IF(WEEKDAY(A247,3)&gt;4,0,(IF(A247&lt;K$2,0,IF(A247&lt;=K$3,1,0))))</f>
        <v>0</v>
      </c>
      <c r="L247" s="124" t="n">
        <f aca="false">J247*K247</f>
        <v>0</v>
      </c>
      <c r="M247" s="124" t="n">
        <f aca="false">SUM(J$188:J247)</f>
        <v>0</v>
      </c>
      <c r="N247" s="124" t="n">
        <f aca="false">SUM(J$6:J247)</f>
        <v>-37239</v>
      </c>
      <c r="P247" s="124" t="n">
        <f aca="false">D247/P$3</f>
        <v>0</v>
      </c>
      <c r="Q247" s="124" t="n">
        <f aca="false">E247/P$3</f>
        <v>0</v>
      </c>
      <c r="R247" s="124" t="n">
        <f aca="false">F247/R$3</f>
        <v>0</v>
      </c>
      <c r="S247" s="126" t="n">
        <f aca="false">J247/$R$3</f>
        <v>0</v>
      </c>
      <c r="T247" s="126" t="n">
        <f aca="false">L247/$R$3</f>
        <v>0</v>
      </c>
      <c r="U247" s="126" t="n">
        <f aca="false">I247/$R$3</f>
        <v>0</v>
      </c>
      <c r="V247" s="126" t="n">
        <f aca="false">M247/$R$3</f>
        <v>0</v>
      </c>
      <c r="W247" s="126" t="n">
        <f aca="false">N247/$R$3</f>
        <v>-37.239</v>
      </c>
    </row>
    <row r="248" customFormat="false" ht="12.75" hidden="false" customHeight="false" outlineLevel="0" collapsed="false">
      <c r="A248" s="120" t="n">
        <f aca="false">A247+1</f>
        <v>37134</v>
      </c>
      <c r="B248" s="131" t="str">
        <f aca="false">INDEX('[4]Master Data'!$A$2:$B$8,MATCH(WEEKDAY('GNS Bolv Gas MTM'!A248,3),'[4]Master Data'!$A$2:$A$8,0),2)</f>
        <v>F</v>
      </c>
      <c r="D248" s="124" t="n">
        <v>0</v>
      </c>
      <c r="E248" s="124" t="n">
        <v>0</v>
      </c>
      <c r="F248" s="124" t="n">
        <v>0</v>
      </c>
      <c r="G248" s="124" t="n">
        <v>0</v>
      </c>
      <c r="I248" s="124" t="n">
        <f aca="false">IF(MONTH($A248)=MONTH($A247),IF(G248=0,I247,G248),G248)</f>
        <v>0</v>
      </c>
      <c r="J248" s="124" t="n">
        <f aca="false">IF(MONTH($A248)=MONTH($A247),SUM(I248-I247),I248)</f>
        <v>0</v>
      </c>
      <c r="K248" s="124" t="n">
        <f aca="false">IF(WEEKDAY(A248,3)&gt;4,0,(IF(A248&lt;K$2,0,IF(A248&lt;=K$3,1,0))))</f>
        <v>0</v>
      </c>
      <c r="L248" s="124" t="n">
        <f aca="false">J248*K248</f>
        <v>0</v>
      </c>
      <c r="M248" s="124" t="n">
        <f aca="false">SUM(J$188:J248)</f>
        <v>0</v>
      </c>
      <c r="N248" s="124" t="n">
        <f aca="false">SUM(J$6:J248)</f>
        <v>-37239</v>
      </c>
      <c r="P248" s="124" t="n">
        <f aca="false">D248/P$3</f>
        <v>0</v>
      </c>
      <c r="Q248" s="124" t="n">
        <f aca="false">E248/P$3</f>
        <v>0</v>
      </c>
      <c r="R248" s="124" t="n">
        <f aca="false">F248/R$3</f>
        <v>0</v>
      </c>
      <c r="S248" s="126" t="n">
        <f aca="false">J248/$R$3</f>
        <v>0</v>
      </c>
      <c r="T248" s="126" t="n">
        <f aca="false">L248/$R$3</f>
        <v>0</v>
      </c>
      <c r="U248" s="126" t="n">
        <f aca="false">I248/$R$3</f>
        <v>0</v>
      </c>
      <c r="V248" s="126" t="n">
        <f aca="false">M248/$R$3</f>
        <v>0</v>
      </c>
      <c r="W248" s="126" t="n">
        <f aca="false">N248/$R$3</f>
        <v>-37.239</v>
      </c>
    </row>
    <row r="249" customFormat="false" ht="12.75" hidden="false" customHeight="false" outlineLevel="0" collapsed="false">
      <c r="A249" s="120" t="n">
        <f aca="false">A248+1</f>
        <v>37135</v>
      </c>
      <c r="B249" s="131" t="str">
        <f aca="false">INDEX('[4]Master Data'!$A$2:$B$8,MATCH(WEEKDAY('GNS Bolv Gas MTM'!A249,3),'[4]Master Data'!$A$2:$A$8,0),2)</f>
        <v>Sa</v>
      </c>
      <c r="D249" s="124" t="n">
        <v>0</v>
      </c>
      <c r="E249" s="124" t="n">
        <v>0</v>
      </c>
      <c r="F249" s="124" t="n">
        <v>0</v>
      </c>
      <c r="G249" s="124" t="n">
        <v>0</v>
      </c>
      <c r="I249" s="124" t="n">
        <f aca="false">IF(MONTH($A249)=MONTH($A248),IF(G249=0,I248,G249),G249)</f>
        <v>0</v>
      </c>
      <c r="J249" s="124" t="n">
        <f aca="false">IF(MONTH($A249)=MONTH($A248),SUM(I249-I248),I249)</f>
        <v>0</v>
      </c>
      <c r="K249" s="124" t="n">
        <f aca="false">IF(WEEKDAY(A249,3)&gt;4,0,(IF(A249&lt;K$2,0,IF(A249&lt;=K$3,1,0))))</f>
        <v>0</v>
      </c>
      <c r="L249" s="124" t="n">
        <f aca="false">J249*K249</f>
        <v>0</v>
      </c>
      <c r="M249" s="124" t="n">
        <f aca="false">SUM(J$188:J249)</f>
        <v>0</v>
      </c>
      <c r="N249" s="124" t="n">
        <f aca="false">SUM(J$6:J249)</f>
        <v>-37239</v>
      </c>
      <c r="P249" s="124" t="n">
        <f aca="false">D249/P$3</f>
        <v>0</v>
      </c>
      <c r="Q249" s="124" t="n">
        <f aca="false">E249/P$3</f>
        <v>0</v>
      </c>
      <c r="R249" s="124" t="n">
        <f aca="false">F249/R$3</f>
        <v>0</v>
      </c>
      <c r="S249" s="126" t="n">
        <f aca="false">J249/$R$3</f>
        <v>0</v>
      </c>
      <c r="T249" s="126" t="n">
        <f aca="false">L249/$R$3</f>
        <v>0</v>
      </c>
      <c r="U249" s="126" t="n">
        <f aca="false">I249/$R$3</f>
        <v>0</v>
      </c>
      <c r="V249" s="126" t="n">
        <f aca="false">M249/$R$3</f>
        <v>0</v>
      </c>
      <c r="W249" s="126" t="n">
        <f aca="false">N249/$R$3</f>
        <v>-37.239</v>
      </c>
    </row>
    <row r="250" customFormat="false" ht="12.75" hidden="false" customHeight="false" outlineLevel="0" collapsed="false">
      <c r="A250" s="120" t="n">
        <f aca="false">A249+1</f>
        <v>37136</v>
      </c>
      <c r="B250" s="131" t="str">
        <f aca="false">INDEX('[4]Master Data'!$A$2:$B$8,MATCH(WEEKDAY('GNS Bolv Gas MTM'!A250,3),'[4]Master Data'!$A$2:$A$8,0),2)</f>
        <v>Su</v>
      </c>
      <c r="D250" s="124" t="n">
        <v>0</v>
      </c>
      <c r="E250" s="124" t="n">
        <v>0</v>
      </c>
      <c r="F250" s="124" t="n">
        <v>0</v>
      </c>
      <c r="G250" s="124" t="n">
        <v>0</v>
      </c>
      <c r="I250" s="124" t="n">
        <f aca="false">IF(MONTH($A250)=MONTH($A249),IF(G250=0,I249,G250),G250)</f>
        <v>0</v>
      </c>
      <c r="J250" s="124" t="n">
        <f aca="false">IF(MONTH($A250)=MONTH($A249),SUM(I250-I249),I250)</f>
        <v>0</v>
      </c>
      <c r="K250" s="124" t="n">
        <f aca="false">IF(WEEKDAY(A250,3)&gt;4,0,(IF(A250&lt;K$2,0,IF(A250&lt;=K$3,1,0))))</f>
        <v>0</v>
      </c>
      <c r="L250" s="124" t="n">
        <f aca="false">J250*K250</f>
        <v>0</v>
      </c>
      <c r="M250" s="124" t="n">
        <f aca="false">SUM(J$188:J250)</f>
        <v>0</v>
      </c>
      <c r="N250" s="124" t="n">
        <f aca="false">SUM(J$6:J250)</f>
        <v>-37239</v>
      </c>
      <c r="P250" s="124" t="n">
        <f aca="false">D250/P$3</f>
        <v>0</v>
      </c>
      <c r="Q250" s="124" t="n">
        <f aca="false">E250/P$3</f>
        <v>0</v>
      </c>
      <c r="R250" s="124" t="n">
        <f aca="false">F250/R$3</f>
        <v>0</v>
      </c>
      <c r="S250" s="126" t="n">
        <f aca="false">J250/$R$3</f>
        <v>0</v>
      </c>
      <c r="T250" s="126" t="n">
        <f aca="false">L250/$R$3</f>
        <v>0</v>
      </c>
      <c r="U250" s="126" t="n">
        <f aca="false">I250/$R$3</f>
        <v>0</v>
      </c>
      <c r="V250" s="126" t="n">
        <f aca="false">M250/$R$3</f>
        <v>0</v>
      </c>
      <c r="W250" s="126" t="n">
        <f aca="false">N250/$R$3</f>
        <v>-37.239</v>
      </c>
    </row>
    <row r="251" customFormat="false" ht="12.75" hidden="false" customHeight="false" outlineLevel="0" collapsed="false">
      <c r="A251" s="120" t="n">
        <f aca="false">A250+1</f>
        <v>37137</v>
      </c>
      <c r="B251" s="131" t="str">
        <f aca="false">INDEX('[4]Master Data'!$A$2:$B$8,MATCH(WEEKDAY('GNS Bolv Gas MTM'!A251,3),'[4]Master Data'!$A$2:$A$8,0),2)</f>
        <v>M</v>
      </c>
      <c r="D251" s="124" t="n">
        <v>0</v>
      </c>
      <c r="E251" s="124" t="n">
        <v>0</v>
      </c>
      <c r="F251" s="124" t="n">
        <v>0</v>
      </c>
      <c r="G251" s="124" t="n">
        <v>0</v>
      </c>
      <c r="I251" s="124" t="n">
        <f aca="false">IF(MONTH($A251)=MONTH($A250),IF(G251=0,I250,G251),G251)</f>
        <v>0</v>
      </c>
      <c r="J251" s="124" t="n">
        <f aca="false">IF(MONTH($A251)=MONTH($A250),SUM(I251-I250),I251)</f>
        <v>0</v>
      </c>
      <c r="K251" s="124" t="n">
        <f aca="false">IF(WEEKDAY(A251,3)&gt;4,0,(IF(A251&lt;K$2,0,IF(A251&lt;=K$3,1,0))))</f>
        <v>0</v>
      </c>
      <c r="L251" s="124" t="n">
        <f aca="false">J251*K251</f>
        <v>0</v>
      </c>
      <c r="M251" s="124" t="n">
        <f aca="false">SUM(J$188:J251)</f>
        <v>0</v>
      </c>
      <c r="N251" s="124" t="n">
        <f aca="false">SUM(J$6:J251)</f>
        <v>-37239</v>
      </c>
      <c r="P251" s="124" t="n">
        <f aca="false">D251/P$3</f>
        <v>0</v>
      </c>
      <c r="Q251" s="124" t="n">
        <f aca="false">E251/P$3</f>
        <v>0</v>
      </c>
      <c r="R251" s="124" t="n">
        <f aca="false">F251/R$3</f>
        <v>0</v>
      </c>
      <c r="S251" s="126" t="n">
        <f aca="false">J251/$R$3</f>
        <v>0</v>
      </c>
      <c r="T251" s="126" t="n">
        <f aca="false">L251/$R$3</f>
        <v>0</v>
      </c>
      <c r="U251" s="126" t="n">
        <f aca="false">I251/$R$3</f>
        <v>0</v>
      </c>
      <c r="V251" s="126" t="n">
        <f aca="false">M251/$R$3</f>
        <v>0</v>
      </c>
      <c r="W251" s="126" t="n">
        <f aca="false">N251/$R$3</f>
        <v>-37.239</v>
      </c>
    </row>
    <row r="252" customFormat="false" ht="12.75" hidden="false" customHeight="false" outlineLevel="0" collapsed="false">
      <c r="A252" s="120" t="n">
        <f aca="false">A251+1</f>
        <v>37138</v>
      </c>
      <c r="B252" s="131" t="str">
        <f aca="false">INDEX('[4]Master Data'!$A$2:$B$8,MATCH(WEEKDAY('GNS Bolv Gas MTM'!A252,3),'[4]Master Data'!$A$2:$A$8,0),2)</f>
        <v>T</v>
      </c>
      <c r="D252" s="124" t="n">
        <v>0</v>
      </c>
      <c r="E252" s="124" t="n">
        <v>0</v>
      </c>
      <c r="F252" s="124" t="n">
        <v>0</v>
      </c>
      <c r="G252" s="124" t="n">
        <v>0</v>
      </c>
      <c r="I252" s="124" t="n">
        <f aca="false">IF(MONTH($A252)=MONTH($A251),IF(G252=0,I251,G252),G252)</f>
        <v>0</v>
      </c>
      <c r="J252" s="124" t="n">
        <f aca="false">IF(MONTH($A252)=MONTH($A251),SUM(I252-I251),I252)</f>
        <v>0</v>
      </c>
      <c r="K252" s="124" t="n">
        <f aca="false">IF(WEEKDAY(A252,3)&gt;4,0,(IF(A252&lt;K$2,0,IF(A252&lt;=K$3,1,0))))</f>
        <v>0</v>
      </c>
      <c r="L252" s="124" t="n">
        <f aca="false">J252*K252</f>
        <v>0</v>
      </c>
      <c r="M252" s="124" t="n">
        <f aca="false">SUM(J$188:J252)</f>
        <v>0</v>
      </c>
      <c r="N252" s="124" t="n">
        <f aca="false">SUM(J$6:J252)</f>
        <v>-37239</v>
      </c>
      <c r="P252" s="124" t="n">
        <f aca="false">D252/P$3</f>
        <v>0</v>
      </c>
      <c r="Q252" s="124" t="n">
        <f aca="false">E252/P$3</f>
        <v>0</v>
      </c>
      <c r="R252" s="124" t="n">
        <f aca="false">F252/R$3</f>
        <v>0</v>
      </c>
      <c r="S252" s="126" t="n">
        <f aca="false">J252/$R$3</f>
        <v>0</v>
      </c>
      <c r="T252" s="126" t="n">
        <f aca="false">L252/$R$3</f>
        <v>0</v>
      </c>
      <c r="U252" s="126" t="n">
        <f aca="false">I252/$R$3</f>
        <v>0</v>
      </c>
      <c r="V252" s="126" t="n">
        <f aca="false">M252/$R$3</f>
        <v>0</v>
      </c>
      <c r="W252" s="126" t="n">
        <f aca="false">N252/$R$3</f>
        <v>-37.239</v>
      </c>
    </row>
    <row r="253" customFormat="false" ht="12.75" hidden="false" customHeight="false" outlineLevel="0" collapsed="false">
      <c r="A253" s="120" t="n">
        <f aca="false">A252+1</f>
        <v>37139</v>
      </c>
      <c r="B253" s="131" t="str">
        <f aca="false">INDEX('[4]Master Data'!$A$2:$B$8,MATCH(WEEKDAY('GNS Bolv Gas MTM'!A253,3),'[4]Master Data'!$A$2:$A$8,0),2)</f>
        <v>W</v>
      </c>
      <c r="D253" s="124" t="n">
        <v>0</v>
      </c>
      <c r="E253" s="124" t="n">
        <v>0</v>
      </c>
      <c r="F253" s="124" t="n">
        <v>0</v>
      </c>
      <c r="G253" s="124" t="n">
        <v>0</v>
      </c>
      <c r="I253" s="124" t="n">
        <f aca="false">IF(MONTH($A253)=MONTH($A252),IF(G253=0,I252,G253),G253)</f>
        <v>0</v>
      </c>
      <c r="J253" s="124" t="n">
        <f aca="false">IF(MONTH($A253)=MONTH($A252),SUM(I253-I252),I253)</f>
        <v>0</v>
      </c>
      <c r="K253" s="124" t="n">
        <f aca="false">IF(WEEKDAY(A253,3)&gt;4,0,(IF(A253&lt;K$2,0,IF(A253&lt;=K$3,1,0))))</f>
        <v>0</v>
      </c>
      <c r="L253" s="124" t="n">
        <f aca="false">J253*K253</f>
        <v>0</v>
      </c>
      <c r="M253" s="124" t="n">
        <f aca="false">SUM(J$188:J253)</f>
        <v>0</v>
      </c>
      <c r="N253" s="124" t="n">
        <f aca="false">SUM(J$6:J253)</f>
        <v>-37239</v>
      </c>
      <c r="P253" s="124" t="n">
        <f aca="false">D253/P$3</f>
        <v>0</v>
      </c>
      <c r="Q253" s="124" t="n">
        <f aca="false">E253/P$3</f>
        <v>0</v>
      </c>
      <c r="R253" s="124" t="n">
        <f aca="false">F253/R$3</f>
        <v>0</v>
      </c>
      <c r="S253" s="126" t="n">
        <f aca="false">J253/$R$3</f>
        <v>0</v>
      </c>
      <c r="T253" s="126" t="n">
        <f aca="false">L253/$R$3</f>
        <v>0</v>
      </c>
      <c r="U253" s="126" t="n">
        <f aca="false">I253/$R$3</f>
        <v>0</v>
      </c>
      <c r="V253" s="126" t="n">
        <f aca="false">M253/$R$3</f>
        <v>0</v>
      </c>
      <c r="W253" s="126" t="n">
        <f aca="false">N253/$R$3</f>
        <v>-37.239</v>
      </c>
    </row>
    <row r="254" customFormat="false" ht="12.75" hidden="false" customHeight="false" outlineLevel="0" collapsed="false">
      <c r="A254" s="120" t="n">
        <f aca="false">A253+1</f>
        <v>37140</v>
      </c>
      <c r="B254" s="131" t="str">
        <f aca="false">INDEX('[4]Master Data'!$A$2:$B$8,MATCH(WEEKDAY('GNS Bolv Gas MTM'!A254,3),'[4]Master Data'!$A$2:$A$8,0),2)</f>
        <v>Th</v>
      </c>
      <c r="D254" s="124" t="n">
        <v>0</v>
      </c>
      <c r="E254" s="124" t="n">
        <v>0</v>
      </c>
      <c r="F254" s="124" t="n">
        <v>0</v>
      </c>
      <c r="G254" s="124" t="n">
        <v>0</v>
      </c>
      <c r="I254" s="124" t="n">
        <f aca="false">IF(MONTH($A254)=MONTH($A253),IF(G254=0,I253,G254),G254)</f>
        <v>0</v>
      </c>
      <c r="J254" s="124" t="n">
        <f aca="false">IF(MONTH($A254)=MONTH($A253),SUM(I254-I253),I254)</f>
        <v>0</v>
      </c>
      <c r="K254" s="124" t="n">
        <f aca="false">IF(WEEKDAY(A254,3)&gt;4,0,(IF(A254&lt;K$2,0,IF(A254&lt;=K$3,1,0))))</f>
        <v>0</v>
      </c>
      <c r="L254" s="124" t="n">
        <f aca="false">J254*K254</f>
        <v>0</v>
      </c>
      <c r="M254" s="124" t="n">
        <f aca="false">SUM(J$188:J254)</f>
        <v>0</v>
      </c>
      <c r="N254" s="124" t="n">
        <f aca="false">SUM(J$6:J254)</f>
        <v>-37239</v>
      </c>
      <c r="P254" s="124" t="n">
        <f aca="false">D254/P$3</f>
        <v>0</v>
      </c>
      <c r="Q254" s="124" t="n">
        <f aca="false">E254/P$3</f>
        <v>0</v>
      </c>
      <c r="R254" s="124" t="n">
        <f aca="false">F254/R$3</f>
        <v>0</v>
      </c>
      <c r="S254" s="126" t="n">
        <f aca="false">J254/$R$3</f>
        <v>0</v>
      </c>
      <c r="T254" s="126" t="n">
        <f aca="false">L254/$R$3</f>
        <v>0</v>
      </c>
      <c r="U254" s="126" t="n">
        <f aca="false">I254/$R$3</f>
        <v>0</v>
      </c>
      <c r="V254" s="126" t="n">
        <f aca="false">M254/$R$3</f>
        <v>0</v>
      </c>
      <c r="W254" s="126" t="n">
        <f aca="false">N254/$R$3</f>
        <v>-37.239</v>
      </c>
    </row>
    <row r="255" customFormat="false" ht="12.75" hidden="false" customHeight="false" outlineLevel="0" collapsed="false">
      <c r="A255" s="120" t="n">
        <f aca="false">A254+1</f>
        <v>37141</v>
      </c>
      <c r="B255" s="131" t="str">
        <f aca="false">INDEX('[4]Master Data'!$A$2:$B$8,MATCH(WEEKDAY('GNS Bolv Gas MTM'!A255,3),'[4]Master Data'!$A$2:$A$8,0),2)</f>
        <v>F</v>
      </c>
      <c r="D255" s="124" t="n">
        <v>0</v>
      </c>
      <c r="E255" s="124" t="n">
        <v>0</v>
      </c>
      <c r="F255" s="124" t="n">
        <v>0</v>
      </c>
      <c r="G255" s="124" t="n">
        <v>0</v>
      </c>
      <c r="I255" s="124" t="n">
        <f aca="false">IF(MONTH($A255)=MONTH($A254),IF(G255=0,I254,G255),G255)</f>
        <v>0</v>
      </c>
      <c r="J255" s="124" t="n">
        <f aca="false">IF(MONTH($A255)=MONTH($A254),SUM(I255-I254),I255)</f>
        <v>0</v>
      </c>
      <c r="K255" s="124" t="n">
        <f aca="false">IF(WEEKDAY(A255,3)&gt;4,0,(IF(A255&lt;K$2,0,IF(A255&lt;=K$3,1,0))))</f>
        <v>0</v>
      </c>
      <c r="L255" s="124" t="n">
        <f aca="false">J255*K255</f>
        <v>0</v>
      </c>
      <c r="M255" s="124" t="n">
        <f aca="false">SUM(J$188:J255)</f>
        <v>0</v>
      </c>
      <c r="N255" s="124" t="n">
        <f aca="false">SUM(J$6:J255)</f>
        <v>-37239</v>
      </c>
      <c r="P255" s="124" t="n">
        <f aca="false">D255/P$3</f>
        <v>0</v>
      </c>
      <c r="Q255" s="124" t="n">
        <f aca="false">E255/P$3</f>
        <v>0</v>
      </c>
      <c r="R255" s="124" t="n">
        <f aca="false">F255/R$3</f>
        <v>0</v>
      </c>
      <c r="S255" s="126" t="n">
        <f aca="false">J255/$R$3</f>
        <v>0</v>
      </c>
      <c r="T255" s="126" t="n">
        <f aca="false">L255/$R$3</f>
        <v>0</v>
      </c>
      <c r="U255" s="126" t="n">
        <f aca="false">I255/$R$3</f>
        <v>0</v>
      </c>
      <c r="V255" s="126" t="n">
        <f aca="false">M255/$R$3</f>
        <v>0</v>
      </c>
      <c r="W255" s="126" t="n">
        <f aca="false">N255/$R$3</f>
        <v>-37.239</v>
      </c>
    </row>
    <row r="256" customFormat="false" ht="12.75" hidden="false" customHeight="false" outlineLevel="0" collapsed="false">
      <c r="A256" s="120" t="n">
        <f aca="false">A255+1</f>
        <v>37142</v>
      </c>
      <c r="B256" s="131" t="str">
        <f aca="false">INDEX('[4]Master Data'!$A$2:$B$8,MATCH(WEEKDAY('GNS Bolv Gas MTM'!A256,3),'[4]Master Data'!$A$2:$A$8,0),2)</f>
        <v>Sa</v>
      </c>
      <c r="D256" s="124" t="n">
        <v>0</v>
      </c>
      <c r="E256" s="124" t="n">
        <v>0</v>
      </c>
      <c r="F256" s="124" t="n">
        <v>0</v>
      </c>
      <c r="G256" s="124" t="n">
        <v>0</v>
      </c>
      <c r="I256" s="124" t="n">
        <f aca="false">IF(MONTH($A256)=MONTH($A255),IF(G256=0,I255,G256),G256)</f>
        <v>0</v>
      </c>
      <c r="J256" s="124" t="n">
        <f aca="false">IF(MONTH($A256)=MONTH($A255),SUM(I256-I255),I256)</f>
        <v>0</v>
      </c>
      <c r="K256" s="124" t="n">
        <f aca="false">IF(WEEKDAY(A256,3)&gt;4,0,(IF(A256&lt;K$2,0,IF(A256&lt;=K$3,1,0))))</f>
        <v>0</v>
      </c>
      <c r="L256" s="124" t="n">
        <f aca="false">J256*K256</f>
        <v>0</v>
      </c>
      <c r="M256" s="124" t="n">
        <f aca="false">SUM(J$188:J256)</f>
        <v>0</v>
      </c>
      <c r="N256" s="124" t="n">
        <f aca="false">SUM(J$6:J256)</f>
        <v>-37239</v>
      </c>
      <c r="P256" s="124" t="n">
        <f aca="false">D256/P$3</f>
        <v>0</v>
      </c>
      <c r="Q256" s="124" t="n">
        <f aca="false">E256/P$3</f>
        <v>0</v>
      </c>
      <c r="R256" s="124" t="n">
        <f aca="false">F256/R$3</f>
        <v>0</v>
      </c>
      <c r="S256" s="126" t="n">
        <f aca="false">J256/$R$3</f>
        <v>0</v>
      </c>
      <c r="T256" s="126" t="n">
        <f aca="false">L256/$R$3</f>
        <v>0</v>
      </c>
      <c r="U256" s="126" t="n">
        <f aca="false">I256/$R$3</f>
        <v>0</v>
      </c>
      <c r="V256" s="126" t="n">
        <f aca="false">M256/$R$3</f>
        <v>0</v>
      </c>
      <c r="W256" s="126" t="n">
        <f aca="false">N256/$R$3</f>
        <v>-37.239</v>
      </c>
    </row>
    <row r="257" customFormat="false" ht="12.75" hidden="false" customHeight="false" outlineLevel="0" collapsed="false">
      <c r="A257" s="120" t="n">
        <f aca="false">A256+1</f>
        <v>37143</v>
      </c>
      <c r="B257" s="131" t="str">
        <f aca="false">INDEX('[4]Master Data'!$A$2:$B$8,MATCH(WEEKDAY('GNS Bolv Gas MTM'!A257,3),'[4]Master Data'!$A$2:$A$8,0),2)</f>
        <v>Su</v>
      </c>
      <c r="D257" s="124" t="n">
        <v>0</v>
      </c>
      <c r="E257" s="124" t="n">
        <v>0</v>
      </c>
      <c r="F257" s="124" t="n">
        <v>0</v>
      </c>
      <c r="G257" s="124" t="n">
        <v>0</v>
      </c>
      <c r="I257" s="124" t="n">
        <f aca="false">IF(MONTH($A257)=MONTH($A256),IF(G257=0,I256,G257),G257)</f>
        <v>0</v>
      </c>
      <c r="J257" s="124" t="n">
        <f aca="false">IF(MONTH($A257)=MONTH($A256),SUM(I257-I256),I257)</f>
        <v>0</v>
      </c>
      <c r="K257" s="124" t="n">
        <f aca="false">IF(WEEKDAY(A257,3)&gt;4,0,(IF(A257&lt;K$2,0,IF(A257&lt;=K$3,1,0))))</f>
        <v>0</v>
      </c>
      <c r="L257" s="124" t="n">
        <f aca="false">J257*K257</f>
        <v>0</v>
      </c>
      <c r="M257" s="124" t="n">
        <f aca="false">SUM(J$188:J257)</f>
        <v>0</v>
      </c>
      <c r="N257" s="124" t="n">
        <f aca="false">SUM(J$6:J257)</f>
        <v>-37239</v>
      </c>
      <c r="P257" s="124" t="n">
        <f aca="false">D257/P$3</f>
        <v>0</v>
      </c>
      <c r="Q257" s="124" t="n">
        <f aca="false">E257/P$3</f>
        <v>0</v>
      </c>
      <c r="R257" s="124" t="n">
        <f aca="false">F257/R$3</f>
        <v>0</v>
      </c>
      <c r="S257" s="126" t="n">
        <f aca="false">J257/$R$3</f>
        <v>0</v>
      </c>
      <c r="T257" s="126" t="n">
        <f aca="false">L257/$R$3</f>
        <v>0</v>
      </c>
      <c r="U257" s="126" t="n">
        <f aca="false">I257/$R$3</f>
        <v>0</v>
      </c>
      <c r="V257" s="126" t="n">
        <f aca="false">M257/$R$3</f>
        <v>0</v>
      </c>
      <c r="W257" s="126" t="n">
        <f aca="false">N257/$R$3</f>
        <v>-37.239</v>
      </c>
    </row>
    <row r="258" customFormat="false" ht="12.75" hidden="false" customHeight="false" outlineLevel="0" collapsed="false">
      <c r="A258" s="120" t="n">
        <f aca="false">A257+1</f>
        <v>37144</v>
      </c>
      <c r="B258" s="131" t="str">
        <f aca="false">INDEX('[4]Master Data'!$A$2:$B$8,MATCH(WEEKDAY('GNS Bolv Gas MTM'!A258,3),'[4]Master Data'!$A$2:$A$8,0),2)</f>
        <v>M</v>
      </c>
      <c r="D258" s="124" t="n">
        <v>0</v>
      </c>
      <c r="E258" s="124" t="n">
        <v>0</v>
      </c>
      <c r="F258" s="124" t="n">
        <v>0</v>
      </c>
      <c r="G258" s="124" t="n">
        <v>0</v>
      </c>
      <c r="I258" s="124" t="n">
        <f aca="false">IF(MONTH($A258)=MONTH($A257),IF(G258=0,I257,G258),G258)</f>
        <v>0</v>
      </c>
      <c r="J258" s="124" t="n">
        <f aca="false">IF(MONTH($A258)=MONTH($A257),SUM(I258-I257),I258)</f>
        <v>0</v>
      </c>
      <c r="K258" s="124" t="n">
        <f aca="false">IF(WEEKDAY(A258,3)&gt;4,0,(IF(A258&lt;K$2,0,IF(A258&lt;=K$3,1,0))))</f>
        <v>0</v>
      </c>
      <c r="L258" s="124" t="n">
        <f aca="false">J258*K258</f>
        <v>0</v>
      </c>
      <c r="M258" s="124" t="n">
        <f aca="false">SUM(J$188:J258)</f>
        <v>0</v>
      </c>
      <c r="N258" s="124" t="n">
        <f aca="false">SUM(J$6:J258)</f>
        <v>-37239</v>
      </c>
      <c r="P258" s="124" t="n">
        <f aca="false">D258/P$3</f>
        <v>0</v>
      </c>
      <c r="Q258" s="124" t="n">
        <f aca="false">E258/P$3</f>
        <v>0</v>
      </c>
      <c r="R258" s="124" t="n">
        <f aca="false">F258/R$3</f>
        <v>0</v>
      </c>
      <c r="S258" s="126" t="n">
        <f aca="false">J258/$R$3</f>
        <v>0</v>
      </c>
      <c r="T258" s="126" t="n">
        <f aca="false">L258/$R$3</f>
        <v>0</v>
      </c>
      <c r="U258" s="126" t="n">
        <f aca="false">I258/$R$3</f>
        <v>0</v>
      </c>
      <c r="V258" s="126" t="n">
        <f aca="false">M258/$R$3</f>
        <v>0</v>
      </c>
      <c r="W258" s="126" t="n">
        <f aca="false">N258/$R$3</f>
        <v>-37.239</v>
      </c>
    </row>
    <row r="259" customFormat="false" ht="12.75" hidden="false" customHeight="false" outlineLevel="0" collapsed="false">
      <c r="A259" s="120" t="n">
        <f aca="false">A258+1</f>
        <v>37145</v>
      </c>
      <c r="B259" s="131" t="str">
        <f aca="false">INDEX('[4]Master Data'!$A$2:$B$8,MATCH(WEEKDAY('GNS Bolv Gas MTM'!A259,3),'[4]Master Data'!$A$2:$A$8,0),2)</f>
        <v>T</v>
      </c>
      <c r="D259" s="124" t="n">
        <v>0</v>
      </c>
      <c r="E259" s="124" t="n">
        <v>0</v>
      </c>
      <c r="F259" s="124" t="n">
        <v>0</v>
      </c>
      <c r="G259" s="124" t="n">
        <v>0</v>
      </c>
      <c r="I259" s="124" t="n">
        <f aca="false">IF(MONTH($A259)=MONTH($A258),IF(G259=0,I258,G259),G259)</f>
        <v>0</v>
      </c>
      <c r="J259" s="124" t="n">
        <f aca="false">IF(MONTH($A259)=MONTH($A258),SUM(I259-I258),I259)</f>
        <v>0</v>
      </c>
      <c r="K259" s="124" t="n">
        <f aca="false">IF(WEEKDAY(A259,3)&gt;4,0,(IF(A259&lt;K$2,0,IF(A259&lt;=K$3,1,0))))</f>
        <v>0</v>
      </c>
      <c r="L259" s="124" t="n">
        <f aca="false">J259*K259</f>
        <v>0</v>
      </c>
      <c r="M259" s="124" t="n">
        <f aca="false">SUM(J$188:J259)</f>
        <v>0</v>
      </c>
      <c r="N259" s="124" t="n">
        <f aca="false">SUM(J$6:J259)</f>
        <v>-37239</v>
      </c>
      <c r="P259" s="124" t="n">
        <f aca="false">D259/P$3</f>
        <v>0</v>
      </c>
      <c r="Q259" s="124" t="n">
        <f aca="false">E259/P$3</f>
        <v>0</v>
      </c>
      <c r="R259" s="124" t="n">
        <f aca="false">F259/R$3</f>
        <v>0</v>
      </c>
      <c r="S259" s="126" t="n">
        <f aca="false">J259/$R$3</f>
        <v>0</v>
      </c>
      <c r="T259" s="126" t="n">
        <f aca="false">L259/$R$3</f>
        <v>0</v>
      </c>
      <c r="U259" s="126" t="n">
        <f aca="false">I259/$R$3</f>
        <v>0</v>
      </c>
      <c r="V259" s="126" t="n">
        <f aca="false">M259/$R$3</f>
        <v>0</v>
      </c>
      <c r="W259" s="126" t="n">
        <f aca="false">N259/$R$3</f>
        <v>-37.239</v>
      </c>
    </row>
    <row r="260" customFormat="false" ht="12.75" hidden="false" customHeight="false" outlineLevel="0" collapsed="false">
      <c r="A260" s="120" t="n">
        <f aca="false">A259+1</f>
        <v>37146</v>
      </c>
      <c r="B260" s="131" t="str">
        <f aca="false">INDEX('[4]Master Data'!$A$2:$B$8,MATCH(WEEKDAY('GNS Bolv Gas MTM'!A260,3),'[4]Master Data'!$A$2:$A$8,0),2)</f>
        <v>W</v>
      </c>
      <c r="D260" s="124" t="n">
        <v>0</v>
      </c>
      <c r="E260" s="124" t="n">
        <v>0</v>
      </c>
      <c r="F260" s="124" t="n">
        <v>0</v>
      </c>
      <c r="G260" s="124" t="n">
        <v>0</v>
      </c>
      <c r="I260" s="124" t="n">
        <f aca="false">IF(MONTH($A260)=MONTH($A259),IF(G260=0,I259,G260),G260)</f>
        <v>0</v>
      </c>
      <c r="J260" s="124" t="n">
        <f aca="false">IF(MONTH($A260)=MONTH($A259),SUM(I260-I259),I260)</f>
        <v>0</v>
      </c>
      <c r="K260" s="124" t="n">
        <f aca="false">IF(WEEKDAY(A260,3)&gt;4,0,(IF(A260&lt;K$2,0,IF(A260&lt;=K$3,1,0))))</f>
        <v>0</v>
      </c>
      <c r="L260" s="124" t="n">
        <f aca="false">J260*K260</f>
        <v>0</v>
      </c>
      <c r="M260" s="124" t="n">
        <f aca="false">SUM(J$188:J260)</f>
        <v>0</v>
      </c>
      <c r="N260" s="124" t="n">
        <f aca="false">SUM(J$6:J260)</f>
        <v>-37239</v>
      </c>
      <c r="P260" s="124" t="n">
        <f aca="false">D260/P$3</f>
        <v>0</v>
      </c>
      <c r="Q260" s="124" t="n">
        <f aca="false">E260/P$3</f>
        <v>0</v>
      </c>
      <c r="R260" s="124" t="n">
        <f aca="false">F260/R$3</f>
        <v>0</v>
      </c>
      <c r="S260" s="126" t="n">
        <f aca="false">J260/$R$3</f>
        <v>0</v>
      </c>
      <c r="T260" s="126" t="n">
        <f aca="false">L260/$R$3</f>
        <v>0</v>
      </c>
      <c r="U260" s="126" t="n">
        <f aca="false">I260/$R$3</f>
        <v>0</v>
      </c>
      <c r="V260" s="126" t="n">
        <f aca="false">M260/$R$3</f>
        <v>0</v>
      </c>
      <c r="W260" s="126" t="n">
        <f aca="false">N260/$R$3</f>
        <v>-37.239</v>
      </c>
    </row>
    <row r="261" customFormat="false" ht="12.75" hidden="false" customHeight="false" outlineLevel="0" collapsed="false">
      <c r="A261" s="120" t="n">
        <f aca="false">A260+1</f>
        <v>37147</v>
      </c>
      <c r="B261" s="131" t="str">
        <f aca="false">INDEX('[4]Master Data'!$A$2:$B$8,MATCH(WEEKDAY('GNS Bolv Gas MTM'!A261,3),'[4]Master Data'!$A$2:$A$8,0),2)</f>
        <v>Th</v>
      </c>
      <c r="D261" s="124" t="n">
        <v>0</v>
      </c>
      <c r="E261" s="124" t="n">
        <v>0</v>
      </c>
      <c r="F261" s="124" t="n">
        <v>0</v>
      </c>
      <c r="G261" s="124" t="n">
        <v>0</v>
      </c>
      <c r="I261" s="124" t="n">
        <f aca="false">IF(MONTH($A261)=MONTH($A260),IF(G261=0,I260,G261),G261)</f>
        <v>0</v>
      </c>
      <c r="J261" s="124" t="n">
        <f aca="false">IF(MONTH($A261)=MONTH($A260),SUM(I261-I260),I261)</f>
        <v>0</v>
      </c>
      <c r="K261" s="124" t="n">
        <f aca="false">IF(WEEKDAY(A261,3)&gt;4,0,(IF(A261&lt;K$2,0,IF(A261&lt;=K$3,1,0))))</f>
        <v>0</v>
      </c>
      <c r="L261" s="124" t="n">
        <f aca="false">J261*K261</f>
        <v>0</v>
      </c>
      <c r="M261" s="124" t="n">
        <f aca="false">SUM(J$188:J261)</f>
        <v>0</v>
      </c>
      <c r="N261" s="124" t="n">
        <f aca="false">SUM(J$6:J261)</f>
        <v>-37239</v>
      </c>
      <c r="P261" s="124" t="n">
        <f aca="false">D261/P$3</f>
        <v>0</v>
      </c>
      <c r="Q261" s="124" t="n">
        <f aca="false">E261/P$3</f>
        <v>0</v>
      </c>
      <c r="R261" s="124" t="n">
        <f aca="false">F261/R$3</f>
        <v>0</v>
      </c>
      <c r="S261" s="126" t="n">
        <f aca="false">J261/$R$3</f>
        <v>0</v>
      </c>
      <c r="T261" s="126" t="n">
        <f aca="false">L261/$R$3</f>
        <v>0</v>
      </c>
      <c r="U261" s="126" t="n">
        <f aca="false">I261/$R$3</f>
        <v>0</v>
      </c>
      <c r="V261" s="126" t="n">
        <f aca="false">M261/$R$3</f>
        <v>0</v>
      </c>
      <c r="W261" s="126" t="n">
        <f aca="false">N261/$R$3</f>
        <v>-37.239</v>
      </c>
    </row>
    <row r="262" customFormat="false" ht="12.75" hidden="false" customHeight="false" outlineLevel="0" collapsed="false">
      <c r="A262" s="120" t="n">
        <f aca="false">A261+1</f>
        <v>37148</v>
      </c>
      <c r="B262" s="131" t="str">
        <f aca="false">INDEX('[4]Master Data'!$A$2:$B$8,MATCH(WEEKDAY('GNS Bolv Gas MTM'!A262,3),'[4]Master Data'!$A$2:$A$8,0),2)</f>
        <v>F</v>
      </c>
      <c r="D262" s="124" t="n">
        <v>0</v>
      </c>
      <c r="E262" s="124" t="n">
        <v>0</v>
      </c>
      <c r="F262" s="124" t="n">
        <v>0</v>
      </c>
      <c r="G262" s="124" t="n">
        <v>0</v>
      </c>
      <c r="I262" s="124" t="n">
        <f aca="false">IF(MONTH($A262)=MONTH($A261),IF(G262=0,I261,G262),G262)</f>
        <v>0</v>
      </c>
      <c r="J262" s="124" t="n">
        <f aca="false">IF(MONTH($A262)=MONTH($A261),SUM(I262-I261),I262)</f>
        <v>0</v>
      </c>
      <c r="K262" s="124" t="n">
        <f aca="false">IF(WEEKDAY(A262,3)&gt;4,0,(IF(A262&lt;K$2,0,IF(A262&lt;=K$3,1,0))))</f>
        <v>0</v>
      </c>
      <c r="L262" s="124" t="n">
        <f aca="false">J262*K262</f>
        <v>0</v>
      </c>
      <c r="M262" s="124" t="n">
        <f aca="false">SUM(J$188:J262)</f>
        <v>0</v>
      </c>
      <c r="N262" s="124" t="n">
        <f aca="false">SUM(J$6:J262)</f>
        <v>-37239</v>
      </c>
      <c r="P262" s="124" t="n">
        <f aca="false">D262/P$3</f>
        <v>0</v>
      </c>
      <c r="Q262" s="124" t="n">
        <f aca="false">E262/P$3</f>
        <v>0</v>
      </c>
      <c r="R262" s="124" t="n">
        <f aca="false">F262/R$3</f>
        <v>0</v>
      </c>
      <c r="S262" s="126" t="n">
        <f aca="false">J262/$R$3</f>
        <v>0</v>
      </c>
      <c r="T262" s="126" t="n">
        <f aca="false">L262/$R$3</f>
        <v>0</v>
      </c>
      <c r="U262" s="126" t="n">
        <f aca="false">I262/$R$3</f>
        <v>0</v>
      </c>
      <c r="V262" s="126" t="n">
        <f aca="false">M262/$R$3</f>
        <v>0</v>
      </c>
      <c r="W262" s="126" t="n">
        <f aca="false">N262/$R$3</f>
        <v>-37.239</v>
      </c>
    </row>
    <row r="263" customFormat="false" ht="12.75" hidden="false" customHeight="false" outlineLevel="0" collapsed="false">
      <c r="A263" s="120" t="n">
        <f aca="false">A262+1</f>
        <v>37149</v>
      </c>
      <c r="B263" s="131" t="str">
        <f aca="false">INDEX('[4]Master Data'!$A$2:$B$8,MATCH(WEEKDAY('GNS Bolv Gas MTM'!A263,3),'[4]Master Data'!$A$2:$A$8,0),2)</f>
        <v>Sa</v>
      </c>
      <c r="D263" s="124" t="n">
        <v>0</v>
      </c>
      <c r="E263" s="124" t="n">
        <v>0</v>
      </c>
      <c r="F263" s="124" t="n">
        <v>0</v>
      </c>
      <c r="G263" s="124" t="n">
        <v>0</v>
      </c>
      <c r="I263" s="124" t="n">
        <f aca="false">IF(MONTH($A263)=MONTH($A262),IF(G263=0,I262,G263),G263)</f>
        <v>0</v>
      </c>
      <c r="J263" s="124" t="n">
        <f aca="false">IF(MONTH($A263)=MONTH($A262),SUM(I263-I262),I263)</f>
        <v>0</v>
      </c>
      <c r="K263" s="124" t="n">
        <f aca="false">IF(WEEKDAY(A263,3)&gt;4,0,(IF(A263&lt;K$2,0,IF(A263&lt;=K$3,1,0))))</f>
        <v>0</v>
      </c>
      <c r="L263" s="124" t="n">
        <f aca="false">J263*K263</f>
        <v>0</v>
      </c>
      <c r="M263" s="124" t="n">
        <f aca="false">SUM(J$188:J263)</f>
        <v>0</v>
      </c>
      <c r="N263" s="124" t="n">
        <f aca="false">SUM(J$6:J263)</f>
        <v>-37239</v>
      </c>
      <c r="P263" s="124" t="n">
        <f aca="false">D263/P$3</f>
        <v>0</v>
      </c>
      <c r="Q263" s="124" t="n">
        <f aca="false">E263/P$3</f>
        <v>0</v>
      </c>
      <c r="R263" s="124" t="n">
        <f aca="false">F263/R$3</f>
        <v>0</v>
      </c>
      <c r="S263" s="126" t="n">
        <f aca="false">J263/$R$3</f>
        <v>0</v>
      </c>
      <c r="T263" s="126" t="n">
        <f aca="false">L263/$R$3</f>
        <v>0</v>
      </c>
      <c r="U263" s="126" t="n">
        <f aca="false">I263/$R$3</f>
        <v>0</v>
      </c>
      <c r="V263" s="126" t="n">
        <f aca="false">M263/$R$3</f>
        <v>0</v>
      </c>
      <c r="W263" s="126" t="n">
        <f aca="false">N263/$R$3</f>
        <v>-37.239</v>
      </c>
    </row>
    <row r="264" customFormat="false" ht="12.75" hidden="false" customHeight="false" outlineLevel="0" collapsed="false">
      <c r="A264" s="120" t="n">
        <f aca="false">A263+1</f>
        <v>37150</v>
      </c>
      <c r="B264" s="131" t="str">
        <f aca="false">INDEX('[4]Master Data'!$A$2:$B$8,MATCH(WEEKDAY('GNS Bolv Gas MTM'!A264,3),'[4]Master Data'!$A$2:$A$8,0),2)</f>
        <v>Su</v>
      </c>
      <c r="D264" s="124" t="n">
        <v>0</v>
      </c>
      <c r="E264" s="124" t="n">
        <v>0</v>
      </c>
      <c r="F264" s="124" t="n">
        <v>0</v>
      </c>
      <c r="G264" s="124" t="n">
        <v>0</v>
      </c>
      <c r="I264" s="124" t="n">
        <f aca="false">IF(MONTH($A264)=MONTH($A263),IF(G264=0,I263,G264),G264)</f>
        <v>0</v>
      </c>
      <c r="J264" s="124" t="n">
        <f aca="false">IF(MONTH($A264)=MONTH($A263),SUM(I264-I263),I264)</f>
        <v>0</v>
      </c>
      <c r="K264" s="124" t="n">
        <f aca="false">IF(WEEKDAY(A264,3)&gt;4,0,(IF(A264&lt;K$2,0,IF(A264&lt;=K$3,1,0))))</f>
        <v>0</v>
      </c>
      <c r="L264" s="124" t="n">
        <f aca="false">J264*K264</f>
        <v>0</v>
      </c>
      <c r="M264" s="124" t="n">
        <f aca="false">SUM(J$188:J264)</f>
        <v>0</v>
      </c>
      <c r="N264" s="124" t="n">
        <f aca="false">SUM(J$6:J264)</f>
        <v>-37239</v>
      </c>
      <c r="P264" s="124" t="n">
        <f aca="false">D264/P$3</f>
        <v>0</v>
      </c>
      <c r="Q264" s="124" t="n">
        <f aca="false">E264/P$3</f>
        <v>0</v>
      </c>
      <c r="R264" s="124" t="n">
        <f aca="false">F264/R$3</f>
        <v>0</v>
      </c>
      <c r="S264" s="126" t="n">
        <f aca="false">J264/$R$3</f>
        <v>0</v>
      </c>
      <c r="T264" s="126" t="n">
        <f aca="false">L264/$R$3</f>
        <v>0</v>
      </c>
      <c r="U264" s="126" t="n">
        <f aca="false">I264/$R$3</f>
        <v>0</v>
      </c>
      <c r="V264" s="126" t="n">
        <f aca="false">M264/$R$3</f>
        <v>0</v>
      </c>
      <c r="W264" s="126" t="n">
        <f aca="false">N264/$R$3</f>
        <v>-37.239</v>
      </c>
    </row>
    <row r="265" customFormat="false" ht="12.75" hidden="false" customHeight="false" outlineLevel="0" collapsed="false">
      <c r="A265" s="120" t="n">
        <f aca="false">A264+1</f>
        <v>37151</v>
      </c>
      <c r="B265" s="131" t="str">
        <f aca="false">INDEX('[4]Master Data'!$A$2:$B$8,MATCH(WEEKDAY('GNS Bolv Gas MTM'!A265,3),'[4]Master Data'!$A$2:$A$8,0),2)</f>
        <v>M</v>
      </c>
      <c r="D265" s="124" t="n">
        <v>0</v>
      </c>
      <c r="E265" s="124" t="n">
        <v>0</v>
      </c>
      <c r="F265" s="124" t="n">
        <v>0</v>
      </c>
      <c r="G265" s="124" t="n">
        <v>0</v>
      </c>
      <c r="I265" s="124" t="n">
        <f aca="false">IF(MONTH($A265)=MONTH($A264),IF(G265=0,I264,G265),G265)</f>
        <v>0</v>
      </c>
      <c r="J265" s="124" t="n">
        <f aca="false">IF(MONTH($A265)=MONTH($A264),SUM(I265-I264),I265)</f>
        <v>0</v>
      </c>
      <c r="K265" s="124" t="n">
        <f aca="false">IF(WEEKDAY(A265,3)&gt;4,0,(IF(A265&lt;K$2,0,IF(A265&lt;=K$3,1,0))))</f>
        <v>0</v>
      </c>
      <c r="L265" s="124" t="n">
        <f aca="false">J265*K265</f>
        <v>0</v>
      </c>
      <c r="M265" s="124" t="n">
        <f aca="false">SUM(J$188:J265)</f>
        <v>0</v>
      </c>
      <c r="N265" s="124" t="n">
        <f aca="false">SUM(J$6:J265)</f>
        <v>-37239</v>
      </c>
      <c r="P265" s="124" t="n">
        <f aca="false">D265/P$3</f>
        <v>0</v>
      </c>
      <c r="Q265" s="124" t="n">
        <f aca="false">E265/P$3</f>
        <v>0</v>
      </c>
      <c r="R265" s="124" t="n">
        <f aca="false">F265/R$3</f>
        <v>0</v>
      </c>
      <c r="S265" s="126" t="n">
        <f aca="false">J265/$R$3</f>
        <v>0</v>
      </c>
      <c r="T265" s="126" t="n">
        <f aca="false">L265/$R$3</f>
        <v>0</v>
      </c>
      <c r="U265" s="126" t="n">
        <f aca="false">I265/$R$3</f>
        <v>0</v>
      </c>
      <c r="V265" s="126" t="n">
        <f aca="false">M265/$R$3</f>
        <v>0</v>
      </c>
      <c r="W265" s="126" t="n">
        <f aca="false">N265/$R$3</f>
        <v>-37.239</v>
      </c>
    </row>
    <row r="266" customFormat="false" ht="12.75" hidden="false" customHeight="false" outlineLevel="0" collapsed="false">
      <c r="A266" s="120" t="n">
        <f aca="false">A265+1</f>
        <v>37152</v>
      </c>
      <c r="B266" s="131" t="str">
        <f aca="false">INDEX('[4]Master Data'!$A$2:$B$8,MATCH(WEEKDAY('GNS Bolv Gas MTM'!A266,3),'[4]Master Data'!$A$2:$A$8,0),2)</f>
        <v>T</v>
      </c>
      <c r="D266" s="124" t="n">
        <v>0</v>
      </c>
      <c r="E266" s="124" t="n">
        <v>0</v>
      </c>
      <c r="F266" s="124" t="n">
        <v>0</v>
      </c>
      <c r="G266" s="124" t="n">
        <v>0</v>
      </c>
      <c r="I266" s="124" t="n">
        <f aca="false">IF(MONTH($A266)=MONTH($A265),IF(G266=0,I265,G266),G266)</f>
        <v>0</v>
      </c>
      <c r="J266" s="124" t="n">
        <f aca="false">IF(MONTH($A266)=MONTH($A265),SUM(I266-I265),I266)</f>
        <v>0</v>
      </c>
      <c r="K266" s="124" t="n">
        <f aca="false">IF(WEEKDAY(A266,3)&gt;4,0,(IF(A266&lt;K$2,0,IF(A266&lt;=K$3,1,0))))</f>
        <v>0</v>
      </c>
      <c r="L266" s="124" t="n">
        <f aca="false">J266*K266</f>
        <v>0</v>
      </c>
      <c r="M266" s="124" t="n">
        <f aca="false">SUM(J$188:J266)</f>
        <v>0</v>
      </c>
      <c r="N266" s="124" t="n">
        <f aca="false">SUM(J$6:J266)</f>
        <v>-37239</v>
      </c>
      <c r="P266" s="124" t="n">
        <f aca="false">D266/P$3</f>
        <v>0</v>
      </c>
      <c r="Q266" s="124" t="n">
        <f aca="false">E266/P$3</f>
        <v>0</v>
      </c>
      <c r="R266" s="124" t="n">
        <f aca="false">F266/R$3</f>
        <v>0</v>
      </c>
      <c r="S266" s="126" t="n">
        <f aca="false">J266/$R$3</f>
        <v>0</v>
      </c>
      <c r="T266" s="126" t="n">
        <f aca="false">L266/$R$3</f>
        <v>0</v>
      </c>
      <c r="U266" s="126" t="n">
        <f aca="false">I266/$R$3</f>
        <v>0</v>
      </c>
      <c r="V266" s="126" t="n">
        <f aca="false">M266/$R$3</f>
        <v>0</v>
      </c>
      <c r="W266" s="126" t="n">
        <f aca="false">N266/$R$3</f>
        <v>-37.239</v>
      </c>
    </row>
    <row r="267" customFormat="false" ht="12.75" hidden="false" customHeight="false" outlineLevel="0" collapsed="false">
      <c r="A267" s="120" t="n">
        <f aca="false">A266+1</f>
        <v>37153</v>
      </c>
      <c r="B267" s="131" t="str">
        <f aca="false">INDEX('[4]Master Data'!$A$2:$B$8,MATCH(WEEKDAY('GNS Bolv Gas MTM'!A267,3),'[4]Master Data'!$A$2:$A$8,0),2)</f>
        <v>W</v>
      </c>
      <c r="D267" s="124" t="n">
        <v>0</v>
      </c>
      <c r="E267" s="124" t="n">
        <v>0</v>
      </c>
      <c r="F267" s="124" t="n">
        <v>0</v>
      </c>
      <c r="G267" s="124" t="n">
        <v>0</v>
      </c>
      <c r="I267" s="124" t="n">
        <f aca="false">IF(MONTH($A267)=MONTH($A266),IF(G267=0,I266,G267),G267)</f>
        <v>0</v>
      </c>
      <c r="J267" s="124" t="n">
        <f aca="false">IF(MONTH($A267)=MONTH($A266),SUM(I267-I266),I267)</f>
        <v>0</v>
      </c>
      <c r="K267" s="124" t="n">
        <f aca="false">IF(WEEKDAY(A267,3)&gt;4,0,(IF(A267&lt;K$2,0,IF(A267&lt;=K$3,1,0))))</f>
        <v>0</v>
      </c>
      <c r="L267" s="124" t="n">
        <f aca="false">J267*K267</f>
        <v>0</v>
      </c>
      <c r="M267" s="124" t="n">
        <f aca="false">SUM(J$188:J267)</f>
        <v>0</v>
      </c>
      <c r="N267" s="124" t="n">
        <f aca="false">SUM(J$6:J267)</f>
        <v>-37239</v>
      </c>
      <c r="P267" s="124" t="n">
        <f aca="false">D267/P$3</f>
        <v>0</v>
      </c>
      <c r="Q267" s="124" t="n">
        <f aca="false">E267/P$3</f>
        <v>0</v>
      </c>
      <c r="R267" s="124" t="n">
        <f aca="false">F267/R$3</f>
        <v>0</v>
      </c>
      <c r="S267" s="126" t="n">
        <f aca="false">J267/$R$3</f>
        <v>0</v>
      </c>
      <c r="T267" s="126" t="n">
        <f aca="false">L267/$R$3</f>
        <v>0</v>
      </c>
      <c r="U267" s="126" t="n">
        <f aca="false">I267/$R$3</f>
        <v>0</v>
      </c>
      <c r="V267" s="126" t="n">
        <f aca="false">M267/$R$3</f>
        <v>0</v>
      </c>
      <c r="W267" s="126" t="n">
        <f aca="false">N267/$R$3</f>
        <v>-37.239</v>
      </c>
    </row>
    <row r="268" customFormat="false" ht="12.75" hidden="false" customHeight="false" outlineLevel="0" collapsed="false">
      <c r="A268" s="120" t="n">
        <f aca="false">A267+1</f>
        <v>37154</v>
      </c>
      <c r="B268" s="131" t="str">
        <f aca="false">INDEX('[4]Master Data'!$A$2:$B$8,MATCH(WEEKDAY('GNS Bolv Gas MTM'!A268,3),'[4]Master Data'!$A$2:$A$8,0),2)</f>
        <v>Th</v>
      </c>
      <c r="D268" s="124" t="n">
        <v>0</v>
      </c>
      <c r="E268" s="124" t="n">
        <v>0</v>
      </c>
      <c r="F268" s="124" t="n">
        <v>0</v>
      </c>
      <c r="G268" s="124" t="n">
        <v>0</v>
      </c>
      <c r="I268" s="124" t="n">
        <f aca="false">IF(MONTH($A268)=MONTH($A267),IF(G268=0,I267,G268),G268)</f>
        <v>0</v>
      </c>
      <c r="J268" s="124" t="n">
        <f aca="false">IF(MONTH($A268)=MONTH($A267),SUM(I268-I267),I268)</f>
        <v>0</v>
      </c>
      <c r="K268" s="124" t="n">
        <f aca="false">IF(WEEKDAY(A268,3)&gt;4,0,(IF(A268&lt;K$2,0,IF(A268&lt;=K$3,1,0))))</f>
        <v>0</v>
      </c>
      <c r="L268" s="124" t="n">
        <f aca="false">J268*K268</f>
        <v>0</v>
      </c>
      <c r="M268" s="124" t="n">
        <f aca="false">SUM(J$188:J268)</f>
        <v>0</v>
      </c>
      <c r="N268" s="124" t="n">
        <f aca="false">SUM(J$6:J268)</f>
        <v>-37239</v>
      </c>
      <c r="P268" s="124" t="n">
        <f aca="false">D268/P$3</f>
        <v>0</v>
      </c>
      <c r="Q268" s="124" t="n">
        <f aca="false">E268/P$3</f>
        <v>0</v>
      </c>
      <c r="R268" s="124" t="n">
        <f aca="false">F268/R$3</f>
        <v>0</v>
      </c>
      <c r="S268" s="126" t="n">
        <f aca="false">J268/$R$3</f>
        <v>0</v>
      </c>
      <c r="T268" s="126" t="n">
        <f aca="false">L268/$R$3</f>
        <v>0</v>
      </c>
      <c r="U268" s="126" t="n">
        <f aca="false">I268/$R$3</f>
        <v>0</v>
      </c>
      <c r="V268" s="126" t="n">
        <f aca="false">M268/$R$3</f>
        <v>0</v>
      </c>
      <c r="W268" s="126" t="n">
        <f aca="false">N268/$R$3</f>
        <v>-37.239</v>
      </c>
    </row>
    <row r="269" customFormat="false" ht="12.75" hidden="false" customHeight="false" outlineLevel="0" collapsed="false">
      <c r="A269" s="120" t="n">
        <f aca="false">A268+1</f>
        <v>37155</v>
      </c>
      <c r="B269" s="131" t="str">
        <f aca="false">INDEX('[4]Master Data'!$A$2:$B$8,MATCH(WEEKDAY('GNS Bolv Gas MTM'!A269,3),'[4]Master Data'!$A$2:$A$8,0),2)</f>
        <v>F</v>
      </c>
      <c r="D269" s="124" t="n">
        <v>0</v>
      </c>
      <c r="E269" s="124" t="n">
        <v>0</v>
      </c>
      <c r="F269" s="124" t="n">
        <v>0</v>
      </c>
      <c r="G269" s="124" t="n">
        <v>0</v>
      </c>
      <c r="I269" s="124" t="n">
        <f aca="false">IF(MONTH($A269)=MONTH($A268),IF(G269=0,I268,G269),G269)</f>
        <v>0</v>
      </c>
      <c r="J269" s="124" t="n">
        <f aca="false">IF(MONTH($A269)=MONTH($A268),SUM(I269-I268),I269)</f>
        <v>0</v>
      </c>
      <c r="K269" s="124" t="n">
        <f aca="false">IF(WEEKDAY(A269,3)&gt;4,0,(IF(A269&lt;K$2,0,IF(A269&lt;=K$3,1,0))))</f>
        <v>0</v>
      </c>
      <c r="L269" s="124" t="n">
        <f aca="false">J269*K269</f>
        <v>0</v>
      </c>
      <c r="M269" s="124" t="n">
        <f aca="false">SUM(J$188:J269)</f>
        <v>0</v>
      </c>
      <c r="N269" s="124" t="n">
        <f aca="false">SUM(J$6:J269)</f>
        <v>-37239</v>
      </c>
      <c r="P269" s="124" t="n">
        <f aca="false">D269/P$3</f>
        <v>0</v>
      </c>
      <c r="Q269" s="124" t="n">
        <f aca="false">E269/P$3</f>
        <v>0</v>
      </c>
      <c r="R269" s="124" t="n">
        <f aca="false">F269/R$3</f>
        <v>0</v>
      </c>
      <c r="S269" s="126" t="n">
        <f aca="false">J269/$R$3</f>
        <v>0</v>
      </c>
      <c r="T269" s="126" t="n">
        <f aca="false">L269/$R$3</f>
        <v>0</v>
      </c>
      <c r="U269" s="126" t="n">
        <f aca="false">I269/$R$3</f>
        <v>0</v>
      </c>
      <c r="V269" s="126" t="n">
        <f aca="false">M269/$R$3</f>
        <v>0</v>
      </c>
      <c r="W269" s="126" t="n">
        <f aca="false">N269/$R$3</f>
        <v>-37.239</v>
      </c>
    </row>
    <row r="270" customFormat="false" ht="12.75" hidden="false" customHeight="false" outlineLevel="0" collapsed="false">
      <c r="A270" s="120" t="n">
        <f aca="false">A269+1</f>
        <v>37156</v>
      </c>
      <c r="B270" s="131" t="str">
        <f aca="false">INDEX('[4]Master Data'!$A$2:$B$8,MATCH(WEEKDAY('GNS Bolv Gas MTM'!A270,3),'[4]Master Data'!$A$2:$A$8,0),2)</f>
        <v>Sa</v>
      </c>
      <c r="D270" s="124" t="n">
        <v>0</v>
      </c>
      <c r="E270" s="124" t="n">
        <v>0</v>
      </c>
      <c r="F270" s="124" t="n">
        <v>0</v>
      </c>
      <c r="G270" s="124" t="n">
        <v>0</v>
      </c>
      <c r="I270" s="124" t="n">
        <f aca="false">IF(MONTH($A270)=MONTH($A269),IF(G270=0,I269,G270),G270)</f>
        <v>0</v>
      </c>
      <c r="J270" s="124" t="n">
        <f aca="false">IF(MONTH($A270)=MONTH($A269),SUM(I270-I269),I270)</f>
        <v>0</v>
      </c>
      <c r="K270" s="124" t="n">
        <f aca="false">IF(WEEKDAY(A270,3)&gt;4,0,(IF(A270&lt;K$2,0,IF(A270&lt;=K$3,1,0))))</f>
        <v>0</v>
      </c>
      <c r="L270" s="124" t="n">
        <f aca="false">J270*K270</f>
        <v>0</v>
      </c>
      <c r="M270" s="124" t="n">
        <f aca="false">SUM(J$188:J270)</f>
        <v>0</v>
      </c>
      <c r="N270" s="124" t="n">
        <f aca="false">SUM(J$6:J270)</f>
        <v>-37239</v>
      </c>
      <c r="P270" s="124" t="n">
        <f aca="false">D270/P$3</f>
        <v>0</v>
      </c>
      <c r="Q270" s="124" t="n">
        <f aca="false">E270/P$3</f>
        <v>0</v>
      </c>
      <c r="R270" s="124" t="n">
        <f aca="false">F270/R$3</f>
        <v>0</v>
      </c>
      <c r="S270" s="126" t="n">
        <f aca="false">J270/$R$3</f>
        <v>0</v>
      </c>
      <c r="T270" s="126" t="n">
        <f aca="false">L270/$R$3</f>
        <v>0</v>
      </c>
      <c r="U270" s="126" t="n">
        <f aca="false">I270/$R$3</f>
        <v>0</v>
      </c>
      <c r="V270" s="126" t="n">
        <f aca="false">M270/$R$3</f>
        <v>0</v>
      </c>
      <c r="W270" s="126" t="n">
        <f aca="false">N270/$R$3</f>
        <v>-37.239</v>
      </c>
    </row>
    <row r="271" customFormat="false" ht="12.75" hidden="false" customHeight="false" outlineLevel="0" collapsed="false">
      <c r="A271" s="120" t="n">
        <f aca="false">A270+1</f>
        <v>37157</v>
      </c>
      <c r="B271" s="131" t="str">
        <f aca="false">INDEX('[4]Master Data'!$A$2:$B$8,MATCH(WEEKDAY('GNS Bolv Gas MTM'!A271,3),'[4]Master Data'!$A$2:$A$8,0),2)</f>
        <v>Su</v>
      </c>
      <c r="D271" s="124" t="n">
        <v>0</v>
      </c>
      <c r="E271" s="124" t="n">
        <v>0</v>
      </c>
      <c r="F271" s="124" t="n">
        <v>0</v>
      </c>
      <c r="G271" s="124" t="n">
        <v>0</v>
      </c>
      <c r="I271" s="124" t="n">
        <f aca="false">IF(MONTH($A271)=MONTH($A270),IF(G271=0,I270,G271),G271)</f>
        <v>0</v>
      </c>
      <c r="J271" s="124" t="n">
        <f aca="false">IF(MONTH($A271)=MONTH($A270),SUM(I271-I270),I271)</f>
        <v>0</v>
      </c>
      <c r="K271" s="124" t="n">
        <f aca="false">IF(WEEKDAY(A271,3)&gt;4,0,(IF(A271&lt;K$2,0,IF(A271&lt;=K$3,1,0))))</f>
        <v>0</v>
      </c>
      <c r="L271" s="124" t="n">
        <f aca="false">J271*K271</f>
        <v>0</v>
      </c>
      <c r="M271" s="124" t="n">
        <f aca="false">SUM(J$188:J271)</f>
        <v>0</v>
      </c>
      <c r="N271" s="124" t="n">
        <f aca="false">SUM(J$6:J271)</f>
        <v>-37239</v>
      </c>
      <c r="P271" s="124" t="n">
        <f aca="false">D271/P$3</f>
        <v>0</v>
      </c>
      <c r="Q271" s="124" t="n">
        <f aca="false">E271/P$3</f>
        <v>0</v>
      </c>
      <c r="R271" s="124" t="n">
        <f aca="false">F271/R$3</f>
        <v>0</v>
      </c>
      <c r="S271" s="126" t="n">
        <f aca="false">J271/$R$3</f>
        <v>0</v>
      </c>
      <c r="T271" s="126" t="n">
        <f aca="false">L271/$R$3</f>
        <v>0</v>
      </c>
      <c r="U271" s="126" t="n">
        <f aca="false">I271/$R$3</f>
        <v>0</v>
      </c>
      <c r="V271" s="126" t="n">
        <f aca="false">M271/$R$3</f>
        <v>0</v>
      </c>
      <c r="W271" s="126" t="n">
        <f aca="false">N271/$R$3</f>
        <v>-37.239</v>
      </c>
    </row>
    <row r="272" customFormat="false" ht="12.75" hidden="false" customHeight="false" outlineLevel="0" collapsed="false">
      <c r="A272" s="120" t="n">
        <f aca="false">A271+1</f>
        <v>37158</v>
      </c>
      <c r="B272" s="131" t="str">
        <f aca="false">INDEX('[4]Master Data'!$A$2:$B$8,MATCH(WEEKDAY('GNS Bolv Gas MTM'!A272,3),'[4]Master Data'!$A$2:$A$8,0),2)</f>
        <v>M</v>
      </c>
      <c r="D272" s="124" t="n">
        <v>0</v>
      </c>
      <c r="E272" s="124" t="n">
        <v>0</v>
      </c>
      <c r="F272" s="124" t="n">
        <v>0</v>
      </c>
      <c r="G272" s="124" t="n">
        <v>0</v>
      </c>
      <c r="I272" s="124" t="n">
        <f aca="false">IF(MONTH($A272)=MONTH($A271),IF(G272=0,I271,G272),G272)</f>
        <v>0</v>
      </c>
      <c r="J272" s="124" t="n">
        <f aca="false">IF(MONTH($A272)=MONTH($A271),SUM(I272-I271),I272)</f>
        <v>0</v>
      </c>
      <c r="K272" s="124" t="n">
        <f aca="false">IF(WEEKDAY(A272,3)&gt;4,0,(IF(A272&lt;K$2,0,IF(A272&lt;=K$3,1,0))))</f>
        <v>0</v>
      </c>
      <c r="L272" s="124" t="n">
        <f aca="false">J272*K272</f>
        <v>0</v>
      </c>
      <c r="M272" s="124" t="n">
        <f aca="false">SUM(J$188:J272)</f>
        <v>0</v>
      </c>
      <c r="N272" s="124" t="n">
        <f aca="false">SUM(J$6:J272)</f>
        <v>-37239</v>
      </c>
      <c r="P272" s="124" t="n">
        <f aca="false">D272/P$3</f>
        <v>0</v>
      </c>
      <c r="Q272" s="124" t="n">
        <f aca="false">E272/P$3</f>
        <v>0</v>
      </c>
      <c r="R272" s="124" t="n">
        <f aca="false">F272/R$3</f>
        <v>0</v>
      </c>
      <c r="S272" s="126" t="n">
        <f aca="false">J272/$R$3</f>
        <v>0</v>
      </c>
      <c r="T272" s="126" t="n">
        <f aca="false">L272/$R$3</f>
        <v>0</v>
      </c>
      <c r="U272" s="126" t="n">
        <f aca="false">I272/$R$3</f>
        <v>0</v>
      </c>
      <c r="V272" s="126" t="n">
        <f aca="false">M272/$R$3</f>
        <v>0</v>
      </c>
      <c r="W272" s="126" t="n">
        <f aca="false">N272/$R$3</f>
        <v>-37.239</v>
      </c>
    </row>
    <row r="273" customFormat="false" ht="12.75" hidden="false" customHeight="false" outlineLevel="0" collapsed="false">
      <c r="A273" s="120" t="n">
        <f aca="false">A272+1</f>
        <v>37159</v>
      </c>
      <c r="B273" s="131" t="str">
        <f aca="false">INDEX('[4]Master Data'!$A$2:$B$8,MATCH(WEEKDAY('GNS Bolv Gas MTM'!A273,3),'[4]Master Data'!$A$2:$A$8,0),2)</f>
        <v>T</v>
      </c>
      <c r="D273" s="124" t="n">
        <v>0</v>
      </c>
      <c r="E273" s="124" t="n">
        <v>0</v>
      </c>
      <c r="F273" s="124" t="n">
        <v>0</v>
      </c>
      <c r="G273" s="124" t="n">
        <v>0</v>
      </c>
      <c r="I273" s="124" t="n">
        <f aca="false">IF(MONTH($A273)=MONTH($A272),IF(G273=0,I272,G273),G273)</f>
        <v>0</v>
      </c>
      <c r="J273" s="124" t="n">
        <f aca="false">IF(MONTH($A273)=MONTH($A272),SUM(I273-I272),I273)</f>
        <v>0</v>
      </c>
      <c r="K273" s="124" t="n">
        <f aca="false">IF(WEEKDAY(A273,3)&gt;4,0,(IF(A273&lt;K$2,0,IF(A273&lt;=K$3,1,0))))</f>
        <v>0</v>
      </c>
      <c r="L273" s="124" t="n">
        <f aca="false">J273*K273</f>
        <v>0</v>
      </c>
      <c r="M273" s="124" t="n">
        <f aca="false">SUM(J$188:J273)</f>
        <v>0</v>
      </c>
      <c r="N273" s="124" t="n">
        <f aca="false">SUM(J$6:J273)</f>
        <v>-37239</v>
      </c>
      <c r="P273" s="124" t="n">
        <f aca="false">D273/P$3</f>
        <v>0</v>
      </c>
      <c r="Q273" s="124" t="n">
        <f aca="false">E273/P$3</f>
        <v>0</v>
      </c>
      <c r="R273" s="124" t="n">
        <f aca="false">F273/R$3</f>
        <v>0</v>
      </c>
      <c r="S273" s="126" t="n">
        <f aca="false">J273/$R$3</f>
        <v>0</v>
      </c>
      <c r="T273" s="126" t="n">
        <f aca="false">L273/$R$3</f>
        <v>0</v>
      </c>
      <c r="U273" s="126" t="n">
        <f aca="false">I273/$R$3</f>
        <v>0</v>
      </c>
      <c r="V273" s="126" t="n">
        <f aca="false">M273/$R$3</f>
        <v>0</v>
      </c>
      <c r="W273" s="126" t="n">
        <f aca="false">N273/$R$3</f>
        <v>-37.239</v>
      </c>
    </row>
    <row r="274" customFormat="false" ht="12.75" hidden="false" customHeight="false" outlineLevel="0" collapsed="false">
      <c r="A274" s="120" t="n">
        <f aca="false">A273+1</f>
        <v>37160</v>
      </c>
      <c r="B274" s="131" t="str">
        <f aca="false">INDEX('[4]Master Data'!$A$2:$B$8,MATCH(WEEKDAY('GNS Bolv Gas MTM'!A274,3),'[4]Master Data'!$A$2:$A$8,0),2)</f>
        <v>W</v>
      </c>
      <c r="D274" s="124" t="n">
        <v>0</v>
      </c>
      <c r="E274" s="124" t="n">
        <v>0</v>
      </c>
      <c r="F274" s="124" t="n">
        <v>0</v>
      </c>
      <c r="G274" s="124" t="n">
        <v>0</v>
      </c>
      <c r="I274" s="124" t="n">
        <f aca="false">IF(MONTH($A274)=MONTH($A273),IF(G274=0,I273,G274),G274)</f>
        <v>0</v>
      </c>
      <c r="J274" s="124" t="n">
        <f aca="false">IF(MONTH($A274)=MONTH($A273),SUM(I274-I273),I274)</f>
        <v>0</v>
      </c>
      <c r="K274" s="124" t="n">
        <f aca="false">IF(WEEKDAY(A274,3)&gt;4,0,(IF(A274&lt;K$2,0,IF(A274&lt;=K$3,1,0))))</f>
        <v>0</v>
      </c>
      <c r="L274" s="124" t="n">
        <f aca="false">J274*K274</f>
        <v>0</v>
      </c>
      <c r="M274" s="124" t="n">
        <f aca="false">SUM(J$188:J274)</f>
        <v>0</v>
      </c>
      <c r="N274" s="124" t="n">
        <f aca="false">SUM(J$6:J274)</f>
        <v>-37239</v>
      </c>
      <c r="P274" s="124" t="n">
        <f aca="false">D274/P$3</f>
        <v>0</v>
      </c>
      <c r="Q274" s="124" t="n">
        <f aca="false">E274/P$3</f>
        <v>0</v>
      </c>
      <c r="R274" s="124" t="n">
        <f aca="false">F274/R$3</f>
        <v>0</v>
      </c>
      <c r="S274" s="126" t="n">
        <f aca="false">J274/$R$3</f>
        <v>0</v>
      </c>
      <c r="T274" s="126" t="n">
        <f aca="false">L274/$R$3</f>
        <v>0</v>
      </c>
      <c r="U274" s="126" t="n">
        <f aca="false">I274/$R$3</f>
        <v>0</v>
      </c>
      <c r="V274" s="126" t="n">
        <f aca="false">M274/$R$3</f>
        <v>0</v>
      </c>
      <c r="W274" s="126" t="n">
        <f aca="false">N274/$R$3</f>
        <v>-37.239</v>
      </c>
    </row>
    <row r="275" customFormat="false" ht="12.75" hidden="false" customHeight="false" outlineLevel="0" collapsed="false">
      <c r="A275" s="120" t="n">
        <f aca="false">A274+1</f>
        <v>37161</v>
      </c>
      <c r="B275" s="131" t="str">
        <f aca="false">INDEX('[4]Master Data'!$A$2:$B$8,MATCH(WEEKDAY('GNS Bolv Gas MTM'!A275,3),'[4]Master Data'!$A$2:$A$8,0),2)</f>
        <v>Th</v>
      </c>
      <c r="D275" s="124" t="n">
        <v>0</v>
      </c>
      <c r="E275" s="124" t="n">
        <v>0</v>
      </c>
      <c r="F275" s="124" t="n">
        <v>0</v>
      </c>
      <c r="G275" s="124" t="n">
        <v>0</v>
      </c>
      <c r="I275" s="124" t="n">
        <f aca="false">IF(MONTH($A275)=MONTH($A274),IF(G275=0,I274,G275),G275)</f>
        <v>0</v>
      </c>
      <c r="J275" s="124" t="n">
        <f aca="false">IF(MONTH($A275)=MONTH($A274),SUM(I275-I274),I275)</f>
        <v>0</v>
      </c>
      <c r="K275" s="124" t="n">
        <f aca="false">IF(WEEKDAY(A275,3)&gt;4,0,(IF(A275&lt;K$2,0,IF(A275&lt;=K$3,1,0))))</f>
        <v>0</v>
      </c>
      <c r="L275" s="124" t="n">
        <f aca="false">J275*K275</f>
        <v>0</v>
      </c>
      <c r="M275" s="124" t="n">
        <f aca="false">SUM(J$188:J275)</f>
        <v>0</v>
      </c>
      <c r="N275" s="124" t="n">
        <f aca="false">SUM(J$6:J275)</f>
        <v>-37239</v>
      </c>
      <c r="P275" s="124" t="n">
        <f aca="false">D275/P$3</f>
        <v>0</v>
      </c>
      <c r="Q275" s="124" t="n">
        <f aca="false">E275/P$3</f>
        <v>0</v>
      </c>
      <c r="R275" s="124" t="n">
        <f aca="false">F275/R$3</f>
        <v>0</v>
      </c>
      <c r="S275" s="126" t="n">
        <f aca="false">J275/$R$3</f>
        <v>0</v>
      </c>
      <c r="T275" s="126" t="n">
        <f aca="false">L275/$R$3</f>
        <v>0</v>
      </c>
      <c r="U275" s="126" t="n">
        <f aca="false">I275/$R$3</f>
        <v>0</v>
      </c>
      <c r="V275" s="126" t="n">
        <f aca="false">M275/$R$3</f>
        <v>0</v>
      </c>
      <c r="W275" s="126" t="n">
        <f aca="false">N275/$R$3</f>
        <v>-37.239</v>
      </c>
    </row>
    <row r="276" customFormat="false" ht="12.75" hidden="false" customHeight="false" outlineLevel="0" collapsed="false">
      <c r="A276" s="120" t="n">
        <f aca="false">A275+1</f>
        <v>37162</v>
      </c>
      <c r="B276" s="131" t="str">
        <f aca="false">INDEX('[4]Master Data'!$A$2:$B$8,MATCH(WEEKDAY('GNS Bolv Gas MTM'!A276,3),'[4]Master Data'!$A$2:$A$8,0),2)</f>
        <v>F</v>
      </c>
      <c r="D276" s="124" t="n">
        <v>0</v>
      </c>
      <c r="E276" s="124" t="n">
        <v>0</v>
      </c>
      <c r="F276" s="124" t="n">
        <v>0</v>
      </c>
      <c r="G276" s="124" t="n">
        <v>0</v>
      </c>
      <c r="I276" s="124" t="n">
        <f aca="false">IF(MONTH($A276)=MONTH($A275),IF(G276=0,I275,G276),G276)</f>
        <v>0</v>
      </c>
      <c r="J276" s="124" t="n">
        <f aca="false">IF(MONTH($A276)=MONTH($A275),SUM(I276-I275),I276)</f>
        <v>0</v>
      </c>
      <c r="K276" s="124" t="n">
        <f aca="false">IF(WEEKDAY(A276,3)&gt;4,0,(IF(A276&lt;K$2,0,IF(A276&lt;=K$3,1,0))))</f>
        <v>0</v>
      </c>
      <c r="L276" s="124" t="n">
        <f aca="false">J276*K276</f>
        <v>0</v>
      </c>
      <c r="M276" s="124" t="n">
        <f aca="false">SUM(J$188:J276)</f>
        <v>0</v>
      </c>
      <c r="N276" s="124" t="n">
        <f aca="false">SUM(J$6:J276)</f>
        <v>-37239</v>
      </c>
      <c r="P276" s="124" t="n">
        <f aca="false">D276/P$3</f>
        <v>0</v>
      </c>
      <c r="Q276" s="124" t="n">
        <f aca="false">E276/P$3</f>
        <v>0</v>
      </c>
      <c r="R276" s="124" t="n">
        <f aca="false">F276/R$3</f>
        <v>0</v>
      </c>
      <c r="S276" s="126" t="n">
        <f aca="false">J276/$R$3</f>
        <v>0</v>
      </c>
      <c r="T276" s="126" t="n">
        <f aca="false">L276/$R$3</f>
        <v>0</v>
      </c>
      <c r="U276" s="126" t="n">
        <f aca="false">I276/$R$3</f>
        <v>0</v>
      </c>
      <c r="V276" s="126" t="n">
        <f aca="false">M276/$R$3</f>
        <v>0</v>
      </c>
      <c r="W276" s="126" t="n">
        <f aca="false">N276/$R$3</f>
        <v>-37.239</v>
      </c>
    </row>
    <row r="277" customFormat="false" ht="12.75" hidden="false" customHeight="false" outlineLevel="0" collapsed="false">
      <c r="A277" s="120" t="n">
        <f aca="false">A276+1</f>
        <v>37163</v>
      </c>
      <c r="B277" s="131" t="str">
        <f aca="false">INDEX('[4]Master Data'!$A$2:$B$8,MATCH(WEEKDAY('GNS Bolv Gas MTM'!A277,3),'[4]Master Data'!$A$2:$A$8,0),2)</f>
        <v>Sa</v>
      </c>
      <c r="D277" s="124" t="n">
        <v>0</v>
      </c>
      <c r="E277" s="124" t="n">
        <v>0</v>
      </c>
      <c r="F277" s="124" t="n">
        <v>0</v>
      </c>
      <c r="G277" s="124" t="n">
        <v>0</v>
      </c>
      <c r="I277" s="124" t="n">
        <f aca="false">IF(MONTH($A277)=MONTH($A276),IF(G277=0,I276,G277),G277)</f>
        <v>0</v>
      </c>
      <c r="J277" s="124" t="n">
        <f aca="false">IF(MONTH($A277)=MONTH($A276),SUM(I277-I276),I277)</f>
        <v>0</v>
      </c>
      <c r="K277" s="124" t="n">
        <f aca="false">IF(WEEKDAY(A277,3)&gt;4,0,(IF(A277&lt;K$2,0,IF(A277&lt;=K$3,1,0))))</f>
        <v>0</v>
      </c>
      <c r="L277" s="124" t="n">
        <f aca="false">J277*K277</f>
        <v>0</v>
      </c>
      <c r="M277" s="124" t="n">
        <f aca="false">SUM(J$188:J277)</f>
        <v>0</v>
      </c>
      <c r="N277" s="124" t="n">
        <f aca="false">SUM(J$6:J277)</f>
        <v>-37239</v>
      </c>
      <c r="P277" s="124" t="n">
        <f aca="false">D277/P$3</f>
        <v>0</v>
      </c>
      <c r="Q277" s="124" t="n">
        <f aca="false">E277/P$3</f>
        <v>0</v>
      </c>
      <c r="R277" s="124" t="n">
        <f aca="false">F277/R$3</f>
        <v>0</v>
      </c>
      <c r="S277" s="126" t="n">
        <f aca="false">J277/$R$3</f>
        <v>0</v>
      </c>
      <c r="T277" s="126" t="n">
        <f aca="false">L277/$R$3</f>
        <v>0</v>
      </c>
      <c r="U277" s="126" t="n">
        <f aca="false">I277/$R$3</f>
        <v>0</v>
      </c>
      <c r="V277" s="126" t="n">
        <f aca="false">M277/$R$3</f>
        <v>0</v>
      </c>
      <c r="W277" s="126" t="n">
        <f aca="false">N277/$R$3</f>
        <v>-37.239</v>
      </c>
    </row>
    <row r="278" customFormat="false" ht="12.75" hidden="false" customHeight="false" outlineLevel="0" collapsed="false">
      <c r="A278" s="120" t="n">
        <f aca="false">A277+1</f>
        <v>37164</v>
      </c>
      <c r="B278" s="131" t="str">
        <f aca="false">INDEX('[4]Master Data'!$A$2:$B$8,MATCH(WEEKDAY('GNS Bolv Gas MTM'!A278,3),'[4]Master Data'!$A$2:$A$8,0),2)</f>
        <v>Su</v>
      </c>
      <c r="D278" s="124" t="n">
        <v>0</v>
      </c>
      <c r="E278" s="124" t="n">
        <v>0</v>
      </c>
      <c r="F278" s="124" t="n">
        <v>0</v>
      </c>
      <c r="G278" s="124" t="n">
        <v>0</v>
      </c>
      <c r="I278" s="124" t="n">
        <f aca="false">IF(MONTH($A278)=MONTH($A277),IF(G278=0,I277,G278),G278)</f>
        <v>0</v>
      </c>
      <c r="J278" s="124" t="n">
        <f aca="false">IF(MONTH($A278)=MONTH($A277),SUM(I278-I277),I278)</f>
        <v>0</v>
      </c>
      <c r="K278" s="124" t="n">
        <f aca="false">IF(WEEKDAY(A278,3)&gt;4,0,(IF(A278&lt;K$2,0,IF(A278&lt;=K$3,1,0))))</f>
        <v>0</v>
      </c>
      <c r="L278" s="124" t="n">
        <f aca="false">J278*K278</f>
        <v>0</v>
      </c>
      <c r="M278" s="124" t="n">
        <f aca="false">SUM(J$188:J278)</f>
        <v>0</v>
      </c>
      <c r="N278" s="124" t="n">
        <f aca="false">SUM(J$6:J278)</f>
        <v>-37239</v>
      </c>
      <c r="P278" s="124" t="n">
        <f aca="false">D278/P$3</f>
        <v>0</v>
      </c>
      <c r="Q278" s="124" t="n">
        <f aca="false">E278/P$3</f>
        <v>0</v>
      </c>
      <c r="R278" s="124" t="n">
        <f aca="false">F278/R$3</f>
        <v>0</v>
      </c>
      <c r="S278" s="126" t="n">
        <f aca="false">J278/$R$3</f>
        <v>0</v>
      </c>
      <c r="T278" s="126" t="n">
        <f aca="false">L278/$R$3</f>
        <v>0</v>
      </c>
      <c r="U278" s="126" t="n">
        <f aca="false">I278/$R$3</f>
        <v>0</v>
      </c>
      <c r="V278" s="126" t="n">
        <f aca="false">M278/$R$3</f>
        <v>0</v>
      </c>
      <c r="W278" s="126" t="n">
        <f aca="false">N278/$R$3</f>
        <v>-37.239</v>
      </c>
    </row>
    <row r="279" customFormat="false" ht="12.75" hidden="false" customHeight="false" outlineLevel="0" collapsed="false">
      <c r="A279" s="120" t="n">
        <f aca="false">A278+1</f>
        <v>37165</v>
      </c>
      <c r="B279" s="131" t="str">
        <f aca="false">INDEX('[4]Master Data'!$A$2:$B$8,MATCH(WEEKDAY('GNS Bolv Gas MTM'!A279,3),'[4]Master Data'!$A$2:$A$8,0),2)</f>
        <v>M</v>
      </c>
      <c r="D279" s="124" t="n">
        <v>0</v>
      </c>
      <c r="E279" s="124" t="n">
        <v>0</v>
      </c>
      <c r="F279" s="124" t="n">
        <v>0</v>
      </c>
      <c r="G279" s="124" t="n">
        <v>0</v>
      </c>
      <c r="I279" s="124" t="n">
        <f aca="false">IF(MONTH($A279)=MONTH($A278),IF(G279=0,I278,G279),G279)</f>
        <v>0</v>
      </c>
      <c r="J279" s="124" t="n">
        <f aca="false">IF(MONTH($A279)=MONTH($A278),SUM(I279-I278),I279)</f>
        <v>0</v>
      </c>
      <c r="K279" s="124" t="n">
        <f aca="false">IF(WEEKDAY(A279,3)&gt;4,0,(IF(A279&lt;K$2,0,IF(A279&lt;=K$3,1,0))))</f>
        <v>0</v>
      </c>
      <c r="L279" s="124" t="n">
        <f aca="false">J279*K279</f>
        <v>0</v>
      </c>
      <c r="M279" s="124" t="n">
        <f aca="false">SUM(J$188:J279)</f>
        <v>0</v>
      </c>
      <c r="N279" s="124" t="n">
        <f aca="false">SUM(J$6:J279)</f>
        <v>-37239</v>
      </c>
      <c r="P279" s="124" t="n">
        <f aca="false">D279/P$3</f>
        <v>0</v>
      </c>
      <c r="Q279" s="124" t="n">
        <f aca="false">E279/P$3</f>
        <v>0</v>
      </c>
      <c r="R279" s="124" t="n">
        <f aca="false">F279/R$3</f>
        <v>0</v>
      </c>
      <c r="S279" s="126" t="n">
        <f aca="false">J279/$R$3</f>
        <v>0</v>
      </c>
      <c r="T279" s="126" t="n">
        <f aca="false">L279/$R$3</f>
        <v>0</v>
      </c>
      <c r="U279" s="126" t="n">
        <f aca="false">I279/$R$3</f>
        <v>0</v>
      </c>
      <c r="V279" s="126" t="n">
        <f aca="false">M279/$R$3</f>
        <v>0</v>
      </c>
      <c r="W279" s="126" t="n">
        <f aca="false">N279/$R$3</f>
        <v>-37.239</v>
      </c>
    </row>
    <row r="280" customFormat="false" ht="12.75" hidden="false" customHeight="false" outlineLevel="0" collapsed="false">
      <c r="A280" s="120" t="n">
        <f aca="false">A279+1</f>
        <v>37166</v>
      </c>
      <c r="B280" s="131" t="str">
        <f aca="false">INDEX('[4]Master Data'!$A$2:$B$8,MATCH(WEEKDAY('GNS Bolv Gas MTM'!A280,3),'[4]Master Data'!$A$2:$A$8,0),2)</f>
        <v>T</v>
      </c>
      <c r="D280" s="124" t="n">
        <v>0</v>
      </c>
      <c r="E280" s="124" t="n">
        <v>0</v>
      </c>
      <c r="F280" s="124" t="n">
        <v>0</v>
      </c>
      <c r="G280" s="124" t="n">
        <v>0</v>
      </c>
      <c r="I280" s="124" t="n">
        <f aca="false">IF(MONTH($A280)=MONTH($A279),IF(G280=0,I279,G280),G280)</f>
        <v>0</v>
      </c>
      <c r="J280" s="124" t="n">
        <f aca="false">IF(MONTH($A280)=MONTH($A279),SUM(I280-I279),I280)</f>
        <v>0</v>
      </c>
      <c r="K280" s="124" t="n">
        <f aca="false">IF(WEEKDAY(A280,3)&gt;4,0,(IF(A280&lt;K$2,0,IF(A280&lt;=K$3,1,0))))</f>
        <v>0</v>
      </c>
      <c r="L280" s="124" t="n">
        <f aca="false">J280*K280</f>
        <v>0</v>
      </c>
      <c r="M280" s="124" t="n">
        <f aca="false">SUM(J$280:J280)</f>
        <v>0</v>
      </c>
      <c r="N280" s="124" t="n">
        <f aca="false">SUM(J$6:J280)</f>
        <v>-37239</v>
      </c>
      <c r="P280" s="124" t="n">
        <f aca="false">D280/P$3</f>
        <v>0</v>
      </c>
      <c r="Q280" s="124" t="n">
        <f aca="false">E280/P$3</f>
        <v>0</v>
      </c>
      <c r="R280" s="124" t="n">
        <f aca="false">F280/R$3</f>
        <v>0</v>
      </c>
      <c r="S280" s="126" t="n">
        <f aca="false">J280/$R$3</f>
        <v>0</v>
      </c>
      <c r="T280" s="126" t="n">
        <f aca="false">L280/$R$3</f>
        <v>0</v>
      </c>
      <c r="U280" s="126" t="n">
        <f aca="false">I280/$R$3</f>
        <v>0</v>
      </c>
      <c r="V280" s="126" t="n">
        <f aca="false">M280/$R$3</f>
        <v>0</v>
      </c>
      <c r="W280" s="126" t="n">
        <f aca="false">N280/$R$3</f>
        <v>-37.239</v>
      </c>
    </row>
    <row r="281" customFormat="false" ht="12.75" hidden="false" customHeight="false" outlineLevel="0" collapsed="false">
      <c r="A281" s="120" t="n">
        <f aca="false">A280+1</f>
        <v>37167</v>
      </c>
      <c r="B281" s="131" t="str">
        <f aca="false">INDEX('[4]Master Data'!$A$2:$B$8,MATCH(WEEKDAY('GNS Bolv Gas MTM'!A281,3),'[4]Master Data'!$A$2:$A$8,0),2)</f>
        <v>W</v>
      </c>
      <c r="D281" s="124" t="n">
        <v>0</v>
      </c>
      <c r="E281" s="124" t="n">
        <v>0</v>
      </c>
      <c r="F281" s="124" t="n">
        <v>0</v>
      </c>
      <c r="G281" s="124" t="n">
        <v>0</v>
      </c>
      <c r="I281" s="124" t="n">
        <f aca="false">IF(MONTH($A281)=MONTH($A280),IF(G281=0,I280,G281),G281)</f>
        <v>0</v>
      </c>
      <c r="J281" s="124" t="n">
        <f aca="false">IF(MONTH($A281)=MONTH($A280),SUM(I281-I280),I281)</f>
        <v>0</v>
      </c>
      <c r="K281" s="124" t="n">
        <f aca="false">IF(WEEKDAY(A281,3)&gt;4,0,(IF(A281&lt;K$2,0,IF(A281&lt;=K$3,1,0))))</f>
        <v>0</v>
      </c>
      <c r="L281" s="124" t="n">
        <f aca="false">J281*K281</f>
        <v>0</v>
      </c>
      <c r="M281" s="124" t="n">
        <f aca="false">SUM(J$280:J281)</f>
        <v>0</v>
      </c>
      <c r="N281" s="124" t="n">
        <f aca="false">SUM(J$6:J281)</f>
        <v>-37239</v>
      </c>
      <c r="P281" s="124" t="n">
        <f aca="false">D281/P$3</f>
        <v>0</v>
      </c>
      <c r="Q281" s="124" t="n">
        <f aca="false">E281/P$3</f>
        <v>0</v>
      </c>
      <c r="R281" s="124" t="n">
        <f aca="false">F281/R$3</f>
        <v>0</v>
      </c>
      <c r="S281" s="126" t="n">
        <f aca="false">J281/$R$3</f>
        <v>0</v>
      </c>
      <c r="T281" s="126" t="n">
        <f aca="false">L281/$R$3</f>
        <v>0</v>
      </c>
      <c r="U281" s="126" t="n">
        <f aca="false">I281/$R$3</f>
        <v>0</v>
      </c>
      <c r="V281" s="126" t="n">
        <f aca="false">M281/$R$3</f>
        <v>0</v>
      </c>
      <c r="W281" s="126" t="n">
        <f aca="false">N281/$R$3</f>
        <v>-37.239</v>
      </c>
    </row>
    <row r="282" customFormat="false" ht="12.75" hidden="false" customHeight="false" outlineLevel="0" collapsed="false">
      <c r="A282" s="120" t="n">
        <f aca="false">A281+1</f>
        <v>37168</v>
      </c>
      <c r="B282" s="131" t="str">
        <f aca="false">INDEX('[4]Master Data'!$A$2:$B$8,MATCH(WEEKDAY('GNS Bolv Gas MTM'!A282,3),'[4]Master Data'!$A$2:$A$8,0),2)</f>
        <v>Th</v>
      </c>
      <c r="D282" s="124" t="n">
        <v>0</v>
      </c>
      <c r="E282" s="124" t="n">
        <v>0</v>
      </c>
      <c r="F282" s="124" t="n">
        <v>0</v>
      </c>
      <c r="G282" s="124" t="n">
        <v>0</v>
      </c>
      <c r="I282" s="124" t="n">
        <f aca="false">IF(MONTH($A282)=MONTH($A281),IF(G282=0,I281,G282),G282)</f>
        <v>0</v>
      </c>
      <c r="J282" s="124" t="n">
        <f aca="false">IF(MONTH($A282)=MONTH($A281),SUM(I282-I281),I282)</f>
        <v>0</v>
      </c>
      <c r="K282" s="124" t="n">
        <f aca="false">IF(WEEKDAY(A282,3)&gt;4,0,(IF(A282&lt;K$2,0,IF(A282&lt;=K$3,1,0))))</f>
        <v>0</v>
      </c>
      <c r="L282" s="124" t="n">
        <f aca="false">J282*K282</f>
        <v>0</v>
      </c>
      <c r="M282" s="124" t="n">
        <f aca="false">SUM(J$280:J282)</f>
        <v>0</v>
      </c>
      <c r="N282" s="124" t="n">
        <f aca="false">SUM(J$6:J282)</f>
        <v>-37239</v>
      </c>
      <c r="P282" s="124" t="n">
        <f aca="false">D282/P$3</f>
        <v>0</v>
      </c>
      <c r="Q282" s="124" t="n">
        <f aca="false">E282/P$3</f>
        <v>0</v>
      </c>
      <c r="R282" s="124" t="n">
        <f aca="false">F282/R$3</f>
        <v>0</v>
      </c>
      <c r="S282" s="126" t="n">
        <f aca="false">J282/$R$3</f>
        <v>0</v>
      </c>
      <c r="T282" s="126" t="n">
        <f aca="false">L282/$R$3</f>
        <v>0</v>
      </c>
      <c r="U282" s="126" t="n">
        <f aca="false">I282/$R$3</f>
        <v>0</v>
      </c>
      <c r="V282" s="126" t="n">
        <f aca="false">M282/$R$3</f>
        <v>0</v>
      </c>
      <c r="W282" s="126" t="n">
        <f aca="false">N282/$R$3</f>
        <v>-37.239</v>
      </c>
    </row>
    <row r="283" customFormat="false" ht="12.75" hidden="false" customHeight="false" outlineLevel="0" collapsed="false">
      <c r="A283" s="120" t="n">
        <f aca="false">A282+1</f>
        <v>37169</v>
      </c>
      <c r="B283" s="131" t="str">
        <f aca="false">INDEX('[4]Master Data'!$A$2:$B$8,MATCH(WEEKDAY('GNS Bolv Gas MTM'!A283,3),'[4]Master Data'!$A$2:$A$8,0),2)</f>
        <v>F</v>
      </c>
      <c r="D283" s="124" t="n">
        <v>0</v>
      </c>
      <c r="E283" s="124" t="n">
        <v>0</v>
      </c>
      <c r="F283" s="124" t="n">
        <v>0</v>
      </c>
      <c r="G283" s="124" t="n">
        <v>0</v>
      </c>
      <c r="I283" s="124" t="n">
        <f aca="false">IF(MONTH($A283)=MONTH($A282),IF(G283=0,I282,G283),G283)</f>
        <v>0</v>
      </c>
      <c r="J283" s="124" t="n">
        <f aca="false">IF(MONTH($A283)=MONTH($A282),SUM(I283-I282),I283)</f>
        <v>0</v>
      </c>
      <c r="K283" s="124" t="n">
        <f aca="false">IF(WEEKDAY(A283,3)&gt;4,0,(IF(A283&lt;K$2,0,IF(A283&lt;=K$3,1,0))))</f>
        <v>0</v>
      </c>
      <c r="L283" s="124" t="n">
        <f aca="false">J283*K283</f>
        <v>0</v>
      </c>
      <c r="M283" s="124" t="n">
        <f aca="false">SUM(J$280:J283)</f>
        <v>0</v>
      </c>
      <c r="N283" s="124" t="n">
        <f aca="false">SUM(J$6:J283)</f>
        <v>-37239</v>
      </c>
      <c r="P283" s="124" t="n">
        <f aca="false">D283/P$3</f>
        <v>0</v>
      </c>
      <c r="Q283" s="124" t="n">
        <f aca="false">E283/P$3</f>
        <v>0</v>
      </c>
      <c r="R283" s="124" t="n">
        <f aca="false">F283/R$3</f>
        <v>0</v>
      </c>
      <c r="S283" s="126" t="n">
        <f aca="false">J283/$R$3</f>
        <v>0</v>
      </c>
      <c r="T283" s="126" t="n">
        <f aca="false">L283/$R$3</f>
        <v>0</v>
      </c>
      <c r="U283" s="126" t="n">
        <f aca="false">I283/$R$3</f>
        <v>0</v>
      </c>
      <c r="V283" s="126" t="n">
        <f aca="false">M283/$R$3</f>
        <v>0</v>
      </c>
      <c r="W283" s="126" t="n">
        <f aca="false">N283/$R$3</f>
        <v>-37.239</v>
      </c>
    </row>
    <row r="284" customFormat="false" ht="12.75" hidden="false" customHeight="false" outlineLevel="0" collapsed="false">
      <c r="A284" s="120" t="n">
        <f aca="false">A283+1</f>
        <v>37170</v>
      </c>
      <c r="B284" s="131" t="str">
        <f aca="false">INDEX('[4]Master Data'!$A$2:$B$8,MATCH(WEEKDAY('GNS Bolv Gas MTM'!A284,3),'[4]Master Data'!$A$2:$A$8,0),2)</f>
        <v>Sa</v>
      </c>
      <c r="D284" s="124" t="n">
        <v>0</v>
      </c>
      <c r="E284" s="124" t="n">
        <v>0</v>
      </c>
      <c r="F284" s="124" t="n">
        <v>0</v>
      </c>
      <c r="G284" s="124" t="n">
        <v>0</v>
      </c>
      <c r="I284" s="124" t="n">
        <f aca="false">IF(MONTH($A284)=MONTH($A283),IF(G284=0,I283,G284),G284)</f>
        <v>0</v>
      </c>
      <c r="J284" s="124" t="n">
        <f aca="false">IF(MONTH($A284)=MONTH($A283),SUM(I284-I283),I284)</f>
        <v>0</v>
      </c>
      <c r="K284" s="124" t="n">
        <f aca="false">IF(WEEKDAY(A284,3)&gt;4,0,(IF(A284&lt;K$2,0,IF(A284&lt;=K$3,1,0))))</f>
        <v>0</v>
      </c>
      <c r="L284" s="124" t="n">
        <f aca="false">J284*K284</f>
        <v>0</v>
      </c>
      <c r="M284" s="124" t="n">
        <f aca="false">SUM(J$280:J284)</f>
        <v>0</v>
      </c>
      <c r="N284" s="124" t="n">
        <f aca="false">SUM(J$6:J284)</f>
        <v>-37239</v>
      </c>
      <c r="P284" s="124" t="n">
        <f aca="false">D284/P$3</f>
        <v>0</v>
      </c>
      <c r="Q284" s="124" t="n">
        <f aca="false">E284/P$3</f>
        <v>0</v>
      </c>
      <c r="R284" s="124" t="n">
        <f aca="false">F284/R$3</f>
        <v>0</v>
      </c>
      <c r="S284" s="126" t="n">
        <f aca="false">J284/$R$3</f>
        <v>0</v>
      </c>
      <c r="T284" s="126" t="n">
        <f aca="false">L284/$R$3</f>
        <v>0</v>
      </c>
      <c r="U284" s="126" t="n">
        <f aca="false">I284/$R$3</f>
        <v>0</v>
      </c>
      <c r="V284" s="126" t="n">
        <f aca="false">M284/$R$3</f>
        <v>0</v>
      </c>
      <c r="W284" s="126" t="n">
        <f aca="false">N284/$R$3</f>
        <v>-37.239</v>
      </c>
    </row>
    <row r="285" customFormat="false" ht="12.75" hidden="false" customHeight="false" outlineLevel="0" collapsed="false">
      <c r="A285" s="120" t="n">
        <f aca="false">A284+1</f>
        <v>37171</v>
      </c>
      <c r="B285" s="131" t="str">
        <f aca="false">INDEX('[4]Master Data'!$A$2:$B$8,MATCH(WEEKDAY('GNS Bolv Gas MTM'!A285,3),'[4]Master Data'!$A$2:$A$8,0),2)</f>
        <v>Su</v>
      </c>
      <c r="D285" s="124" t="n">
        <v>0</v>
      </c>
      <c r="E285" s="124" t="n">
        <v>0</v>
      </c>
      <c r="F285" s="124" t="n">
        <v>0</v>
      </c>
      <c r="G285" s="124" t="n">
        <v>0</v>
      </c>
      <c r="I285" s="124" t="n">
        <f aca="false">IF(MONTH($A285)=MONTH($A284),IF(G285=0,I284,G285),G285)</f>
        <v>0</v>
      </c>
      <c r="J285" s="124" t="n">
        <f aca="false">IF(MONTH($A285)=MONTH($A284),SUM(I285-I284),I285)</f>
        <v>0</v>
      </c>
      <c r="K285" s="124" t="n">
        <f aca="false">IF(WEEKDAY(A285,3)&gt;4,0,(IF(A285&lt;K$2,0,IF(A285&lt;=K$3,1,0))))</f>
        <v>0</v>
      </c>
      <c r="L285" s="124" t="n">
        <f aca="false">J285*K285</f>
        <v>0</v>
      </c>
      <c r="M285" s="124" t="n">
        <f aca="false">SUM(J$280:J285)</f>
        <v>0</v>
      </c>
      <c r="N285" s="124" t="n">
        <f aca="false">SUM(J$6:J285)</f>
        <v>-37239</v>
      </c>
      <c r="P285" s="124" t="n">
        <f aca="false">D285/P$3</f>
        <v>0</v>
      </c>
      <c r="Q285" s="124" t="n">
        <f aca="false">E285/P$3</f>
        <v>0</v>
      </c>
      <c r="R285" s="124" t="n">
        <f aca="false">F285/R$3</f>
        <v>0</v>
      </c>
      <c r="S285" s="126" t="n">
        <f aca="false">J285/$R$3</f>
        <v>0</v>
      </c>
      <c r="T285" s="126" t="n">
        <f aca="false">L285/$R$3</f>
        <v>0</v>
      </c>
      <c r="U285" s="126" t="n">
        <f aca="false">I285/$R$3</f>
        <v>0</v>
      </c>
      <c r="V285" s="126" t="n">
        <f aca="false">M285/$R$3</f>
        <v>0</v>
      </c>
      <c r="W285" s="126" t="n">
        <f aca="false">N285/$R$3</f>
        <v>-37.239</v>
      </c>
    </row>
    <row r="286" customFormat="false" ht="12.75" hidden="false" customHeight="false" outlineLevel="0" collapsed="false">
      <c r="A286" s="120" t="n">
        <f aca="false">A285+1</f>
        <v>37172</v>
      </c>
      <c r="B286" s="131" t="str">
        <f aca="false">INDEX('[4]Master Data'!$A$2:$B$8,MATCH(WEEKDAY('GNS Bolv Gas MTM'!A286,3),'[4]Master Data'!$A$2:$A$8,0),2)</f>
        <v>M</v>
      </c>
      <c r="D286" s="124" t="n">
        <v>0</v>
      </c>
      <c r="E286" s="124" t="n">
        <v>0</v>
      </c>
      <c r="F286" s="124" t="n">
        <v>0</v>
      </c>
      <c r="G286" s="124" t="n">
        <v>0</v>
      </c>
      <c r="I286" s="124" t="n">
        <f aca="false">IF(MONTH($A286)=MONTH($A285),IF(G286=0,I285,G286),G286)</f>
        <v>0</v>
      </c>
      <c r="J286" s="124" t="n">
        <f aca="false">IF(MONTH($A286)=MONTH($A285),SUM(I286-I285),I286)</f>
        <v>0</v>
      </c>
      <c r="K286" s="124" t="n">
        <f aca="false">IF(WEEKDAY(A286,3)&gt;4,0,(IF(A286&lt;K$2,0,IF(A286&lt;=K$3,1,0))))</f>
        <v>0</v>
      </c>
      <c r="L286" s="124" t="n">
        <f aca="false">J286*K286</f>
        <v>0</v>
      </c>
      <c r="M286" s="124" t="n">
        <f aca="false">SUM(J$280:J286)</f>
        <v>0</v>
      </c>
      <c r="N286" s="124" t="n">
        <f aca="false">SUM(J$6:J286)</f>
        <v>-37239</v>
      </c>
      <c r="P286" s="124" t="n">
        <f aca="false">D286/P$3</f>
        <v>0</v>
      </c>
      <c r="Q286" s="124" t="n">
        <f aca="false">E286/P$3</f>
        <v>0</v>
      </c>
      <c r="R286" s="124" t="n">
        <f aca="false">F286/R$3</f>
        <v>0</v>
      </c>
      <c r="S286" s="126" t="n">
        <f aca="false">J286/$R$3</f>
        <v>0</v>
      </c>
      <c r="T286" s="126" t="n">
        <f aca="false">L286/$R$3</f>
        <v>0</v>
      </c>
      <c r="U286" s="126" t="n">
        <f aca="false">I286/$R$3</f>
        <v>0</v>
      </c>
      <c r="V286" s="126" t="n">
        <f aca="false">M286/$R$3</f>
        <v>0</v>
      </c>
      <c r="W286" s="126" t="n">
        <f aca="false">N286/$R$3</f>
        <v>-37.239</v>
      </c>
    </row>
    <row r="287" customFormat="false" ht="12.75" hidden="false" customHeight="false" outlineLevel="0" collapsed="false">
      <c r="A287" s="120" t="n">
        <f aca="false">A286+1</f>
        <v>37173</v>
      </c>
      <c r="B287" s="131" t="str">
        <f aca="false">INDEX('[4]Master Data'!$A$2:$B$8,MATCH(WEEKDAY('GNS Bolv Gas MTM'!A287,3),'[4]Master Data'!$A$2:$A$8,0),2)</f>
        <v>T</v>
      </c>
      <c r="D287" s="124" t="n">
        <v>0</v>
      </c>
      <c r="E287" s="124" t="n">
        <v>0</v>
      </c>
      <c r="F287" s="124" t="n">
        <v>0</v>
      </c>
      <c r="G287" s="124" t="n">
        <v>0</v>
      </c>
      <c r="I287" s="124" t="n">
        <f aca="false">IF(MONTH($A287)=MONTH($A286),IF(G287=0,I286,G287),G287)</f>
        <v>0</v>
      </c>
      <c r="J287" s="124" t="n">
        <f aca="false">IF(MONTH($A287)=MONTH($A286),SUM(I287-I286),I287)</f>
        <v>0</v>
      </c>
      <c r="K287" s="124" t="n">
        <f aca="false">IF(WEEKDAY(A287,3)&gt;4,0,(IF(A287&lt;K$2,0,IF(A287&lt;=K$3,1,0))))</f>
        <v>0</v>
      </c>
      <c r="L287" s="124" t="n">
        <f aca="false">J287*K287</f>
        <v>0</v>
      </c>
      <c r="M287" s="124" t="n">
        <f aca="false">SUM(J$280:J287)</f>
        <v>0</v>
      </c>
      <c r="N287" s="124" t="n">
        <f aca="false">SUM(J$6:J287)</f>
        <v>-37239</v>
      </c>
      <c r="P287" s="124" t="n">
        <f aca="false">D287/P$3</f>
        <v>0</v>
      </c>
      <c r="Q287" s="124" t="n">
        <f aca="false">E287/P$3</f>
        <v>0</v>
      </c>
      <c r="R287" s="124" t="n">
        <f aca="false">F287/R$3</f>
        <v>0</v>
      </c>
      <c r="S287" s="126" t="n">
        <f aca="false">J287/$R$3</f>
        <v>0</v>
      </c>
      <c r="T287" s="126" t="n">
        <f aca="false">L287/$R$3</f>
        <v>0</v>
      </c>
      <c r="U287" s="126" t="n">
        <f aca="false">I287/$R$3</f>
        <v>0</v>
      </c>
      <c r="V287" s="126" t="n">
        <f aca="false">M287/$R$3</f>
        <v>0</v>
      </c>
      <c r="W287" s="126" t="n">
        <f aca="false">N287/$R$3</f>
        <v>-37.239</v>
      </c>
    </row>
    <row r="288" customFormat="false" ht="12.75" hidden="false" customHeight="false" outlineLevel="0" collapsed="false">
      <c r="A288" s="120" t="n">
        <f aca="false">A287+1</f>
        <v>37174</v>
      </c>
      <c r="B288" s="131" t="str">
        <f aca="false">INDEX('[4]Master Data'!$A$2:$B$8,MATCH(WEEKDAY('GNS Bolv Gas MTM'!A288,3),'[4]Master Data'!$A$2:$A$8,0),2)</f>
        <v>W</v>
      </c>
      <c r="D288" s="124" t="n">
        <v>0</v>
      </c>
      <c r="E288" s="124" t="n">
        <v>0</v>
      </c>
      <c r="F288" s="124" t="n">
        <v>0</v>
      </c>
      <c r="G288" s="124" t="n">
        <v>0</v>
      </c>
      <c r="I288" s="124" t="n">
        <f aca="false">IF(MONTH($A288)=MONTH($A287),IF(G288=0,I287,G288),G288)</f>
        <v>0</v>
      </c>
      <c r="J288" s="124" t="n">
        <f aca="false">IF(MONTH($A288)=MONTH($A287),SUM(I288-I287),I288)</f>
        <v>0</v>
      </c>
      <c r="K288" s="124" t="n">
        <f aca="false">IF(WEEKDAY(A288,3)&gt;4,0,(IF(A288&lt;K$2,0,IF(A288&lt;=K$3,1,0))))</f>
        <v>0</v>
      </c>
      <c r="L288" s="124" t="n">
        <f aca="false">J288*K288</f>
        <v>0</v>
      </c>
      <c r="M288" s="124" t="n">
        <f aca="false">SUM(J$280:J288)</f>
        <v>0</v>
      </c>
      <c r="N288" s="124" t="n">
        <f aca="false">SUM(J$6:J288)</f>
        <v>-37239</v>
      </c>
      <c r="P288" s="124" t="n">
        <f aca="false">D288/P$3</f>
        <v>0</v>
      </c>
      <c r="Q288" s="124" t="n">
        <f aca="false">E288/P$3</f>
        <v>0</v>
      </c>
      <c r="R288" s="124" t="n">
        <f aca="false">F288/R$3</f>
        <v>0</v>
      </c>
      <c r="S288" s="126" t="n">
        <f aca="false">J288/$R$3</f>
        <v>0</v>
      </c>
      <c r="T288" s="126" t="n">
        <f aca="false">L288/$R$3</f>
        <v>0</v>
      </c>
      <c r="U288" s="126" t="n">
        <f aca="false">I288/$R$3</f>
        <v>0</v>
      </c>
      <c r="V288" s="126" t="n">
        <f aca="false">M288/$R$3</f>
        <v>0</v>
      </c>
      <c r="W288" s="126" t="n">
        <f aca="false">N288/$R$3</f>
        <v>-37.239</v>
      </c>
    </row>
    <row r="289" customFormat="false" ht="12.75" hidden="false" customHeight="false" outlineLevel="0" collapsed="false">
      <c r="A289" s="120" t="n">
        <f aca="false">A288+1</f>
        <v>37175</v>
      </c>
      <c r="B289" s="131" t="str">
        <f aca="false">INDEX('[4]Master Data'!$A$2:$B$8,MATCH(WEEKDAY('GNS Bolv Gas MTM'!A289,3),'[4]Master Data'!$A$2:$A$8,0),2)</f>
        <v>Th</v>
      </c>
      <c r="D289" s="124" t="n">
        <v>0</v>
      </c>
      <c r="E289" s="124" t="n">
        <v>0</v>
      </c>
      <c r="F289" s="124" t="n">
        <v>0</v>
      </c>
      <c r="G289" s="124" t="n">
        <v>0</v>
      </c>
      <c r="I289" s="124" t="n">
        <f aca="false">IF(MONTH($A289)=MONTH($A288),IF(G289=0,I288,G289),G289)</f>
        <v>0</v>
      </c>
      <c r="J289" s="124" t="n">
        <f aca="false">IF(MONTH($A289)=MONTH($A288),SUM(I289-I288),I289)</f>
        <v>0</v>
      </c>
      <c r="K289" s="124" t="n">
        <f aca="false">IF(WEEKDAY(A289,3)&gt;4,0,(IF(A289&lt;K$2,0,IF(A289&lt;=K$3,1,0))))</f>
        <v>0</v>
      </c>
      <c r="L289" s="124" t="n">
        <f aca="false">J289*K289</f>
        <v>0</v>
      </c>
      <c r="M289" s="124" t="n">
        <f aca="false">SUM(J$280:J289)</f>
        <v>0</v>
      </c>
      <c r="N289" s="124" t="n">
        <f aca="false">SUM(J$6:J289)</f>
        <v>-37239</v>
      </c>
      <c r="P289" s="124" t="n">
        <f aca="false">D289/P$3</f>
        <v>0</v>
      </c>
      <c r="Q289" s="124" t="n">
        <f aca="false">E289/P$3</f>
        <v>0</v>
      </c>
      <c r="R289" s="124" t="n">
        <f aca="false">F289/R$3</f>
        <v>0</v>
      </c>
      <c r="S289" s="126" t="n">
        <f aca="false">J289/$R$3</f>
        <v>0</v>
      </c>
      <c r="T289" s="126" t="n">
        <f aca="false">L289/$R$3</f>
        <v>0</v>
      </c>
      <c r="U289" s="126" t="n">
        <f aca="false">I289/$R$3</f>
        <v>0</v>
      </c>
      <c r="V289" s="126" t="n">
        <f aca="false">M289/$R$3</f>
        <v>0</v>
      </c>
      <c r="W289" s="126" t="n">
        <f aca="false">N289/$R$3</f>
        <v>-37.239</v>
      </c>
    </row>
    <row r="290" customFormat="false" ht="12.75" hidden="false" customHeight="false" outlineLevel="0" collapsed="false">
      <c r="A290" s="120" t="n">
        <f aca="false">A289+1</f>
        <v>37176</v>
      </c>
      <c r="B290" s="131" t="str">
        <f aca="false">INDEX('[4]Master Data'!$A$2:$B$8,MATCH(WEEKDAY('GNS Bolv Gas MTM'!A290,3),'[4]Master Data'!$A$2:$A$8,0),2)</f>
        <v>F</v>
      </c>
      <c r="D290" s="124" t="n">
        <v>0</v>
      </c>
      <c r="E290" s="124" t="n">
        <v>0</v>
      </c>
      <c r="F290" s="124" t="n">
        <v>0</v>
      </c>
      <c r="G290" s="124" t="n">
        <v>0</v>
      </c>
      <c r="I290" s="124" t="n">
        <f aca="false">IF(MONTH($A290)=MONTH($A289),IF(G290=0,I289,G290),G290)</f>
        <v>0</v>
      </c>
      <c r="J290" s="124" t="n">
        <f aca="false">IF(MONTH($A290)=MONTH($A289),SUM(I290-I289),I290)</f>
        <v>0</v>
      </c>
      <c r="K290" s="124" t="n">
        <f aca="false">IF(WEEKDAY(A290,3)&gt;4,0,(IF(A290&lt;K$2,0,IF(A290&lt;=K$3,1,0))))</f>
        <v>0</v>
      </c>
      <c r="L290" s="124" t="n">
        <f aca="false">J290*K290</f>
        <v>0</v>
      </c>
      <c r="M290" s="124" t="n">
        <f aca="false">SUM(J$280:J290)</f>
        <v>0</v>
      </c>
      <c r="N290" s="124" t="n">
        <f aca="false">SUM(J$6:J290)</f>
        <v>-37239</v>
      </c>
      <c r="P290" s="124" t="n">
        <f aca="false">D290/P$3</f>
        <v>0</v>
      </c>
      <c r="Q290" s="124" t="n">
        <f aca="false">E290/P$3</f>
        <v>0</v>
      </c>
      <c r="R290" s="124" t="n">
        <f aca="false">F290/R$3</f>
        <v>0</v>
      </c>
      <c r="S290" s="126" t="n">
        <f aca="false">J290/$R$3</f>
        <v>0</v>
      </c>
      <c r="T290" s="126" t="n">
        <f aca="false">L290/$R$3</f>
        <v>0</v>
      </c>
      <c r="U290" s="126" t="n">
        <f aca="false">I290/$R$3</f>
        <v>0</v>
      </c>
      <c r="V290" s="126" t="n">
        <f aca="false">M290/$R$3</f>
        <v>0</v>
      </c>
      <c r="W290" s="126" t="n">
        <f aca="false">N290/$R$3</f>
        <v>-37.239</v>
      </c>
    </row>
    <row r="291" customFormat="false" ht="12.75" hidden="false" customHeight="false" outlineLevel="0" collapsed="false">
      <c r="A291" s="120" t="n">
        <f aca="false">A290+1</f>
        <v>37177</v>
      </c>
      <c r="B291" s="131" t="str">
        <f aca="false">INDEX('[4]Master Data'!$A$2:$B$8,MATCH(WEEKDAY('GNS Bolv Gas MTM'!A291,3),'[4]Master Data'!$A$2:$A$8,0),2)</f>
        <v>Sa</v>
      </c>
      <c r="D291" s="124" t="n">
        <v>0</v>
      </c>
      <c r="E291" s="124" t="n">
        <v>0</v>
      </c>
      <c r="F291" s="124" t="n">
        <v>0</v>
      </c>
      <c r="G291" s="124" t="n">
        <v>0</v>
      </c>
      <c r="I291" s="124" t="n">
        <f aca="false">IF(MONTH($A291)=MONTH($A290),IF(G291=0,I290,G291),G291)</f>
        <v>0</v>
      </c>
      <c r="J291" s="124" t="n">
        <f aca="false">IF(MONTH($A291)=MONTH($A290),SUM(I291-I290),I291)</f>
        <v>0</v>
      </c>
      <c r="K291" s="124" t="n">
        <f aca="false">IF(WEEKDAY(A291,3)&gt;4,0,(IF(A291&lt;K$2,0,IF(A291&lt;=K$3,1,0))))</f>
        <v>0</v>
      </c>
      <c r="L291" s="124" t="n">
        <f aca="false">J291*K291</f>
        <v>0</v>
      </c>
      <c r="M291" s="124" t="n">
        <f aca="false">SUM(J$280:J291)</f>
        <v>0</v>
      </c>
      <c r="N291" s="124" t="n">
        <f aca="false">SUM(J$6:J291)</f>
        <v>-37239</v>
      </c>
      <c r="P291" s="124" t="n">
        <f aca="false">D291/P$3</f>
        <v>0</v>
      </c>
      <c r="Q291" s="124" t="n">
        <f aca="false">E291/P$3</f>
        <v>0</v>
      </c>
      <c r="R291" s="124" t="n">
        <f aca="false">F291/R$3</f>
        <v>0</v>
      </c>
      <c r="S291" s="126" t="n">
        <f aca="false">J291/$R$3</f>
        <v>0</v>
      </c>
      <c r="T291" s="126" t="n">
        <f aca="false">L291/$R$3</f>
        <v>0</v>
      </c>
      <c r="U291" s="126" t="n">
        <f aca="false">I291/$R$3</f>
        <v>0</v>
      </c>
      <c r="V291" s="126" t="n">
        <f aca="false">M291/$R$3</f>
        <v>0</v>
      </c>
      <c r="W291" s="126" t="n">
        <f aca="false">N291/$R$3</f>
        <v>-37.239</v>
      </c>
    </row>
    <row r="292" customFormat="false" ht="12.75" hidden="false" customHeight="false" outlineLevel="0" collapsed="false">
      <c r="A292" s="120" t="n">
        <f aca="false">A291+1</f>
        <v>37178</v>
      </c>
      <c r="B292" s="131" t="str">
        <f aca="false">INDEX('[4]Master Data'!$A$2:$B$8,MATCH(WEEKDAY('GNS Bolv Gas MTM'!A292,3),'[4]Master Data'!$A$2:$A$8,0),2)</f>
        <v>Su</v>
      </c>
      <c r="D292" s="124" t="n">
        <v>0</v>
      </c>
      <c r="E292" s="124" t="n">
        <v>0</v>
      </c>
      <c r="F292" s="124" t="n">
        <v>0</v>
      </c>
      <c r="G292" s="124" t="n">
        <v>0</v>
      </c>
      <c r="I292" s="124" t="n">
        <f aca="false">IF(MONTH($A292)=MONTH($A291),IF(G292=0,I291,G292),G292)</f>
        <v>0</v>
      </c>
      <c r="J292" s="124" t="n">
        <f aca="false">IF(MONTH($A292)=MONTH($A291),SUM(I292-I291),I292)</f>
        <v>0</v>
      </c>
      <c r="K292" s="124" t="n">
        <f aca="false">IF(WEEKDAY(A292,3)&gt;4,0,(IF(A292&lt;K$2,0,IF(A292&lt;=K$3,1,0))))</f>
        <v>0</v>
      </c>
      <c r="L292" s="124" t="n">
        <f aca="false">J292*K292</f>
        <v>0</v>
      </c>
      <c r="M292" s="124" t="n">
        <f aca="false">SUM(J$280:J292)</f>
        <v>0</v>
      </c>
      <c r="N292" s="124" t="n">
        <f aca="false">SUM(J$6:J292)</f>
        <v>-37239</v>
      </c>
      <c r="P292" s="124" t="n">
        <f aca="false">D292/P$3</f>
        <v>0</v>
      </c>
      <c r="Q292" s="124" t="n">
        <f aca="false">E292/P$3</f>
        <v>0</v>
      </c>
      <c r="R292" s="124" t="n">
        <f aca="false">F292/R$3</f>
        <v>0</v>
      </c>
      <c r="S292" s="126" t="n">
        <f aca="false">J292/$R$3</f>
        <v>0</v>
      </c>
      <c r="T292" s="126" t="n">
        <f aca="false">L292/$R$3</f>
        <v>0</v>
      </c>
      <c r="U292" s="126" t="n">
        <f aca="false">I292/$R$3</f>
        <v>0</v>
      </c>
      <c r="V292" s="126" t="n">
        <f aca="false">M292/$R$3</f>
        <v>0</v>
      </c>
      <c r="W292" s="126" t="n">
        <f aca="false">N292/$R$3</f>
        <v>-37.239</v>
      </c>
    </row>
    <row r="293" customFormat="false" ht="12.75" hidden="false" customHeight="false" outlineLevel="0" collapsed="false">
      <c r="A293" s="120" t="n">
        <f aca="false">A292+1</f>
        <v>37179</v>
      </c>
      <c r="B293" s="131" t="str">
        <f aca="false">INDEX('[4]Master Data'!$A$2:$B$8,MATCH(WEEKDAY('GNS Bolv Gas MTM'!A293,3),'[4]Master Data'!$A$2:$A$8,0),2)</f>
        <v>M</v>
      </c>
      <c r="D293" s="124" t="n">
        <v>0</v>
      </c>
      <c r="E293" s="124" t="n">
        <v>0</v>
      </c>
      <c r="F293" s="124" t="n">
        <v>0</v>
      </c>
      <c r="G293" s="124" t="n">
        <v>0</v>
      </c>
      <c r="I293" s="124" t="n">
        <f aca="false">IF(MONTH($A293)=MONTH($A292),IF(G293=0,I292,G293),G293)</f>
        <v>0</v>
      </c>
      <c r="J293" s="124" t="n">
        <f aca="false">IF(MONTH($A293)=MONTH($A292),SUM(I293-I292),I293)</f>
        <v>0</v>
      </c>
      <c r="K293" s="124" t="n">
        <f aca="false">IF(WEEKDAY(A293,3)&gt;4,0,(IF(A293&lt;K$2,0,IF(A293&lt;=K$3,1,0))))</f>
        <v>0</v>
      </c>
      <c r="L293" s="124" t="n">
        <f aca="false">J293*K293</f>
        <v>0</v>
      </c>
      <c r="M293" s="124" t="n">
        <f aca="false">SUM(J$280:J293)</f>
        <v>0</v>
      </c>
      <c r="N293" s="124" t="n">
        <f aca="false">SUM(J$6:J293)</f>
        <v>-37239</v>
      </c>
      <c r="P293" s="124" t="n">
        <f aca="false">D293/P$3</f>
        <v>0</v>
      </c>
      <c r="Q293" s="124" t="n">
        <f aca="false">E293/P$3</f>
        <v>0</v>
      </c>
      <c r="R293" s="124" t="n">
        <f aca="false">F293/R$3</f>
        <v>0</v>
      </c>
      <c r="S293" s="126" t="n">
        <f aca="false">J293/$R$3</f>
        <v>0</v>
      </c>
      <c r="T293" s="126" t="n">
        <f aca="false">L293/$R$3</f>
        <v>0</v>
      </c>
      <c r="U293" s="126" t="n">
        <f aca="false">I293/$R$3</f>
        <v>0</v>
      </c>
      <c r="V293" s="126" t="n">
        <f aca="false">M293/$R$3</f>
        <v>0</v>
      </c>
      <c r="W293" s="126" t="n">
        <f aca="false">N293/$R$3</f>
        <v>-37.239</v>
      </c>
    </row>
    <row r="294" customFormat="false" ht="12.75" hidden="false" customHeight="false" outlineLevel="0" collapsed="false">
      <c r="A294" s="120" t="n">
        <f aca="false">A293+1</f>
        <v>37180</v>
      </c>
      <c r="B294" s="131" t="str">
        <f aca="false">INDEX('[4]Master Data'!$A$2:$B$8,MATCH(WEEKDAY('GNS Bolv Gas MTM'!A294,3),'[4]Master Data'!$A$2:$A$8,0),2)</f>
        <v>T</v>
      </c>
      <c r="D294" s="124" t="n">
        <v>0</v>
      </c>
      <c r="E294" s="124" t="n">
        <v>0</v>
      </c>
      <c r="F294" s="124" t="n">
        <v>0</v>
      </c>
      <c r="G294" s="124" t="n">
        <v>0</v>
      </c>
      <c r="I294" s="124" t="n">
        <f aca="false">IF(MONTH($A294)=MONTH($A293),IF(G294=0,I293,G294),G294)</f>
        <v>0</v>
      </c>
      <c r="J294" s="124" t="n">
        <f aca="false">IF(MONTH($A294)=MONTH($A293),SUM(I294-I293),I294)</f>
        <v>0</v>
      </c>
      <c r="K294" s="124" t="n">
        <f aca="false">IF(WEEKDAY(A294,3)&gt;4,0,(IF(A294&lt;K$2,0,IF(A294&lt;=K$3,1,0))))</f>
        <v>0</v>
      </c>
      <c r="L294" s="124" t="n">
        <f aca="false">J294*K294</f>
        <v>0</v>
      </c>
      <c r="M294" s="124" t="n">
        <f aca="false">SUM(J$280:J294)</f>
        <v>0</v>
      </c>
      <c r="N294" s="124" t="n">
        <f aca="false">SUM(J$6:J294)</f>
        <v>-37239</v>
      </c>
      <c r="P294" s="124" t="n">
        <f aca="false">D294/P$3</f>
        <v>0</v>
      </c>
      <c r="Q294" s="124" t="n">
        <f aca="false">E294/P$3</f>
        <v>0</v>
      </c>
      <c r="R294" s="124" t="n">
        <f aca="false">F294/R$3</f>
        <v>0</v>
      </c>
      <c r="S294" s="126" t="n">
        <f aca="false">J294/$R$3</f>
        <v>0</v>
      </c>
      <c r="T294" s="126" t="n">
        <f aca="false">L294/$R$3</f>
        <v>0</v>
      </c>
      <c r="U294" s="126" t="n">
        <f aca="false">I294/$R$3</f>
        <v>0</v>
      </c>
      <c r="V294" s="126" t="n">
        <f aca="false">M294/$R$3</f>
        <v>0</v>
      </c>
      <c r="W294" s="126" t="n">
        <f aca="false">N294/$R$3</f>
        <v>-37.239</v>
      </c>
    </row>
    <row r="295" customFormat="false" ht="12.75" hidden="false" customHeight="false" outlineLevel="0" collapsed="false">
      <c r="A295" s="120" t="n">
        <f aca="false">A294+1</f>
        <v>37181</v>
      </c>
      <c r="B295" s="131" t="str">
        <f aca="false">INDEX('[4]Master Data'!$A$2:$B$8,MATCH(WEEKDAY('GNS Bolv Gas MTM'!A295,3),'[4]Master Data'!$A$2:$A$8,0),2)</f>
        <v>W</v>
      </c>
      <c r="D295" s="124" t="n">
        <v>0</v>
      </c>
      <c r="E295" s="124" t="n">
        <v>0</v>
      </c>
      <c r="F295" s="124" t="n">
        <v>0</v>
      </c>
      <c r="G295" s="124" t="n">
        <v>0</v>
      </c>
      <c r="I295" s="124" t="n">
        <f aca="false">IF(MONTH($A295)=MONTH($A294),IF(G295=0,I294,G295),G295)</f>
        <v>0</v>
      </c>
      <c r="J295" s="124" t="n">
        <f aca="false">IF(MONTH($A295)=MONTH($A294),SUM(I295-I294),I295)</f>
        <v>0</v>
      </c>
      <c r="K295" s="124" t="n">
        <f aca="false">IF(WEEKDAY(A295,3)&gt;4,0,(IF(A295&lt;K$2,0,IF(A295&lt;=K$3,1,0))))</f>
        <v>0</v>
      </c>
      <c r="L295" s="124" t="n">
        <f aca="false">J295*K295</f>
        <v>0</v>
      </c>
      <c r="M295" s="124" t="n">
        <f aca="false">SUM(J$280:J295)</f>
        <v>0</v>
      </c>
      <c r="N295" s="124" t="n">
        <f aca="false">SUM(J$6:J295)</f>
        <v>-37239</v>
      </c>
      <c r="P295" s="124" t="n">
        <f aca="false">D295/P$3</f>
        <v>0</v>
      </c>
      <c r="Q295" s="124" t="n">
        <f aca="false">E295/P$3</f>
        <v>0</v>
      </c>
      <c r="R295" s="124" t="n">
        <f aca="false">F295/R$3</f>
        <v>0</v>
      </c>
      <c r="S295" s="126" t="n">
        <f aca="false">J295/$R$3</f>
        <v>0</v>
      </c>
      <c r="T295" s="126" t="n">
        <f aca="false">L295/$R$3</f>
        <v>0</v>
      </c>
      <c r="U295" s="126" t="n">
        <f aca="false">I295/$R$3</f>
        <v>0</v>
      </c>
      <c r="V295" s="126" t="n">
        <f aca="false">M295/$R$3</f>
        <v>0</v>
      </c>
      <c r="W295" s="126" t="n">
        <f aca="false">N295/$R$3</f>
        <v>-37.239</v>
      </c>
    </row>
    <row r="296" customFormat="false" ht="12.75" hidden="false" customHeight="false" outlineLevel="0" collapsed="false">
      <c r="A296" s="120" t="n">
        <f aca="false">A295+1</f>
        <v>37182</v>
      </c>
      <c r="B296" s="131" t="str">
        <f aca="false">INDEX('[4]Master Data'!$A$2:$B$8,MATCH(WEEKDAY('GNS Bolv Gas MTM'!A296,3),'[4]Master Data'!$A$2:$A$8,0),2)</f>
        <v>Th</v>
      </c>
      <c r="D296" s="124" t="n">
        <v>0</v>
      </c>
      <c r="E296" s="124" t="n">
        <v>0</v>
      </c>
      <c r="F296" s="124" t="n">
        <v>0</v>
      </c>
      <c r="G296" s="124" t="n">
        <v>0</v>
      </c>
      <c r="I296" s="124" t="n">
        <f aca="false">IF(MONTH($A296)=MONTH($A295),IF(G296=0,I295,G296),G296)</f>
        <v>0</v>
      </c>
      <c r="J296" s="124" t="n">
        <f aca="false">IF(MONTH($A296)=MONTH($A295),SUM(I296-I295),I296)</f>
        <v>0</v>
      </c>
      <c r="K296" s="124" t="n">
        <f aca="false">IF(WEEKDAY(A296,3)&gt;4,0,(IF(A296&lt;K$2,0,IF(A296&lt;=K$3,1,0))))</f>
        <v>0</v>
      </c>
      <c r="L296" s="124" t="n">
        <f aca="false">J296*K296</f>
        <v>0</v>
      </c>
      <c r="M296" s="124" t="n">
        <f aca="false">SUM(J$280:J296)</f>
        <v>0</v>
      </c>
      <c r="N296" s="124" t="n">
        <f aca="false">SUM(J$6:J296)</f>
        <v>-37239</v>
      </c>
      <c r="P296" s="124" t="n">
        <f aca="false">D296/P$3</f>
        <v>0</v>
      </c>
      <c r="Q296" s="124" t="n">
        <f aca="false">E296/P$3</f>
        <v>0</v>
      </c>
      <c r="R296" s="124" t="n">
        <f aca="false">F296/R$3</f>
        <v>0</v>
      </c>
      <c r="S296" s="126" t="n">
        <f aca="false">J296/$R$3</f>
        <v>0</v>
      </c>
      <c r="T296" s="126" t="n">
        <f aca="false">L296/$R$3</f>
        <v>0</v>
      </c>
      <c r="U296" s="126" t="n">
        <f aca="false">I296/$R$3</f>
        <v>0</v>
      </c>
      <c r="V296" s="126" t="n">
        <f aca="false">M296/$R$3</f>
        <v>0</v>
      </c>
      <c r="W296" s="126" t="n">
        <f aca="false">N296/$R$3</f>
        <v>-37.239</v>
      </c>
    </row>
    <row r="297" customFormat="false" ht="12.75" hidden="false" customHeight="false" outlineLevel="0" collapsed="false">
      <c r="A297" s="120" t="n">
        <f aca="false">A296+1</f>
        <v>37183</v>
      </c>
      <c r="B297" s="131" t="str">
        <f aca="false">INDEX('[4]Master Data'!$A$2:$B$8,MATCH(WEEKDAY('GNS Bolv Gas MTM'!A297,3),'[4]Master Data'!$A$2:$A$8,0),2)</f>
        <v>F</v>
      </c>
      <c r="D297" s="124" t="n">
        <v>0</v>
      </c>
      <c r="E297" s="124" t="n">
        <v>0</v>
      </c>
      <c r="F297" s="124" t="n">
        <v>0</v>
      </c>
      <c r="G297" s="124" t="n">
        <v>0</v>
      </c>
      <c r="I297" s="124" t="n">
        <f aca="false">IF(MONTH($A297)=MONTH($A296),IF(G297=0,I296,G297),G297)</f>
        <v>0</v>
      </c>
      <c r="J297" s="124" t="n">
        <f aca="false">IF(MONTH($A297)=MONTH($A296),SUM(I297-I296),I297)</f>
        <v>0</v>
      </c>
      <c r="K297" s="124" t="n">
        <f aca="false">IF(WEEKDAY(A297,3)&gt;4,0,(IF(A297&lt;K$2,0,IF(A297&lt;=K$3,1,0))))</f>
        <v>0</v>
      </c>
      <c r="L297" s="124" t="n">
        <f aca="false">J297*K297</f>
        <v>0</v>
      </c>
      <c r="M297" s="124" t="n">
        <f aca="false">SUM(J$280:J297)</f>
        <v>0</v>
      </c>
      <c r="N297" s="124" t="n">
        <f aca="false">SUM(J$6:J297)</f>
        <v>-37239</v>
      </c>
      <c r="P297" s="124" t="n">
        <f aca="false">D297/P$3</f>
        <v>0</v>
      </c>
      <c r="Q297" s="124" t="n">
        <f aca="false">E297/P$3</f>
        <v>0</v>
      </c>
      <c r="R297" s="124" t="n">
        <f aca="false">F297/R$3</f>
        <v>0</v>
      </c>
      <c r="S297" s="126" t="n">
        <f aca="false">J297/$R$3</f>
        <v>0</v>
      </c>
      <c r="T297" s="126" t="n">
        <f aca="false">L297/$R$3</f>
        <v>0</v>
      </c>
      <c r="U297" s="126" t="n">
        <f aca="false">I297/$R$3</f>
        <v>0</v>
      </c>
      <c r="V297" s="126" t="n">
        <f aca="false">M297/$R$3</f>
        <v>0</v>
      </c>
      <c r="W297" s="126" t="n">
        <f aca="false">N297/$R$3</f>
        <v>-37.239</v>
      </c>
    </row>
    <row r="298" customFormat="false" ht="12.75" hidden="false" customHeight="false" outlineLevel="0" collapsed="false">
      <c r="A298" s="120" t="n">
        <f aca="false">A297+1</f>
        <v>37184</v>
      </c>
      <c r="B298" s="131" t="str">
        <f aca="false">INDEX('[4]Master Data'!$A$2:$B$8,MATCH(WEEKDAY('GNS Bolv Gas MTM'!A298,3),'[4]Master Data'!$A$2:$A$8,0),2)</f>
        <v>Sa</v>
      </c>
      <c r="D298" s="124" t="n">
        <v>0</v>
      </c>
      <c r="E298" s="124" t="n">
        <v>0</v>
      </c>
      <c r="F298" s="124" t="n">
        <v>0</v>
      </c>
      <c r="G298" s="124" t="n">
        <v>0</v>
      </c>
      <c r="I298" s="124" t="n">
        <f aca="false">IF(MONTH($A298)=MONTH($A297),IF(G298=0,I297,G298),G298)</f>
        <v>0</v>
      </c>
      <c r="J298" s="124" t="n">
        <f aca="false">IF(MONTH($A298)=MONTH($A297),SUM(I298-I297),I298)</f>
        <v>0</v>
      </c>
      <c r="K298" s="124" t="n">
        <f aca="false">IF(WEEKDAY(A298,3)&gt;4,0,(IF(A298&lt;K$2,0,IF(A298&lt;=K$3,1,0))))</f>
        <v>0</v>
      </c>
      <c r="L298" s="124" t="n">
        <f aca="false">J298*K298</f>
        <v>0</v>
      </c>
      <c r="M298" s="124" t="n">
        <f aca="false">SUM(J$280:J298)</f>
        <v>0</v>
      </c>
      <c r="N298" s="124" t="n">
        <f aca="false">SUM(J$6:J298)</f>
        <v>-37239</v>
      </c>
      <c r="P298" s="124" t="n">
        <f aca="false">D298/P$3</f>
        <v>0</v>
      </c>
      <c r="Q298" s="124" t="n">
        <f aca="false">E298/P$3</f>
        <v>0</v>
      </c>
      <c r="R298" s="124" t="n">
        <f aca="false">F298/R$3</f>
        <v>0</v>
      </c>
      <c r="S298" s="126" t="n">
        <f aca="false">J298/$R$3</f>
        <v>0</v>
      </c>
      <c r="T298" s="126" t="n">
        <f aca="false">L298/$R$3</f>
        <v>0</v>
      </c>
      <c r="U298" s="126" t="n">
        <f aca="false">I298/$R$3</f>
        <v>0</v>
      </c>
      <c r="V298" s="126" t="n">
        <f aca="false">M298/$R$3</f>
        <v>0</v>
      </c>
      <c r="W298" s="126" t="n">
        <f aca="false">N298/$R$3</f>
        <v>-37.239</v>
      </c>
    </row>
    <row r="299" customFormat="false" ht="12.75" hidden="false" customHeight="false" outlineLevel="0" collapsed="false">
      <c r="A299" s="120" t="n">
        <f aca="false">A298+1</f>
        <v>37185</v>
      </c>
      <c r="B299" s="131" t="str">
        <f aca="false">INDEX('[4]Master Data'!$A$2:$B$8,MATCH(WEEKDAY('GNS Bolv Gas MTM'!A299,3),'[4]Master Data'!$A$2:$A$8,0),2)</f>
        <v>Su</v>
      </c>
      <c r="D299" s="124" t="n">
        <v>0</v>
      </c>
      <c r="E299" s="124" t="n">
        <v>0</v>
      </c>
      <c r="F299" s="124" t="n">
        <v>0</v>
      </c>
      <c r="G299" s="124" t="n">
        <v>0</v>
      </c>
      <c r="I299" s="124" t="n">
        <f aca="false">IF(MONTH($A299)=MONTH($A298),IF(G299=0,I298,G299),G299)</f>
        <v>0</v>
      </c>
      <c r="J299" s="124" t="n">
        <f aca="false">IF(MONTH($A299)=MONTH($A298),SUM(I299-I298),I299)</f>
        <v>0</v>
      </c>
      <c r="K299" s="124" t="n">
        <f aca="false">IF(WEEKDAY(A299,3)&gt;4,0,(IF(A299&lt;K$2,0,IF(A299&lt;=K$3,1,0))))</f>
        <v>0</v>
      </c>
      <c r="L299" s="124" t="n">
        <f aca="false">J299*K299</f>
        <v>0</v>
      </c>
      <c r="M299" s="124" t="n">
        <f aca="false">SUM(J$280:J299)</f>
        <v>0</v>
      </c>
      <c r="N299" s="124" t="n">
        <f aca="false">SUM(J$6:J299)</f>
        <v>-37239</v>
      </c>
      <c r="P299" s="124" t="n">
        <f aca="false">D299/P$3</f>
        <v>0</v>
      </c>
      <c r="Q299" s="124" t="n">
        <f aca="false">E299/P$3</f>
        <v>0</v>
      </c>
      <c r="R299" s="124" t="n">
        <f aca="false">F299/R$3</f>
        <v>0</v>
      </c>
      <c r="S299" s="126" t="n">
        <f aca="false">J299/$R$3</f>
        <v>0</v>
      </c>
      <c r="T299" s="126" t="n">
        <f aca="false">L299/$R$3</f>
        <v>0</v>
      </c>
      <c r="U299" s="126" t="n">
        <f aca="false">I299/$R$3</f>
        <v>0</v>
      </c>
      <c r="V299" s="126" t="n">
        <f aca="false">M299/$R$3</f>
        <v>0</v>
      </c>
      <c r="W299" s="126" t="n">
        <f aca="false">N299/$R$3</f>
        <v>-37.239</v>
      </c>
    </row>
    <row r="300" customFormat="false" ht="12.75" hidden="false" customHeight="false" outlineLevel="0" collapsed="false">
      <c r="A300" s="120" t="n">
        <f aca="false">A299+1</f>
        <v>37186</v>
      </c>
      <c r="B300" s="131" t="str">
        <f aca="false">INDEX('[4]Master Data'!$A$2:$B$8,MATCH(WEEKDAY('GNS Bolv Gas MTM'!A300,3),'[4]Master Data'!$A$2:$A$8,0),2)</f>
        <v>M</v>
      </c>
      <c r="D300" s="124" t="n">
        <v>0</v>
      </c>
      <c r="E300" s="124" t="n">
        <v>0</v>
      </c>
      <c r="F300" s="124" t="n">
        <v>0</v>
      </c>
      <c r="G300" s="124" t="n">
        <v>0</v>
      </c>
      <c r="I300" s="124" t="n">
        <f aca="false">IF(MONTH($A300)=MONTH($A299),IF(G300=0,I299,G300),G300)</f>
        <v>0</v>
      </c>
      <c r="J300" s="124" t="n">
        <f aca="false">IF(MONTH($A300)=MONTH($A299),SUM(I300-I299),I300)</f>
        <v>0</v>
      </c>
      <c r="K300" s="124" t="n">
        <f aca="false">IF(WEEKDAY(A300,3)&gt;4,0,(IF(A300&lt;K$2,0,IF(A300&lt;=K$3,1,0))))</f>
        <v>0</v>
      </c>
      <c r="L300" s="124" t="n">
        <f aca="false">J300*K300</f>
        <v>0</v>
      </c>
      <c r="M300" s="124" t="n">
        <f aca="false">SUM(J$280:J300)</f>
        <v>0</v>
      </c>
      <c r="N300" s="124" t="n">
        <f aca="false">SUM(J$6:J300)</f>
        <v>-37239</v>
      </c>
      <c r="P300" s="124" t="n">
        <f aca="false">D300/P$3</f>
        <v>0</v>
      </c>
      <c r="Q300" s="124" t="n">
        <f aca="false">E300/P$3</f>
        <v>0</v>
      </c>
      <c r="R300" s="124" t="n">
        <f aca="false">F300/R$3</f>
        <v>0</v>
      </c>
      <c r="S300" s="126" t="n">
        <f aca="false">J300/$R$3</f>
        <v>0</v>
      </c>
      <c r="T300" s="126" t="n">
        <f aca="false">L300/$R$3</f>
        <v>0</v>
      </c>
      <c r="U300" s="126" t="n">
        <f aca="false">I300/$R$3</f>
        <v>0</v>
      </c>
      <c r="V300" s="126" t="n">
        <f aca="false">M300/$R$3</f>
        <v>0</v>
      </c>
      <c r="W300" s="126" t="n">
        <f aca="false">N300/$R$3</f>
        <v>-37.239</v>
      </c>
    </row>
    <row r="301" customFormat="false" ht="12.75" hidden="false" customHeight="false" outlineLevel="0" collapsed="false">
      <c r="A301" s="120" t="n">
        <f aca="false">A300+1</f>
        <v>37187</v>
      </c>
      <c r="B301" s="131" t="str">
        <f aca="false">INDEX('[4]Master Data'!$A$2:$B$8,MATCH(WEEKDAY('GNS Bolv Gas MTM'!A301,3),'[4]Master Data'!$A$2:$A$8,0),2)</f>
        <v>T</v>
      </c>
      <c r="D301" s="124" t="n">
        <v>0</v>
      </c>
      <c r="E301" s="124" t="n">
        <v>0</v>
      </c>
      <c r="F301" s="124" t="n">
        <v>0</v>
      </c>
      <c r="G301" s="124" t="n">
        <v>0</v>
      </c>
      <c r="I301" s="124" t="n">
        <f aca="false">IF(MONTH($A301)=MONTH($A300),IF(G301=0,I300,G301),G301)</f>
        <v>0</v>
      </c>
      <c r="J301" s="124" t="n">
        <f aca="false">IF(MONTH($A301)=MONTH($A300),SUM(I301-I300),I301)</f>
        <v>0</v>
      </c>
      <c r="K301" s="124" t="n">
        <f aca="false">IF(WEEKDAY(A301,3)&gt;4,0,(IF(A301&lt;K$2,0,IF(A301&lt;=K$3,1,0))))</f>
        <v>0</v>
      </c>
      <c r="L301" s="124" t="n">
        <f aca="false">J301*K301</f>
        <v>0</v>
      </c>
      <c r="M301" s="124" t="n">
        <f aca="false">SUM(J$280:J301)</f>
        <v>0</v>
      </c>
      <c r="N301" s="124" t="n">
        <f aca="false">SUM(J$6:J301)</f>
        <v>-37239</v>
      </c>
      <c r="P301" s="124" t="n">
        <f aca="false">D301/P$3</f>
        <v>0</v>
      </c>
      <c r="Q301" s="124" t="n">
        <f aca="false">E301/P$3</f>
        <v>0</v>
      </c>
      <c r="R301" s="124" t="n">
        <f aca="false">F301/R$3</f>
        <v>0</v>
      </c>
      <c r="S301" s="126" t="n">
        <f aca="false">J301/$R$3</f>
        <v>0</v>
      </c>
      <c r="T301" s="126" t="n">
        <f aca="false">L301/$R$3</f>
        <v>0</v>
      </c>
      <c r="U301" s="126" t="n">
        <f aca="false">I301/$R$3</f>
        <v>0</v>
      </c>
      <c r="V301" s="126" t="n">
        <f aca="false">M301/$R$3</f>
        <v>0</v>
      </c>
      <c r="W301" s="126" t="n">
        <f aca="false">N301/$R$3</f>
        <v>-37.239</v>
      </c>
    </row>
    <row r="302" customFormat="false" ht="12.75" hidden="false" customHeight="false" outlineLevel="0" collapsed="false">
      <c r="A302" s="120" t="n">
        <f aca="false">A301+1</f>
        <v>37188</v>
      </c>
      <c r="B302" s="131" t="str">
        <f aca="false">INDEX('[4]Master Data'!$A$2:$B$8,MATCH(WEEKDAY('GNS Bolv Gas MTM'!A302,3),'[4]Master Data'!$A$2:$A$8,0),2)</f>
        <v>W</v>
      </c>
      <c r="D302" s="124" t="n">
        <v>0</v>
      </c>
      <c r="E302" s="124" t="n">
        <v>0</v>
      </c>
      <c r="F302" s="124" t="n">
        <v>0</v>
      </c>
      <c r="G302" s="124" t="n">
        <v>0</v>
      </c>
      <c r="I302" s="124" t="n">
        <f aca="false">IF(MONTH($A302)=MONTH($A301),IF(G302=0,I301,G302),G302)</f>
        <v>0</v>
      </c>
      <c r="J302" s="124" t="n">
        <f aca="false">IF(MONTH($A302)=MONTH($A301),SUM(I302-I301),I302)</f>
        <v>0</v>
      </c>
      <c r="K302" s="124" t="n">
        <f aca="false">IF(WEEKDAY(A302,3)&gt;4,0,(IF(A302&lt;K$2,0,IF(A302&lt;=K$3,1,0))))</f>
        <v>0</v>
      </c>
      <c r="L302" s="124" t="n">
        <f aca="false">J302*K302</f>
        <v>0</v>
      </c>
      <c r="M302" s="124" t="n">
        <f aca="false">SUM(J$280:J302)</f>
        <v>0</v>
      </c>
      <c r="N302" s="124" t="n">
        <f aca="false">SUM(J$6:J302)</f>
        <v>-37239</v>
      </c>
      <c r="P302" s="124" t="n">
        <f aca="false">D302/P$3</f>
        <v>0</v>
      </c>
      <c r="Q302" s="124" t="n">
        <f aca="false">E302/P$3</f>
        <v>0</v>
      </c>
      <c r="R302" s="124" t="n">
        <f aca="false">F302/R$3</f>
        <v>0</v>
      </c>
      <c r="S302" s="126" t="n">
        <f aca="false">J302/$R$3</f>
        <v>0</v>
      </c>
      <c r="T302" s="126" t="n">
        <f aca="false">L302/$R$3</f>
        <v>0</v>
      </c>
      <c r="U302" s="126" t="n">
        <f aca="false">I302/$R$3</f>
        <v>0</v>
      </c>
      <c r="V302" s="126" t="n">
        <f aca="false">M302/$R$3</f>
        <v>0</v>
      </c>
      <c r="W302" s="126" t="n">
        <f aca="false">N302/$R$3</f>
        <v>-37.239</v>
      </c>
    </row>
    <row r="303" customFormat="false" ht="12.75" hidden="false" customHeight="false" outlineLevel="0" collapsed="false">
      <c r="A303" s="120" t="n">
        <f aca="false">A302+1</f>
        <v>37189</v>
      </c>
      <c r="B303" s="131" t="str">
        <f aca="false">INDEX('[4]Master Data'!$A$2:$B$8,MATCH(WEEKDAY('GNS Bolv Gas MTM'!A303,3),'[4]Master Data'!$A$2:$A$8,0),2)</f>
        <v>Th</v>
      </c>
      <c r="D303" s="124" t="n">
        <v>0</v>
      </c>
      <c r="E303" s="124" t="n">
        <v>0</v>
      </c>
      <c r="F303" s="124" t="n">
        <v>0</v>
      </c>
      <c r="G303" s="124" t="n">
        <v>0</v>
      </c>
      <c r="I303" s="124" t="n">
        <f aca="false">IF(MONTH($A303)=MONTH($A302),IF(G303=0,I302,G303),G303)</f>
        <v>0</v>
      </c>
      <c r="J303" s="124" t="n">
        <f aca="false">IF(MONTH($A303)=MONTH($A302),SUM(I303-I302),I303)</f>
        <v>0</v>
      </c>
      <c r="K303" s="124" t="n">
        <f aca="false">IF(WEEKDAY(A303,3)&gt;4,0,(IF(A303&lt;K$2,0,IF(A303&lt;=K$3,1,0))))</f>
        <v>0</v>
      </c>
      <c r="L303" s="124" t="n">
        <f aca="false">J303*K303</f>
        <v>0</v>
      </c>
      <c r="M303" s="124" t="n">
        <f aca="false">SUM(J$280:J303)</f>
        <v>0</v>
      </c>
      <c r="N303" s="124" t="n">
        <f aca="false">SUM(J$6:J303)</f>
        <v>-37239</v>
      </c>
      <c r="P303" s="124" t="n">
        <f aca="false">D303/P$3</f>
        <v>0</v>
      </c>
      <c r="Q303" s="124" t="n">
        <f aca="false">E303/P$3</f>
        <v>0</v>
      </c>
      <c r="R303" s="124" t="n">
        <f aca="false">F303/R$3</f>
        <v>0</v>
      </c>
      <c r="S303" s="126" t="n">
        <f aca="false">J303/$R$3</f>
        <v>0</v>
      </c>
      <c r="T303" s="126" t="n">
        <f aca="false">L303/$R$3</f>
        <v>0</v>
      </c>
      <c r="U303" s="126" t="n">
        <f aca="false">I303/$R$3</f>
        <v>0</v>
      </c>
      <c r="V303" s="126" t="n">
        <f aca="false">M303/$R$3</f>
        <v>0</v>
      </c>
      <c r="W303" s="126" t="n">
        <f aca="false">N303/$R$3</f>
        <v>-37.239</v>
      </c>
    </row>
    <row r="304" customFormat="false" ht="12.75" hidden="false" customHeight="false" outlineLevel="0" collapsed="false">
      <c r="A304" s="120" t="n">
        <f aca="false">A303+1</f>
        <v>37190</v>
      </c>
      <c r="B304" s="131" t="str">
        <f aca="false">INDEX('[4]Master Data'!$A$2:$B$8,MATCH(WEEKDAY('GNS Bolv Gas MTM'!A304,3),'[4]Master Data'!$A$2:$A$8,0),2)</f>
        <v>F</v>
      </c>
      <c r="D304" s="124" t="n">
        <v>0</v>
      </c>
      <c r="E304" s="124" t="n">
        <v>0</v>
      </c>
      <c r="F304" s="124" t="n">
        <v>0</v>
      </c>
      <c r="G304" s="124" t="n">
        <v>0</v>
      </c>
      <c r="I304" s="124" t="n">
        <f aca="false">IF(MONTH($A304)=MONTH($A303),IF(G304=0,I303,G304),G304)</f>
        <v>0</v>
      </c>
      <c r="J304" s="124" t="n">
        <f aca="false">IF(MONTH($A304)=MONTH($A303),SUM(I304-I303),I304)</f>
        <v>0</v>
      </c>
      <c r="K304" s="124" t="n">
        <f aca="false">IF(WEEKDAY(A304,3)&gt;4,0,(IF(A304&lt;K$2,0,IF(A304&lt;=K$3,1,0))))</f>
        <v>1</v>
      </c>
      <c r="L304" s="124" t="n">
        <f aca="false">J304*K304</f>
        <v>0</v>
      </c>
      <c r="M304" s="124" t="n">
        <f aca="false">SUM(J$280:J304)</f>
        <v>0</v>
      </c>
      <c r="N304" s="124" t="n">
        <f aca="false">SUM(J$6:J304)</f>
        <v>-37239</v>
      </c>
      <c r="P304" s="124" t="n">
        <f aca="false">D304/P$3</f>
        <v>0</v>
      </c>
      <c r="Q304" s="124" t="n">
        <f aca="false">E304/P$3</f>
        <v>0</v>
      </c>
      <c r="R304" s="124" t="n">
        <f aca="false">F304/R$3</f>
        <v>0</v>
      </c>
      <c r="S304" s="126" t="n">
        <f aca="false">J304/$R$3</f>
        <v>0</v>
      </c>
      <c r="T304" s="126" t="n">
        <f aca="false">L304/$R$3</f>
        <v>0</v>
      </c>
      <c r="U304" s="126" t="n">
        <f aca="false">I304/$R$3</f>
        <v>0</v>
      </c>
      <c r="V304" s="126" t="n">
        <f aca="false">M304/$R$3</f>
        <v>0</v>
      </c>
      <c r="W304" s="126" t="n">
        <f aca="false">N304/$R$3</f>
        <v>-37.239</v>
      </c>
    </row>
    <row r="305" customFormat="false" ht="12.75" hidden="false" customHeight="false" outlineLevel="0" collapsed="false">
      <c r="A305" s="120" t="n">
        <f aca="false">A304+1</f>
        <v>37191</v>
      </c>
      <c r="B305" s="131" t="str">
        <f aca="false">INDEX('[4]Master Data'!$A$2:$B$8,MATCH(WEEKDAY('GNS Bolv Gas MTM'!A305,3),'[4]Master Data'!$A$2:$A$8,0),2)</f>
        <v>Sa</v>
      </c>
      <c r="D305" s="124" t="n">
        <v>0</v>
      </c>
      <c r="E305" s="124" t="n">
        <v>0</v>
      </c>
      <c r="F305" s="124" t="n">
        <v>0</v>
      </c>
      <c r="G305" s="124" t="n">
        <v>0</v>
      </c>
      <c r="I305" s="124" t="n">
        <f aca="false">IF(MONTH($A305)=MONTH($A304),IF(G305=0,I304,G305),G305)</f>
        <v>0</v>
      </c>
      <c r="J305" s="124" t="n">
        <f aca="false">IF(MONTH($A305)=MONTH($A304),SUM(I305-I304),I305)</f>
        <v>0</v>
      </c>
      <c r="K305" s="124" t="n">
        <f aca="false">IF(WEEKDAY(A305,3)&gt;4,0,(IF(A305&lt;K$2,0,IF(A305&lt;=K$3,1,0))))</f>
        <v>0</v>
      </c>
      <c r="L305" s="124" t="n">
        <f aca="false">J305*K305</f>
        <v>0</v>
      </c>
      <c r="M305" s="124" t="n">
        <f aca="false">SUM(J$280:J305)</f>
        <v>0</v>
      </c>
      <c r="N305" s="124" t="n">
        <f aca="false">SUM(J$6:J305)</f>
        <v>-37239</v>
      </c>
      <c r="P305" s="124" t="n">
        <f aca="false">D305/P$3</f>
        <v>0</v>
      </c>
      <c r="Q305" s="124" t="n">
        <f aca="false">E305/P$3</f>
        <v>0</v>
      </c>
      <c r="R305" s="124" t="n">
        <f aca="false">F305/R$3</f>
        <v>0</v>
      </c>
      <c r="S305" s="126" t="n">
        <f aca="false">J305/$R$3</f>
        <v>0</v>
      </c>
      <c r="T305" s="126" t="n">
        <f aca="false">L305/$R$3</f>
        <v>0</v>
      </c>
      <c r="U305" s="126" t="n">
        <f aca="false">I305/$R$3</f>
        <v>0</v>
      </c>
      <c r="V305" s="126" t="n">
        <f aca="false">M305/$R$3</f>
        <v>0</v>
      </c>
      <c r="W305" s="126" t="n">
        <f aca="false">N305/$R$3</f>
        <v>-37.239</v>
      </c>
    </row>
    <row r="306" customFormat="false" ht="12.75" hidden="false" customHeight="false" outlineLevel="0" collapsed="false">
      <c r="A306" s="120" t="n">
        <f aca="false">A305+1</f>
        <v>37192</v>
      </c>
      <c r="B306" s="131" t="str">
        <f aca="false">INDEX('[4]Master Data'!$A$2:$B$8,MATCH(WEEKDAY('GNS Bolv Gas MTM'!A306,3),'[4]Master Data'!$A$2:$A$8,0),2)</f>
        <v>Su</v>
      </c>
      <c r="D306" s="124" t="n">
        <v>0</v>
      </c>
      <c r="E306" s="124" t="n">
        <v>0</v>
      </c>
      <c r="F306" s="124" t="n">
        <v>0</v>
      </c>
      <c r="G306" s="124" t="n">
        <v>0</v>
      </c>
      <c r="I306" s="124" t="n">
        <f aca="false">IF(MONTH($A306)=MONTH($A305),IF(G306=0,I305,G306),G306)</f>
        <v>0</v>
      </c>
      <c r="J306" s="124" t="n">
        <f aca="false">IF(MONTH($A306)=MONTH($A305),SUM(I306-I305),I306)</f>
        <v>0</v>
      </c>
      <c r="K306" s="124" t="n">
        <f aca="false">IF(WEEKDAY(A306,3)&gt;4,0,(IF(A306&lt;K$2,0,IF(A306&lt;=K$3,1,0))))</f>
        <v>0</v>
      </c>
      <c r="L306" s="124" t="n">
        <f aca="false">J306*K306</f>
        <v>0</v>
      </c>
      <c r="M306" s="124" t="n">
        <f aca="false">SUM(J$280:J306)</f>
        <v>0</v>
      </c>
      <c r="N306" s="124" t="n">
        <f aca="false">SUM(J$6:J306)</f>
        <v>-37239</v>
      </c>
      <c r="P306" s="124" t="n">
        <f aca="false">D306/P$3</f>
        <v>0</v>
      </c>
      <c r="Q306" s="124" t="n">
        <f aca="false">E306/P$3</f>
        <v>0</v>
      </c>
      <c r="R306" s="124" t="n">
        <f aca="false">F306/R$3</f>
        <v>0</v>
      </c>
      <c r="S306" s="126" t="n">
        <f aca="false">J306/$R$3</f>
        <v>0</v>
      </c>
      <c r="T306" s="126" t="n">
        <f aca="false">L306/$R$3</f>
        <v>0</v>
      </c>
      <c r="U306" s="126" t="n">
        <f aca="false">I306/$R$3</f>
        <v>0</v>
      </c>
      <c r="V306" s="126" t="n">
        <f aca="false">M306/$R$3</f>
        <v>0</v>
      </c>
      <c r="W306" s="126" t="n">
        <f aca="false">N306/$R$3</f>
        <v>-37.239</v>
      </c>
    </row>
    <row r="307" customFormat="false" ht="12.75" hidden="false" customHeight="false" outlineLevel="0" collapsed="false">
      <c r="A307" s="120" t="n">
        <f aca="false">A306+1</f>
        <v>37193</v>
      </c>
      <c r="B307" s="131" t="str">
        <f aca="false">INDEX('[4]Master Data'!$A$2:$B$8,MATCH(WEEKDAY('GNS Bolv Gas MTM'!A307,3),'[4]Master Data'!$A$2:$A$8,0),2)</f>
        <v>M</v>
      </c>
      <c r="D307" s="124" t="n">
        <v>0</v>
      </c>
      <c r="E307" s="124" t="n">
        <v>0</v>
      </c>
      <c r="F307" s="124" t="n">
        <v>0</v>
      </c>
      <c r="G307" s="124" t="n">
        <v>0</v>
      </c>
      <c r="I307" s="124" t="n">
        <f aca="false">IF(MONTH($A307)=MONTH($A306),IF(G307=0,I306,G307),G307)</f>
        <v>0</v>
      </c>
      <c r="J307" s="124" t="n">
        <f aca="false">IF(MONTH($A307)=MONTH($A306),SUM(I307-I306),I307)</f>
        <v>0</v>
      </c>
      <c r="K307" s="124" t="n">
        <f aca="false">IF(WEEKDAY(A307,3)&gt;4,0,(IF(A307&lt;K$2,0,IF(A307&lt;=K$3,1,0))))</f>
        <v>1</v>
      </c>
      <c r="L307" s="124" t="n">
        <f aca="false">J307*K307</f>
        <v>0</v>
      </c>
      <c r="M307" s="124" t="n">
        <f aca="false">SUM(J$280:J307)</f>
        <v>0</v>
      </c>
      <c r="N307" s="124" t="n">
        <f aca="false">SUM(J$6:J307)</f>
        <v>-37239</v>
      </c>
      <c r="P307" s="124" t="n">
        <f aca="false">D307/P$3</f>
        <v>0</v>
      </c>
      <c r="Q307" s="124" t="n">
        <f aca="false">E307/P$3</f>
        <v>0</v>
      </c>
      <c r="R307" s="124" t="n">
        <f aca="false">F307/R$3</f>
        <v>0</v>
      </c>
      <c r="S307" s="126" t="n">
        <f aca="false">J307/$R$3</f>
        <v>0</v>
      </c>
      <c r="T307" s="126" t="n">
        <f aca="false">L307/$R$3</f>
        <v>0</v>
      </c>
      <c r="U307" s="126" t="n">
        <f aca="false">I307/$R$3</f>
        <v>0</v>
      </c>
      <c r="V307" s="126" t="n">
        <f aca="false">M307/$R$3</f>
        <v>0</v>
      </c>
      <c r="W307" s="126" t="n">
        <f aca="false">N307/$R$3</f>
        <v>-37.239</v>
      </c>
    </row>
    <row r="308" customFormat="false" ht="12.75" hidden="false" customHeight="false" outlineLevel="0" collapsed="false">
      <c r="A308" s="120" t="n">
        <f aca="false">A307+1</f>
        <v>37194</v>
      </c>
      <c r="B308" s="131" t="str">
        <f aca="false">INDEX('[4]Master Data'!$A$2:$B$8,MATCH(WEEKDAY('GNS Bolv Gas MTM'!A308,3),'[4]Master Data'!$A$2:$A$8,0),2)</f>
        <v>T</v>
      </c>
      <c r="D308" s="124" t="n">
        <v>0</v>
      </c>
      <c r="E308" s="124" t="n">
        <v>0</v>
      </c>
      <c r="F308" s="124" t="n">
        <v>0</v>
      </c>
      <c r="G308" s="124" t="n">
        <v>0</v>
      </c>
      <c r="I308" s="124" t="n">
        <f aca="false">IF(MONTH($A308)=MONTH($A307),IF(G308=0,I307,G308),G308)</f>
        <v>0</v>
      </c>
      <c r="J308" s="124" t="n">
        <f aca="false">IF(MONTH($A308)=MONTH($A307),SUM(I308-I307),I308)</f>
        <v>0</v>
      </c>
      <c r="K308" s="124" t="n">
        <f aca="false">IF(WEEKDAY(A308,3)&gt;4,0,(IF(A308&lt;K$2,0,IF(A308&lt;=K$3,1,0))))</f>
        <v>1</v>
      </c>
      <c r="L308" s="124" t="n">
        <f aca="false">J308*K308</f>
        <v>0</v>
      </c>
      <c r="M308" s="124" t="n">
        <f aca="false">SUM(J$280:J308)</f>
        <v>0</v>
      </c>
      <c r="N308" s="124" t="n">
        <f aca="false">SUM(J$6:J308)</f>
        <v>-37239</v>
      </c>
      <c r="P308" s="124" t="n">
        <f aca="false">D308/P$3</f>
        <v>0</v>
      </c>
      <c r="Q308" s="124" t="n">
        <f aca="false">E308/P$3</f>
        <v>0</v>
      </c>
      <c r="R308" s="124" t="n">
        <f aca="false">F308/R$3</f>
        <v>0</v>
      </c>
      <c r="S308" s="126" t="n">
        <f aca="false">J308/$R$3</f>
        <v>0</v>
      </c>
      <c r="T308" s="126" t="n">
        <f aca="false">L308/$R$3</f>
        <v>0</v>
      </c>
      <c r="U308" s="126" t="n">
        <f aca="false">I308/$R$3</f>
        <v>0</v>
      </c>
      <c r="V308" s="126" t="n">
        <f aca="false">M308/$R$3</f>
        <v>0</v>
      </c>
      <c r="W308" s="126" t="n">
        <f aca="false">N308/$R$3</f>
        <v>-37.239</v>
      </c>
    </row>
    <row r="309" customFormat="false" ht="12.75" hidden="false" customHeight="false" outlineLevel="0" collapsed="false">
      <c r="A309" s="120" t="n">
        <f aca="false">A308+1</f>
        <v>37195</v>
      </c>
      <c r="B309" s="131" t="str">
        <f aca="false">INDEX('[4]Master Data'!$A$2:$B$8,MATCH(WEEKDAY('GNS Bolv Gas MTM'!A309,3),'[4]Master Data'!$A$2:$A$8,0),2)</f>
        <v>W</v>
      </c>
      <c r="D309" s="124" t="n">
        <v>0</v>
      </c>
      <c r="E309" s="124" t="n">
        <v>0</v>
      </c>
      <c r="F309" s="124" t="n">
        <v>0</v>
      </c>
      <c r="G309" s="124" t="n">
        <v>0</v>
      </c>
      <c r="I309" s="124" t="n">
        <f aca="false">IF(MONTH($A309)=MONTH($A308),IF(G309=0,I308,G309),G309)</f>
        <v>0</v>
      </c>
      <c r="J309" s="124" t="n">
        <f aca="false">IF(MONTH($A309)=MONTH($A308),SUM(I309-I308),I309)</f>
        <v>0</v>
      </c>
      <c r="K309" s="124" t="n">
        <f aca="false">IF(WEEKDAY(A309,3)&gt;4,0,(IF(A309&lt;K$2,0,IF(A309&lt;=K$3,1,0))))</f>
        <v>1</v>
      </c>
      <c r="L309" s="124" t="n">
        <f aca="false">J309*K309</f>
        <v>0</v>
      </c>
      <c r="M309" s="124" t="n">
        <f aca="false">SUM(J$280:J309)</f>
        <v>0</v>
      </c>
      <c r="N309" s="124" t="n">
        <f aca="false">SUM(J$6:J309)</f>
        <v>-37239</v>
      </c>
      <c r="P309" s="124" t="n">
        <f aca="false">D309/P$3</f>
        <v>0</v>
      </c>
      <c r="Q309" s="124" t="n">
        <f aca="false">E309/P$3</f>
        <v>0</v>
      </c>
      <c r="R309" s="124" t="n">
        <f aca="false">F309/R$3</f>
        <v>0</v>
      </c>
      <c r="S309" s="126" t="n">
        <f aca="false">J309/$R$3</f>
        <v>0</v>
      </c>
      <c r="T309" s="126" t="n">
        <f aca="false">L309/$R$3</f>
        <v>0</v>
      </c>
      <c r="U309" s="126" t="n">
        <f aca="false">I309/$R$3</f>
        <v>0</v>
      </c>
      <c r="V309" s="126" t="n">
        <f aca="false">M309/$R$3</f>
        <v>0</v>
      </c>
      <c r="W309" s="126" t="n">
        <f aca="false">N309/$R$3</f>
        <v>-37.239</v>
      </c>
    </row>
    <row r="310" customFormat="false" ht="12.75" hidden="false" customHeight="false" outlineLevel="0" collapsed="false">
      <c r="A310" s="120" t="n">
        <f aca="false">A309+1</f>
        <v>37196</v>
      </c>
      <c r="B310" s="131" t="str">
        <f aca="false">INDEX('[4]Master Data'!$A$2:$B$8,MATCH(WEEKDAY('GNS Bolv Gas MTM'!A310,3),'[4]Master Data'!$A$2:$A$8,0),2)</f>
        <v>Th</v>
      </c>
      <c r="D310" s="124" t="n">
        <v>0</v>
      </c>
      <c r="E310" s="124" t="n">
        <v>0</v>
      </c>
      <c r="F310" s="124" t="n">
        <v>0</v>
      </c>
      <c r="G310" s="124" t="n">
        <v>0</v>
      </c>
      <c r="I310" s="124" t="n">
        <f aca="false">IF(MONTH($A310)=MONTH($A309),IF(G310=0,I309,G310),G310)</f>
        <v>0</v>
      </c>
      <c r="J310" s="124" t="n">
        <f aca="false">IF(MONTH($A310)=MONTH($A309),SUM(I310-I309),I310)</f>
        <v>0</v>
      </c>
      <c r="K310" s="124" t="n">
        <f aca="false">IF(WEEKDAY(A310,3)&gt;4,0,(IF(A310&lt;K$2,0,IF(A310&lt;=K$3,1,0))))</f>
        <v>1</v>
      </c>
      <c r="L310" s="124" t="n">
        <f aca="false">J310*K310</f>
        <v>0</v>
      </c>
      <c r="M310" s="124" t="n">
        <f aca="false">SUM(J$280:J310)</f>
        <v>0</v>
      </c>
      <c r="N310" s="124" t="n">
        <f aca="false">SUM(J$6:J310)</f>
        <v>-37239</v>
      </c>
      <c r="P310" s="124" t="n">
        <f aca="false">D310/P$3</f>
        <v>0</v>
      </c>
      <c r="Q310" s="124" t="n">
        <f aca="false">E310/P$3</f>
        <v>0</v>
      </c>
      <c r="R310" s="124" t="n">
        <f aca="false">F310/R$3</f>
        <v>0</v>
      </c>
      <c r="S310" s="126" t="n">
        <f aca="false">J310/$R$3</f>
        <v>0</v>
      </c>
      <c r="T310" s="126" t="n">
        <f aca="false">L310/$R$3</f>
        <v>0</v>
      </c>
      <c r="U310" s="126" t="n">
        <f aca="false">I310/$R$3</f>
        <v>0</v>
      </c>
      <c r="V310" s="126" t="n">
        <f aca="false">M310/$R$3</f>
        <v>0</v>
      </c>
      <c r="W310" s="126" t="n">
        <f aca="false">N310/$R$3</f>
        <v>-37.239</v>
      </c>
    </row>
    <row r="311" customFormat="false" ht="12.75" hidden="false" customHeight="false" outlineLevel="0" collapsed="false">
      <c r="A311" s="120" t="n">
        <f aca="false">A310+1</f>
        <v>37197</v>
      </c>
      <c r="B311" s="131" t="str">
        <f aca="false">INDEX('[4]Master Data'!$A$2:$B$8,MATCH(WEEKDAY('GNS Bolv Gas MTM'!A311,3),'[4]Master Data'!$A$2:$A$8,0),2)</f>
        <v>F</v>
      </c>
      <c r="D311" s="124" t="n">
        <v>0</v>
      </c>
      <c r="E311" s="124" t="n">
        <v>0</v>
      </c>
      <c r="F311" s="124" t="n">
        <v>0</v>
      </c>
      <c r="G311" s="124" t="n">
        <v>0</v>
      </c>
      <c r="I311" s="124" t="n">
        <f aca="false">IF(MONTH($A311)=MONTH($A310),IF(G311=0,I310,G311),G311)</f>
        <v>0</v>
      </c>
      <c r="J311" s="124" t="n">
        <f aca="false">IF(MONTH($A311)=MONTH($A310),SUM(I311-I310),I311)</f>
        <v>0</v>
      </c>
      <c r="K311" s="124" t="n">
        <f aca="false">IF(WEEKDAY(A311,3)&gt;4,0,(IF(A311&lt;K$2,0,IF(A311&lt;=K$3,1,0))))</f>
        <v>0</v>
      </c>
      <c r="L311" s="124" t="n">
        <f aca="false">J311*K311</f>
        <v>0</v>
      </c>
      <c r="M311" s="124" t="n">
        <f aca="false">SUM(J$280:J311)</f>
        <v>0</v>
      </c>
      <c r="N311" s="124" t="n">
        <f aca="false">SUM(J$6:J311)</f>
        <v>-37239</v>
      </c>
      <c r="P311" s="124" t="n">
        <f aca="false">D311/P$3</f>
        <v>0</v>
      </c>
      <c r="Q311" s="124" t="n">
        <f aca="false">E311/P$3</f>
        <v>0</v>
      </c>
      <c r="R311" s="124" t="n">
        <f aca="false">F311/R$3</f>
        <v>0</v>
      </c>
      <c r="S311" s="126" t="n">
        <f aca="false">J311/$R$3</f>
        <v>0</v>
      </c>
      <c r="T311" s="126" t="n">
        <f aca="false">L311/$R$3</f>
        <v>0</v>
      </c>
      <c r="U311" s="126" t="n">
        <f aca="false">I311/$R$3</f>
        <v>0</v>
      </c>
      <c r="V311" s="126" t="n">
        <f aca="false">M311/$R$3</f>
        <v>0</v>
      </c>
      <c r="W311" s="126" t="n">
        <f aca="false">N311/$R$3</f>
        <v>-37.239</v>
      </c>
    </row>
    <row r="312" customFormat="false" ht="12.75" hidden="false" customHeight="false" outlineLevel="0" collapsed="false">
      <c r="A312" s="120" t="n">
        <f aca="false">A311+1</f>
        <v>37198</v>
      </c>
      <c r="B312" s="131" t="str">
        <f aca="false">INDEX('[4]Master Data'!$A$2:$B$8,MATCH(WEEKDAY('GNS Bolv Gas MTM'!A312,3),'[4]Master Data'!$A$2:$A$8,0),2)</f>
        <v>Sa</v>
      </c>
      <c r="D312" s="124" t="n">
        <v>0</v>
      </c>
      <c r="E312" s="124" t="n">
        <v>0</v>
      </c>
      <c r="F312" s="124" t="n">
        <v>0</v>
      </c>
      <c r="G312" s="124" t="n">
        <v>0</v>
      </c>
      <c r="I312" s="124" t="n">
        <f aca="false">IF(MONTH($A312)=MONTH($A311),IF(G312=0,I311,G312),G312)</f>
        <v>0</v>
      </c>
      <c r="J312" s="124" t="n">
        <f aca="false">IF(MONTH($A312)=MONTH($A311),SUM(I312-I311),I312)</f>
        <v>0</v>
      </c>
      <c r="K312" s="124" t="n">
        <f aca="false">IF(WEEKDAY(A312,3)&gt;4,0,(IF(A312&lt;K$2,0,IF(A312&lt;=K$3,1,0))))</f>
        <v>0</v>
      </c>
      <c r="L312" s="124" t="n">
        <f aca="false">J312*K312</f>
        <v>0</v>
      </c>
      <c r="M312" s="124" t="n">
        <f aca="false">SUM(J$280:J312)</f>
        <v>0</v>
      </c>
      <c r="N312" s="124" t="n">
        <f aca="false">SUM(J$6:J312)</f>
        <v>-37239</v>
      </c>
      <c r="P312" s="124" t="n">
        <f aca="false">D312/P$3</f>
        <v>0</v>
      </c>
      <c r="Q312" s="124" t="n">
        <f aca="false">E312/P$3</f>
        <v>0</v>
      </c>
      <c r="R312" s="124" t="n">
        <f aca="false">F312/R$3</f>
        <v>0</v>
      </c>
      <c r="S312" s="126" t="n">
        <f aca="false">J312/$R$3</f>
        <v>0</v>
      </c>
      <c r="T312" s="126" t="n">
        <f aca="false">L312/$R$3</f>
        <v>0</v>
      </c>
      <c r="U312" s="126" t="n">
        <f aca="false">I312/$R$3</f>
        <v>0</v>
      </c>
      <c r="V312" s="126" t="n">
        <f aca="false">M312/$R$3</f>
        <v>0</v>
      </c>
      <c r="W312" s="126" t="n">
        <f aca="false">N312/$R$3</f>
        <v>-37.239</v>
      </c>
    </row>
    <row r="313" customFormat="false" ht="12.75" hidden="false" customHeight="false" outlineLevel="0" collapsed="false">
      <c r="A313" s="120" t="n">
        <f aca="false">A312+1</f>
        <v>37199</v>
      </c>
      <c r="B313" s="131" t="str">
        <f aca="false">INDEX('[4]Master Data'!$A$2:$B$8,MATCH(WEEKDAY('GNS Bolv Gas MTM'!A313,3),'[4]Master Data'!$A$2:$A$8,0),2)</f>
        <v>Su</v>
      </c>
      <c r="D313" s="124" t="n">
        <v>0</v>
      </c>
      <c r="E313" s="124" t="n">
        <v>0</v>
      </c>
      <c r="F313" s="124" t="n">
        <v>0</v>
      </c>
      <c r="G313" s="124" t="n">
        <v>0</v>
      </c>
      <c r="I313" s="124" t="n">
        <f aca="false">IF(MONTH($A313)=MONTH($A312),IF(G313=0,I312,G313),G313)</f>
        <v>0</v>
      </c>
      <c r="J313" s="124" t="n">
        <f aca="false">IF(MONTH($A313)=MONTH($A312),SUM(I313-I312),I313)</f>
        <v>0</v>
      </c>
      <c r="K313" s="124" t="n">
        <f aca="false">IF(WEEKDAY(A313,3)&gt;4,0,(IF(A313&lt;K$2,0,IF(A313&lt;=K$3,1,0))))</f>
        <v>0</v>
      </c>
      <c r="L313" s="124" t="n">
        <f aca="false">J313*K313</f>
        <v>0</v>
      </c>
      <c r="M313" s="124" t="n">
        <f aca="false">SUM(J$280:J313)</f>
        <v>0</v>
      </c>
      <c r="N313" s="124" t="n">
        <f aca="false">SUM(J$6:J313)</f>
        <v>-37239</v>
      </c>
      <c r="P313" s="124" t="n">
        <f aca="false">D313/P$3</f>
        <v>0</v>
      </c>
      <c r="Q313" s="124" t="n">
        <f aca="false">E313/P$3</f>
        <v>0</v>
      </c>
      <c r="R313" s="124" t="n">
        <f aca="false">F313/R$3</f>
        <v>0</v>
      </c>
      <c r="S313" s="126" t="n">
        <f aca="false">J313/$R$3</f>
        <v>0</v>
      </c>
      <c r="T313" s="126" t="n">
        <f aca="false">L313/$R$3</f>
        <v>0</v>
      </c>
      <c r="U313" s="126" t="n">
        <f aca="false">I313/$R$3</f>
        <v>0</v>
      </c>
      <c r="V313" s="126" t="n">
        <f aca="false">M313/$R$3</f>
        <v>0</v>
      </c>
      <c r="W313" s="126" t="n">
        <f aca="false">N313/$R$3</f>
        <v>-37.239</v>
      </c>
    </row>
    <row r="314" customFormat="false" ht="12.75" hidden="false" customHeight="false" outlineLevel="0" collapsed="false">
      <c r="A314" s="120" t="n">
        <f aca="false">A313+1</f>
        <v>37200</v>
      </c>
      <c r="B314" s="131" t="str">
        <f aca="false">INDEX('[4]Master Data'!$A$2:$B$8,MATCH(WEEKDAY('GNS Bolv Gas MTM'!A314,3),'[4]Master Data'!$A$2:$A$8,0),2)</f>
        <v>M</v>
      </c>
      <c r="D314" s="124" t="n">
        <v>0</v>
      </c>
      <c r="E314" s="124" t="n">
        <v>0</v>
      </c>
      <c r="F314" s="124" t="n">
        <v>0</v>
      </c>
      <c r="G314" s="124" t="n">
        <v>0</v>
      </c>
      <c r="I314" s="124" t="n">
        <f aca="false">IF(MONTH($A314)=MONTH($A313),IF(G314=0,I313,G314),G314)</f>
        <v>0</v>
      </c>
      <c r="J314" s="124" t="n">
        <f aca="false">IF(MONTH($A314)=MONTH($A313),SUM(I314-I313),I314)</f>
        <v>0</v>
      </c>
      <c r="K314" s="124" t="n">
        <f aca="false">IF(WEEKDAY(A314,3)&gt;4,0,(IF(A314&lt;K$2,0,IF(A314&lt;=K$3,1,0))))</f>
        <v>0</v>
      </c>
      <c r="L314" s="124" t="n">
        <f aca="false">J314*K314</f>
        <v>0</v>
      </c>
      <c r="M314" s="124" t="n">
        <f aca="false">SUM(J$280:J314)</f>
        <v>0</v>
      </c>
      <c r="N314" s="124" t="n">
        <f aca="false">SUM(J$6:J314)</f>
        <v>-37239</v>
      </c>
      <c r="P314" s="124" t="n">
        <f aca="false">D314/P$3</f>
        <v>0</v>
      </c>
      <c r="Q314" s="124" t="n">
        <f aca="false">E314/P$3</f>
        <v>0</v>
      </c>
      <c r="R314" s="124" t="n">
        <f aca="false">F314/R$3</f>
        <v>0</v>
      </c>
      <c r="S314" s="126" t="n">
        <f aca="false">J314/$R$3</f>
        <v>0</v>
      </c>
      <c r="T314" s="126" t="n">
        <f aca="false">L314/$R$3</f>
        <v>0</v>
      </c>
      <c r="U314" s="126" t="n">
        <f aca="false">I314/$R$3</f>
        <v>0</v>
      </c>
      <c r="V314" s="126" t="n">
        <f aca="false">M314/$R$3</f>
        <v>0</v>
      </c>
      <c r="W314" s="126" t="n">
        <f aca="false">N314/$R$3</f>
        <v>-37.239</v>
      </c>
    </row>
    <row r="315" customFormat="false" ht="12.75" hidden="false" customHeight="false" outlineLevel="0" collapsed="false">
      <c r="A315" s="120" t="n">
        <f aca="false">A314+1</f>
        <v>37201</v>
      </c>
      <c r="B315" s="131" t="str">
        <f aca="false">INDEX('[4]Master Data'!$A$2:$B$8,MATCH(WEEKDAY('GNS Bolv Gas MTM'!A315,3),'[4]Master Data'!$A$2:$A$8,0),2)</f>
        <v>T</v>
      </c>
      <c r="D315" s="124" t="n">
        <v>0</v>
      </c>
      <c r="E315" s="124" t="n">
        <v>0</v>
      </c>
      <c r="F315" s="124" t="n">
        <v>0</v>
      </c>
      <c r="G315" s="124" t="n">
        <v>0</v>
      </c>
      <c r="I315" s="124" t="n">
        <f aca="false">IF(MONTH($A315)=MONTH($A314),IF(G315=0,I314,G315),G315)</f>
        <v>0</v>
      </c>
      <c r="J315" s="124" t="n">
        <f aca="false">IF(MONTH($A315)=MONTH($A314),SUM(I315-I314),I315)</f>
        <v>0</v>
      </c>
      <c r="K315" s="124" t="n">
        <f aca="false">IF(WEEKDAY(A315,3)&gt;4,0,(IF(A315&lt;K$2,0,IF(A315&lt;=K$3,1,0))))</f>
        <v>0</v>
      </c>
      <c r="L315" s="124" t="n">
        <f aca="false">J315*K315</f>
        <v>0</v>
      </c>
      <c r="M315" s="124" t="n">
        <f aca="false">SUM(J$280:J315)</f>
        <v>0</v>
      </c>
      <c r="N315" s="124" t="n">
        <f aca="false">SUM(J$6:J315)</f>
        <v>-37239</v>
      </c>
      <c r="P315" s="124" t="n">
        <f aca="false">D315/P$3</f>
        <v>0</v>
      </c>
      <c r="Q315" s="124" t="n">
        <f aca="false">E315/P$3</f>
        <v>0</v>
      </c>
      <c r="R315" s="124" t="n">
        <f aca="false">F315/R$3</f>
        <v>0</v>
      </c>
      <c r="S315" s="126" t="n">
        <f aca="false">J315/$R$3</f>
        <v>0</v>
      </c>
      <c r="T315" s="126" t="n">
        <f aca="false">L315/$R$3</f>
        <v>0</v>
      </c>
      <c r="U315" s="126" t="n">
        <f aca="false">I315/$R$3</f>
        <v>0</v>
      </c>
      <c r="V315" s="126" t="n">
        <f aca="false">M315/$R$3</f>
        <v>0</v>
      </c>
      <c r="W315" s="126" t="n">
        <f aca="false">N315/$R$3</f>
        <v>-37.239</v>
      </c>
    </row>
    <row r="316" customFormat="false" ht="12.75" hidden="false" customHeight="false" outlineLevel="0" collapsed="false">
      <c r="A316" s="120" t="n">
        <f aca="false">A315+1</f>
        <v>37202</v>
      </c>
      <c r="B316" s="131" t="str">
        <f aca="false">INDEX('[4]Master Data'!$A$2:$B$8,MATCH(WEEKDAY('GNS Bolv Gas MTM'!A316,3),'[4]Master Data'!$A$2:$A$8,0),2)</f>
        <v>W</v>
      </c>
      <c r="D316" s="124" t="n">
        <v>0</v>
      </c>
      <c r="E316" s="124" t="n">
        <v>0</v>
      </c>
      <c r="F316" s="124" t="n">
        <v>0</v>
      </c>
      <c r="G316" s="124" t="n">
        <v>0</v>
      </c>
      <c r="I316" s="124" t="n">
        <f aca="false">IF(MONTH($A316)=MONTH($A315),IF(G316=0,I315,G316),G316)</f>
        <v>0</v>
      </c>
      <c r="J316" s="124" t="n">
        <f aca="false">IF(MONTH($A316)=MONTH($A315),SUM(I316-I315),I316)</f>
        <v>0</v>
      </c>
      <c r="K316" s="124" t="n">
        <f aca="false">IF(WEEKDAY(A316,3)&gt;4,0,(IF(A316&lt;K$2,0,IF(A316&lt;=K$3,1,0))))</f>
        <v>0</v>
      </c>
      <c r="L316" s="124" t="n">
        <f aca="false">J316*K316</f>
        <v>0</v>
      </c>
      <c r="M316" s="124" t="n">
        <f aca="false">SUM(J$280:J316)</f>
        <v>0</v>
      </c>
      <c r="N316" s="124" t="n">
        <f aca="false">SUM(J$6:J316)</f>
        <v>-37239</v>
      </c>
      <c r="P316" s="124" t="n">
        <f aca="false">D316/P$3</f>
        <v>0</v>
      </c>
      <c r="Q316" s="124" t="n">
        <f aca="false">E316/P$3</f>
        <v>0</v>
      </c>
      <c r="R316" s="124" t="n">
        <f aca="false">F316/R$3</f>
        <v>0</v>
      </c>
      <c r="S316" s="126" t="n">
        <f aca="false">J316/$R$3</f>
        <v>0</v>
      </c>
      <c r="T316" s="126" t="n">
        <f aca="false">L316/$R$3</f>
        <v>0</v>
      </c>
      <c r="U316" s="126" t="n">
        <f aca="false">I316/$R$3</f>
        <v>0</v>
      </c>
      <c r="V316" s="126" t="n">
        <f aca="false">M316/$R$3</f>
        <v>0</v>
      </c>
      <c r="W316" s="126" t="n">
        <f aca="false">N316/$R$3</f>
        <v>-37.239</v>
      </c>
    </row>
    <row r="317" customFormat="false" ht="12.75" hidden="false" customHeight="false" outlineLevel="0" collapsed="false">
      <c r="A317" s="120" t="n">
        <f aca="false">A316+1</f>
        <v>37203</v>
      </c>
      <c r="B317" s="131" t="str">
        <f aca="false">INDEX('[4]Master Data'!$A$2:$B$8,MATCH(WEEKDAY('GNS Bolv Gas MTM'!A317,3),'[4]Master Data'!$A$2:$A$8,0),2)</f>
        <v>Th</v>
      </c>
      <c r="D317" s="124" t="n">
        <v>0</v>
      </c>
      <c r="E317" s="124" t="n">
        <v>0</v>
      </c>
      <c r="F317" s="124" t="n">
        <v>0</v>
      </c>
      <c r="G317" s="124" t="n">
        <v>0</v>
      </c>
      <c r="I317" s="124" t="n">
        <f aca="false">IF(MONTH($A317)=MONTH($A316),IF(G317=0,I316,G317),G317)</f>
        <v>0</v>
      </c>
      <c r="J317" s="124" t="n">
        <f aca="false">IF(MONTH($A317)=MONTH($A316),SUM(I317-I316),I317)</f>
        <v>0</v>
      </c>
      <c r="K317" s="124" t="n">
        <f aca="false">IF(WEEKDAY(A317,3)&gt;4,0,(IF(A317&lt;K$2,0,IF(A317&lt;=K$3,1,0))))</f>
        <v>0</v>
      </c>
      <c r="L317" s="124" t="n">
        <f aca="false">J317*K317</f>
        <v>0</v>
      </c>
      <c r="M317" s="124" t="n">
        <f aca="false">SUM(J$280:J317)</f>
        <v>0</v>
      </c>
      <c r="N317" s="124" t="n">
        <f aca="false">SUM(J$6:J317)</f>
        <v>-37239</v>
      </c>
      <c r="P317" s="124" t="n">
        <f aca="false">D317/P$3</f>
        <v>0</v>
      </c>
      <c r="Q317" s="124" t="n">
        <f aca="false">E317/P$3</f>
        <v>0</v>
      </c>
      <c r="R317" s="124" t="n">
        <f aca="false">F317/R$3</f>
        <v>0</v>
      </c>
      <c r="S317" s="126" t="n">
        <f aca="false">J317/$R$3</f>
        <v>0</v>
      </c>
      <c r="T317" s="126" t="n">
        <f aca="false">L317/$R$3</f>
        <v>0</v>
      </c>
      <c r="U317" s="126" t="n">
        <f aca="false">I317/$R$3</f>
        <v>0</v>
      </c>
      <c r="V317" s="126" t="n">
        <f aca="false">M317/$R$3</f>
        <v>0</v>
      </c>
      <c r="W317" s="126" t="n">
        <f aca="false">N317/$R$3</f>
        <v>-37.239</v>
      </c>
    </row>
    <row r="318" customFormat="false" ht="12.75" hidden="false" customHeight="false" outlineLevel="0" collapsed="false">
      <c r="A318" s="120" t="n">
        <f aca="false">A317+1</f>
        <v>37204</v>
      </c>
      <c r="B318" s="131" t="str">
        <f aca="false">INDEX('[4]Master Data'!$A$2:$B$8,MATCH(WEEKDAY('GNS Bolv Gas MTM'!A318,3),'[4]Master Data'!$A$2:$A$8,0),2)</f>
        <v>F</v>
      </c>
      <c r="D318" s="124" t="n">
        <v>0</v>
      </c>
      <c r="E318" s="124" t="n">
        <v>0</v>
      </c>
      <c r="F318" s="124" t="n">
        <v>0</v>
      </c>
      <c r="G318" s="124" t="n">
        <v>0</v>
      </c>
      <c r="I318" s="124" t="n">
        <f aca="false">IF(MONTH($A318)=MONTH($A317),IF(G318=0,I317,G318),G318)</f>
        <v>0</v>
      </c>
      <c r="J318" s="124" t="n">
        <f aca="false">IF(MONTH($A318)=MONTH($A317),SUM(I318-I317),I318)</f>
        <v>0</v>
      </c>
      <c r="K318" s="124" t="n">
        <f aca="false">IF(WEEKDAY(A318,3)&gt;4,0,(IF(A318&lt;K$2,0,IF(A318&lt;=K$3,1,0))))</f>
        <v>0</v>
      </c>
      <c r="L318" s="124" t="n">
        <f aca="false">J318*K318</f>
        <v>0</v>
      </c>
      <c r="M318" s="124" t="n">
        <f aca="false">SUM(J$280:J318)</f>
        <v>0</v>
      </c>
      <c r="N318" s="124" t="n">
        <f aca="false">SUM(J$6:J318)</f>
        <v>-37239</v>
      </c>
      <c r="P318" s="124" t="n">
        <f aca="false">D318/P$3</f>
        <v>0</v>
      </c>
      <c r="Q318" s="124" t="n">
        <f aca="false">E318/P$3</f>
        <v>0</v>
      </c>
      <c r="R318" s="124" t="n">
        <f aca="false">F318/R$3</f>
        <v>0</v>
      </c>
      <c r="S318" s="126" t="n">
        <f aca="false">J318/$R$3</f>
        <v>0</v>
      </c>
      <c r="T318" s="126" t="n">
        <f aca="false">L318/$R$3</f>
        <v>0</v>
      </c>
      <c r="U318" s="126" t="n">
        <f aca="false">I318/$R$3</f>
        <v>0</v>
      </c>
      <c r="V318" s="126" t="n">
        <f aca="false">M318/$R$3</f>
        <v>0</v>
      </c>
      <c r="W318" s="126" t="n">
        <f aca="false">N318/$R$3</f>
        <v>-37.239</v>
      </c>
    </row>
    <row r="319" customFormat="false" ht="12.75" hidden="false" customHeight="false" outlineLevel="0" collapsed="false">
      <c r="A319" s="120" t="n">
        <f aca="false">A318+1</f>
        <v>37205</v>
      </c>
      <c r="B319" s="131" t="str">
        <f aca="false">INDEX('[4]Master Data'!$A$2:$B$8,MATCH(WEEKDAY('GNS Bolv Gas MTM'!A319,3),'[4]Master Data'!$A$2:$A$8,0),2)</f>
        <v>Sa</v>
      </c>
      <c r="D319" s="124" t="n">
        <v>0</v>
      </c>
      <c r="E319" s="124" t="n">
        <v>0</v>
      </c>
      <c r="F319" s="124" t="n">
        <v>0</v>
      </c>
      <c r="G319" s="124" t="n">
        <v>0</v>
      </c>
      <c r="I319" s="124" t="n">
        <f aca="false">IF(MONTH($A319)=MONTH($A318),IF(G319=0,I318,G319),G319)</f>
        <v>0</v>
      </c>
      <c r="J319" s="124" t="n">
        <f aca="false">IF(MONTH($A319)=MONTH($A318),SUM(I319-I318),I319)</f>
        <v>0</v>
      </c>
      <c r="K319" s="124" t="n">
        <f aca="false">IF(WEEKDAY(A319,3)&gt;4,0,(IF(A319&lt;K$2,0,IF(A319&lt;=K$3,1,0))))</f>
        <v>0</v>
      </c>
      <c r="L319" s="124" t="n">
        <f aca="false">J319*K319</f>
        <v>0</v>
      </c>
      <c r="M319" s="124" t="n">
        <f aca="false">SUM(J$280:J319)</f>
        <v>0</v>
      </c>
      <c r="N319" s="124" t="n">
        <f aca="false">SUM(J$6:J319)</f>
        <v>-37239</v>
      </c>
      <c r="P319" s="124" t="n">
        <f aca="false">D319/P$3</f>
        <v>0</v>
      </c>
      <c r="Q319" s="124" t="n">
        <f aca="false">E319/P$3</f>
        <v>0</v>
      </c>
      <c r="R319" s="124" t="n">
        <f aca="false">F319/R$3</f>
        <v>0</v>
      </c>
      <c r="S319" s="126" t="n">
        <f aca="false">J319/$R$3</f>
        <v>0</v>
      </c>
      <c r="T319" s="126" t="n">
        <f aca="false">L319/$R$3</f>
        <v>0</v>
      </c>
      <c r="U319" s="126" t="n">
        <f aca="false">I319/$R$3</f>
        <v>0</v>
      </c>
      <c r="V319" s="126" t="n">
        <f aca="false">M319/$R$3</f>
        <v>0</v>
      </c>
      <c r="W319" s="126" t="n">
        <f aca="false">N319/$R$3</f>
        <v>-37.239</v>
      </c>
    </row>
    <row r="320" customFormat="false" ht="12.75" hidden="false" customHeight="false" outlineLevel="0" collapsed="false">
      <c r="A320" s="120" t="n">
        <f aca="false">A319+1</f>
        <v>37206</v>
      </c>
      <c r="B320" s="131" t="str">
        <f aca="false">INDEX('[4]Master Data'!$A$2:$B$8,MATCH(WEEKDAY('GNS Bolv Gas MTM'!A320,3),'[4]Master Data'!$A$2:$A$8,0),2)</f>
        <v>Su</v>
      </c>
      <c r="D320" s="124" t="n">
        <v>0</v>
      </c>
      <c r="E320" s="124" t="n">
        <v>0</v>
      </c>
      <c r="F320" s="124" t="n">
        <v>0</v>
      </c>
      <c r="G320" s="124" t="n">
        <v>0</v>
      </c>
      <c r="I320" s="124" t="n">
        <f aca="false">IF(MONTH($A320)=MONTH($A319),IF(G320=0,I319,G320),G320)</f>
        <v>0</v>
      </c>
      <c r="J320" s="124" t="n">
        <f aca="false">IF(MONTH($A320)=MONTH($A319),SUM(I320-I319),I320)</f>
        <v>0</v>
      </c>
      <c r="K320" s="124" t="n">
        <f aca="false">IF(WEEKDAY(A320,3)&gt;4,0,(IF(A320&lt;K$2,0,IF(A320&lt;=K$3,1,0))))</f>
        <v>0</v>
      </c>
      <c r="L320" s="124" t="n">
        <f aca="false">J320*K320</f>
        <v>0</v>
      </c>
      <c r="M320" s="124" t="n">
        <f aca="false">SUM(J$280:J320)</f>
        <v>0</v>
      </c>
      <c r="N320" s="124" t="n">
        <f aca="false">SUM(J$6:J320)</f>
        <v>-37239</v>
      </c>
      <c r="P320" s="124" t="n">
        <f aca="false">D320/P$3</f>
        <v>0</v>
      </c>
      <c r="Q320" s="124" t="n">
        <f aca="false">E320/P$3</f>
        <v>0</v>
      </c>
      <c r="R320" s="124" t="n">
        <f aca="false">F320/R$3</f>
        <v>0</v>
      </c>
      <c r="S320" s="126" t="n">
        <f aca="false">J320/$R$3</f>
        <v>0</v>
      </c>
      <c r="T320" s="126" t="n">
        <f aca="false">L320/$R$3</f>
        <v>0</v>
      </c>
      <c r="U320" s="126" t="n">
        <f aca="false">I320/$R$3</f>
        <v>0</v>
      </c>
      <c r="V320" s="126" t="n">
        <f aca="false">M320/$R$3</f>
        <v>0</v>
      </c>
      <c r="W320" s="126" t="n">
        <f aca="false">N320/$R$3</f>
        <v>-37.239</v>
      </c>
    </row>
    <row r="321" customFormat="false" ht="12.75" hidden="false" customHeight="false" outlineLevel="0" collapsed="false">
      <c r="A321" s="120" t="n">
        <f aca="false">A320+1</f>
        <v>37207</v>
      </c>
      <c r="B321" s="131" t="str">
        <f aca="false">INDEX('[4]Master Data'!$A$2:$B$8,MATCH(WEEKDAY('GNS Bolv Gas MTM'!A321,3),'[4]Master Data'!$A$2:$A$8,0),2)</f>
        <v>M</v>
      </c>
      <c r="D321" s="124" t="n">
        <v>0</v>
      </c>
      <c r="E321" s="124" t="n">
        <v>0</v>
      </c>
      <c r="F321" s="124" t="n">
        <v>0</v>
      </c>
      <c r="G321" s="124" t="n">
        <v>0</v>
      </c>
      <c r="I321" s="124" t="n">
        <f aca="false">IF(MONTH($A321)=MONTH($A320),IF(G321=0,I320,G321),G321)</f>
        <v>0</v>
      </c>
      <c r="J321" s="124" t="n">
        <f aca="false">IF(MONTH($A321)=MONTH($A320),SUM(I321-I320),I321)</f>
        <v>0</v>
      </c>
      <c r="K321" s="124" t="n">
        <f aca="false">IF(WEEKDAY(A321,3)&gt;4,0,(IF(A321&lt;K$2,0,IF(A321&lt;=K$3,1,0))))</f>
        <v>0</v>
      </c>
      <c r="L321" s="124" t="n">
        <f aca="false">J321*K321</f>
        <v>0</v>
      </c>
      <c r="M321" s="124" t="n">
        <f aca="false">SUM(J$280:J321)</f>
        <v>0</v>
      </c>
      <c r="N321" s="124" t="n">
        <f aca="false">SUM(J$6:J321)</f>
        <v>-37239</v>
      </c>
      <c r="P321" s="124" t="n">
        <f aca="false">D321/P$3</f>
        <v>0</v>
      </c>
      <c r="Q321" s="124" t="n">
        <f aca="false">E321/P$3</f>
        <v>0</v>
      </c>
      <c r="R321" s="124" t="n">
        <f aca="false">F321/R$3</f>
        <v>0</v>
      </c>
      <c r="S321" s="126" t="n">
        <f aca="false">J321/$R$3</f>
        <v>0</v>
      </c>
      <c r="T321" s="126" t="n">
        <f aca="false">L321/$R$3</f>
        <v>0</v>
      </c>
      <c r="U321" s="126" t="n">
        <f aca="false">I321/$R$3</f>
        <v>0</v>
      </c>
      <c r="V321" s="126" t="n">
        <f aca="false">M321/$R$3</f>
        <v>0</v>
      </c>
      <c r="W321" s="126" t="n">
        <f aca="false">N321/$R$3</f>
        <v>-37.239</v>
      </c>
    </row>
    <row r="322" customFormat="false" ht="12.75" hidden="false" customHeight="false" outlineLevel="0" collapsed="false">
      <c r="A322" s="120" t="n">
        <f aca="false">A321+1</f>
        <v>37208</v>
      </c>
      <c r="B322" s="131" t="str">
        <f aca="false">INDEX('[4]Master Data'!$A$2:$B$8,MATCH(WEEKDAY('GNS Bolv Gas MTM'!A322,3),'[4]Master Data'!$A$2:$A$8,0),2)</f>
        <v>T</v>
      </c>
      <c r="D322" s="124" t="n">
        <v>0</v>
      </c>
      <c r="E322" s="124" t="n">
        <v>0</v>
      </c>
      <c r="F322" s="124" t="n">
        <v>0</v>
      </c>
      <c r="G322" s="124" t="n">
        <v>0</v>
      </c>
      <c r="I322" s="124" t="n">
        <f aca="false">IF(MONTH($A322)=MONTH($A321),IF(G322=0,I321,G322),G322)</f>
        <v>0</v>
      </c>
      <c r="J322" s="124" t="n">
        <f aca="false">IF(MONTH($A322)=MONTH($A321),SUM(I322-I321),I322)</f>
        <v>0</v>
      </c>
      <c r="K322" s="124" t="n">
        <f aca="false">IF(WEEKDAY(A322,3)&gt;4,0,(IF(A322&lt;K$2,0,IF(A322&lt;=K$3,1,0))))</f>
        <v>0</v>
      </c>
      <c r="L322" s="124" t="n">
        <f aca="false">J322*K322</f>
        <v>0</v>
      </c>
      <c r="M322" s="124" t="n">
        <f aca="false">SUM(J$280:J322)</f>
        <v>0</v>
      </c>
      <c r="N322" s="124" t="n">
        <f aca="false">SUM(J$6:J322)</f>
        <v>-37239</v>
      </c>
      <c r="P322" s="124" t="n">
        <f aca="false">D322/P$3</f>
        <v>0</v>
      </c>
      <c r="Q322" s="124" t="n">
        <f aca="false">E322/P$3</f>
        <v>0</v>
      </c>
      <c r="R322" s="124" t="n">
        <f aca="false">F322/R$3</f>
        <v>0</v>
      </c>
      <c r="S322" s="126" t="n">
        <f aca="false">J322/$R$3</f>
        <v>0</v>
      </c>
      <c r="T322" s="126" t="n">
        <f aca="false">L322/$R$3</f>
        <v>0</v>
      </c>
      <c r="U322" s="126" t="n">
        <f aca="false">I322/$R$3</f>
        <v>0</v>
      </c>
      <c r="V322" s="126" t="n">
        <f aca="false">M322/$R$3</f>
        <v>0</v>
      </c>
      <c r="W322" s="126" t="n">
        <f aca="false">N322/$R$3</f>
        <v>-37.239</v>
      </c>
    </row>
    <row r="323" customFormat="false" ht="12.75" hidden="false" customHeight="false" outlineLevel="0" collapsed="false">
      <c r="A323" s="120" t="n">
        <f aca="false">A322+1</f>
        <v>37209</v>
      </c>
      <c r="B323" s="131" t="str">
        <f aca="false">INDEX('[4]Master Data'!$A$2:$B$8,MATCH(WEEKDAY('GNS Bolv Gas MTM'!A323,3),'[4]Master Data'!$A$2:$A$8,0),2)</f>
        <v>W</v>
      </c>
      <c r="D323" s="124" t="n">
        <v>0</v>
      </c>
      <c r="E323" s="124" t="n">
        <v>0</v>
      </c>
      <c r="F323" s="124" t="n">
        <v>0</v>
      </c>
      <c r="G323" s="124" t="n">
        <v>0</v>
      </c>
      <c r="I323" s="124" t="n">
        <f aca="false">IF(MONTH($A323)=MONTH($A322),IF(G323=0,I322,G323),G323)</f>
        <v>0</v>
      </c>
      <c r="J323" s="124" t="n">
        <f aca="false">IF(MONTH($A323)=MONTH($A322),SUM(I323-I322),I323)</f>
        <v>0</v>
      </c>
      <c r="K323" s="124" t="n">
        <f aca="false">IF(WEEKDAY(A323,3)&gt;4,0,(IF(A323&lt;K$2,0,IF(A323&lt;=K$3,1,0))))</f>
        <v>0</v>
      </c>
      <c r="L323" s="124" t="n">
        <f aca="false">J323*K323</f>
        <v>0</v>
      </c>
      <c r="M323" s="124" t="n">
        <f aca="false">SUM(J$280:J323)</f>
        <v>0</v>
      </c>
      <c r="N323" s="124" t="n">
        <f aca="false">SUM(J$6:J323)</f>
        <v>-37239</v>
      </c>
      <c r="P323" s="124" t="n">
        <f aca="false">D323/P$3</f>
        <v>0</v>
      </c>
      <c r="Q323" s="124" t="n">
        <f aca="false">E323/P$3</f>
        <v>0</v>
      </c>
      <c r="R323" s="124" t="n">
        <f aca="false">F323/R$3</f>
        <v>0</v>
      </c>
      <c r="S323" s="126" t="n">
        <f aca="false">J323/$R$3</f>
        <v>0</v>
      </c>
      <c r="T323" s="126" t="n">
        <f aca="false">L323/$R$3</f>
        <v>0</v>
      </c>
      <c r="U323" s="126" t="n">
        <f aca="false">I323/$R$3</f>
        <v>0</v>
      </c>
      <c r="V323" s="126" t="n">
        <f aca="false">M323/$R$3</f>
        <v>0</v>
      </c>
      <c r="W323" s="126" t="n">
        <f aca="false">N323/$R$3</f>
        <v>-37.239</v>
      </c>
    </row>
    <row r="324" customFormat="false" ht="12.75" hidden="false" customHeight="false" outlineLevel="0" collapsed="false">
      <c r="A324" s="120" t="n">
        <f aca="false">A323+1</f>
        <v>37210</v>
      </c>
      <c r="B324" s="131" t="str">
        <f aca="false">INDEX('[4]Master Data'!$A$2:$B$8,MATCH(WEEKDAY('GNS Bolv Gas MTM'!A324,3),'[4]Master Data'!$A$2:$A$8,0),2)</f>
        <v>Th</v>
      </c>
      <c r="D324" s="124" t="n">
        <v>0</v>
      </c>
      <c r="E324" s="124" t="n">
        <v>0</v>
      </c>
      <c r="F324" s="124" t="n">
        <v>0</v>
      </c>
      <c r="G324" s="124" t="n">
        <v>0</v>
      </c>
      <c r="I324" s="124" t="n">
        <f aca="false">IF(MONTH($A324)=MONTH($A323),IF(G324=0,I323,G324),G324)</f>
        <v>0</v>
      </c>
      <c r="J324" s="124" t="n">
        <f aca="false">IF(MONTH($A324)=MONTH($A323),SUM(I324-I323),I324)</f>
        <v>0</v>
      </c>
      <c r="K324" s="124" t="n">
        <f aca="false">IF(WEEKDAY(A324,3)&gt;4,0,(IF(A324&lt;K$2,0,IF(A324&lt;=K$3,1,0))))</f>
        <v>0</v>
      </c>
      <c r="L324" s="124" t="n">
        <f aca="false">J324*K324</f>
        <v>0</v>
      </c>
      <c r="M324" s="124" t="n">
        <f aca="false">SUM(J$280:J324)</f>
        <v>0</v>
      </c>
      <c r="N324" s="124" t="n">
        <f aca="false">SUM(J$6:J324)</f>
        <v>-37239</v>
      </c>
      <c r="P324" s="124" t="n">
        <f aca="false">D324/P$3</f>
        <v>0</v>
      </c>
      <c r="Q324" s="124" t="n">
        <f aca="false">E324/P$3</f>
        <v>0</v>
      </c>
      <c r="R324" s="124" t="n">
        <f aca="false">F324/R$3</f>
        <v>0</v>
      </c>
      <c r="S324" s="126" t="n">
        <f aca="false">J324/$R$3</f>
        <v>0</v>
      </c>
      <c r="T324" s="126" t="n">
        <f aca="false">L324/$R$3</f>
        <v>0</v>
      </c>
      <c r="U324" s="126" t="n">
        <f aca="false">I324/$R$3</f>
        <v>0</v>
      </c>
      <c r="V324" s="126" t="n">
        <f aca="false">M324/$R$3</f>
        <v>0</v>
      </c>
      <c r="W324" s="126" t="n">
        <f aca="false">N324/$R$3</f>
        <v>-37.239</v>
      </c>
    </row>
    <row r="325" customFormat="false" ht="12.75" hidden="false" customHeight="false" outlineLevel="0" collapsed="false">
      <c r="A325" s="120" t="n">
        <f aca="false">A324+1</f>
        <v>37211</v>
      </c>
      <c r="B325" s="131" t="str">
        <f aca="false">INDEX('[4]Master Data'!$A$2:$B$8,MATCH(WEEKDAY('GNS Bolv Gas MTM'!A325,3),'[4]Master Data'!$A$2:$A$8,0),2)</f>
        <v>F</v>
      </c>
      <c r="D325" s="124" t="n">
        <v>0</v>
      </c>
      <c r="E325" s="124" t="n">
        <v>0</v>
      </c>
      <c r="F325" s="124" t="n">
        <v>0</v>
      </c>
      <c r="G325" s="124" t="n">
        <v>0</v>
      </c>
      <c r="I325" s="124" t="n">
        <f aca="false">IF(MONTH($A325)=MONTH($A324),IF(G325=0,I324,G325),G325)</f>
        <v>0</v>
      </c>
      <c r="J325" s="124" t="n">
        <f aca="false">IF(MONTH($A325)=MONTH($A324),SUM(I325-I324),I325)</f>
        <v>0</v>
      </c>
      <c r="K325" s="124" t="n">
        <f aca="false">IF(WEEKDAY(A325,3)&gt;4,0,(IF(A325&lt;K$2,0,IF(A325&lt;=K$3,1,0))))</f>
        <v>0</v>
      </c>
      <c r="L325" s="124" t="n">
        <f aca="false">J325*K325</f>
        <v>0</v>
      </c>
      <c r="M325" s="124" t="n">
        <f aca="false">SUM(J$280:J325)</f>
        <v>0</v>
      </c>
      <c r="N325" s="124" t="n">
        <f aca="false">SUM(J$6:J325)</f>
        <v>-37239</v>
      </c>
      <c r="P325" s="124" t="n">
        <f aca="false">D325/P$3</f>
        <v>0</v>
      </c>
      <c r="Q325" s="124" t="n">
        <f aca="false">E325/P$3</f>
        <v>0</v>
      </c>
      <c r="R325" s="124" t="n">
        <f aca="false">F325/R$3</f>
        <v>0</v>
      </c>
      <c r="S325" s="126" t="n">
        <f aca="false">J325/$R$3</f>
        <v>0</v>
      </c>
      <c r="T325" s="126" t="n">
        <f aca="false">L325/$R$3</f>
        <v>0</v>
      </c>
      <c r="U325" s="126" t="n">
        <f aca="false">I325/$R$3</f>
        <v>0</v>
      </c>
      <c r="V325" s="126" t="n">
        <f aca="false">M325/$R$3</f>
        <v>0</v>
      </c>
      <c r="W325" s="126" t="n">
        <f aca="false">N325/$R$3</f>
        <v>-37.239</v>
      </c>
    </row>
    <row r="326" customFormat="false" ht="12.75" hidden="false" customHeight="false" outlineLevel="0" collapsed="false">
      <c r="A326" s="120" t="n">
        <f aca="false">A325+1</f>
        <v>37212</v>
      </c>
      <c r="B326" s="131" t="str">
        <f aca="false">INDEX('[4]Master Data'!$A$2:$B$8,MATCH(WEEKDAY('GNS Bolv Gas MTM'!A326,3),'[4]Master Data'!$A$2:$A$8,0),2)</f>
        <v>Sa</v>
      </c>
      <c r="D326" s="124" t="n">
        <v>0</v>
      </c>
      <c r="E326" s="124" t="n">
        <v>0</v>
      </c>
      <c r="F326" s="124" t="n">
        <v>0</v>
      </c>
      <c r="G326" s="124" t="n">
        <v>0</v>
      </c>
      <c r="I326" s="124" t="n">
        <f aca="false">IF(MONTH($A326)=MONTH($A325),IF(G326=0,I325,G326),G326)</f>
        <v>0</v>
      </c>
      <c r="J326" s="124" t="n">
        <f aca="false">IF(MONTH($A326)=MONTH($A325),SUM(I326-I325),I326)</f>
        <v>0</v>
      </c>
      <c r="K326" s="124" t="n">
        <f aca="false">IF(WEEKDAY(A326,3)&gt;4,0,(IF(A326&lt;K$2,0,IF(A326&lt;=K$3,1,0))))</f>
        <v>0</v>
      </c>
      <c r="L326" s="124" t="n">
        <f aca="false">J326*K326</f>
        <v>0</v>
      </c>
      <c r="M326" s="124" t="n">
        <f aca="false">SUM(J$280:J326)</f>
        <v>0</v>
      </c>
      <c r="N326" s="124" t="n">
        <f aca="false">SUM(J$6:J326)</f>
        <v>-37239</v>
      </c>
      <c r="P326" s="124" t="n">
        <f aca="false">D326/P$3</f>
        <v>0</v>
      </c>
      <c r="Q326" s="124" t="n">
        <f aca="false">E326/P$3</f>
        <v>0</v>
      </c>
      <c r="R326" s="124" t="n">
        <f aca="false">F326/R$3</f>
        <v>0</v>
      </c>
      <c r="S326" s="126" t="n">
        <f aca="false">J326/$R$3</f>
        <v>0</v>
      </c>
      <c r="T326" s="126" t="n">
        <f aca="false">L326/$R$3</f>
        <v>0</v>
      </c>
      <c r="U326" s="126" t="n">
        <f aca="false">I326/$R$3</f>
        <v>0</v>
      </c>
      <c r="V326" s="126" t="n">
        <f aca="false">M326/$R$3</f>
        <v>0</v>
      </c>
      <c r="W326" s="126" t="n">
        <f aca="false">N326/$R$3</f>
        <v>-37.239</v>
      </c>
    </row>
    <row r="327" customFormat="false" ht="12.75" hidden="false" customHeight="false" outlineLevel="0" collapsed="false">
      <c r="A327" s="120" t="n">
        <f aca="false">A326+1</f>
        <v>37213</v>
      </c>
      <c r="B327" s="131" t="str">
        <f aca="false">INDEX('[4]Master Data'!$A$2:$B$8,MATCH(WEEKDAY('GNS Bolv Gas MTM'!A327,3),'[4]Master Data'!$A$2:$A$8,0),2)</f>
        <v>Su</v>
      </c>
      <c r="D327" s="124" t="n">
        <v>0</v>
      </c>
      <c r="E327" s="124" t="n">
        <v>0</v>
      </c>
      <c r="F327" s="124" t="n">
        <v>0</v>
      </c>
      <c r="G327" s="124" t="n">
        <v>0</v>
      </c>
      <c r="I327" s="124" t="n">
        <f aca="false">IF(MONTH($A327)=MONTH($A326),IF(G327=0,I326,G327),G327)</f>
        <v>0</v>
      </c>
      <c r="J327" s="124" t="n">
        <f aca="false">IF(MONTH($A327)=MONTH($A326),SUM(I327-I326),I327)</f>
        <v>0</v>
      </c>
      <c r="K327" s="124" t="n">
        <f aca="false">IF(WEEKDAY(A327,3)&gt;4,0,(IF(A327&lt;K$2,0,IF(A327&lt;=K$3,1,0))))</f>
        <v>0</v>
      </c>
      <c r="L327" s="124" t="n">
        <f aca="false">J327*K327</f>
        <v>0</v>
      </c>
      <c r="M327" s="124" t="n">
        <f aca="false">SUM(J$280:J327)</f>
        <v>0</v>
      </c>
      <c r="N327" s="124" t="n">
        <f aca="false">SUM(J$6:J327)</f>
        <v>-37239</v>
      </c>
      <c r="P327" s="124" t="n">
        <f aca="false">D327/P$3</f>
        <v>0</v>
      </c>
      <c r="Q327" s="124" t="n">
        <f aca="false">E327/P$3</f>
        <v>0</v>
      </c>
      <c r="R327" s="124" t="n">
        <f aca="false">F327/R$3</f>
        <v>0</v>
      </c>
      <c r="S327" s="126" t="n">
        <f aca="false">J327/$R$3</f>
        <v>0</v>
      </c>
      <c r="T327" s="126" t="n">
        <f aca="false">L327/$R$3</f>
        <v>0</v>
      </c>
      <c r="U327" s="126" t="n">
        <f aca="false">I327/$R$3</f>
        <v>0</v>
      </c>
      <c r="V327" s="126" t="n">
        <f aca="false">M327/$R$3</f>
        <v>0</v>
      </c>
      <c r="W327" s="126" t="n">
        <f aca="false">N327/$R$3</f>
        <v>-37.239</v>
      </c>
    </row>
    <row r="328" customFormat="false" ht="12.75" hidden="false" customHeight="false" outlineLevel="0" collapsed="false">
      <c r="A328" s="120" t="n">
        <f aca="false">A327+1</f>
        <v>37214</v>
      </c>
      <c r="B328" s="131" t="str">
        <f aca="false">INDEX('[4]Master Data'!$A$2:$B$8,MATCH(WEEKDAY('GNS Bolv Gas MTM'!A328,3),'[4]Master Data'!$A$2:$A$8,0),2)</f>
        <v>M</v>
      </c>
      <c r="D328" s="124" t="n">
        <v>0</v>
      </c>
      <c r="E328" s="124" t="n">
        <v>0</v>
      </c>
      <c r="F328" s="124" t="n">
        <v>0</v>
      </c>
      <c r="G328" s="124" t="n">
        <v>0</v>
      </c>
      <c r="I328" s="124" t="n">
        <f aca="false">IF(MONTH($A328)=MONTH($A327),IF(G328=0,I327,G328),G328)</f>
        <v>0</v>
      </c>
      <c r="J328" s="124" t="n">
        <f aca="false">IF(MONTH($A328)=MONTH($A327),SUM(I328-I327),I328)</f>
        <v>0</v>
      </c>
      <c r="K328" s="124" t="n">
        <f aca="false">IF(WEEKDAY(A328,3)&gt;4,0,(IF(A328&lt;K$2,0,IF(A328&lt;=K$3,1,0))))</f>
        <v>0</v>
      </c>
      <c r="L328" s="124" t="n">
        <f aca="false">J328*K328</f>
        <v>0</v>
      </c>
      <c r="M328" s="124" t="n">
        <f aca="false">SUM(J$280:J328)</f>
        <v>0</v>
      </c>
      <c r="N328" s="124" t="n">
        <f aca="false">SUM(J$6:J328)</f>
        <v>-37239</v>
      </c>
      <c r="P328" s="124" t="n">
        <f aca="false">D328/P$3</f>
        <v>0</v>
      </c>
      <c r="Q328" s="124" t="n">
        <f aca="false">E328/P$3</f>
        <v>0</v>
      </c>
      <c r="R328" s="124" t="n">
        <f aca="false">F328/R$3</f>
        <v>0</v>
      </c>
      <c r="S328" s="126" t="n">
        <f aca="false">J328/$R$3</f>
        <v>0</v>
      </c>
      <c r="T328" s="126" t="n">
        <f aca="false">L328/$R$3</f>
        <v>0</v>
      </c>
      <c r="U328" s="126" t="n">
        <f aca="false">I328/$R$3</f>
        <v>0</v>
      </c>
      <c r="V328" s="126" t="n">
        <f aca="false">M328/$R$3</f>
        <v>0</v>
      </c>
      <c r="W328" s="126" t="n">
        <f aca="false">N328/$R$3</f>
        <v>-37.239</v>
      </c>
    </row>
    <row r="329" customFormat="false" ht="12.75" hidden="false" customHeight="false" outlineLevel="0" collapsed="false">
      <c r="A329" s="120" t="n">
        <f aca="false">A328+1</f>
        <v>37215</v>
      </c>
      <c r="B329" s="131" t="str">
        <f aca="false">INDEX('[4]Master Data'!$A$2:$B$8,MATCH(WEEKDAY('GNS Bolv Gas MTM'!A329,3),'[4]Master Data'!$A$2:$A$8,0),2)</f>
        <v>T</v>
      </c>
      <c r="D329" s="124" t="n">
        <v>0</v>
      </c>
      <c r="E329" s="124" t="n">
        <v>0</v>
      </c>
      <c r="F329" s="124" t="n">
        <v>0</v>
      </c>
      <c r="G329" s="124" t="n">
        <v>0</v>
      </c>
      <c r="I329" s="124" t="n">
        <f aca="false">IF(MONTH($A329)=MONTH($A328),IF(G329=0,I328,G329),G329)</f>
        <v>0</v>
      </c>
      <c r="J329" s="124" t="n">
        <f aca="false">IF(MONTH($A329)=MONTH($A328),SUM(I329-I328),I329)</f>
        <v>0</v>
      </c>
      <c r="K329" s="124" t="n">
        <f aca="false">IF(WEEKDAY(A329,3)&gt;4,0,(IF(A329&lt;K$2,0,IF(A329&lt;=K$3,1,0))))</f>
        <v>0</v>
      </c>
      <c r="L329" s="124" t="n">
        <f aca="false">J329*K329</f>
        <v>0</v>
      </c>
      <c r="M329" s="124" t="n">
        <f aca="false">SUM(J$280:J329)</f>
        <v>0</v>
      </c>
      <c r="N329" s="124" t="n">
        <f aca="false">SUM(J$6:J329)</f>
        <v>-37239</v>
      </c>
      <c r="P329" s="124" t="n">
        <f aca="false">D329/P$3</f>
        <v>0</v>
      </c>
      <c r="Q329" s="124" t="n">
        <f aca="false">E329/P$3</f>
        <v>0</v>
      </c>
      <c r="R329" s="124" t="n">
        <f aca="false">F329/R$3</f>
        <v>0</v>
      </c>
      <c r="S329" s="126" t="n">
        <f aca="false">J329/$R$3</f>
        <v>0</v>
      </c>
      <c r="T329" s="126" t="n">
        <f aca="false">L329/$R$3</f>
        <v>0</v>
      </c>
      <c r="U329" s="126" t="n">
        <f aca="false">I329/$R$3</f>
        <v>0</v>
      </c>
      <c r="V329" s="126" t="n">
        <f aca="false">M329/$R$3</f>
        <v>0</v>
      </c>
      <c r="W329" s="126" t="n">
        <f aca="false">N329/$R$3</f>
        <v>-37.239</v>
      </c>
    </row>
    <row r="330" customFormat="false" ht="12.75" hidden="false" customHeight="false" outlineLevel="0" collapsed="false">
      <c r="A330" s="120" t="n">
        <f aca="false">A329+1</f>
        <v>37216</v>
      </c>
      <c r="B330" s="131" t="str">
        <f aca="false">INDEX('[4]Master Data'!$A$2:$B$8,MATCH(WEEKDAY('GNS Bolv Gas MTM'!A330,3),'[4]Master Data'!$A$2:$A$8,0),2)</f>
        <v>W</v>
      </c>
      <c r="D330" s="124" t="n">
        <v>0</v>
      </c>
      <c r="E330" s="124" t="n">
        <v>0</v>
      </c>
      <c r="F330" s="124" t="n">
        <v>0</v>
      </c>
      <c r="G330" s="124" t="n">
        <v>0</v>
      </c>
      <c r="I330" s="124" t="n">
        <f aca="false">IF(MONTH($A330)=MONTH($A329),IF(G330=0,I329,G330),G330)</f>
        <v>0</v>
      </c>
      <c r="J330" s="124" t="n">
        <f aca="false">IF(MONTH($A330)=MONTH($A329),SUM(I330-I329),I330)</f>
        <v>0</v>
      </c>
      <c r="K330" s="124" t="n">
        <f aca="false">IF(WEEKDAY(A330,3)&gt;4,0,(IF(A330&lt;K$2,0,IF(A330&lt;=K$3,1,0))))</f>
        <v>0</v>
      </c>
      <c r="L330" s="124" t="n">
        <f aca="false">J330*K330</f>
        <v>0</v>
      </c>
      <c r="M330" s="124" t="n">
        <f aca="false">SUM(J$280:J330)</f>
        <v>0</v>
      </c>
      <c r="N330" s="124" t="n">
        <f aca="false">SUM(J$6:J330)</f>
        <v>-37239</v>
      </c>
      <c r="P330" s="124" t="n">
        <f aca="false">D330/P$3</f>
        <v>0</v>
      </c>
      <c r="Q330" s="124" t="n">
        <f aca="false">E330/P$3</f>
        <v>0</v>
      </c>
      <c r="R330" s="124" t="n">
        <f aca="false">F330/R$3</f>
        <v>0</v>
      </c>
      <c r="S330" s="126" t="n">
        <f aca="false">J330/$R$3</f>
        <v>0</v>
      </c>
      <c r="T330" s="126" t="n">
        <f aca="false">L330/$R$3</f>
        <v>0</v>
      </c>
      <c r="U330" s="126" t="n">
        <f aca="false">I330/$R$3</f>
        <v>0</v>
      </c>
      <c r="V330" s="126" t="n">
        <f aca="false">M330/$R$3</f>
        <v>0</v>
      </c>
      <c r="W330" s="126" t="n">
        <f aca="false">N330/$R$3</f>
        <v>-37.239</v>
      </c>
    </row>
    <row r="331" customFormat="false" ht="12.75" hidden="false" customHeight="false" outlineLevel="0" collapsed="false">
      <c r="A331" s="120" t="n">
        <f aca="false">A330+1</f>
        <v>37217</v>
      </c>
      <c r="B331" s="131" t="str">
        <f aca="false">INDEX('[4]Master Data'!$A$2:$B$8,MATCH(WEEKDAY('GNS Bolv Gas MTM'!A331,3),'[4]Master Data'!$A$2:$A$8,0),2)</f>
        <v>Th</v>
      </c>
      <c r="D331" s="124" t="n">
        <v>0</v>
      </c>
      <c r="E331" s="124" t="n">
        <v>0</v>
      </c>
      <c r="F331" s="124" t="n">
        <v>0</v>
      </c>
      <c r="G331" s="124" t="n">
        <v>0</v>
      </c>
      <c r="I331" s="124" t="n">
        <f aca="false">IF(MONTH($A331)=MONTH($A330),IF(G331=0,I330,G331),G331)</f>
        <v>0</v>
      </c>
      <c r="J331" s="124" t="n">
        <f aca="false">IF(MONTH($A331)=MONTH($A330),SUM(I331-I330),I331)</f>
        <v>0</v>
      </c>
      <c r="K331" s="124" t="n">
        <f aca="false">IF(WEEKDAY(A331,3)&gt;4,0,(IF(A331&lt;K$2,0,IF(A331&lt;=K$3,1,0))))</f>
        <v>0</v>
      </c>
      <c r="L331" s="124" t="n">
        <f aca="false">J331*K331</f>
        <v>0</v>
      </c>
      <c r="M331" s="124" t="n">
        <f aca="false">SUM(J$280:J331)</f>
        <v>0</v>
      </c>
      <c r="N331" s="124" t="n">
        <f aca="false">SUM(J$6:J331)</f>
        <v>-37239</v>
      </c>
      <c r="P331" s="124" t="n">
        <f aca="false">D331/P$3</f>
        <v>0</v>
      </c>
      <c r="Q331" s="124" t="n">
        <f aca="false">E331/P$3</f>
        <v>0</v>
      </c>
      <c r="R331" s="124" t="n">
        <f aca="false">F331/R$3</f>
        <v>0</v>
      </c>
      <c r="S331" s="126" t="n">
        <f aca="false">J331/$R$3</f>
        <v>0</v>
      </c>
      <c r="T331" s="126" t="n">
        <f aca="false">L331/$R$3</f>
        <v>0</v>
      </c>
      <c r="U331" s="126" t="n">
        <f aca="false">I331/$R$3</f>
        <v>0</v>
      </c>
      <c r="V331" s="126" t="n">
        <f aca="false">M331/$R$3</f>
        <v>0</v>
      </c>
      <c r="W331" s="126" t="n">
        <f aca="false">N331/$R$3</f>
        <v>-37.239</v>
      </c>
    </row>
    <row r="332" customFormat="false" ht="12.75" hidden="false" customHeight="false" outlineLevel="0" collapsed="false">
      <c r="A332" s="120" t="n">
        <f aca="false">A331+1</f>
        <v>37218</v>
      </c>
      <c r="B332" s="131" t="str">
        <f aca="false">INDEX('[4]Master Data'!$A$2:$B$8,MATCH(WEEKDAY('GNS Bolv Gas MTM'!A332,3),'[4]Master Data'!$A$2:$A$8,0),2)</f>
        <v>F</v>
      </c>
      <c r="D332" s="124" t="n">
        <v>0</v>
      </c>
      <c r="E332" s="124" t="n">
        <v>0</v>
      </c>
      <c r="F332" s="124" t="n">
        <v>0</v>
      </c>
      <c r="G332" s="124" t="n">
        <v>0</v>
      </c>
      <c r="I332" s="124" t="n">
        <f aca="false">IF(MONTH($A332)=MONTH($A331),IF(G332=0,I331,G332),G332)</f>
        <v>0</v>
      </c>
      <c r="J332" s="124" t="n">
        <f aca="false">IF(MONTH($A332)=MONTH($A331),SUM(I332-I331),I332)</f>
        <v>0</v>
      </c>
      <c r="K332" s="124" t="n">
        <f aca="false">IF(WEEKDAY(A332,3)&gt;4,0,(IF(A332&lt;K$2,0,IF(A332&lt;=K$3,1,0))))</f>
        <v>0</v>
      </c>
      <c r="L332" s="124" t="n">
        <f aca="false">J332*K332</f>
        <v>0</v>
      </c>
      <c r="M332" s="124" t="n">
        <f aca="false">SUM(J$280:J332)</f>
        <v>0</v>
      </c>
      <c r="N332" s="124" t="n">
        <f aca="false">SUM(J$6:J332)</f>
        <v>-37239</v>
      </c>
      <c r="P332" s="124" t="n">
        <f aca="false">D332/P$3</f>
        <v>0</v>
      </c>
      <c r="Q332" s="124" t="n">
        <f aca="false">E332/P$3</f>
        <v>0</v>
      </c>
      <c r="R332" s="124" t="n">
        <f aca="false">F332/R$3</f>
        <v>0</v>
      </c>
      <c r="S332" s="126" t="n">
        <f aca="false">J332/$R$3</f>
        <v>0</v>
      </c>
      <c r="T332" s="126" t="n">
        <f aca="false">L332/$R$3</f>
        <v>0</v>
      </c>
      <c r="U332" s="126" t="n">
        <f aca="false">I332/$R$3</f>
        <v>0</v>
      </c>
      <c r="V332" s="126" t="n">
        <f aca="false">M332/$R$3</f>
        <v>0</v>
      </c>
      <c r="W332" s="126" t="n">
        <f aca="false">N332/$R$3</f>
        <v>-37.239</v>
      </c>
    </row>
    <row r="333" customFormat="false" ht="12.75" hidden="false" customHeight="false" outlineLevel="0" collapsed="false">
      <c r="A333" s="120" t="n">
        <f aca="false">A332+1</f>
        <v>37219</v>
      </c>
      <c r="B333" s="131" t="str">
        <f aca="false">INDEX('[4]Master Data'!$A$2:$B$8,MATCH(WEEKDAY('GNS Bolv Gas MTM'!A333,3),'[4]Master Data'!$A$2:$A$8,0),2)</f>
        <v>Sa</v>
      </c>
      <c r="D333" s="124" t="n">
        <v>0</v>
      </c>
      <c r="E333" s="124" t="n">
        <v>0</v>
      </c>
      <c r="F333" s="124" t="n">
        <v>0</v>
      </c>
      <c r="G333" s="124" t="n">
        <v>0</v>
      </c>
      <c r="I333" s="124" t="n">
        <f aca="false">IF(MONTH($A333)=MONTH($A332),IF(G333=0,I332,G333),G333)</f>
        <v>0</v>
      </c>
      <c r="J333" s="124" t="n">
        <f aca="false">IF(MONTH($A333)=MONTH($A332),SUM(I333-I332),I333)</f>
        <v>0</v>
      </c>
      <c r="K333" s="124" t="n">
        <f aca="false">IF(WEEKDAY(A333,3)&gt;4,0,(IF(A333&lt;K$2,0,IF(A333&lt;=K$3,1,0))))</f>
        <v>0</v>
      </c>
      <c r="L333" s="124" t="n">
        <f aca="false">J333*K333</f>
        <v>0</v>
      </c>
      <c r="M333" s="124" t="n">
        <f aca="false">SUM(J$280:J333)</f>
        <v>0</v>
      </c>
      <c r="N333" s="124" t="n">
        <f aca="false">SUM(J$6:J333)</f>
        <v>-37239</v>
      </c>
      <c r="P333" s="124" t="n">
        <f aca="false">D333/P$3</f>
        <v>0</v>
      </c>
      <c r="Q333" s="124" t="n">
        <f aca="false">E333/P$3</f>
        <v>0</v>
      </c>
      <c r="R333" s="124" t="n">
        <f aca="false">F333/R$3</f>
        <v>0</v>
      </c>
      <c r="S333" s="126" t="n">
        <f aca="false">J333/$R$3</f>
        <v>0</v>
      </c>
      <c r="T333" s="126" t="n">
        <f aca="false">L333/$R$3</f>
        <v>0</v>
      </c>
      <c r="U333" s="126" t="n">
        <f aca="false">I333/$R$3</f>
        <v>0</v>
      </c>
      <c r="V333" s="126" t="n">
        <f aca="false">M333/$R$3</f>
        <v>0</v>
      </c>
      <c r="W333" s="126" t="n">
        <f aca="false">N333/$R$3</f>
        <v>-37.239</v>
      </c>
    </row>
    <row r="334" customFormat="false" ht="12.75" hidden="false" customHeight="false" outlineLevel="0" collapsed="false">
      <c r="A334" s="120" t="n">
        <f aca="false">A333+1</f>
        <v>37220</v>
      </c>
      <c r="B334" s="131" t="str">
        <f aca="false">INDEX('[4]Master Data'!$A$2:$B$8,MATCH(WEEKDAY('GNS Bolv Gas MTM'!A334,3),'[4]Master Data'!$A$2:$A$8,0),2)</f>
        <v>Su</v>
      </c>
      <c r="D334" s="124" t="n">
        <v>0</v>
      </c>
      <c r="E334" s="124" t="n">
        <v>0</v>
      </c>
      <c r="F334" s="124" t="n">
        <v>0</v>
      </c>
      <c r="G334" s="124" t="n">
        <v>0</v>
      </c>
      <c r="I334" s="124" t="n">
        <f aca="false">IF(MONTH($A334)=MONTH($A333),IF(G334=0,I333,G334),G334)</f>
        <v>0</v>
      </c>
      <c r="J334" s="124" t="n">
        <f aca="false">IF(MONTH($A334)=MONTH($A333),SUM(I334-I333),I334)</f>
        <v>0</v>
      </c>
      <c r="K334" s="124" t="n">
        <f aca="false">IF(WEEKDAY(A334,3)&gt;4,0,(IF(A334&lt;K$2,0,IF(A334&lt;=K$3,1,0))))</f>
        <v>0</v>
      </c>
      <c r="L334" s="124" t="n">
        <f aca="false">J334*K334</f>
        <v>0</v>
      </c>
      <c r="M334" s="124" t="n">
        <f aca="false">SUM(J$280:J334)</f>
        <v>0</v>
      </c>
      <c r="N334" s="124" t="n">
        <f aca="false">SUM(J$6:J334)</f>
        <v>-37239</v>
      </c>
      <c r="P334" s="124" t="n">
        <f aca="false">D334/P$3</f>
        <v>0</v>
      </c>
      <c r="Q334" s="124" t="n">
        <f aca="false">E334/P$3</f>
        <v>0</v>
      </c>
      <c r="R334" s="124" t="n">
        <f aca="false">F334/R$3</f>
        <v>0</v>
      </c>
      <c r="S334" s="126" t="n">
        <f aca="false">J334/$R$3</f>
        <v>0</v>
      </c>
      <c r="T334" s="126" t="n">
        <f aca="false">L334/$R$3</f>
        <v>0</v>
      </c>
      <c r="U334" s="126" t="n">
        <f aca="false">I334/$R$3</f>
        <v>0</v>
      </c>
      <c r="V334" s="126" t="n">
        <f aca="false">M334/$R$3</f>
        <v>0</v>
      </c>
      <c r="W334" s="126" t="n">
        <f aca="false">N334/$R$3</f>
        <v>-37.239</v>
      </c>
    </row>
    <row r="335" customFormat="false" ht="12.75" hidden="false" customHeight="false" outlineLevel="0" collapsed="false">
      <c r="A335" s="120" t="n">
        <f aca="false">A334+1</f>
        <v>37221</v>
      </c>
      <c r="B335" s="131" t="str">
        <f aca="false">INDEX('[4]Master Data'!$A$2:$B$8,MATCH(WEEKDAY('GNS Bolv Gas MTM'!A335,3),'[4]Master Data'!$A$2:$A$8,0),2)</f>
        <v>M</v>
      </c>
      <c r="D335" s="124" t="n">
        <v>0</v>
      </c>
      <c r="E335" s="124" t="n">
        <v>0</v>
      </c>
      <c r="F335" s="124" t="n">
        <v>0</v>
      </c>
      <c r="G335" s="124" t="n">
        <v>0</v>
      </c>
      <c r="I335" s="124" t="n">
        <f aca="false">IF(MONTH($A335)=MONTH($A334),IF(G335=0,I334,G335),G335)</f>
        <v>0</v>
      </c>
      <c r="J335" s="124" t="n">
        <f aca="false">IF(MONTH($A335)=MONTH($A334),SUM(I335-I334),I335)</f>
        <v>0</v>
      </c>
      <c r="K335" s="124" t="n">
        <f aca="false">IF(WEEKDAY(A335,3)&gt;4,0,(IF(A335&lt;K$2,0,IF(A335&lt;=K$3,1,0))))</f>
        <v>0</v>
      </c>
      <c r="L335" s="124" t="n">
        <f aca="false">J335*K335</f>
        <v>0</v>
      </c>
      <c r="M335" s="124" t="n">
        <f aca="false">SUM(J$280:J335)</f>
        <v>0</v>
      </c>
      <c r="N335" s="124" t="n">
        <f aca="false">SUM(J$6:J335)</f>
        <v>-37239</v>
      </c>
      <c r="P335" s="124" t="n">
        <f aca="false">D335/P$3</f>
        <v>0</v>
      </c>
      <c r="Q335" s="124" t="n">
        <f aca="false">E335/P$3</f>
        <v>0</v>
      </c>
      <c r="R335" s="124" t="n">
        <f aca="false">F335/R$3</f>
        <v>0</v>
      </c>
      <c r="S335" s="126" t="n">
        <f aca="false">J335/$R$3</f>
        <v>0</v>
      </c>
      <c r="T335" s="126" t="n">
        <f aca="false">L335/$R$3</f>
        <v>0</v>
      </c>
      <c r="U335" s="126" t="n">
        <f aca="false">I335/$R$3</f>
        <v>0</v>
      </c>
      <c r="V335" s="126" t="n">
        <f aca="false">M335/$R$3</f>
        <v>0</v>
      </c>
      <c r="W335" s="126" t="n">
        <f aca="false">N335/$R$3</f>
        <v>-37.239</v>
      </c>
    </row>
    <row r="336" customFormat="false" ht="12.75" hidden="false" customHeight="false" outlineLevel="0" collapsed="false">
      <c r="A336" s="120" t="n">
        <f aca="false">A335+1</f>
        <v>37222</v>
      </c>
      <c r="B336" s="131" t="str">
        <f aca="false">INDEX('[4]Master Data'!$A$2:$B$8,MATCH(WEEKDAY('GNS Bolv Gas MTM'!A336,3),'[4]Master Data'!$A$2:$A$8,0),2)</f>
        <v>T</v>
      </c>
      <c r="D336" s="124" t="n">
        <v>0</v>
      </c>
      <c r="E336" s="124" t="n">
        <v>0</v>
      </c>
      <c r="F336" s="124" t="n">
        <v>0</v>
      </c>
      <c r="G336" s="124" t="n">
        <v>0</v>
      </c>
      <c r="I336" s="124" t="n">
        <f aca="false">IF(MONTH($A336)=MONTH($A335),IF(G336=0,I335,G336),G336)</f>
        <v>0</v>
      </c>
      <c r="J336" s="124" t="n">
        <f aca="false">IF(MONTH($A336)=MONTH($A335),SUM(I336-I335),I336)</f>
        <v>0</v>
      </c>
      <c r="K336" s="124" t="n">
        <f aca="false">IF(WEEKDAY(A336,3)&gt;4,0,(IF(A336&lt;K$2,0,IF(A336&lt;=K$3,1,0))))</f>
        <v>0</v>
      </c>
      <c r="L336" s="124" t="n">
        <f aca="false">J336*K336</f>
        <v>0</v>
      </c>
      <c r="M336" s="124" t="n">
        <f aca="false">SUM(J$280:J336)</f>
        <v>0</v>
      </c>
      <c r="N336" s="124" t="n">
        <f aca="false">SUM(J$6:J336)</f>
        <v>-37239</v>
      </c>
      <c r="P336" s="124" t="n">
        <f aca="false">D336/P$3</f>
        <v>0</v>
      </c>
      <c r="Q336" s="124" t="n">
        <f aca="false">E336/P$3</f>
        <v>0</v>
      </c>
      <c r="R336" s="124" t="n">
        <f aca="false">F336/R$3</f>
        <v>0</v>
      </c>
      <c r="S336" s="126" t="n">
        <f aca="false">J336/$R$3</f>
        <v>0</v>
      </c>
      <c r="T336" s="126" t="n">
        <f aca="false">L336/$R$3</f>
        <v>0</v>
      </c>
      <c r="U336" s="126" t="n">
        <f aca="false">I336/$R$3</f>
        <v>0</v>
      </c>
      <c r="V336" s="126" t="n">
        <f aca="false">M336/$R$3</f>
        <v>0</v>
      </c>
      <c r="W336" s="126" t="n">
        <f aca="false">N336/$R$3</f>
        <v>-37.239</v>
      </c>
    </row>
    <row r="337" customFormat="false" ht="12.75" hidden="false" customHeight="false" outlineLevel="0" collapsed="false">
      <c r="A337" s="120" t="n">
        <f aca="false">A336+1</f>
        <v>37223</v>
      </c>
      <c r="B337" s="131" t="str">
        <f aca="false">INDEX('[4]Master Data'!$A$2:$B$8,MATCH(WEEKDAY('GNS Bolv Gas MTM'!A337,3),'[4]Master Data'!$A$2:$A$8,0),2)</f>
        <v>W</v>
      </c>
      <c r="D337" s="124" t="n">
        <v>0</v>
      </c>
      <c r="E337" s="124" t="n">
        <v>0</v>
      </c>
      <c r="F337" s="124" t="n">
        <v>0</v>
      </c>
      <c r="G337" s="124" t="n">
        <v>0</v>
      </c>
      <c r="I337" s="124" t="n">
        <f aca="false">IF(MONTH($A337)=MONTH($A336),IF(G337=0,I336,G337),G337)</f>
        <v>0</v>
      </c>
      <c r="J337" s="124" t="n">
        <f aca="false">IF(MONTH($A337)=MONTH($A336),SUM(I337-I336),I337)</f>
        <v>0</v>
      </c>
      <c r="K337" s="124" t="n">
        <f aca="false">IF(WEEKDAY(A337,3)&gt;4,0,(IF(A337&lt;K$2,0,IF(A337&lt;=K$3,1,0))))</f>
        <v>0</v>
      </c>
      <c r="L337" s="124" t="n">
        <f aca="false">J337*K337</f>
        <v>0</v>
      </c>
      <c r="M337" s="124" t="n">
        <f aca="false">SUM(J$280:J337)</f>
        <v>0</v>
      </c>
      <c r="N337" s="124" t="n">
        <f aca="false">SUM(J$6:J337)</f>
        <v>-37239</v>
      </c>
      <c r="P337" s="124" t="n">
        <f aca="false">D337/P$3</f>
        <v>0</v>
      </c>
      <c r="Q337" s="124" t="n">
        <f aca="false">E337/P$3</f>
        <v>0</v>
      </c>
      <c r="R337" s="124" t="n">
        <f aca="false">F337/R$3</f>
        <v>0</v>
      </c>
      <c r="S337" s="126" t="n">
        <f aca="false">J337/$R$3</f>
        <v>0</v>
      </c>
      <c r="T337" s="126" t="n">
        <f aca="false">L337/$R$3</f>
        <v>0</v>
      </c>
      <c r="U337" s="126" t="n">
        <f aca="false">I337/$R$3</f>
        <v>0</v>
      </c>
      <c r="V337" s="126" t="n">
        <f aca="false">M337/$R$3</f>
        <v>0</v>
      </c>
      <c r="W337" s="126" t="n">
        <f aca="false">N337/$R$3</f>
        <v>-37.239</v>
      </c>
    </row>
    <row r="338" customFormat="false" ht="12.75" hidden="false" customHeight="false" outlineLevel="0" collapsed="false">
      <c r="A338" s="120" t="n">
        <f aca="false">A337+1</f>
        <v>37224</v>
      </c>
      <c r="B338" s="131" t="str">
        <f aca="false">INDEX('[4]Master Data'!$A$2:$B$8,MATCH(WEEKDAY('GNS Bolv Gas MTM'!A338,3),'[4]Master Data'!$A$2:$A$8,0),2)</f>
        <v>Th</v>
      </c>
      <c r="D338" s="124" t="n">
        <v>0</v>
      </c>
      <c r="E338" s="124" t="n">
        <v>0</v>
      </c>
      <c r="F338" s="124" t="n">
        <v>0</v>
      </c>
      <c r="G338" s="124" t="n">
        <v>0</v>
      </c>
      <c r="I338" s="124" t="n">
        <f aca="false">IF(MONTH($A338)=MONTH($A337),IF(G338=0,I337,G338),G338)</f>
        <v>0</v>
      </c>
      <c r="J338" s="124" t="n">
        <f aca="false">IF(MONTH($A338)=MONTH($A337),SUM(I338-I337),I338)</f>
        <v>0</v>
      </c>
      <c r="K338" s="124" t="n">
        <f aca="false">IF(WEEKDAY(A338,3)&gt;4,0,(IF(A338&lt;K$2,0,IF(A338&lt;=K$3,1,0))))</f>
        <v>0</v>
      </c>
      <c r="L338" s="124" t="n">
        <f aca="false">J338*K338</f>
        <v>0</v>
      </c>
      <c r="M338" s="124" t="n">
        <f aca="false">SUM(J$280:J338)</f>
        <v>0</v>
      </c>
      <c r="N338" s="124" t="n">
        <f aca="false">SUM(J$6:J338)</f>
        <v>-37239</v>
      </c>
      <c r="P338" s="124" t="n">
        <f aca="false">D338/P$3</f>
        <v>0</v>
      </c>
      <c r="Q338" s="124" t="n">
        <f aca="false">E338/P$3</f>
        <v>0</v>
      </c>
      <c r="R338" s="124" t="n">
        <f aca="false">F338/R$3</f>
        <v>0</v>
      </c>
      <c r="S338" s="126" t="n">
        <f aca="false">J338/$R$3</f>
        <v>0</v>
      </c>
      <c r="T338" s="126" t="n">
        <f aca="false">L338/$R$3</f>
        <v>0</v>
      </c>
      <c r="U338" s="126" t="n">
        <f aca="false">I338/$R$3</f>
        <v>0</v>
      </c>
      <c r="V338" s="126" t="n">
        <f aca="false">M338/$R$3</f>
        <v>0</v>
      </c>
      <c r="W338" s="126" t="n">
        <f aca="false">N338/$R$3</f>
        <v>-37.239</v>
      </c>
    </row>
    <row r="339" customFormat="false" ht="12.75" hidden="false" customHeight="false" outlineLevel="0" collapsed="false">
      <c r="A339" s="120" t="n">
        <f aca="false">A338+1</f>
        <v>37225</v>
      </c>
      <c r="B339" s="131" t="str">
        <f aca="false">INDEX('[4]Master Data'!$A$2:$B$8,MATCH(WEEKDAY('GNS Bolv Gas MTM'!A339,3),'[4]Master Data'!$A$2:$A$8,0),2)</f>
        <v>F</v>
      </c>
      <c r="D339" s="124" t="n">
        <v>0</v>
      </c>
      <c r="E339" s="124" t="n">
        <v>0</v>
      </c>
      <c r="F339" s="124" t="n">
        <v>0</v>
      </c>
      <c r="G339" s="124" t="n">
        <v>0</v>
      </c>
      <c r="I339" s="124" t="n">
        <f aca="false">IF(MONTH($A339)=MONTH($A338),IF(G339=0,I338,G339),G339)</f>
        <v>0</v>
      </c>
      <c r="J339" s="124" t="n">
        <f aca="false">IF(MONTH($A339)=MONTH($A338),SUM(I339-I338),I339)</f>
        <v>0</v>
      </c>
      <c r="K339" s="124" t="n">
        <f aca="false">IF(WEEKDAY(A339,3)&gt;4,0,(IF(A339&lt;K$2,0,IF(A339&lt;=K$3,1,0))))</f>
        <v>0</v>
      </c>
      <c r="L339" s="124" t="n">
        <f aca="false">J339*K339</f>
        <v>0</v>
      </c>
      <c r="M339" s="124" t="n">
        <f aca="false">SUM(J$280:J339)</f>
        <v>0</v>
      </c>
      <c r="N339" s="124" t="n">
        <f aca="false">SUM(J$6:J339)</f>
        <v>-37239</v>
      </c>
      <c r="P339" s="124" t="n">
        <f aca="false">D339/P$3</f>
        <v>0</v>
      </c>
      <c r="Q339" s="124" t="n">
        <f aca="false">E339/P$3</f>
        <v>0</v>
      </c>
      <c r="R339" s="124" t="n">
        <f aca="false">F339/R$3</f>
        <v>0</v>
      </c>
      <c r="S339" s="126" t="n">
        <f aca="false">J339/$R$3</f>
        <v>0</v>
      </c>
      <c r="T339" s="126" t="n">
        <f aca="false">L339/$R$3</f>
        <v>0</v>
      </c>
      <c r="U339" s="126" t="n">
        <f aca="false">I339/$R$3</f>
        <v>0</v>
      </c>
      <c r="V339" s="126" t="n">
        <f aca="false">M339/$R$3</f>
        <v>0</v>
      </c>
      <c r="W339" s="126" t="n">
        <f aca="false">N339/$R$3</f>
        <v>-37.239</v>
      </c>
    </row>
    <row r="340" customFormat="false" ht="12.75" hidden="false" customHeight="false" outlineLevel="0" collapsed="false">
      <c r="A340" s="120" t="n">
        <f aca="false">A339+1</f>
        <v>37226</v>
      </c>
      <c r="B340" s="131" t="str">
        <f aca="false">INDEX('[4]Master Data'!$A$2:$B$8,MATCH(WEEKDAY('GNS Bolv Gas MTM'!A340,3),'[4]Master Data'!$A$2:$A$8,0),2)</f>
        <v>Sa</v>
      </c>
      <c r="D340" s="124" t="n">
        <v>0</v>
      </c>
      <c r="E340" s="124" t="n">
        <v>0</v>
      </c>
      <c r="F340" s="124" t="n">
        <v>0</v>
      </c>
      <c r="G340" s="124" t="n">
        <v>0</v>
      </c>
      <c r="I340" s="124" t="n">
        <f aca="false">IF(MONTH($A340)=MONTH($A339),IF(G340=0,I339,G340),G340)</f>
        <v>0</v>
      </c>
      <c r="J340" s="124" t="n">
        <f aca="false">IF(MONTH($A340)=MONTH($A339),SUM(I340-I339),I340)</f>
        <v>0</v>
      </c>
      <c r="K340" s="124" t="n">
        <f aca="false">IF(WEEKDAY(A340,3)&gt;4,0,(IF(A340&lt;K$2,0,IF(A340&lt;=K$3,1,0))))</f>
        <v>0</v>
      </c>
      <c r="L340" s="124" t="n">
        <f aca="false">J340*K340</f>
        <v>0</v>
      </c>
      <c r="M340" s="124" t="n">
        <f aca="false">SUM(J$280:J340)</f>
        <v>0</v>
      </c>
      <c r="N340" s="124" t="n">
        <f aca="false">SUM(J$6:J340)</f>
        <v>-37239</v>
      </c>
      <c r="P340" s="124" t="n">
        <f aca="false">D340/P$3</f>
        <v>0</v>
      </c>
      <c r="Q340" s="124" t="n">
        <f aca="false">E340/P$3</f>
        <v>0</v>
      </c>
      <c r="R340" s="124" t="n">
        <f aca="false">F340/R$3</f>
        <v>0</v>
      </c>
      <c r="S340" s="126" t="n">
        <f aca="false">J340/$R$3</f>
        <v>0</v>
      </c>
      <c r="T340" s="126" t="n">
        <f aca="false">L340/$R$3</f>
        <v>0</v>
      </c>
      <c r="U340" s="126" t="n">
        <f aca="false">I340/$R$3</f>
        <v>0</v>
      </c>
      <c r="V340" s="126" t="n">
        <f aca="false">M340/$R$3</f>
        <v>0</v>
      </c>
      <c r="W340" s="126" t="n">
        <f aca="false">N340/$R$3</f>
        <v>-37.239</v>
      </c>
    </row>
    <row r="341" customFormat="false" ht="12.75" hidden="false" customHeight="false" outlineLevel="0" collapsed="false">
      <c r="A341" s="120" t="n">
        <f aca="false">A340+1</f>
        <v>37227</v>
      </c>
      <c r="B341" s="131" t="str">
        <f aca="false">INDEX('[4]Master Data'!$A$2:$B$8,MATCH(WEEKDAY('GNS Bolv Gas MTM'!A341,3),'[4]Master Data'!$A$2:$A$8,0),2)</f>
        <v>Su</v>
      </c>
      <c r="D341" s="124" t="n">
        <v>0</v>
      </c>
      <c r="E341" s="124" t="n">
        <v>0</v>
      </c>
      <c r="F341" s="124" t="n">
        <v>0</v>
      </c>
      <c r="G341" s="124" t="n">
        <v>0</v>
      </c>
      <c r="I341" s="124" t="n">
        <f aca="false">IF(MONTH($A341)=MONTH($A340),IF(G341=0,I340,G341),G341)</f>
        <v>0</v>
      </c>
      <c r="J341" s="124" t="n">
        <f aca="false">IF(MONTH($A341)=MONTH($A340),SUM(I341-I340),I341)</f>
        <v>0</v>
      </c>
      <c r="K341" s="124" t="n">
        <f aca="false">IF(WEEKDAY(A341,3)&gt;4,0,(IF(A341&lt;K$2,0,IF(A341&lt;=K$3,1,0))))</f>
        <v>0</v>
      </c>
      <c r="L341" s="124" t="n">
        <f aca="false">J341*K341</f>
        <v>0</v>
      </c>
      <c r="M341" s="124" t="n">
        <f aca="false">SUM(J$280:J341)</f>
        <v>0</v>
      </c>
      <c r="N341" s="124" t="n">
        <f aca="false">SUM(J$6:J341)</f>
        <v>-37239</v>
      </c>
      <c r="P341" s="124" t="n">
        <f aca="false">D341/P$3</f>
        <v>0</v>
      </c>
      <c r="Q341" s="124" t="n">
        <f aca="false">E341/P$3</f>
        <v>0</v>
      </c>
      <c r="R341" s="124" t="n">
        <f aca="false">F341/R$3</f>
        <v>0</v>
      </c>
      <c r="S341" s="126" t="n">
        <f aca="false">J341/$R$3</f>
        <v>0</v>
      </c>
      <c r="T341" s="126" t="n">
        <f aca="false">L341/$R$3</f>
        <v>0</v>
      </c>
      <c r="U341" s="126" t="n">
        <f aca="false">I341/$R$3</f>
        <v>0</v>
      </c>
      <c r="V341" s="126" t="n">
        <f aca="false">M341/$R$3</f>
        <v>0</v>
      </c>
      <c r="W341" s="126" t="n">
        <f aca="false">N341/$R$3</f>
        <v>-37.239</v>
      </c>
    </row>
    <row r="342" customFormat="false" ht="12.75" hidden="false" customHeight="false" outlineLevel="0" collapsed="false">
      <c r="A342" s="120" t="n">
        <f aca="false">A341+1</f>
        <v>37228</v>
      </c>
      <c r="B342" s="131" t="str">
        <f aca="false">INDEX('[4]Master Data'!$A$2:$B$8,MATCH(WEEKDAY('GNS Bolv Gas MTM'!A342,3),'[4]Master Data'!$A$2:$A$8,0),2)</f>
        <v>M</v>
      </c>
      <c r="D342" s="124" t="n">
        <v>0</v>
      </c>
      <c r="E342" s="124" t="n">
        <v>0</v>
      </c>
      <c r="F342" s="124" t="n">
        <v>0</v>
      </c>
      <c r="G342" s="124" t="n">
        <v>0</v>
      </c>
      <c r="I342" s="124" t="n">
        <f aca="false">IF(MONTH($A342)=MONTH($A341),IF(G342=0,I341,G342),G342)</f>
        <v>0</v>
      </c>
      <c r="J342" s="124" t="n">
        <f aca="false">IF(MONTH($A342)=MONTH($A341),SUM(I342-I341),I342)</f>
        <v>0</v>
      </c>
      <c r="K342" s="124" t="n">
        <f aca="false">IF(WEEKDAY(A342,3)&gt;4,0,(IF(A342&lt;K$2,0,IF(A342&lt;=K$3,1,0))))</f>
        <v>0</v>
      </c>
      <c r="L342" s="124" t="n">
        <f aca="false">J342*K342</f>
        <v>0</v>
      </c>
      <c r="M342" s="124" t="n">
        <f aca="false">SUM(J$280:J342)</f>
        <v>0</v>
      </c>
      <c r="N342" s="124" t="n">
        <f aca="false">SUM(J$6:J342)</f>
        <v>-37239</v>
      </c>
      <c r="P342" s="124" t="n">
        <f aca="false">D342/P$3</f>
        <v>0</v>
      </c>
      <c r="Q342" s="124" t="n">
        <f aca="false">E342/P$3</f>
        <v>0</v>
      </c>
      <c r="R342" s="124" t="n">
        <f aca="false">F342/R$3</f>
        <v>0</v>
      </c>
      <c r="S342" s="126" t="n">
        <f aca="false">J342/$R$3</f>
        <v>0</v>
      </c>
      <c r="T342" s="126" t="n">
        <f aca="false">L342/$R$3</f>
        <v>0</v>
      </c>
      <c r="U342" s="126" t="n">
        <f aca="false">I342/$R$3</f>
        <v>0</v>
      </c>
      <c r="V342" s="126" t="n">
        <f aca="false">M342/$R$3</f>
        <v>0</v>
      </c>
      <c r="W342" s="126" t="n">
        <f aca="false">N342/$R$3</f>
        <v>-37.239</v>
      </c>
    </row>
    <row r="343" customFormat="false" ht="12.75" hidden="false" customHeight="false" outlineLevel="0" collapsed="false">
      <c r="A343" s="120" t="n">
        <f aca="false">A342+1</f>
        <v>37229</v>
      </c>
      <c r="B343" s="131" t="str">
        <f aca="false">INDEX('[4]Master Data'!$A$2:$B$8,MATCH(WEEKDAY('GNS Bolv Gas MTM'!A343,3),'[4]Master Data'!$A$2:$A$8,0),2)</f>
        <v>T</v>
      </c>
      <c r="D343" s="124" t="n">
        <v>0</v>
      </c>
      <c r="E343" s="124" t="n">
        <v>0</v>
      </c>
      <c r="F343" s="124" t="n">
        <v>0</v>
      </c>
      <c r="G343" s="124" t="n">
        <v>0</v>
      </c>
      <c r="I343" s="124" t="n">
        <f aca="false">IF(MONTH($A343)=MONTH($A342),IF(G343=0,I342,G343),G343)</f>
        <v>0</v>
      </c>
      <c r="J343" s="124" t="n">
        <f aca="false">IF(MONTH($A343)=MONTH($A342),SUM(I343-I342),I343)</f>
        <v>0</v>
      </c>
      <c r="K343" s="124" t="n">
        <f aca="false">IF(WEEKDAY(A343,3)&gt;4,0,(IF(A343&lt;K$2,0,IF(A343&lt;=K$3,1,0))))</f>
        <v>0</v>
      </c>
      <c r="L343" s="124" t="n">
        <f aca="false">J343*K343</f>
        <v>0</v>
      </c>
      <c r="M343" s="124" t="n">
        <f aca="false">SUM(J$280:J343)</f>
        <v>0</v>
      </c>
      <c r="N343" s="124" t="n">
        <f aca="false">SUM(J$6:J343)</f>
        <v>-37239</v>
      </c>
      <c r="P343" s="124" t="n">
        <f aca="false">D343/P$3</f>
        <v>0</v>
      </c>
      <c r="Q343" s="124" t="n">
        <f aca="false">E343/P$3</f>
        <v>0</v>
      </c>
      <c r="R343" s="124" t="n">
        <f aca="false">F343/R$3</f>
        <v>0</v>
      </c>
      <c r="S343" s="126" t="n">
        <f aca="false">J343/$R$3</f>
        <v>0</v>
      </c>
      <c r="T343" s="126" t="n">
        <f aca="false">L343/$R$3</f>
        <v>0</v>
      </c>
      <c r="U343" s="126" t="n">
        <f aca="false">I343/$R$3</f>
        <v>0</v>
      </c>
      <c r="V343" s="126" t="n">
        <f aca="false">M343/$R$3</f>
        <v>0</v>
      </c>
      <c r="W343" s="126" t="n">
        <f aca="false">N343/$R$3</f>
        <v>-37.239</v>
      </c>
    </row>
    <row r="344" customFormat="false" ht="12.75" hidden="false" customHeight="false" outlineLevel="0" collapsed="false">
      <c r="A344" s="120" t="n">
        <f aca="false">A343+1</f>
        <v>37230</v>
      </c>
      <c r="B344" s="131" t="str">
        <f aca="false">INDEX('[4]Master Data'!$A$2:$B$8,MATCH(WEEKDAY('GNS Bolv Gas MTM'!A344,3),'[4]Master Data'!$A$2:$A$8,0),2)</f>
        <v>W</v>
      </c>
      <c r="D344" s="124" t="n">
        <v>0</v>
      </c>
      <c r="E344" s="124" t="n">
        <v>0</v>
      </c>
      <c r="F344" s="124" t="n">
        <v>0</v>
      </c>
      <c r="G344" s="124" t="n">
        <v>0</v>
      </c>
      <c r="I344" s="124" t="n">
        <f aca="false">IF(MONTH($A344)=MONTH($A343),IF(G344=0,I343,G344),G344)</f>
        <v>0</v>
      </c>
      <c r="J344" s="124" t="n">
        <f aca="false">IF(MONTH($A344)=MONTH($A343),SUM(I344-I343),I344)</f>
        <v>0</v>
      </c>
      <c r="K344" s="124" t="n">
        <f aca="false">IF(WEEKDAY(A344,3)&gt;4,0,(IF(A344&lt;K$2,0,IF(A344&lt;=K$3,1,0))))</f>
        <v>0</v>
      </c>
      <c r="L344" s="124" t="n">
        <f aca="false">J344*K344</f>
        <v>0</v>
      </c>
      <c r="M344" s="124" t="n">
        <f aca="false">SUM(J$280:J344)</f>
        <v>0</v>
      </c>
      <c r="N344" s="124" t="n">
        <f aca="false">SUM(J$6:J344)</f>
        <v>-37239</v>
      </c>
      <c r="P344" s="124" t="n">
        <f aca="false">D344/P$3</f>
        <v>0</v>
      </c>
      <c r="Q344" s="124" t="n">
        <f aca="false">E344/P$3</f>
        <v>0</v>
      </c>
      <c r="R344" s="124" t="n">
        <f aca="false">F344/R$3</f>
        <v>0</v>
      </c>
      <c r="S344" s="126" t="n">
        <f aca="false">J344/$R$3</f>
        <v>0</v>
      </c>
      <c r="T344" s="126" t="n">
        <f aca="false">L344/$R$3</f>
        <v>0</v>
      </c>
      <c r="U344" s="126" t="n">
        <f aca="false">I344/$R$3</f>
        <v>0</v>
      </c>
      <c r="V344" s="126" t="n">
        <f aca="false">M344/$R$3</f>
        <v>0</v>
      </c>
      <c r="W344" s="126" t="n">
        <f aca="false">N344/$R$3</f>
        <v>-37.239</v>
      </c>
    </row>
    <row r="345" customFormat="false" ht="12.75" hidden="false" customHeight="false" outlineLevel="0" collapsed="false">
      <c r="A345" s="120" t="n">
        <f aca="false">A344+1</f>
        <v>37231</v>
      </c>
      <c r="B345" s="131" t="str">
        <f aca="false">INDEX('[4]Master Data'!$A$2:$B$8,MATCH(WEEKDAY('GNS Bolv Gas MTM'!A345,3),'[4]Master Data'!$A$2:$A$8,0),2)</f>
        <v>Th</v>
      </c>
      <c r="D345" s="124" t="n">
        <v>0</v>
      </c>
      <c r="E345" s="124" t="n">
        <v>0</v>
      </c>
      <c r="F345" s="124" t="n">
        <v>0</v>
      </c>
      <c r="G345" s="124" t="n">
        <v>0</v>
      </c>
      <c r="I345" s="124" t="n">
        <f aca="false">IF(MONTH($A345)=MONTH($A344),IF(G345=0,I344,G345),G345)</f>
        <v>0</v>
      </c>
      <c r="J345" s="124" t="n">
        <f aca="false">IF(MONTH($A345)=MONTH($A344),SUM(I345-I344),I345)</f>
        <v>0</v>
      </c>
      <c r="K345" s="124" t="n">
        <f aca="false">IF(WEEKDAY(A345,3)&gt;4,0,(IF(A345&lt;K$2,0,IF(A345&lt;=K$3,1,0))))</f>
        <v>0</v>
      </c>
      <c r="L345" s="124" t="n">
        <f aca="false">J345*K345</f>
        <v>0</v>
      </c>
      <c r="M345" s="124" t="n">
        <f aca="false">SUM(J$280:J345)</f>
        <v>0</v>
      </c>
      <c r="N345" s="124" t="n">
        <f aca="false">SUM(J$6:J345)</f>
        <v>-37239</v>
      </c>
      <c r="P345" s="124" t="n">
        <f aca="false">D345/P$3</f>
        <v>0</v>
      </c>
      <c r="Q345" s="124" t="n">
        <f aca="false">E345/P$3</f>
        <v>0</v>
      </c>
      <c r="R345" s="124" t="n">
        <f aca="false">F345/R$3</f>
        <v>0</v>
      </c>
      <c r="S345" s="126" t="n">
        <f aca="false">J345/$R$3</f>
        <v>0</v>
      </c>
      <c r="T345" s="126" t="n">
        <f aca="false">L345/$R$3</f>
        <v>0</v>
      </c>
      <c r="U345" s="126" t="n">
        <f aca="false">I345/$R$3</f>
        <v>0</v>
      </c>
      <c r="V345" s="126" t="n">
        <f aca="false">M345/$R$3</f>
        <v>0</v>
      </c>
      <c r="W345" s="126" t="n">
        <f aca="false">N345/$R$3</f>
        <v>-37.239</v>
      </c>
    </row>
    <row r="346" customFormat="false" ht="12.75" hidden="false" customHeight="false" outlineLevel="0" collapsed="false">
      <c r="A346" s="120" t="n">
        <f aca="false">A345+1</f>
        <v>37232</v>
      </c>
      <c r="B346" s="131" t="str">
        <f aca="false">INDEX('[4]Master Data'!$A$2:$B$8,MATCH(WEEKDAY('GNS Bolv Gas MTM'!A346,3),'[4]Master Data'!$A$2:$A$8,0),2)</f>
        <v>F</v>
      </c>
      <c r="D346" s="124" t="n">
        <v>0</v>
      </c>
      <c r="E346" s="124" t="n">
        <v>0</v>
      </c>
      <c r="F346" s="124" t="n">
        <v>0</v>
      </c>
      <c r="G346" s="124" t="n">
        <v>0</v>
      </c>
      <c r="I346" s="124" t="n">
        <f aca="false">IF(MONTH($A346)=MONTH($A345),IF(G346=0,I345,G346),G346)</f>
        <v>0</v>
      </c>
      <c r="J346" s="124" t="n">
        <f aca="false">IF(MONTH($A346)=MONTH($A345),SUM(I346-I345),I346)</f>
        <v>0</v>
      </c>
      <c r="K346" s="124" t="n">
        <f aca="false">IF(WEEKDAY(A346,3)&gt;4,0,(IF(A346&lt;K$2,0,IF(A346&lt;=K$3,1,0))))</f>
        <v>0</v>
      </c>
      <c r="L346" s="124" t="n">
        <f aca="false">J346*K346</f>
        <v>0</v>
      </c>
      <c r="M346" s="124" t="n">
        <f aca="false">SUM(J$280:J346)</f>
        <v>0</v>
      </c>
      <c r="N346" s="124" t="n">
        <f aca="false">SUM(J$6:J346)</f>
        <v>-37239</v>
      </c>
      <c r="P346" s="124" t="n">
        <f aca="false">D346/P$3</f>
        <v>0</v>
      </c>
      <c r="Q346" s="124" t="n">
        <f aca="false">E346/P$3</f>
        <v>0</v>
      </c>
      <c r="R346" s="124" t="n">
        <f aca="false">F346/R$3</f>
        <v>0</v>
      </c>
      <c r="S346" s="126" t="n">
        <f aca="false">J346/$R$3</f>
        <v>0</v>
      </c>
      <c r="T346" s="126" t="n">
        <f aca="false">L346/$R$3</f>
        <v>0</v>
      </c>
      <c r="U346" s="126" t="n">
        <f aca="false">I346/$R$3</f>
        <v>0</v>
      </c>
      <c r="V346" s="126" t="n">
        <f aca="false">M346/$R$3</f>
        <v>0</v>
      </c>
      <c r="W346" s="126" t="n">
        <f aca="false">N346/$R$3</f>
        <v>-37.239</v>
      </c>
    </row>
    <row r="347" customFormat="false" ht="12.75" hidden="false" customHeight="false" outlineLevel="0" collapsed="false">
      <c r="A347" s="120" t="n">
        <f aca="false">A346+1</f>
        <v>37233</v>
      </c>
      <c r="B347" s="131" t="str">
        <f aca="false">INDEX('[4]Master Data'!$A$2:$B$8,MATCH(WEEKDAY('GNS Bolv Gas MTM'!A347,3),'[4]Master Data'!$A$2:$A$8,0),2)</f>
        <v>Sa</v>
      </c>
      <c r="D347" s="124" t="n">
        <v>0</v>
      </c>
      <c r="E347" s="124" t="n">
        <v>0</v>
      </c>
      <c r="F347" s="124" t="n">
        <v>0</v>
      </c>
      <c r="G347" s="124" t="n">
        <v>0</v>
      </c>
      <c r="I347" s="124" t="n">
        <f aca="false">IF(MONTH($A347)=MONTH($A346),IF(G347=0,I346,G347),G347)</f>
        <v>0</v>
      </c>
      <c r="J347" s="124" t="n">
        <f aca="false">IF(MONTH($A347)=MONTH($A346),SUM(I347-I346),I347)</f>
        <v>0</v>
      </c>
      <c r="K347" s="124" t="n">
        <f aca="false">IF(WEEKDAY(A347,3)&gt;4,0,(IF(A347&lt;K$2,0,IF(A347&lt;=K$3,1,0))))</f>
        <v>0</v>
      </c>
      <c r="L347" s="124" t="n">
        <f aca="false">J347*K347</f>
        <v>0</v>
      </c>
      <c r="M347" s="124" t="n">
        <f aca="false">SUM(J$280:J347)</f>
        <v>0</v>
      </c>
      <c r="N347" s="124" t="n">
        <f aca="false">SUM(J$6:J347)</f>
        <v>-37239</v>
      </c>
      <c r="P347" s="124" t="n">
        <f aca="false">D347/P$3</f>
        <v>0</v>
      </c>
      <c r="Q347" s="124" t="n">
        <f aca="false">E347/P$3</f>
        <v>0</v>
      </c>
      <c r="R347" s="124" t="n">
        <f aca="false">F347/R$3</f>
        <v>0</v>
      </c>
      <c r="S347" s="126" t="n">
        <f aca="false">J347/$R$3</f>
        <v>0</v>
      </c>
      <c r="T347" s="126" t="n">
        <f aca="false">L347/$R$3</f>
        <v>0</v>
      </c>
      <c r="U347" s="126" t="n">
        <f aca="false">I347/$R$3</f>
        <v>0</v>
      </c>
      <c r="V347" s="126" t="n">
        <f aca="false">M347/$R$3</f>
        <v>0</v>
      </c>
      <c r="W347" s="126" t="n">
        <f aca="false">N347/$R$3</f>
        <v>-37.239</v>
      </c>
    </row>
    <row r="348" customFormat="false" ht="12.75" hidden="false" customHeight="false" outlineLevel="0" collapsed="false">
      <c r="A348" s="120" t="n">
        <f aca="false">A347+1</f>
        <v>37234</v>
      </c>
      <c r="B348" s="131" t="str">
        <f aca="false">INDEX('[4]Master Data'!$A$2:$B$8,MATCH(WEEKDAY('GNS Bolv Gas MTM'!A348,3),'[4]Master Data'!$A$2:$A$8,0),2)</f>
        <v>Su</v>
      </c>
      <c r="D348" s="124" t="n">
        <v>0</v>
      </c>
      <c r="E348" s="124" t="n">
        <v>0</v>
      </c>
      <c r="F348" s="124" t="n">
        <v>0</v>
      </c>
      <c r="G348" s="124" t="n">
        <v>0</v>
      </c>
      <c r="I348" s="124" t="n">
        <f aca="false">IF(MONTH($A348)=MONTH($A347),IF(G348=0,I347,G348),G348)</f>
        <v>0</v>
      </c>
      <c r="J348" s="124" t="n">
        <f aca="false">IF(MONTH($A348)=MONTH($A347),SUM(I348-I347),I348)</f>
        <v>0</v>
      </c>
      <c r="K348" s="124" t="n">
        <f aca="false">IF(WEEKDAY(A348,3)&gt;4,0,(IF(A348&lt;K$2,0,IF(A348&lt;=K$3,1,0))))</f>
        <v>0</v>
      </c>
      <c r="L348" s="124" t="n">
        <f aca="false">J348*K348</f>
        <v>0</v>
      </c>
      <c r="M348" s="124" t="n">
        <f aca="false">SUM(J$280:J348)</f>
        <v>0</v>
      </c>
      <c r="N348" s="124" t="n">
        <f aca="false">SUM(J$6:J348)</f>
        <v>-37239</v>
      </c>
      <c r="P348" s="124" t="n">
        <f aca="false">D348/P$3</f>
        <v>0</v>
      </c>
      <c r="Q348" s="124" t="n">
        <f aca="false">E348/P$3</f>
        <v>0</v>
      </c>
      <c r="R348" s="124" t="n">
        <f aca="false">F348/R$3</f>
        <v>0</v>
      </c>
      <c r="S348" s="126" t="n">
        <f aca="false">J348/$R$3</f>
        <v>0</v>
      </c>
      <c r="T348" s="126" t="n">
        <f aca="false">L348/$R$3</f>
        <v>0</v>
      </c>
      <c r="U348" s="126" t="n">
        <f aca="false">I348/$R$3</f>
        <v>0</v>
      </c>
      <c r="V348" s="126" t="n">
        <f aca="false">M348/$R$3</f>
        <v>0</v>
      </c>
      <c r="W348" s="126" t="n">
        <f aca="false">N348/$R$3</f>
        <v>-37.239</v>
      </c>
    </row>
    <row r="349" customFormat="false" ht="12.75" hidden="false" customHeight="false" outlineLevel="0" collapsed="false">
      <c r="A349" s="120" t="n">
        <f aca="false">A348+1</f>
        <v>37235</v>
      </c>
      <c r="B349" s="131" t="str">
        <f aca="false">INDEX('[4]Master Data'!$A$2:$B$8,MATCH(WEEKDAY('GNS Bolv Gas MTM'!A349,3),'[4]Master Data'!$A$2:$A$8,0),2)</f>
        <v>M</v>
      </c>
      <c r="D349" s="124" t="n">
        <v>0</v>
      </c>
      <c r="E349" s="124" t="n">
        <v>0</v>
      </c>
      <c r="F349" s="124" t="n">
        <v>0</v>
      </c>
      <c r="G349" s="124" t="n">
        <v>0</v>
      </c>
      <c r="I349" s="124" t="n">
        <f aca="false">IF(MONTH($A349)=MONTH($A348),IF(G349=0,I348,G349),G349)</f>
        <v>0</v>
      </c>
      <c r="J349" s="124" t="n">
        <f aca="false">IF(MONTH($A349)=MONTH($A348),SUM(I349-I348),I349)</f>
        <v>0</v>
      </c>
      <c r="K349" s="124" t="n">
        <f aca="false">IF(WEEKDAY(A349,3)&gt;4,0,(IF(A349&lt;K$2,0,IF(A349&lt;=K$3,1,0))))</f>
        <v>0</v>
      </c>
      <c r="L349" s="124" t="n">
        <f aca="false">J349*K349</f>
        <v>0</v>
      </c>
      <c r="M349" s="124" t="n">
        <f aca="false">SUM(J$280:J349)</f>
        <v>0</v>
      </c>
      <c r="N349" s="124" t="n">
        <f aca="false">SUM(J$6:J349)</f>
        <v>-37239</v>
      </c>
      <c r="P349" s="124" t="n">
        <f aca="false">D349/P$3</f>
        <v>0</v>
      </c>
      <c r="Q349" s="124" t="n">
        <f aca="false">E349/P$3</f>
        <v>0</v>
      </c>
      <c r="R349" s="124" t="n">
        <f aca="false">F349/R$3</f>
        <v>0</v>
      </c>
      <c r="S349" s="126" t="n">
        <f aca="false">J349/$R$3</f>
        <v>0</v>
      </c>
      <c r="T349" s="126" t="n">
        <f aca="false">L349/$R$3</f>
        <v>0</v>
      </c>
      <c r="U349" s="126" t="n">
        <f aca="false">I349/$R$3</f>
        <v>0</v>
      </c>
      <c r="V349" s="126" t="n">
        <f aca="false">M349/$R$3</f>
        <v>0</v>
      </c>
      <c r="W349" s="126" t="n">
        <f aca="false">N349/$R$3</f>
        <v>-37.239</v>
      </c>
    </row>
    <row r="350" customFormat="false" ht="12.75" hidden="false" customHeight="false" outlineLevel="0" collapsed="false">
      <c r="A350" s="120" t="n">
        <f aca="false">A349+1</f>
        <v>37236</v>
      </c>
      <c r="B350" s="131" t="str">
        <f aca="false">INDEX('[4]Master Data'!$A$2:$B$8,MATCH(WEEKDAY('GNS Bolv Gas MTM'!A350,3),'[4]Master Data'!$A$2:$A$8,0),2)</f>
        <v>T</v>
      </c>
      <c r="D350" s="124" t="n">
        <v>0</v>
      </c>
      <c r="E350" s="124" t="n">
        <v>0</v>
      </c>
      <c r="F350" s="124" t="n">
        <v>0</v>
      </c>
      <c r="G350" s="124" t="n">
        <v>0</v>
      </c>
      <c r="I350" s="124" t="n">
        <f aca="false">IF(MONTH($A350)=MONTH($A349),IF(G350=0,I349,G350),G350)</f>
        <v>0</v>
      </c>
      <c r="J350" s="124" t="n">
        <f aca="false">IF(MONTH($A350)=MONTH($A349),SUM(I350-I349),I350)</f>
        <v>0</v>
      </c>
      <c r="K350" s="124" t="n">
        <f aca="false">IF(WEEKDAY(A350,3)&gt;4,0,(IF(A350&lt;K$2,0,IF(A350&lt;=K$3,1,0))))</f>
        <v>0</v>
      </c>
      <c r="L350" s="124" t="n">
        <f aca="false">J350*K350</f>
        <v>0</v>
      </c>
      <c r="M350" s="124" t="n">
        <f aca="false">SUM(J$280:J350)</f>
        <v>0</v>
      </c>
      <c r="N350" s="124" t="n">
        <f aca="false">SUM(J$6:J350)</f>
        <v>-37239</v>
      </c>
      <c r="P350" s="124" t="n">
        <f aca="false">D350/P$3</f>
        <v>0</v>
      </c>
      <c r="Q350" s="124" t="n">
        <f aca="false">E350/P$3</f>
        <v>0</v>
      </c>
      <c r="R350" s="124" t="n">
        <f aca="false">F350/R$3</f>
        <v>0</v>
      </c>
      <c r="S350" s="126" t="n">
        <f aca="false">J350/$R$3</f>
        <v>0</v>
      </c>
      <c r="T350" s="126" t="n">
        <f aca="false">L350/$R$3</f>
        <v>0</v>
      </c>
      <c r="U350" s="126" t="n">
        <f aca="false">I350/$R$3</f>
        <v>0</v>
      </c>
      <c r="V350" s="126" t="n">
        <f aca="false">M350/$R$3</f>
        <v>0</v>
      </c>
      <c r="W350" s="126" t="n">
        <f aca="false">N350/$R$3</f>
        <v>-37.239</v>
      </c>
    </row>
    <row r="351" customFormat="false" ht="12.75" hidden="false" customHeight="false" outlineLevel="0" collapsed="false">
      <c r="A351" s="120" t="n">
        <f aca="false">A350+1</f>
        <v>37237</v>
      </c>
      <c r="B351" s="131" t="str">
        <f aca="false">INDEX('[4]Master Data'!$A$2:$B$8,MATCH(WEEKDAY('GNS Bolv Gas MTM'!A351,3),'[4]Master Data'!$A$2:$A$8,0),2)</f>
        <v>W</v>
      </c>
      <c r="D351" s="124" t="n">
        <v>0</v>
      </c>
      <c r="E351" s="124" t="n">
        <v>0</v>
      </c>
      <c r="F351" s="124" t="n">
        <v>0</v>
      </c>
      <c r="G351" s="124" t="n">
        <v>0</v>
      </c>
      <c r="I351" s="124" t="n">
        <f aca="false">IF(MONTH($A351)=MONTH($A350),IF(G351=0,I350,G351),G351)</f>
        <v>0</v>
      </c>
      <c r="J351" s="124" t="n">
        <f aca="false">IF(MONTH($A351)=MONTH($A350),SUM(I351-I350),I351)</f>
        <v>0</v>
      </c>
      <c r="K351" s="124" t="n">
        <f aca="false">IF(WEEKDAY(A351,3)&gt;4,0,(IF(A351&lt;K$2,0,IF(A351&lt;=K$3,1,0))))</f>
        <v>0</v>
      </c>
      <c r="L351" s="124" t="n">
        <f aca="false">J351*K351</f>
        <v>0</v>
      </c>
      <c r="M351" s="124" t="n">
        <f aca="false">SUM(J$280:J351)</f>
        <v>0</v>
      </c>
      <c r="N351" s="124" t="n">
        <f aca="false">SUM(J$6:J351)</f>
        <v>-37239</v>
      </c>
      <c r="P351" s="124" t="n">
        <f aca="false">D351/P$3</f>
        <v>0</v>
      </c>
      <c r="Q351" s="124" t="n">
        <f aca="false">E351/P$3</f>
        <v>0</v>
      </c>
      <c r="R351" s="124" t="n">
        <f aca="false">F351/R$3</f>
        <v>0</v>
      </c>
      <c r="S351" s="126" t="n">
        <f aca="false">J351/$R$3</f>
        <v>0</v>
      </c>
      <c r="T351" s="126" t="n">
        <f aca="false">L351/$R$3</f>
        <v>0</v>
      </c>
      <c r="U351" s="126" t="n">
        <f aca="false">I351/$R$3</f>
        <v>0</v>
      </c>
      <c r="V351" s="126" t="n">
        <f aca="false">M351/$R$3</f>
        <v>0</v>
      </c>
      <c r="W351" s="126" t="n">
        <f aca="false">N351/$R$3</f>
        <v>-37.239</v>
      </c>
    </row>
    <row r="352" customFormat="false" ht="12.75" hidden="false" customHeight="false" outlineLevel="0" collapsed="false">
      <c r="A352" s="120" t="n">
        <f aca="false">A351+1</f>
        <v>37238</v>
      </c>
      <c r="B352" s="131" t="str">
        <f aca="false">INDEX('[4]Master Data'!$A$2:$B$8,MATCH(WEEKDAY('GNS Bolv Gas MTM'!A352,3),'[4]Master Data'!$A$2:$A$8,0),2)</f>
        <v>Th</v>
      </c>
      <c r="D352" s="124" t="n">
        <v>0</v>
      </c>
      <c r="E352" s="124" t="n">
        <v>0</v>
      </c>
      <c r="F352" s="124" t="n">
        <v>0</v>
      </c>
      <c r="G352" s="124" t="n">
        <v>0</v>
      </c>
      <c r="I352" s="124" t="n">
        <f aca="false">IF(MONTH($A352)=MONTH($A351),IF(G352=0,I351,G352),G352)</f>
        <v>0</v>
      </c>
      <c r="J352" s="124" t="n">
        <f aca="false">IF(MONTH($A352)=MONTH($A351),SUM(I352-I351),I352)</f>
        <v>0</v>
      </c>
      <c r="K352" s="124" t="n">
        <f aca="false">IF(WEEKDAY(A352,3)&gt;4,0,(IF(A352&lt;K$2,0,IF(A352&lt;=K$3,1,0))))</f>
        <v>0</v>
      </c>
      <c r="L352" s="124" t="n">
        <f aca="false">J352*K352</f>
        <v>0</v>
      </c>
      <c r="M352" s="124" t="n">
        <f aca="false">SUM(J$280:J352)</f>
        <v>0</v>
      </c>
      <c r="N352" s="124" t="n">
        <f aca="false">SUM(J$6:J352)</f>
        <v>-37239</v>
      </c>
      <c r="P352" s="124" t="n">
        <f aca="false">D352/P$3</f>
        <v>0</v>
      </c>
      <c r="Q352" s="124" t="n">
        <f aca="false">E352/P$3</f>
        <v>0</v>
      </c>
      <c r="R352" s="124" t="n">
        <f aca="false">F352/R$3</f>
        <v>0</v>
      </c>
      <c r="S352" s="126" t="n">
        <f aca="false">J352/$R$3</f>
        <v>0</v>
      </c>
      <c r="T352" s="126" t="n">
        <f aca="false">L352/$R$3</f>
        <v>0</v>
      </c>
      <c r="U352" s="126" t="n">
        <f aca="false">I352/$R$3</f>
        <v>0</v>
      </c>
      <c r="V352" s="126" t="n">
        <f aca="false">M352/$R$3</f>
        <v>0</v>
      </c>
      <c r="W352" s="126" t="n">
        <f aca="false">N352/$R$3</f>
        <v>-37.239</v>
      </c>
    </row>
    <row r="353" customFormat="false" ht="12.75" hidden="false" customHeight="false" outlineLevel="0" collapsed="false">
      <c r="A353" s="120" t="n">
        <f aca="false">A352+1</f>
        <v>37239</v>
      </c>
      <c r="B353" s="131" t="str">
        <f aca="false">INDEX('[4]Master Data'!$A$2:$B$8,MATCH(WEEKDAY('GNS Bolv Gas MTM'!A353,3),'[4]Master Data'!$A$2:$A$8,0),2)</f>
        <v>F</v>
      </c>
      <c r="D353" s="124" t="n">
        <v>0</v>
      </c>
      <c r="E353" s="124" t="n">
        <v>0</v>
      </c>
      <c r="F353" s="124" t="n">
        <v>0</v>
      </c>
      <c r="G353" s="124" t="n">
        <v>0</v>
      </c>
      <c r="I353" s="124" t="n">
        <f aca="false">IF(MONTH($A353)=MONTH($A352),IF(G353=0,I352,G353),G353)</f>
        <v>0</v>
      </c>
      <c r="J353" s="124" t="n">
        <f aca="false">IF(MONTH($A353)=MONTH($A352),SUM(I353-I352),I353)</f>
        <v>0</v>
      </c>
      <c r="K353" s="124" t="n">
        <f aca="false">IF(WEEKDAY(A353,3)&gt;4,0,(IF(A353&lt;K$2,0,IF(A353&lt;=K$3,1,0))))</f>
        <v>0</v>
      </c>
      <c r="L353" s="124" t="n">
        <f aca="false">J353*K353</f>
        <v>0</v>
      </c>
      <c r="M353" s="124" t="n">
        <f aca="false">SUM(J$280:J353)</f>
        <v>0</v>
      </c>
      <c r="N353" s="124" t="n">
        <f aca="false">SUM(J$6:J353)</f>
        <v>-37239</v>
      </c>
      <c r="P353" s="124" t="n">
        <f aca="false">D353/P$3</f>
        <v>0</v>
      </c>
      <c r="Q353" s="124" t="n">
        <f aca="false">E353/P$3</f>
        <v>0</v>
      </c>
      <c r="R353" s="124" t="n">
        <f aca="false">F353/R$3</f>
        <v>0</v>
      </c>
      <c r="S353" s="126" t="n">
        <f aca="false">J353/$R$3</f>
        <v>0</v>
      </c>
      <c r="T353" s="126" t="n">
        <f aca="false">L353/$R$3</f>
        <v>0</v>
      </c>
      <c r="U353" s="126" t="n">
        <f aca="false">I353/$R$3</f>
        <v>0</v>
      </c>
      <c r="V353" s="126" t="n">
        <f aca="false">M353/$R$3</f>
        <v>0</v>
      </c>
      <c r="W353" s="126" t="n">
        <f aca="false">N353/$R$3</f>
        <v>-37.239</v>
      </c>
    </row>
    <row r="354" customFormat="false" ht="12.75" hidden="false" customHeight="false" outlineLevel="0" collapsed="false">
      <c r="A354" s="120" t="n">
        <f aca="false">A353+1</f>
        <v>37240</v>
      </c>
      <c r="B354" s="131" t="str">
        <f aca="false">INDEX('[4]Master Data'!$A$2:$B$8,MATCH(WEEKDAY('GNS Bolv Gas MTM'!A354,3),'[4]Master Data'!$A$2:$A$8,0),2)</f>
        <v>Sa</v>
      </c>
      <c r="D354" s="124" t="n">
        <v>0</v>
      </c>
      <c r="E354" s="124" t="n">
        <v>0</v>
      </c>
      <c r="F354" s="124" t="n">
        <v>0</v>
      </c>
      <c r="G354" s="124" t="n">
        <v>0</v>
      </c>
      <c r="I354" s="124" t="n">
        <f aca="false">IF(MONTH($A354)=MONTH($A353),IF(G354=0,I353,G354),G354)</f>
        <v>0</v>
      </c>
      <c r="J354" s="124" t="n">
        <f aca="false">IF(MONTH($A354)=MONTH($A353),SUM(I354-I353),I354)</f>
        <v>0</v>
      </c>
      <c r="K354" s="124" t="n">
        <f aca="false">IF(WEEKDAY(A354,3)&gt;4,0,(IF(A354&lt;K$2,0,IF(A354&lt;=K$3,1,0))))</f>
        <v>0</v>
      </c>
      <c r="L354" s="124" t="n">
        <f aca="false">J354*K354</f>
        <v>0</v>
      </c>
      <c r="M354" s="124" t="n">
        <f aca="false">SUM(J$280:J354)</f>
        <v>0</v>
      </c>
      <c r="N354" s="124" t="n">
        <f aca="false">SUM(J$6:J354)</f>
        <v>-37239</v>
      </c>
      <c r="P354" s="124" t="n">
        <f aca="false">D354/P$3</f>
        <v>0</v>
      </c>
      <c r="Q354" s="124" t="n">
        <f aca="false">E354/P$3</f>
        <v>0</v>
      </c>
      <c r="R354" s="124" t="n">
        <f aca="false">F354/R$3</f>
        <v>0</v>
      </c>
      <c r="S354" s="126" t="n">
        <f aca="false">J354/$R$3</f>
        <v>0</v>
      </c>
      <c r="T354" s="126" t="n">
        <f aca="false">L354/$R$3</f>
        <v>0</v>
      </c>
      <c r="U354" s="126" t="n">
        <f aca="false">I354/$R$3</f>
        <v>0</v>
      </c>
      <c r="V354" s="126" t="n">
        <f aca="false">M354/$R$3</f>
        <v>0</v>
      </c>
      <c r="W354" s="126" t="n">
        <f aca="false">N354/$R$3</f>
        <v>-37.239</v>
      </c>
    </row>
    <row r="355" customFormat="false" ht="12.75" hidden="false" customHeight="false" outlineLevel="0" collapsed="false">
      <c r="A355" s="120" t="n">
        <f aca="false">A354+1</f>
        <v>37241</v>
      </c>
      <c r="B355" s="131" t="str">
        <f aca="false">INDEX('[4]Master Data'!$A$2:$B$8,MATCH(WEEKDAY('GNS Bolv Gas MTM'!A355,3),'[4]Master Data'!$A$2:$A$8,0),2)</f>
        <v>Su</v>
      </c>
      <c r="D355" s="124" t="n">
        <v>0</v>
      </c>
      <c r="E355" s="124" t="n">
        <v>0</v>
      </c>
      <c r="F355" s="124" t="n">
        <v>0</v>
      </c>
      <c r="G355" s="124" t="n">
        <v>0</v>
      </c>
      <c r="I355" s="124" t="n">
        <f aca="false">IF(MONTH($A355)=MONTH($A354),IF(G355=0,I354,G355),G355)</f>
        <v>0</v>
      </c>
      <c r="J355" s="124" t="n">
        <f aca="false">IF(MONTH($A355)=MONTH($A354),SUM(I355-I354),I355)</f>
        <v>0</v>
      </c>
      <c r="K355" s="124" t="n">
        <f aca="false">IF(WEEKDAY(A355,3)&gt;4,0,(IF(A355&lt;K$2,0,IF(A355&lt;=K$3,1,0))))</f>
        <v>0</v>
      </c>
      <c r="L355" s="124" t="n">
        <f aca="false">J355*K355</f>
        <v>0</v>
      </c>
      <c r="M355" s="124" t="n">
        <f aca="false">SUM(J$280:J355)</f>
        <v>0</v>
      </c>
      <c r="N355" s="124" t="n">
        <f aca="false">SUM(J$6:J355)</f>
        <v>-37239</v>
      </c>
      <c r="P355" s="124" t="n">
        <f aca="false">D355/P$3</f>
        <v>0</v>
      </c>
      <c r="Q355" s="124" t="n">
        <f aca="false">E355/P$3</f>
        <v>0</v>
      </c>
      <c r="R355" s="124" t="n">
        <f aca="false">F355/R$3</f>
        <v>0</v>
      </c>
      <c r="S355" s="126" t="n">
        <f aca="false">J355/$R$3</f>
        <v>0</v>
      </c>
      <c r="T355" s="126" t="n">
        <f aca="false">L355/$R$3</f>
        <v>0</v>
      </c>
      <c r="U355" s="126" t="n">
        <f aca="false">I355/$R$3</f>
        <v>0</v>
      </c>
      <c r="V355" s="126" t="n">
        <f aca="false">M355/$R$3</f>
        <v>0</v>
      </c>
      <c r="W355" s="126" t="n">
        <f aca="false">N355/$R$3</f>
        <v>-37.239</v>
      </c>
    </row>
    <row r="356" customFormat="false" ht="12.75" hidden="false" customHeight="false" outlineLevel="0" collapsed="false">
      <c r="A356" s="120" t="n">
        <f aca="false">A355+1</f>
        <v>37242</v>
      </c>
      <c r="B356" s="131" t="str">
        <f aca="false">INDEX('[4]Master Data'!$A$2:$B$8,MATCH(WEEKDAY('GNS Bolv Gas MTM'!A356,3),'[4]Master Data'!$A$2:$A$8,0),2)</f>
        <v>M</v>
      </c>
      <c r="D356" s="124" t="n">
        <v>0</v>
      </c>
      <c r="E356" s="124" t="n">
        <v>0</v>
      </c>
      <c r="F356" s="124" t="n">
        <v>0</v>
      </c>
      <c r="G356" s="124" t="n">
        <v>0</v>
      </c>
      <c r="I356" s="124" t="n">
        <f aca="false">IF(MONTH($A356)=MONTH($A355),IF(G356=0,I355,G356),G356)</f>
        <v>0</v>
      </c>
      <c r="J356" s="124" t="n">
        <f aca="false">IF(MONTH($A356)=MONTH($A355),SUM(I356-I355),I356)</f>
        <v>0</v>
      </c>
      <c r="K356" s="124" t="n">
        <f aca="false">IF(WEEKDAY(A356,3)&gt;4,0,(IF(A356&lt;K$2,0,IF(A356&lt;=K$3,1,0))))</f>
        <v>0</v>
      </c>
      <c r="L356" s="124" t="n">
        <f aca="false">J356*K356</f>
        <v>0</v>
      </c>
      <c r="M356" s="124" t="n">
        <f aca="false">SUM(J$280:J356)</f>
        <v>0</v>
      </c>
      <c r="N356" s="124" t="n">
        <f aca="false">SUM(J$6:J356)</f>
        <v>-37239</v>
      </c>
      <c r="P356" s="124" t="n">
        <f aca="false">D356/P$3</f>
        <v>0</v>
      </c>
      <c r="Q356" s="124" t="n">
        <f aca="false">E356/P$3</f>
        <v>0</v>
      </c>
      <c r="R356" s="124" t="n">
        <f aca="false">F356/R$3</f>
        <v>0</v>
      </c>
      <c r="S356" s="126" t="n">
        <f aca="false">J356/$R$3</f>
        <v>0</v>
      </c>
      <c r="T356" s="126" t="n">
        <f aca="false">L356/$R$3</f>
        <v>0</v>
      </c>
      <c r="U356" s="126" t="n">
        <f aca="false">I356/$R$3</f>
        <v>0</v>
      </c>
      <c r="V356" s="126" t="n">
        <f aca="false">M356/$R$3</f>
        <v>0</v>
      </c>
      <c r="W356" s="126" t="n">
        <f aca="false">N356/$R$3</f>
        <v>-37.239</v>
      </c>
    </row>
    <row r="357" customFormat="false" ht="12.75" hidden="false" customHeight="false" outlineLevel="0" collapsed="false">
      <c r="A357" s="120" t="n">
        <f aca="false">A356+1</f>
        <v>37243</v>
      </c>
      <c r="B357" s="131" t="str">
        <f aca="false">INDEX('[4]Master Data'!$A$2:$B$8,MATCH(WEEKDAY('GNS Bolv Gas MTM'!A357,3),'[4]Master Data'!$A$2:$A$8,0),2)</f>
        <v>T</v>
      </c>
      <c r="D357" s="124" t="n">
        <v>0</v>
      </c>
      <c r="E357" s="124" t="n">
        <v>0</v>
      </c>
      <c r="F357" s="124" t="n">
        <v>0</v>
      </c>
      <c r="G357" s="124" t="n">
        <v>0</v>
      </c>
      <c r="I357" s="124" t="n">
        <f aca="false">IF(MONTH($A357)=MONTH($A356),IF(G357=0,I356,G357),G357)</f>
        <v>0</v>
      </c>
      <c r="J357" s="124" t="n">
        <f aca="false">IF(MONTH($A357)=MONTH($A356),SUM(I357-I356),I357)</f>
        <v>0</v>
      </c>
      <c r="K357" s="124" t="n">
        <f aca="false">IF(WEEKDAY(A357,3)&gt;4,0,(IF(A357&lt;K$2,0,IF(A357&lt;=K$3,1,0))))</f>
        <v>0</v>
      </c>
      <c r="L357" s="124" t="n">
        <f aca="false">J357*K357</f>
        <v>0</v>
      </c>
      <c r="M357" s="124" t="n">
        <f aca="false">SUM(J$280:J357)</f>
        <v>0</v>
      </c>
      <c r="N357" s="124" t="n">
        <f aca="false">SUM(J$6:J357)</f>
        <v>-37239</v>
      </c>
      <c r="P357" s="124" t="n">
        <f aca="false">D357/P$3</f>
        <v>0</v>
      </c>
      <c r="Q357" s="124" t="n">
        <f aca="false">E357/P$3</f>
        <v>0</v>
      </c>
      <c r="R357" s="124" t="n">
        <f aca="false">F357/R$3</f>
        <v>0</v>
      </c>
      <c r="S357" s="126" t="n">
        <f aca="false">J357/$R$3</f>
        <v>0</v>
      </c>
      <c r="T357" s="126" t="n">
        <f aca="false">L357/$R$3</f>
        <v>0</v>
      </c>
      <c r="U357" s="126" t="n">
        <f aca="false">I357/$R$3</f>
        <v>0</v>
      </c>
      <c r="V357" s="126" t="n">
        <f aca="false">M357/$R$3</f>
        <v>0</v>
      </c>
      <c r="W357" s="126" t="n">
        <f aca="false">N357/$R$3</f>
        <v>-37.239</v>
      </c>
    </row>
    <row r="358" customFormat="false" ht="12.75" hidden="false" customHeight="false" outlineLevel="0" collapsed="false">
      <c r="A358" s="120" t="n">
        <f aca="false">A357+1</f>
        <v>37244</v>
      </c>
      <c r="B358" s="131" t="str">
        <f aca="false">INDEX('[4]Master Data'!$A$2:$B$8,MATCH(WEEKDAY('GNS Bolv Gas MTM'!A358,3),'[4]Master Data'!$A$2:$A$8,0),2)</f>
        <v>W</v>
      </c>
      <c r="D358" s="124" t="n">
        <v>0</v>
      </c>
      <c r="E358" s="124" t="n">
        <v>0</v>
      </c>
      <c r="F358" s="124" t="n">
        <v>0</v>
      </c>
      <c r="G358" s="124" t="n">
        <v>0</v>
      </c>
      <c r="I358" s="124" t="n">
        <f aca="false">IF(MONTH($A358)=MONTH($A357),IF(G358=0,I357,G358),G358)</f>
        <v>0</v>
      </c>
      <c r="J358" s="124" t="n">
        <f aca="false">IF(MONTH($A358)=MONTH($A357),SUM(I358-I357),I358)</f>
        <v>0</v>
      </c>
      <c r="K358" s="124" t="n">
        <f aca="false">IF(WEEKDAY(A358,3)&gt;4,0,(IF(A358&lt;K$2,0,IF(A358&lt;=K$3,1,0))))</f>
        <v>0</v>
      </c>
      <c r="L358" s="124" t="n">
        <f aca="false">J358*K358</f>
        <v>0</v>
      </c>
      <c r="M358" s="124" t="n">
        <f aca="false">SUM(J$280:J358)</f>
        <v>0</v>
      </c>
      <c r="N358" s="124" t="n">
        <f aca="false">SUM(J$6:J358)</f>
        <v>-37239</v>
      </c>
      <c r="P358" s="124" t="n">
        <f aca="false">D358/P$3</f>
        <v>0</v>
      </c>
      <c r="Q358" s="124" t="n">
        <f aca="false">E358/P$3</f>
        <v>0</v>
      </c>
      <c r="R358" s="124" t="n">
        <f aca="false">F358/R$3</f>
        <v>0</v>
      </c>
      <c r="S358" s="126" t="n">
        <f aca="false">J358/$R$3</f>
        <v>0</v>
      </c>
      <c r="T358" s="126" t="n">
        <f aca="false">L358/$R$3</f>
        <v>0</v>
      </c>
      <c r="U358" s="126" t="n">
        <f aca="false">I358/$R$3</f>
        <v>0</v>
      </c>
      <c r="V358" s="126" t="n">
        <f aca="false">M358/$R$3</f>
        <v>0</v>
      </c>
      <c r="W358" s="126" t="n">
        <f aca="false">N358/$R$3</f>
        <v>-37.239</v>
      </c>
    </row>
    <row r="359" customFormat="false" ht="12.75" hidden="false" customHeight="false" outlineLevel="0" collapsed="false">
      <c r="A359" s="120" t="n">
        <f aca="false">A358+1</f>
        <v>37245</v>
      </c>
      <c r="B359" s="131" t="str">
        <f aca="false">INDEX('[4]Master Data'!$A$2:$B$8,MATCH(WEEKDAY('GNS Bolv Gas MTM'!A359,3),'[4]Master Data'!$A$2:$A$8,0),2)</f>
        <v>Th</v>
      </c>
      <c r="D359" s="124" t="n">
        <v>0</v>
      </c>
      <c r="E359" s="124" t="n">
        <v>0</v>
      </c>
      <c r="F359" s="124" t="n">
        <v>0</v>
      </c>
      <c r="G359" s="124" t="n">
        <v>0</v>
      </c>
      <c r="I359" s="124" t="n">
        <f aca="false">IF(MONTH($A359)=MONTH($A358),IF(G359=0,I358,G359),G359)</f>
        <v>0</v>
      </c>
      <c r="J359" s="124" t="n">
        <f aca="false">IF(MONTH($A359)=MONTH($A358),SUM(I359-I358),I359)</f>
        <v>0</v>
      </c>
      <c r="K359" s="124" t="n">
        <f aca="false">IF(WEEKDAY(A359,3)&gt;4,0,(IF(A359&lt;K$2,0,IF(A359&lt;=K$3,1,0))))</f>
        <v>0</v>
      </c>
      <c r="L359" s="124" t="n">
        <f aca="false">J359*K359</f>
        <v>0</v>
      </c>
      <c r="M359" s="124" t="n">
        <f aca="false">SUM(J$280:J359)</f>
        <v>0</v>
      </c>
      <c r="N359" s="124" t="n">
        <f aca="false">SUM(J$6:J359)</f>
        <v>-37239</v>
      </c>
      <c r="P359" s="124" t="n">
        <f aca="false">D359/P$3</f>
        <v>0</v>
      </c>
      <c r="Q359" s="124" t="n">
        <f aca="false">E359/P$3</f>
        <v>0</v>
      </c>
      <c r="R359" s="124" t="n">
        <f aca="false">F359/R$3</f>
        <v>0</v>
      </c>
      <c r="S359" s="126" t="n">
        <f aca="false">J359/$R$3</f>
        <v>0</v>
      </c>
      <c r="T359" s="126" t="n">
        <f aca="false">L359/$R$3</f>
        <v>0</v>
      </c>
      <c r="U359" s="126" t="n">
        <f aca="false">I359/$R$3</f>
        <v>0</v>
      </c>
      <c r="V359" s="126" t="n">
        <f aca="false">M359/$R$3</f>
        <v>0</v>
      </c>
      <c r="W359" s="126" t="n">
        <f aca="false">N359/$R$3</f>
        <v>-37.239</v>
      </c>
    </row>
    <row r="360" customFormat="false" ht="12.75" hidden="false" customHeight="false" outlineLevel="0" collapsed="false">
      <c r="A360" s="120" t="n">
        <f aca="false">A359+1</f>
        <v>37246</v>
      </c>
      <c r="B360" s="131" t="str">
        <f aca="false">INDEX('[4]Master Data'!$A$2:$B$8,MATCH(WEEKDAY('GNS Bolv Gas MTM'!A360,3),'[4]Master Data'!$A$2:$A$8,0),2)</f>
        <v>F</v>
      </c>
      <c r="D360" s="124" t="n">
        <v>0</v>
      </c>
      <c r="E360" s="124" t="n">
        <v>0</v>
      </c>
      <c r="F360" s="124" t="n">
        <v>0</v>
      </c>
      <c r="G360" s="124" t="n">
        <v>0</v>
      </c>
      <c r="I360" s="124" t="n">
        <f aca="false">IF(MONTH($A360)=MONTH($A359),IF(G360=0,I359,G360),G360)</f>
        <v>0</v>
      </c>
      <c r="J360" s="124" t="n">
        <f aca="false">IF(MONTH($A360)=MONTH($A359),SUM(I360-I359),I360)</f>
        <v>0</v>
      </c>
      <c r="K360" s="124" t="n">
        <f aca="false">IF(WEEKDAY(A360,3)&gt;4,0,(IF(A360&lt;K$2,0,IF(A360&lt;=K$3,1,0))))</f>
        <v>0</v>
      </c>
      <c r="L360" s="124" t="n">
        <f aca="false">J360*K360</f>
        <v>0</v>
      </c>
      <c r="M360" s="124" t="n">
        <f aca="false">SUM(J$280:J360)</f>
        <v>0</v>
      </c>
      <c r="N360" s="124" t="n">
        <f aca="false">SUM(J$6:J360)</f>
        <v>-37239</v>
      </c>
      <c r="P360" s="124" t="n">
        <f aca="false">D360/P$3</f>
        <v>0</v>
      </c>
      <c r="Q360" s="124" t="n">
        <f aca="false">E360/P$3</f>
        <v>0</v>
      </c>
      <c r="R360" s="124" t="n">
        <f aca="false">F360/R$3</f>
        <v>0</v>
      </c>
      <c r="S360" s="126" t="n">
        <f aca="false">J360/$R$3</f>
        <v>0</v>
      </c>
      <c r="T360" s="126" t="n">
        <f aca="false">L360/$R$3</f>
        <v>0</v>
      </c>
      <c r="U360" s="126" t="n">
        <f aca="false">I360/$R$3</f>
        <v>0</v>
      </c>
      <c r="V360" s="126" t="n">
        <f aca="false">M360/$R$3</f>
        <v>0</v>
      </c>
      <c r="W360" s="126" t="n">
        <f aca="false">N360/$R$3</f>
        <v>-37.239</v>
      </c>
    </row>
    <row r="361" customFormat="false" ht="12.75" hidden="false" customHeight="false" outlineLevel="0" collapsed="false">
      <c r="A361" s="120" t="n">
        <f aca="false">A360+1</f>
        <v>37247</v>
      </c>
      <c r="B361" s="131" t="str">
        <f aca="false">INDEX('[4]Master Data'!$A$2:$B$8,MATCH(WEEKDAY('GNS Bolv Gas MTM'!A361,3),'[4]Master Data'!$A$2:$A$8,0),2)</f>
        <v>Sa</v>
      </c>
      <c r="D361" s="124" t="n">
        <v>0</v>
      </c>
      <c r="E361" s="124" t="n">
        <v>0</v>
      </c>
      <c r="F361" s="124" t="n">
        <v>0</v>
      </c>
      <c r="G361" s="124" t="n">
        <v>0</v>
      </c>
      <c r="I361" s="124" t="n">
        <f aca="false">IF(MONTH($A361)=MONTH($A360),IF(G361=0,I360,G361),G361)</f>
        <v>0</v>
      </c>
      <c r="J361" s="124" t="n">
        <f aca="false">IF(MONTH($A361)=MONTH($A360),SUM(I361-I360),I361)</f>
        <v>0</v>
      </c>
      <c r="K361" s="124" t="n">
        <f aca="false">IF(WEEKDAY(A361,3)&gt;4,0,(IF(A361&lt;K$2,0,IF(A361&lt;=K$3,1,0))))</f>
        <v>0</v>
      </c>
      <c r="L361" s="124" t="n">
        <f aca="false">J361*K361</f>
        <v>0</v>
      </c>
      <c r="M361" s="124" t="n">
        <f aca="false">SUM(J$280:J361)</f>
        <v>0</v>
      </c>
      <c r="N361" s="124" t="n">
        <f aca="false">SUM(J$6:J361)</f>
        <v>-37239</v>
      </c>
      <c r="P361" s="124" t="n">
        <f aca="false">D361/P$3</f>
        <v>0</v>
      </c>
      <c r="Q361" s="124" t="n">
        <f aca="false">E361/P$3</f>
        <v>0</v>
      </c>
      <c r="R361" s="124" t="n">
        <f aca="false">F361/R$3</f>
        <v>0</v>
      </c>
      <c r="S361" s="126" t="n">
        <f aca="false">J361/$R$3</f>
        <v>0</v>
      </c>
      <c r="T361" s="126" t="n">
        <f aca="false">L361/$R$3</f>
        <v>0</v>
      </c>
      <c r="U361" s="126" t="n">
        <f aca="false">I361/$R$3</f>
        <v>0</v>
      </c>
      <c r="V361" s="126" t="n">
        <f aca="false">M361/$R$3</f>
        <v>0</v>
      </c>
      <c r="W361" s="126" t="n">
        <f aca="false">N361/$R$3</f>
        <v>-37.239</v>
      </c>
    </row>
    <row r="362" customFormat="false" ht="12.75" hidden="false" customHeight="false" outlineLevel="0" collapsed="false">
      <c r="A362" s="120" t="n">
        <f aca="false">A361+1</f>
        <v>37248</v>
      </c>
      <c r="B362" s="131" t="str">
        <f aca="false">INDEX('[4]Master Data'!$A$2:$B$8,MATCH(WEEKDAY('GNS Bolv Gas MTM'!A362,3),'[4]Master Data'!$A$2:$A$8,0),2)</f>
        <v>Su</v>
      </c>
      <c r="D362" s="124" t="n">
        <v>0</v>
      </c>
      <c r="E362" s="124" t="n">
        <v>0</v>
      </c>
      <c r="F362" s="124" t="n">
        <v>0</v>
      </c>
      <c r="G362" s="124" t="n">
        <v>0</v>
      </c>
      <c r="I362" s="124" t="n">
        <f aca="false">IF(MONTH($A362)=MONTH($A361),IF(G362=0,I361,G362),G362)</f>
        <v>0</v>
      </c>
      <c r="J362" s="124" t="n">
        <f aca="false">IF(MONTH($A362)=MONTH($A361),SUM(I362-I361),I362)</f>
        <v>0</v>
      </c>
      <c r="K362" s="124" t="n">
        <f aca="false">IF(WEEKDAY(A362,3)&gt;4,0,(IF(A362&lt;K$2,0,IF(A362&lt;=K$3,1,0))))</f>
        <v>0</v>
      </c>
      <c r="L362" s="124" t="n">
        <f aca="false">J362*K362</f>
        <v>0</v>
      </c>
      <c r="M362" s="124" t="n">
        <f aca="false">SUM(J$280:J362)</f>
        <v>0</v>
      </c>
      <c r="N362" s="124" t="n">
        <f aca="false">SUM(J$6:J362)</f>
        <v>-37239</v>
      </c>
      <c r="P362" s="124" t="n">
        <f aca="false">D362/P$3</f>
        <v>0</v>
      </c>
      <c r="Q362" s="124" t="n">
        <f aca="false">E362/P$3</f>
        <v>0</v>
      </c>
      <c r="R362" s="124" t="n">
        <f aca="false">F362/R$3</f>
        <v>0</v>
      </c>
      <c r="S362" s="126" t="n">
        <f aca="false">J362/$R$3</f>
        <v>0</v>
      </c>
      <c r="T362" s="126" t="n">
        <f aca="false">L362/$R$3</f>
        <v>0</v>
      </c>
      <c r="U362" s="126" t="n">
        <f aca="false">I362/$R$3</f>
        <v>0</v>
      </c>
      <c r="V362" s="126" t="n">
        <f aca="false">M362/$R$3</f>
        <v>0</v>
      </c>
      <c r="W362" s="126" t="n">
        <f aca="false">N362/$R$3</f>
        <v>-37.239</v>
      </c>
    </row>
    <row r="363" customFormat="false" ht="12.75" hidden="false" customHeight="false" outlineLevel="0" collapsed="false">
      <c r="A363" s="120" t="n">
        <f aca="false">A362+1</f>
        <v>37249</v>
      </c>
      <c r="B363" s="131" t="str">
        <f aca="false">INDEX('[4]Master Data'!$A$2:$B$8,MATCH(WEEKDAY('GNS Bolv Gas MTM'!A363,3),'[4]Master Data'!$A$2:$A$8,0),2)</f>
        <v>M</v>
      </c>
      <c r="D363" s="124" t="n">
        <v>0</v>
      </c>
      <c r="E363" s="124" t="n">
        <v>0</v>
      </c>
      <c r="F363" s="124" t="n">
        <v>0</v>
      </c>
      <c r="G363" s="124" t="n">
        <v>0</v>
      </c>
      <c r="I363" s="124" t="n">
        <f aca="false">IF(MONTH($A363)=MONTH($A362),IF(G363=0,I362,G363),G363)</f>
        <v>0</v>
      </c>
      <c r="J363" s="124" t="n">
        <f aca="false">IF(MONTH($A363)=MONTH($A362),SUM(I363-I362),I363)</f>
        <v>0</v>
      </c>
      <c r="K363" s="124" t="n">
        <f aca="false">IF(WEEKDAY(A363,3)&gt;4,0,(IF(A363&lt;K$2,0,IF(A363&lt;=K$3,1,0))))</f>
        <v>0</v>
      </c>
      <c r="L363" s="124" t="n">
        <f aca="false">J363*K363</f>
        <v>0</v>
      </c>
      <c r="M363" s="124" t="n">
        <f aca="false">SUM(J$280:J363)</f>
        <v>0</v>
      </c>
      <c r="N363" s="124" t="n">
        <f aca="false">SUM(J$6:J363)</f>
        <v>-37239</v>
      </c>
      <c r="P363" s="124" t="n">
        <f aca="false">D363/P$3</f>
        <v>0</v>
      </c>
      <c r="Q363" s="124" t="n">
        <f aca="false">E363/P$3</f>
        <v>0</v>
      </c>
      <c r="R363" s="124" t="n">
        <f aca="false">F363/R$3</f>
        <v>0</v>
      </c>
      <c r="S363" s="126" t="n">
        <f aca="false">J363/$R$3</f>
        <v>0</v>
      </c>
      <c r="T363" s="126" t="n">
        <f aca="false">L363/$R$3</f>
        <v>0</v>
      </c>
      <c r="U363" s="126" t="n">
        <f aca="false">I363/$R$3</f>
        <v>0</v>
      </c>
      <c r="V363" s="126" t="n">
        <f aca="false">M363/$R$3</f>
        <v>0</v>
      </c>
      <c r="W363" s="126" t="n">
        <f aca="false">N363/$R$3</f>
        <v>-37.239</v>
      </c>
    </row>
    <row r="364" customFormat="false" ht="12.75" hidden="false" customHeight="false" outlineLevel="0" collapsed="false">
      <c r="A364" s="120" t="n">
        <f aca="false">A363+1</f>
        <v>37250</v>
      </c>
      <c r="B364" s="131" t="str">
        <f aca="false">INDEX('[4]Master Data'!$A$2:$B$8,MATCH(WEEKDAY('GNS Bolv Gas MTM'!A364,3),'[4]Master Data'!$A$2:$A$8,0),2)</f>
        <v>T</v>
      </c>
      <c r="D364" s="124" t="n">
        <v>0</v>
      </c>
      <c r="E364" s="124" t="n">
        <v>0</v>
      </c>
      <c r="F364" s="124" t="n">
        <v>0</v>
      </c>
      <c r="G364" s="124" t="n">
        <v>0</v>
      </c>
      <c r="I364" s="124" t="n">
        <f aca="false">IF(MONTH($A364)=MONTH($A363),IF(G364=0,I363,G364),G364)</f>
        <v>0</v>
      </c>
      <c r="J364" s="124" t="n">
        <f aca="false">IF(MONTH($A364)=MONTH($A363),SUM(I364-I363),I364)</f>
        <v>0</v>
      </c>
      <c r="K364" s="124" t="n">
        <f aca="false">IF(WEEKDAY(A364,3)&gt;4,0,(IF(A364&lt;K$2,0,IF(A364&lt;=K$3,1,0))))</f>
        <v>0</v>
      </c>
      <c r="L364" s="124" t="n">
        <f aca="false">J364*K364</f>
        <v>0</v>
      </c>
      <c r="M364" s="124" t="n">
        <f aca="false">SUM(J$280:J364)</f>
        <v>0</v>
      </c>
      <c r="N364" s="124" t="n">
        <f aca="false">SUM(J$6:J364)</f>
        <v>-37239</v>
      </c>
      <c r="P364" s="124" t="n">
        <f aca="false">D364/P$3</f>
        <v>0</v>
      </c>
      <c r="Q364" s="124" t="n">
        <f aca="false">E364/P$3</f>
        <v>0</v>
      </c>
      <c r="R364" s="124" t="n">
        <f aca="false">F364/R$3</f>
        <v>0</v>
      </c>
      <c r="S364" s="126" t="n">
        <f aca="false">J364/$R$3</f>
        <v>0</v>
      </c>
      <c r="T364" s="126" t="n">
        <f aca="false">L364/$R$3</f>
        <v>0</v>
      </c>
      <c r="U364" s="126" t="n">
        <f aca="false">I364/$R$3</f>
        <v>0</v>
      </c>
      <c r="V364" s="126" t="n">
        <f aca="false">M364/$R$3</f>
        <v>0</v>
      </c>
      <c r="W364" s="126" t="n">
        <f aca="false">N364/$R$3</f>
        <v>-37.239</v>
      </c>
    </row>
    <row r="365" customFormat="false" ht="12.75" hidden="false" customHeight="false" outlineLevel="0" collapsed="false">
      <c r="A365" s="120" t="n">
        <f aca="false">A364+1</f>
        <v>37251</v>
      </c>
      <c r="B365" s="131" t="str">
        <f aca="false">INDEX('[4]Master Data'!$A$2:$B$8,MATCH(WEEKDAY('GNS Bolv Gas MTM'!A365,3),'[4]Master Data'!$A$2:$A$8,0),2)</f>
        <v>W</v>
      </c>
      <c r="D365" s="124" t="n">
        <v>0</v>
      </c>
      <c r="E365" s="124" t="n">
        <v>0</v>
      </c>
      <c r="F365" s="124" t="n">
        <v>0</v>
      </c>
      <c r="G365" s="124" t="n">
        <v>0</v>
      </c>
      <c r="I365" s="124" t="n">
        <f aca="false">IF(MONTH($A365)=MONTH($A364),IF(G365=0,I364,G365),G365)</f>
        <v>0</v>
      </c>
      <c r="J365" s="124" t="n">
        <f aca="false">IF(MONTH($A365)=MONTH($A364),SUM(I365-I364),I365)</f>
        <v>0</v>
      </c>
      <c r="K365" s="124" t="n">
        <f aca="false">IF(WEEKDAY(A365,3)&gt;4,0,(IF(A365&lt;K$2,0,IF(A365&lt;=K$3,1,0))))</f>
        <v>0</v>
      </c>
      <c r="L365" s="124" t="n">
        <f aca="false">J365*K365</f>
        <v>0</v>
      </c>
      <c r="M365" s="124" t="n">
        <f aca="false">SUM(J$280:J365)</f>
        <v>0</v>
      </c>
      <c r="N365" s="124" t="n">
        <f aca="false">SUM(J$6:J365)</f>
        <v>-37239</v>
      </c>
      <c r="P365" s="124" t="n">
        <f aca="false">D365/P$3</f>
        <v>0</v>
      </c>
      <c r="Q365" s="124" t="n">
        <f aca="false">E365/P$3</f>
        <v>0</v>
      </c>
      <c r="R365" s="124" t="n">
        <f aca="false">F365/R$3</f>
        <v>0</v>
      </c>
      <c r="S365" s="126" t="n">
        <f aca="false">J365/$R$3</f>
        <v>0</v>
      </c>
      <c r="T365" s="126" t="n">
        <f aca="false">L365/$R$3</f>
        <v>0</v>
      </c>
      <c r="U365" s="126" t="n">
        <f aca="false">I365/$R$3</f>
        <v>0</v>
      </c>
      <c r="V365" s="126" t="n">
        <f aca="false">M365/$R$3</f>
        <v>0</v>
      </c>
      <c r="W365" s="126" t="n">
        <f aca="false">N365/$R$3</f>
        <v>-37.239</v>
      </c>
    </row>
    <row r="366" customFormat="false" ht="12.75" hidden="false" customHeight="false" outlineLevel="0" collapsed="false">
      <c r="A366" s="120" t="n">
        <f aca="false">A365+1</f>
        <v>37252</v>
      </c>
      <c r="B366" s="131" t="str">
        <f aca="false">INDEX('[4]Master Data'!$A$2:$B$8,MATCH(WEEKDAY('GNS Bolv Gas MTM'!A366,3),'[4]Master Data'!$A$2:$A$8,0),2)</f>
        <v>Th</v>
      </c>
      <c r="D366" s="124" t="n">
        <v>0</v>
      </c>
      <c r="E366" s="124" t="n">
        <v>0</v>
      </c>
      <c r="F366" s="124" t="n">
        <v>0</v>
      </c>
      <c r="G366" s="124" t="n">
        <v>0</v>
      </c>
      <c r="I366" s="124" t="n">
        <f aca="false">IF(MONTH($A366)=MONTH($A365),IF(G366=0,I365,G366),G366)</f>
        <v>0</v>
      </c>
      <c r="J366" s="124" t="n">
        <f aca="false">IF(MONTH($A366)=MONTH($A365),SUM(I366-I365),I366)</f>
        <v>0</v>
      </c>
      <c r="K366" s="124" t="n">
        <f aca="false">IF(WEEKDAY(A366,3)&gt;4,0,(IF(A366&lt;K$2,0,IF(A366&lt;=K$3,1,0))))</f>
        <v>0</v>
      </c>
      <c r="L366" s="124" t="n">
        <f aca="false">J366*K366</f>
        <v>0</v>
      </c>
      <c r="M366" s="124" t="n">
        <f aca="false">SUM(J$280:J366)</f>
        <v>0</v>
      </c>
      <c r="N366" s="124" t="n">
        <f aca="false">SUM(J$6:J366)</f>
        <v>-37239</v>
      </c>
      <c r="P366" s="124" t="n">
        <f aca="false">D366/P$3</f>
        <v>0</v>
      </c>
      <c r="Q366" s="124" t="n">
        <f aca="false">E366/P$3</f>
        <v>0</v>
      </c>
      <c r="R366" s="124" t="n">
        <f aca="false">F366/R$3</f>
        <v>0</v>
      </c>
      <c r="S366" s="126" t="n">
        <f aca="false">J366/$R$3</f>
        <v>0</v>
      </c>
      <c r="T366" s="126" t="n">
        <f aca="false">L366/$R$3</f>
        <v>0</v>
      </c>
      <c r="U366" s="126" t="n">
        <f aca="false">I366/$R$3</f>
        <v>0</v>
      </c>
      <c r="V366" s="126" t="n">
        <f aca="false">M366/$R$3</f>
        <v>0</v>
      </c>
      <c r="W366" s="126" t="n">
        <f aca="false">N366/$R$3</f>
        <v>-37.239</v>
      </c>
    </row>
    <row r="367" customFormat="false" ht="12.75" hidden="false" customHeight="false" outlineLevel="0" collapsed="false">
      <c r="A367" s="120" t="n">
        <f aca="false">A366+1</f>
        <v>37253</v>
      </c>
      <c r="B367" s="131" t="str">
        <f aca="false">INDEX('[4]Master Data'!$A$2:$B$8,MATCH(WEEKDAY('GNS Bolv Gas MTM'!A367,3),'[4]Master Data'!$A$2:$A$8,0),2)</f>
        <v>F</v>
      </c>
      <c r="D367" s="124" t="n">
        <v>0</v>
      </c>
      <c r="E367" s="124" t="n">
        <v>0</v>
      </c>
      <c r="F367" s="124" t="n">
        <v>0</v>
      </c>
      <c r="G367" s="124" t="n">
        <v>0</v>
      </c>
      <c r="I367" s="124" t="n">
        <f aca="false">IF(MONTH($A367)=MONTH($A366),IF(G367=0,I366,G367),G367)</f>
        <v>0</v>
      </c>
      <c r="J367" s="124" t="n">
        <f aca="false">IF(MONTH($A367)=MONTH($A366),SUM(I367-I366),I367)</f>
        <v>0</v>
      </c>
      <c r="K367" s="124" t="n">
        <f aca="false">IF(WEEKDAY(A367,3)&gt;4,0,(IF(A367&lt;K$2,0,IF(A367&lt;=K$3,1,0))))</f>
        <v>0</v>
      </c>
      <c r="L367" s="124" t="n">
        <f aca="false">J367*K367</f>
        <v>0</v>
      </c>
      <c r="M367" s="124" t="n">
        <f aca="false">SUM(J$280:J367)</f>
        <v>0</v>
      </c>
      <c r="N367" s="124" t="n">
        <f aca="false">SUM(J$6:J367)</f>
        <v>-37239</v>
      </c>
      <c r="P367" s="124" t="n">
        <f aca="false">D367/P$3</f>
        <v>0</v>
      </c>
      <c r="Q367" s="124" t="n">
        <f aca="false">E367/P$3</f>
        <v>0</v>
      </c>
      <c r="R367" s="124" t="n">
        <f aca="false">F367/R$3</f>
        <v>0</v>
      </c>
      <c r="S367" s="126" t="n">
        <f aca="false">J367/$R$3</f>
        <v>0</v>
      </c>
      <c r="T367" s="126" t="n">
        <f aca="false">L367/$R$3</f>
        <v>0</v>
      </c>
      <c r="U367" s="126" t="n">
        <f aca="false">I367/$R$3</f>
        <v>0</v>
      </c>
      <c r="V367" s="126" t="n">
        <f aca="false">M367/$R$3</f>
        <v>0</v>
      </c>
      <c r="W367" s="126" t="n">
        <f aca="false">N367/$R$3</f>
        <v>-37.239</v>
      </c>
    </row>
    <row r="368" customFormat="false" ht="12.75" hidden="false" customHeight="false" outlineLevel="0" collapsed="false">
      <c r="A368" s="120" t="n">
        <f aca="false">A367+1</f>
        <v>37254</v>
      </c>
      <c r="B368" s="131" t="str">
        <f aca="false">INDEX('[4]Master Data'!$A$2:$B$8,MATCH(WEEKDAY('GNS Bolv Gas MTM'!A368,3),'[4]Master Data'!$A$2:$A$8,0),2)</f>
        <v>Sa</v>
      </c>
      <c r="D368" s="124" t="n">
        <v>0</v>
      </c>
      <c r="E368" s="124" t="n">
        <v>0</v>
      </c>
      <c r="F368" s="124" t="n">
        <v>0</v>
      </c>
      <c r="G368" s="124" t="n">
        <v>0</v>
      </c>
      <c r="I368" s="124" t="n">
        <f aca="false">IF(MONTH($A368)=MONTH($A367),IF(G368=0,I367,G368),G368)</f>
        <v>0</v>
      </c>
      <c r="J368" s="124" t="n">
        <f aca="false">IF(MONTH($A368)=MONTH($A367),SUM(I368-I367),I368)</f>
        <v>0</v>
      </c>
      <c r="K368" s="124" t="n">
        <f aca="false">IF(WEEKDAY(A368,3)&gt;4,0,(IF(A368&lt;K$2,0,IF(A368&lt;=K$3,1,0))))</f>
        <v>0</v>
      </c>
      <c r="L368" s="124" t="n">
        <f aca="false">J368*K368</f>
        <v>0</v>
      </c>
      <c r="M368" s="124" t="n">
        <f aca="false">SUM(J$280:J368)</f>
        <v>0</v>
      </c>
      <c r="N368" s="124" t="n">
        <f aca="false">SUM(J$6:J368)</f>
        <v>-37239</v>
      </c>
      <c r="P368" s="124" t="n">
        <f aca="false">D368/P$3</f>
        <v>0</v>
      </c>
      <c r="Q368" s="124" t="n">
        <f aca="false">E368/P$3</f>
        <v>0</v>
      </c>
      <c r="R368" s="124" t="n">
        <f aca="false">F368/R$3</f>
        <v>0</v>
      </c>
      <c r="S368" s="126" t="n">
        <f aca="false">J368/$R$3</f>
        <v>0</v>
      </c>
      <c r="T368" s="126" t="n">
        <f aca="false">L368/$R$3</f>
        <v>0</v>
      </c>
      <c r="U368" s="126" t="n">
        <f aca="false">I368/$R$3</f>
        <v>0</v>
      </c>
      <c r="V368" s="126" t="n">
        <f aca="false">M368/$R$3</f>
        <v>0</v>
      </c>
      <c r="W368" s="126" t="n">
        <f aca="false">N368/$R$3</f>
        <v>-37.239</v>
      </c>
    </row>
    <row r="369" customFormat="false" ht="12.75" hidden="false" customHeight="false" outlineLevel="0" collapsed="false">
      <c r="A369" s="120" t="n">
        <f aca="false">A368+1</f>
        <v>37255</v>
      </c>
      <c r="B369" s="131" t="str">
        <f aca="false">INDEX('[4]Master Data'!$A$2:$B$8,MATCH(WEEKDAY('GNS Bolv Gas MTM'!A369,3),'[4]Master Data'!$A$2:$A$8,0),2)</f>
        <v>Su</v>
      </c>
      <c r="D369" s="124" t="n">
        <v>0</v>
      </c>
      <c r="E369" s="124" t="n">
        <v>0</v>
      </c>
      <c r="F369" s="124" t="n">
        <v>0</v>
      </c>
      <c r="G369" s="124" t="n">
        <v>0</v>
      </c>
      <c r="I369" s="124" t="n">
        <f aca="false">IF(MONTH($A369)=MONTH($A368),IF(G369=0,I368,G369),G369)</f>
        <v>0</v>
      </c>
      <c r="J369" s="124" t="n">
        <f aca="false">IF(MONTH($A369)=MONTH($A368),SUM(I369-I368),I369)</f>
        <v>0</v>
      </c>
      <c r="K369" s="124" t="n">
        <f aca="false">IF(WEEKDAY(A369,3)&gt;4,0,(IF(A369&lt;K$2,0,IF(A369&lt;=K$3,1,0))))</f>
        <v>0</v>
      </c>
      <c r="L369" s="124" t="n">
        <f aca="false">J369*K369</f>
        <v>0</v>
      </c>
      <c r="M369" s="124" t="n">
        <f aca="false">SUM(J$280:J369)</f>
        <v>0</v>
      </c>
      <c r="N369" s="124" t="n">
        <f aca="false">SUM(J$6:J369)</f>
        <v>-37239</v>
      </c>
      <c r="P369" s="124" t="n">
        <f aca="false">D369/P$3</f>
        <v>0</v>
      </c>
      <c r="Q369" s="124" t="n">
        <f aca="false">E369/P$3</f>
        <v>0</v>
      </c>
      <c r="R369" s="124" t="n">
        <f aca="false">F369/R$3</f>
        <v>0</v>
      </c>
      <c r="S369" s="126" t="n">
        <f aca="false">J369/$R$3</f>
        <v>0</v>
      </c>
      <c r="T369" s="126" t="n">
        <f aca="false">L369/$R$3</f>
        <v>0</v>
      </c>
      <c r="U369" s="126" t="n">
        <f aca="false">I369/$R$3</f>
        <v>0</v>
      </c>
      <c r="V369" s="126" t="n">
        <f aca="false">M369/$R$3</f>
        <v>0</v>
      </c>
      <c r="W369" s="126" t="n">
        <f aca="false">N369/$R$3</f>
        <v>-37.239</v>
      </c>
    </row>
    <row r="370" customFormat="false" ht="12.75" hidden="false" customHeight="false" outlineLevel="0" collapsed="false">
      <c r="A370" s="120" t="n">
        <f aca="false">A369+1</f>
        <v>37256</v>
      </c>
      <c r="B370" s="131" t="str">
        <f aca="false">INDEX('[4]Master Data'!$A$2:$B$8,MATCH(WEEKDAY('GNS Bolv Gas MTM'!A370,3),'[4]Master Data'!$A$2:$A$8,0),2)</f>
        <v>M</v>
      </c>
      <c r="D370" s="124" t="n">
        <v>0</v>
      </c>
      <c r="E370" s="124" t="n">
        <v>0</v>
      </c>
      <c r="F370" s="124" t="n">
        <v>0</v>
      </c>
      <c r="G370" s="124" t="n">
        <v>0</v>
      </c>
      <c r="I370" s="124" t="n">
        <f aca="false">IF(MONTH($A370)=MONTH($A369),IF(G370=0,I369,G370),G370)</f>
        <v>0</v>
      </c>
      <c r="J370" s="124" t="n">
        <f aca="false">IF(MONTH($A370)=MONTH($A369),SUM(I370-I369),I370)</f>
        <v>0</v>
      </c>
      <c r="K370" s="124" t="n">
        <f aca="false">IF(WEEKDAY(A370,3)&gt;4,0,(IF(A370&lt;K$2,0,IF(A370&lt;=K$3,1,0))))</f>
        <v>0</v>
      </c>
      <c r="L370" s="124" t="n">
        <f aca="false">J370*K370</f>
        <v>0</v>
      </c>
      <c r="M370" s="124" t="n">
        <f aca="false">SUM(J$280:J370)</f>
        <v>0</v>
      </c>
      <c r="N370" s="124" t="n">
        <f aca="false">SUM(J$6:J370)</f>
        <v>-37239</v>
      </c>
      <c r="P370" s="124" t="n">
        <f aca="false">D370/P$3</f>
        <v>0</v>
      </c>
      <c r="Q370" s="124" t="n">
        <f aca="false">E370/P$3</f>
        <v>0</v>
      </c>
      <c r="R370" s="124" t="n">
        <f aca="false">F370/R$3</f>
        <v>0</v>
      </c>
      <c r="S370" s="126" t="n">
        <f aca="false">J370/$R$3</f>
        <v>0</v>
      </c>
      <c r="T370" s="126" t="n">
        <f aca="false">L370/$R$3</f>
        <v>0</v>
      </c>
      <c r="U370" s="126" t="n">
        <f aca="false">I370/$R$3</f>
        <v>0</v>
      </c>
      <c r="V370" s="126" t="n">
        <f aca="false">M370/$R$3</f>
        <v>0</v>
      </c>
      <c r="W370" s="126" t="n">
        <f aca="false">N370/$R$3</f>
        <v>-37.239</v>
      </c>
    </row>
    <row r="371" customFormat="false" ht="12.75" hidden="false" customHeight="false" outlineLevel="0" collapsed="false">
      <c r="A371" s="120" t="n">
        <f aca="false">A370+1</f>
        <v>37257</v>
      </c>
      <c r="B371" s="131" t="str">
        <f aca="false">INDEX('[4]Master Data'!$A$2:$B$8,MATCH(WEEKDAY('GNS Bolv Gas MTM'!A371,3),'[4]Master Data'!$A$2:$A$8,0),2)</f>
        <v>T</v>
      </c>
      <c r="D371" s="124" t="n">
        <v>0</v>
      </c>
      <c r="E371" s="124" t="n">
        <v>0</v>
      </c>
      <c r="F371" s="124" t="n">
        <v>0</v>
      </c>
      <c r="G371" s="124" t="n">
        <v>0</v>
      </c>
      <c r="I371" s="124" t="n">
        <f aca="false">IF(MONTH($A371)=MONTH($A370),IF(G371=0,I370,G371),G371)</f>
        <v>0</v>
      </c>
      <c r="J371" s="124" t="n">
        <f aca="false">IF(MONTH($A371)=MONTH($A370),SUM(I371-I370),I371)</f>
        <v>0</v>
      </c>
      <c r="K371" s="124" t="n">
        <f aca="false">IF(WEEKDAY(A371,3)&gt;4,0,(IF(A371&lt;K$2,0,IF(A371&lt;=K$3,1,0))))</f>
        <v>0</v>
      </c>
      <c r="L371" s="124" t="n">
        <f aca="false">J371*K371</f>
        <v>0</v>
      </c>
      <c r="M371" s="124" t="n">
        <f aca="false">SUM(J$280:J371)</f>
        <v>0</v>
      </c>
      <c r="N371" s="124" t="n">
        <f aca="false">SUM(J$6:J371)</f>
        <v>-37239</v>
      </c>
      <c r="P371" s="124" t="n">
        <f aca="false">D371/P$3</f>
        <v>0</v>
      </c>
      <c r="Q371" s="124" t="n">
        <f aca="false">E371/P$3</f>
        <v>0</v>
      </c>
      <c r="R371" s="124" t="n">
        <f aca="false">F371/R$3</f>
        <v>0</v>
      </c>
      <c r="S371" s="126" t="n">
        <f aca="false">J371/$R$3</f>
        <v>0</v>
      </c>
      <c r="T371" s="126" t="n">
        <f aca="false">L371/$R$3</f>
        <v>0</v>
      </c>
      <c r="U371" s="126" t="n">
        <f aca="false">I371/$R$3</f>
        <v>0</v>
      </c>
      <c r="V371" s="126" t="n">
        <f aca="false">M371/$R$3</f>
        <v>0</v>
      </c>
      <c r="W371" s="126" t="n">
        <f aca="false">N371/$R$3</f>
        <v>-37.239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K4" activeCellId="0" sqref="K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20" width="7.28"/>
    <col collapsed="false" customWidth="true" hidden="false" outlineLevel="0" max="2" min="2" style="121" width="4.14"/>
    <col collapsed="false" customWidth="true" hidden="false" outlineLevel="0" max="3" min="3" style="122" width="2.7"/>
    <col collapsed="false" customWidth="true" hidden="false" outlineLevel="0" max="7" min="4" style="121" width="14.99"/>
    <col collapsed="false" customWidth="true" hidden="false" outlineLevel="0" max="8" min="8" style="122" width="2.7"/>
    <col collapsed="false" customWidth="true" hidden="false" outlineLevel="0" max="9" min="9" style="123" width="13.14"/>
    <col collapsed="false" customWidth="true" hidden="false" outlineLevel="0" max="10" min="10" style="124" width="13.14"/>
    <col collapsed="false" customWidth="true" hidden="false" outlineLevel="0" max="11" min="11" style="124" width="10.99"/>
    <col collapsed="false" customWidth="true" hidden="false" outlineLevel="0" max="14" min="12" style="124" width="13.14"/>
    <col collapsed="false" customWidth="true" hidden="false" outlineLevel="0" max="15" min="15" style="125" width="2.7"/>
    <col collapsed="false" customWidth="true" hidden="false" outlineLevel="0" max="18" min="16" style="121" width="16.13"/>
    <col collapsed="false" customWidth="true" hidden="false" outlineLevel="0" max="23" min="19" style="126" width="12.7"/>
    <col collapsed="false" customWidth="false" hidden="false" outlineLevel="0" max="257" min="24" style="121" width="9.14"/>
  </cols>
  <sheetData>
    <row r="1" customFormat="false" ht="12.75" hidden="false" customHeight="false" outlineLevel="0" collapsed="false">
      <c r="A1" s="127" t="n">
        <v>1</v>
      </c>
      <c r="B1" s="121" t="n">
        <f aca="false">+A1+1</f>
        <v>2</v>
      </c>
      <c r="C1" s="122" t="n">
        <f aca="false">+B1+1</f>
        <v>3</v>
      </c>
      <c r="D1" s="121" t="n">
        <f aca="false">+C1+1</f>
        <v>4</v>
      </c>
      <c r="E1" s="121" t="n">
        <f aca="false">+D1+1</f>
        <v>5</v>
      </c>
      <c r="F1" s="121" t="n">
        <f aca="false">+E1+1</f>
        <v>6</v>
      </c>
      <c r="G1" s="121" t="n">
        <f aca="false">+F1+1</f>
        <v>7</v>
      </c>
      <c r="H1" s="122" t="n">
        <f aca="false">+G1+1</f>
        <v>8</v>
      </c>
      <c r="I1" s="123" t="n">
        <f aca="false">+H1+1</f>
        <v>9</v>
      </c>
      <c r="J1" s="124" t="n">
        <f aca="false">+I1+1</f>
        <v>10</v>
      </c>
      <c r="K1" s="124" t="n">
        <f aca="false">+J1+1</f>
        <v>11</v>
      </c>
      <c r="L1" s="124" t="n">
        <f aca="false">+K1+1</f>
        <v>12</v>
      </c>
      <c r="M1" s="124" t="n">
        <f aca="false">+L1+1</f>
        <v>13</v>
      </c>
      <c r="N1" s="124" t="n">
        <f aca="false">+M1+1</f>
        <v>14</v>
      </c>
      <c r="O1" s="125" t="n">
        <f aca="false">+N1+1</f>
        <v>15</v>
      </c>
      <c r="P1" s="121" t="n">
        <f aca="false">+O1+1</f>
        <v>16</v>
      </c>
      <c r="Q1" s="121" t="n">
        <f aca="false">+P1+1</f>
        <v>17</v>
      </c>
      <c r="R1" s="121" t="n">
        <f aca="false">+Q1+1</f>
        <v>18</v>
      </c>
      <c r="S1" s="121" t="n">
        <f aca="false">+R1+1</f>
        <v>19</v>
      </c>
      <c r="T1" s="121" t="n">
        <f aca="false">+S1+1</f>
        <v>20</v>
      </c>
      <c r="U1" s="121" t="n">
        <f aca="false">+T1+1</f>
        <v>21</v>
      </c>
      <c r="V1" s="121" t="n">
        <f aca="false">+U1+1</f>
        <v>22</v>
      </c>
      <c r="W1" s="121" t="n">
        <f aca="false">+V1+1</f>
        <v>23</v>
      </c>
    </row>
    <row r="2" customFormat="false" ht="12.75" hidden="false" customHeight="false" outlineLevel="0" collapsed="false">
      <c r="K2" s="128" t="n">
        <f aca="false">WORKDAY(K3,-4)</f>
        <v>37190</v>
      </c>
    </row>
    <row r="3" customFormat="false" ht="12.75" hidden="false" customHeight="false" outlineLevel="0" collapsed="false">
      <c r="K3" s="128" t="n">
        <f aca="false">Summary!B8</f>
        <v>37196</v>
      </c>
      <c r="L3" s="129" t="n">
        <f aca="false">SUM(L6:L371)</f>
        <v>0</v>
      </c>
      <c r="P3" s="124" t="n">
        <v>1000000</v>
      </c>
      <c r="Q3" s="124"/>
      <c r="R3" s="124" t="n">
        <v>1000</v>
      </c>
      <c r="S3" s="121"/>
      <c r="T3" s="130" t="n">
        <f aca="false">SUM(T6:T371)</f>
        <v>0</v>
      </c>
    </row>
    <row r="4" customFormat="false" ht="12.75" hidden="false" customHeight="false" outlineLevel="0" collapsed="false">
      <c r="D4" s="131" t="s">
        <v>84</v>
      </c>
      <c r="E4" s="131" t="s">
        <v>84</v>
      </c>
      <c r="F4" s="131" t="s">
        <v>58</v>
      </c>
      <c r="G4" s="131" t="s">
        <v>58</v>
      </c>
      <c r="I4" s="132" t="s">
        <v>58</v>
      </c>
      <c r="J4" s="132"/>
      <c r="K4" s="132"/>
      <c r="L4" s="132"/>
      <c r="M4" s="132"/>
      <c r="N4" s="132"/>
      <c r="O4" s="133"/>
      <c r="P4" s="134" t="s">
        <v>85</v>
      </c>
      <c r="Q4" s="134"/>
      <c r="R4" s="135" t="s">
        <v>60</v>
      </c>
      <c r="S4" s="135"/>
      <c r="T4" s="135"/>
      <c r="U4" s="135"/>
      <c r="V4" s="135"/>
      <c r="W4" s="135"/>
    </row>
    <row r="5" customFormat="false" ht="12.75" hidden="false" customHeight="false" outlineLevel="0" collapsed="false">
      <c r="A5" s="136" t="s">
        <v>61</v>
      </c>
      <c r="B5" s="131" t="s">
        <v>62</v>
      </c>
      <c r="C5" s="137"/>
      <c r="D5" s="138" t="s">
        <v>63</v>
      </c>
      <c r="E5" s="138" t="s">
        <v>64</v>
      </c>
      <c r="F5" s="138" t="s">
        <v>65</v>
      </c>
      <c r="G5" s="138" t="s">
        <v>66</v>
      </c>
      <c r="H5" s="139"/>
      <c r="I5" s="138" t="s">
        <v>67</v>
      </c>
      <c r="J5" s="140" t="s">
        <v>68</v>
      </c>
      <c r="K5" s="140" t="s">
        <v>69</v>
      </c>
      <c r="L5" s="140" t="s">
        <v>70</v>
      </c>
      <c r="M5" s="140" t="s">
        <v>71</v>
      </c>
      <c r="N5" s="140" t="s">
        <v>72</v>
      </c>
      <c r="O5" s="141"/>
      <c r="P5" s="138" t="s">
        <v>63</v>
      </c>
      <c r="Q5" s="138" t="s">
        <v>64</v>
      </c>
      <c r="R5" s="138" t="s">
        <v>65</v>
      </c>
      <c r="S5" s="142" t="s">
        <v>68</v>
      </c>
      <c r="T5" s="140" t="s">
        <v>70</v>
      </c>
      <c r="U5" s="142" t="s">
        <v>66</v>
      </c>
      <c r="V5" s="142" t="s">
        <v>71</v>
      </c>
      <c r="W5" s="142" t="s">
        <v>72</v>
      </c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1"/>
      <c r="AW5" s="131"/>
      <c r="AX5" s="131"/>
      <c r="AY5" s="131"/>
      <c r="AZ5" s="131"/>
      <c r="BA5" s="131"/>
      <c r="BB5" s="131"/>
      <c r="BC5" s="131"/>
      <c r="BD5" s="131"/>
      <c r="BE5" s="131"/>
      <c r="BF5" s="131"/>
      <c r="BG5" s="131"/>
      <c r="BH5" s="131"/>
      <c r="BI5" s="131"/>
      <c r="BJ5" s="131"/>
      <c r="BK5" s="131"/>
      <c r="BL5" s="131"/>
      <c r="BM5" s="131"/>
      <c r="BN5" s="131"/>
      <c r="BO5" s="131"/>
      <c r="BP5" s="131"/>
      <c r="BQ5" s="131"/>
      <c r="BR5" s="131"/>
      <c r="BS5" s="131"/>
      <c r="BT5" s="131"/>
      <c r="BU5" s="131"/>
      <c r="BV5" s="131"/>
      <c r="BW5" s="131"/>
      <c r="BX5" s="131"/>
      <c r="BY5" s="131"/>
      <c r="BZ5" s="131"/>
      <c r="CA5" s="131"/>
      <c r="CB5" s="131"/>
      <c r="CC5" s="131"/>
      <c r="CD5" s="131"/>
      <c r="CE5" s="131"/>
      <c r="CF5" s="131"/>
      <c r="CG5" s="131"/>
      <c r="CH5" s="131"/>
      <c r="CI5" s="131"/>
      <c r="CJ5" s="131"/>
      <c r="CK5" s="131"/>
      <c r="CL5" s="131"/>
      <c r="CM5" s="131"/>
      <c r="CN5" s="131"/>
      <c r="CO5" s="131"/>
      <c r="CP5" s="131"/>
      <c r="CQ5" s="131"/>
      <c r="CR5" s="131"/>
      <c r="CS5" s="131"/>
      <c r="CT5" s="131"/>
      <c r="CU5" s="131"/>
      <c r="CV5" s="131"/>
      <c r="CW5" s="131"/>
      <c r="CX5" s="131"/>
      <c r="CY5" s="131"/>
      <c r="CZ5" s="131"/>
      <c r="DA5" s="131"/>
      <c r="DB5" s="131"/>
      <c r="DC5" s="131"/>
      <c r="DD5" s="131"/>
      <c r="DE5" s="131"/>
      <c r="DF5" s="131"/>
      <c r="DG5" s="131"/>
      <c r="DH5" s="131"/>
      <c r="DI5" s="131"/>
      <c r="DJ5" s="131"/>
      <c r="DK5" s="131"/>
      <c r="DL5" s="131"/>
      <c r="DM5" s="131"/>
      <c r="DN5" s="131"/>
      <c r="DO5" s="131"/>
      <c r="DP5" s="131"/>
      <c r="DQ5" s="131"/>
      <c r="DR5" s="131"/>
      <c r="DS5" s="131"/>
      <c r="DT5" s="131"/>
      <c r="DU5" s="131"/>
      <c r="DV5" s="131"/>
      <c r="DW5" s="131"/>
      <c r="DX5" s="131"/>
      <c r="DY5" s="131"/>
      <c r="DZ5" s="131"/>
      <c r="EA5" s="131"/>
      <c r="EB5" s="131"/>
      <c r="EC5" s="131"/>
      <c r="ED5" s="131"/>
      <c r="EE5" s="131"/>
      <c r="EF5" s="131"/>
      <c r="EG5" s="131"/>
      <c r="EH5" s="131"/>
      <c r="EI5" s="131"/>
      <c r="EJ5" s="131"/>
      <c r="EK5" s="131"/>
      <c r="EL5" s="131"/>
      <c r="EM5" s="131"/>
      <c r="EN5" s="131"/>
      <c r="EO5" s="131"/>
      <c r="EP5" s="131"/>
      <c r="EQ5" s="131"/>
      <c r="ER5" s="131"/>
      <c r="ES5" s="131"/>
      <c r="ET5" s="131"/>
      <c r="EU5" s="131"/>
      <c r="EV5" s="131"/>
      <c r="EW5" s="131"/>
      <c r="EX5" s="131"/>
      <c r="EY5" s="131"/>
      <c r="EZ5" s="131"/>
      <c r="FA5" s="131"/>
      <c r="FB5" s="131"/>
      <c r="FC5" s="131"/>
      <c r="FD5" s="131"/>
      <c r="FE5" s="131"/>
      <c r="FF5" s="131"/>
      <c r="FG5" s="131"/>
      <c r="FH5" s="131"/>
      <c r="FI5" s="131"/>
      <c r="FJ5" s="131"/>
      <c r="FK5" s="131"/>
      <c r="FL5" s="131"/>
      <c r="FM5" s="131"/>
      <c r="FN5" s="131"/>
      <c r="FO5" s="131"/>
      <c r="FP5" s="131"/>
      <c r="FQ5" s="131"/>
      <c r="FR5" s="131"/>
      <c r="FS5" s="131"/>
      <c r="FT5" s="131"/>
      <c r="FU5" s="131"/>
      <c r="FV5" s="131"/>
      <c r="FW5" s="131"/>
      <c r="FX5" s="131"/>
      <c r="FY5" s="131"/>
      <c r="FZ5" s="131"/>
      <c r="GA5" s="131"/>
      <c r="GB5" s="131"/>
      <c r="GC5" s="131"/>
      <c r="GD5" s="131"/>
      <c r="GE5" s="131"/>
      <c r="GF5" s="131"/>
      <c r="GG5" s="131"/>
      <c r="GH5" s="131"/>
      <c r="GI5" s="131"/>
      <c r="GJ5" s="131"/>
      <c r="GK5" s="131"/>
      <c r="GL5" s="131"/>
      <c r="GM5" s="131"/>
      <c r="GN5" s="131"/>
      <c r="GO5" s="131"/>
      <c r="GP5" s="131"/>
      <c r="GQ5" s="131"/>
      <c r="GR5" s="131"/>
      <c r="GS5" s="131"/>
      <c r="GT5" s="131"/>
      <c r="GU5" s="131"/>
      <c r="GV5" s="131"/>
      <c r="GW5" s="131"/>
      <c r="GX5" s="131"/>
      <c r="GY5" s="131"/>
      <c r="GZ5" s="131"/>
      <c r="HA5" s="131"/>
      <c r="HB5" s="131"/>
      <c r="HC5" s="131"/>
      <c r="HD5" s="131"/>
      <c r="HE5" s="131"/>
      <c r="HF5" s="131"/>
      <c r="HG5" s="131"/>
      <c r="HH5" s="131"/>
      <c r="HI5" s="131"/>
      <c r="HJ5" s="131"/>
      <c r="HK5" s="131"/>
      <c r="HL5" s="131"/>
      <c r="HM5" s="131"/>
      <c r="HN5" s="131"/>
      <c r="HO5" s="131"/>
      <c r="HP5" s="131"/>
      <c r="HQ5" s="131"/>
      <c r="HR5" s="131"/>
      <c r="HS5" s="131"/>
      <c r="HT5" s="131"/>
      <c r="HU5" s="131"/>
      <c r="HV5" s="131"/>
      <c r="HW5" s="131"/>
      <c r="HX5" s="131"/>
      <c r="HY5" s="131"/>
      <c r="HZ5" s="131"/>
      <c r="IA5" s="131"/>
      <c r="IB5" s="131"/>
      <c r="IC5" s="131"/>
      <c r="ID5" s="131"/>
      <c r="IE5" s="131"/>
      <c r="IF5" s="131"/>
      <c r="IG5" s="131"/>
      <c r="IH5" s="131"/>
      <c r="II5" s="131"/>
      <c r="IJ5" s="131"/>
      <c r="IK5" s="131"/>
      <c r="IL5" s="131"/>
      <c r="IM5" s="131"/>
      <c r="IN5" s="131"/>
      <c r="IO5" s="131"/>
      <c r="IP5" s="131"/>
      <c r="IQ5" s="131"/>
      <c r="IR5" s="131"/>
      <c r="IS5" s="131"/>
      <c r="IT5" s="131"/>
      <c r="IU5" s="131"/>
      <c r="IV5" s="131"/>
      <c r="IW5" s="131"/>
    </row>
    <row r="6" customFormat="false" ht="12.75" hidden="true" customHeight="false" outlineLevel="0" collapsed="false">
      <c r="A6" s="120" t="n">
        <v>36892</v>
      </c>
      <c r="B6" s="131" t="str">
        <f aca="false">INDEX('[4]Master Data'!$A$2:$B$8,MATCH(WEEKDAY('SC Gas MTM'!A6,3),'[4]Master Data'!$A$2:$A$8,0),2)</f>
        <v>M</v>
      </c>
      <c r="D6" s="124" t="n">
        <v>0</v>
      </c>
      <c r="E6" s="124" t="n">
        <v>0</v>
      </c>
      <c r="F6" s="124" t="n">
        <v>0</v>
      </c>
      <c r="G6" s="124" t="n">
        <v>0</v>
      </c>
      <c r="I6" s="124" t="n">
        <f aca="false">G6</f>
        <v>0</v>
      </c>
      <c r="J6" s="124" t="n">
        <f aca="false">I6</f>
        <v>0</v>
      </c>
      <c r="K6" s="124" t="n">
        <f aca="false">IF(WEEKDAY(A6,3)&gt;4,0,(IF(A6&lt;K$2,0,IF(A6&lt;=K$3,1,0))))</f>
        <v>0</v>
      </c>
      <c r="L6" s="124" t="n">
        <f aca="false">J6*K6</f>
        <v>0</v>
      </c>
      <c r="M6" s="124" t="n">
        <f aca="false">SUM(J$6:J6)</f>
        <v>0</v>
      </c>
      <c r="N6" s="124" t="n">
        <f aca="false">SUM(J$6:J6)</f>
        <v>0</v>
      </c>
      <c r="P6" s="124" t="n">
        <f aca="false">D6/P$3</f>
        <v>0</v>
      </c>
      <c r="Q6" s="124" t="n">
        <f aca="false">E6/P$3</f>
        <v>0</v>
      </c>
      <c r="R6" s="124" t="n">
        <f aca="false">F6/R$3</f>
        <v>0</v>
      </c>
      <c r="S6" s="126" t="n">
        <f aca="false">J6/$R$3</f>
        <v>0</v>
      </c>
      <c r="T6" s="126" t="n">
        <f aca="false">L6/$R$3</f>
        <v>0</v>
      </c>
      <c r="U6" s="126" t="n">
        <f aca="false">I6/$R$3</f>
        <v>0</v>
      </c>
      <c r="V6" s="126" t="n">
        <f aca="false">M6/$R$3</f>
        <v>0</v>
      </c>
      <c r="W6" s="126" t="n">
        <f aca="false">N6/$R$3</f>
        <v>0</v>
      </c>
    </row>
    <row r="7" customFormat="false" ht="12.75" hidden="true" customHeight="false" outlineLevel="0" collapsed="false">
      <c r="A7" s="120" t="n">
        <f aca="false">A6+1</f>
        <v>36893</v>
      </c>
      <c r="B7" s="131" t="str">
        <f aca="false">INDEX('[4]Master Data'!$A$2:$B$8,MATCH(WEEKDAY('SC Gas MTM'!A7,3),'[4]Master Data'!$A$2:$A$8,0),2)</f>
        <v>T</v>
      </c>
      <c r="D7" s="124" t="n">
        <v>-15482286.1813372</v>
      </c>
      <c r="E7" s="124" t="n">
        <v>0</v>
      </c>
      <c r="F7" s="124" t="n">
        <v>0</v>
      </c>
      <c r="G7" s="124" t="n">
        <v>224756</v>
      </c>
      <c r="I7" s="124" t="n">
        <f aca="false">IF(MONTH($A7)=MONTH($A6),IF(G7=0,I6,G7),0)</f>
        <v>224756</v>
      </c>
      <c r="J7" s="124" t="n">
        <f aca="false">IF(MONTH($A7)=MONTH($A6),SUM(I7-I6),I7)</f>
        <v>224756</v>
      </c>
      <c r="K7" s="124" t="n">
        <f aca="false">IF(WEEKDAY(A7,3)&gt;4,0,(IF(A7&lt;K$2,0,IF(A7&lt;=K$3,1,0))))</f>
        <v>0</v>
      </c>
      <c r="L7" s="124" t="n">
        <f aca="false">J7*K7</f>
        <v>0</v>
      </c>
      <c r="M7" s="124" t="n">
        <f aca="false">SUM(J$6:J7)</f>
        <v>224756</v>
      </c>
      <c r="N7" s="124" t="n">
        <f aca="false">SUM(J$6:J7)</f>
        <v>224756</v>
      </c>
      <c r="P7" s="124" t="n">
        <f aca="false">D7/P$3</f>
        <v>-15.4822861813372</v>
      </c>
      <c r="Q7" s="124" t="n">
        <f aca="false">E7/P$3</f>
        <v>0</v>
      </c>
      <c r="R7" s="124" t="n">
        <f aca="false">F7/R$3</f>
        <v>0</v>
      </c>
      <c r="S7" s="126" t="n">
        <f aca="false">J7/$R$3</f>
        <v>224.756</v>
      </c>
      <c r="T7" s="126" t="n">
        <f aca="false">L7/$R$3</f>
        <v>0</v>
      </c>
      <c r="U7" s="126" t="n">
        <f aca="false">I7/$R$3</f>
        <v>224.756</v>
      </c>
      <c r="V7" s="126" t="n">
        <f aca="false">M7/$R$3</f>
        <v>224.756</v>
      </c>
      <c r="W7" s="126" t="n">
        <f aca="false">N7/$R$3</f>
        <v>224.756</v>
      </c>
    </row>
    <row r="8" customFormat="false" ht="12.75" hidden="true" customHeight="false" outlineLevel="0" collapsed="false">
      <c r="A8" s="120" t="n">
        <f aca="false">A7+1</f>
        <v>36894</v>
      </c>
      <c r="B8" s="131" t="str">
        <f aca="false">INDEX('[4]Master Data'!$A$2:$B$8,MATCH(WEEKDAY('SC Gas MTM'!A8,3),'[4]Master Data'!$A$2:$A$8,0),2)</f>
        <v>W</v>
      </c>
      <c r="D8" s="124" t="n">
        <v>-15284567.4505878</v>
      </c>
      <c r="E8" s="124" t="n">
        <v>0</v>
      </c>
      <c r="F8" s="124" t="n">
        <v>0</v>
      </c>
      <c r="G8" s="124" t="n">
        <v>101202</v>
      </c>
      <c r="I8" s="124" t="n">
        <f aca="false">IF(MONTH($A8)=MONTH($A7),IF(G8=0,I7,G8),0)</f>
        <v>101202</v>
      </c>
      <c r="J8" s="124" t="n">
        <f aca="false">IF(MONTH($A8)=MONTH($A7),SUM(I8-I7),I8)</f>
        <v>-123554</v>
      </c>
      <c r="K8" s="124" t="n">
        <f aca="false">IF(WEEKDAY(A8,3)&gt;4,0,(IF(A8&lt;K$2,0,IF(A8&lt;=K$3,1,0))))</f>
        <v>0</v>
      </c>
      <c r="L8" s="124" t="n">
        <f aca="false">J8*K8</f>
        <v>-0</v>
      </c>
      <c r="M8" s="124" t="n">
        <f aca="false">SUM(J$6:J8)</f>
        <v>101202</v>
      </c>
      <c r="N8" s="124" t="n">
        <f aca="false">SUM(J$6:J8)</f>
        <v>101202</v>
      </c>
      <c r="P8" s="124" t="n">
        <f aca="false">D8/P$3</f>
        <v>-15.2845674505878</v>
      </c>
      <c r="Q8" s="124" t="n">
        <f aca="false">E8/P$3</f>
        <v>0</v>
      </c>
      <c r="R8" s="124" t="n">
        <f aca="false">F8/R$3</f>
        <v>0</v>
      </c>
      <c r="S8" s="126" t="n">
        <f aca="false">J8/$R$3</f>
        <v>-123.554</v>
      </c>
      <c r="T8" s="126" t="n">
        <f aca="false">L8/$R$3</f>
        <v>-0</v>
      </c>
      <c r="U8" s="126" t="n">
        <f aca="false">I8/$R$3</f>
        <v>101.202</v>
      </c>
      <c r="V8" s="126" t="n">
        <f aca="false">M8/$R$3</f>
        <v>101.202</v>
      </c>
      <c r="W8" s="126" t="n">
        <f aca="false">N8/$R$3</f>
        <v>101.202</v>
      </c>
    </row>
    <row r="9" customFormat="false" ht="12.75" hidden="true" customHeight="false" outlineLevel="0" collapsed="false">
      <c r="A9" s="120" t="n">
        <f aca="false">A8+1</f>
        <v>36895</v>
      </c>
      <c r="B9" s="131" t="str">
        <f aca="false">INDEX('[4]Master Data'!$A$2:$B$8,MATCH(WEEKDAY('SC Gas MTM'!A9,3),'[4]Master Data'!$A$2:$A$8,0),2)</f>
        <v>Th</v>
      </c>
      <c r="D9" s="124" t="n">
        <v>-15487580.3222384</v>
      </c>
      <c r="E9" s="124" t="n">
        <v>0</v>
      </c>
      <c r="F9" s="124" t="n">
        <v>0</v>
      </c>
      <c r="G9" s="124" t="n">
        <v>236694</v>
      </c>
      <c r="I9" s="124" t="n">
        <f aca="false">IF(MONTH($A9)=MONTH($A8),IF(G9=0,I8,G9),0)</f>
        <v>236694</v>
      </c>
      <c r="J9" s="124" t="n">
        <f aca="false">IF(MONTH($A9)=MONTH($A8),SUM(I9-I8),I9)</f>
        <v>135492</v>
      </c>
      <c r="K9" s="124" t="n">
        <f aca="false">IF(WEEKDAY(A9,3)&gt;4,0,(IF(A9&lt;K$2,0,IF(A9&lt;=K$3,1,0))))</f>
        <v>0</v>
      </c>
      <c r="L9" s="124" t="n">
        <f aca="false">J9*K9</f>
        <v>0</v>
      </c>
      <c r="M9" s="124" t="n">
        <f aca="false">SUM(J$6:J9)</f>
        <v>236694</v>
      </c>
      <c r="N9" s="124" t="n">
        <f aca="false">SUM(J$6:J9)</f>
        <v>236694</v>
      </c>
      <c r="P9" s="124" t="n">
        <f aca="false">D9/P$3</f>
        <v>-15.4875803222384</v>
      </c>
      <c r="Q9" s="124" t="n">
        <f aca="false">E9/P$3</f>
        <v>0</v>
      </c>
      <c r="R9" s="124" t="n">
        <f aca="false">F9/R$3</f>
        <v>0</v>
      </c>
      <c r="S9" s="126" t="n">
        <f aca="false">J9/$R$3</f>
        <v>135.492</v>
      </c>
      <c r="T9" s="126" t="n">
        <f aca="false">L9/$R$3</f>
        <v>0</v>
      </c>
      <c r="U9" s="126" t="n">
        <f aca="false">I9/$R$3</f>
        <v>236.694</v>
      </c>
      <c r="V9" s="126" t="n">
        <f aca="false">M9/$R$3</f>
        <v>236.694</v>
      </c>
      <c r="W9" s="126" t="n">
        <f aca="false">N9/$R$3</f>
        <v>236.694</v>
      </c>
    </row>
    <row r="10" customFormat="false" ht="12.75" hidden="true" customHeight="false" outlineLevel="0" collapsed="false">
      <c r="A10" s="120" t="n">
        <f aca="false">A9+1</f>
        <v>36896</v>
      </c>
      <c r="B10" s="131" t="str">
        <f aca="false">INDEX('[4]Master Data'!$A$2:$B$8,MATCH(WEEKDAY('SC Gas MTM'!A10,3),'[4]Master Data'!$A$2:$A$8,0),2)</f>
        <v>F</v>
      </c>
      <c r="D10" s="124" t="n">
        <v>-16024089.8985913</v>
      </c>
      <c r="E10" s="124" t="n">
        <v>0</v>
      </c>
      <c r="F10" s="124" t="n">
        <v>0</v>
      </c>
      <c r="G10" s="124" t="n">
        <v>527311</v>
      </c>
      <c r="I10" s="124" t="n">
        <f aca="false">IF(MONTH($A10)=MONTH($A9),IF(G10=0,I9,G10),0)</f>
        <v>527311</v>
      </c>
      <c r="J10" s="124" t="n">
        <f aca="false">IF(MONTH($A10)=MONTH($A9),SUM(I10-I9),I10)</f>
        <v>290617</v>
      </c>
      <c r="K10" s="124" t="n">
        <f aca="false">IF(WEEKDAY(A10,3)&gt;4,0,(IF(A10&lt;K$2,0,IF(A10&lt;=K$3,1,0))))</f>
        <v>0</v>
      </c>
      <c r="L10" s="124" t="n">
        <f aca="false">J10*K10</f>
        <v>0</v>
      </c>
      <c r="M10" s="124" t="n">
        <f aca="false">SUM(J$6:J10)</f>
        <v>527311</v>
      </c>
      <c r="N10" s="124" t="n">
        <f aca="false">SUM(J$6:J10)</f>
        <v>527311</v>
      </c>
      <c r="P10" s="124" t="n">
        <f aca="false">D10/P$3</f>
        <v>-16.0240898985913</v>
      </c>
      <c r="Q10" s="124" t="n">
        <f aca="false">E10/P$3</f>
        <v>0</v>
      </c>
      <c r="R10" s="124" t="n">
        <f aca="false">F10/R$3</f>
        <v>0</v>
      </c>
      <c r="S10" s="126" t="n">
        <f aca="false">J10/$R$3</f>
        <v>290.617</v>
      </c>
      <c r="T10" s="126" t="n">
        <f aca="false">L10/$R$3</f>
        <v>0</v>
      </c>
      <c r="U10" s="126" t="n">
        <f aca="false">I10/$R$3</f>
        <v>527.311</v>
      </c>
      <c r="V10" s="126" t="n">
        <f aca="false">M10/$R$3</f>
        <v>527.311</v>
      </c>
      <c r="W10" s="126" t="n">
        <f aca="false">N10/$R$3</f>
        <v>527.311</v>
      </c>
    </row>
    <row r="11" customFormat="false" ht="12.75" hidden="true" customHeight="false" outlineLevel="0" collapsed="false">
      <c r="A11" s="120" t="n">
        <f aca="false">A10+1</f>
        <v>36897</v>
      </c>
      <c r="B11" s="131" t="str">
        <f aca="false">INDEX('[4]Master Data'!$A$2:$B$8,MATCH(WEEKDAY('SC Gas MTM'!A11,3),'[4]Master Data'!$A$2:$A$8,0),2)</f>
        <v>Sa</v>
      </c>
      <c r="D11" s="124" t="n">
        <v>0</v>
      </c>
      <c r="E11" s="124" t="n">
        <v>0</v>
      </c>
      <c r="F11" s="124" t="n">
        <v>0</v>
      </c>
      <c r="G11" s="124" t="n">
        <v>0</v>
      </c>
      <c r="I11" s="124" t="n">
        <f aca="false">IF(MONTH($A11)=MONTH($A10),IF(G11=0,I10,G11),0)</f>
        <v>527311</v>
      </c>
      <c r="J11" s="124" t="n">
        <f aca="false">IF(MONTH($A11)=MONTH($A10),SUM(I11-I10),I11)</f>
        <v>0</v>
      </c>
      <c r="K11" s="124" t="n">
        <f aca="false">IF(WEEKDAY(A11,3)&gt;4,0,(IF(A11&lt;K$2,0,IF(A11&lt;=K$3,1,0))))</f>
        <v>0</v>
      </c>
      <c r="L11" s="124" t="n">
        <f aca="false">J11*K11</f>
        <v>0</v>
      </c>
      <c r="M11" s="124" t="n">
        <f aca="false">SUM(J$6:J11)</f>
        <v>527311</v>
      </c>
      <c r="N11" s="124" t="n">
        <f aca="false">SUM(J$6:J11)</f>
        <v>527311</v>
      </c>
      <c r="P11" s="124" t="n">
        <f aca="false">D11/P$3</f>
        <v>0</v>
      </c>
      <c r="Q11" s="124" t="n">
        <f aca="false">E11/P$3</f>
        <v>0</v>
      </c>
      <c r="R11" s="124" t="n">
        <f aca="false">F11/R$3</f>
        <v>0</v>
      </c>
      <c r="S11" s="126" t="n">
        <f aca="false">J11/$R$3</f>
        <v>0</v>
      </c>
      <c r="T11" s="126" t="n">
        <f aca="false">L11/$R$3</f>
        <v>0</v>
      </c>
      <c r="U11" s="126" t="n">
        <f aca="false">I11/$R$3</f>
        <v>527.311</v>
      </c>
      <c r="V11" s="126" t="n">
        <f aca="false">M11/$R$3</f>
        <v>527.311</v>
      </c>
      <c r="W11" s="126" t="n">
        <f aca="false">N11/$R$3</f>
        <v>527.311</v>
      </c>
    </row>
    <row r="12" customFormat="false" ht="12.75" hidden="true" customHeight="false" outlineLevel="0" collapsed="false">
      <c r="A12" s="120" t="n">
        <f aca="false">A11+1</f>
        <v>36898</v>
      </c>
      <c r="B12" s="131" t="str">
        <f aca="false">INDEX('[4]Master Data'!$A$2:$B$8,MATCH(WEEKDAY('SC Gas MTM'!A12,3),'[4]Master Data'!$A$2:$A$8,0),2)</f>
        <v>Su</v>
      </c>
      <c r="D12" s="124" t="n">
        <v>0</v>
      </c>
      <c r="E12" s="124" t="n">
        <v>0</v>
      </c>
      <c r="F12" s="124" t="n">
        <v>0</v>
      </c>
      <c r="G12" s="124" t="n">
        <v>0</v>
      </c>
      <c r="I12" s="124" t="n">
        <f aca="false">IF(MONTH($A12)=MONTH($A11),IF(G12=0,I11,G12),0)</f>
        <v>527311</v>
      </c>
      <c r="J12" s="124" t="n">
        <f aca="false">IF(MONTH($A12)=MONTH($A11),SUM(I12-I11),I12)</f>
        <v>0</v>
      </c>
      <c r="K12" s="124" t="n">
        <f aca="false">IF(WEEKDAY(A12,3)&gt;4,0,(IF(A12&lt;K$2,0,IF(A12&lt;=K$3,1,0))))</f>
        <v>0</v>
      </c>
      <c r="L12" s="124" t="n">
        <f aca="false">J12*K12</f>
        <v>0</v>
      </c>
      <c r="M12" s="124" t="n">
        <f aca="false">SUM(J$6:J12)</f>
        <v>527311</v>
      </c>
      <c r="N12" s="124" t="n">
        <f aca="false">SUM(J$6:J12)</f>
        <v>527311</v>
      </c>
      <c r="P12" s="124" t="n">
        <f aca="false">D12/P$3</f>
        <v>0</v>
      </c>
      <c r="Q12" s="124" t="n">
        <f aca="false">E12/P$3</f>
        <v>0</v>
      </c>
      <c r="R12" s="124" t="n">
        <f aca="false">F12/R$3</f>
        <v>0</v>
      </c>
      <c r="S12" s="126" t="n">
        <f aca="false">J12/$R$3</f>
        <v>0</v>
      </c>
      <c r="T12" s="126" t="n">
        <f aca="false">L12/$R$3</f>
        <v>0</v>
      </c>
      <c r="U12" s="126" t="n">
        <f aca="false">I12/$R$3</f>
        <v>527.311</v>
      </c>
      <c r="V12" s="126" t="n">
        <f aca="false">M12/$R$3</f>
        <v>527.311</v>
      </c>
      <c r="W12" s="126" t="n">
        <f aca="false">N12/$R$3</f>
        <v>527.311</v>
      </c>
    </row>
    <row r="13" customFormat="false" ht="12.75" hidden="true" customHeight="false" outlineLevel="0" collapsed="false">
      <c r="A13" s="120" t="n">
        <f aca="false">A12+1</f>
        <v>36899</v>
      </c>
      <c r="B13" s="131" t="str">
        <f aca="false">INDEX('[4]Master Data'!$A$2:$B$8,MATCH(WEEKDAY('SC Gas MTM'!A13,3),'[4]Master Data'!$A$2:$A$8,0),2)</f>
        <v>M</v>
      </c>
      <c r="D13" s="124" t="n">
        <v>-16008378.1899807</v>
      </c>
      <c r="E13" s="124" t="n">
        <v>0</v>
      </c>
      <c r="F13" s="124" t="n">
        <v>0</v>
      </c>
      <c r="G13" s="124" t="n">
        <v>459862</v>
      </c>
      <c r="I13" s="124" t="n">
        <f aca="false">IF(MONTH($A13)=MONTH($A12),IF(G13=0,I12,G13),0)</f>
        <v>459862</v>
      </c>
      <c r="J13" s="124" t="n">
        <f aca="false">IF(MONTH($A13)=MONTH($A12),SUM(I13-I12),I13)</f>
        <v>-67449</v>
      </c>
      <c r="K13" s="124" t="n">
        <f aca="false">IF(WEEKDAY(A13,3)&gt;4,0,(IF(A13&lt;K$2,0,IF(A13&lt;=K$3,1,0))))</f>
        <v>0</v>
      </c>
      <c r="L13" s="124" t="n">
        <f aca="false">J13*K13</f>
        <v>-0</v>
      </c>
      <c r="M13" s="124" t="n">
        <f aca="false">SUM(J$6:J13)</f>
        <v>459862</v>
      </c>
      <c r="N13" s="124" t="n">
        <f aca="false">SUM(J$6:J13)</f>
        <v>459862</v>
      </c>
      <c r="P13" s="124" t="n">
        <f aca="false">D13/P$3</f>
        <v>-16.0083781899807</v>
      </c>
      <c r="Q13" s="124" t="n">
        <f aca="false">E13/P$3</f>
        <v>0</v>
      </c>
      <c r="R13" s="124" t="n">
        <f aca="false">F13/R$3</f>
        <v>0</v>
      </c>
      <c r="S13" s="126" t="n">
        <f aca="false">J13/$R$3</f>
        <v>-67.449</v>
      </c>
      <c r="T13" s="126" t="n">
        <f aca="false">L13/$R$3</f>
        <v>-0</v>
      </c>
      <c r="U13" s="126" t="n">
        <f aca="false">I13/$R$3</f>
        <v>459.862</v>
      </c>
      <c r="V13" s="126" t="n">
        <f aca="false">M13/$R$3</f>
        <v>459.862</v>
      </c>
      <c r="W13" s="126" t="n">
        <f aca="false">N13/$R$3</f>
        <v>459.862</v>
      </c>
    </row>
    <row r="14" customFormat="false" ht="12.75" hidden="true" customHeight="false" outlineLevel="0" collapsed="false">
      <c r="A14" s="120" t="n">
        <f aca="false">A13+1</f>
        <v>36900</v>
      </c>
      <c r="B14" s="131" t="str">
        <f aca="false">INDEX('[4]Master Data'!$A$2:$B$8,MATCH(WEEKDAY('SC Gas MTM'!A14,3),'[4]Master Data'!$A$2:$A$8,0),2)</f>
        <v>T</v>
      </c>
      <c r="D14" s="124" t="n">
        <v>-15987977.8771223</v>
      </c>
      <c r="E14" s="124" t="n">
        <v>0</v>
      </c>
      <c r="F14" s="124" t="n">
        <v>0</v>
      </c>
      <c r="G14" s="124" t="n">
        <v>482163</v>
      </c>
      <c r="I14" s="124" t="n">
        <f aca="false">IF(MONTH($A14)=MONTH($A13),IF(G14=0,I13,G14),0)</f>
        <v>482163</v>
      </c>
      <c r="J14" s="124" t="n">
        <f aca="false">IF(MONTH($A14)=MONTH($A13),SUM(I14-I13),I14)</f>
        <v>22301</v>
      </c>
      <c r="K14" s="124" t="n">
        <f aca="false">IF(WEEKDAY(A14,3)&gt;4,0,(IF(A14&lt;K$2,0,IF(A14&lt;=K$3,1,0))))</f>
        <v>0</v>
      </c>
      <c r="L14" s="124" t="n">
        <f aca="false">J14*K14</f>
        <v>0</v>
      </c>
      <c r="M14" s="124" t="n">
        <f aca="false">SUM(J$6:J14)</f>
        <v>482163</v>
      </c>
      <c r="N14" s="124" t="n">
        <f aca="false">SUM(J$6:J14)</f>
        <v>482163</v>
      </c>
      <c r="P14" s="124" t="n">
        <f aca="false">D14/P$3</f>
        <v>-15.9879778771223</v>
      </c>
      <c r="Q14" s="124" t="n">
        <f aca="false">E14/P$3</f>
        <v>0</v>
      </c>
      <c r="R14" s="124" t="n">
        <f aca="false">F14/R$3</f>
        <v>0</v>
      </c>
      <c r="S14" s="126" t="n">
        <f aca="false">J14/$R$3</f>
        <v>22.301</v>
      </c>
      <c r="T14" s="126" t="n">
        <f aca="false">L14/$R$3</f>
        <v>0</v>
      </c>
      <c r="U14" s="126" t="n">
        <f aca="false">I14/$R$3</f>
        <v>482.163</v>
      </c>
      <c r="V14" s="126" t="n">
        <f aca="false">M14/$R$3</f>
        <v>482.163</v>
      </c>
      <c r="W14" s="126" t="n">
        <f aca="false">N14/$R$3</f>
        <v>482.163</v>
      </c>
    </row>
    <row r="15" customFormat="false" ht="12.75" hidden="true" customHeight="false" outlineLevel="0" collapsed="false">
      <c r="A15" s="120" t="n">
        <f aca="false">A14+1</f>
        <v>36901</v>
      </c>
      <c r="B15" s="131" t="str">
        <f aca="false">INDEX('[4]Master Data'!$A$2:$B$8,MATCH(WEEKDAY('SC Gas MTM'!A15,3),'[4]Master Data'!$A$2:$A$8,0),2)</f>
        <v>W</v>
      </c>
      <c r="D15" s="124" t="n">
        <v>-15911221.2023323</v>
      </c>
      <c r="E15" s="124" t="n">
        <v>0</v>
      </c>
      <c r="F15" s="124" t="n">
        <v>0</v>
      </c>
      <c r="G15" s="124" t="n">
        <v>485596</v>
      </c>
      <c r="I15" s="124" t="n">
        <f aca="false">IF(MONTH($A15)=MONTH($A14),IF(G15=0,I14,G15),0)</f>
        <v>485596</v>
      </c>
      <c r="J15" s="124" t="n">
        <f aca="false">IF(MONTH($A15)=MONTH($A14),SUM(I15-I14),I15)</f>
        <v>3433</v>
      </c>
      <c r="K15" s="124" t="n">
        <f aca="false">IF(WEEKDAY(A15,3)&gt;4,0,(IF(A15&lt;K$2,0,IF(A15&lt;=K$3,1,0))))</f>
        <v>0</v>
      </c>
      <c r="L15" s="124" t="n">
        <f aca="false">J15*K15</f>
        <v>0</v>
      </c>
      <c r="M15" s="124" t="n">
        <f aca="false">SUM(J$6:J15)</f>
        <v>485596</v>
      </c>
      <c r="N15" s="124" t="n">
        <f aca="false">SUM(J$6:J15)</f>
        <v>485596</v>
      </c>
      <c r="P15" s="124" t="n">
        <f aca="false">D15/P$3</f>
        <v>-15.9112212023323</v>
      </c>
      <c r="Q15" s="124" t="n">
        <f aca="false">E15/P$3</f>
        <v>0</v>
      </c>
      <c r="R15" s="124" t="n">
        <f aca="false">F15/R$3</f>
        <v>0</v>
      </c>
      <c r="S15" s="126" t="n">
        <f aca="false">J15/$R$3</f>
        <v>3.433</v>
      </c>
      <c r="T15" s="126" t="n">
        <f aca="false">L15/$R$3</f>
        <v>0</v>
      </c>
      <c r="U15" s="126" t="n">
        <f aca="false">I15/$R$3</f>
        <v>485.596</v>
      </c>
      <c r="V15" s="126" t="n">
        <f aca="false">M15/$R$3</f>
        <v>485.596</v>
      </c>
      <c r="W15" s="126" t="n">
        <f aca="false">N15/$R$3</f>
        <v>485.596</v>
      </c>
    </row>
    <row r="16" customFormat="false" ht="12.75" hidden="true" customHeight="false" outlineLevel="0" collapsed="false">
      <c r="A16" s="120" t="n">
        <f aca="false">A15+1</f>
        <v>36902</v>
      </c>
      <c r="B16" s="131" t="str">
        <f aca="false">INDEX('[4]Master Data'!$A$2:$B$8,MATCH(WEEKDAY('SC Gas MTM'!A16,3),'[4]Master Data'!$A$2:$A$8,0),2)</f>
        <v>Th</v>
      </c>
      <c r="D16" s="124" t="n">
        <v>-15910852.1472323</v>
      </c>
      <c r="E16" s="124" t="n">
        <v>0</v>
      </c>
      <c r="F16" s="124" t="n">
        <v>0</v>
      </c>
      <c r="G16" s="124" t="n">
        <v>470104</v>
      </c>
      <c r="I16" s="124" t="n">
        <f aca="false">IF(MONTH($A16)=MONTH($A15),IF(G16=0,I15,G16),0)</f>
        <v>470104</v>
      </c>
      <c r="J16" s="124" t="n">
        <f aca="false">IF(MONTH($A16)=MONTH($A15),SUM(I16-I15),I16)</f>
        <v>-15492</v>
      </c>
      <c r="K16" s="124" t="n">
        <f aca="false">IF(WEEKDAY(A16,3)&gt;4,0,(IF(A16&lt;K$2,0,IF(A16&lt;=K$3,1,0))))</f>
        <v>0</v>
      </c>
      <c r="L16" s="124" t="n">
        <f aca="false">J16*K16</f>
        <v>-0</v>
      </c>
      <c r="M16" s="124" t="n">
        <f aca="false">SUM(J$6:J16)</f>
        <v>470104</v>
      </c>
      <c r="N16" s="124" t="n">
        <f aca="false">SUM(J$6:J16)</f>
        <v>470104</v>
      </c>
      <c r="P16" s="124" t="n">
        <f aca="false">D16/P$3</f>
        <v>-15.9108521472323</v>
      </c>
      <c r="Q16" s="124" t="n">
        <f aca="false">E16/P$3</f>
        <v>0</v>
      </c>
      <c r="R16" s="124" t="n">
        <f aca="false">F16/R$3</f>
        <v>0</v>
      </c>
      <c r="S16" s="126" t="n">
        <f aca="false">J16/$R$3</f>
        <v>-15.492</v>
      </c>
      <c r="T16" s="126" t="n">
        <f aca="false">L16/$R$3</f>
        <v>-0</v>
      </c>
      <c r="U16" s="126" t="n">
        <f aca="false">I16/$R$3</f>
        <v>470.104</v>
      </c>
      <c r="V16" s="126" t="n">
        <f aca="false">M16/$R$3</f>
        <v>470.104</v>
      </c>
      <c r="W16" s="126" t="n">
        <f aca="false">N16/$R$3</f>
        <v>470.104</v>
      </c>
    </row>
    <row r="17" customFormat="false" ht="12.75" hidden="true" customHeight="false" outlineLevel="0" collapsed="false">
      <c r="A17" s="120" t="n">
        <f aca="false">A16+1</f>
        <v>36903</v>
      </c>
      <c r="B17" s="131" t="str">
        <f aca="false">INDEX('[4]Master Data'!$A$2:$B$8,MATCH(WEEKDAY('SC Gas MTM'!A17,3),'[4]Master Data'!$A$2:$A$8,0),2)</f>
        <v>F</v>
      </c>
      <c r="D17" s="124" t="n">
        <v>-15911056.6435323</v>
      </c>
      <c r="E17" s="124" t="n">
        <v>0</v>
      </c>
      <c r="F17" s="124" t="n">
        <v>0</v>
      </c>
      <c r="G17" s="124" t="n">
        <v>354429</v>
      </c>
      <c r="I17" s="124" t="n">
        <f aca="false">IF(MONTH($A17)=MONTH($A16),IF(G17=0,I16,G17),0)</f>
        <v>354429</v>
      </c>
      <c r="J17" s="124" t="n">
        <f aca="false">IF(MONTH($A17)=MONTH($A16),SUM(I17-I16),I17)</f>
        <v>-115675</v>
      </c>
      <c r="K17" s="124" t="n">
        <f aca="false">IF(WEEKDAY(A17,3)&gt;4,0,(IF(A17&lt;K$2,0,IF(A17&lt;=K$3,1,0))))</f>
        <v>0</v>
      </c>
      <c r="L17" s="124" t="n">
        <f aca="false">J17*K17</f>
        <v>-0</v>
      </c>
      <c r="M17" s="124" t="n">
        <f aca="false">SUM(J$6:J17)</f>
        <v>354429</v>
      </c>
      <c r="N17" s="124" t="n">
        <f aca="false">SUM(J$6:J17)</f>
        <v>354429</v>
      </c>
      <c r="P17" s="124" t="n">
        <f aca="false">D17/P$3</f>
        <v>-15.9110566435323</v>
      </c>
      <c r="Q17" s="124" t="n">
        <f aca="false">E17/P$3</f>
        <v>0</v>
      </c>
      <c r="R17" s="124" t="n">
        <f aca="false">F17/R$3</f>
        <v>0</v>
      </c>
      <c r="S17" s="126" t="n">
        <f aca="false">J17/$R$3</f>
        <v>-115.675</v>
      </c>
      <c r="T17" s="126" t="n">
        <f aca="false">L17/$R$3</f>
        <v>-0</v>
      </c>
      <c r="U17" s="126" t="n">
        <f aca="false">I17/$R$3</f>
        <v>354.429</v>
      </c>
      <c r="V17" s="126" t="n">
        <f aca="false">M17/$R$3</f>
        <v>354.429</v>
      </c>
      <c r="W17" s="126" t="n">
        <f aca="false">N17/$R$3</f>
        <v>354.429</v>
      </c>
    </row>
    <row r="18" customFormat="false" ht="12.75" hidden="true" customHeight="false" outlineLevel="0" collapsed="false">
      <c r="A18" s="120" t="n">
        <f aca="false">A17+1</f>
        <v>36904</v>
      </c>
      <c r="B18" s="131" t="str">
        <f aca="false">INDEX('[4]Master Data'!$A$2:$B$8,MATCH(WEEKDAY('SC Gas MTM'!A18,3),'[4]Master Data'!$A$2:$A$8,0),2)</f>
        <v>Sa</v>
      </c>
      <c r="D18" s="124" t="n">
        <v>0</v>
      </c>
      <c r="E18" s="124" t="n">
        <v>0</v>
      </c>
      <c r="F18" s="124" t="n">
        <v>0</v>
      </c>
      <c r="G18" s="124" t="n">
        <v>0</v>
      </c>
      <c r="I18" s="124" t="n">
        <f aca="false">IF(MONTH($A18)=MONTH($A17),IF(G18=0,I17,G18),0)</f>
        <v>354429</v>
      </c>
      <c r="J18" s="124" t="n">
        <f aca="false">IF(MONTH($A18)=MONTH($A17),SUM(I18-I17),I18)</f>
        <v>0</v>
      </c>
      <c r="K18" s="124" t="n">
        <f aca="false">IF(WEEKDAY(A18,3)&gt;4,0,(IF(A18&lt;K$2,0,IF(A18&lt;=K$3,1,0))))</f>
        <v>0</v>
      </c>
      <c r="L18" s="124" t="n">
        <f aca="false">J18*K18</f>
        <v>0</v>
      </c>
      <c r="M18" s="124" t="n">
        <f aca="false">SUM(J$6:J18)</f>
        <v>354429</v>
      </c>
      <c r="N18" s="124" t="n">
        <f aca="false">SUM(J$6:J18)</f>
        <v>354429</v>
      </c>
      <c r="P18" s="124" t="n">
        <f aca="false">D18/P$3</f>
        <v>0</v>
      </c>
      <c r="Q18" s="124" t="n">
        <f aca="false">E18/P$3</f>
        <v>0</v>
      </c>
      <c r="R18" s="124" t="n">
        <f aca="false">F18/R$3</f>
        <v>0</v>
      </c>
      <c r="S18" s="126" t="n">
        <f aca="false">J18/$R$3</f>
        <v>0</v>
      </c>
      <c r="T18" s="126" t="n">
        <f aca="false">L18/$R$3</f>
        <v>0</v>
      </c>
      <c r="U18" s="126" t="n">
        <f aca="false">I18/$R$3</f>
        <v>354.429</v>
      </c>
      <c r="V18" s="126" t="n">
        <f aca="false">M18/$R$3</f>
        <v>354.429</v>
      </c>
      <c r="W18" s="126" t="n">
        <f aca="false">N18/$R$3</f>
        <v>354.429</v>
      </c>
    </row>
    <row r="19" customFormat="false" ht="12.75" hidden="true" customHeight="false" outlineLevel="0" collapsed="false">
      <c r="A19" s="120" t="n">
        <f aca="false">A18+1</f>
        <v>36905</v>
      </c>
      <c r="B19" s="131" t="str">
        <f aca="false">INDEX('[4]Master Data'!$A$2:$B$8,MATCH(WEEKDAY('SC Gas MTM'!A19,3),'[4]Master Data'!$A$2:$A$8,0),2)</f>
        <v>Su</v>
      </c>
      <c r="D19" s="124" t="n">
        <v>0</v>
      </c>
      <c r="E19" s="124" t="n">
        <v>0</v>
      </c>
      <c r="F19" s="124" t="n">
        <v>0</v>
      </c>
      <c r="G19" s="124" t="n">
        <v>0</v>
      </c>
      <c r="I19" s="124" t="n">
        <f aca="false">IF(MONTH($A19)=MONTH($A18),IF(G19=0,I18,G19),0)</f>
        <v>354429</v>
      </c>
      <c r="J19" s="124" t="n">
        <f aca="false">IF(MONTH($A19)=MONTH($A18),SUM(I19-I18),I19)</f>
        <v>0</v>
      </c>
      <c r="K19" s="124" t="n">
        <f aca="false">IF(WEEKDAY(A19,3)&gt;4,0,(IF(A19&lt;K$2,0,IF(A19&lt;=K$3,1,0))))</f>
        <v>0</v>
      </c>
      <c r="L19" s="124" t="n">
        <f aca="false">J19*K19</f>
        <v>0</v>
      </c>
      <c r="M19" s="124" t="n">
        <f aca="false">SUM(J$6:J19)</f>
        <v>354429</v>
      </c>
      <c r="N19" s="124" t="n">
        <f aca="false">SUM(J$6:J19)</f>
        <v>354429</v>
      </c>
      <c r="P19" s="124" t="n">
        <f aca="false">D19/P$3</f>
        <v>0</v>
      </c>
      <c r="Q19" s="124" t="n">
        <f aca="false">E19/P$3</f>
        <v>0</v>
      </c>
      <c r="R19" s="124" t="n">
        <f aca="false">F19/R$3</f>
        <v>0</v>
      </c>
      <c r="S19" s="126" t="n">
        <f aca="false">J19/$R$3</f>
        <v>0</v>
      </c>
      <c r="T19" s="126" t="n">
        <f aca="false">L19/$R$3</f>
        <v>0</v>
      </c>
      <c r="U19" s="126" t="n">
        <f aca="false">I19/$R$3</f>
        <v>354.429</v>
      </c>
      <c r="V19" s="126" t="n">
        <f aca="false">M19/$R$3</f>
        <v>354.429</v>
      </c>
      <c r="W19" s="126" t="n">
        <f aca="false">N19/$R$3</f>
        <v>354.429</v>
      </c>
    </row>
    <row r="20" customFormat="false" ht="12.75" hidden="true" customHeight="false" outlineLevel="0" collapsed="false">
      <c r="A20" s="120" t="n">
        <f aca="false">A19+1</f>
        <v>36906</v>
      </c>
      <c r="B20" s="131" t="str">
        <f aca="false">INDEX('[4]Master Data'!$A$2:$B$8,MATCH(WEEKDAY('SC Gas MTM'!A20,3),'[4]Master Data'!$A$2:$A$8,0),2)</f>
        <v>M</v>
      </c>
      <c r="D20" s="124" t="n">
        <v>0</v>
      </c>
      <c r="E20" s="124" t="n">
        <v>0</v>
      </c>
      <c r="F20" s="124" t="n">
        <v>0</v>
      </c>
      <c r="G20" s="124" t="n">
        <v>0</v>
      </c>
      <c r="I20" s="124" t="n">
        <f aca="false">IF(MONTH($A20)=MONTH($A19),IF(G20=0,I19,G20),0)</f>
        <v>354429</v>
      </c>
      <c r="J20" s="124" t="n">
        <f aca="false">IF(MONTH($A20)=MONTH($A19),SUM(I20-I19),I20)</f>
        <v>0</v>
      </c>
      <c r="K20" s="124" t="n">
        <f aca="false">IF(WEEKDAY(A20,3)&gt;4,0,(IF(A20&lt;K$2,0,IF(A20&lt;=K$3,1,0))))</f>
        <v>0</v>
      </c>
      <c r="L20" s="124" t="n">
        <f aca="false">J20*K20</f>
        <v>0</v>
      </c>
      <c r="M20" s="124" t="n">
        <f aca="false">SUM(J$6:J20)</f>
        <v>354429</v>
      </c>
      <c r="N20" s="124" t="n">
        <f aca="false">SUM(J$6:J20)</f>
        <v>354429</v>
      </c>
      <c r="P20" s="124" t="n">
        <f aca="false">D20/P$3</f>
        <v>0</v>
      </c>
      <c r="Q20" s="124" t="n">
        <f aca="false">E20/P$3</f>
        <v>0</v>
      </c>
      <c r="R20" s="124" t="n">
        <f aca="false">F20/R$3</f>
        <v>0</v>
      </c>
      <c r="S20" s="126" t="n">
        <f aca="false">J20/$R$3</f>
        <v>0</v>
      </c>
      <c r="T20" s="126" t="n">
        <f aca="false">L20/$R$3</f>
        <v>0</v>
      </c>
      <c r="U20" s="126" t="n">
        <f aca="false">I20/$R$3</f>
        <v>354.429</v>
      </c>
      <c r="V20" s="126" t="n">
        <f aca="false">M20/$R$3</f>
        <v>354.429</v>
      </c>
      <c r="W20" s="126" t="n">
        <f aca="false">N20/$R$3</f>
        <v>354.429</v>
      </c>
    </row>
    <row r="21" customFormat="false" ht="12.75" hidden="true" customHeight="false" outlineLevel="0" collapsed="false">
      <c r="A21" s="120" t="n">
        <f aca="false">A20+1</f>
        <v>36907</v>
      </c>
      <c r="B21" s="131" t="str">
        <f aca="false">INDEX('[4]Master Data'!$A$2:$B$8,MATCH(WEEKDAY('SC Gas MTM'!A21,3),'[4]Master Data'!$A$2:$A$8,0),2)</f>
        <v>T</v>
      </c>
      <c r="D21" s="124" t="n">
        <v>-15909290.1983323</v>
      </c>
      <c r="E21" s="124" t="n">
        <v>0</v>
      </c>
      <c r="F21" s="124" t="n">
        <v>0</v>
      </c>
      <c r="G21" s="124" t="n">
        <v>347438</v>
      </c>
      <c r="I21" s="124" t="n">
        <f aca="false">IF(MONTH($A21)=MONTH($A20),IF(G21=0,I20,G21),0)</f>
        <v>347438</v>
      </c>
      <c r="J21" s="124" t="n">
        <f aca="false">IF(MONTH($A21)=MONTH($A20),SUM(I21-I20),I21)</f>
        <v>-6991</v>
      </c>
      <c r="K21" s="124" t="n">
        <f aca="false">IF(WEEKDAY(A21,3)&gt;4,0,(IF(A21&lt;K$2,0,IF(A21&lt;=K$3,1,0))))</f>
        <v>0</v>
      </c>
      <c r="L21" s="124" t="n">
        <f aca="false">J21*K21</f>
        <v>-0</v>
      </c>
      <c r="M21" s="124" t="n">
        <f aca="false">SUM(J$6:J21)</f>
        <v>347438</v>
      </c>
      <c r="N21" s="124" t="n">
        <f aca="false">SUM(J$6:J21)</f>
        <v>347438</v>
      </c>
      <c r="P21" s="124" t="n">
        <f aca="false">D21/P$3</f>
        <v>-15.9092901983323</v>
      </c>
      <c r="Q21" s="124" t="n">
        <f aca="false">E21/P$3</f>
        <v>0</v>
      </c>
      <c r="R21" s="124" t="n">
        <f aca="false">F21/R$3</f>
        <v>0</v>
      </c>
      <c r="S21" s="126" t="n">
        <f aca="false">J21/$R$3</f>
        <v>-6.991</v>
      </c>
      <c r="T21" s="126" t="n">
        <f aca="false">L21/$R$3</f>
        <v>-0</v>
      </c>
      <c r="U21" s="126" t="n">
        <f aca="false">I21/$R$3</f>
        <v>347.438</v>
      </c>
      <c r="V21" s="126" t="n">
        <f aca="false">M21/$R$3</f>
        <v>347.438</v>
      </c>
      <c r="W21" s="126" t="n">
        <f aca="false">N21/$R$3</f>
        <v>347.438</v>
      </c>
    </row>
    <row r="22" customFormat="false" ht="12.75" hidden="true" customHeight="false" outlineLevel="0" collapsed="false">
      <c r="A22" s="120" t="n">
        <f aca="false">A21+1</f>
        <v>36908</v>
      </c>
      <c r="B22" s="131" t="str">
        <f aca="false">INDEX('[4]Master Data'!$A$2:$B$8,MATCH(WEEKDAY('SC Gas MTM'!A22,3),'[4]Master Data'!$A$2:$A$8,0),2)</f>
        <v>W</v>
      </c>
      <c r="D22" s="124" t="n">
        <v>-15908656.8249323</v>
      </c>
      <c r="E22" s="124" t="n">
        <v>0</v>
      </c>
      <c r="F22" s="124" t="n">
        <v>0</v>
      </c>
      <c r="G22" s="124" t="n">
        <v>445931</v>
      </c>
      <c r="I22" s="124" t="n">
        <f aca="false">IF(MONTH($A22)=MONTH($A21),IF(G22=0,I21,G22),0)</f>
        <v>445931</v>
      </c>
      <c r="J22" s="124" t="n">
        <f aca="false">IF(MONTH($A22)=MONTH($A21),SUM(I22-I21),I22)</f>
        <v>98493</v>
      </c>
      <c r="K22" s="124" t="n">
        <f aca="false">IF(WEEKDAY(A22,3)&gt;4,0,(IF(A22&lt;K$2,0,IF(A22&lt;=K$3,1,0))))</f>
        <v>0</v>
      </c>
      <c r="L22" s="124" t="n">
        <f aca="false">J22*K22</f>
        <v>0</v>
      </c>
      <c r="M22" s="124" t="n">
        <f aca="false">SUM(J$6:J22)</f>
        <v>445931</v>
      </c>
      <c r="N22" s="124" t="n">
        <f aca="false">SUM(J$6:J22)</f>
        <v>445931</v>
      </c>
      <c r="P22" s="124" t="n">
        <f aca="false">D22/P$3</f>
        <v>-15.9086568249323</v>
      </c>
      <c r="Q22" s="124" t="n">
        <f aca="false">E22/P$3</f>
        <v>0</v>
      </c>
      <c r="R22" s="124" t="n">
        <f aca="false">F22/R$3</f>
        <v>0</v>
      </c>
      <c r="S22" s="126" t="n">
        <f aca="false">J22/$R$3</f>
        <v>98.493</v>
      </c>
      <c r="T22" s="126" t="n">
        <f aca="false">L22/$R$3</f>
        <v>0</v>
      </c>
      <c r="U22" s="126" t="n">
        <f aca="false">I22/$R$3</f>
        <v>445.931</v>
      </c>
      <c r="V22" s="126" t="n">
        <f aca="false">M22/$R$3</f>
        <v>445.931</v>
      </c>
      <c r="W22" s="126" t="n">
        <f aca="false">N22/$R$3</f>
        <v>445.931</v>
      </c>
    </row>
    <row r="23" customFormat="false" ht="12.75" hidden="true" customHeight="false" outlineLevel="0" collapsed="false">
      <c r="A23" s="120" t="n">
        <f aca="false">A22+1</f>
        <v>36909</v>
      </c>
      <c r="B23" s="131" t="str">
        <f aca="false">INDEX('[4]Master Data'!$A$2:$B$8,MATCH(WEEKDAY('SC Gas MTM'!A23,3),'[4]Master Data'!$A$2:$A$8,0),2)</f>
        <v>Th</v>
      </c>
      <c r="D23" s="124" t="n">
        <v>-15907808.7842323</v>
      </c>
      <c r="E23" s="124" t="n">
        <v>0</v>
      </c>
      <c r="F23" s="124" t="n">
        <v>0</v>
      </c>
      <c r="G23" s="124" t="n">
        <v>477470</v>
      </c>
      <c r="I23" s="124" t="n">
        <f aca="false">IF(MONTH($A23)=MONTH($A22),IF(G23=0,I22,G23),0)</f>
        <v>477470</v>
      </c>
      <c r="J23" s="124" t="n">
        <f aca="false">IF(MONTH($A23)=MONTH($A22),SUM(I23-I22),I23)</f>
        <v>31539</v>
      </c>
      <c r="K23" s="124" t="n">
        <f aca="false">IF(WEEKDAY(A23,3)&gt;4,0,(IF(A23&lt;K$2,0,IF(A23&lt;=K$3,1,0))))</f>
        <v>0</v>
      </c>
      <c r="L23" s="124" t="n">
        <f aca="false">J23*K23</f>
        <v>0</v>
      </c>
      <c r="M23" s="124" t="n">
        <f aca="false">SUM(J$6:J23)</f>
        <v>477470</v>
      </c>
      <c r="N23" s="124" t="n">
        <f aca="false">SUM(J$6:J23)</f>
        <v>477470</v>
      </c>
      <c r="P23" s="124" t="n">
        <f aca="false">D23/P$3</f>
        <v>-15.9078087842323</v>
      </c>
      <c r="Q23" s="124" t="n">
        <f aca="false">E23/P$3</f>
        <v>0</v>
      </c>
      <c r="R23" s="124" t="n">
        <f aca="false">F23/R$3</f>
        <v>0</v>
      </c>
      <c r="S23" s="126" t="n">
        <f aca="false">J23/$R$3</f>
        <v>31.539</v>
      </c>
      <c r="T23" s="126" t="n">
        <f aca="false">L23/$R$3</f>
        <v>0</v>
      </c>
      <c r="U23" s="126" t="n">
        <f aca="false">I23/$R$3</f>
        <v>477.47</v>
      </c>
      <c r="V23" s="126" t="n">
        <f aca="false">M23/$R$3</f>
        <v>477.47</v>
      </c>
      <c r="W23" s="126" t="n">
        <f aca="false">N23/$R$3</f>
        <v>477.47</v>
      </c>
    </row>
    <row r="24" customFormat="false" ht="12.75" hidden="true" customHeight="false" outlineLevel="0" collapsed="false">
      <c r="A24" s="120" t="n">
        <f aca="false">A23+1</f>
        <v>36910</v>
      </c>
      <c r="B24" s="131" t="str">
        <f aca="false">INDEX('[4]Master Data'!$A$2:$B$8,MATCH(WEEKDAY('SC Gas MTM'!A24,3),'[4]Master Data'!$A$2:$A$8,0),2)</f>
        <v>F</v>
      </c>
      <c r="D24" s="124" t="n">
        <v>-15906631.1037323</v>
      </c>
      <c r="E24" s="124" t="n">
        <v>0</v>
      </c>
      <c r="F24" s="124" t="n">
        <v>0</v>
      </c>
      <c r="G24" s="124" t="n">
        <v>469851</v>
      </c>
      <c r="I24" s="124" t="n">
        <f aca="false">IF(MONTH($A24)=MONTH($A23),IF(G24=0,I23,G24),0)</f>
        <v>469851</v>
      </c>
      <c r="J24" s="124" t="n">
        <f aca="false">IF(MONTH($A24)=MONTH($A23),SUM(I24-I23),I24)</f>
        <v>-7619</v>
      </c>
      <c r="K24" s="124" t="n">
        <f aca="false">IF(WEEKDAY(A24,3)&gt;4,0,(IF(A24&lt;K$2,0,IF(A24&lt;=K$3,1,0))))</f>
        <v>0</v>
      </c>
      <c r="L24" s="124" t="n">
        <f aca="false">J24*K24</f>
        <v>-0</v>
      </c>
      <c r="M24" s="124" t="n">
        <f aca="false">SUM(J$6:J24)</f>
        <v>469851</v>
      </c>
      <c r="N24" s="124" t="n">
        <f aca="false">SUM(J$6:J24)</f>
        <v>469851</v>
      </c>
      <c r="P24" s="124" t="n">
        <f aca="false">D24/P$3</f>
        <v>-15.9066311037323</v>
      </c>
      <c r="Q24" s="124" t="n">
        <f aca="false">E24/P$3</f>
        <v>0</v>
      </c>
      <c r="R24" s="124" t="n">
        <f aca="false">F24/R$3</f>
        <v>0</v>
      </c>
      <c r="S24" s="126" t="n">
        <f aca="false">J24/$R$3</f>
        <v>-7.619</v>
      </c>
      <c r="T24" s="126" t="n">
        <f aca="false">L24/$R$3</f>
        <v>-0</v>
      </c>
      <c r="U24" s="126" t="n">
        <f aca="false">I24/$R$3</f>
        <v>469.851</v>
      </c>
      <c r="V24" s="126" t="n">
        <f aca="false">M24/$R$3</f>
        <v>469.851</v>
      </c>
      <c r="W24" s="126" t="n">
        <f aca="false">N24/$R$3</f>
        <v>469.851</v>
      </c>
    </row>
    <row r="25" customFormat="false" ht="12.75" hidden="true" customHeight="false" outlineLevel="0" collapsed="false">
      <c r="A25" s="120" t="n">
        <f aca="false">A24+1</f>
        <v>36911</v>
      </c>
      <c r="B25" s="131" t="str">
        <f aca="false">INDEX('[4]Master Data'!$A$2:$B$8,MATCH(WEEKDAY('SC Gas MTM'!A25,3),'[4]Master Data'!$A$2:$A$8,0),2)</f>
        <v>Sa</v>
      </c>
      <c r="D25" s="124" t="n">
        <v>0</v>
      </c>
      <c r="E25" s="124" t="n">
        <v>0</v>
      </c>
      <c r="F25" s="124" t="n">
        <v>0</v>
      </c>
      <c r="G25" s="124" t="n">
        <v>0</v>
      </c>
      <c r="I25" s="124" t="n">
        <f aca="false">IF(MONTH($A25)=MONTH($A24),IF(G25=0,I24,G25),0)</f>
        <v>469851</v>
      </c>
      <c r="J25" s="124" t="n">
        <f aca="false">IF(MONTH($A25)=MONTH($A24),SUM(I25-I24),I25)</f>
        <v>0</v>
      </c>
      <c r="K25" s="124" t="n">
        <f aca="false">IF(WEEKDAY(A25,3)&gt;4,0,(IF(A25&lt;K$2,0,IF(A25&lt;=K$3,1,0))))</f>
        <v>0</v>
      </c>
      <c r="L25" s="124" t="n">
        <f aca="false">J25*K25</f>
        <v>0</v>
      </c>
      <c r="M25" s="124" t="n">
        <f aca="false">SUM(J$6:J25)</f>
        <v>469851</v>
      </c>
      <c r="N25" s="124" t="n">
        <f aca="false">SUM(J$6:J25)</f>
        <v>469851</v>
      </c>
      <c r="P25" s="124" t="n">
        <f aca="false">D25/P$3</f>
        <v>0</v>
      </c>
      <c r="Q25" s="124" t="n">
        <f aca="false">E25/P$3</f>
        <v>0</v>
      </c>
      <c r="R25" s="124" t="n">
        <f aca="false">F25/R$3</f>
        <v>0</v>
      </c>
      <c r="S25" s="126" t="n">
        <f aca="false">J25/$R$3</f>
        <v>0</v>
      </c>
      <c r="T25" s="126" t="n">
        <f aca="false">L25/$R$3</f>
        <v>0</v>
      </c>
      <c r="U25" s="126" t="n">
        <f aca="false">I25/$R$3</f>
        <v>469.851</v>
      </c>
      <c r="V25" s="126" t="n">
        <f aca="false">M25/$R$3</f>
        <v>469.851</v>
      </c>
      <c r="W25" s="126" t="n">
        <f aca="false">N25/$R$3</f>
        <v>469.851</v>
      </c>
    </row>
    <row r="26" customFormat="false" ht="12.75" hidden="true" customHeight="false" outlineLevel="0" collapsed="false">
      <c r="A26" s="120" t="n">
        <f aca="false">A25+1</f>
        <v>36912</v>
      </c>
      <c r="B26" s="131" t="str">
        <f aca="false">INDEX('[4]Master Data'!$A$2:$B$8,MATCH(WEEKDAY('SC Gas MTM'!A26,3),'[4]Master Data'!$A$2:$A$8,0),2)</f>
        <v>Su</v>
      </c>
      <c r="D26" s="124" t="n">
        <v>0</v>
      </c>
      <c r="E26" s="124" t="n">
        <v>0</v>
      </c>
      <c r="F26" s="124" t="n">
        <v>0</v>
      </c>
      <c r="G26" s="124" t="n">
        <v>0</v>
      </c>
      <c r="I26" s="124" t="n">
        <f aca="false">IF(MONTH($A26)=MONTH($A25),IF(G26=0,I25,G26),0)</f>
        <v>469851</v>
      </c>
      <c r="J26" s="124" t="n">
        <f aca="false">IF(MONTH($A26)=MONTH($A25),SUM(I26-I25),I26)</f>
        <v>0</v>
      </c>
      <c r="K26" s="124" t="n">
        <f aca="false">IF(WEEKDAY(A26,3)&gt;4,0,(IF(A26&lt;K$2,0,IF(A26&lt;=K$3,1,0))))</f>
        <v>0</v>
      </c>
      <c r="L26" s="124" t="n">
        <f aca="false">J26*K26</f>
        <v>0</v>
      </c>
      <c r="M26" s="124" t="n">
        <f aca="false">SUM(J$6:J26)</f>
        <v>469851</v>
      </c>
      <c r="N26" s="124" t="n">
        <f aca="false">SUM(J$6:J26)</f>
        <v>469851</v>
      </c>
      <c r="P26" s="124" t="n">
        <f aca="false">D26/P$3</f>
        <v>0</v>
      </c>
      <c r="Q26" s="124" t="n">
        <f aca="false">E26/P$3</f>
        <v>0</v>
      </c>
      <c r="R26" s="124" t="n">
        <f aca="false">F26/R$3</f>
        <v>0</v>
      </c>
      <c r="S26" s="126" t="n">
        <f aca="false">J26/$R$3</f>
        <v>0</v>
      </c>
      <c r="T26" s="126" t="n">
        <f aca="false">L26/$R$3</f>
        <v>0</v>
      </c>
      <c r="U26" s="126" t="n">
        <f aca="false">I26/$R$3</f>
        <v>469.851</v>
      </c>
      <c r="V26" s="126" t="n">
        <f aca="false">M26/$R$3</f>
        <v>469.851</v>
      </c>
      <c r="W26" s="126" t="n">
        <f aca="false">N26/$R$3</f>
        <v>469.851</v>
      </c>
    </row>
    <row r="27" customFormat="false" ht="12.75" hidden="true" customHeight="false" outlineLevel="0" collapsed="false">
      <c r="A27" s="120" t="n">
        <f aca="false">A26+1</f>
        <v>36913</v>
      </c>
      <c r="B27" s="131" t="str">
        <f aca="false">INDEX('[4]Master Data'!$A$2:$B$8,MATCH(WEEKDAY('SC Gas MTM'!A27,3),'[4]Master Data'!$A$2:$A$8,0),2)</f>
        <v>M</v>
      </c>
      <c r="D27" s="124" t="n">
        <v>-15905046.1439323</v>
      </c>
      <c r="E27" s="124" t="n">
        <v>0</v>
      </c>
      <c r="F27" s="124" t="n">
        <v>0</v>
      </c>
      <c r="G27" s="124" t="n">
        <v>537761</v>
      </c>
      <c r="I27" s="124" t="n">
        <f aca="false">IF(MONTH($A27)=MONTH($A26),IF(G27=0,I26,G27),0)</f>
        <v>537761</v>
      </c>
      <c r="J27" s="124" t="n">
        <f aca="false">IF(MONTH($A27)=MONTH($A26),SUM(I27-I26),I27)</f>
        <v>67910</v>
      </c>
      <c r="K27" s="124" t="n">
        <f aca="false">IF(WEEKDAY(A27,3)&gt;4,0,(IF(A27&lt;K$2,0,IF(A27&lt;=K$3,1,0))))</f>
        <v>0</v>
      </c>
      <c r="L27" s="124" t="n">
        <f aca="false">J27*K27</f>
        <v>0</v>
      </c>
      <c r="M27" s="124" t="n">
        <f aca="false">SUM(J$6:J27)</f>
        <v>537761</v>
      </c>
      <c r="N27" s="124" t="n">
        <f aca="false">SUM(J$6:J27)</f>
        <v>537761</v>
      </c>
      <c r="P27" s="124" t="n">
        <f aca="false">D27/P$3</f>
        <v>-15.9050461439323</v>
      </c>
      <c r="Q27" s="124" t="n">
        <f aca="false">E27/P$3</f>
        <v>0</v>
      </c>
      <c r="R27" s="124" t="n">
        <f aca="false">F27/R$3</f>
        <v>0</v>
      </c>
      <c r="S27" s="126" t="n">
        <f aca="false">J27/$R$3</f>
        <v>67.91</v>
      </c>
      <c r="T27" s="126" t="n">
        <f aca="false">L27/$R$3</f>
        <v>0</v>
      </c>
      <c r="U27" s="126" t="n">
        <f aca="false">I27/$R$3</f>
        <v>537.761</v>
      </c>
      <c r="V27" s="126" t="n">
        <f aca="false">M27/$R$3</f>
        <v>537.761</v>
      </c>
      <c r="W27" s="126" t="n">
        <f aca="false">N27/$R$3</f>
        <v>537.761</v>
      </c>
    </row>
    <row r="28" customFormat="false" ht="12.75" hidden="true" customHeight="false" outlineLevel="0" collapsed="false">
      <c r="A28" s="120" t="n">
        <f aca="false">A27+1</f>
        <v>36914</v>
      </c>
      <c r="B28" s="131" t="str">
        <f aca="false">INDEX('[4]Master Data'!$A$2:$B$8,MATCH(WEEKDAY('SC Gas MTM'!A28,3),'[4]Master Data'!$A$2:$A$8,0),2)</f>
        <v>T</v>
      </c>
      <c r="D28" s="124" t="n">
        <v>-15904950.1963323</v>
      </c>
      <c r="E28" s="124" t="n">
        <v>0</v>
      </c>
      <c r="F28" s="124" t="n">
        <v>0</v>
      </c>
      <c r="G28" s="124" t="n">
        <v>323157</v>
      </c>
      <c r="I28" s="124" t="n">
        <f aca="false">IF(MONTH($A28)=MONTH($A27),IF(G28=0,I27,G28),0)</f>
        <v>323157</v>
      </c>
      <c r="J28" s="124" t="n">
        <f aca="false">IF(MONTH($A28)=MONTH($A27),SUM(I28-I27),I28)</f>
        <v>-214604</v>
      </c>
      <c r="K28" s="124" t="n">
        <f aca="false">IF(WEEKDAY(A28,3)&gt;4,0,(IF(A28&lt;K$2,0,IF(A28&lt;=K$3,1,0))))</f>
        <v>0</v>
      </c>
      <c r="L28" s="124" t="n">
        <f aca="false">J28*K28</f>
        <v>-0</v>
      </c>
      <c r="M28" s="124" t="n">
        <f aca="false">SUM(J$6:J28)</f>
        <v>323157</v>
      </c>
      <c r="N28" s="124" t="n">
        <f aca="false">SUM(J$6:J28)</f>
        <v>323157</v>
      </c>
      <c r="P28" s="124" t="n">
        <f aca="false">D28/P$3</f>
        <v>-15.9049501963323</v>
      </c>
      <c r="Q28" s="124" t="n">
        <f aca="false">E28/P$3</f>
        <v>0</v>
      </c>
      <c r="R28" s="124" t="n">
        <f aca="false">F28/R$3</f>
        <v>0</v>
      </c>
      <c r="S28" s="126" t="n">
        <f aca="false">J28/$R$3</f>
        <v>-214.604</v>
      </c>
      <c r="T28" s="126" t="n">
        <f aca="false">L28/$R$3</f>
        <v>-0</v>
      </c>
      <c r="U28" s="126" t="n">
        <f aca="false">I28/$R$3</f>
        <v>323.157</v>
      </c>
      <c r="V28" s="126" t="n">
        <f aca="false">M28/$R$3</f>
        <v>323.157</v>
      </c>
      <c r="W28" s="126" t="n">
        <f aca="false">N28/$R$3</f>
        <v>323.157</v>
      </c>
    </row>
    <row r="29" customFormat="false" ht="12.75" hidden="true" customHeight="false" outlineLevel="0" collapsed="false">
      <c r="A29" s="120" t="n">
        <f aca="false">A28+1</f>
        <v>36915</v>
      </c>
      <c r="B29" s="131" t="str">
        <f aca="false">INDEX('[4]Master Data'!$A$2:$B$8,MATCH(WEEKDAY('SC Gas MTM'!A29,3),'[4]Master Data'!$A$2:$A$8,0),2)</f>
        <v>W</v>
      </c>
      <c r="D29" s="124" t="n">
        <v>-15904699.5547323</v>
      </c>
      <c r="E29" s="124" t="n">
        <v>0</v>
      </c>
      <c r="F29" s="124" t="n">
        <v>0</v>
      </c>
      <c r="G29" s="124" t="n">
        <v>269902</v>
      </c>
      <c r="I29" s="124" t="n">
        <f aca="false">IF(MONTH($A29)=MONTH($A28),IF(G29=0,I28,G29),0)</f>
        <v>269902</v>
      </c>
      <c r="J29" s="124" t="n">
        <f aca="false">IF(MONTH($A29)=MONTH($A28),SUM(I29-I28),I29)</f>
        <v>-53255</v>
      </c>
      <c r="K29" s="124" t="n">
        <f aca="false">IF(WEEKDAY(A29,3)&gt;4,0,(IF(A29&lt;K$2,0,IF(A29&lt;=K$3,1,0))))</f>
        <v>0</v>
      </c>
      <c r="L29" s="124" t="n">
        <f aca="false">J29*K29</f>
        <v>-0</v>
      </c>
      <c r="M29" s="124" t="n">
        <f aca="false">SUM(J$6:J29)</f>
        <v>269902</v>
      </c>
      <c r="N29" s="124" t="n">
        <f aca="false">SUM(J$6:J29)</f>
        <v>269902</v>
      </c>
      <c r="P29" s="124" t="n">
        <f aca="false">D29/P$3</f>
        <v>-15.9046995547323</v>
      </c>
      <c r="Q29" s="124" t="n">
        <f aca="false">E29/P$3</f>
        <v>0</v>
      </c>
      <c r="R29" s="124" t="n">
        <f aca="false">F29/R$3</f>
        <v>0</v>
      </c>
      <c r="S29" s="126" t="n">
        <f aca="false">J29/$R$3</f>
        <v>-53.255</v>
      </c>
      <c r="T29" s="126" t="n">
        <f aca="false">L29/$R$3</f>
        <v>-0</v>
      </c>
      <c r="U29" s="126" t="n">
        <f aca="false">I29/$R$3</f>
        <v>269.902</v>
      </c>
      <c r="V29" s="126" t="n">
        <f aca="false">M29/$R$3</f>
        <v>269.902</v>
      </c>
      <c r="W29" s="126" t="n">
        <f aca="false">N29/$R$3</f>
        <v>269.902</v>
      </c>
    </row>
    <row r="30" customFormat="false" ht="12.75" hidden="true" customHeight="false" outlineLevel="0" collapsed="false">
      <c r="A30" s="120" t="n">
        <f aca="false">A29+1</f>
        <v>36916</v>
      </c>
      <c r="B30" s="131" t="str">
        <f aca="false">INDEX('[4]Master Data'!$A$2:$B$8,MATCH(WEEKDAY('SC Gas MTM'!A30,3),'[4]Master Data'!$A$2:$A$8,0),2)</f>
        <v>Th</v>
      </c>
      <c r="D30" s="124" t="n">
        <v>-15904149.1086323</v>
      </c>
      <c r="E30" s="124" t="n">
        <v>0</v>
      </c>
      <c r="F30" s="124" t="n">
        <v>0</v>
      </c>
      <c r="G30" s="124" t="n">
        <v>372325</v>
      </c>
      <c r="I30" s="124" t="n">
        <f aca="false">IF(MONTH($A30)=MONTH($A29),IF(G30=0,I29,G30),0)</f>
        <v>372325</v>
      </c>
      <c r="J30" s="124" t="n">
        <f aca="false">IF(MONTH($A30)=MONTH($A29),SUM(I30-I29),I30)</f>
        <v>102423</v>
      </c>
      <c r="K30" s="124" t="n">
        <f aca="false">IF(WEEKDAY(A30,3)&gt;4,0,(IF(A30&lt;K$2,0,IF(A30&lt;=K$3,1,0))))</f>
        <v>0</v>
      </c>
      <c r="L30" s="124" t="n">
        <f aca="false">J30*K30</f>
        <v>0</v>
      </c>
      <c r="M30" s="124" t="n">
        <f aca="false">SUM(J$6:J30)</f>
        <v>372325</v>
      </c>
      <c r="N30" s="124" t="n">
        <f aca="false">SUM(J$6:J30)</f>
        <v>372325</v>
      </c>
      <c r="P30" s="124" t="n">
        <f aca="false">D30/P$3</f>
        <v>-15.9041491086323</v>
      </c>
      <c r="Q30" s="124" t="n">
        <f aca="false">E30/P$3</f>
        <v>0</v>
      </c>
      <c r="R30" s="124" t="n">
        <f aca="false">F30/R$3</f>
        <v>0</v>
      </c>
      <c r="S30" s="126" t="n">
        <f aca="false">J30/$R$3</f>
        <v>102.423</v>
      </c>
      <c r="T30" s="126" t="n">
        <f aca="false">L30/$R$3</f>
        <v>0</v>
      </c>
      <c r="U30" s="126" t="n">
        <f aca="false">I30/$R$3</f>
        <v>372.325</v>
      </c>
      <c r="V30" s="126" t="n">
        <f aca="false">M30/$R$3</f>
        <v>372.325</v>
      </c>
      <c r="W30" s="126" t="n">
        <f aca="false">N30/$R$3</f>
        <v>372.325</v>
      </c>
    </row>
    <row r="31" customFormat="false" ht="12.75" hidden="true" customHeight="false" outlineLevel="0" collapsed="false">
      <c r="A31" s="120" t="n">
        <f aca="false">A30+1</f>
        <v>36917</v>
      </c>
      <c r="B31" s="131" t="str">
        <f aca="false">INDEX('[4]Master Data'!$A$2:$B$8,MATCH(WEEKDAY('SC Gas MTM'!A31,3),'[4]Master Data'!$A$2:$A$8,0),2)</f>
        <v>F</v>
      </c>
      <c r="D31" s="124" t="n">
        <v>-15903347.0423323</v>
      </c>
      <c r="E31" s="124" t="n">
        <v>0</v>
      </c>
      <c r="F31" s="124" t="n">
        <v>0</v>
      </c>
      <c r="G31" s="124" t="n">
        <v>389087</v>
      </c>
      <c r="I31" s="124" t="n">
        <f aca="false">IF(MONTH($A31)=MONTH($A30),IF(G31=0,I30,G31),0)</f>
        <v>389087</v>
      </c>
      <c r="J31" s="124" t="n">
        <f aca="false">IF(MONTH($A31)=MONTH($A30),SUM(I31-I30),I31)</f>
        <v>16762</v>
      </c>
      <c r="K31" s="124" t="n">
        <f aca="false">IF(WEEKDAY(A31,3)&gt;4,0,(IF(A31&lt;K$2,0,IF(A31&lt;=K$3,1,0))))</f>
        <v>0</v>
      </c>
      <c r="L31" s="124" t="n">
        <f aca="false">J31*K31</f>
        <v>0</v>
      </c>
      <c r="M31" s="124" t="n">
        <f aca="false">SUM(J$6:J31)</f>
        <v>389087</v>
      </c>
      <c r="N31" s="124" t="n">
        <f aca="false">SUM(J$6:J31)</f>
        <v>389087</v>
      </c>
      <c r="P31" s="124" t="n">
        <f aca="false">D31/P$3</f>
        <v>-15.9033470423323</v>
      </c>
      <c r="Q31" s="124" t="n">
        <f aca="false">E31/P$3</f>
        <v>0</v>
      </c>
      <c r="R31" s="124" t="n">
        <f aca="false">F31/R$3</f>
        <v>0</v>
      </c>
      <c r="S31" s="126" t="n">
        <f aca="false">J31/$R$3</f>
        <v>16.762</v>
      </c>
      <c r="T31" s="126" t="n">
        <f aca="false">L31/$R$3</f>
        <v>0</v>
      </c>
      <c r="U31" s="126" t="n">
        <f aca="false">I31/$R$3</f>
        <v>389.087</v>
      </c>
      <c r="V31" s="126" t="n">
        <f aca="false">M31/$R$3</f>
        <v>389.087</v>
      </c>
      <c r="W31" s="126" t="n">
        <f aca="false">N31/$R$3</f>
        <v>389.087</v>
      </c>
    </row>
    <row r="32" customFormat="false" ht="12.75" hidden="true" customHeight="false" outlineLevel="0" collapsed="false">
      <c r="A32" s="120" t="n">
        <f aca="false">A31+1</f>
        <v>36918</v>
      </c>
      <c r="B32" s="131" t="str">
        <f aca="false">INDEX('[4]Master Data'!$A$2:$B$8,MATCH(WEEKDAY('SC Gas MTM'!A32,3),'[4]Master Data'!$A$2:$A$8,0),2)</f>
        <v>Sa</v>
      </c>
      <c r="D32" s="124" t="n">
        <v>0</v>
      </c>
      <c r="E32" s="124" t="n">
        <v>0</v>
      </c>
      <c r="F32" s="124" t="n">
        <v>0</v>
      </c>
      <c r="G32" s="124" t="n">
        <v>0</v>
      </c>
      <c r="I32" s="124" t="n">
        <f aca="false">IF(MONTH($A32)=MONTH($A31),IF(G32=0,I31,G32),0)</f>
        <v>389087</v>
      </c>
      <c r="J32" s="124" t="n">
        <f aca="false">IF(MONTH($A32)=MONTH($A31),SUM(I32-I31),I32)</f>
        <v>0</v>
      </c>
      <c r="K32" s="124" t="n">
        <f aca="false">IF(WEEKDAY(A32,3)&gt;4,0,(IF(A32&lt;K$2,0,IF(A32&lt;=K$3,1,0))))</f>
        <v>0</v>
      </c>
      <c r="L32" s="124" t="n">
        <f aca="false">J32*K32</f>
        <v>0</v>
      </c>
      <c r="M32" s="124" t="n">
        <f aca="false">SUM(J$6:J32)</f>
        <v>389087</v>
      </c>
      <c r="N32" s="124" t="n">
        <f aca="false">SUM(J$6:J32)</f>
        <v>389087</v>
      </c>
      <c r="P32" s="124" t="n">
        <f aca="false">D32/P$3</f>
        <v>0</v>
      </c>
      <c r="Q32" s="124" t="n">
        <f aca="false">E32/P$3</f>
        <v>0</v>
      </c>
      <c r="R32" s="124" t="n">
        <f aca="false">F32/R$3</f>
        <v>0</v>
      </c>
      <c r="S32" s="126" t="n">
        <f aca="false">J32/$R$3</f>
        <v>0</v>
      </c>
      <c r="T32" s="126" t="n">
        <f aca="false">L32/$R$3</f>
        <v>0</v>
      </c>
      <c r="U32" s="126" t="n">
        <f aca="false">I32/$R$3</f>
        <v>389.087</v>
      </c>
      <c r="V32" s="126" t="n">
        <f aca="false">M32/$R$3</f>
        <v>389.087</v>
      </c>
      <c r="W32" s="126" t="n">
        <f aca="false">N32/$R$3</f>
        <v>389.087</v>
      </c>
    </row>
    <row r="33" customFormat="false" ht="12.75" hidden="true" customHeight="false" outlineLevel="0" collapsed="false">
      <c r="A33" s="120" t="n">
        <f aca="false">A32+1</f>
        <v>36919</v>
      </c>
      <c r="B33" s="131" t="str">
        <f aca="false">INDEX('[4]Master Data'!$A$2:$B$8,MATCH(WEEKDAY('SC Gas MTM'!A33,3),'[4]Master Data'!$A$2:$A$8,0),2)</f>
        <v>Su</v>
      </c>
      <c r="D33" s="124" t="n">
        <v>0</v>
      </c>
      <c r="E33" s="124" t="n">
        <v>0</v>
      </c>
      <c r="F33" s="124" t="n">
        <v>0</v>
      </c>
      <c r="G33" s="124" t="n">
        <v>0</v>
      </c>
      <c r="I33" s="124" t="n">
        <f aca="false">IF(MONTH($A33)=MONTH($A32),IF(G33=0,I32,G33),0)</f>
        <v>389087</v>
      </c>
      <c r="J33" s="124" t="n">
        <f aca="false">IF(MONTH($A33)=MONTH($A32),SUM(I33-I32),I33)</f>
        <v>0</v>
      </c>
      <c r="K33" s="124" t="n">
        <f aca="false">IF(WEEKDAY(A33,3)&gt;4,0,(IF(A33&lt;K$2,0,IF(A33&lt;=K$3,1,0))))</f>
        <v>0</v>
      </c>
      <c r="L33" s="124" t="n">
        <f aca="false">J33*K33</f>
        <v>0</v>
      </c>
      <c r="M33" s="124" t="n">
        <f aca="false">SUM(J$6:J33)</f>
        <v>389087</v>
      </c>
      <c r="N33" s="124" t="n">
        <f aca="false">SUM(J$6:J33)</f>
        <v>389087</v>
      </c>
      <c r="P33" s="124" t="n">
        <f aca="false">D33/P$3</f>
        <v>0</v>
      </c>
      <c r="Q33" s="124" t="n">
        <f aca="false">E33/P$3</f>
        <v>0</v>
      </c>
      <c r="R33" s="124" t="n">
        <f aca="false">F33/R$3</f>
        <v>0</v>
      </c>
      <c r="S33" s="126" t="n">
        <f aca="false">J33/$R$3</f>
        <v>0</v>
      </c>
      <c r="T33" s="126" t="n">
        <f aca="false">L33/$R$3</f>
        <v>0</v>
      </c>
      <c r="U33" s="126" t="n">
        <f aca="false">I33/$R$3</f>
        <v>389.087</v>
      </c>
      <c r="V33" s="126" t="n">
        <f aca="false">M33/$R$3</f>
        <v>389.087</v>
      </c>
      <c r="W33" s="126" t="n">
        <f aca="false">N33/$R$3</f>
        <v>389.087</v>
      </c>
    </row>
    <row r="34" customFormat="false" ht="12.75" hidden="true" customHeight="false" outlineLevel="0" collapsed="false">
      <c r="A34" s="120" t="n">
        <f aca="false">A33+1</f>
        <v>36920</v>
      </c>
      <c r="B34" s="131" t="str">
        <f aca="false">INDEX('[4]Master Data'!$A$2:$B$8,MATCH(WEEKDAY('SC Gas MTM'!A34,3),'[4]Master Data'!$A$2:$A$8,0),2)</f>
        <v>M</v>
      </c>
      <c r="D34" s="124" t="n">
        <v>-15901700.6300323</v>
      </c>
      <c r="E34" s="124" t="n">
        <v>0</v>
      </c>
      <c r="F34" s="124" t="n">
        <v>0</v>
      </c>
      <c r="G34" s="124" t="n">
        <v>391092</v>
      </c>
      <c r="I34" s="124" t="n">
        <f aca="false">IF(MONTH($A34)=MONTH($A33),IF(G34=0,I33,G34),0)</f>
        <v>391092</v>
      </c>
      <c r="J34" s="124" t="n">
        <f aca="false">IF(MONTH($A34)=MONTH($A33),SUM(I34-I33),I34)</f>
        <v>2005</v>
      </c>
      <c r="K34" s="124" t="n">
        <f aca="false">IF(WEEKDAY(A34,3)&gt;4,0,(IF(A34&lt;K$2,0,IF(A34&lt;=K$3,1,0))))</f>
        <v>0</v>
      </c>
      <c r="L34" s="124" t="n">
        <f aca="false">J34*K34</f>
        <v>0</v>
      </c>
      <c r="M34" s="124" t="n">
        <f aca="false">SUM(J$6:J34)</f>
        <v>391092</v>
      </c>
      <c r="N34" s="124" t="n">
        <f aca="false">SUM(J$6:J34)</f>
        <v>391092</v>
      </c>
      <c r="P34" s="124" t="n">
        <f aca="false">D34/P$3</f>
        <v>-15.9017006300323</v>
      </c>
      <c r="Q34" s="124" t="n">
        <f aca="false">E34/P$3</f>
        <v>0</v>
      </c>
      <c r="R34" s="124" t="n">
        <f aca="false">F34/R$3</f>
        <v>0</v>
      </c>
      <c r="S34" s="126" t="n">
        <f aca="false">J34/$R$3</f>
        <v>2.005</v>
      </c>
      <c r="T34" s="126" t="n">
        <f aca="false">L34/$R$3</f>
        <v>0</v>
      </c>
      <c r="U34" s="126" t="n">
        <f aca="false">I34/$R$3</f>
        <v>391.092</v>
      </c>
      <c r="V34" s="126" t="n">
        <f aca="false">M34/$R$3</f>
        <v>391.092</v>
      </c>
      <c r="W34" s="126" t="n">
        <f aca="false">N34/$R$3</f>
        <v>391.092</v>
      </c>
    </row>
    <row r="35" customFormat="false" ht="12.75" hidden="true" customHeight="false" outlineLevel="0" collapsed="false">
      <c r="A35" s="120" t="n">
        <f aca="false">A34+1</f>
        <v>36921</v>
      </c>
      <c r="B35" s="131" t="str">
        <f aca="false">INDEX('[4]Master Data'!$A$2:$B$8,MATCH(WEEKDAY('SC Gas MTM'!A35,3),'[4]Master Data'!$A$2:$A$8,0),2)</f>
        <v>T</v>
      </c>
      <c r="D35" s="124" t="n">
        <v>-15900880.5642323</v>
      </c>
      <c r="E35" s="124" t="n">
        <v>0</v>
      </c>
      <c r="F35" s="124" t="n">
        <v>0</v>
      </c>
      <c r="G35" s="124" t="n">
        <v>439778</v>
      </c>
      <c r="I35" s="124" t="n">
        <f aca="false">IF(MONTH($A35)=MONTH($A34),IF(G35=0,I34,G35),0)</f>
        <v>439778</v>
      </c>
      <c r="J35" s="124" t="n">
        <f aca="false">IF(MONTH($A35)=MONTH($A34),SUM(I35-I34),I35)</f>
        <v>48686</v>
      </c>
      <c r="K35" s="124" t="n">
        <f aca="false">IF(WEEKDAY(A35,3)&gt;4,0,(IF(A35&lt;K$2,0,IF(A35&lt;=K$3,1,0))))</f>
        <v>0</v>
      </c>
      <c r="L35" s="124" t="n">
        <f aca="false">J35*K35</f>
        <v>0</v>
      </c>
      <c r="M35" s="124" t="n">
        <f aca="false">SUM(J$6:J35)</f>
        <v>439778</v>
      </c>
      <c r="N35" s="124" t="n">
        <f aca="false">SUM(J$6:J35)</f>
        <v>439778</v>
      </c>
      <c r="P35" s="124" t="n">
        <f aca="false">D35/P$3</f>
        <v>-15.9008805642323</v>
      </c>
      <c r="Q35" s="124" t="n">
        <f aca="false">E35/P$3</f>
        <v>0</v>
      </c>
      <c r="R35" s="124" t="n">
        <f aca="false">F35/R$3</f>
        <v>0</v>
      </c>
      <c r="S35" s="126" t="n">
        <f aca="false">J35/$R$3</f>
        <v>48.686</v>
      </c>
      <c r="T35" s="126" t="n">
        <f aca="false">L35/$R$3</f>
        <v>0</v>
      </c>
      <c r="U35" s="126" t="n">
        <f aca="false">I35/$R$3</f>
        <v>439.778</v>
      </c>
      <c r="V35" s="126" t="n">
        <f aca="false">M35/$R$3</f>
        <v>439.778</v>
      </c>
      <c r="W35" s="126" t="n">
        <f aca="false">N35/$R$3</f>
        <v>439.778</v>
      </c>
    </row>
    <row r="36" customFormat="false" ht="12.75" hidden="false" customHeight="false" outlineLevel="0" collapsed="false">
      <c r="A36" s="120" t="n">
        <f aca="false">A35+1</f>
        <v>36922</v>
      </c>
      <c r="B36" s="131" t="str">
        <f aca="false">INDEX('[4]Master Data'!$A$2:$B$8,MATCH(WEEKDAY('SC Gas MTM'!A36,3),'[4]Master Data'!$A$2:$A$8,0),2)</f>
        <v>W</v>
      </c>
      <c r="D36" s="124" t="n">
        <v>-15899792.6476323</v>
      </c>
      <c r="E36" s="124" t="n">
        <v>0</v>
      </c>
      <c r="F36" s="124" t="n">
        <v>0</v>
      </c>
      <c r="G36" s="124" t="n">
        <v>547022</v>
      </c>
      <c r="I36" s="124" t="n">
        <f aca="false">IF(MONTH($A36)=MONTH($A35),IF(G36=0,I35,G36),0)</f>
        <v>547022</v>
      </c>
      <c r="J36" s="124" t="n">
        <f aca="false">IF(MONTH($A36)=MONTH($A35),SUM(I36-I35),I36)</f>
        <v>107244</v>
      </c>
      <c r="K36" s="124" t="n">
        <f aca="false">IF(WEEKDAY(A36,3)&gt;4,0,(IF(A36&lt;K$2,0,IF(A36&lt;=K$3,1,0))))</f>
        <v>0</v>
      </c>
      <c r="L36" s="124" t="n">
        <f aca="false">J36*K36</f>
        <v>0</v>
      </c>
      <c r="M36" s="124" t="n">
        <f aca="false">SUM(J$6:J36)</f>
        <v>547022</v>
      </c>
      <c r="N36" s="124" t="n">
        <f aca="false">SUM(J$6:J36)</f>
        <v>547022</v>
      </c>
      <c r="P36" s="124" t="n">
        <f aca="false">D36/P$3</f>
        <v>-15.8997926476323</v>
      </c>
      <c r="Q36" s="124" t="n">
        <f aca="false">E36/P$3</f>
        <v>0</v>
      </c>
      <c r="R36" s="124" t="n">
        <f aca="false">F36/R$3</f>
        <v>0</v>
      </c>
      <c r="S36" s="126" t="n">
        <f aca="false">J36/$R$3</f>
        <v>107.244</v>
      </c>
      <c r="T36" s="126" t="n">
        <f aca="false">L36/$R$3</f>
        <v>0</v>
      </c>
      <c r="U36" s="126" t="n">
        <f aca="false">I36/$R$3</f>
        <v>547.022</v>
      </c>
      <c r="V36" s="126" t="n">
        <f aca="false">M36/$R$3</f>
        <v>547.022</v>
      </c>
      <c r="W36" s="126" t="n">
        <f aca="false">N36/$R$3</f>
        <v>547.022</v>
      </c>
    </row>
    <row r="37" customFormat="false" ht="12.75" hidden="true" customHeight="false" outlineLevel="0" collapsed="false">
      <c r="A37" s="120" t="n">
        <f aca="false">A36+1</f>
        <v>36923</v>
      </c>
      <c r="B37" s="131" t="str">
        <f aca="false">INDEX('[4]Master Data'!$A$2:$B$8,MATCH(WEEKDAY('SC Gas MTM'!A37,3),'[4]Master Data'!$A$2:$A$8,0),2)</f>
        <v>Th</v>
      </c>
      <c r="D37" s="124" t="n">
        <v>-15899240.2816323</v>
      </c>
      <c r="E37" s="124" t="n">
        <v>0</v>
      </c>
      <c r="F37" s="124" t="n">
        <v>0</v>
      </c>
      <c r="G37" s="124" t="n">
        <v>52863</v>
      </c>
      <c r="I37" s="124" t="n">
        <f aca="false">IF(MONTH($A37)=MONTH($A36),IF(G37=0,I36,G37),G37)</f>
        <v>52863</v>
      </c>
      <c r="J37" s="124" t="n">
        <f aca="false">IF(MONTH($A37)=MONTH($A36),SUM(I37-I36),I37)</f>
        <v>52863</v>
      </c>
      <c r="K37" s="124" t="n">
        <f aca="false">IF(WEEKDAY(A37,3)&gt;4,0,(IF(A37&lt;K$2,0,IF(A37&lt;=K$3,1,0))))</f>
        <v>0</v>
      </c>
      <c r="L37" s="124" t="n">
        <f aca="false">J37*K37</f>
        <v>0</v>
      </c>
      <c r="M37" s="124" t="n">
        <f aca="false">SUM(J$6:J37)</f>
        <v>599885</v>
      </c>
      <c r="N37" s="124" t="n">
        <f aca="false">SUM(J$6:J37)</f>
        <v>599885</v>
      </c>
      <c r="P37" s="124" t="n">
        <f aca="false">D37/P$3</f>
        <v>-15.8992402816323</v>
      </c>
      <c r="Q37" s="124" t="n">
        <f aca="false">E37/P$3</f>
        <v>0</v>
      </c>
      <c r="R37" s="124" t="n">
        <f aca="false">F37/R$3</f>
        <v>0</v>
      </c>
      <c r="S37" s="126" t="n">
        <f aca="false">J37/$R$3</f>
        <v>52.863</v>
      </c>
      <c r="T37" s="126" t="n">
        <f aca="false">L37/$R$3</f>
        <v>0</v>
      </c>
      <c r="U37" s="126" t="n">
        <f aca="false">I37/$R$3</f>
        <v>52.863</v>
      </c>
      <c r="V37" s="126" t="n">
        <f aca="false">M37/$R$3</f>
        <v>599.885</v>
      </c>
      <c r="W37" s="126" t="n">
        <f aca="false">N37/$R$3</f>
        <v>599.885</v>
      </c>
    </row>
    <row r="38" customFormat="false" ht="12.75" hidden="true" customHeight="false" outlineLevel="0" collapsed="false">
      <c r="A38" s="120" t="n">
        <f aca="false">A37+1</f>
        <v>36924</v>
      </c>
      <c r="B38" s="131" t="str">
        <f aca="false">INDEX('[4]Master Data'!$A$2:$B$8,MATCH(WEEKDAY('SC Gas MTM'!A38,3),'[4]Master Data'!$A$2:$A$8,0),2)</f>
        <v>F</v>
      </c>
      <c r="D38" s="124" t="n">
        <v>-15899111.6868323</v>
      </c>
      <c r="E38" s="124" t="n">
        <v>0</v>
      </c>
      <c r="F38" s="124" t="n">
        <v>0</v>
      </c>
      <c r="G38" s="124" t="n">
        <v>169718</v>
      </c>
      <c r="I38" s="124" t="n">
        <f aca="false">IF(MONTH($A38)=MONTH($A37),IF(G38=0,I37,G38),G38)</f>
        <v>169718</v>
      </c>
      <c r="J38" s="124" t="n">
        <f aca="false">IF(MONTH($A38)=MONTH($A37),SUM(I38-I37),I38)</f>
        <v>116855</v>
      </c>
      <c r="K38" s="124" t="n">
        <f aca="false">IF(WEEKDAY(A38,3)&gt;4,0,(IF(A38&lt;K$2,0,IF(A38&lt;=K$3,1,0))))</f>
        <v>0</v>
      </c>
      <c r="L38" s="124" t="n">
        <f aca="false">J38*K38</f>
        <v>0</v>
      </c>
      <c r="M38" s="124" t="n">
        <f aca="false">SUM(J$6:J38)</f>
        <v>716740</v>
      </c>
      <c r="N38" s="124" t="n">
        <f aca="false">SUM(J$6:J38)</f>
        <v>716740</v>
      </c>
      <c r="P38" s="124" t="n">
        <f aca="false">D38/P$3</f>
        <v>-15.8991116868323</v>
      </c>
      <c r="Q38" s="124" t="n">
        <f aca="false">E38/P$3</f>
        <v>0</v>
      </c>
      <c r="R38" s="124" t="n">
        <f aca="false">F38/R$3</f>
        <v>0</v>
      </c>
      <c r="S38" s="126" t="n">
        <f aca="false">J38/$R$3</f>
        <v>116.855</v>
      </c>
      <c r="T38" s="126" t="n">
        <f aca="false">L38/$R$3</f>
        <v>0</v>
      </c>
      <c r="U38" s="126" t="n">
        <f aca="false">I38/$R$3</f>
        <v>169.718</v>
      </c>
      <c r="V38" s="126" t="n">
        <f aca="false">M38/$R$3</f>
        <v>716.74</v>
      </c>
      <c r="W38" s="126" t="n">
        <f aca="false">N38/$R$3</f>
        <v>716.74</v>
      </c>
    </row>
    <row r="39" customFormat="false" ht="12.75" hidden="true" customHeight="false" outlineLevel="0" collapsed="false">
      <c r="A39" s="120" t="n">
        <f aca="false">A38+1</f>
        <v>36925</v>
      </c>
      <c r="B39" s="131" t="str">
        <f aca="false">INDEX('[4]Master Data'!$A$2:$B$8,MATCH(WEEKDAY('SC Gas MTM'!A39,3),'[4]Master Data'!$A$2:$A$8,0),2)</f>
        <v>Sa</v>
      </c>
      <c r="D39" s="124" t="n">
        <v>0</v>
      </c>
      <c r="E39" s="124" t="n">
        <v>0</v>
      </c>
      <c r="F39" s="124" t="n">
        <v>0</v>
      </c>
      <c r="G39" s="124" t="n">
        <v>0</v>
      </c>
      <c r="I39" s="124" t="n">
        <f aca="false">IF(MONTH($A39)=MONTH($A38),IF(G39=0,I38,G39),G39)</f>
        <v>169718</v>
      </c>
      <c r="J39" s="124" t="n">
        <f aca="false">IF(MONTH($A39)=MONTH($A38),SUM(I39-I38),I39)</f>
        <v>0</v>
      </c>
      <c r="K39" s="124" t="n">
        <f aca="false">IF(WEEKDAY(A39,3)&gt;4,0,(IF(A39&lt;K$2,0,IF(A39&lt;=K$3,1,0))))</f>
        <v>0</v>
      </c>
      <c r="L39" s="124" t="n">
        <f aca="false">J39*K39</f>
        <v>0</v>
      </c>
      <c r="M39" s="124" t="n">
        <f aca="false">SUM(J$6:J39)</f>
        <v>716740</v>
      </c>
      <c r="N39" s="124" t="n">
        <f aca="false">SUM(J$6:J39)</f>
        <v>716740</v>
      </c>
      <c r="P39" s="124" t="n">
        <f aca="false">D39/P$3</f>
        <v>0</v>
      </c>
      <c r="Q39" s="124" t="n">
        <f aca="false">E39/P$3</f>
        <v>0</v>
      </c>
      <c r="R39" s="124" t="n">
        <f aca="false">F39/R$3</f>
        <v>0</v>
      </c>
      <c r="S39" s="126" t="n">
        <f aca="false">J39/$R$3</f>
        <v>0</v>
      </c>
      <c r="T39" s="126" t="n">
        <f aca="false">L39/$R$3</f>
        <v>0</v>
      </c>
      <c r="U39" s="126" t="n">
        <f aca="false">I39/$R$3</f>
        <v>169.718</v>
      </c>
      <c r="V39" s="126" t="n">
        <f aca="false">M39/$R$3</f>
        <v>716.74</v>
      </c>
      <c r="W39" s="126" t="n">
        <f aca="false">N39/$R$3</f>
        <v>716.74</v>
      </c>
    </row>
    <row r="40" customFormat="false" ht="12.75" hidden="true" customHeight="false" outlineLevel="0" collapsed="false">
      <c r="A40" s="120" t="n">
        <f aca="false">A39+1</f>
        <v>36926</v>
      </c>
      <c r="B40" s="131" t="str">
        <f aca="false">INDEX('[4]Master Data'!$A$2:$B$8,MATCH(WEEKDAY('SC Gas MTM'!A40,3),'[4]Master Data'!$A$2:$A$8,0),2)</f>
        <v>Su</v>
      </c>
      <c r="D40" s="124" t="n">
        <v>0</v>
      </c>
      <c r="E40" s="124" t="n">
        <v>0</v>
      </c>
      <c r="F40" s="124" t="n">
        <v>0</v>
      </c>
      <c r="G40" s="124" t="n">
        <v>0</v>
      </c>
      <c r="I40" s="124" t="n">
        <f aca="false">IF(MONTH($A40)=MONTH($A39),IF(G40=0,I39,G40),G40)</f>
        <v>169718</v>
      </c>
      <c r="J40" s="124" t="n">
        <f aca="false">IF(MONTH($A40)=MONTH($A39),SUM(I40-I39),I40)</f>
        <v>0</v>
      </c>
      <c r="K40" s="124" t="n">
        <f aca="false">IF(WEEKDAY(A40,3)&gt;4,0,(IF(A40&lt;K$2,0,IF(A40&lt;=K$3,1,0))))</f>
        <v>0</v>
      </c>
      <c r="L40" s="124" t="n">
        <f aca="false">J40*K40</f>
        <v>0</v>
      </c>
      <c r="M40" s="124" t="n">
        <f aca="false">SUM(J$6:J40)</f>
        <v>716740</v>
      </c>
      <c r="N40" s="124" t="n">
        <f aca="false">SUM(J$6:J40)</f>
        <v>716740</v>
      </c>
      <c r="P40" s="124" t="n">
        <f aca="false">D40/P$3</f>
        <v>0</v>
      </c>
      <c r="Q40" s="124" t="n">
        <f aca="false">E40/P$3</f>
        <v>0</v>
      </c>
      <c r="R40" s="124" t="n">
        <f aca="false">F40/R$3</f>
        <v>0</v>
      </c>
      <c r="S40" s="126" t="n">
        <f aca="false">J40/$R$3</f>
        <v>0</v>
      </c>
      <c r="T40" s="126" t="n">
        <f aca="false">L40/$R$3</f>
        <v>0</v>
      </c>
      <c r="U40" s="126" t="n">
        <f aca="false">I40/$R$3</f>
        <v>169.718</v>
      </c>
      <c r="V40" s="126" t="n">
        <f aca="false">M40/$R$3</f>
        <v>716.74</v>
      </c>
      <c r="W40" s="126" t="n">
        <f aca="false">N40/$R$3</f>
        <v>716.74</v>
      </c>
    </row>
    <row r="41" customFormat="false" ht="12.75" hidden="true" customHeight="false" outlineLevel="0" collapsed="false">
      <c r="A41" s="120" t="n">
        <f aca="false">A40+1</f>
        <v>36927</v>
      </c>
      <c r="B41" s="131" t="str">
        <f aca="false">INDEX('[4]Master Data'!$A$2:$B$8,MATCH(WEEKDAY('SC Gas MTM'!A41,3),'[4]Master Data'!$A$2:$A$8,0),2)</f>
        <v>M</v>
      </c>
      <c r="D41" s="124" t="n">
        <v>-15897883.2006323</v>
      </c>
      <c r="E41" s="124" t="n">
        <v>0</v>
      </c>
      <c r="F41" s="124" t="n">
        <v>0</v>
      </c>
      <c r="G41" s="124" t="n">
        <v>56433</v>
      </c>
      <c r="I41" s="124" t="n">
        <f aca="false">IF(MONTH($A41)=MONTH($A40),IF(G41=0,I40,G41),G41)</f>
        <v>56433</v>
      </c>
      <c r="J41" s="124" t="n">
        <f aca="false">IF(MONTH($A41)=MONTH($A40),SUM(I41-I40),I41)</f>
        <v>-113285</v>
      </c>
      <c r="K41" s="124" t="n">
        <f aca="false">IF(WEEKDAY(A41,3)&gt;4,0,(IF(A41&lt;K$2,0,IF(A41&lt;=K$3,1,0))))</f>
        <v>0</v>
      </c>
      <c r="L41" s="124" t="n">
        <f aca="false">J41*K41</f>
        <v>-0</v>
      </c>
      <c r="M41" s="124" t="n">
        <f aca="false">SUM(J$6:J41)</f>
        <v>603455</v>
      </c>
      <c r="N41" s="124" t="n">
        <f aca="false">SUM(J$6:J41)</f>
        <v>603455</v>
      </c>
      <c r="P41" s="124" t="n">
        <f aca="false">D41/P$3</f>
        <v>-15.8978832006323</v>
      </c>
      <c r="Q41" s="124" t="n">
        <f aca="false">E41/P$3</f>
        <v>0</v>
      </c>
      <c r="R41" s="124" t="n">
        <f aca="false">F41/R$3</f>
        <v>0</v>
      </c>
      <c r="S41" s="126" t="n">
        <f aca="false">J41/$R$3</f>
        <v>-113.285</v>
      </c>
      <c r="T41" s="126" t="n">
        <f aca="false">L41/$R$3</f>
        <v>-0</v>
      </c>
      <c r="U41" s="126" t="n">
        <f aca="false">I41/$R$3</f>
        <v>56.433</v>
      </c>
      <c r="V41" s="126" t="n">
        <f aca="false">M41/$R$3</f>
        <v>603.455</v>
      </c>
      <c r="W41" s="126" t="n">
        <f aca="false">N41/$R$3</f>
        <v>603.455</v>
      </c>
    </row>
    <row r="42" customFormat="false" ht="12.75" hidden="true" customHeight="false" outlineLevel="0" collapsed="false">
      <c r="A42" s="120" t="n">
        <f aca="false">A41+1</f>
        <v>36928</v>
      </c>
      <c r="B42" s="131" t="str">
        <f aca="false">INDEX('[4]Master Data'!$A$2:$B$8,MATCH(WEEKDAY('SC Gas MTM'!A42,3),'[4]Master Data'!$A$2:$A$8,0),2)</f>
        <v>T</v>
      </c>
      <c r="D42" s="124" t="n">
        <v>-15897491.8391323</v>
      </c>
      <c r="E42" s="124" t="n">
        <v>0</v>
      </c>
      <c r="F42" s="124" t="n">
        <v>0</v>
      </c>
      <c r="G42" s="124" t="n">
        <v>-10295</v>
      </c>
      <c r="I42" s="124" t="n">
        <f aca="false">IF(MONTH($A42)=MONTH($A41),IF(G42=0,I41,G42),G42)</f>
        <v>-10295</v>
      </c>
      <c r="J42" s="124" t="n">
        <f aca="false">IF(MONTH($A42)=MONTH($A41),SUM(I42-I41),I42)</f>
        <v>-66728</v>
      </c>
      <c r="K42" s="124" t="n">
        <f aca="false">IF(WEEKDAY(A42,3)&gt;4,0,(IF(A42&lt;K$2,0,IF(A42&lt;=K$3,1,0))))</f>
        <v>0</v>
      </c>
      <c r="L42" s="124" t="n">
        <f aca="false">J42*K42</f>
        <v>-0</v>
      </c>
      <c r="M42" s="124" t="n">
        <f aca="false">SUM(J$6:J42)</f>
        <v>536727</v>
      </c>
      <c r="N42" s="124" t="n">
        <f aca="false">SUM(J$6:J42)</f>
        <v>536727</v>
      </c>
      <c r="P42" s="124" t="n">
        <f aca="false">D42/P$3</f>
        <v>-15.8974918391323</v>
      </c>
      <c r="Q42" s="124" t="n">
        <f aca="false">E42/P$3</f>
        <v>0</v>
      </c>
      <c r="R42" s="124" t="n">
        <f aca="false">F42/R$3</f>
        <v>0</v>
      </c>
      <c r="S42" s="126" t="n">
        <f aca="false">J42/$R$3</f>
        <v>-66.728</v>
      </c>
      <c r="T42" s="126" t="n">
        <f aca="false">L42/$R$3</f>
        <v>-0</v>
      </c>
      <c r="U42" s="126" t="n">
        <f aca="false">I42/$R$3</f>
        <v>-10.295</v>
      </c>
      <c r="V42" s="126" t="n">
        <f aca="false">M42/$R$3</f>
        <v>536.727</v>
      </c>
      <c r="W42" s="126" t="n">
        <f aca="false">N42/$R$3</f>
        <v>536.727</v>
      </c>
    </row>
    <row r="43" customFormat="false" ht="12.75" hidden="true" customHeight="false" outlineLevel="0" collapsed="false">
      <c r="A43" s="120" t="n">
        <f aca="false">A42+1</f>
        <v>36929</v>
      </c>
      <c r="B43" s="131" t="str">
        <f aca="false">INDEX('[4]Master Data'!$A$2:$B$8,MATCH(WEEKDAY('SC Gas MTM'!A43,3),'[4]Master Data'!$A$2:$A$8,0),2)</f>
        <v>W</v>
      </c>
      <c r="D43" s="124" t="n">
        <v>-15896969.3792323</v>
      </c>
      <c r="E43" s="124" t="n">
        <v>0</v>
      </c>
      <c r="F43" s="124" t="n">
        <v>0</v>
      </c>
      <c r="G43" s="124" t="n">
        <v>157136</v>
      </c>
      <c r="I43" s="124" t="n">
        <f aca="false">IF(MONTH($A43)=MONTH($A42),IF(G43=0,I42,G43),G43)</f>
        <v>157136</v>
      </c>
      <c r="J43" s="124" t="n">
        <f aca="false">IF(MONTH($A43)=MONTH($A42),SUM(I43-I42),I43)</f>
        <v>167431</v>
      </c>
      <c r="K43" s="124" t="n">
        <f aca="false">IF(WEEKDAY(A43,3)&gt;4,0,(IF(A43&lt;K$2,0,IF(A43&lt;=K$3,1,0))))</f>
        <v>0</v>
      </c>
      <c r="L43" s="124" t="n">
        <f aca="false">J43*K43</f>
        <v>0</v>
      </c>
      <c r="M43" s="124" t="n">
        <f aca="false">SUM(J$6:J43)</f>
        <v>704158</v>
      </c>
      <c r="N43" s="124" t="n">
        <f aca="false">SUM(J$6:J43)</f>
        <v>704158</v>
      </c>
      <c r="P43" s="124" t="n">
        <f aca="false">D43/P$3</f>
        <v>-15.8969693792323</v>
      </c>
      <c r="Q43" s="124" t="n">
        <f aca="false">E43/P$3</f>
        <v>0</v>
      </c>
      <c r="R43" s="124" t="n">
        <f aca="false">F43/R$3</f>
        <v>0</v>
      </c>
      <c r="S43" s="126" t="n">
        <f aca="false">J43/$R$3</f>
        <v>167.431</v>
      </c>
      <c r="T43" s="126" t="n">
        <f aca="false">L43/$R$3</f>
        <v>0</v>
      </c>
      <c r="U43" s="126" t="n">
        <f aca="false">I43/$R$3</f>
        <v>157.136</v>
      </c>
      <c r="V43" s="126" t="n">
        <f aca="false">M43/$R$3</f>
        <v>704.158</v>
      </c>
      <c r="W43" s="126" t="n">
        <f aca="false">N43/$R$3</f>
        <v>704.158</v>
      </c>
    </row>
    <row r="44" customFormat="false" ht="12.75" hidden="true" customHeight="false" outlineLevel="0" collapsed="false">
      <c r="A44" s="120" t="n">
        <f aca="false">A43+1</f>
        <v>36930</v>
      </c>
      <c r="B44" s="131" t="str">
        <f aca="false">INDEX('[4]Master Data'!$A$2:$B$8,MATCH(WEEKDAY('SC Gas MTM'!A44,3),'[4]Master Data'!$A$2:$A$8,0),2)</f>
        <v>Th</v>
      </c>
      <c r="D44" s="124" t="n">
        <v>-15896584.7494323</v>
      </c>
      <c r="E44" s="124" t="n">
        <v>0</v>
      </c>
      <c r="F44" s="124" t="n">
        <v>0</v>
      </c>
      <c r="G44" s="124" t="n">
        <v>134969</v>
      </c>
      <c r="I44" s="124" t="n">
        <f aca="false">IF(MONTH($A44)=MONTH($A43),IF(G44=0,I43,G44),G44)</f>
        <v>134969</v>
      </c>
      <c r="J44" s="124" t="n">
        <f aca="false">IF(MONTH($A44)=MONTH($A43),SUM(I44-I43),I44)</f>
        <v>-22167</v>
      </c>
      <c r="K44" s="124" t="n">
        <f aca="false">IF(WEEKDAY(A44,3)&gt;4,0,(IF(A44&lt;K$2,0,IF(A44&lt;=K$3,1,0))))</f>
        <v>0</v>
      </c>
      <c r="L44" s="124" t="n">
        <f aca="false">J44*K44</f>
        <v>-0</v>
      </c>
      <c r="M44" s="124" t="n">
        <f aca="false">SUM(J$6:J44)</f>
        <v>681991</v>
      </c>
      <c r="N44" s="124" t="n">
        <f aca="false">SUM(J$6:J44)</f>
        <v>681991</v>
      </c>
      <c r="P44" s="124" t="n">
        <f aca="false">D44/P$3</f>
        <v>-15.8965847494323</v>
      </c>
      <c r="Q44" s="124" t="n">
        <f aca="false">E44/P$3</f>
        <v>0</v>
      </c>
      <c r="R44" s="124" t="n">
        <f aca="false">F44/R$3</f>
        <v>0</v>
      </c>
      <c r="S44" s="126" t="n">
        <f aca="false">J44/$R$3</f>
        <v>-22.167</v>
      </c>
      <c r="T44" s="126" t="n">
        <f aca="false">L44/$R$3</f>
        <v>-0</v>
      </c>
      <c r="U44" s="126" t="n">
        <f aca="false">I44/$R$3</f>
        <v>134.969</v>
      </c>
      <c r="V44" s="126" t="n">
        <f aca="false">M44/$R$3</f>
        <v>681.991</v>
      </c>
      <c r="W44" s="126" t="n">
        <f aca="false">N44/$R$3</f>
        <v>681.991</v>
      </c>
    </row>
    <row r="45" customFormat="false" ht="12.75" hidden="true" customHeight="false" outlineLevel="0" collapsed="false">
      <c r="A45" s="120" t="n">
        <f aca="false">A44+1</f>
        <v>36931</v>
      </c>
      <c r="B45" s="131" t="str">
        <f aca="false">INDEX('[4]Master Data'!$A$2:$B$8,MATCH(WEEKDAY('SC Gas MTM'!A45,3),'[4]Master Data'!$A$2:$A$8,0),2)</f>
        <v>F</v>
      </c>
      <c r="D45" s="124" t="n">
        <v>-15896017.7442323</v>
      </c>
      <c r="E45" s="124" t="n">
        <v>0</v>
      </c>
      <c r="F45" s="124" t="n">
        <v>0</v>
      </c>
      <c r="G45" s="124" t="n">
        <v>146387</v>
      </c>
      <c r="I45" s="124" t="n">
        <f aca="false">IF(MONTH($A45)=MONTH($A44),IF(G45=0,I44,G45),G45)</f>
        <v>146387</v>
      </c>
      <c r="J45" s="124" t="n">
        <f aca="false">IF(MONTH($A45)=MONTH($A44),SUM(I45-I44),I45)</f>
        <v>11418</v>
      </c>
      <c r="K45" s="124" t="n">
        <f aca="false">IF(WEEKDAY(A45,3)&gt;4,0,(IF(A45&lt;K$2,0,IF(A45&lt;=K$3,1,0))))</f>
        <v>0</v>
      </c>
      <c r="L45" s="124" t="n">
        <f aca="false">J45*K45</f>
        <v>0</v>
      </c>
      <c r="M45" s="124" t="n">
        <f aca="false">SUM(J$6:J45)</f>
        <v>693409</v>
      </c>
      <c r="N45" s="124" t="n">
        <f aca="false">SUM(J$6:J45)</f>
        <v>693409</v>
      </c>
      <c r="P45" s="124" t="n">
        <f aca="false">D45/P$3</f>
        <v>-15.8960177442323</v>
      </c>
      <c r="Q45" s="124" t="n">
        <f aca="false">E45/P$3</f>
        <v>0</v>
      </c>
      <c r="R45" s="124" t="n">
        <f aca="false">F45/R$3</f>
        <v>0</v>
      </c>
      <c r="S45" s="126" t="n">
        <f aca="false">J45/$R$3</f>
        <v>11.418</v>
      </c>
      <c r="T45" s="126" t="n">
        <f aca="false">L45/$R$3</f>
        <v>0</v>
      </c>
      <c r="U45" s="126" t="n">
        <f aca="false">I45/$R$3</f>
        <v>146.387</v>
      </c>
      <c r="V45" s="126" t="n">
        <f aca="false">M45/$R$3</f>
        <v>693.409</v>
      </c>
      <c r="W45" s="126" t="n">
        <f aca="false">N45/$R$3</f>
        <v>693.409</v>
      </c>
    </row>
    <row r="46" customFormat="false" ht="12.75" hidden="true" customHeight="false" outlineLevel="0" collapsed="false">
      <c r="A46" s="120" t="n">
        <f aca="false">A45+1</f>
        <v>36932</v>
      </c>
      <c r="B46" s="131" t="str">
        <f aca="false">INDEX('[4]Master Data'!$A$2:$B$8,MATCH(WEEKDAY('SC Gas MTM'!A46,3),'[4]Master Data'!$A$2:$A$8,0),2)</f>
        <v>Sa</v>
      </c>
      <c r="D46" s="124" t="n">
        <v>0</v>
      </c>
      <c r="E46" s="124" t="n">
        <v>0</v>
      </c>
      <c r="F46" s="124" t="n">
        <v>0</v>
      </c>
      <c r="G46" s="124" t="n">
        <v>0</v>
      </c>
      <c r="I46" s="124" t="n">
        <f aca="false">IF(MONTH($A46)=MONTH($A45),IF(G46=0,I45,G46),G46)</f>
        <v>146387</v>
      </c>
      <c r="J46" s="124" t="n">
        <f aca="false">IF(MONTH($A46)=MONTH($A45),SUM(I46-I45),I46)</f>
        <v>0</v>
      </c>
      <c r="K46" s="124" t="n">
        <f aca="false">IF(WEEKDAY(A46,3)&gt;4,0,(IF(A46&lt;K$2,0,IF(A46&lt;=K$3,1,0))))</f>
        <v>0</v>
      </c>
      <c r="L46" s="124" t="n">
        <f aca="false">J46*K46</f>
        <v>0</v>
      </c>
      <c r="M46" s="124" t="n">
        <f aca="false">SUM(J$6:J46)</f>
        <v>693409</v>
      </c>
      <c r="N46" s="124" t="n">
        <f aca="false">SUM(J$6:J46)</f>
        <v>693409</v>
      </c>
      <c r="P46" s="124" t="n">
        <f aca="false">D46/P$3</f>
        <v>0</v>
      </c>
      <c r="Q46" s="124" t="n">
        <f aca="false">E46/P$3</f>
        <v>0</v>
      </c>
      <c r="R46" s="124" t="n">
        <f aca="false">F46/R$3</f>
        <v>0</v>
      </c>
      <c r="S46" s="126" t="n">
        <f aca="false">J46/$R$3</f>
        <v>0</v>
      </c>
      <c r="T46" s="126" t="n">
        <f aca="false">L46/$R$3</f>
        <v>0</v>
      </c>
      <c r="U46" s="126" t="n">
        <f aca="false">I46/$R$3</f>
        <v>146.387</v>
      </c>
      <c r="V46" s="126" t="n">
        <f aca="false">M46/$R$3</f>
        <v>693.409</v>
      </c>
      <c r="W46" s="126" t="n">
        <f aca="false">N46/$R$3</f>
        <v>693.409</v>
      </c>
    </row>
    <row r="47" customFormat="false" ht="12.75" hidden="true" customHeight="false" outlineLevel="0" collapsed="false">
      <c r="A47" s="120" t="n">
        <f aca="false">A46+1</f>
        <v>36933</v>
      </c>
      <c r="B47" s="131" t="str">
        <f aca="false">INDEX('[4]Master Data'!$A$2:$B$8,MATCH(WEEKDAY('SC Gas MTM'!A47,3),'[4]Master Data'!$A$2:$A$8,0),2)</f>
        <v>Su</v>
      </c>
      <c r="D47" s="124" t="n">
        <v>0</v>
      </c>
      <c r="E47" s="124" t="n">
        <v>0</v>
      </c>
      <c r="F47" s="124" t="n">
        <v>0</v>
      </c>
      <c r="G47" s="124" t="n">
        <v>0</v>
      </c>
      <c r="I47" s="124" t="n">
        <f aca="false">IF(MONTH($A47)=MONTH($A46),IF(G47=0,I46,G47),G47)</f>
        <v>146387</v>
      </c>
      <c r="J47" s="124" t="n">
        <f aca="false">IF(MONTH($A47)=MONTH($A46),SUM(I47-I46),I47)</f>
        <v>0</v>
      </c>
      <c r="K47" s="124" t="n">
        <f aca="false">IF(WEEKDAY(A47,3)&gt;4,0,(IF(A47&lt;K$2,0,IF(A47&lt;=K$3,1,0))))</f>
        <v>0</v>
      </c>
      <c r="L47" s="124" t="n">
        <f aca="false">J47*K47</f>
        <v>0</v>
      </c>
      <c r="M47" s="124" t="n">
        <f aca="false">SUM(J$6:J47)</f>
        <v>693409</v>
      </c>
      <c r="N47" s="124" t="n">
        <f aca="false">SUM(J$6:J47)</f>
        <v>693409</v>
      </c>
      <c r="P47" s="124" t="n">
        <f aca="false">D47/P$3</f>
        <v>0</v>
      </c>
      <c r="Q47" s="124" t="n">
        <f aca="false">E47/P$3</f>
        <v>0</v>
      </c>
      <c r="R47" s="124" t="n">
        <f aca="false">F47/R$3</f>
        <v>0</v>
      </c>
      <c r="S47" s="126" t="n">
        <f aca="false">J47/$R$3</f>
        <v>0</v>
      </c>
      <c r="T47" s="126" t="n">
        <f aca="false">L47/$R$3</f>
        <v>0</v>
      </c>
      <c r="U47" s="126" t="n">
        <f aca="false">I47/$R$3</f>
        <v>146.387</v>
      </c>
      <c r="V47" s="126" t="n">
        <f aca="false">M47/$R$3</f>
        <v>693.409</v>
      </c>
      <c r="W47" s="126" t="n">
        <f aca="false">N47/$R$3</f>
        <v>693.409</v>
      </c>
    </row>
    <row r="48" customFormat="false" ht="12.75" hidden="true" customHeight="false" outlineLevel="0" collapsed="false">
      <c r="A48" s="120" t="n">
        <f aca="false">A47+1</f>
        <v>36934</v>
      </c>
      <c r="B48" s="131" t="str">
        <f aca="false">INDEX('[4]Master Data'!$A$2:$B$8,MATCH(WEEKDAY('SC Gas MTM'!A48,3),'[4]Master Data'!$A$2:$A$8,0),2)</f>
        <v>M</v>
      </c>
      <c r="D48" s="124" t="n">
        <v>-15894675.5765323</v>
      </c>
      <c r="E48" s="124" t="n">
        <v>0</v>
      </c>
      <c r="F48" s="124" t="n">
        <v>0</v>
      </c>
      <c r="G48" s="124" t="n">
        <v>93061</v>
      </c>
      <c r="I48" s="124" t="n">
        <f aca="false">IF(MONTH($A48)=MONTH($A47),IF(G48=0,I47,G48),G48)</f>
        <v>93061</v>
      </c>
      <c r="J48" s="124" t="n">
        <f aca="false">IF(MONTH($A48)=MONTH($A47),SUM(I48-I47),I48)</f>
        <v>-53326</v>
      </c>
      <c r="K48" s="124" t="n">
        <f aca="false">IF(WEEKDAY(A48,3)&gt;4,0,(IF(A48&lt;K$2,0,IF(A48&lt;=K$3,1,0))))</f>
        <v>0</v>
      </c>
      <c r="L48" s="124" t="n">
        <f aca="false">J48*K48</f>
        <v>-0</v>
      </c>
      <c r="M48" s="124" t="n">
        <f aca="false">SUM(J$6:J48)</f>
        <v>640083</v>
      </c>
      <c r="N48" s="124" t="n">
        <f aca="false">SUM(J$6:J48)</f>
        <v>640083</v>
      </c>
      <c r="P48" s="124" t="n">
        <f aca="false">D48/P$3</f>
        <v>-15.8946755765323</v>
      </c>
      <c r="Q48" s="124" t="n">
        <f aca="false">E48/P$3</f>
        <v>0</v>
      </c>
      <c r="R48" s="124" t="n">
        <f aca="false">F48/R$3</f>
        <v>0</v>
      </c>
      <c r="S48" s="126" t="n">
        <f aca="false">J48/$R$3</f>
        <v>-53.326</v>
      </c>
      <c r="T48" s="126" t="n">
        <f aca="false">L48/$R$3</f>
        <v>-0</v>
      </c>
      <c r="U48" s="126" t="n">
        <f aca="false">I48/$R$3</f>
        <v>93.061</v>
      </c>
      <c r="V48" s="126" t="n">
        <f aca="false">M48/$R$3</f>
        <v>640.083</v>
      </c>
      <c r="W48" s="126" t="n">
        <f aca="false">N48/$R$3</f>
        <v>640.083</v>
      </c>
    </row>
    <row r="49" customFormat="false" ht="12.75" hidden="true" customHeight="false" outlineLevel="0" collapsed="false">
      <c r="A49" s="120" t="n">
        <f aca="false">A48+1</f>
        <v>36935</v>
      </c>
      <c r="B49" s="131" t="str">
        <f aca="false">INDEX('[4]Master Data'!$A$2:$B$8,MATCH(WEEKDAY('SC Gas MTM'!A49,3),'[4]Master Data'!$A$2:$A$8,0),2)</f>
        <v>T</v>
      </c>
      <c r="D49" s="124" t="n">
        <v>-15894418.8361323</v>
      </c>
      <c r="E49" s="124" t="n">
        <v>0</v>
      </c>
      <c r="F49" s="124" t="n">
        <v>0</v>
      </c>
      <c r="G49" s="124" t="n">
        <v>132432</v>
      </c>
      <c r="I49" s="124" t="n">
        <f aca="false">IF(MONTH($A49)=MONTH($A48),IF(G49=0,I48,G49),G49)</f>
        <v>132432</v>
      </c>
      <c r="J49" s="124" t="n">
        <f aca="false">IF(MONTH($A49)=MONTH($A48),SUM(I49-I48),I49)</f>
        <v>39371</v>
      </c>
      <c r="K49" s="124" t="n">
        <f aca="false">IF(WEEKDAY(A49,3)&gt;4,0,(IF(A49&lt;K$2,0,IF(A49&lt;=K$3,1,0))))</f>
        <v>0</v>
      </c>
      <c r="L49" s="124" t="n">
        <f aca="false">J49*K49</f>
        <v>0</v>
      </c>
      <c r="M49" s="124" t="n">
        <f aca="false">SUM(J$6:J49)</f>
        <v>679454</v>
      </c>
      <c r="N49" s="124" t="n">
        <f aca="false">SUM(J$6:J49)</f>
        <v>679454</v>
      </c>
      <c r="P49" s="124" t="n">
        <f aca="false">D49/P$3</f>
        <v>-15.8944188361323</v>
      </c>
      <c r="Q49" s="124" t="n">
        <f aca="false">E49/P$3</f>
        <v>0</v>
      </c>
      <c r="R49" s="124" t="n">
        <f aca="false">F49/R$3</f>
        <v>0</v>
      </c>
      <c r="S49" s="126" t="n">
        <f aca="false">J49/$R$3</f>
        <v>39.371</v>
      </c>
      <c r="T49" s="126" t="n">
        <f aca="false">L49/$R$3</f>
        <v>0</v>
      </c>
      <c r="U49" s="126" t="n">
        <f aca="false">I49/$R$3</f>
        <v>132.432</v>
      </c>
      <c r="V49" s="126" t="n">
        <f aca="false">M49/$R$3</f>
        <v>679.454</v>
      </c>
      <c r="W49" s="126" t="n">
        <f aca="false">N49/$R$3</f>
        <v>679.454</v>
      </c>
    </row>
    <row r="50" customFormat="false" ht="12.75" hidden="true" customHeight="false" outlineLevel="0" collapsed="false">
      <c r="A50" s="120" t="n">
        <f aca="false">A49+1</f>
        <v>36936</v>
      </c>
      <c r="B50" s="131" t="str">
        <f aca="false">INDEX('[4]Master Data'!$A$2:$B$8,MATCH(WEEKDAY('SC Gas MTM'!A50,3),'[4]Master Data'!$A$2:$A$8,0),2)</f>
        <v>W</v>
      </c>
      <c r="D50" s="124" t="n">
        <v>-15894183.6737323</v>
      </c>
      <c r="E50" s="124" t="n">
        <v>0</v>
      </c>
      <c r="F50" s="124" t="n">
        <v>0</v>
      </c>
      <c r="G50" s="124" t="n">
        <v>-42845</v>
      </c>
      <c r="I50" s="124" t="n">
        <f aca="false">IF(MONTH($A50)=MONTH($A49),IF(G50=0,I49,G50),G50)</f>
        <v>-42845</v>
      </c>
      <c r="J50" s="124" t="n">
        <f aca="false">IF(MONTH($A50)=MONTH($A49),SUM(I50-I49),I50)</f>
        <v>-175277</v>
      </c>
      <c r="K50" s="124" t="n">
        <f aca="false">IF(WEEKDAY(A50,3)&gt;4,0,(IF(A50&lt;K$2,0,IF(A50&lt;=K$3,1,0))))</f>
        <v>0</v>
      </c>
      <c r="L50" s="124" t="n">
        <f aca="false">J50*K50</f>
        <v>-0</v>
      </c>
      <c r="M50" s="124" t="n">
        <f aca="false">SUM(J$6:J50)</f>
        <v>504177</v>
      </c>
      <c r="N50" s="124" t="n">
        <f aca="false">SUM(J$6:J50)</f>
        <v>504177</v>
      </c>
      <c r="P50" s="124" t="n">
        <f aca="false">D50/P$3</f>
        <v>-15.8941836737323</v>
      </c>
      <c r="Q50" s="124" t="n">
        <f aca="false">E50/P$3</f>
        <v>0</v>
      </c>
      <c r="R50" s="124" t="n">
        <f aca="false">F50/R$3</f>
        <v>0</v>
      </c>
      <c r="S50" s="126" t="n">
        <f aca="false">J50/$R$3</f>
        <v>-175.277</v>
      </c>
      <c r="T50" s="126" t="n">
        <f aca="false">L50/$R$3</f>
        <v>-0</v>
      </c>
      <c r="U50" s="126" t="n">
        <f aca="false">I50/$R$3</f>
        <v>-42.845</v>
      </c>
      <c r="V50" s="126" t="n">
        <f aca="false">M50/$R$3</f>
        <v>504.177</v>
      </c>
      <c r="W50" s="126" t="n">
        <f aca="false">N50/$R$3</f>
        <v>504.177</v>
      </c>
    </row>
    <row r="51" customFormat="false" ht="12.75" hidden="true" customHeight="false" outlineLevel="0" collapsed="false">
      <c r="A51" s="120" t="n">
        <f aca="false">A50+1</f>
        <v>36937</v>
      </c>
      <c r="B51" s="131" t="str">
        <f aca="false">INDEX('[4]Master Data'!$A$2:$B$8,MATCH(WEEKDAY('SC Gas MTM'!A51,3),'[4]Master Data'!$A$2:$A$8,0),2)</f>
        <v>Th</v>
      </c>
      <c r="D51" s="124" t="n">
        <v>-15893904.2580323</v>
      </c>
      <c r="E51" s="124" t="n">
        <v>0</v>
      </c>
      <c r="F51" s="124" t="n">
        <v>0</v>
      </c>
      <c r="G51" s="124" t="n">
        <v>-140356</v>
      </c>
      <c r="I51" s="124" t="n">
        <f aca="false">IF(MONTH($A51)=MONTH($A50),IF(G51=0,I50,G51),G51)</f>
        <v>-140356</v>
      </c>
      <c r="J51" s="124" t="n">
        <f aca="false">IF(MONTH($A51)=MONTH($A50),SUM(I51-I50),I51)</f>
        <v>-97511</v>
      </c>
      <c r="K51" s="124" t="n">
        <f aca="false">IF(WEEKDAY(A51,3)&gt;4,0,(IF(A51&lt;K$2,0,IF(A51&lt;=K$3,1,0))))</f>
        <v>0</v>
      </c>
      <c r="L51" s="124" t="n">
        <f aca="false">J51*K51</f>
        <v>-0</v>
      </c>
      <c r="M51" s="124" t="n">
        <f aca="false">SUM(J$6:J51)</f>
        <v>406666</v>
      </c>
      <c r="N51" s="124" t="n">
        <f aca="false">SUM(J$6:J51)</f>
        <v>406666</v>
      </c>
      <c r="P51" s="124" t="n">
        <f aca="false">D51/P$3</f>
        <v>-15.8939042580323</v>
      </c>
      <c r="Q51" s="124" t="n">
        <f aca="false">E51/P$3</f>
        <v>0</v>
      </c>
      <c r="R51" s="124" t="n">
        <f aca="false">F51/R$3</f>
        <v>0</v>
      </c>
      <c r="S51" s="126" t="n">
        <f aca="false">J51/$R$3</f>
        <v>-97.511</v>
      </c>
      <c r="T51" s="126" t="n">
        <f aca="false">L51/$R$3</f>
        <v>-0</v>
      </c>
      <c r="U51" s="126" t="n">
        <f aca="false">I51/$R$3</f>
        <v>-140.356</v>
      </c>
      <c r="V51" s="126" t="n">
        <f aca="false">M51/$R$3</f>
        <v>406.666</v>
      </c>
      <c r="W51" s="126" t="n">
        <f aca="false">N51/$R$3</f>
        <v>406.666</v>
      </c>
    </row>
    <row r="52" customFormat="false" ht="12.75" hidden="true" customHeight="false" outlineLevel="0" collapsed="false">
      <c r="A52" s="120" t="n">
        <f aca="false">A51+1</f>
        <v>36938</v>
      </c>
      <c r="B52" s="131" t="str">
        <f aca="false">INDEX('[4]Master Data'!$A$2:$B$8,MATCH(WEEKDAY('SC Gas MTM'!A52,3),'[4]Master Data'!$A$2:$A$8,0),2)</f>
        <v>F</v>
      </c>
      <c r="D52" s="124" t="n">
        <v>-15893127.0551323</v>
      </c>
      <c r="E52" s="124" t="n">
        <v>0</v>
      </c>
      <c r="F52" s="124" t="n">
        <v>0</v>
      </c>
      <c r="G52" s="124" t="n">
        <v>-46498</v>
      </c>
      <c r="I52" s="124" t="n">
        <f aca="false">IF(MONTH($A52)=MONTH($A51),IF(G52=0,I51,G52),G52)</f>
        <v>-46498</v>
      </c>
      <c r="J52" s="124" t="n">
        <f aca="false">IF(MONTH($A52)=MONTH($A51),SUM(I52-I51),I52)</f>
        <v>93858</v>
      </c>
      <c r="K52" s="124" t="n">
        <f aca="false">IF(WEEKDAY(A52,3)&gt;4,0,(IF(A52&lt;K$2,0,IF(A52&lt;=K$3,1,0))))</f>
        <v>0</v>
      </c>
      <c r="L52" s="124" t="n">
        <f aca="false">J52*K52</f>
        <v>0</v>
      </c>
      <c r="M52" s="124" t="n">
        <f aca="false">SUM(J$6:J52)</f>
        <v>500524</v>
      </c>
      <c r="N52" s="124" t="n">
        <f aca="false">SUM(J$6:J52)</f>
        <v>500524</v>
      </c>
      <c r="P52" s="124" t="n">
        <f aca="false">D52/P$3</f>
        <v>-15.8931270551323</v>
      </c>
      <c r="Q52" s="124" t="n">
        <f aca="false">E52/P$3</f>
        <v>0</v>
      </c>
      <c r="R52" s="124" t="n">
        <f aca="false">F52/R$3</f>
        <v>0</v>
      </c>
      <c r="S52" s="126" t="n">
        <f aca="false">J52/$R$3</f>
        <v>93.858</v>
      </c>
      <c r="T52" s="126" t="n">
        <f aca="false">L52/$R$3</f>
        <v>0</v>
      </c>
      <c r="U52" s="126" t="n">
        <f aca="false">I52/$R$3</f>
        <v>-46.498</v>
      </c>
      <c r="V52" s="126" t="n">
        <f aca="false">M52/$R$3</f>
        <v>500.524</v>
      </c>
      <c r="W52" s="126" t="n">
        <f aca="false">N52/$R$3</f>
        <v>500.524</v>
      </c>
    </row>
    <row r="53" customFormat="false" ht="12.75" hidden="true" customHeight="false" outlineLevel="0" collapsed="false">
      <c r="A53" s="120" t="n">
        <f aca="false">A52+1</f>
        <v>36939</v>
      </c>
      <c r="B53" s="131" t="str">
        <f aca="false">INDEX('[4]Master Data'!$A$2:$B$8,MATCH(WEEKDAY('SC Gas MTM'!A53,3),'[4]Master Data'!$A$2:$A$8,0),2)</f>
        <v>Sa</v>
      </c>
      <c r="D53" s="124" t="n">
        <v>0</v>
      </c>
      <c r="E53" s="124" t="n">
        <v>0</v>
      </c>
      <c r="F53" s="124" t="n">
        <v>0</v>
      </c>
      <c r="G53" s="124" t="n">
        <v>0</v>
      </c>
      <c r="I53" s="124" t="n">
        <f aca="false">IF(MONTH($A53)=MONTH($A52),IF(G53=0,I52,G53),G53)</f>
        <v>-46498</v>
      </c>
      <c r="J53" s="124" t="n">
        <f aca="false">IF(MONTH($A53)=MONTH($A52),SUM(I53-I52),I53)</f>
        <v>0</v>
      </c>
      <c r="K53" s="124" t="n">
        <f aca="false">IF(WEEKDAY(A53,3)&gt;4,0,(IF(A53&lt;K$2,0,IF(A53&lt;=K$3,1,0))))</f>
        <v>0</v>
      </c>
      <c r="L53" s="124" t="n">
        <f aca="false">J53*K53</f>
        <v>0</v>
      </c>
      <c r="M53" s="124" t="n">
        <f aca="false">SUM(J$6:J53)</f>
        <v>500524</v>
      </c>
      <c r="N53" s="124" t="n">
        <f aca="false">SUM(J$6:J53)</f>
        <v>500524</v>
      </c>
      <c r="P53" s="124" t="n">
        <f aca="false">D53/P$3</f>
        <v>0</v>
      </c>
      <c r="Q53" s="124" t="n">
        <f aca="false">E53/P$3</f>
        <v>0</v>
      </c>
      <c r="R53" s="124" t="n">
        <f aca="false">F53/R$3</f>
        <v>0</v>
      </c>
      <c r="S53" s="126" t="n">
        <f aca="false">J53/$R$3</f>
        <v>0</v>
      </c>
      <c r="T53" s="126" t="n">
        <f aca="false">L53/$R$3</f>
        <v>0</v>
      </c>
      <c r="U53" s="126" t="n">
        <f aca="false">I53/$R$3</f>
        <v>-46.498</v>
      </c>
      <c r="V53" s="126" t="n">
        <f aca="false">M53/$R$3</f>
        <v>500.524</v>
      </c>
      <c r="W53" s="126" t="n">
        <f aca="false">N53/$R$3</f>
        <v>500.524</v>
      </c>
    </row>
    <row r="54" customFormat="false" ht="12.75" hidden="true" customHeight="false" outlineLevel="0" collapsed="false">
      <c r="A54" s="120" t="n">
        <f aca="false">A53+1</f>
        <v>36940</v>
      </c>
      <c r="B54" s="131" t="str">
        <f aca="false">INDEX('[4]Master Data'!$A$2:$B$8,MATCH(WEEKDAY('SC Gas MTM'!A54,3),'[4]Master Data'!$A$2:$A$8,0),2)</f>
        <v>Su</v>
      </c>
      <c r="D54" s="124" t="n">
        <v>0</v>
      </c>
      <c r="E54" s="124" t="n">
        <v>0</v>
      </c>
      <c r="F54" s="124" t="n">
        <v>0</v>
      </c>
      <c r="G54" s="124" t="n">
        <v>0</v>
      </c>
      <c r="I54" s="124" t="n">
        <f aca="false">IF(MONTH($A54)=MONTH($A53),IF(G54=0,I53,G54),G54)</f>
        <v>-46498</v>
      </c>
      <c r="J54" s="124" t="n">
        <f aca="false">IF(MONTH($A54)=MONTH($A53),SUM(I54-I53),I54)</f>
        <v>0</v>
      </c>
      <c r="K54" s="124" t="n">
        <f aca="false">IF(WEEKDAY(A54,3)&gt;4,0,(IF(A54&lt;K$2,0,IF(A54&lt;=K$3,1,0))))</f>
        <v>0</v>
      </c>
      <c r="L54" s="124" t="n">
        <f aca="false">J54*K54</f>
        <v>0</v>
      </c>
      <c r="M54" s="124" t="n">
        <f aca="false">SUM(J$6:J54)</f>
        <v>500524</v>
      </c>
      <c r="N54" s="124" t="n">
        <f aca="false">SUM(J$6:J54)</f>
        <v>500524</v>
      </c>
      <c r="P54" s="124" t="n">
        <f aca="false">D54/P$3</f>
        <v>0</v>
      </c>
      <c r="Q54" s="124" t="n">
        <f aca="false">E54/P$3</f>
        <v>0</v>
      </c>
      <c r="R54" s="124" t="n">
        <f aca="false">F54/R$3</f>
        <v>0</v>
      </c>
      <c r="S54" s="126" t="n">
        <f aca="false">J54/$R$3</f>
        <v>0</v>
      </c>
      <c r="T54" s="126" t="n">
        <f aca="false">L54/$R$3</f>
        <v>0</v>
      </c>
      <c r="U54" s="126" t="n">
        <f aca="false">I54/$R$3</f>
        <v>-46.498</v>
      </c>
      <c r="V54" s="126" t="n">
        <f aca="false">M54/$R$3</f>
        <v>500.524</v>
      </c>
      <c r="W54" s="126" t="n">
        <f aca="false">N54/$R$3</f>
        <v>500.524</v>
      </c>
    </row>
    <row r="55" customFormat="false" ht="12.75" hidden="true" customHeight="false" outlineLevel="0" collapsed="false">
      <c r="A55" s="120" t="n">
        <f aca="false">A54+1</f>
        <v>36941</v>
      </c>
      <c r="B55" s="131" t="str">
        <f aca="false">INDEX('[4]Master Data'!$A$2:$B$8,MATCH(WEEKDAY('SC Gas MTM'!A55,3),'[4]Master Data'!$A$2:$A$8,0),2)</f>
        <v>M</v>
      </c>
      <c r="D55" s="124" t="n">
        <v>0</v>
      </c>
      <c r="E55" s="124" t="n">
        <v>0</v>
      </c>
      <c r="F55" s="124" t="n">
        <v>0</v>
      </c>
      <c r="G55" s="124" t="n">
        <v>0</v>
      </c>
      <c r="I55" s="124" t="n">
        <f aca="false">IF(MONTH($A55)=MONTH($A54),IF(G55=0,I54,G55),G55)</f>
        <v>-46498</v>
      </c>
      <c r="J55" s="124" t="n">
        <f aca="false">IF(MONTH($A55)=MONTH($A54),SUM(I55-I54),I55)</f>
        <v>0</v>
      </c>
      <c r="K55" s="124" t="n">
        <f aca="false">IF(WEEKDAY(A55,3)&gt;4,0,(IF(A55&lt;K$2,0,IF(A55&lt;=K$3,1,0))))</f>
        <v>0</v>
      </c>
      <c r="L55" s="124" t="n">
        <f aca="false">J55*K55</f>
        <v>0</v>
      </c>
      <c r="M55" s="124" t="n">
        <f aca="false">SUM(J$6:J55)</f>
        <v>500524</v>
      </c>
      <c r="N55" s="124" t="n">
        <f aca="false">SUM(J$6:J55)</f>
        <v>500524</v>
      </c>
      <c r="P55" s="124" t="n">
        <f aca="false">D55/P$3</f>
        <v>0</v>
      </c>
      <c r="Q55" s="124" t="n">
        <f aca="false">E55/P$3</f>
        <v>0</v>
      </c>
      <c r="R55" s="124" t="n">
        <f aca="false">F55/R$3</f>
        <v>0</v>
      </c>
      <c r="S55" s="126" t="n">
        <f aca="false">J55/$R$3</f>
        <v>0</v>
      </c>
      <c r="T55" s="126" t="n">
        <f aca="false">L55/$R$3</f>
        <v>0</v>
      </c>
      <c r="U55" s="126" t="n">
        <f aca="false">I55/$R$3</f>
        <v>-46.498</v>
      </c>
      <c r="V55" s="126" t="n">
        <f aca="false">M55/$R$3</f>
        <v>500.524</v>
      </c>
      <c r="W55" s="126" t="n">
        <f aca="false">N55/$R$3</f>
        <v>500.524</v>
      </c>
    </row>
    <row r="56" customFormat="false" ht="12.75" hidden="true" customHeight="false" outlineLevel="0" collapsed="false">
      <c r="A56" s="120" t="n">
        <f aca="false">A55+1</f>
        <v>36942</v>
      </c>
      <c r="B56" s="131" t="str">
        <f aca="false">INDEX('[4]Master Data'!$A$2:$B$8,MATCH(WEEKDAY('SC Gas MTM'!A56,3),'[4]Master Data'!$A$2:$A$8,0),2)</f>
        <v>T</v>
      </c>
      <c r="D56" s="124" t="n">
        <v>-15891258.1884323</v>
      </c>
      <c r="E56" s="124" t="n">
        <v>0</v>
      </c>
      <c r="F56" s="124" t="n">
        <v>0</v>
      </c>
      <c r="G56" s="124" t="n">
        <v>-34310</v>
      </c>
      <c r="I56" s="124" t="n">
        <f aca="false">IF(MONTH($A56)=MONTH($A55),IF(G56=0,I55,G56),G56)</f>
        <v>-34310</v>
      </c>
      <c r="J56" s="124" t="n">
        <f aca="false">IF(MONTH($A56)=MONTH($A55),SUM(I56-I55),I56)</f>
        <v>12188</v>
      </c>
      <c r="K56" s="124" t="n">
        <f aca="false">IF(WEEKDAY(A56,3)&gt;4,0,(IF(A56&lt;K$2,0,IF(A56&lt;=K$3,1,0))))</f>
        <v>0</v>
      </c>
      <c r="L56" s="124" t="n">
        <f aca="false">J56*K56</f>
        <v>0</v>
      </c>
      <c r="M56" s="124" t="n">
        <f aca="false">SUM(J$6:J56)</f>
        <v>512712</v>
      </c>
      <c r="N56" s="124" t="n">
        <f aca="false">SUM(J$6:J56)</f>
        <v>512712</v>
      </c>
      <c r="P56" s="124" t="n">
        <f aca="false">D56/P$3</f>
        <v>-15.8912581884323</v>
      </c>
      <c r="Q56" s="124" t="n">
        <f aca="false">E56/P$3</f>
        <v>0</v>
      </c>
      <c r="R56" s="124" t="n">
        <f aca="false">F56/R$3</f>
        <v>0</v>
      </c>
      <c r="S56" s="126" t="n">
        <f aca="false">J56/$R$3</f>
        <v>12.188</v>
      </c>
      <c r="T56" s="126" t="n">
        <f aca="false">L56/$R$3</f>
        <v>0</v>
      </c>
      <c r="U56" s="126" t="n">
        <f aca="false">I56/$R$3</f>
        <v>-34.31</v>
      </c>
      <c r="V56" s="126" t="n">
        <f aca="false">M56/$R$3</f>
        <v>512.712</v>
      </c>
      <c r="W56" s="126" t="n">
        <f aca="false">N56/$R$3</f>
        <v>512.712</v>
      </c>
    </row>
    <row r="57" customFormat="false" ht="12.75" hidden="true" customHeight="false" outlineLevel="0" collapsed="false">
      <c r="A57" s="120" t="n">
        <f aca="false">A56+1</f>
        <v>36943</v>
      </c>
      <c r="B57" s="131" t="str">
        <f aca="false">INDEX('[4]Master Data'!$A$2:$B$8,MATCH(WEEKDAY('SC Gas MTM'!A57,3),'[4]Master Data'!$A$2:$A$8,0),2)</f>
        <v>W</v>
      </c>
      <c r="D57" s="124" t="n">
        <v>-15890679.8764323</v>
      </c>
      <c r="E57" s="124" t="n">
        <v>0</v>
      </c>
      <c r="F57" s="124" t="n">
        <v>0</v>
      </c>
      <c r="G57" s="124" t="n">
        <v>-143144</v>
      </c>
      <c r="I57" s="124" t="n">
        <f aca="false">IF(MONTH($A57)=MONTH($A56),IF(G57=0,I56,G57),G57)</f>
        <v>-143144</v>
      </c>
      <c r="J57" s="124" t="n">
        <f aca="false">IF(MONTH($A57)=MONTH($A56),SUM(I57-I56),I57)</f>
        <v>-108834</v>
      </c>
      <c r="K57" s="124" t="n">
        <f aca="false">IF(WEEKDAY(A57,3)&gt;4,0,(IF(A57&lt;K$2,0,IF(A57&lt;=K$3,1,0))))</f>
        <v>0</v>
      </c>
      <c r="L57" s="124" t="n">
        <f aca="false">J57*K57</f>
        <v>-0</v>
      </c>
      <c r="M57" s="124" t="n">
        <f aca="false">SUM(J$6:J57)</f>
        <v>403878</v>
      </c>
      <c r="N57" s="124" t="n">
        <f aca="false">SUM(J$6:J57)</f>
        <v>403878</v>
      </c>
      <c r="P57" s="124" t="n">
        <f aca="false">D57/P$3</f>
        <v>-15.8906798764323</v>
      </c>
      <c r="Q57" s="124" t="n">
        <f aca="false">E57/P$3</f>
        <v>0</v>
      </c>
      <c r="R57" s="124" t="n">
        <f aca="false">F57/R$3</f>
        <v>0</v>
      </c>
      <c r="S57" s="126" t="n">
        <f aca="false">J57/$R$3</f>
        <v>-108.834</v>
      </c>
      <c r="T57" s="126" t="n">
        <f aca="false">L57/$R$3</f>
        <v>-0</v>
      </c>
      <c r="U57" s="126" t="n">
        <f aca="false">I57/$R$3</f>
        <v>-143.144</v>
      </c>
      <c r="V57" s="126" t="n">
        <f aca="false">M57/$R$3</f>
        <v>403.878</v>
      </c>
      <c r="W57" s="126" t="n">
        <f aca="false">N57/$R$3</f>
        <v>403.878</v>
      </c>
    </row>
    <row r="58" customFormat="false" ht="12.75" hidden="true" customHeight="false" outlineLevel="0" collapsed="false">
      <c r="A58" s="120" t="n">
        <f aca="false">A57+1</f>
        <v>36944</v>
      </c>
      <c r="B58" s="131" t="str">
        <f aca="false">INDEX('[4]Master Data'!$A$2:$B$8,MATCH(WEEKDAY('SC Gas MTM'!A58,3),'[4]Master Data'!$A$2:$A$8,0),2)</f>
        <v>Th</v>
      </c>
      <c r="D58" s="124" t="n">
        <v>-15890088.3209323</v>
      </c>
      <c r="E58" s="124" t="n">
        <v>0</v>
      </c>
      <c r="F58" s="124" t="n">
        <v>0</v>
      </c>
      <c r="G58" s="124" t="n">
        <v>-132494</v>
      </c>
      <c r="I58" s="124" t="n">
        <f aca="false">IF(MONTH($A58)=MONTH($A57),IF(G58=0,I57,G58),G58)</f>
        <v>-132494</v>
      </c>
      <c r="J58" s="124" t="n">
        <f aca="false">IF(MONTH($A58)=MONTH($A57),SUM(I58-I57),I58)</f>
        <v>10650</v>
      </c>
      <c r="K58" s="124" t="n">
        <f aca="false">IF(WEEKDAY(A58,3)&gt;4,0,(IF(A58&lt;K$2,0,IF(A58&lt;=K$3,1,0))))</f>
        <v>0</v>
      </c>
      <c r="L58" s="124" t="n">
        <f aca="false">J58*K58</f>
        <v>0</v>
      </c>
      <c r="M58" s="124" t="n">
        <f aca="false">SUM(J$6:J58)</f>
        <v>414528</v>
      </c>
      <c r="N58" s="124" t="n">
        <f aca="false">SUM(J$6:J58)</f>
        <v>414528</v>
      </c>
      <c r="P58" s="124" t="n">
        <f aca="false">D58/P$3</f>
        <v>-15.8900883209323</v>
      </c>
      <c r="Q58" s="124" t="n">
        <f aca="false">E58/P$3</f>
        <v>0</v>
      </c>
      <c r="R58" s="124" t="n">
        <f aca="false">F58/R$3</f>
        <v>0</v>
      </c>
      <c r="S58" s="126" t="n">
        <f aca="false">J58/$R$3</f>
        <v>10.65</v>
      </c>
      <c r="T58" s="126" t="n">
        <f aca="false">L58/$R$3</f>
        <v>0</v>
      </c>
      <c r="U58" s="126" t="n">
        <f aca="false">I58/$R$3</f>
        <v>-132.494</v>
      </c>
      <c r="V58" s="126" t="n">
        <f aca="false">M58/$R$3</f>
        <v>414.528</v>
      </c>
      <c r="W58" s="126" t="n">
        <f aca="false">N58/$R$3</f>
        <v>414.528</v>
      </c>
    </row>
    <row r="59" customFormat="false" ht="12.75" hidden="true" customHeight="false" outlineLevel="0" collapsed="false">
      <c r="A59" s="120" t="n">
        <f aca="false">A58+1</f>
        <v>36945</v>
      </c>
      <c r="B59" s="131" t="str">
        <f aca="false">INDEX('[4]Master Data'!$A$2:$B$8,MATCH(WEEKDAY('SC Gas MTM'!A59,3),'[4]Master Data'!$A$2:$A$8,0),2)</f>
        <v>F</v>
      </c>
      <c r="D59" s="124" t="n">
        <v>-15889179.7914323</v>
      </c>
      <c r="E59" s="124" t="n">
        <v>0</v>
      </c>
      <c r="F59" s="124" t="n">
        <v>0</v>
      </c>
      <c r="G59" s="124" t="n">
        <v>-61751</v>
      </c>
      <c r="I59" s="124" t="n">
        <f aca="false">IF(MONTH($A59)=MONTH($A58),IF(G59=0,I58,G59),G59)</f>
        <v>-61751</v>
      </c>
      <c r="J59" s="124" t="n">
        <f aca="false">IF(MONTH($A59)=MONTH($A58),SUM(I59-I58),I59)</f>
        <v>70743</v>
      </c>
      <c r="K59" s="124" t="n">
        <f aca="false">IF(WEEKDAY(A59,3)&gt;4,0,(IF(A59&lt;K$2,0,IF(A59&lt;=K$3,1,0))))</f>
        <v>0</v>
      </c>
      <c r="L59" s="124" t="n">
        <f aca="false">J59*K59</f>
        <v>0</v>
      </c>
      <c r="M59" s="124" t="n">
        <f aca="false">SUM(J$6:J59)</f>
        <v>485271</v>
      </c>
      <c r="N59" s="124" t="n">
        <f aca="false">SUM(J$6:J59)</f>
        <v>485271</v>
      </c>
      <c r="P59" s="124" t="n">
        <f aca="false">D59/P$3</f>
        <v>-15.8891797914323</v>
      </c>
      <c r="Q59" s="124" t="n">
        <f aca="false">E59/P$3</f>
        <v>0</v>
      </c>
      <c r="R59" s="124" t="n">
        <f aca="false">F59/R$3</f>
        <v>0</v>
      </c>
      <c r="S59" s="126" t="n">
        <f aca="false">J59/$R$3</f>
        <v>70.743</v>
      </c>
      <c r="T59" s="126" t="n">
        <f aca="false">L59/$R$3</f>
        <v>0</v>
      </c>
      <c r="U59" s="126" t="n">
        <f aca="false">I59/$R$3</f>
        <v>-61.751</v>
      </c>
      <c r="V59" s="126" t="n">
        <f aca="false">M59/$R$3</f>
        <v>485.271</v>
      </c>
      <c r="W59" s="126" t="n">
        <f aca="false">N59/$R$3</f>
        <v>485.271</v>
      </c>
    </row>
    <row r="60" customFormat="false" ht="12.75" hidden="true" customHeight="false" outlineLevel="0" collapsed="false">
      <c r="A60" s="120" t="n">
        <f aca="false">A59+1</f>
        <v>36946</v>
      </c>
      <c r="B60" s="131" t="str">
        <f aca="false">INDEX('[4]Master Data'!$A$2:$B$8,MATCH(WEEKDAY('SC Gas MTM'!A60,3),'[4]Master Data'!$A$2:$A$8,0),2)</f>
        <v>Sa</v>
      </c>
      <c r="D60" s="124" t="n">
        <v>0</v>
      </c>
      <c r="E60" s="124" t="n">
        <v>0</v>
      </c>
      <c r="F60" s="124" t="n">
        <v>0</v>
      </c>
      <c r="G60" s="124" t="n">
        <v>0</v>
      </c>
      <c r="I60" s="124" t="n">
        <f aca="false">IF(MONTH($A60)=MONTH($A59),IF(G60=0,I59,G60),G60)</f>
        <v>-61751</v>
      </c>
      <c r="J60" s="124" t="n">
        <f aca="false">IF(MONTH($A60)=MONTH($A59),SUM(I60-I59),I60)</f>
        <v>0</v>
      </c>
      <c r="K60" s="124" t="n">
        <f aca="false">IF(WEEKDAY(A60,3)&gt;4,0,(IF(A60&lt;K$2,0,IF(A60&lt;=K$3,1,0))))</f>
        <v>0</v>
      </c>
      <c r="L60" s="124" t="n">
        <f aca="false">J60*K60</f>
        <v>0</v>
      </c>
      <c r="M60" s="124" t="n">
        <f aca="false">SUM(J$6:J60)</f>
        <v>485271</v>
      </c>
      <c r="N60" s="124" t="n">
        <f aca="false">SUM(J$6:J60)</f>
        <v>485271</v>
      </c>
      <c r="P60" s="124" t="n">
        <f aca="false">D60/P$3</f>
        <v>0</v>
      </c>
      <c r="Q60" s="124" t="n">
        <f aca="false">E60/P$3</f>
        <v>0</v>
      </c>
      <c r="R60" s="124" t="n">
        <f aca="false">F60/R$3</f>
        <v>0</v>
      </c>
      <c r="S60" s="126" t="n">
        <f aca="false">J60/$R$3</f>
        <v>0</v>
      </c>
      <c r="T60" s="126" t="n">
        <f aca="false">L60/$R$3</f>
        <v>0</v>
      </c>
      <c r="U60" s="126" t="n">
        <f aca="false">I60/$R$3</f>
        <v>-61.751</v>
      </c>
      <c r="V60" s="126" t="n">
        <f aca="false">M60/$R$3</f>
        <v>485.271</v>
      </c>
      <c r="W60" s="126" t="n">
        <f aca="false">N60/$R$3</f>
        <v>485.271</v>
      </c>
    </row>
    <row r="61" customFormat="false" ht="12.75" hidden="true" customHeight="false" outlineLevel="0" collapsed="false">
      <c r="A61" s="120" t="n">
        <f aca="false">A60+1</f>
        <v>36947</v>
      </c>
      <c r="B61" s="131" t="str">
        <f aca="false">INDEX('[4]Master Data'!$A$2:$B$8,MATCH(WEEKDAY('SC Gas MTM'!A61,3),'[4]Master Data'!$A$2:$A$8,0),2)</f>
        <v>Su</v>
      </c>
      <c r="D61" s="124" t="n">
        <v>0</v>
      </c>
      <c r="E61" s="124" t="n">
        <v>0</v>
      </c>
      <c r="F61" s="124" t="n">
        <v>0</v>
      </c>
      <c r="G61" s="124" t="n">
        <v>0</v>
      </c>
      <c r="I61" s="124" t="n">
        <f aca="false">IF(MONTH($A61)=MONTH($A60),IF(G61=0,I60,G61),G61)</f>
        <v>-61751</v>
      </c>
      <c r="J61" s="124" t="n">
        <f aca="false">IF(MONTH($A61)=MONTH($A60),SUM(I61-I60),I61)</f>
        <v>0</v>
      </c>
      <c r="K61" s="124" t="n">
        <f aca="false">IF(WEEKDAY(A61,3)&gt;4,0,(IF(A61&lt;K$2,0,IF(A61&lt;=K$3,1,0))))</f>
        <v>0</v>
      </c>
      <c r="L61" s="124" t="n">
        <f aca="false">J61*K61</f>
        <v>0</v>
      </c>
      <c r="M61" s="124" t="n">
        <f aca="false">SUM(J$6:J61)</f>
        <v>485271</v>
      </c>
      <c r="N61" s="124" t="n">
        <f aca="false">SUM(J$6:J61)</f>
        <v>485271</v>
      </c>
      <c r="P61" s="124" t="n">
        <f aca="false">D61/P$3</f>
        <v>0</v>
      </c>
      <c r="Q61" s="124" t="n">
        <f aca="false">E61/P$3</f>
        <v>0</v>
      </c>
      <c r="R61" s="124" t="n">
        <f aca="false">F61/R$3</f>
        <v>0</v>
      </c>
      <c r="S61" s="126" t="n">
        <f aca="false">J61/$R$3</f>
        <v>0</v>
      </c>
      <c r="T61" s="126" t="n">
        <f aca="false">L61/$R$3</f>
        <v>0</v>
      </c>
      <c r="U61" s="126" t="n">
        <f aca="false">I61/$R$3</f>
        <v>-61.751</v>
      </c>
      <c r="V61" s="126" t="n">
        <f aca="false">M61/$R$3</f>
        <v>485.271</v>
      </c>
      <c r="W61" s="126" t="n">
        <f aca="false">N61/$R$3</f>
        <v>485.271</v>
      </c>
    </row>
    <row r="62" customFormat="false" ht="12.75" hidden="true" customHeight="false" outlineLevel="0" collapsed="false">
      <c r="A62" s="120" t="n">
        <f aca="false">A61+1</f>
        <v>36948</v>
      </c>
      <c r="B62" s="131" t="str">
        <f aca="false">INDEX('[4]Master Data'!$A$2:$B$8,MATCH(WEEKDAY('SC Gas MTM'!A62,3),'[4]Master Data'!$A$2:$A$8,0),2)</f>
        <v>M</v>
      </c>
      <c r="D62" s="124" t="n">
        <v>-15887336.7023323</v>
      </c>
      <c r="E62" s="124" t="n">
        <v>0</v>
      </c>
      <c r="F62" s="124" t="n">
        <v>0</v>
      </c>
      <c r="G62" s="124" t="n">
        <v>-42997</v>
      </c>
      <c r="I62" s="124" t="n">
        <f aca="false">IF(MONTH($A62)=MONTH($A61),IF(G62=0,I61,G62),G62)</f>
        <v>-42997</v>
      </c>
      <c r="J62" s="124" t="n">
        <f aca="false">IF(MONTH($A62)=MONTH($A61),SUM(I62-I61),I62)</f>
        <v>18754</v>
      </c>
      <c r="K62" s="124" t="n">
        <f aca="false">IF(WEEKDAY(A62,3)&gt;4,0,(IF(A62&lt;K$2,0,IF(A62&lt;=K$3,1,0))))</f>
        <v>0</v>
      </c>
      <c r="L62" s="124" t="n">
        <f aca="false">J62*K62</f>
        <v>0</v>
      </c>
      <c r="M62" s="124" t="n">
        <f aca="false">SUM(J$6:J62)</f>
        <v>504025</v>
      </c>
      <c r="N62" s="124" t="n">
        <f aca="false">SUM(J$6:J62)</f>
        <v>504025</v>
      </c>
      <c r="P62" s="124" t="n">
        <f aca="false">D62/P$3</f>
        <v>-15.8873367023323</v>
      </c>
      <c r="Q62" s="124" t="n">
        <f aca="false">E62/P$3</f>
        <v>0</v>
      </c>
      <c r="R62" s="124" t="n">
        <f aca="false">F62/R$3</f>
        <v>0</v>
      </c>
      <c r="S62" s="126" t="n">
        <f aca="false">J62/$R$3</f>
        <v>18.754</v>
      </c>
      <c r="T62" s="126" t="n">
        <f aca="false">L62/$R$3</f>
        <v>0</v>
      </c>
      <c r="U62" s="126" t="n">
        <f aca="false">I62/$R$3</f>
        <v>-42.997</v>
      </c>
      <c r="V62" s="126" t="n">
        <f aca="false">M62/$R$3</f>
        <v>504.025</v>
      </c>
      <c r="W62" s="126" t="n">
        <f aca="false">N62/$R$3</f>
        <v>504.025</v>
      </c>
    </row>
    <row r="63" customFormat="false" ht="12.75" hidden="true" customHeight="false" outlineLevel="0" collapsed="false">
      <c r="A63" s="120" t="n">
        <f aca="false">A62+1</f>
        <v>36949</v>
      </c>
      <c r="B63" s="131" t="str">
        <f aca="false">INDEX('[4]Master Data'!$A$2:$B$8,MATCH(WEEKDAY('SC Gas MTM'!A63,3),'[4]Master Data'!$A$2:$A$8,0),2)</f>
        <v>T</v>
      </c>
      <c r="D63" s="124" t="n">
        <v>-15886585.5348323</v>
      </c>
      <c r="E63" s="124" t="n">
        <v>0</v>
      </c>
      <c r="F63" s="124" t="n">
        <v>0</v>
      </c>
      <c r="G63" s="124" t="n">
        <v>98193</v>
      </c>
      <c r="I63" s="124" t="n">
        <f aca="false">IF(MONTH($A63)=MONTH($A62),IF(G63=0,I62,G63),G63)</f>
        <v>98193</v>
      </c>
      <c r="J63" s="124" t="n">
        <f aca="false">IF(MONTH($A63)=MONTH($A62),SUM(I63-I62),I63)</f>
        <v>141190</v>
      </c>
      <c r="K63" s="124" t="n">
        <f aca="false">IF(WEEKDAY(A63,3)&gt;4,0,(IF(A63&lt;K$2,0,IF(A63&lt;=K$3,1,0))))</f>
        <v>0</v>
      </c>
      <c r="L63" s="124" t="n">
        <f aca="false">J63*K63</f>
        <v>0</v>
      </c>
      <c r="M63" s="124" t="n">
        <f aca="false">SUM(J$6:J63)</f>
        <v>645215</v>
      </c>
      <c r="N63" s="124" t="n">
        <f aca="false">SUM(J$6:J63)</f>
        <v>645215</v>
      </c>
      <c r="P63" s="124" t="n">
        <f aca="false">D63/P$3</f>
        <v>-15.8865855348323</v>
      </c>
      <c r="Q63" s="124" t="n">
        <f aca="false">E63/P$3</f>
        <v>0</v>
      </c>
      <c r="R63" s="124" t="n">
        <f aca="false">F63/R$3</f>
        <v>0</v>
      </c>
      <c r="S63" s="126" t="n">
        <f aca="false">J63/$R$3</f>
        <v>141.19</v>
      </c>
      <c r="T63" s="126" t="n">
        <f aca="false">L63/$R$3</f>
        <v>0</v>
      </c>
      <c r="U63" s="126" t="n">
        <f aca="false">I63/$R$3</f>
        <v>98.193</v>
      </c>
      <c r="V63" s="126" t="n">
        <f aca="false">M63/$R$3</f>
        <v>645.215</v>
      </c>
      <c r="W63" s="126" t="n">
        <f aca="false">N63/$R$3</f>
        <v>645.215</v>
      </c>
    </row>
    <row r="64" customFormat="false" ht="12.75" hidden="false" customHeight="false" outlineLevel="0" collapsed="false">
      <c r="A64" s="120" t="n">
        <f aca="false">A63+1</f>
        <v>36950</v>
      </c>
      <c r="B64" s="131" t="str">
        <f aca="false">INDEX('[4]Master Data'!$A$2:$B$8,MATCH(WEEKDAY('SC Gas MTM'!A64,3),'[4]Master Data'!$A$2:$A$8,0),2)</f>
        <v>W</v>
      </c>
      <c r="D64" s="124" t="n">
        <v>-15886061.2947323</v>
      </c>
      <c r="E64" s="124" t="n">
        <v>0</v>
      </c>
      <c r="F64" s="124" t="n">
        <v>0</v>
      </c>
      <c r="G64" s="124" t="n">
        <v>539717</v>
      </c>
      <c r="I64" s="124" t="n">
        <f aca="false">IF(MONTH($A64)=MONTH($A63),IF(G64=0,I63,G64),G64)</f>
        <v>539717</v>
      </c>
      <c r="J64" s="124" t="n">
        <f aca="false">IF(MONTH($A64)=MONTH($A63),SUM(I64-I63),I64)</f>
        <v>441524</v>
      </c>
      <c r="K64" s="124" t="n">
        <f aca="false">IF(WEEKDAY(A64,3)&gt;4,0,(IF(A64&lt;K$2,0,IF(A64&lt;=K$3,1,0))))</f>
        <v>0</v>
      </c>
      <c r="L64" s="124" t="n">
        <f aca="false">J64*K64</f>
        <v>0</v>
      </c>
      <c r="M64" s="124" t="n">
        <f aca="false">SUM(J$6:J64)</f>
        <v>1086739</v>
      </c>
      <c r="N64" s="124" t="n">
        <f aca="false">SUM(J$6:J64)</f>
        <v>1086739</v>
      </c>
      <c r="P64" s="124" t="n">
        <f aca="false">D64/P$3</f>
        <v>-15.8860612947323</v>
      </c>
      <c r="Q64" s="124" t="n">
        <f aca="false">E64/P$3</f>
        <v>0</v>
      </c>
      <c r="R64" s="124" t="n">
        <f aca="false">F64/R$3</f>
        <v>0</v>
      </c>
      <c r="S64" s="126" t="n">
        <f aca="false">J64/$R$3</f>
        <v>441.524</v>
      </c>
      <c r="T64" s="126" t="n">
        <f aca="false">L64/$R$3</f>
        <v>0</v>
      </c>
      <c r="U64" s="126" t="n">
        <f aca="false">I64/$R$3</f>
        <v>539.717</v>
      </c>
      <c r="V64" s="126" t="n">
        <f aca="false">M64/$R$3</f>
        <v>1086.739</v>
      </c>
      <c r="W64" s="126" t="n">
        <f aca="false">N64/$R$3</f>
        <v>1086.739</v>
      </c>
    </row>
    <row r="65" customFormat="false" ht="12.75" hidden="false" customHeight="false" outlineLevel="0" collapsed="false">
      <c r="A65" s="120" t="n">
        <f aca="false">A64+1</f>
        <v>36951</v>
      </c>
      <c r="B65" s="131" t="str">
        <f aca="false">INDEX('[4]Master Data'!$A$2:$B$8,MATCH(WEEKDAY('SC Gas MTM'!A65,3),'[4]Master Data'!$A$2:$A$8,0),2)</f>
        <v>Th</v>
      </c>
      <c r="D65" s="124" t="n">
        <v>-15932142.9095323</v>
      </c>
      <c r="E65" s="124" t="n">
        <v>0</v>
      </c>
      <c r="F65" s="124" t="n">
        <v>0</v>
      </c>
      <c r="G65" s="124" t="n">
        <v>98044</v>
      </c>
      <c r="I65" s="124" t="n">
        <f aca="false">IF(MONTH($A65)=MONTH($A64),IF(G65=0,I64,G65),G65)</f>
        <v>98044</v>
      </c>
      <c r="J65" s="124" t="n">
        <f aca="false">IF(MONTH($A65)=MONTH($A64),SUM(I65-I64),I65)</f>
        <v>98044</v>
      </c>
      <c r="K65" s="124" t="n">
        <f aca="false">IF(WEEKDAY(A65,3)&gt;4,0,(IF(A65&lt;K$2,0,IF(A65&lt;=K$3,1,0))))</f>
        <v>0</v>
      </c>
      <c r="L65" s="124" t="n">
        <f aca="false">J65*K65</f>
        <v>0</v>
      </c>
      <c r="M65" s="124" t="n">
        <f aca="false">SUM(J$6:J65)</f>
        <v>1184783</v>
      </c>
      <c r="N65" s="124" t="n">
        <f aca="false">SUM(J$6:J65)</f>
        <v>1184783</v>
      </c>
      <c r="P65" s="124" t="n">
        <f aca="false">D65/P$3</f>
        <v>-15.9321429095323</v>
      </c>
      <c r="Q65" s="124" t="n">
        <f aca="false">E65/P$3</f>
        <v>0</v>
      </c>
      <c r="R65" s="124" t="n">
        <f aca="false">F65/R$3</f>
        <v>0</v>
      </c>
      <c r="S65" s="126" t="n">
        <f aca="false">J65/$R$3</f>
        <v>98.044</v>
      </c>
      <c r="T65" s="126" t="n">
        <f aca="false">L65/$R$3</f>
        <v>0</v>
      </c>
      <c r="U65" s="126" t="n">
        <f aca="false">I65/$R$3</f>
        <v>98.044</v>
      </c>
      <c r="V65" s="126" t="n">
        <f aca="false">M65/$R$3</f>
        <v>1184.783</v>
      </c>
      <c r="W65" s="126" t="n">
        <f aca="false">N65/$R$3</f>
        <v>1184.783</v>
      </c>
    </row>
    <row r="66" customFormat="false" ht="12.75" hidden="false" customHeight="false" outlineLevel="0" collapsed="false">
      <c r="A66" s="120" t="n">
        <f aca="false">A65+1</f>
        <v>36952</v>
      </c>
      <c r="B66" s="131" t="str">
        <f aca="false">INDEX('[4]Master Data'!$A$2:$B$8,MATCH(WEEKDAY('SC Gas MTM'!A66,3),'[4]Master Data'!$A$2:$A$8,0),2)</f>
        <v>F</v>
      </c>
      <c r="D66" s="124" t="n">
        <v>-15932009.1461323</v>
      </c>
      <c r="E66" s="124" t="n">
        <v>0</v>
      </c>
      <c r="F66" s="124" t="n">
        <v>0</v>
      </c>
      <c r="G66" s="124" t="n">
        <v>19996</v>
      </c>
      <c r="I66" s="124" t="n">
        <f aca="false">IF(MONTH($A66)=MONTH($A65),IF(G66=0,I65,G66),G66)</f>
        <v>19996</v>
      </c>
      <c r="J66" s="124" t="n">
        <f aca="false">IF(MONTH($A66)=MONTH($A65),SUM(I66-I65),I66)</f>
        <v>-78048</v>
      </c>
      <c r="K66" s="124" t="n">
        <f aca="false">IF(WEEKDAY(A66,3)&gt;4,0,(IF(A66&lt;K$2,0,IF(A66&lt;=K$3,1,0))))</f>
        <v>0</v>
      </c>
      <c r="L66" s="124" t="n">
        <f aca="false">J66*K66</f>
        <v>-0</v>
      </c>
      <c r="M66" s="124" t="n">
        <f aca="false">SUM(J$6:J66)</f>
        <v>1106735</v>
      </c>
      <c r="N66" s="124" t="n">
        <f aca="false">SUM(J$6:J66)</f>
        <v>1106735</v>
      </c>
      <c r="P66" s="124" t="n">
        <f aca="false">D66/P$3</f>
        <v>-15.9320091461323</v>
      </c>
      <c r="Q66" s="124" t="n">
        <f aca="false">E66/P$3</f>
        <v>0</v>
      </c>
      <c r="R66" s="124" t="n">
        <f aca="false">F66/R$3</f>
        <v>0</v>
      </c>
      <c r="S66" s="126" t="n">
        <f aca="false">J66/$R$3</f>
        <v>-78.048</v>
      </c>
      <c r="T66" s="126" t="n">
        <f aca="false">L66/$R$3</f>
        <v>-0</v>
      </c>
      <c r="U66" s="126" t="n">
        <f aca="false">I66/$R$3</f>
        <v>19.996</v>
      </c>
      <c r="V66" s="126" t="n">
        <f aca="false">M66/$R$3</f>
        <v>1106.735</v>
      </c>
      <c r="W66" s="126" t="n">
        <f aca="false">N66/$R$3</f>
        <v>1106.735</v>
      </c>
    </row>
    <row r="67" customFormat="false" ht="12.75" hidden="false" customHeight="false" outlineLevel="0" collapsed="false">
      <c r="A67" s="120" t="n">
        <f aca="false">A66+1</f>
        <v>36953</v>
      </c>
      <c r="B67" s="131" t="str">
        <f aca="false">INDEX('[4]Master Data'!$A$2:$B$8,MATCH(WEEKDAY('SC Gas MTM'!A67,3),'[4]Master Data'!$A$2:$A$8,0),2)</f>
        <v>Sa</v>
      </c>
      <c r="D67" s="124" t="n">
        <v>0</v>
      </c>
      <c r="E67" s="124" t="n">
        <v>0</v>
      </c>
      <c r="F67" s="124" t="n">
        <v>0</v>
      </c>
      <c r="G67" s="124" t="n">
        <v>0</v>
      </c>
      <c r="I67" s="124" t="n">
        <f aca="false">IF(MONTH($A67)=MONTH($A66),IF(G67=0,I66,G67),G67)</f>
        <v>19996</v>
      </c>
      <c r="J67" s="124" t="n">
        <f aca="false">IF(MONTH($A67)=MONTH($A66),SUM(I67-I66),I67)</f>
        <v>0</v>
      </c>
      <c r="K67" s="124" t="n">
        <f aca="false">IF(WEEKDAY(A67,3)&gt;4,0,(IF(A67&lt;K$2,0,IF(A67&lt;=K$3,1,0))))</f>
        <v>0</v>
      </c>
      <c r="L67" s="124" t="n">
        <f aca="false">J67*K67</f>
        <v>0</v>
      </c>
      <c r="M67" s="124" t="n">
        <f aca="false">SUM(J$6:J67)</f>
        <v>1106735</v>
      </c>
      <c r="N67" s="124" t="n">
        <f aca="false">SUM(J$6:J67)</f>
        <v>1106735</v>
      </c>
      <c r="P67" s="124" t="n">
        <f aca="false">D67/P$3</f>
        <v>0</v>
      </c>
      <c r="Q67" s="124" t="n">
        <f aca="false">E67/P$3</f>
        <v>0</v>
      </c>
      <c r="R67" s="124" t="n">
        <f aca="false">F67/R$3</f>
        <v>0</v>
      </c>
      <c r="S67" s="126" t="n">
        <f aca="false">J67/$R$3</f>
        <v>0</v>
      </c>
      <c r="T67" s="126" t="n">
        <f aca="false">L67/$R$3</f>
        <v>0</v>
      </c>
      <c r="U67" s="126" t="n">
        <f aca="false">I67/$R$3</f>
        <v>19.996</v>
      </c>
      <c r="V67" s="126" t="n">
        <f aca="false">M67/$R$3</f>
        <v>1106.735</v>
      </c>
      <c r="W67" s="126" t="n">
        <f aca="false">N67/$R$3</f>
        <v>1106.735</v>
      </c>
    </row>
    <row r="68" customFormat="false" ht="12.75" hidden="false" customHeight="false" outlineLevel="0" collapsed="false">
      <c r="A68" s="120" t="n">
        <f aca="false">A67+1</f>
        <v>36954</v>
      </c>
      <c r="B68" s="131" t="str">
        <f aca="false">INDEX('[4]Master Data'!$A$2:$B$8,MATCH(WEEKDAY('SC Gas MTM'!A68,3),'[4]Master Data'!$A$2:$A$8,0),2)</f>
        <v>Su</v>
      </c>
      <c r="D68" s="124" t="n">
        <v>0</v>
      </c>
      <c r="E68" s="124" t="n">
        <v>0</v>
      </c>
      <c r="F68" s="124" t="n">
        <v>0</v>
      </c>
      <c r="G68" s="124" t="n">
        <v>0</v>
      </c>
      <c r="I68" s="124" t="n">
        <f aca="false">IF(MONTH($A68)=MONTH($A67),IF(G68=0,I67,G68),G68)</f>
        <v>19996</v>
      </c>
      <c r="J68" s="124" t="n">
        <f aca="false">IF(MONTH($A68)=MONTH($A67),SUM(I68-I67),I68)</f>
        <v>0</v>
      </c>
      <c r="K68" s="124" t="n">
        <f aca="false">IF(WEEKDAY(A68,3)&gt;4,0,(IF(A68&lt;K$2,0,IF(A68&lt;=K$3,1,0))))</f>
        <v>0</v>
      </c>
      <c r="L68" s="124" t="n">
        <f aca="false">J68*K68</f>
        <v>0</v>
      </c>
      <c r="M68" s="124" t="n">
        <f aca="false">SUM(J$6:J68)</f>
        <v>1106735</v>
      </c>
      <c r="N68" s="124" t="n">
        <f aca="false">SUM(J$6:J68)</f>
        <v>1106735</v>
      </c>
      <c r="P68" s="124" t="n">
        <f aca="false">D68/P$3</f>
        <v>0</v>
      </c>
      <c r="Q68" s="124" t="n">
        <f aca="false">E68/P$3</f>
        <v>0</v>
      </c>
      <c r="R68" s="124" t="n">
        <f aca="false">F68/R$3</f>
        <v>0</v>
      </c>
      <c r="S68" s="126" t="n">
        <f aca="false">J68/$R$3</f>
        <v>0</v>
      </c>
      <c r="T68" s="126" t="n">
        <f aca="false">L68/$R$3</f>
        <v>0</v>
      </c>
      <c r="U68" s="126" t="n">
        <f aca="false">I68/$R$3</f>
        <v>19.996</v>
      </c>
      <c r="V68" s="126" t="n">
        <f aca="false">M68/$R$3</f>
        <v>1106.735</v>
      </c>
      <c r="W68" s="126" t="n">
        <f aca="false">N68/$R$3</f>
        <v>1106.735</v>
      </c>
    </row>
    <row r="69" customFormat="false" ht="12.75" hidden="false" customHeight="false" outlineLevel="0" collapsed="false">
      <c r="A69" s="120" t="n">
        <f aca="false">A68+1</f>
        <v>36955</v>
      </c>
      <c r="B69" s="131" t="str">
        <f aca="false">INDEX('[4]Master Data'!$A$2:$B$8,MATCH(WEEKDAY('SC Gas MTM'!A69,3),'[4]Master Data'!$A$2:$A$8,0),2)</f>
        <v>M</v>
      </c>
      <c r="D69" s="124" t="n">
        <v>-15930853.0158323</v>
      </c>
      <c r="E69" s="124" t="n">
        <v>0</v>
      </c>
      <c r="F69" s="124" t="n">
        <v>0</v>
      </c>
      <c r="G69" s="124" t="n">
        <v>77172</v>
      </c>
      <c r="I69" s="124" t="n">
        <f aca="false">IF(MONTH($A69)=MONTH($A68),IF(G69=0,I68,G69),G69)</f>
        <v>77172</v>
      </c>
      <c r="J69" s="124" t="n">
        <f aca="false">IF(MONTH($A69)=MONTH($A68),SUM(I69-I68),I69)</f>
        <v>57176</v>
      </c>
      <c r="K69" s="124" t="n">
        <f aca="false">IF(WEEKDAY(A69,3)&gt;4,0,(IF(A69&lt;K$2,0,IF(A69&lt;=K$3,1,0))))</f>
        <v>0</v>
      </c>
      <c r="L69" s="124" t="n">
        <f aca="false">J69*K69</f>
        <v>0</v>
      </c>
      <c r="M69" s="124" t="n">
        <f aca="false">SUM(J$6:J69)</f>
        <v>1163911</v>
      </c>
      <c r="N69" s="124" t="n">
        <f aca="false">SUM(J$6:J69)</f>
        <v>1163911</v>
      </c>
      <c r="P69" s="124" t="n">
        <f aca="false">D69/P$3</f>
        <v>-15.9308530158323</v>
      </c>
      <c r="Q69" s="124" t="n">
        <f aca="false">E69/P$3</f>
        <v>0</v>
      </c>
      <c r="R69" s="124" t="n">
        <f aca="false">F69/R$3</f>
        <v>0</v>
      </c>
      <c r="S69" s="126" t="n">
        <f aca="false">J69/$R$3</f>
        <v>57.176</v>
      </c>
      <c r="T69" s="126" t="n">
        <f aca="false">L69/$R$3</f>
        <v>0</v>
      </c>
      <c r="U69" s="126" t="n">
        <f aca="false">I69/$R$3</f>
        <v>77.172</v>
      </c>
      <c r="V69" s="126" t="n">
        <f aca="false">M69/$R$3</f>
        <v>1163.911</v>
      </c>
      <c r="W69" s="126" t="n">
        <f aca="false">N69/$R$3</f>
        <v>1163.911</v>
      </c>
    </row>
    <row r="70" customFormat="false" ht="12.75" hidden="false" customHeight="false" outlineLevel="0" collapsed="false">
      <c r="A70" s="120" t="n">
        <f aca="false">A69+1</f>
        <v>36956</v>
      </c>
      <c r="B70" s="131" t="str">
        <f aca="false">INDEX('[4]Master Data'!$A$2:$B$8,MATCH(WEEKDAY('SC Gas MTM'!A70,3),'[4]Master Data'!$A$2:$A$8,0),2)</f>
        <v>T</v>
      </c>
      <c r="D70" s="124" t="n">
        <v>-17061058.9263968</v>
      </c>
      <c r="E70" s="124" t="n">
        <v>0</v>
      </c>
      <c r="F70" s="124" t="n">
        <v>0</v>
      </c>
      <c r="G70" s="124" t="n">
        <v>34485</v>
      </c>
      <c r="I70" s="124" t="n">
        <f aca="false">IF(MONTH($A70)=MONTH($A69),IF(G70=0,I69,G70),G70)</f>
        <v>34485</v>
      </c>
      <c r="J70" s="124" t="n">
        <f aca="false">IF(MONTH($A70)=MONTH($A69),SUM(I70-I69),I70)</f>
        <v>-42687</v>
      </c>
      <c r="K70" s="124" t="n">
        <f aca="false">IF(WEEKDAY(A70,3)&gt;4,0,(IF(A70&lt;K$2,0,IF(A70&lt;=K$3,1,0))))</f>
        <v>0</v>
      </c>
      <c r="L70" s="124" t="n">
        <f aca="false">J70*K70</f>
        <v>-0</v>
      </c>
      <c r="M70" s="124" t="n">
        <f aca="false">SUM(J$6:J70)</f>
        <v>1121224</v>
      </c>
      <c r="N70" s="124" t="n">
        <f aca="false">SUM(J$6:J70)</f>
        <v>1121224</v>
      </c>
      <c r="P70" s="124" t="n">
        <f aca="false">D70/P$3</f>
        <v>-17.0610589263968</v>
      </c>
      <c r="Q70" s="124" t="n">
        <f aca="false">E70/P$3</f>
        <v>0</v>
      </c>
      <c r="R70" s="124" t="n">
        <f aca="false">F70/R$3</f>
        <v>0</v>
      </c>
      <c r="S70" s="126" t="n">
        <f aca="false">J70/$R$3</f>
        <v>-42.687</v>
      </c>
      <c r="T70" s="126" t="n">
        <f aca="false">L70/$R$3</f>
        <v>-0</v>
      </c>
      <c r="U70" s="126" t="n">
        <f aca="false">I70/$R$3</f>
        <v>34.485</v>
      </c>
      <c r="V70" s="126" t="n">
        <f aca="false">M70/$R$3</f>
        <v>1121.224</v>
      </c>
      <c r="W70" s="126" t="n">
        <f aca="false">N70/$R$3</f>
        <v>1121.224</v>
      </c>
    </row>
    <row r="71" customFormat="false" ht="12.75" hidden="false" customHeight="false" outlineLevel="0" collapsed="false">
      <c r="A71" s="120" t="n">
        <f aca="false">A70+1</f>
        <v>36957</v>
      </c>
      <c r="B71" s="131" t="str">
        <f aca="false">INDEX('[4]Master Data'!$A$2:$B$8,MATCH(WEEKDAY('SC Gas MTM'!A71,3),'[4]Master Data'!$A$2:$A$8,0),2)</f>
        <v>W</v>
      </c>
      <c r="D71" s="124" t="n">
        <v>-17241868.3233914</v>
      </c>
      <c r="E71" s="124" t="n">
        <v>0</v>
      </c>
      <c r="F71" s="124" t="n">
        <v>0</v>
      </c>
      <c r="G71" s="124" t="n">
        <v>214210</v>
      </c>
      <c r="I71" s="124" t="n">
        <f aca="false">IF(MONTH($A71)=MONTH($A70),IF(G71=0,I70,G71),G71)</f>
        <v>214210</v>
      </c>
      <c r="J71" s="124" t="n">
        <f aca="false">IF(MONTH($A71)=MONTH($A70),SUM(I71-I70),I71)</f>
        <v>179725</v>
      </c>
      <c r="K71" s="124" t="n">
        <f aca="false">IF(WEEKDAY(A71,3)&gt;4,0,(IF(A71&lt;K$2,0,IF(A71&lt;=K$3,1,0))))</f>
        <v>0</v>
      </c>
      <c r="L71" s="124" t="n">
        <f aca="false">J71*K71</f>
        <v>0</v>
      </c>
      <c r="M71" s="124" t="n">
        <f aca="false">SUM(J$6:J71)</f>
        <v>1300949</v>
      </c>
      <c r="N71" s="124" t="n">
        <f aca="false">SUM(J$6:J71)</f>
        <v>1300949</v>
      </c>
      <c r="P71" s="124" t="n">
        <f aca="false">D71/P$3</f>
        <v>-17.2418683233914</v>
      </c>
      <c r="Q71" s="124" t="n">
        <f aca="false">E71/P$3</f>
        <v>0</v>
      </c>
      <c r="R71" s="124" t="n">
        <f aca="false">F71/R$3</f>
        <v>0</v>
      </c>
      <c r="S71" s="126" t="n">
        <f aca="false">J71/$R$3</f>
        <v>179.725</v>
      </c>
      <c r="T71" s="126" t="n">
        <f aca="false">L71/$R$3</f>
        <v>0</v>
      </c>
      <c r="U71" s="126" t="n">
        <f aca="false">I71/$R$3</f>
        <v>214.21</v>
      </c>
      <c r="V71" s="126" t="n">
        <f aca="false">M71/$R$3</f>
        <v>1300.949</v>
      </c>
      <c r="W71" s="126" t="n">
        <f aca="false">N71/$R$3</f>
        <v>1300.949</v>
      </c>
    </row>
    <row r="72" customFormat="false" ht="12.75" hidden="false" customHeight="false" outlineLevel="0" collapsed="false">
      <c r="A72" s="120" t="n">
        <f aca="false">A71+1</f>
        <v>36958</v>
      </c>
      <c r="B72" s="131" t="str">
        <f aca="false">INDEX('[4]Master Data'!$A$2:$B$8,MATCH(WEEKDAY('SC Gas MTM'!A72,3),'[4]Master Data'!$A$2:$A$8,0),2)</f>
        <v>Th</v>
      </c>
      <c r="D72" s="124" t="n">
        <v>-17211025.6991909</v>
      </c>
      <c r="E72" s="124" t="n">
        <v>0</v>
      </c>
      <c r="F72" s="124" t="n">
        <v>0</v>
      </c>
      <c r="G72" s="124" t="n">
        <v>155764</v>
      </c>
      <c r="I72" s="124" t="n">
        <f aca="false">IF(MONTH($A72)=MONTH($A71),IF(G72=0,I71,G72),G72)</f>
        <v>155764</v>
      </c>
      <c r="J72" s="124" t="n">
        <f aca="false">IF(MONTH($A72)=MONTH($A71),SUM(I72-I71),I72)</f>
        <v>-58446</v>
      </c>
      <c r="K72" s="124" t="n">
        <f aca="false">IF(WEEKDAY(A72,3)&gt;4,0,(IF(A72&lt;K$2,0,IF(A72&lt;=K$3,1,0))))</f>
        <v>0</v>
      </c>
      <c r="L72" s="124" t="n">
        <f aca="false">J72*K72</f>
        <v>-0</v>
      </c>
      <c r="M72" s="124" t="n">
        <f aca="false">SUM(J$6:J72)</f>
        <v>1242503</v>
      </c>
      <c r="N72" s="124" t="n">
        <f aca="false">SUM(J$6:J72)</f>
        <v>1242503</v>
      </c>
      <c r="P72" s="124" t="n">
        <f aca="false">D72/P$3</f>
        <v>-17.2110256991909</v>
      </c>
      <c r="Q72" s="124" t="n">
        <f aca="false">E72/P$3</f>
        <v>0</v>
      </c>
      <c r="R72" s="124" t="n">
        <f aca="false">F72/R$3</f>
        <v>0</v>
      </c>
      <c r="S72" s="126" t="n">
        <f aca="false">J72/$R$3</f>
        <v>-58.446</v>
      </c>
      <c r="T72" s="126" t="n">
        <f aca="false">L72/$R$3</f>
        <v>-0</v>
      </c>
      <c r="U72" s="126" t="n">
        <f aca="false">I72/$R$3</f>
        <v>155.764</v>
      </c>
      <c r="V72" s="126" t="n">
        <f aca="false">M72/$R$3</f>
        <v>1242.503</v>
      </c>
      <c r="W72" s="126" t="n">
        <f aca="false">N72/$R$3</f>
        <v>1242.503</v>
      </c>
    </row>
    <row r="73" customFormat="false" ht="12.75" hidden="false" customHeight="false" outlineLevel="0" collapsed="false">
      <c r="A73" s="120" t="n">
        <f aca="false">A72+1</f>
        <v>36959</v>
      </c>
      <c r="B73" s="131" t="str">
        <f aca="false">INDEX('[4]Master Data'!$A$2:$B$8,MATCH(WEEKDAY('SC Gas MTM'!A73,3),'[4]Master Data'!$A$2:$A$8,0),2)</f>
        <v>F</v>
      </c>
      <c r="D73" s="124" t="n">
        <v>-17151790.9626552</v>
      </c>
      <c r="E73" s="124" t="n">
        <v>0</v>
      </c>
      <c r="F73" s="124" t="n">
        <v>0</v>
      </c>
      <c r="G73" s="124" t="n">
        <v>95858</v>
      </c>
      <c r="I73" s="124" t="n">
        <f aca="false">IF(MONTH($A73)=MONTH($A72),IF(G73=0,I72,G73),G73)</f>
        <v>95858</v>
      </c>
      <c r="J73" s="124" t="n">
        <f aca="false">IF(MONTH($A73)=MONTH($A72),SUM(I73-I72),I73)</f>
        <v>-59906</v>
      </c>
      <c r="K73" s="124" t="n">
        <f aca="false">IF(WEEKDAY(A73,3)&gt;4,0,(IF(A73&lt;K$2,0,IF(A73&lt;=K$3,1,0))))</f>
        <v>0</v>
      </c>
      <c r="L73" s="124" t="n">
        <f aca="false">J73*K73</f>
        <v>-0</v>
      </c>
      <c r="M73" s="124" t="n">
        <f aca="false">SUM(J$6:J73)</f>
        <v>1182597</v>
      </c>
      <c r="N73" s="124" t="n">
        <f aca="false">SUM(J$6:J73)</f>
        <v>1182597</v>
      </c>
      <c r="P73" s="124" t="n">
        <f aca="false">D73/P$3</f>
        <v>-17.1517909626552</v>
      </c>
      <c r="Q73" s="124" t="n">
        <f aca="false">E73/P$3</f>
        <v>0</v>
      </c>
      <c r="R73" s="124" t="n">
        <f aca="false">F73/R$3</f>
        <v>0</v>
      </c>
      <c r="S73" s="126" t="n">
        <f aca="false">J73/$R$3</f>
        <v>-59.906</v>
      </c>
      <c r="T73" s="126" t="n">
        <f aca="false">L73/$R$3</f>
        <v>-0</v>
      </c>
      <c r="U73" s="126" t="n">
        <f aca="false">I73/$R$3</f>
        <v>95.858</v>
      </c>
      <c r="V73" s="126" t="n">
        <f aca="false">M73/$R$3</f>
        <v>1182.597</v>
      </c>
      <c r="W73" s="126" t="n">
        <f aca="false">N73/$R$3</f>
        <v>1182.597</v>
      </c>
    </row>
    <row r="74" customFormat="false" ht="12.75" hidden="false" customHeight="false" outlineLevel="0" collapsed="false">
      <c r="A74" s="120" t="n">
        <f aca="false">A73+1</f>
        <v>36960</v>
      </c>
      <c r="B74" s="131" t="str">
        <f aca="false">INDEX('[4]Master Data'!$A$2:$B$8,MATCH(WEEKDAY('SC Gas MTM'!A74,3),'[4]Master Data'!$A$2:$A$8,0),2)</f>
        <v>Sa</v>
      </c>
      <c r="D74" s="124" t="n">
        <v>0</v>
      </c>
      <c r="E74" s="124" t="n">
        <v>0</v>
      </c>
      <c r="F74" s="124" t="n">
        <v>0</v>
      </c>
      <c r="G74" s="124" t="n">
        <v>0</v>
      </c>
      <c r="I74" s="124" t="n">
        <f aca="false">IF(MONTH($A74)=MONTH($A73),IF(G74=0,I73,G74),G74)</f>
        <v>95858</v>
      </c>
      <c r="J74" s="124" t="n">
        <f aca="false">IF(MONTH($A74)=MONTH($A73),SUM(I74-I73),I74)</f>
        <v>0</v>
      </c>
      <c r="K74" s="124" t="n">
        <f aca="false">IF(WEEKDAY(A74,3)&gt;4,0,(IF(A74&lt;K$2,0,IF(A74&lt;=K$3,1,0))))</f>
        <v>0</v>
      </c>
      <c r="L74" s="124" t="n">
        <f aca="false">J74*K74</f>
        <v>0</v>
      </c>
      <c r="M74" s="124" t="n">
        <f aca="false">SUM(J$6:J74)</f>
        <v>1182597</v>
      </c>
      <c r="N74" s="124" t="n">
        <f aca="false">SUM(J$6:J74)</f>
        <v>1182597</v>
      </c>
      <c r="P74" s="124" t="n">
        <f aca="false">D74/P$3</f>
        <v>0</v>
      </c>
      <c r="Q74" s="124" t="n">
        <f aca="false">E74/P$3</f>
        <v>0</v>
      </c>
      <c r="R74" s="124" t="n">
        <f aca="false">F74/R$3</f>
        <v>0</v>
      </c>
      <c r="S74" s="126" t="n">
        <f aca="false">J74/$R$3</f>
        <v>0</v>
      </c>
      <c r="T74" s="126" t="n">
        <f aca="false">L74/$R$3</f>
        <v>0</v>
      </c>
      <c r="U74" s="126" t="n">
        <f aca="false">I74/$R$3</f>
        <v>95.858</v>
      </c>
      <c r="V74" s="126" t="n">
        <f aca="false">M74/$R$3</f>
        <v>1182.597</v>
      </c>
      <c r="W74" s="126" t="n">
        <f aca="false">N74/$R$3</f>
        <v>1182.597</v>
      </c>
    </row>
    <row r="75" customFormat="false" ht="12.75" hidden="false" customHeight="false" outlineLevel="0" collapsed="false">
      <c r="A75" s="120" t="n">
        <f aca="false">A74+1</f>
        <v>36961</v>
      </c>
      <c r="B75" s="131" t="str">
        <f aca="false">INDEX('[4]Master Data'!$A$2:$B$8,MATCH(WEEKDAY('SC Gas MTM'!A75,3),'[4]Master Data'!$A$2:$A$8,0),2)</f>
        <v>Su</v>
      </c>
      <c r="D75" s="124" t="n">
        <v>0</v>
      </c>
      <c r="E75" s="124" t="n">
        <v>0</v>
      </c>
      <c r="F75" s="124" t="n">
        <v>0</v>
      </c>
      <c r="G75" s="124" t="n">
        <v>0</v>
      </c>
      <c r="I75" s="124" t="n">
        <f aca="false">IF(MONTH($A75)=MONTH($A74),IF(G75=0,I74,G75),G75)</f>
        <v>95858</v>
      </c>
      <c r="J75" s="124" t="n">
        <f aca="false">IF(MONTH($A75)=MONTH($A74),SUM(I75-I74),I75)</f>
        <v>0</v>
      </c>
      <c r="K75" s="124" t="n">
        <f aca="false">IF(WEEKDAY(A75,3)&gt;4,0,(IF(A75&lt;K$2,0,IF(A75&lt;=K$3,1,0))))</f>
        <v>0</v>
      </c>
      <c r="L75" s="124" t="n">
        <f aca="false">J75*K75</f>
        <v>0</v>
      </c>
      <c r="M75" s="124" t="n">
        <f aca="false">SUM(J$6:J75)</f>
        <v>1182597</v>
      </c>
      <c r="N75" s="124" t="n">
        <f aca="false">SUM(J$6:J75)</f>
        <v>1182597</v>
      </c>
      <c r="P75" s="124" t="n">
        <f aca="false">D75/P$3</f>
        <v>0</v>
      </c>
      <c r="Q75" s="124" t="n">
        <f aca="false">E75/P$3</f>
        <v>0</v>
      </c>
      <c r="R75" s="124" t="n">
        <f aca="false">F75/R$3</f>
        <v>0</v>
      </c>
      <c r="S75" s="126" t="n">
        <f aca="false">J75/$R$3</f>
        <v>0</v>
      </c>
      <c r="T75" s="126" t="n">
        <f aca="false">L75/$R$3</f>
        <v>0</v>
      </c>
      <c r="U75" s="126" t="n">
        <f aca="false">I75/$R$3</f>
        <v>95.858</v>
      </c>
      <c r="V75" s="126" t="n">
        <f aca="false">M75/$R$3</f>
        <v>1182.597</v>
      </c>
      <c r="W75" s="126" t="n">
        <f aca="false">N75/$R$3</f>
        <v>1182.597</v>
      </c>
    </row>
    <row r="76" customFormat="false" ht="12.75" hidden="false" customHeight="false" outlineLevel="0" collapsed="false">
      <c r="A76" s="120" t="n">
        <f aca="false">A75+1</f>
        <v>36962</v>
      </c>
      <c r="B76" s="131" t="str">
        <f aca="false">INDEX('[4]Master Data'!$A$2:$B$8,MATCH(WEEKDAY('SC Gas MTM'!A76,3),'[4]Master Data'!$A$2:$A$8,0),2)</f>
        <v>M</v>
      </c>
      <c r="D76" s="124" t="n">
        <v>-17197274.8477247</v>
      </c>
      <c r="E76" s="124" t="n">
        <v>0</v>
      </c>
      <c r="F76" s="124" t="n">
        <v>0</v>
      </c>
      <c r="G76" s="124" t="n">
        <v>130596</v>
      </c>
      <c r="I76" s="124" t="n">
        <f aca="false">IF(MONTH($A76)=MONTH($A75),IF(G76=0,I75,G76),G76)</f>
        <v>130596</v>
      </c>
      <c r="J76" s="124" t="n">
        <f aca="false">IF(MONTH($A76)=MONTH($A75),SUM(I76-I75),I76)</f>
        <v>34738</v>
      </c>
      <c r="K76" s="124" t="n">
        <f aca="false">IF(WEEKDAY(A76,3)&gt;4,0,(IF(A76&lt;K$2,0,IF(A76&lt;=K$3,1,0))))</f>
        <v>0</v>
      </c>
      <c r="L76" s="124" t="n">
        <f aca="false">J76*K76</f>
        <v>0</v>
      </c>
      <c r="M76" s="124" t="n">
        <f aca="false">SUM(J$6:J76)</f>
        <v>1217335</v>
      </c>
      <c r="N76" s="124" t="n">
        <f aca="false">SUM(J$6:J76)</f>
        <v>1217335</v>
      </c>
      <c r="P76" s="124" t="n">
        <f aca="false">D76/P$3</f>
        <v>-17.1972748477247</v>
      </c>
      <c r="Q76" s="124" t="n">
        <f aca="false">E76/P$3</f>
        <v>0</v>
      </c>
      <c r="R76" s="124" t="n">
        <f aca="false">F76/R$3</f>
        <v>0</v>
      </c>
      <c r="S76" s="126" t="n">
        <f aca="false">J76/$R$3</f>
        <v>34.738</v>
      </c>
      <c r="T76" s="126" t="n">
        <f aca="false">L76/$R$3</f>
        <v>0</v>
      </c>
      <c r="U76" s="126" t="n">
        <f aca="false">I76/$R$3</f>
        <v>130.596</v>
      </c>
      <c r="V76" s="126" t="n">
        <f aca="false">M76/$R$3</f>
        <v>1217.335</v>
      </c>
      <c r="W76" s="126" t="n">
        <f aca="false">N76/$R$3</f>
        <v>1217.335</v>
      </c>
    </row>
    <row r="77" customFormat="false" ht="12.75" hidden="false" customHeight="false" outlineLevel="0" collapsed="false">
      <c r="A77" s="120" t="n">
        <f aca="false">A76+1</f>
        <v>36963</v>
      </c>
      <c r="B77" s="131" t="str">
        <f aca="false">INDEX('[4]Master Data'!$A$2:$B$8,MATCH(WEEKDAY('SC Gas MTM'!A77,3),'[4]Master Data'!$A$2:$A$8,0),2)</f>
        <v>T</v>
      </c>
      <c r="D77" s="124" t="n">
        <v>-17083883.5589541</v>
      </c>
      <c r="E77" s="124" t="n">
        <v>0</v>
      </c>
      <c r="F77" s="124" t="n">
        <v>0</v>
      </c>
      <c r="G77" s="124" t="n">
        <v>23522</v>
      </c>
      <c r="I77" s="124" t="n">
        <f aca="false">IF(MONTH($A77)=MONTH($A76),IF(G77=0,I76,G77),G77)</f>
        <v>23522</v>
      </c>
      <c r="J77" s="124" t="n">
        <f aca="false">IF(MONTH($A77)=MONTH($A76),SUM(I77-I76),I77)</f>
        <v>-107074</v>
      </c>
      <c r="K77" s="124" t="n">
        <f aca="false">IF(WEEKDAY(A77,3)&gt;4,0,(IF(A77&lt;K$2,0,IF(A77&lt;=K$3,1,0))))</f>
        <v>0</v>
      </c>
      <c r="L77" s="124" t="n">
        <f aca="false">J77*K77</f>
        <v>-0</v>
      </c>
      <c r="M77" s="124" t="n">
        <f aca="false">SUM(J$6:J77)</f>
        <v>1110261</v>
      </c>
      <c r="N77" s="124" t="n">
        <f aca="false">SUM(J$6:J77)</f>
        <v>1110261</v>
      </c>
      <c r="P77" s="124" t="n">
        <f aca="false">D77/P$3</f>
        <v>-17.0838835589541</v>
      </c>
      <c r="Q77" s="124" t="n">
        <f aca="false">E77/P$3</f>
        <v>0</v>
      </c>
      <c r="R77" s="124" t="n">
        <f aca="false">F77/R$3</f>
        <v>0</v>
      </c>
      <c r="S77" s="126" t="n">
        <f aca="false">J77/$R$3</f>
        <v>-107.074</v>
      </c>
      <c r="T77" s="126" t="n">
        <f aca="false">L77/$R$3</f>
        <v>-0</v>
      </c>
      <c r="U77" s="126" t="n">
        <f aca="false">I77/$R$3</f>
        <v>23.522</v>
      </c>
      <c r="V77" s="126" t="n">
        <f aca="false">M77/$R$3</f>
        <v>1110.261</v>
      </c>
      <c r="W77" s="126" t="n">
        <f aca="false">N77/$R$3</f>
        <v>1110.261</v>
      </c>
    </row>
    <row r="78" customFormat="false" ht="12.75" hidden="false" customHeight="false" outlineLevel="0" collapsed="false">
      <c r="A78" s="120" t="n">
        <f aca="false">A77+1</f>
        <v>36964</v>
      </c>
      <c r="B78" s="131" t="str">
        <f aca="false">INDEX('[4]Master Data'!$A$2:$B$8,MATCH(WEEKDAY('SC Gas MTM'!A78,3),'[4]Master Data'!$A$2:$A$8,0),2)</f>
        <v>W</v>
      </c>
      <c r="D78" s="124" t="n">
        <v>-17161088.3179579</v>
      </c>
      <c r="E78" s="124" t="n">
        <v>0</v>
      </c>
      <c r="F78" s="124" t="n">
        <v>0</v>
      </c>
      <c r="G78" s="124" t="n">
        <v>38806</v>
      </c>
      <c r="I78" s="124" t="n">
        <f aca="false">IF(MONTH($A78)=MONTH($A77),IF(G78=0,I77,G78),G78)</f>
        <v>38806</v>
      </c>
      <c r="J78" s="124" t="n">
        <f aca="false">IF(MONTH($A78)=MONTH($A77),SUM(I78-I77),I78)</f>
        <v>15284</v>
      </c>
      <c r="K78" s="124" t="n">
        <f aca="false">IF(WEEKDAY(A78,3)&gt;4,0,(IF(A78&lt;K$2,0,IF(A78&lt;=K$3,1,0))))</f>
        <v>0</v>
      </c>
      <c r="L78" s="124" t="n">
        <f aca="false">J78*K78</f>
        <v>0</v>
      </c>
      <c r="M78" s="124" t="n">
        <f aca="false">SUM(J$6:J78)</f>
        <v>1125545</v>
      </c>
      <c r="N78" s="124" t="n">
        <f aca="false">SUM(J$6:J78)</f>
        <v>1125545</v>
      </c>
      <c r="P78" s="124" t="n">
        <f aca="false">D78/P$3</f>
        <v>-17.1610883179579</v>
      </c>
      <c r="Q78" s="124" t="n">
        <f aca="false">E78/P$3</f>
        <v>0</v>
      </c>
      <c r="R78" s="124" t="n">
        <f aca="false">F78/R$3</f>
        <v>0</v>
      </c>
      <c r="S78" s="126" t="n">
        <f aca="false">J78/$R$3</f>
        <v>15.284</v>
      </c>
      <c r="T78" s="126" t="n">
        <f aca="false">L78/$R$3</f>
        <v>0</v>
      </c>
      <c r="U78" s="126" t="n">
        <f aca="false">I78/$R$3</f>
        <v>38.806</v>
      </c>
      <c r="V78" s="126" t="n">
        <f aca="false">M78/$R$3</f>
        <v>1125.545</v>
      </c>
      <c r="W78" s="126" t="n">
        <f aca="false">N78/$R$3</f>
        <v>1125.545</v>
      </c>
    </row>
    <row r="79" customFormat="false" ht="12.75" hidden="false" customHeight="false" outlineLevel="0" collapsed="false">
      <c r="A79" s="120" t="n">
        <f aca="false">A78+1</f>
        <v>36965</v>
      </c>
      <c r="B79" s="131" t="str">
        <f aca="false">INDEX('[4]Master Data'!$A$2:$B$8,MATCH(WEEKDAY('SC Gas MTM'!A79,3),'[4]Master Data'!$A$2:$A$8,0),2)</f>
        <v>Th</v>
      </c>
      <c r="D79" s="124" t="n">
        <v>-17349105.3952887</v>
      </c>
      <c r="E79" s="124" t="n">
        <v>0</v>
      </c>
      <c r="F79" s="124" t="n">
        <v>0</v>
      </c>
      <c r="G79" s="124" t="n">
        <v>214803</v>
      </c>
      <c r="I79" s="124" t="n">
        <f aca="false">IF(MONTH($A79)=MONTH($A78),IF(G79=0,I78,G79),G79)</f>
        <v>214803</v>
      </c>
      <c r="J79" s="124" t="n">
        <f aca="false">IF(MONTH($A79)=MONTH($A78),SUM(I79-I78),I79)</f>
        <v>175997</v>
      </c>
      <c r="K79" s="124" t="n">
        <f aca="false">IF(WEEKDAY(A79,3)&gt;4,0,(IF(A79&lt;K$2,0,IF(A79&lt;=K$3,1,0))))</f>
        <v>0</v>
      </c>
      <c r="L79" s="124" t="n">
        <f aca="false">J79*K79</f>
        <v>0</v>
      </c>
      <c r="M79" s="124" t="n">
        <f aca="false">SUM(J$6:J79)</f>
        <v>1301542</v>
      </c>
      <c r="N79" s="124" t="n">
        <f aca="false">SUM(J$6:J79)</f>
        <v>1301542</v>
      </c>
      <c r="P79" s="124" t="n">
        <f aca="false">D79/P$3</f>
        <v>-17.3491053952887</v>
      </c>
      <c r="Q79" s="124" t="n">
        <f aca="false">E79/P$3</f>
        <v>0</v>
      </c>
      <c r="R79" s="124" t="n">
        <f aca="false">F79/R$3</f>
        <v>0</v>
      </c>
      <c r="S79" s="126" t="n">
        <f aca="false">J79/$R$3</f>
        <v>175.997</v>
      </c>
      <c r="T79" s="126" t="n">
        <f aca="false">L79/$R$3</f>
        <v>0</v>
      </c>
      <c r="U79" s="126" t="n">
        <f aca="false">I79/$R$3</f>
        <v>214.803</v>
      </c>
      <c r="V79" s="126" t="n">
        <f aca="false">M79/$R$3</f>
        <v>1301.542</v>
      </c>
      <c r="W79" s="126" t="n">
        <f aca="false">N79/$R$3</f>
        <v>1301.542</v>
      </c>
    </row>
    <row r="80" customFormat="false" ht="12.75" hidden="false" customHeight="false" outlineLevel="0" collapsed="false">
      <c r="A80" s="120" t="n">
        <f aca="false">A79+1</f>
        <v>36966</v>
      </c>
      <c r="B80" s="131" t="str">
        <f aca="false">INDEX('[4]Master Data'!$A$2:$B$8,MATCH(WEEKDAY('SC Gas MTM'!A80,3),'[4]Master Data'!$A$2:$A$8,0),2)</f>
        <v>F</v>
      </c>
      <c r="D80" s="124" t="n">
        <v>-17345695.5675588</v>
      </c>
      <c r="E80" s="124" t="n">
        <v>0</v>
      </c>
      <c r="F80" s="124" t="n">
        <v>0</v>
      </c>
      <c r="G80" s="124" t="n">
        <v>178865</v>
      </c>
      <c r="I80" s="124" t="n">
        <f aca="false">IF(MONTH($A80)=MONTH($A79),IF(G80=0,I79,G80),G80)</f>
        <v>178865</v>
      </c>
      <c r="J80" s="124" t="n">
        <f aca="false">IF(MONTH($A80)=MONTH($A79),SUM(I80-I79),I80)</f>
        <v>-35938</v>
      </c>
      <c r="K80" s="124" t="n">
        <f aca="false">IF(WEEKDAY(A80,3)&gt;4,0,(IF(A80&lt;K$2,0,IF(A80&lt;=K$3,1,0))))</f>
        <v>0</v>
      </c>
      <c r="L80" s="124" t="n">
        <f aca="false">J80*K80</f>
        <v>-0</v>
      </c>
      <c r="M80" s="124" t="n">
        <f aca="false">SUM(J$6:J80)</f>
        <v>1265604</v>
      </c>
      <c r="N80" s="124" t="n">
        <f aca="false">SUM(J$6:J80)</f>
        <v>1265604</v>
      </c>
      <c r="P80" s="124" t="n">
        <f aca="false">D80/P$3</f>
        <v>-17.3456955675588</v>
      </c>
      <c r="Q80" s="124" t="n">
        <f aca="false">E80/P$3</f>
        <v>0</v>
      </c>
      <c r="R80" s="124" t="n">
        <f aca="false">F80/R$3</f>
        <v>0</v>
      </c>
      <c r="S80" s="126" t="n">
        <f aca="false">J80/$R$3</f>
        <v>-35.938</v>
      </c>
      <c r="T80" s="126" t="n">
        <f aca="false">L80/$R$3</f>
        <v>-0</v>
      </c>
      <c r="U80" s="126" t="n">
        <f aca="false">I80/$R$3</f>
        <v>178.865</v>
      </c>
      <c r="V80" s="126" t="n">
        <f aca="false">M80/$R$3</f>
        <v>1265.604</v>
      </c>
      <c r="W80" s="126" t="n">
        <f aca="false">N80/$R$3</f>
        <v>1265.604</v>
      </c>
    </row>
    <row r="81" customFormat="false" ht="12.75" hidden="false" customHeight="false" outlineLevel="0" collapsed="false">
      <c r="A81" s="120" t="n">
        <f aca="false">A80+1</f>
        <v>36967</v>
      </c>
      <c r="B81" s="131" t="str">
        <f aca="false">INDEX('[4]Master Data'!$A$2:$B$8,MATCH(WEEKDAY('SC Gas MTM'!A81,3),'[4]Master Data'!$A$2:$A$8,0),2)</f>
        <v>Sa</v>
      </c>
      <c r="D81" s="124" t="n">
        <v>0</v>
      </c>
      <c r="E81" s="124" t="n">
        <v>0</v>
      </c>
      <c r="F81" s="124" t="n">
        <v>0</v>
      </c>
      <c r="G81" s="124" t="n">
        <v>0</v>
      </c>
      <c r="I81" s="124" t="n">
        <f aca="false">IF(MONTH($A81)=MONTH($A80),IF(G81=0,I80,G81),G81)</f>
        <v>178865</v>
      </c>
      <c r="J81" s="124" t="n">
        <f aca="false">IF(MONTH($A81)=MONTH($A80),SUM(I81-I80),I81)</f>
        <v>0</v>
      </c>
      <c r="K81" s="124" t="n">
        <f aca="false">IF(WEEKDAY(A81,3)&gt;4,0,(IF(A81&lt;K$2,0,IF(A81&lt;=K$3,1,0))))</f>
        <v>0</v>
      </c>
      <c r="L81" s="124" t="n">
        <f aca="false">J81*K81</f>
        <v>0</v>
      </c>
      <c r="M81" s="124" t="n">
        <f aca="false">SUM(J$6:J81)</f>
        <v>1265604</v>
      </c>
      <c r="N81" s="124" t="n">
        <f aca="false">SUM(J$6:J81)</f>
        <v>1265604</v>
      </c>
      <c r="P81" s="124" t="n">
        <f aca="false">D81/P$3</f>
        <v>0</v>
      </c>
      <c r="Q81" s="124" t="n">
        <f aca="false">E81/P$3</f>
        <v>0</v>
      </c>
      <c r="R81" s="124" t="n">
        <f aca="false">F81/R$3</f>
        <v>0</v>
      </c>
      <c r="S81" s="126" t="n">
        <f aca="false">J81/$R$3</f>
        <v>0</v>
      </c>
      <c r="T81" s="126" t="n">
        <f aca="false">L81/$R$3</f>
        <v>0</v>
      </c>
      <c r="U81" s="126" t="n">
        <f aca="false">I81/$R$3</f>
        <v>178.865</v>
      </c>
      <c r="V81" s="126" t="n">
        <f aca="false">M81/$R$3</f>
        <v>1265.604</v>
      </c>
      <c r="W81" s="126" t="n">
        <f aca="false">N81/$R$3</f>
        <v>1265.604</v>
      </c>
    </row>
    <row r="82" customFormat="false" ht="12.75" hidden="false" customHeight="false" outlineLevel="0" collapsed="false">
      <c r="A82" s="120" t="n">
        <f aca="false">A81+1</f>
        <v>36968</v>
      </c>
      <c r="B82" s="131" t="str">
        <f aca="false">INDEX('[4]Master Data'!$A$2:$B$8,MATCH(WEEKDAY('SC Gas MTM'!A82,3),'[4]Master Data'!$A$2:$A$8,0),2)</f>
        <v>Su</v>
      </c>
      <c r="D82" s="124" t="n">
        <v>0</v>
      </c>
      <c r="E82" s="124" t="n">
        <v>0</v>
      </c>
      <c r="F82" s="124" t="n">
        <v>0</v>
      </c>
      <c r="G82" s="124" t="n">
        <v>0</v>
      </c>
      <c r="I82" s="124" t="n">
        <f aca="false">IF(MONTH($A82)=MONTH($A81),IF(G82=0,I81,G82),G82)</f>
        <v>178865</v>
      </c>
      <c r="J82" s="124" t="n">
        <f aca="false">IF(MONTH($A82)=MONTH($A81),SUM(I82-I81),I82)</f>
        <v>0</v>
      </c>
      <c r="K82" s="124" t="n">
        <f aca="false">IF(WEEKDAY(A82,3)&gt;4,0,(IF(A82&lt;K$2,0,IF(A82&lt;=K$3,1,0))))</f>
        <v>0</v>
      </c>
      <c r="L82" s="124" t="n">
        <f aca="false">J82*K82</f>
        <v>0</v>
      </c>
      <c r="M82" s="124" t="n">
        <f aca="false">SUM(J$6:J82)</f>
        <v>1265604</v>
      </c>
      <c r="N82" s="124" t="n">
        <f aca="false">SUM(J$6:J82)</f>
        <v>1265604</v>
      </c>
      <c r="P82" s="124" t="n">
        <f aca="false">D82/P$3</f>
        <v>0</v>
      </c>
      <c r="Q82" s="124" t="n">
        <f aca="false">E82/P$3</f>
        <v>0</v>
      </c>
      <c r="R82" s="124" t="n">
        <f aca="false">F82/R$3</f>
        <v>0</v>
      </c>
      <c r="S82" s="126" t="n">
        <f aca="false">J82/$R$3</f>
        <v>0</v>
      </c>
      <c r="T82" s="126" t="n">
        <f aca="false">L82/$R$3</f>
        <v>0</v>
      </c>
      <c r="U82" s="126" t="n">
        <f aca="false">I82/$R$3</f>
        <v>178.865</v>
      </c>
      <c r="V82" s="126" t="n">
        <f aca="false">M82/$R$3</f>
        <v>1265.604</v>
      </c>
      <c r="W82" s="126" t="n">
        <f aca="false">N82/$R$3</f>
        <v>1265.604</v>
      </c>
    </row>
    <row r="83" customFormat="false" ht="12.75" hidden="false" customHeight="false" outlineLevel="0" collapsed="false">
      <c r="A83" s="120" t="n">
        <f aca="false">A82+1</f>
        <v>36969</v>
      </c>
      <c r="B83" s="131" t="str">
        <f aca="false">INDEX('[4]Master Data'!$A$2:$B$8,MATCH(WEEKDAY('SC Gas MTM'!A83,3),'[4]Master Data'!$A$2:$A$8,0),2)</f>
        <v>M</v>
      </c>
      <c r="D83" s="124" t="n">
        <v>-15683117.2767777</v>
      </c>
      <c r="E83" s="124" t="n">
        <v>0</v>
      </c>
      <c r="F83" s="124" t="n">
        <v>0</v>
      </c>
      <c r="G83" s="124" t="n">
        <v>-369326</v>
      </c>
      <c r="I83" s="124" t="n">
        <f aca="false">IF(MONTH($A83)=MONTH($A82),IF(G83=0,I82,G83),G83)</f>
        <v>-369326</v>
      </c>
      <c r="J83" s="124" t="n">
        <f aca="false">IF(MONTH($A83)=MONTH($A82),SUM(I83-I82),I83)</f>
        <v>-548191</v>
      </c>
      <c r="K83" s="124" t="n">
        <f aca="false">IF(WEEKDAY(A83,3)&gt;4,0,(IF(A83&lt;K$2,0,IF(A83&lt;=K$3,1,0))))</f>
        <v>0</v>
      </c>
      <c r="L83" s="124" t="n">
        <f aca="false">J83*K83</f>
        <v>-0</v>
      </c>
      <c r="M83" s="124" t="n">
        <f aca="false">SUM(J$6:J83)</f>
        <v>717413</v>
      </c>
      <c r="N83" s="124" t="n">
        <f aca="false">SUM(J$6:J83)</f>
        <v>717413</v>
      </c>
      <c r="P83" s="124" t="n">
        <f aca="false">D83/P$3</f>
        <v>-15.6831172767777</v>
      </c>
      <c r="Q83" s="124" t="n">
        <f aca="false">E83/P$3</f>
        <v>0</v>
      </c>
      <c r="R83" s="124" t="n">
        <f aca="false">F83/R$3</f>
        <v>0</v>
      </c>
      <c r="S83" s="126" t="n">
        <f aca="false">J83/$R$3</f>
        <v>-548.191</v>
      </c>
      <c r="T83" s="126" t="n">
        <f aca="false">L83/$R$3</f>
        <v>-0</v>
      </c>
      <c r="U83" s="126" t="n">
        <f aca="false">I83/$R$3</f>
        <v>-369.326</v>
      </c>
      <c r="V83" s="126" t="n">
        <f aca="false">M83/$R$3</f>
        <v>717.413</v>
      </c>
      <c r="W83" s="126" t="n">
        <f aca="false">N83/$R$3</f>
        <v>717.413</v>
      </c>
    </row>
    <row r="84" customFormat="false" ht="12.75" hidden="false" customHeight="false" outlineLevel="0" collapsed="false">
      <c r="A84" s="120" t="n">
        <f aca="false">A83+1</f>
        <v>36970</v>
      </c>
      <c r="B84" s="131" t="str">
        <f aca="false">INDEX('[4]Master Data'!$A$2:$B$8,MATCH(WEEKDAY('SC Gas MTM'!A84,3),'[4]Master Data'!$A$2:$A$8,0),2)</f>
        <v>T</v>
      </c>
      <c r="D84" s="124" t="n">
        <v>-15706263.5326875</v>
      </c>
      <c r="E84" s="124" t="n">
        <v>0</v>
      </c>
      <c r="F84" s="124" t="n">
        <v>0</v>
      </c>
      <c r="G84" s="124" t="n">
        <v>-392175</v>
      </c>
      <c r="I84" s="124" t="n">
        <f aca="false">IF(MONTH($A84)=MONTH($A83),IF(G84=0,I83,G84),G84)</f>
        <v>-392175</v>
      </c>
      <c r="J84" s="124" t="n">
        <f aca="false">IF(MONTH($A84)=MONTH($A83),SUM(I84-I83),I84)</f>
        <v>-22849</v>
      </c>
      <c r="K84" s="124" t="n">
        <f aca="false">IF(WEEKDAY(A84,3)&gt;4,0,(IF(A84&lt;K$2,0,IF(A84&lt;=K$3,1,0))))</f>
        <v>0</v>
      </c>
      <c r="L84" s="124" t="n">
        <f aca="false">J84*K84</f>
        <v>-0</v>
      </c>
      <c r="M84" s="124" t="n">
        <f aca="false">SUM(J$6:J84)</f>
        <v>694564</v>
      </c>
      <c r="N84" s="124" t="n">
        <f aca="false">SUM(J$6:J84)</f>
        <v>694564</v>
      </c>
      <c r="P84" s="124" t="n">
        <f aca="false">D84/P$3</f>
        <v>-15.7062635326875</v>
      </c>
      <c r="Q84" s="124" t="n">
        <f aca="false">E84/P$3</f>
        <v>0</v>
      </c>
      <c r="R84" s="124" t="n">
        <f aca="false">F84/R$3</f>
        <v>0</v>
      </c>
      <c r="S84" s="126" t="n">
        <f aca="false">J84/$R$3</f>
        <v>-22.849</v>
      </c>
      <c r="T84" s="126" t="n">
        <f aca="false">L84/$R$3</f>
        <v>-0</v>
      </c>
      <c r="U84" s="126" t="n">
        <f aca="false">I84/$R$3</f>
        <v>-392.175</v>
      </c>
      <c r="V84" s="126" t="n">
        <f aca="false">M84/$R$3</f>
        <v>694.564</v>
      </c>
      <c r="W84" s="126" t="n">
        <f aca="false">N84/$R$3</f>
        <v>694.564</v>
      </c>
    </row>
    <row r="85" customFormat="false" ht="12.75" hidden="false" customHeight="false" outlineLevel="0" collapsed="false">
      <c r="A85" s="120" t="n">
        <f aca="false">A84+1</f>
        <v>36971</v>
      </c>
      <c r="B85" s="131" t="str">
        <f aca="false">INDEX('[4]Master Data'!$A$2:$B$8,MATCH(WEEKDAY('SC Gas MTM'!A85,3),'[4]Master Data'!$A$2:$A$8,0),2)</f>
        <v>W</v>
      </c>
      <c r="D85" s="153" t="n">
        <v>0</v>
      </c>
      <c r="E85" s="124" t="n">
        <v>0</v>
      </c>
      <c r="F85" s="124" t="n">
        <v>0</v>
      </c>
      <c r="G85" s="124" t="n">
        <f aca="false">-392175+860000</f>
        <v>467825</v>
      </c>
      <c r="I85" s="124" t="n">
        <f aca="false">IF(MONTH($A85)=MONTH($A84),IF(G85=0,I84,G85),G85)</f>
        <v>467825</v>
      </c>
      <c r="J85" s="124" t="n">
        <f aca="false">IF(MONTH($A85)=MONTH($A84),SUM(I85-I84),I85)</f>
        <v>860000</v>
      </c>
      <c r="K85" s="124" t="n">
        <f aca="false">IF(WEEKDAY(A85,3)&gt;4,0,(IF(A85&lt;K$2,0,IF(A85&lt;=K$3,1,0))))</f>
        <v>0</v>
      </c>
      <c r="L85" s="124" t="n">
        <f aca="false">J85*K85</f>
        <v>0</v>
      </c>
      <c r="M85" s="124" t="n">
        <f aca="false">SUM(J$6:J85)</f>
        <v>1554564</v>
      </c>
      <c r="N85" s="124" t="n">
        <f aca="false">SUM(J$6:J85)</f>
        <v>1554564</v>
      </c>
      <c r="P85" s="124" t="n">
        <f aca="false">D85/P$3</f>
        <v>0</v>
      </c>
      <c r="Q85" s="124" t="n">
        <f aca="false">E85/P$3</f>
        <v>0</v>
      </c>
      <c r="R85" s="124" t="n">
        <f aca="false">F85/R$3</f>
        <v>0</v>
      </c>
      <c r="S85" s="126" t="n">
        <f aca="false">J85/$R$3</f>
        <v>860</v>
      </c>
      <c r="T85" s="126" t="n">
        <f aca="false">L85/$R$3</f>
        <v>0</v>
      </c>
      <c r="U85" s="126" t="n">
        <f aca="false">I85/$R$3</f>
        <v>467.825</v>
      </c>
      <c r="V85" s="126" t="n">
        <f aca="false">M85/$R$3</f>
        <v>1554.564</v>
      </c>
      <c r="W85" s="126" t="n">
        <f aca="false">N85/$R$3</f>
        <v>1554.564</v>
      </c>
    </row>
    <row r="86" customFormat="false" ht="12.75" hidden="false" customHeight="false" outlineLevel="0" collapsed="false">
      <c r="A86" s="120" t="n">
        <f aca="false">A85+1</f>
        <v>36972</v>
      </c>
      <c r="B86" s="131" t="str">
        <f aca="false">INDEX('[4]Master Data'!$A$2:$B$8,MATCH(WEEKDAY('SC Gas MTM'!A86,3),'[4]Master Data'!$A$2:$A$8,0),2)</f>
        <v>Th</v>
      </c>
      <c r="D86" s="153" t="n">
        <v>0</v>
      </c>
      <c r="E86" s="124" t="n">
        <v>0</v>
      </c>
      <c r="F86" s="124" t="n">
        <v>0</v>
      </c>
      <c r="G86" s="124" t="n">
        <v>110286</v>
      </c>
      <c r="I86" s="124" t="n">
        <f aca="false">IF(MONTH($A86)=MONTH($A85),IF(G86=0,I85,G86),G86)</f>
        <v>110286</v>
      </c>
      <c r="J86" s="124" t="n">
        <f aca="false">IF(MONTH($A86)=MONTH($A85),SUM(I86-I85),I86)</f>
        <v>-357539</v>
      </c>
      <c r="K86" s="124" t="n">
        <f aca="false">IF(WEEKDAY(A86,3)&gt;4,0,(IF(A86&lt;K$2,0,IF(A86&lt;=K$3,1,0))))</f>
        <v>0</v>
      </c>
      <c r="L86" s="124" t="n">
        <f aca="false">J86*K86</f>
        <v>-0</v>
      </c>
      <c r="M86" s="124" t="n">
        <f aca="false">SUM(J$6:J86)</f>
        <v>1197025</v>
      </c>
      <c r="N86" s="124" t="n">
        <f aca="false">SUM(J$6:J86)</f>
        <v>1197025</v>
      </c>
      <c r="P86" s="124" t="n">
        <f aca="false">D86/P$3</f>
        <v>0</v>
      </c>
      <c r="Q86" s="124" t="n">
        <f aca="false">E86/P$3</f>
        <v>0</v>
      </c>
      <c r="R86" s="124" t="n">
        <f aca="false">F86/R$3</f>
        <v>0</v>
      </c>
      <c r="S86" s="126" t="n">
        <f aca="false">J86/$R$3</f>
        <v>-357.539</v>
      </c>
      <c r="T86" s="126" t="n">
        <f aca="false">L86/$R$3</f>
        <v>-0</v>
      </c>
      <c r="U86" s="126" t="n">
        <f aca="false">I86/$R$3</f>
        <v>110.286</v>
      </c>
      <c r="V86" s="126" t="n">
        <f aca="false">M86/$R$3</f>
        <v>1197.025</v>
      </c>
      <c r="W86" s="126" t="n">
        <f aca="false">N86/$R$3</f>
        <v>1197.025</v>
      </c>
    </row>
    <row r="87" customFormat="false" ht="12.75" hidden="false" customHeight="false" outlineLevel="0" collapsed="false">
      <c r="A87" s="120" t="n">
        <f aca="false">A86+1</f>
        <v>36973</v>
      </c>
      <c r="B87" s="131" t="str">
        <f aca="false">INDEX('[4]Master Data'!$A$2:$B$8,MATCH(WEEKDAY('SC Gas MTM'!A87,3),'[4]Master Data'!$A$2:$A$8,0),2)</f>
        <v>F</v>
      </c>
      <c r="D87" s="124" t="n">
        <v>0</v>
      </c>
      <c r="E87" s="124" t="n">
        <v>0</v>
      </c>
      <c r="F87" s="124" t="n">
        <v>0</v>
      </c>
      <c r="G87" s="124" t="n">
        <v>0</v>
      </c>
      <c r="I87" s="124" t="n">
        <f aca="false">IF(MONTH($A87)=MONTH($A86),IF(G87=0,I86,G87),G87)</f>
        <v>110286</v>
      </c>
      <c r="J87" s="124" t="n">
        <f aca="false">IF(MONTH($A87)=MONTH($A86),SUM(I87-I86),I87)</f>
        <v>0</v>
      </c>
      <c r="K87" s="124" t="n">
        <f aca="false">IF(WEEKDAY(A87,3)&gt;4,0,(IF(A87&lt;K$2,0,IF(A87&lt;=K$3,1,0))))</f>
        <v>0</v>
      </c>
      <c r="L87" s="124" t="n">
        <f aca="false">J87*K87</f>
        <v>0</v>
      </c>
      <c r="M87" s="124" t="n">
        <f aca="false">SUM(J$6:J87)</f>
        <v>1197025</v>
      </c>
      <c r="N87" s="124" t="n">
        <f aca="false">SUM(J$6:J87)</f>
        <v>1197025</v>
      </c>
      <c r="P87" s="124" t="n">
        <f aca="false">D87/P$3</f>
        <v>0</v>
      </c>
      <c r="Q87" s="124" t="n">
        <f aca="false">E87/P$3</f>
        <v>0</v>
      </c>
      <c r="R87" s="124" t="n">
        <f aca="false">F87/R$3</f>
        <v>0</v>
      </c>
      <c r="S87" s="126" t="n">
        <f aca="false">J87/$R$3</f>
        <v>0</v>
      </c>
      <c r="T87" s="126" t="n">
        <f aca="false">L87/$R$3</f>
        <v>0</v>
      </c>
      <c r="U87" s="126" t="n">
        <f aca="false">I87/$R$3</f>
        <v>110.286</v>
      </c>
      <c r="V87" s="126" t="n">
        <f aca="false">M87/$R$3</f>
        <v>1197.025</v>
      </c>
      <c r="W87" s="126" t="n">
        <f aca="false">N87/$R$3</f>
        <v>1197.025</v>
      </c>
    </row>
    <row r="88" customFormat="false" ht="12.75" hidden="false" customHeight="false" outlineLevel="0" collapsed="false">
      <c r="A88" s="120" t="n">
        <f aca="false">A87+1</f>
        <v>36974</v>
      </c>
      <c r="B88" s="131" t="str">
        <f aca="false">INDEX('[4]Master Data'!$A$2:$B$8,MATCH(WEEKDAY('SC Gas MTM'!A88,3),'[4]Master Data'!$A$2:$A$8,0),2)</f>
        <v>Sa</v>
      </c>
      <c r="D88" s="124" t="n">
        <v>0</v>
      </c>
      <c r="E88" s="124" t="n">
        <v>0</v>
      </c>
      <c r="F88" s="124" t="n">
        <v>0</v>
      </c>
      <c r="G88" s="124" t="n">
        <v>0</v>
      </c>
      <c r="I88" s="124" t="n">
        <f aca="false">IF(MONTH($A88)=MONTH($A87),IF(G88=0,I87,G88),G88)</f>
        <v>110286</v>
      </c>
      <c r="J88" s="124" t="n">
        <f aca="false">IF(MONTH($A88)=MONTH($A87),SUM(I88-I87),I88)</f>
        <v>0</v>
      </c>
      <c r="K88" s="124" t="n">
        <f aca="false">IF(WEEKDAY(A88,3)&gt;4,0,(IF(A88&lt;K$2,0,IF(A88&lt;=K$3,1,0))))</f>
        <v>0</v>
      </c>
      <c r="L88" s="124" t="n">
        <f aca="false">J88*K88</f>
        <v>0</v>
      </c>
      <c r="M88" s="124" t="n">
        <f aca="false">SUM(J$6:J88)</f>
        <v>1197025</v>
      </c>
      <c r="N88" s="124" t="n">
        <f aca="false">SUM(J$6:J88)</f>
        <v>1197025</v>
      </c>
      <c r="P88" s="124" t="n">
        <f aca="false">D88/P$3</f>
        <v>0</v>
      </c>
      <c r="Q88" s="124" t="n">
        <f aca="false">E88/P$3</f>
        <v>0</v>
      </c>
      <c r="R88" s="124" t="n">
        <f aca="false">F88/R$3</f>
        <v>0</v>
      </c>
      <c r="S88" s="126" t="n">
        <f aca="false">J88/$R$3</f>
        <v>0</v>
      </c>
      <c r="T88" s="126" t="n">
        <f aca="false">L88/$R$3</f>
        <v>0</v>
      </c>
      <c r="U88" s="126" t="n">
        <f aca="false">I88/$R$3</f>
        <v>110.286</v>
      </c>
      <c r="V88" s="126" t="n">
        <f aca="false">M88/$R$3</f>
        <v>1197.025</v>
      </c>
      <c r="W88" s="126" t="n">
        <f aca="false">N88/$R$3</f>
        <v>1197.025</v>
      </c>
    </row>
    <row r="89" customFormat="false" ht="12.75" hidden="false" customHeight="false" outlineLevel="0" collapsed="false">
      <c r="A89" s="120" t="n">
        <f aca="false">A88+1</f>
        <v>36975</v>
      </c>
      <c r="B89" s="131" t="str">
        <f aca="false">INDEX('[4]Master Data'!$A$2:$B$8,MATCH(WEEKDAY('SC Gas MTM'!A89,3),'[4]Master Data'!$A$2:$A$8,0),2)</f>
        <v>Su</v>
      </c>
      <c r="D89" s="124" t="n">
        <v>0</v>
      </c>
      <c r="E89" s="124" t="n">
        <v>0</v>
      </c>
      <c r="F89" s="124" t="n">
        <v>0</v>
      </c>
      <c r="G89" s="124" t="n">
        <v>0</v>
      </c>
      <c r="I89" s="124" t="n">
        <f aca="false">IF(MONTH($A89)=MONTH($A88),IF(G89=0,I88,G89),G89)</f>
        <v>110286</v>
      </c>
      <c r="J89" s="124" t="n">
        <f aca="false">IF(MONTH($A89)=MONTH($A88),SUM(I89-I88),I89)</f>
        <v>0</v>
      </c>
      <c r="K89" s="124" t="n">
        <f aca="false">IF(WEEKDAY(A89,3)&gt;4,0,(IF(A89&lt;K$2,0,IF(A89&lt;=K$3,1,0))))</f>
        <v>0</v>
      </c>
      <c r="L89" s="124" t="n">
        <f aca="false">J89*K89</f>
        <v>0</v>
      </c>
      <c r="M89" s="124" t="n">
        <f aca="false">SUM(J$6:J89)</f>
        <v>1197025</v>
      </c>
      <c r="N89" s="124" t="n">
        <f aca="false">SUM(J$6:J89)</f>
        <v>1197025</v>
      </c>
      <c r="P89" s="124" t="n">
        <f aca="false">D89/P$3</f>
        <v>0</v>
      </c>
      <c r="Q89" s="124" t="n">
        <f aca="false">E89/P$3</f>
        <v>0</v>
      </c>
      <c r="R89" s="124" t="n">
        <f aca="false">F89/R$3</f>
        <v>0</v>
      </c>
      <c r="S89" s="126" t="n">
        <f aca="false">J89/$R$3</f>
        <v>0</v>
      </c>
      <c r="T89" s="126" t="n">
        <f aca="false">L89/$R$3</f>
        <v>0</v>
      </c>
      <c r="U89" s="126" t="n">
        <f aca="false">I89/$R$3</f>
        <v>110.286</v>
      </c>
      <c r="V89" s="126" t="n">
        <f aca="false">M89/$R$3</f>
        <v>1197.025</v>
      </c>
      <c r="W89" s="126" t="n">
        <f aca="false">N89/$R$3</f>
        <v>1197.025</v>
      </c>
    </row>
    <row r="90" customFormat="false" ht="12.75" hidden="false" customHeight="false" outlineLevel="0" collapsed="false">
      <c r="A90" s="120" t="n">
        <f aca="false">A89+1</f>
        <v>36976</v>
      </c>
      <c r="B90" s="131" t="str">
        <f aca="false">INDEX('[4]Master Data'!$A$2:$B$8,MATCH(WEEKDAY('SC Gas MTM'!A90,3),'[4]Master Data'!$A$2:$A$8,0),2)</f>
        <v>M</v>
      </c>
      <c r="D90" s="124" t="n">
        <v>0</v>
      </c>
      <c r="E90" s="124" t="n">
        <v>0</v>
      </c>
      <c r="F90" s="124" t="n">
        <v>0</v>
      </c>
      <c r="G90" s="124" t="n">
        <v>0</v>
      </c>
      <c r="I90" s="124" t="n">
        <f aca="false">IF(MONTH($A90)=MONTH($A89),IF(G90=0,I89,G90),G90)</f>
        <v>110286</v>
      </c>
      <c r="J90" s="124" t="n">
        <f aca="false">IF(MONTH($A90)=MONTH($A89),SUM(I90-I89),I90)</f>
        <v>0</v>
      </c>
      <c r="K90" s="124" t="n">
        <f aca="false">IF(WEEKDAY(A90,3)&gt;4,0,(IF(A90&lt;K$2,0,IF(A90&lt;=K$3,1,0))))</f>
        <v>0</v>
      </c>
      <c r="L90" s="124" t="n">
        <f aca="false">J90*K90</f>
        <v>0</v>
      </c>
      <c r="M90" s="124" t="n">
        <f aca="false">SUM(J$6:J90)</f>
        <v>1197025</v>
      </c>
      <c r="N90" s="124" t="n">
        <f aca="false">SUM(J$6:J90)</f>
        <v>1197025</v>
      </c>
      <c r="P90" s="124" t="n">
        <f aca="false">D90/P$3</f>
        <v>0</v>
      </c>
      <c r="Q90" s="124" t="n">
        <f aca="false">E90/P$3</f>
        <v>0</v>
      </c>
      <c r="R90" s="124" t="n">
        <f aca="false">F90/R$3</f>
        <v>0</v>
      </c>
      <c r="S90" s="126" t="n">
        <f aca="false">J90/$R$3</f>
        <v>0</v>
      </c>
      <c r="T90" s="126" t="n">
        <f aca="false">L90/$R$3</f>
        <v>0</v>
      </c>
      <c r="U90" s="126" t="n">
        <f aca="false">I90/$R$3</f>
        <v>110.286</v>
      </c>
      <c r="V90" s="126" t="n">
        <f aca="false">M90/$R$3</f>
        <v>1197.025</v>
      </c>
      <c r="W90" s="126" t="n">
        <f aca="false">N90/$R$3</f>
        <v>1197.025</v>
      </c>
    </row>
    <row r="91" customFormat="false" ht="12.75" hidden="false" customHeight="false" outlineLevel="0" collapsed="false">
      <c r="A91" s="120" t="n">
        <f aca="false">A90+1</f>
        <v>36977</v>
      </c>
      <c r="B91" s="131" t="str">
        <f aca="false">INDEX('[4]Master Data'!$A$2:$B$8,MATCH(WEEKDAY('SC Gas MTM'!A91,3),'[4]Master Data'!$A$2:$A$8,0),2)</f>
        <v>T</v>
      </c>
      <c r="D91" s="124" t="n">
        <v>0</v>
      </c>
      <c r="E91" s="124" t="n">
        <v>0</v>
      </c>
      <c r="F91" s="124" t="n">
        <v>0</v>
      </c>
      <c r="G91" s="124" t="n">
        <v>0</v>
      </c>
      <c r="I91" s="124" t="n">
        <f aca="false">IF(MONTH($A91)=MONTH($A90),IF(G91=0,I90,G91),G91)</f>
        <v>110286</v>
      </c>
      <c r="J91" s="124" t="n">
        <f aca="false">IF(MONTH($A91)=MONTH($A90),SUM(I91-I90),I91)</f>
        <v>0</v>
      </c>
      <c r="K91" s="124" t="n">
        <f aca="false">IF(WEEKDAY(A91,3)&gt;4,0,(IF(A91&lt;K$2,0,IF(A91&lt;=K$3,1,0))))</f>
        <v>0</v>
      </c>
      <c r="L91" s="124" t="n">
        <f aca="false">J91*K91</f>
        <v>0</v>
      </c>
      <c r="M91" s="124" t="n">
        <f aca="false">SUM(J$6:J91)</f>
        <v>1197025</v>
      </c>
      <c r="N91" s="124" t="n">
        <f aca="false">SUM(J$6:J91)</f>
        <v>1197025</v>
      </c>
      <c r="P91" s="124" t="n">
        <f aca="false">D91/P$3</f>
        <v>0</v>
      </c>
      <c r="Q91" s="124" t="n">
        <f aca="false">E91/P$3</f>
        <v>0</v>
      </c>
      <c r="R91" s="124" t="n">
        <f aca="false">F91/R$3</f>
        <v>0</v>
      </c>
      <c r="S91" s="126" t="n">
        <f aca="false">J91/$R$3</f>
        <v>0</v>
      </c>
      <c r="T91" s="126" t="n">
        <f aca="false">L91/$R$3</f>
        <v>0</v>
      </c>
      <c r="U91" s="126" t="n">
        <f aca="false">I91/$R$3</f>
        <v>110.286</v>
      </c>
      <c r="V91" s="126" t="n">
        <f aca="false">M91/$R$3</f>
        <v>1197.025</v>
      </c>
      <c r="W91" s="126" t="n">
        <f aca="false">N91/$R$3</f>
        <v>1197.025</v>
      </c>
    </row>
    <row r="92" customFormat="false" ht="12.75" hidden="false" customHeight="false" outlineLevel="0" collapsed="false">
      <c r="A92" s="120" t="n">
        <f aca="false">A91+1</f>
        <v>36978</v>
      </c>
      <c r="B92" s="131" t="str">
        <f aca="false">INDEX('[4]Master Data'!$A$2:$B$8,MATCH(WEEKDAY('SC Gas MTM'!A92,3),'[4]Master Data'!$A$2:$A$8,0),2)</f>
        <v>W</v>
      </c>
      <c r="D92" s="124" t="n">
        <v>0</v>
      </c>
      <c r="E92" s="124" t="n">
        <v>0</v>
      </c>
      <c r="F92" s="124" t="n">
        <v>0</v>
      </c>
      <c r="G92" s="124" t="n">
        <v>0</v>
      </c>
      <c r="I92" s="124" t="n">
        <f aca="false">IF(MONTH($A92)=MONTH($A91),IF(G92=0,I91,G92),G92)</f>
        <v>110286</v>
      </c>
      <c r="J92" s="124" t="n">
        <f aca="false">IF(MONTH($A92)=MONTH($A91),SUM(I92-I91),I92)</f>
        <v>0</v>
      </c>
      <c r="K92" s="124" t="n">
        <f aca="false">IF(WEEKDAY(A92,3)&gt;4,0,(IF(A92&lt;K$2,0,IF(A92&lt;=K$3,1,0))))</f>
        <v>0</v>
      </c>
      <c r="L92" s="124" t="n">
        <f aca="false">J92*K92</f>
        <v>0</v>
      </c>
      <c r="M92" s="124" t="n">
        <f aca="false">SUM(J$6:J92)</f>
        <v>1197025</v>
      </c>
      <c r="N92" s="124" t="n">
        <f aca="false">SUM(J$6:J92)</f>
        <v>1197025</v>
      </c>
      <c r="P92" s="124" t="n">
        <f aca="false">D92/P$3</f>
        <v>0</v>
      </c>
      <c r="Q92" s="124" t="n">
        <f aca="false">E92/P$3</f>
        <v>0</v>
      </c>
      <c r="R92" s="124" t="n">
        <f aca="false">F92/R$3</f>
        <v>0</v>
      </c>
      <c r="S92" s="126" t="n">
        <f aca="false">J92/$R$3</f>
        <v>0</v>
      </c>
      <c r="T92" s="126" t="n">
        <f aca="false">L92/$R$3</f>
        <v>0</v>
      </c>
      <c r="U92" s="126" t="n">
        <f aca="false">I92/$R$3</f>
        <v>110.286</v>
      </c>
      <c r="V92" s="126" t="n">
        <f aca="false">M92/$R$3</f>
        <v>1197.025</v>
      </c>
      <c r="W92" s="126" t="n">
        <f aca="false">N92/$R$3</f>
        <v>1197.025</v>
      </c>
    </row>
    <row r="93" customFormat="false" ht="12.75" hidden="false" customHeight="false" outlineLevel="0" collapsed="false">
      <c r="A93" s="120" t="n">
        <f aca="false">A92+1</f>
        <v>36979</v>
      </c>
      <c r="B93" s="131" t="str">
        <f aca="false">INDEX('[4]Master Data'!$A$2:$B$8,MATCH(WEEKDAY('SC Gas MTM'!A93,3),'[4]Master Data'!$A$2:$A$8,0),2)</f>
        <v>Th</v>
      </c>
      <c r="D93" s="124" t="n">
        <v>0</v>
      </c>
      <c r="E93" s="124" t="n">
        <v>0</v>
      </c>
      <c r="F93" s="124" t="n">
        <v>0</v>
      </c>
      <c r="G93" s="124" t="n">
        <v>0</v>
      </c>
      <c r="I93" s="124" t="n">
        <f aca="false">IF(MONTH($A93)=MONTH($A92),IF(G93=0,I92,G93),G93)</f>
        <v>110286</v>
      </c>
      <c r="J93" s="124" t="n">
        <f aca="false">IF(MONTH($A93)=MONTH($A92),SUM(I93-I92),I93)</f>
        <v>0</v>
      </c>
      <c r="K93" s="124" t="n">
        <f aca="false">IF(WEEKDAY(A93,3)&gt;4,0,(IF(A93&lt;K$2,0,IF(A93&lt;=K$3,1,0))))</f>
        <v>0</v>
      </c>
      <c r="L93" s="124" t="n">
        <f aca="false">J93*K93</f>
        <v>0</v>
      </c>
      <c r="M93" s="124" t="n">
        <f aca="false">SUM(J$6:J93)</f>
        <v>1197025</v>
      </c>
      <c r="N93" s="124" t="n">
        <f aca="false">SUM(J$6:J93)</f>
        <v>1197025</v>
      </c>
      <c r="P93" s="124" t="n">
        <f aca="false">D93/P$3</f>
        <v>0</v>
      </c>
      <c r="Q93" s="124" t="n">
        <f aca="false">E93/P$3</f>
        <v>0</v>
      </c>
      <c r="R93" s="124" t="n">
        <f aca="false">F93/R$3</f>
        <v>0</v>
      </c>
      <c r="S93" s="126" t="n">
        <f aca="false">J93/$R$3</f>
        <v>0</v>
      </c>
      <c r="T93" s="126" t="n">
        <f aca="false">L93/$R$3</f>
        <v>0</v>
      </c>
      <c r="U93" s="126" t="n">
        <f aca="false">I93/$R$3</f>
        <v>110.286</v>
      </c>
      <c r="V93" s="126" t="n">
        <f aca="false">M93/$R$3</f>
        <v>1197.025</v>
      </c>
      <c r="W93" s="126" t="n">
        <f aca="false">N93/$R$3</f>
        <v>1197.025</v>
      </c>
    </row>
    <row r="94" customFormat="false" ht="12.75" hidden="false" customHeight="false" outlineLevel="0" collapsed="false">
      <c r="A94" s="120" t="n">
        <f aca="false">A93+1</f>
        <v>36980</v>
      </c>
      <c r="B94" s="131" t="str">
        <f aca="false">INDEX('[4]Master Data'!$A$2:$B$8,MATCH(WEEKDAY('SC Gas MTM'!A94,3),'[4]Master Data'!$A$2:$A$8,0),2)</f>
        <v>F</v>
      </c>
      <c r="D94" s="124" t="n">
        <v>0</v>
      </c>
      <c r="E94" s="124" t="n">
        <v>0</v>
      </c>
      <c r="F94" s="124" t="n">
        <v>0</v>
      </c>
      <c r="G94" s="124" t="n">
        <v>0</v>
      </c>
      <c r="I94" s="124" t="n">
        <f aca="false">IF(MONTH($A94)=MONTH($A93),IF(G94=0,I93,G94),G94)</f>
        <v>110286</v>
      </c>
      <c r="J94" s="124" t="n">
        <f aca="false">IF(MONTH($A94)=MONTH($A93),SUM(I94-I93),I94)</f>
        <v>0</v>
      </c>
      <c r="K94" s="124" t="n">
        <f aca="false">IF(WEEKDAY(A94,3)&gt;4,0,(IF(A94&lt;K$2,0,IF(A94&lt;=K$3,1,0))))</f>
        <v>0</v>
      </c>
      <c r="L94" s="124" t="n">
        <f aca="false">J94*K94</f>
        <v>0</v>
      </c>
      <c r="M94" s="124" t="n">
        <f aca="false">SUM(J$6:J94)</f>
        <v>1197025</v>
      </c>
      <c r="N94" s="124" t="n">
        <f aca="false">SUM(J$6:J94)</f>
        <v>1197025</v>
      </c>
      <c r="P94" s="124" t="n">
        <f aca="false">D94/P$3</f>
        <v>0</v>
      </c>
      <c r="Q94" s="124" t="n">
        <f aca="false">E94/P$3</f>
        <v>0</v>
      </c>
      <c r="R94" s="124" t="n">
        <f aca="false">F94/R$3</f>
        <v>0</v>
      </c>
      <c r="S94" s="126" t="n">
        <f aca="false">J94/$R$3</f>
        <v>0</v>
      </c>
      <c r="T94" s="126" t="n">
        <f aca="false">L94/$R$3</f>
        <v>0</v>
      </c>
      <c r="U94" s="126" t="n">
        <f aca="false">I94/$R$3</f>
        <v>110.286</v>
      </c>
      <c r="V94" s="126" t="n">
        <f aca="false">M94/$R$3</f>
        <v>1197.025</v>
      </c>
      <c r="W94" s="126" t="n">
        <f aca="false">N94/$R$3</f>
        <v>1197.025</v>
      </c>
    </row>
    <row r="95" customFormat="false" ht="12.75" hidden="false" customHeight="false" outlineLevel="0" collapsed="false">
      <c r="A95" s="120" t="n">
        <f aca="false">A94+1</f>
        <v>36981</v>
      </c>
      <c r="B95" s="131" t="str">
        <f aca="false">INDEX('[4]Master Data'!$A$2:$B$8,MATCH(WEEKDAY('SC Gas MTM'!A95,3),'[4]Master Data'!$A$2:$A$8,0),2)</f>
        <v>Sa</v>
      </c>
      <c r="D95" s="124" t="n">
        <v>0</v>
      </c>
      <c r="E95" s="124" t="n">
        <v>0</v>
      </c>
      <c r="F95" s="124" t="n">
        <v>0</v>
      </c>
      <c r="G95" s="124" t="n">
        <v>0</v>
      </c>
      <c r="I95" s="124" t="n">
        <f aca="false">IF(MONTH($A95)=MONTH($A94),IF(G95=0,I94,G95),G95)</f>
        <v>110286</v>
      </c>
      <c r="J95" s="124" t="n">
        <f aca="false">IF(MONTH($A95)=MONTH($A94),SUM(I95-I94),I95)</f>
        <v>0</v>
      </c>
      <c r="K95" s="124" t="n">
        <f aca="false">IF(WEEKDAY(A95,3)&gt;4,0,(IF(A95&lt;K$2,0,IF(A95&lt;=K$3,1,0))))</f>
        <v>0</v>
      </c>
      <c r="L95" s="124" t="n">
        <f aca="false">J95*K95</f>
        <v>0</v>
      </c>
      <c r="M95" s="124" t="n">
        <f aca="false">SUM(J$6:J95)</f>
        <v>1197025</v>
      </c>
      <c r="N95" s="124" t="n">
        <f aca="false">SUM(J$6:J95)</f>
        <v>1197025</v>
      </c>
      <c r="P95" s="124" t="n">
        <f aca="false">D95/P$3</f>
        <v>0</v>
      </c>
      <c r="Q95" s="124" t="n">
        <f aca="false">E95/P$3</f>
        <v>0</v>
      </c>
      <c r="R95" s="124" t="n">
        <f aca="false">F95/R$3</f>
        <v>0</v>
      </c>
      <c r="S95" s="126" t="n">
        <f aca="false">J95/$R$3</f>
        <v>0</v>
      </c>
      <c r="T95" s="126" t="n">
        <f aca="false">L95/$R$3</f>
        <v>0</v>
      </c>
      <c r="U95" s="126" t="n">
        <f aca="false">I95/$R$3</f>
        <v>110.286</v>
      </c>
      <c r="V95" s="126" t="n">
        <f aca="false">M95/$R$3</f>
        <v>1197.025</v>
      </c>
      <c r="W95" s="126" t="n">
        <f aca="false">N95/$R$3</f>
        <v>1197.025</v>
      </c>
    </row>
    <row r="96" customFormat="false" ht="12.75" hidden="false" customHeight="false" outlineLevel="0" collapsed="false">
      <c r="A96" s="120" t="n">
        <f aca="false">A95+1</f>
        <v>36982</v>
      </c>
      <c r="B96" s="131" t="str">
        <f aca="false">INDEX('[4]Master Data'!$A$2:$B$8,MATCH(WEEKDAY('SC Gas MTM'!A96,3),'[4]Master Data'!$A$2:$A$8,0),2)</f>
        <v>Su</v>
      </c>
      <c r="D96" s="124" t="n">
        <v>0</v>
      </c>
      <c r="E96" s="124" t="n">
        <v>0</v>
      </c>
      <c r="F96" s="124" t="n">
        <v>0</v>
      </c>
      <c r="G96" s="124" t="n">
        <v>0</v>
      </c>
      <c r="I96" s="124" t="n">
        <f aca="false">IF(MONTH($A96)=MONTH($A95),IF(G96=0,I95,G96),G96)</f>
        <v>0</v>
      </c>
      <c r="J96" s="124" t="n">
        <f aca="false">IF(MONTH($A96)=MONTH($A95),SUM(I96-I95),I96)</f>
        <v>0</v>
      </c>
      <c r="K96" s="124" t="n">
        <f aca="false">IF(WEEKDAY(A96,3)&gt;4,0,(IF(A96&lt;K$2,0,IF(A96&lt;=K$3,1,0))))</f>
        <v>0</v>
      </c>
      <c r="L96" s="124" t="n">
        <f aca="false">J96*K96</f>
        <v>0</v>
      </c>
      <c r="M96" s="124" t="n">
        <f aca="false">SUM(J$6:J96)</f>
        <v>1197025</v>
      </c>
      <c r="N96" s="124" t="n">
        <f aca="false">SUM(J$6:J96)</f>
        <v>1197025</v>
      </c>
      <c r="P96" s="124" t="n">
        <f aca="false">D96/P$3</f>
        <v>0</v>
      </c>
      <c r="Q96" s="124" t="n">
        <f aca="false">E96/P$3</f>
        <v>0</v>
      </c>
      <c r="R96" s="124" t="n">
        <f aca="false">F96/R$3</f>
        <v>0</v>
      </c>
      <c r="S96" s="126" t="n">
        <f aca="false">J96/$R$3</f>
        <v>0</v>
      </c>
      <c r="T96" s="126" t="n">
        <f aca="false">L96/$R$3</f>
        <v>0</v>
      </c>
      <c r="U96" s="126" t="n">
        <f aca="false">I96/$R$3</f>
        <v>0</v>
      </c>
      <c r="V96" s="126" t="n">
        <f aca="false">M96/$R$3</f>
        <v>1197.025</v>
      </c>
      <c r="W96" s="126" t="n">
        <f aca="false">N96/$R$3</f>
        <v>1197.025</v>
      </c>
    </row>
    <row r="97" customFormat="false" ht="12.75" hidden="false" customHeight="false" outlineLevel="0" collapsed="false">
      <c r="A97" s="120" t="n">
        <f aca="false">A96+1</f>
        <v>36983</v>
      </c>
      <c r="B97" s="131" t="str">
        <f aca="false">INDEX('[4]Master Data'!$A$2:$B$8,MATCH(WEEKDAY('SC Gas MTM'!A97,3),'[4]Master Data'!$A$2:$A$8,0),2)</f>
        <v>M</v>
      </c>
      <c r="D97" s="124" t="n">
        <v>0</v>
      </c>
      <c r="E97" s="124" t="n">
        <v>0</v>
      </c>
      <c r="F97" s="124" t="n">
        <v>0</v>
      </c>
      <c r="G97" s="124" t="n">
        <v>0</v>
      </c>
      <c r="I97" s="124" t="n">
        <f aca="false">IF(MONTH($A97)=MONTH($A96),IF(G97=0,I96,G97),G97)</f>
        <v>0</v>
      </c>
      <c r="J97" s="124" t="n">
        <f aca="false">IF(MONTH($A97)=MONTH($A96),SUM(I97-I96),I97)</f>
        <v>0</v>
      </c>
      <c r="K97" s="124" t="n">
        <f aca="false">IF(WEEKDAY(A97,3)&gt;4,0,(IF(A97&lt;K$2,0,IF(A97&lt;=K$3,1,0))))</f>
        <v>0</v>
      </c>
      <c r="L97" s="124" t="n">
        <f aca="false">J97*K97</f>
        <v>0</v>
      </c>
      <c r="M97" s="124" t="n">
        <f aca="false">SUM(J$97:J97)</f>
        <v>0</v>
      </c>
      <c r="N97" s="124" t="n">
        <f aca="false">SUM(J$6:J97)</f>
        <v>1197025</v>
      </c>
      <c r="P97" s="124" t="n">
        <f aca="false">D97/P$3</f>
        <v>0</v>
      </c>
      <c r="Q97" s="124" t="n">
        <f aca="false">E97/P$3</f>
        <v>0</v>
      </c>
      <c r="R97" s="124" t="n">
        <f aca="false">F97/R$3</f>
        <v>0</v>
      </c>
      <c r="S97" s="126" t="n">
        <f aca="false">J97/$R$3</f>
        <v>0</v>
      </c>
      <c r="T97" s="126" t="n">
        <f aca="false">L97/$R$3</f>
        <v>0</v>
      </c>
      <c r="U97" s="126" t="n">
        <f aca="false">I97/$R$3</f>
        <v>0</v>
      </c>
      <c r="V97" s="126" t="n">
        <f aca="false">M97/$R$3</f>
        <v>0</v>
      </c>
      <c r="W97" s="126" t="n">
        <f aca="false">N97/$R$3</f>
        <v>1197.025</v>
      </c>
    </row>
    <row r="98" customFormat="false" ht="12.75" hidden="false" customHeight="false" outlineLevel="0" collapsed="false">
      <c r="A98" s="120" t="n">
        <f aca="false">A97+1</f>
        <v>36984</v>
      </c>
      <c r="B98" s="131" t="str">
        <f aca="false">INDEX('[4]Master Data'!$A$2:$B$8,MATCH(WEEKDAY('SC Gas MTM'!A98,3),'[4]Master Data'!$A$2:$A$8,0),2)</f>
        <v>T</v>
      </c>
      <c r="D98" s="124" t="n">
        <v>0</v>
      </c>
      <c r="E98" s="124" t="n">
        <v>0</v>
      </c>
      <c r="F98" s="124" t="n">
        <v>0</v>
      </c>
      <c r="G98" s="124" t="n">
        <v>0</v>
      </c>
      <c r="I98" s="124" t="n">
        <f aca="false">IF(MONTH($A98)=MONTH($A97),IF(G98=0,I97,G98),G98)</f>
        <v>0</v>
      </c>
      <c r="J98" s="124" t="n">
        <f aca="false">IF(MONTH($A98)=MONTH($A97),SUM(I98-I97),I98)</f>
        <v>0</v>
      </c>
      <c r="K98" s="124" t="n">
        <f aca="false">IF(WEEKDAY(A98,3)&gt;4,0,(IF(A98&lt;K$2,0,IF(A98&lt;=K$3,1,0))))</f>
        <v>0</v>
      </c>
      <c r="L98" s="124" t="n">
        <f aca="false">J98*K98</f>
        <v>0</v>
      </c>
      <c r="M98" s="124" t="n">
        <f aca="false">SUM(J$97:J98)</f>
        <v>0</v>
      </c>
      <c r="N98" s="124" t="n">
        <f aca="false">SUM(J$6:J98)</f>
        <v>1197025</v>
      </c>
      <c r="P98" s="124" t="n">
        <f aca="false">D98/P$3</f>
        <v>0</v>
      </c>
      <c r="Q98" s="124" t="n">
        <f aca="false">E98/P$3</f>
        <v>0</v>
      </c>
      <c r="R98" s="124" t="n">
        <f aca="false">F98/R$3</f>
        <v>0</v>
      </c>
      <c r="S98" s="126" t="n">
        <f aca="false">J98/$R$3</f>
        <v>0</v>
      </c>
      <c r="T98" s="126" t="n">
        <f aca="false">L98/$R$3</f>
        <v>0</v>
      </c>
      <c r="U98" s="126" t="n">
        <f aca="false">I98/$R$3</f>
        <v>0</v>
      </c>
      <c r="V98" s="126" t="n">
        <f aca="false">M98/$R$3</f>
        <v>0</v>
      </c>
      <c r="W98" s="126" t="n">
        <f aca="false">N98/$R$3</f>
        <v>1197.025</v>
      </c>
    </row>
    <row r="99" customFormat="false" ht="12.75" hidden="false" customHeight="false" outlineLevel="0" collapsed="false">
      <c r="A99" s="120" t="n">
        <f aca="false">A98+1</f>
        <v>36985</v>
      </c>
      <c r="B99" s="131" t="str">
        <f aca="false">INDEX('[4]Master Data'!$A$2:$B$8,MATCH(WEEKDAY('SC Gas MTM'!A99,3),'[4]Master Data'!$A$2:$A$8,0),2)</f>
        <v>W</v>
      </c>
      <c r="D99" s="124" t="n">
        <v>0</v>
      </c>
      <c r="E99" s="124" t="n">
        <v>0</v>
      </c>
      <c r="F99" s="124" t="n">
        <v>0</v>
      </c>
      <c r="G99" s="124" t="n">
        <v>0</v>
      </c>
      <c r="I99" s="124" t="n">
        <f aca="false">IF(MONTH($A99)=MONTH($A98),IF(G99=0,I98,G99),G99)</f>
        <v>0</v>
      </c>
      <c r="J99" s="124" t="n">
        <f aca="false">IF(MONTH($A99)=MONTH($A98),SUM(I99-I98),I99)</f>
        <v>0</v>
      </c>
      <c r="K99" s="124" t="n">
        <f aca="false">IF(WEEKDAY(A99,3)&gt;4,0,(IF(A99&lt;K$2,0,IF(A99&lt;=K$3,1,0))))</f>
        <v>0</v>
      </c>
      <c r="L99" s="124" t="n">
        <f aca="false">J99*K99</f>
        <v>0</v>
      </c>
      <c r="M99" s="124" t="n">
        <f aca="false">SUM(J$97:J99)</f>
        <v>0</v>
      </c>
      <c r="N99" s="124" t="n">
        <f aca="false">SUM(J$6:J99)</f>
        <v>1197025</v>
      </c>
      <c r="P99" s="124" t="n">
        <f aca="false">D99/P$3</f>
        <v>0</v>
      </c>
      <c r="Q99" s="124" t="n">
        <f aca="false">E99/P$3</f>
        <v>0</v>
      </c>
      <c r="R99" s="124" t="n">
        <f aca="false">F99/R$3</f>
        <v>0</v>
      </c>
      <c r="S99" s="126" t="n">
        <f aca="false">J99/$R$3</f>
        <v>0</v>
      </c>
      <c r="T99" s="126" t="n">
        <f aca="false">L99/$R$3</f>
        <v>0</v>
      </c>
      <c r="U99" s="126" t="n">
        <f aca="false">I99/$R$3</f>
        <v>0</v>
      </c>
      <c r="V99" s="126" t="n">
        <f aca="false">M99/$R$3</f>
        <v>0</v>
      </c>
      <c r="W99" s="126" t="n">
        <f aca="false">N99/$R$3</f>
        <v>1197.025</v>
      </c>
    </row>
    <row r="100" customFormat="false" ht="12.75" hidden="false" customHeight="false" outlineLevel="0" collapsed="false">
      <c r="A100" s="120" t="n">
        <f aca="false">A99+1</f>
        <v>36986</v>
      </c>
      <c r="B100" s="131" t="str">
        <f aca="false">INDEX('[4]Master Data'!$A$2:$B$8,MATCH(WEEKDAY('SC Gas MTM'!A100,3),'[4]Master Data'!$A$2:$A$8,0),2)</f>
        <v>Th</v>
      </c>
      <c r="D100" s="124" t="n">
        <v>0</v>
      </c>
      <c r="E100" s="124" t="n">
        <v>0</v>
      </c>
      <c r="F100" s="124" t="n">
        <v>0</v>
      </c>
      <c r="G100" s="124" t="n">
        <v>0</v>
      </c>
      <c r="I100" s="124" t="n">
        <f aca="false">IF(MONTH($A100)=MONTH($A99),IF(G100=0,I99,G100),G100)</f>
        <v>0</v>
      </c>
      <c r="J100" s="124" t="n">
        <f aca="false">IF(MONTH($A100)=MONTH($A99),SUM(I100-I99),I100)</f>
        <v>0</v>
      </c>
      <c r="K100" s="124" t="n">
        <f aca="false">IF(WEEKDAY(A100,3)&gt;4,0,(IF(A100&lt;K$2,0,IF(A100&lt;=K$3,1,0))))</f>
        <v>0</v>
      </c>
      <c r="L100" s="124" t="n">
        <f aca="false">J100*K100</f>
        <v>0</v>
      </c>
      <c r="M100" s="124" t="n">
        <f aca="false">SUM(J$97:J100)</f>
        <v>0</v>
      </c>
      <c r="N100" s="124" t="n">
        <f aca="false">SUM(J$6:J100)</f>
        <v>1197025</v>
      </c>
      <c r="P100" s="124" t="n">
        <f aca="false">D100/P$3</f>
        <v>0</v>
      </c>
      <c r="Q100" s="124" t="n">
        <f aca="false">E100/P$3</f>
        <v>0</v>
      </c>
      <c r="R100" s="124" t="n">
        <f aca="false">F100/R$3</f>
        <v>0</v>
      </c>
      <c r="S100" s="126" t="n">
        <f aca="false">J100/$R$3</f>
        <v>0</v>
      </c>
      <c r="T100" s="126" t="n">
        <f aca="false">L100/$R$3</f>
        <v>0</v>
      </c>
      <c r="U100" s="126" t="n">
        <f aca="false">I100/$R$3</f>
        <v>0</v>
      </c>
      <c r="V100" s="126" t="n">
        <f aca="false">M100/$R$3</f>
        <v>0</v>
      </c>
      <c r="W100" s="126" t="n">
        <f aca="false">N100/$R$3</f>
        <v>1197.025</v>
      </c>
    </row>
    <row r="101" customFormat="false" ht="12.75" hidden="false" customHeight="false" outlineLevel="0" collapsed="false">
      <c r="A101" s="120" t="n">
        <f aca="false">A100+1</f>
        <v>36987</v>
      </c>
      <c r="B101" s="131" t="str">
        <f aca="false">INDEX('[4]Master Data'!$A$2:$B$8,MATCH(WEEKDAY('SC Gas MTM'!A101,3),'[4]Master Data'!$A$2:$A$8,0),2)</f>
        <v>F</v>
      </c>
      <c r="D101" s="124" t="n">
        <v>0</v>
      </c>
      <c r="E101" s="124" t="n">
        <v>0</v>
      </c>
      <c r="F101" s="124" t="n">
        <v>0</v>
      </c>
      <c r="G101" s="124" t="n">
        <v>0</v>
      </c>
      <c r="I101" s="124" t="n">
        <f aca="false">IF(MONTH($A101)=MONTH($A100),IF(G101=0,I100,G101),G101)</f>
        <v>0</v>
      </c>
      <c r="J101" s="124" t="n">
        <f aca="false">IF(MONTH($A101)=MONTH($A100),SUM(I101-I100),I101)</f>
        <v>0</v>
      </c>
      <c r="K101" s="124" t="n">
        <f aca="false">IF(WEEKDAY(A101,3)&gt;4,0,(IF(A101&lt;K$2,0,IF(A101&lt;=K$3,1,0))))</f>
        <v>0</v>
      </c>
      <c r="L101" s="124" t="n">
        <f aca="false">J101*K101</f>
        <v>0</v>
      </c>
      <c r="M101" s="124" t="n">
        <f aca="false">SUM(J$97:J101)</f>
        <v>0</v>
      </c>
      <c r="N101" s="124" t="n">
        <f aca="false">SUM(J$6:J101)</f>
        <v>1197025</v>
      </c>
      <c r="P101" s="124" t="n">
        <f aca="false">D101/P$3</f>
        <v>0</v>
      </c>
      <c r="Q101" s="124" t="n">
        <f aca="false">E101/P$3</f>
        <v>0</v>
      </c>
      <c r="R101" s="124" t="n">
        <f aca="false">F101/R$3</f>
        <v>0</v>
      </c>
      <c r="S101" s="126" t="n">
        <f aca="false">J101/$R$3</f>
        <v>0</v>
      </c>
      <c r="T101" s="126" t="n">
        <f aca="false">L101/$R$3</f>
        <v>0</v>
      </c>
      <c r="U101" s="126" t="n">
        <f aca="false">I101/$R$3</f>
        <v>0</v>
      </c>
      <c r="V101" s="126" t="n">
        <f aca="false">M101/$R$3</f>
        <v>0</v>
      </c>
      <c r="W101" s="126" t="n">
        <f aca="false">N101/$R$3</f>
        <v>1197.025</v>
      </c>
    </row>
    <row r="102" customFormat="false" ht="12.75" hidden="false" customHeight="false" outlineLevel="0" collapsed="false">
      <c r="A102" s="120" t="n">
        <f aca="false">A101+1</f>
        <v>36988</v>
      </c>
      <c r="B102" s="131" t="str">
        <f aca="false">INDEX('[4]Master Data'!$A$2:$B$8,MATCH(WEEKDAY('SC Gas MTM'!A102,3),'[4]Master Data'!$A$2:$A$8,0),2)</f>
        <v>Sa</v>
      </c>
      <c r="D102" s="124" t="n">
        <v>0</v>
      </c>
      <c r="E102" s="124" t="n">
        <v>0</v>
      </c>
      <c r="F102" s="124" t="n">
        <v>0</v>
      </c>
      <c r="G102" s="124" t="n">
        <v>0</v>
      </c>
      <c r="I102" s="124" t="n">
        <f aca="false">IF(MONTH($A102)=MONTH($A101),IF(G102=0,I101,G102),G102)</f>
        <v>0</v>
      </c>
      <c r="J102" s="124" t="n">
        <f aca="false">IF(MONTH($A102)=MONTH($A101),SUM(I102-I101),I102)</f>
        <v>0</v>
      </c>
      <c r="K102" s="124" t="n">
        <f aca="false">IF(WEEKDAY(A102,3)&gt;4,0,(IF(A102&lt;K$2,0,IF(A102&lt;=K$3,1,0))))</f>
        <v>0</v>
      </c>
      <c r="L102" s="124" t="n">
        <f aca="false">J102*K102</f>
        <v>0</v>
      </c>
      <c r="M102" s="124" t="n">
        <f aca="false">SUM(J$97:J102)</f>
        <v>0</v>
      </c>
      <c r="N102" s="124" t="n">
        <f aca="false">SUM(J$6:J102)</f>
        <v>1197025</v>
      </c>
      <c r="P102" s="124" t="n">
        <f aca="false">D102/P$3</f>
        <v>0</v>
      </c>
      <c r="Q102" s="124" t="n">
        <f aca="false">E102/P$3</f>
        <v>0</v>
      </c>
      <c r="R102" s="124" t="n">
        <f aca="false">F102/R$3</f>
        <v>0</v>
      </c>
      <c r="S102" s="126" t="n">
        <f aca="false">J102/$R$3</f>
        <v>0</v>
      </c>
      <c r="T102" s="126" t="n">
        <f aca="false">L102/$R$3</f>
        <v>0</v>
      </c>
      <c r="U102" s="126" t="n">
        <f aca="false">I102/$R$3</f>
        <v>0</v>
      </c>
      <c r="V102" s="126" t="n">
        <f aca="false">M102/$R$3</f>
        <v>0</v>
      </c>
      <c r="W102" s="126" t="n">
        <f aca="false">N102/$R$3</f>
        <v>1197.025</v>
      </c>
    </row>
    <row r="103" customFormat="false" ht="12.75" hidden="false" customHeight="false" outlineLevel="0" collapsed="false">
      <c r="A103" s="120" t="n">
        <f aca="false">A102+1</f>
        <v>36989</v>
      </c>
      <c r="B103" s="131" t="str">
        <f aca="false">INDEX('[4]Master Data'!$A$2:$B$8,MATCH(WEEKDAY('SC Gas MTM'!A103,3),'[4]Master Data'!$A$2:$A$8,0),2)</f>
        <v>Su</v>
      </c>
      <c r="D103" s="124" t="n">
        <v>0</v>
      </c>
      <c r="E103" s="124" t="n">
        <v>0</v>
      </c>
      <c r="F103" s="124" t="n">
        <v>0</v>
      </c>
      <c r="G103" s="124" t="n">
        <v>0</v>
      </c>
      <c r="I103" s="124" t="n">
        <f aca="false">IF(MONTH($A103)=MONTH($A102),IF(G103=0,I102,G103),G103)</f>
        <v>0</v>
      </c>
      <c r="J103" s="124" t="n">
        <f aca="false">IF(MONTH($A103)=MONTH($A102),SUM(I103-I102),I103)</f>
        <v>0</v>
      </c>
      <c r="K103" s="124" t="n">
        <f aca="false">IF(WEEKDAY(A103,3)&gt;4,0,(IF(A103&lt;K$2,0,IF(A103&lt;=K$3,1,0))))</f>
        <v>0</v>
      </c>
      <c r="L103" s="124" t="n">
        <f aca="false">J103*K103</f>
        <v>0</v>
      </c>
      <c r="M103" s="124" t="n">
        <f aca="false">SUM(J$97:J103)</f>
        <v>0</v>
      </c>
      <c r="N103" s="124" t="n">
        <f aca="false">SUM(J$6:J103)</f>
        <v>1197025</v>
      </c>
      <c r="P103" s="124" t="n">
        <f aca="false">D103/P$3</f>
        <v>0</v>
      </c>
      <c r="Q103" s="124" t="n">
        <f aca="false">E103/P$3</f>
        <v>0</v>
      </c>
      <c r="R103" s="124" t="n">
        <f aca="false">F103/R$3</f>
        <v>0</v>
      </c>
      <c r="S103" s="126" t="n">
        <f aca="false">J103/$R$3</f>
        <v>0</v>
      </c>
      <c r="T103" s="126" t="n">
        <f aca="false">L103/$R$3</f>
        <v>0</v>
      </c>
      <c r="U103" s="126" t="n">
        <f aca="false">I103/$R$3</f>
        <v>0</v>
      </c>
      <c r="V103" s="126" t="n">
        <f aca="false">M103/$R$3</f>
        <v>0</v>
      </c>
      <c r="W103" s="126" t="n">
        <f aca="false">N103/$R$3</f>
        <v>1197.025</v>
      </c>
    </row>
    <row r="104" customFormat="false" ht="12.75" hidden="false" customHeight="false" outlineLevel="0" collapsed="false">
      <c r="A104" s="120" t="n">
        <f aca="false">A103+1</f>
        <v>36990</v>
      </c>
      <c r="B104" s="131" t="str">
        <f aca="false">INDEX('[4]Master Data'!$A$2:$B$8,MATCH(WEEKDAY('SC Gas MTM'!A104,3),'[4]Master Data'!$A$2:$A$8,0),2)</f>
        <v>M</v>
      </c>
      <c r="D104" s="124" t="n">
        <v>0</v>
      </c>
      <c r="E104" s="124" t="n">
        <v>0</v>
      </c>
      <c r="F104" s="124" t="n">
        <v>0</v>
      </c>
      <c r="G104" s="124" t="n">
        <v>0</v>
      </c>
      <c r="I104" s="124" t="n">
        <f aca="false">IF(MONTH($A104)=MONTH($A103),IF(G104=0,I103,G104),G104)</f>
        <v>0</v>
      </c>
      <c r="J104" s="124" t="n">
        <f aca="false">IF(MONTH($A104)=MONTH($A103),SUM(I104-I103),I104)</f>
        <v>0</v>
      </c>
      <c r="K104" s="124" t="n">
        <f aca="false">IF(WEEKDAY(A104,3)&gt;4,0,(IF(A104&lt;K$2,0,IF(A104&lt;=K$3,1,0))))</f>
        <v>0</v>
      </c>
      <c r="L104" s="124" t="n">
        <f aca="false">J104*K104</f>
        <v>0</v>
      </c>
      <c r="M104" s="124" t="n">
        <f aca="false">SUM(J$97:J104)</f>
        <v>0</v>
      </c>
      <c r="N104" s="124" t="n">
        <f aca="false">SUM(J$6:J104)</f>
        <v>1197025</v>
      </c>
      <c r="P104" s="124" t="n">
        <f aca="false">D104/P$3</f>
        <v>0</v>
      </c>
      <c r="Q104" s="124" t="n">
        <f aca="false">E104/P$3</f>
        <v>0</v>
      </c>
      <c r="R104" s="124" t="n">
        <f aca="false">F104/R$3</f>
        <v>0</v>
      </c>
      <c r="S104" s="126" t="n">
        <f aca="false">J104/$R$3</f>
        <v>0</v>
      </c>
      <c r="T104" s="126" t="n">
        <f aca="false">L104/$R$3</f>
        <v>0</v>
      </c>
      <c r="U104" s="126" t="n">
        <f aca="false">I104/$R$3</f>
        <v>0</v>
      </c>
      <c r="V104" s="126" t="n">
        <f aca="false">M104/$R$3</f>
        <v>0</v>
      </c>
      <c r="W104" s="126" t="n">
        <f aca="false">N104/$R$3</f>
        <v>1197.025</v>
      </c>
    </row>
    <row r="105" customFormat="false" ht="12.75" hidden="false" customHeight="false" outlineLevel="0" collapsed="false">
      <c r="A105" s="120" t="n">
        <f aca="false">A104+1</f>
        <v>36991</v>
      </c>
      <c r="B105" s="131" t="str">
        <f aca="false">INDEX('[4]Master Data'!$A$2:$B$8,MATCH(WEEKDAY('SC Gas MTM'!A105,3),'[4]Master Data'!$A$2:$A$8,0),2)</f>
        <v>T</v>
      </c>
      <c r="D105" s="124" t="n">
        <v>0</v>
      </c>
      <c r="E105" s="124" t="n">
        <v>0</v>
      </c>
      <c r="F105" s="124" t="n">
        <v>0</v>
      </c>
      <c r="G105" s="124" t="n">
        <v>0</v>
      </c>
      <c r="I105" s="124" t="n">
        <f aca="false">IF(MONTH($A105)=MONTH($A104),IF(G105=0,I104,G105),G105)</f>
        <v>0</v>
      </c>
      <c r="J105" s="124" t="n">
        <f aca="false">IF(MONTH($A105)=MONTH($A104),SUM(I105-I104),I105)</f>
        <v>0</v>
      </c>
      <c r="K105" s="124" t="n">
        <f aca="false">IF(WEEKDAY(A105,3)&gt;4,0,(IF(A105&lt;K$2,0,IF(A105&lt;=K$3,1,0))))</f>
        <v>0</v>
      </c>
      <c r="L105" s="124" t="n">
        <f aca="false">J105*K105</f>
        <v>0</v>
      </c>
      <c r="M105" s="124" t="n">
        <f aca="false">SUM(J$97:J105)</f>
        <v>0</v>
      </c>
      <c r="N105" s="124" t="n">
        <f aca="false">SUM(J$6:J105)</f>
        <v>1197025</v>
      </c>
      <c r="P105" s="124" t="n">
        <f aca="false">D105/P$3</f>
        <v>0</v>
      </c>
      <c r="Q105" s="124" t="n">
        <f aca="false">E105/P$3</f>
        <v>0</v>
      </c>
      <c r="R105" s="124" t="n">
        <f aca="false">F105/R$3</f>
        <v>0</v>
      </c>
      <c r="S105" s="126" t="n">
        <f aca="false">J105/$R$3</f>
        <v>0</v>
      </c>
      <c r="T105" s="126" t="n">
        <f aca="false">L105/$R$3</f>
        <v>0</v>
      </c>
      <c r="U105" s="126" t="n">
        <f aca="false">I105/$R$3</f>
        <v>0</v>
      </c>
      <c r="V105" s="126" t="n">
        <f aca="false">M105/$R$3</f>
        <v>0</v>
      </c>
      <c r="W105" s="126" t="n">
        <f aca="false">N105/$R$3</f>
        <v>1197.025</v>
      </c>
    </row>
    <row r="106" customFormat="false" ht="12.75" hidden="false" customHeight="false" outlineLevel="0" collapsed="false">
      <c r="A106" s="120" t="n">
        <f aca="false">A105+1</f>
        <v>36992</v>
      </c>
      <c r="B106" s="131" t="str">
        <f aca="false">INDEX('[4]Master Data'!$A$2:$B$8,MATCH(WEEKDAY('SC Gas MTM'!A106,3),'[4]Master Data'!$A$2:$A$8,0),2)</f>
        <v>W</v>
      </c>
      <c r="D106" s="124" t="n">
        <v>0</v>
      </c>
      <c r="E106" s="124" t="n">
        <v>0</v>
      </c>
      <c r="F106" s="124" t="n">
        <v>0</v>
      </c>
      <c r="G106" s="124" t="n">
        <v>0</v>
      </c>
      <c r="I106" s="124" t="n">
        <f aca="false">IF(MONTH($A106)=MONTH($A105),IF(G106=0,I105,G106),G106)</f>
        <v>0</v>
      </c>
      <c r="J106" s="124" t="n">
        <f aca="false">IF(MONTH($A106)=MONTH($A105),SUM(I106-I105),I106)</f>
        <v>0</v>
      </c>
      <c r="K106" s="124" t="n">
        <f aca="false">IF(WEEKDAY(A106,3)&gt;4,0,(IF(A106&lt;K$2,0,IF(A106&lt;=K$3,1,0))))</f>
        <v>0</v>
      </c>
      <c r="L106" s="124" t="n">
        <f aca="false">J106*K106</f>
        <v>0</v>
      </c>
      <c r="M106" s="124" t="n">
        <f aca="false">SUM(J$97:J106)</f>
        <v>0</v>
      </c>
      <c r="N106" s="124" t="n">
        <f aca="false">SUM(J$6:J106)</f>
        <v>1197025</v>
      </c>
      <c r="P106" s="124" t="n">
        <f aca="false">D106/P$3</f>
        <v>0</v>
      </c>
      <c r="Q106" s="124" t="n">
        <f aca="false">E106/P$3</f>
        <v>0</v>
      </c>
      <c r="R106" s="124" t="n">
        <f aca="false">F106/R$3</f>
        <v>0</v>
      </c>
      <c r="S106" s="126" t="n">
        <f aca="false">J106/$R$3</f>
        <v>0</v>
      </c>
      <c r="T106" s="126" t="n">
        <f aca="false">L106/$R$3</f>
        <v>0</v>
      </c>
      <c r="U106" s="126" t="n">
        <f aca="false">I106/$R$3</f>
        <v>0</v>
      </c>
      <c r="V106" s="126" t="n">
        <f aca="false">M106/$R$3</f>
        <v>0</v>
      </c>
      <c r="W106" s="126" t="n">
        <f aca="false">N106/$R$3</f>
        <v>1197.025</v>
      </c>
    </row>
    <row r="107" customFormat="false" ht="12.75" hidden="false" customHeight="false" outlineLevel="0" collapsed="false">
      <c r="A107" s="120" t="n">
        <f aca="false">A106+1</f>
        <v>36993</v>
      </c>
      <c r="B107" s="131" t="str">
        <f aca="false">INDEX('[4]Master Data'!$A$2:$B$8,MATCH(WEEKDAY('SC Gas MTM'!A107,3),'[4]Master Data'!$A$2:$A$8,0),2)</f>
        <v>Th</v>
      </c>
      <c r="D107" s="124" t="n">
        <v>0</v>
      </c>
      <c r="E107" s="124" t="n">
        <v>0</v>
      </c>
      <c r="F107" s="124" t="n">
        <v>0</v>
      </c>
      <c r="G107" s="124" t="n">
        <v>0</v>
      </c>
      <c r="I107" s="124" t="n">
        <f aca="false">IF(MONTH($A107)=MONTH($A106),IF(G107=0,I106,G107),G107)</f>
        <v>0</v>
      </c>
      <c r="J107" s="124" t="n">
        <f aca="false">IF(MONTH($A107)=MONTH($A106),SUM(I107-I106),I107)</f>
        <v>0</v>
      </c>
      <c r="K107" s="124" t="n">
        <f aca="false">IF(WEEKDAY(A107,3)&gt;4,0,(IF(A107&lt;K$2,0,IF(A107&lt;=K$3,1,0))))</f>
        <v>0</v>
      </c>
      <c r="L107" s="124" t="n">
        <f aca="false">J107*K107</f>
        <v>0</v>
      </c>
      <c r="M107" s="124" t="n">
        <f aca="false">SUM(J$97:J107)</f>
        <v>0</v>
      </c>
      <c r="N107" s="124" t="n">
        <f aca="false">SUM(J$6:J107)</f>
        <v>1197025</v>
      </c>
      <c r="P107" s="124" t="n">
        <f aca="false">D107/P$3</f>
        <v>0</v>
      </c>
      <c r="Q107" s="124" t="n">
        <f aca="false">E107/P$3</f>
        <v>0</v>
      </c>
      <c r="R107" s="124" t="n">
        <f aca="false">F107/R$3</f>
        <v>0</v>
      </c>
      <c r="S107" s="126" t="n">
        <f aca="false">J107/$R$3</f>
        <v>0</v>
      </c>
      <c r="T107" s="126" t="n">
        <f aca="false">L107/$R$3</f>
        <v>0</v>
      </c>
      <c r="U107" s="126" t="n">
        <f aca="false">I107/$R$3</f>
        <v>0</v>
      </c>
      <c r="V107" s="126" t="n">
        <f aca="false">M107/$R$3</f>
        <v>0</v>
      </c>
      <c r="W107" s="126" t="n">
        <f aca="false">N107/$R$3</f>
        <v>1197.025</v>
      </c>
    </row>
    <row r="108" customFormat="false" ht="12.75" hidden="false" customHeight="false" outlineLevel="0" collapsed="false">
      <c r="A108" s="120" t="n">
        <f aca="false">A107+1</f>
        <v>36994</v>
      </c>
      <c r="B108" s="131" t="str">
        <f aca="false">INDEX('[4]Master Data'!$A$2:$B$8,MATCH(WEEKDAY('SC Gas MTM'!A108,3),'[4]Master Data'!$A$2:$A$8,0),2)</f>
        <v>F</v>
      </c>
      <c r="D108" s="124" t="n">
        <v>0</v>
      </c>
      <c r="E108" s="124" t="n">
        <v>0</v>
      </c>
      <c r="F108" s="124" t="n">
        <v>0</v>
      </c>
      <c r="G108" s="124" t="n">
        <v>0</v>
      </c>
      <c r="I108" s="124" t="n">
        <f aca="false">IF(MONTH($A108)=MONTH($A107),IF(G108=0,I107,G108),G108)</f>
        <v>0</v>
      </c>
      <c r="J108" s="124" t="n">
        <f aca="false">IF(MONTH($A108)=MONTH($A107),SUM(I108-I107),I108)</f>
        <v>0</v>
      </c>
      <c r="K108" s="124" t="n">
        <f aca="false">IF(WEEKDAY(A108,3)&gt;4,0,(IF(A108&lt;K$2,0,IF(A108&lt;=K$3,1,0))))</f>
        <v>0</v>
      </c>
      <c r="L108" s="124" t="n">
        <f aca="false">J108*K108</f>
        <v>0</v>
      </c>
      <c r="M108" s="124" t="n">
        <f aca="false">SUM(J$97:J108)</f>
        <v>0</v>
      </c>
      <c r="N108" s="124" t="n">
        <f aca="false">SUM(J$6:J108)</f>
        <v>1197025</v>
      </c>
      <c r="P108" s="124" t="n">
        <f aca="false">D108/P$3</f>
        <v>0</v>
      </c>
      <c r="Q108" s="124" t="n">
        <f aca="false">E108/P$3</f>
        <v>0</v>
      </c>
      <c r="R108" s="124" t="n">
        <f aca="false">F108/R$3</f>
        <v>0</v>
      </c>
      <c r="S108" s="126" t="n">
        <f aca="false">J108/$R$3</f>
        <v>0</v>
      </c>
      <c r="T108" s="126" t="n">
        <f aca="false">L108/$R$3</f>
        <v>0</v>
      </c>
      <c r="U108" s="126" t="n">
        <f aca="false">I108/$R$3</f>
        <v>0</v>
      </c>
      <c r="V108" s="126" t="n">
        <f aca="false">M108/$R$3</f>
        <v>0</v>
      </c>
      <c r="W108" s="126" t="n">
        <f aca="false">N108/$R$3</f>
        <v>1197.025</v>
      </c>
    </row>
    <row r="109" customFormat="false" ht="12.75" hidden="false" customHeight="false" outlineLevel="0" collapsed="false">
      <c r="A109" s="120" t="n">
        <f aca="false">A108+1</f>
        <v>36995</v>
      </c>
      <c r="B109" s="131" t="str">
        <f aca="false">INDEX('[4]Master Data'!$A$2:$B$8,MATCH(WEEKDAY('SC Gas MTM'!A109,3),'[4]Master Data'!$A$2:$A$8,0),2)</f>
        <v>Sa</v>
      </c>
      <c r="D109" s="124" t="n">
        <v>0</v>
      </c>
      <c r="E109" s="124" t="n">
        <v>0</v>
      </c>
      <c r="F109" s="124" t="n">
        <v>0</v>
      </c>
      <c r="G109" s="124" t="n">
        <v>0</v>
      </c>
      <c r="I109" s="124" t="n">
        <f aca="false">IF(MONTH($A109)=MONTH($A108),IF(G109=0,I108,G109),G109)</f>
        <v>0</v>
      </c>
      <c r="J109" s="124" t="n">
        <f aca="false">IF(MONTH($A109)=MONTH($A108),SUM(I109-I108),I109)</f>
        <v>0</v>
      </c>
      <c r="K109" s="124" t="n">
        <f aca="false">IF(WEEKDAY(A109,3)&gt;4,0,(IF(A109&lt;K$2,0,IF(A109&lt;=K$3,1,0))))</f>
        <v>0</v>
      </c>
      <c r="L109" s="124" t="n">
        <f aca="false">J109*K109</f>
        <v>0</v>
      </c>
      <c r="M109" s="124" t="n">
        <f aca="false">SUM(J$97:J109)</f>
        <v>0</v>
      </c>
      <c r="N109" s="124" t="n">
        <f aca="false">SUM(J$6:J109)</f>
        <v>1197025</v>
      </c>
      <c r="P109" s="124" t="n">
        <f aca="false">D109/P$3</f>
        <v>0</v>
      </c>
      <c r="Q109" s="124" t="n">
        <f aca="false">E109/P$3</f>
        <v>0</v>
      </c>
      <c r="R109" s="124" t="n">
        <f aca="false">F109/R$3</f>
        <v>0</v>
      </c>
      <c r="S109" s="126" t="n">
        <f aca="false">J109/$R$3</f>
        <v>0</v>
      </c>
      <c r="T109" s="126" t="n">
        <f aca="false">L109/$R$3</f>
        <v>0</v>
      </c>
      <c r="U109" s="126" t="n">
        <f aca="false">I109/$R$3</f>
        <v>0</v>
      </c>
      <c r="V109" s="126" t="n">
        <f aca="false">M109/$R$3</f>
        <v>0</v>
      </c>
      <c r="W109" s="126" t="n">
        <f aca="false">N109/$R$3</f>
        <v>1197.025</v>
      </c>
    </row>
    <row r="110" customFormat="false" ht="12.75" hidden="false" customHeight="false" outlineLevel="0" collapsed="false">
      <c r="A110" s="120" t="n">
        <f aca="false">A109+1</f>
        <v>36996</v>
      </c>
      <c r="B110" s="131" t="str">
        <f aca="false">INDEX('[4]Master Data'!$A$2:$B$8,MATCH(WEEKDAY('SC Gas MTM'!A110,3),'[4]Master Data'!$A$2:$A$8,0),2)</f>
        <v>Su</v>
      </c>
      <c r="D110" s="124" t="n">
        <v>0</v>
      </c>
      <c r="E110" s="124" t="n">
        <v>0</v>
      </c>
      <c r="F110" s="124" t="n">
        <v>0</v>
      </c>
      <c r="G110" s="124" t="n">
        <v>0</v>
      </c>
      <c r="I110" s="124" t="n">
        <f aca="false">IF(MONTH($A110)=MONTH($A109),IF(G110=0,I109,G110),G110)</f>
        <v>0</v>
      </c>
      <c r="J110" s="124" t="n">
        <f aca="false">IF(MONTH($A110)=MONTH($A109),SUM(I110-I109),I110)</f>
        <v>0</v>
      </c>
      <c r="K110" s="124" t="n">
        <f aca="false">IF(WEEKDAY(A110,3)&gt;4,0,(IF(A110&lt;K$2,0,IF(A110&lt;=K$3,1,0))))</f>
        <v>0</v>
      </c>
      <c r="L110" s="124" t="n">
        <f aca="false">J110*K110</f>
        <v>0</v>
      </c>
      <c r="M110" s="124" t="n">
        <f aca="false">SUM(J$97:J110)</f>
        <v>0</v>
      </c>
      <c r="N110" s="124" t="n">
        <f aca="false">SUM(J$6:J110)</f>
        <v>1197025</v>
      </c>
      <c r="P110" s="124" t="n">
        <f aca="false">D110/P$3</f>
        <v>0</v>
      </c>
      <c r="Q110" s="124" t="n">
        <f aca="false">E110/P$3</f>
        <v>0</v>
      </c>
      <c r="R110" s="124" t="n">
        <f aca="false">F110/R$3</f>
        <v>0</v>
      </c>
      <c r="S110" s="126" t="n">
        <f aca="false">J110/$R$3</f>
        <v>0</v>
      </c>
      <c r="T110" s="126" t="n">
        <f aca="false">L110/$R$3</f>
        <v>0</v>
      </c>
      <c r="U110" s="126" t="n">
        <f aca="false">I110/$R$3</f>
        <v>0</v>
      </c>
      <c r="V110" s="126" t="n">
        <f aca="false">M110/$R$3</f>
        <v>0</v>
      </c>
      <c r="W110" s="126" t="n">
        <f aca="false">N110/$R$3</f>
        <v>1197.025</v>
      </c>
    </row>
    <row r="111" customFormat="false" ht="12.75" hidden="false" customHeight="false" outlineLevel="0" collapsed="false">
      <c r="A111" s="120" t="n">
        <f aca="false">A110+1</f>
        <v>36997</v>
      </c>
      <c r="B111" s="131" t="str">
        <f aca="false">INDEX('[4]Master Data'!$A$2:$B$8,MATCH(WEEKDAY('SC Gas MTM'!A111,3),'[4]Master Data'!$A$2:$A$8,0),2)</f>
        <v>M</v>
      </c>
      <c r="D111" s="124" t="n">
        <v>0</v>
      </c>
      <c r="E111" s="124" t="n">
        <v>0</v>
      </c>
      <c r="F111" s="124" t="n">
        <v>0</v>
      </c>
      <c r="G111" s="124" t="n">
        <v>0</v>
      </c>
      <c r="I111" s="124" t="n">
        <f aca="false">IF(MONTH($A111)=MONTH($A110),IF(G111=0,I110,G111),G111)</f>
        <v>0</v>
      </c>
      <c r="J111" s="124" t="n">
        <f aca="false">IF(MONTH($A111)=MONTH($A110),SUM(I111-I110),I111)</f>
        <v>0</v>
      </c>
      <c r="K111" s="124" t="n">
        <f aca="false">IF(WEEKDAY(A111,3)&gt;4,0,(IF(A111&lt;K$2,0,IF(A111&lt;=K$3,1,0))))</f>
        <v>0</v>
      </c>
      <c r="L111" s="124" t="n">
        <f aca="false">J111*K111</f>
        <v>0</v>
      </c>
      <c r="M111" s="124" t="n">
        <f aca="false">SUM(J$97:J111)</f>
        <v>0</v>
      </c>
      <c r="N111" s="124" t="n">
        <f aca="false">SUM(J$6:J111)</f>
        <v>1197025</v>
      </c>
      <c r="P111" s="124" t="n">
        <f aca="false">D111/P$3</f>
        <v>0</v>
      </c>
      <c r="Q111" s="124" t="n">
        <f aca="false">E111/P$3</f>
        <v>0</v>
      </c>
      <c r="R111" s="124" t="n">
        <f aca="false">F111/R$3</f>
        <v>0</v>
      </c>
      <c r="S111" s="126" t="n">
        <f aca="false">J111/$R$3</f>
        <v>0</v>
      </c>
      <c r="T111" s="126" t="n">
        <f aca="false">L111/$R$3</f>
        <v>0</v>
      </c>
      <c r="U111" s="126" t="n">
        <f aca="false">I111/$R$3</f>
        <v>0</v>
      </c>
      <c r="V111" s="126" t="n">
        <f aca="false">M111/$R$3</f>
        <v>0</v>
      </c>
      <c r="W111" s="126" t="n">
        <f aca="false">N111/$R$3</f>
        <v>1197.025</v>
      </c>
    </row>
    <row r="112" customFormat="false" ht="12.75" hidden="false" customHeight="false" outlineLevel="0" collapsed="false">
      <c r="A112" s="120" t="n">
        <f aca="false">A111+1</f>
        <v>36998</v>
      </c>
      <c r="B112" s="131" t="str">
        <f aca="false">INDEX('[4]Master Data'!$A$2:$B$8,MATCH(WEEKDAY('SC Gas MTM'!A112,3),'[4]Master Data'!$A$2:$A$8,0),2)</f>
        <v>T</v>
      </c>
      <c r="D112" s="124" t="n">
        <v>0</v>
      </c>
      <c r="E112" s="124" t="n">
        <v>0</v>
      </c>
      <c r="F112" s="124" t="n">
        <v>0</v>
      </c>
      <c r="G112" s="124" t="n">
        <v>0</v>
      </c>
      <c r="I112" s="124" t="n">
        <f aca="false">IF(MONTH($A112)=MONTH($A111),IF(G112=0,I111,G112),G112)</f>
        <v>0</v>
      </c>
      <c r="J112" s="124" t="n">
        <f aca="false">IF(MONTH($A112)=MONTH($A111),SUM(I112-I111),I112)</f>
        <v>0</v>
      </c>
      <c r="K112" s="124" t="n">
        <f aca="false">IF(WEEKDAY(A112,3)&gt;4,0,(IF(A112&lt;K$2,0,IF(A112&lt;=K$3,1,0))))</f>
        <v>0</v>
      </c>
      <c r="L112" s="124" t="n">
        <f aca="false">J112*K112</f>
        <v>0</v>
      </c>
      <c r="M112" s="124" t="n">
        <f aca="false">SUM(J$97:J112)</f>
        <v>0</v>
      </c>
      <c r="N112" s="124" t="n">
        <f aca="false">SUM(J$6:J112)</f>
        <v>1197025</v>
      </c>
      <c r="P112" s="124" t="n">
        <f aca="false">D112/P$3</f>
        <v>0</v>
      </c>
      <c r="Q112" s="124" t="n">
        <f aca="false">E112/P$3</f>
        <v>0</v>
      </c>
      <c r="R112" s="124" t="n">
        <f aca="false">F112/R$3</f>
        <v>0</v>
      </c>
      <c r="S112" s="126" t="n">
        <f aca="false">J112/$R$3</f>
        <v>0</v>
      </c>
      <c r="T112" s="126" t="n">
        <f aca="false">L112/$R$3</f>
        <v>0</v>
      </c>
      <c r="U112" s="126" t="n">
        <f aca="false">I112/$R$3</f>
        <v>0</v>
      </c>
      <c r="V112" s="126" t="n">
        <f aca="false">M112/$R$3</f>
        <v>0</v>
      </c>
      <c r="W112" s="126" t="n">
        <f aca="false">N112/$R$3</f>
        <v>1197.025</v>
      </c>
    </row>
    <row r="113" customFormat="false" ht="12.75" hidden="false" customHeight="false" outlineLevel="0" collapsed="false">
      <c r="A113" s="120" t="n">
        <f aca="false">A112+1</f>
        <v>36999</v>
      </c>
      <c r="B113" s="131" t="str">
        <f aca="false">INDEX('[4]Master Data'!$A$2:$B$8,MATCH(WEEKDAY('SC Gas MTM'!A113,3),'[4]Master Data'!$A$2:$A$8,0),2)</f>
        <v>W</v>
      </c>
      <c r="D113" s="124" t="n">
        <v>0</v>
      </c>
      <c r="E113" s="124" t="n">
        <v>0</v>
      </c>
      <c r="F113" s="124" t="n">
        <v>0</v>
      </c>
      <c r="G113" s="124" t="n">
        <v>0</v>
      </c>
      <c r="I113" s="124" t="n">
        <f aca="false">IF(MONTH($A113)=MONTH($A112),IF(G113=0,I112,G113),G113)</f>
        <v>0</v>
      </c>
      <c r="J113" s="124" t="n">
        <f aca="false">IF(MONTH($A113)=MONTH($A112),SUM(I113-I112),I113)</f>
        <v>0</v>
      </c>
      <c r="K113" s="124" t="n">
        <f aca="false">IF(WEEKDAY(A113,3)&gt;4,0,(IF(A113&lt;K$2,0,IF(A113&lt;=K$3,1,0))))</f>
        <v>0</v>
      </c>
      <c r="L113" s="124" t="n">
        <f aca="false">J113*K113</f>
        <v>0</v>
      </c>
      <c r="M113" s="124" t="n">
        <f aca="false">SUM(J$97:J113)</f>
        <v>0</v>
      </c>
      <c r="N113" s="124" t="n">
        <f aca="false">SUM(J$6:J113)</f>
        <v>1197025</v>
      </c>
      <c r="P113" s="124" t="n">
        <f aca="false">D113/P$3</f>
        <v>0</v>
      </c>
      <c r="Q113" s="124" t="n">
        <f aca="false">E113/P$3</f>
        <v>0</v>
      </c>
      <c r="R113" s="124" t="n">
        <f aca="false">F113/R$3</f>
        <v>0</v>
      </c>
      <c r="S113" s="126" t="n">
        <f aca="false">J113/$R$3</f>
        <v>0</v>
      </c>
      <c r="T113" s="126" t="n">
        <f aca="false">L113/$R$3</f>
        <v>0</v>
      </c>
      <c r="U113" s="126" t="n">
        <f aca="false">I113/$R$3</f>
        <v>0</v>
      </c>
      <c r="V113" s="126" t="n">
        <f aca="false">M113/$R$3</f>
        <v>0</v>
      </c>
      <c r="W113" s="126" t="n">
        <f aca="false">N113/$R$3</f>
        <v>1197.025</v>
      </c>
    </row>
    <row r="114" customFormat="false" ht="12.75" hidden="false" customHeight="false" outlineLevel="0" collapsed="false">
      <c r="A114" s="120" t="n">
        <f aca="false">A113+1</f>
        <v>37000</v>
      </c>
      <c r="B114" s="131" t="str">
        <f aca="false">INDEX('[4]Master Data'!$A$2:$B$8,MATCH(WEEKDAY('SC Gas MTM'!A114,3),'[4]Master Data'!$A$2:$A$8,0),2)</f>
        <v>Th</v>
      </c>
      <c r="D114" s="124" t="n">
        <v>0</v>
      </c>
      <c r="E114" s="124" t="n">
        <v>0</v>
      </c>
      <c r="F114" s="124" t="n">
        <v>0</v>
      </c>
      <c r="G114" s="124" t="n">
        <v>0</v>
      </c>
      <c r="I114" s="124" t="n">
        <f aca="false">IF(MONTH($A114)=MONTH($A113),IF(G114=0,I113,G114),G114)</f>
        <v>0</v>
      </c>
      <c r="J114" s="124" t="n">
        <f aca="false">IF(MONTH($A114)=MONTH($A113),SUM(I114-I113),I114)</f>
        <v>0</v>
      </c>
      <c r="K114" s="124" t="n">
        <f aca="false">IF(WEEKDAY(A114,3)&gt;4,0,(IF(A114&lt;K$2,0,IF(A114&lt;=K$3,1,0))))</f>
        <v>0</v>
      </c>
      <c r="L114" s="124" t="n">
        <f aca="false">J114*K114</f>
        <v>0</v>
      </c>
      <c r="M114" s="124" t="n">
        <f aca="false">SUM(J$97:J114)</f>
        <v>0</v>
      </c>
      <c r="N114" s="124" t="n">
        <f aca="false">SUM(J$6:J114)</f>
        <v>1197025</v>
      </c>
      <c r="P114" s="124" t="n">
        <f aca="false">D114/P$3</f>
        <v>0</v>
      </c>
      <c r="Q114" s="124" t="n">
        <f aca="false">E114/P$3</f>
        <v>0</v>
      </c>
      <c r="R114" s="124" t="n">
        <f aca="false">F114/R$3</f>
        <v>0</v>
      </c>
      <c r="S114" s="126" t="n">
        <f aca="false">J114/$R$3</f>
        <v>0</v>
      </c>
      <c r="T114" s="126" t="n">
        <f aca="false">L114/$R$3</f>
        <v>0</v>
      </c>
      <c r="U114" s="126" t="n">
        <f aca="false">I114/$R$3</f>
        <v>0</v>
      </c>
      <c r="V114" s="126" t="n">
        <f aca="false">M114/$R$3</f>
        <v>0</v>
      </c>
      <c r="W114" s="126" t="n">
        <f aca="false">N114/$R$3</f>
        <v>1197.025</v>
      </c>
    </row>
    <row r="115" customFormat="false" ht="12.75" hidden="false" customHeight="false" outlineLevel="0" collapsed="false">
      <c r="A115" s="120" t="n">
        <f aca="false">A114+1</f>
        <v>37001</v>
      </c>
      <c r="B115" s="131" t="str">
        <f aca="false">INDEX('[4]Master Data'!$A$2:$B$8,MATCH(WEEKDAY('SC Gas MTM'!A115,3),'[4]Master Data'!$A$2:$A$8,0),2)</f>
        <v>F</v>
      </c>
      <c r="D115" s="124" t="n">
        <v>0</v>
      </c>
      <c r="E115" s="124" t="n">
        <v>0</v>
      </c>
      <c r="F115" s="124" t="n">
        <v>0</v>
      </c>
      <c r="G115" s="124" t="n">
        <v>0</v>
      </c>
      <c r="I115" s="124" t="n">
        <f aca="false">IF(MONTH($A115)=MONTH($A114),IF(G115=0,I114,G115),G115)</f>
        <v>0</v>
      </c>
      <c r="J115" s="124" t="n">
        <f aca="false">IF(MONTH($A115)=MONTH($A114),SUM(I115-I114),I115)</f>
        <v>0</v>
      </c>
      <c r="K115" s="124" t="n">
        <f aca="false">IF(WEEKDAY(A115,3)&gt;4,0,(IF(A115&lt;K$2,0,IF(A115&lt;=K$3,1,0))))</f>
        <v>0</v>
      </c>
      <c r="L115" s="124" t="n">
        <f aca="false">J115*K115</f>
        <v>0</v>
      </c>
      <c r="M115" s="124" t="n">
        <f aca="false">SUM(J$97:J115)</f>
        <v>0</v>
      </c>
      <c r="N115" s="124" t="n">
        <f aca="false">SUM(J$6:J115)</f>
        <v>1197025</v>
      </c>
      <c r="P115" s="124" t="n">
        <f aca="false">D115/P$3</f>
        <v>0</v>
      </c>
      <c r="Q115" s="124" t="n">
        <f aca="false">E115/P$3</f>
        <v>0</v>
      </c>
      <c r="R115" s="124" t="n">
        <f aca="false">F115/R$3</f>
        <v>0</v>
      </c>
      <c r="S115" s="126" t="n">
        <f aca="false">J115/$R$3</f>
        <v>0</v>
      </c>
      <c r="T115" s="126" t="n">
        <f aca="false">L115/$R$3</f>
        <v>0</v>
      </c>
      <c r="U115" s="126" t="n">
        <f aca="false">I115/$R$3</f>
        <v>0</v>
      </c>
      <c r="V115" s="126" t="n">
        <f aca="false">M115/$R$3</f>
        <v>0</v>
      </c>
      <c r="W115" s="126" t="n">
        <f aca="false">N115/$R$3</f>
        <v>1197.025</v>
      </c>
    </row>
    <row r="116" customFormat="false" ht="12.75" hidden="false" customHeight="false" outlineLevel="0" collapsed="false">
      <c r="A116" s="120" t="n">
        <f aca="false">A115+1</f>
        <v>37002</v>
      </c>
      <c r="B116" s="131" t="str">
        <f aca="false">INDEX('[4]Master Data'!$A$2:$B$8,MATCH(WEEKDAY('SC Gas MTM'!A116,3),'[4]Master Data'!$A$2:$A$8,0),2)</f>
        <v>Sa</v>
      </c>
      <c r="D116" s="124" t="n">
        <v>0</v>
      </c>
      <c r="E116" s="124" t="n">
        <v>0</v>
      </c>
      <c r="F116" s="124" t="n">
        <v>0</v>
      </c>
      <c r="G116" s="124" t="n">
        <v>0</v>
      </c>
      <c r="I116" s="124" t="n">
        <f aca="false">IF(MONTH($A116)=MONTH($A115),IF(G116=0,I115,G116),G116)</f>
        <v>0</v>
      </c>
      <c r="J116" s="124" t="n">
        <f aca="false">IF(MONTH($A116)=MONTH($A115),SUM(I116-I115),I116)</f>
        <v>0</v>
      </c>
      <c r="K116" s="124" t="n">
        <f aca="false">IF(WEEKDAY(A116,3)&gt;4,0,(IF(A116&lt;K$2,0,IF(A116&lt;=K$3,1,0))))</f>
        <v>0</v>
      </c>
      <c r="L116" s="124" t="n">
        <f aca="false">J116*K116</f>
        <v>0</v>
      </c>
      <c r="M116" s="124" t="n">
        <f aca="false">SUM(J$97:J116)</f>
        <v>0</v>
      </c>
      <c r="N116" s="124" t="n">
        <f aca="false">SUM(J$6:J116)</f>
        <v>1197025</v>
      </c>
      <c r="P116" s="124" t="n">
        <f aca="false">D116/P$3</f>
        <v>0</v>
      </c>
      <c r="Q116" s="124" t="n">
        <f aca="false">E116/P$3</f>
        <v>0</v>
      </c>
      <c r="R116" s="124" t="n">
        <f aca="false">F116/R$3</f>
        <v>0</v>
      </c>
      <c r="S116" s="126" t="n">
        <f aca="false">J116/$R$3</f>
        <v>0</v>
      </c>
      <c r="T116" s="126" t="n">
        <f aca="false">L116/$R$3</f>
        <v>0</v>
      </c>
      <c r="U116" s="126" t="n">
        <f aca="false">I116/$R$3</f>
        <v>0</v>
      </c>
      <c r="V116" s="126" t="n">
        <f aca="false">M116/$R$3</f>
        <v>0</v>
      </c>
      <c r="W116" s="126" t="n">
        <f aca="false">N116/$R$3</f>
        <v>1197.025</v>
      </c>
    </row>
    <row r="117" customFormat="false" ht="12.75" hidden="false" customHeight="false" outlineLevel="0" collapsed="false">
      <c r="A117" s="120" t="n">
        <f aca="false">A116+1</f>
        <v>37003</v>
      </c>
      <c r="B117" s="131" t="str">
        <f aca="false">INDEX('[4]Master Data'!$A$2:$B$8,MATCH(WEEKDAY('SC Gas MTM'!A117,3),'[4]Master Data'!$A$2:$A$8,0),2)</f>
        <v>Su</v>
      </c>
      <c r="D117" s="124" t="n">
        <v>0</v>
      </c>
      <c r="E117" s="124" t="n">
        <v>0</v>
      </c>
      <c r="F117" s="124" t="n">
        <v>0</v>
      </c>
      <c r="G117" s="124" t="n">
        <v>0</v>
      </c>
      <c r="I117" s="124" t="n">
        <f aca="false">IF(MONTH($A117)=MONTH($A116),IF(G117=0,I116,G117),G117)</f>
        <v>0</v>
      </c>
      <c r="J117" s="124" t="n">
        <f aca="false">IF(MONTH($A117)=MONTH($A116),SUM(I117-I116),I117)</f>
        <v>0</v>
      </c>
      <c r="K117" s="124" t="n">
        <f aca="false">IF(WEEKDAY(A117,3)&gt;4,0,(IF(A117&lt;K$2,0,IF(A117&lt;=K$3,1,0))))</f>
        <v>0</v>
      </c>
      <c r="L117" s="124" t="n">
        <f aca="false">J117*K117</f>
        <v>0</v>
      </c>
      <c r="M117" s="124" t="n">
        <f aca="false">SUM(J$97:J117)</f>
        <v>0</v>
      </c>
      <c r="N117" s="124" t="n">
        <f aca="false">SUM(J$6:J117)</f>
        <v>1197025</v>
      </c>
      <c r="P117" s="124" t="n">
        <f aca="false">D117/P$3</f>
        <v>0</v>
      </c>
      <c r="Q117" s="124" t="n">
        <f aca="false">E117/P$3</f>
        <v>0</v>
      </c>
      <c r="R117" s="124" t="n">
        <f aca="false">F117/R$3</f>
        <v>0</v>
      </c>
      <c r="S117" s="126" t="n">
        <f aca="false">J117/$R$3</f>
        <v>0</v>
      </c>
      <c r="T117" s="126" t="n">
        <f aca="false">L117/$R$3</f>
        <v>0</v>
      </c>
      <c r="U117" s="126" t="n">
        <f aca="false">I117/$R$3</f>
        <v>0</v>
      </c>
      <c r="V117" s="126" t="n">
        <f aca="false">M117/$R$3</f>
        <v>0</v>
      </c>
      <c r="W117" s="126" t="n">
        <f aca="false">N117/$R$3</f>
        <v>1197.025</v>
      </c>
    </row>
    <row r="118" customFormat="false" ht="12.75" hidden="false" customHeight="false" outlineLevel="0" collapsed="false">
      <c r="A118" s="120" t="n">
        <f aca="false">A117+1</f>
        <v>37004</v>
      </c>
      <c r="B118" s="131" t="str">
        <f aca="false">INDEX('[4]Master Data'!$A$2:$B$8,MATCH(WEEKDAY('SC Gas MTM'!A118,3),'[4]Master Data'!$A$2:$A$8,0),2)</f>
        <v>M</v>
      </c>
      <c r="D118" s="124" t="n">
        <v>0</v>
      </c>
      <c r="E118" s="124" t="n">
        <v>0</v>
      </c>
      <c r="F118" s="124" t="n">
        <v>0</v>
      </c>
      <c r="G118" s="124" t="n">
        <v>0</v>
      </c>
      <c r="I118" s="124" t="n">
        <f aca="false">IF(MONTH($A118)=MONTH($A117),IF(G118=0,I117,G118),G118)</f>
        <v>0</v>
      </c>
      <c r="J118" s="124" t="n">
        <f aca="false">IF(MONTH($A118)=MONTH($A117),SUM(I118-I117),I118)</f>
        <v>0</v>
      </c>
      <c r="K118" s="124" t="n">
        <f aca="false">IF(WEEKDAY(A118,3)&gt;4,0,(IF(A118&lt;K$2,0,IF(A118&lt;=K$3,1,0))))</f>
        <v>0</v>
      </c>
      <c r="L118" s="124" t="n">
        <f aca="false">J118*K118</f>
        <v>0</v>
      </c>
      <c r="M118" s="124" t="n">
        <f aca="false">SUM(J$97:J118)</f>
        <v>0</v>
      </c>
      <c r="N118" s="124" t="n">
        <f aca="false">SUM(J$6:J118)</f>
        <v>1197025</v>
      </c>
      <c r="P118" s="124" t="n">
        <f aca="false">D118/P$3</f>
        <v>0</v>
      </c>
      <c r="Q118" s="124" t="n">
        <f aca="false">E118/P$3</f>
        <v>0</v>
      </c>
      <c r="R118" s="124" t="n">
        <f aca="false">F118/R$3</f>
        <v>0</v>
      </c>
      <c r="S118" s="126" t="n">
        <f aca="false">J118/$R$3</f>
        <v>0</v>
      </c>
      <c r="T118" s="126" t="n">
        <f aca="false">L118/$R$3</f>
        <v>0</v>
      </c>
      <c r="U118" s="126" t="n">
        <f aca="false">I118/$R$3</f>
        <v>0</v>
      </c>
      <c r="V118" s="126" t="n">
        <f aca="false">M118/$R$3</f>
        <v>0</v>
      </c>
      <c r="W118" s="126" t="n">
        <f aca="false">N118/$R$3</f>
        <v>1197.025</v>
      </c>
    </row>
    <row r="119" customFormat="false" ht="12.75" hidden="false" customHeight="false" outlineLevel="0" collapsed="false">
      <c r="A119" s="120" t="n">
        <f aca="false">A118+1</f>
        <v>37005</v>
      </c>
      <c r="B119" s="131" t="str">
        <f aca="false">INDEX('[4]Master Data'!$A$2:$B$8,MATCH(WEEKDAY('SC Gas MTM'!A119,3),'[4]Master Data'!$A$2:$A$8,0),2)</f>
        <v>T</v>
      </c>
      <c r="D119" s="124" t="n">
        <v>0</v>
      </c>
      <c r="E119" s="124" t="n">
        <v>0</v>
      </c>
      <c r="F119" s="124" t="n">
        <v>0</v>
      </c>
      <c r="G119" s="124" t="n">
        <v>0</v>
      </c>
      <c r="I119" s="124" t="n">
        <f aca="false">IF(MONTH($A119)=MONTH($A118),IF(G119=0,I118,G119),G119)</f>
        <v>0</v>
      </c>
      <c r="J119" s="124" t="n">
        <f aca="false">IF(MONTH($A119)=MONTH($A118),SUM(I119-I118),I119)</f>
        <v>0</v>
      </c>
      <c r="K119" s="124" t="n">
        <f aca="false">IF(WEEKDAY(A119,3)&gt;4,0,(IF(A119&lt;K$2,0,IF(A119&lt;=K$3,1,0))))</f>
        <v>0</v>
      </c>
      <c r="L119" s="124" t="n">
        <f aca="false">J119*K119</f>
        <v>0</v>
      </c>
      <c r="M119" s="124" t="n">
        <f aca="false">SUM(J$97:J119)</f>
        <v>0</v>
      </c>
      <c r="N119" s="124" t="n">
        <f aca="false">SUM(J$6:J119)</f>
        <v>1197025</v>
      </c>
      <c r="P119" s="124" t="n">
        <f aca="false">D119/P$3</f>
        <v>0</v>
      </c>
      <c r="Q119" s="124" t="n">
        <f aca="false">E119/P$3</f>
        <v>0</v>
      </c>
      <c r="R119" s="124" t="n">
        <f aca="false">F119/R$3</f>
        <v>0</v>
      </c>
      <c r="S119" s="126" t="n">
        <f aca="false">J119/$R$3</f>
        <v>0</v>
      </c>
      <c r="T119" s="126" t="n">
        <f aca="false">L119/$R$3</f>
        <v>0</v>
      </c>
      <c r="U119" s="126" t="n">
        <f aca="false">I119/$R$3</f>
        <v>0</v>
      </c>
      <c r="V119" s="126" t="n">
        <f aca="false">M119/$R$3</f>
        <v>0</v>
      </c>
      <c r="W119" s="126" t="n">
        <f aca="false">N119/$R$3</f>
        <v>1197.025</v>
      </c>
    </row>
    <row r="120" customFormat="false" ht="12.75" hidden="false" customHeight="false" outlineLevel="0" collapsed="false">
      <c r="A120" s="120" t="n">
        <f aca="false">A119+1</f>
        <v>37006</v>
      </c>
      <c r="B120" s="131" t="str">
        <f aca="false">INDEX('[4]Master Data'!$A$2:$B$8,MATCH(WEEKDAY('SC Gas MTM'!A120,3),'[4]Master Data'!$A$2:$A$8,0),2)</f>
        <v>W</v>
      </c>
      <c r="D120" s="124" t="n">
        <v>0</v>
      </c>
      <c r="E120" s="124" t="n">
        <v>0</v>
      </c>
      <c r="F120" s="124" t="n">
        <v>0</v>
      </c>
      <c r="G120" s="124" t="n">
        <v>0</v>
      </c>
      <c r="I120" s="124" t="n">
        <f aca="false">IF(MONTH($A120)=MONTH($A119),IF(G120=0,I119,G120),G120)</f>
        <v>0</v>
      </c>
      <c r="J120" s="124" t="n">
        <f aca="false">IF(MONTH($A120)=MONTH($A119),SUM(I120-I119),I120)</f>
        <v>0</v>
      </c>
      <c r="K120" s="124" t="n">
        <f aca="false">IF(WEEKDAY(A120,3)&gt;4,0,(IF(A120&lt;K$2,0,IF(A120&lt;=K$3,1,0))))</f>
        <v>0</v>
      </c>
      <c r="L120" s="124" t="n">
        <f aca="false">J120*K120</f>
        <v>0</v>
      </c>
      <c r="M120" s="124" t="n">
        <f aca="false">SUM(J$97:J120)</f>
        <v>0</v>
      </c>
      <c r="N120" s="124" t="n">
        <f aca="false">SUM(J$6:J120)</f>
        <v>1197025</v>
      </c>
      <c r="P120" s="124" t="n">
        <f aca="false">D120/P$3</f>
        <v>0</v>
      </c>
      <c r="Q120" s="124" t="n">
        <f aca="false">E120/P$3</f>
        <v>0</v>
      </c>
      <c r="R120" s="124" t="n">
        <f aca="false">F120/R$3</f>
        <v>0</v>
      </c>
      <c r="S120" s="126" t="n">
        <f aca="false">J120/$R$3</f>
        <v>0</v>
      </c>
      <c r="T120" s="126" t="n">
        <f aca="false">L120/$R$3</f>
        <v>0</v>
      </c>
      <c r="U120" s="126" t="n">
        <f aca="false">I120/$R$3</f>
        <v>0</v>
      </c>
      <c r="V120" s="126" t="n">
        <f aca="false">M120/$R$3</f>
        <v>0</v>
      </c>
      <c r="W120" s="126" t="n">
        <f aca="false">N120/$R$3</f>
        <v>1197.025</v>
      </c>
    </row>
    <row r="121" customFormat="false" ht="12.75" hidden="false" customHeight="false" outlineLevel="0" collapsed="false">
      <c r="A121" s="120" t="n">
        <f aca="false">A120+1</f>
        <v>37007</v>
      </c>
      <c r="B121" s="131" t="str">
        <f aca="false">INDEX('[4]Master Data'!$A$2:$B$8,MATCH(WEEKDAY('SC Gas MTM'!A121,3),'[4]Master Data'!$A$2:$A$8,0),2)</f>
        <v>Th</v>
      </c>
      <c r="D121" s="124" t="n">
        <v>0</v>
      </c>
      <c r="E121" s="124" t="n">
        <v>0</v>
      </c>
      <c r="F121" s="124" t="n">
        <v>0</v>
      </c>
      <c r="G121" s="124" t="n">
        <v>0</v>
      </c>
      <c r="I121" s="124" t="n">
        <f aca="false">IF(MONTH($A121)=MONTH($A120),IF(G121=0,I120,G121),G121)</f>
        <v>0</v>
      </c>
      <c r="J121" s="124" t="n">
        <f aca="false">IF(MONTH($A121)=MONTH($A120),SUM(I121-I120),I121)</f>
        <v>0</v>
      </c>
      <c r="K121" s="124" t="n">
        <f aca="false">IF(WEEKDAY(A121,3)&gt;4,0,(IF(A121&lt;K$2,0,IF(A121&lt;=K$3,1,0))))</f>
        <v>0</v>
      </c>
      <c r="L121" s="124" t="n">
        <f aca="false">J121*K121</f>
        <v>0</v>
      </c>
      <c r="M121" s="124" t="n">
        <f aca="false">SUM(J$97:J121)</f>
        <v>0</v>
      </c>
      <c r="N121" s="124" t="n">
        <f aca="false">SUM(J$6:J121)</f>
        <v>1197025</v>
      </c>
      <c r="P121" s="124" t="n">
        <f aca="false">D121/P$3</f>
        <v>0</v>
      </c>
      <c r="Q121" s="124" t="n">
        <f aca="false">E121/P$3</f>
        <v>0</v>
      </c>
      <c r="R121" s="124" t="n">
        <f aca="false">F121/R$3</f>
        <v>0</v>
      </c>
      <c r="S121" s="126" t="n">
        <f aca="false">J121/$R$3</f>
        <v>0</v>
      </c>
      <c r="T121" s="126" t="n">
        <f aca="false">L121/$R$3</f>
        <v>0</v>
      </c>
      <c r="U121" s="126" t="n">
        <f aca="false">I121/$R$3</f>
        <v>0</v>
      </c>
      <c r="V121" s="126" t="n">
        <f aca="false">M121/$R$3</f>
        <v>0</v>
      </c>
      <c r="W121" s="126" t="n">
        <f aca="false">N121/$R$3</f>
        <v>1197.025</v>
      </c>
    </row>
    <row r="122" customFormat="false" ht="12.75" hidden="false" customHeight="false" outlineLevel="0" collapsed="false">
      <c r="A122" s="120" t="n">
        <f aca="false">A121+1</f>
        <v>37008</v>
      </c>
      <c r="B122" s="131" t="str">
        <f aca="false">INDEX('[4]Master Data'!$A$2:$B$8,MATCH(WEEKDAY('SC Gas MTM'!A122,3),'[4]Master Data'!$A$2:$A$8,0),2)</f>
        <v>F</v>
      </c>
      <c r="D122" s="124" t="n">
        <v>0</v>
      </c>
      <c r="E122" s="124" t="n">
        <v>0</v>
      </c>
      <c r="F122" s="124" t="n">
        <v>0</v>
      </c>
      <c r="G122" s="124" t="n">
        <v>0</v>
      </c>
      <c r="I122" s="124" t="n">
        <f aca="false">IF(MONTH($A122)=MONTH($A121),IF(G122=0,I121,G122),G122)</f>
        <v>0</v>
      </c>
      <c r="J122" s="124" t="n">
        <f aca="false">IF(MONTH($A122)=MONTH($A121),SUM(I122-I121),I122)</f>
        <v>0</v>
      </c>
      <c r="K122" s="124" t="n">
        <f aca="false">IF(WEEKDAY(A122,3)&gt;4,0,(IF(A122&lt;K$2,0,IF(A122&lt;=K$3,1,0))))</f>
        <v>0</v>
      </c>
      <c r="L122" s="124" t="n">
        <f aca="false">J122*K122</f>
        <v>0</v>
      </c>
      <c r="M122" s="124" t="n">
        <f aca="false">SUM(J$97:J122)</f>
        <v>0</v>
      </c>
      <c r="N122" s="124" t="n">
        <f aca="false">SUM(J$6:J122)</f>
        <v>1197025</v>
      </c>
      <c r="P122" s="124" t="n">
        <f aca="false">D122/P$3</f>
        <v>0</v>
      </c>
      <c r="Q122" s="124" t="n">
        <f aca="false">E122/P$3</f>
        <v>0</v>
      </c>
      <c r="R122" s="124" t="n">
        <f aca="false">F122/R$3</f>
        <v>0</v>
      </c>
      <c r="S122" s="126" t="n">
        <f aca="false">J122/$R$3</f>
        <v>0</v>
      </c>
      <c r="T122" s="126" t="n">
        <f aca="false">L122/$R$3</f>
        <v>0</v>
      </c>
      <c r="U122" s="126" t="n">
        <f aca="false">I122/$R$3</f>
        <v>0</v>
      </c>
      <c r="V122" s="126" t="n">
        <f aca="false">M122/$R$3</f>
        <v>0</v>
      </c>
      <c r="W122" s="126" t="n">
        <f aca="false">N122/$R$3</f>
        <v>1197.025</v>
      </c>
    </row>
    <row r="123" customFormat="false" ht="12.75" hidden="false" customHeight="false" outlineLevel="0" collapsed="false">
      <c r="A123" s="120" t="n">
        <f aca="false">A122+1</f>
        <v>37009</v>
      </c>
      <c r="B123" s="131" t="str">
        <f aca="false">INDEX('[4]Master Data'!$A$2:$B$8,MATCH(WEEKDAY('SC Gas MTM'!A123,3),'[4]Master Data'!$A$2:$A$8,0),2)</f>
        <v>Sa</v>
      </c>
      <c r="D123" s="124" t="n">
        <v>0</v>
      </c>
      <c r="E123" s="124" t="n">
        <v>0</v>
      </c>
      <c r="F123" s="124" t="n">
        <v>0</v>
      </c>
      <c r="G123" s="124" t="n">
        <v>0</v>
      </c>
      <c r="I123" s="124" t="n">
        <f aca="false">IF(MONTH($A123)=MONTH($A122),IF(G123=0,I122,G123),G123)</f>
        <v>0</v>
      </c>
      <c r="J123" s="124" t="n">
        <f aca="false">IF(MONTH($A123)=MONTH($A122),SUM(I123-I122),I123)</f>
        <v>0</v>
      </c>
      <c r="K123" s="124" t="n">
        <f aca="false">IF(WEEKDAY(A123,3)&gt;4,0,(IF(A123&lt;K$2,0,IF(A123&lt;=K$3,1,0))))</f>
        <v>0</v>
      </c>
      <c r="L123" s="124" t="n">
        <f aca="false">J123*K123</f>
        <v>0</v>
      </c>
      <c r="M123" s="124" t="n">
        <f aca="false">SUM(J$97:J123)</f>
        <v>0</v>
      </c>
      <c r="N123" s="124" t="n">
        <f aca="false">SUM(J$6:J123)</f>
        <v>1197025</v>
      </c>
      <c r="P123" s="124" t="n">
        <f aca="false">D123/P$3</f>
        <v>0</v>
      </c>
      <c r="Q123" s="124" t="n">
        <f aca="false">E123/P$3</f>
        <v>0</v>
      </c>
      <c r="R123" s="124" t="n">
        <f aca="false">F123/R$3</f>
        <v>0</v>
      </c>
      <c r="S123" s="126" t="n">
        <f aca="false">J123/$R$3</f>
        <v>0</v>
      </c>
      <c r="T123" s="126" t="n">
        <f aca="false">L123/$R$3</f>
        <v>0</v>
      </c>
      <c r="U123" s="126" t="n">
        <f aca="false">I123/$R$3</f>
        <v>0</v>
      </c>
      <c r="V123" s="126" t="n">
        <f aca="false">M123/$R$3</f>
        <v>0</v>
      </c>
      <c r="W123" s="126" t="n">
        <f aca="false">N123/$R$3</f>
        <v>1197.025</v>
      </c>
    </row>
    <row r="124" customFormat="false" ht="12.75" hidden="false" customHeight="false" outlineLevel="0" collapsed="false">
      <c r="A124" s="120" t="n">
        <f aca="false">A123+1</f>
        <v>37010</v>
      </c>
      <c r="B124" s="131" t="str">
        <f aca="false">INDEX('[4]Master Data'!$A$2:$B$8,MATCH(WEEKDAY('SC Gas MTM'!A124,3),'[4]Master Data'!$A$2:$A$8,0),2)</f>
        <v>Su</v>
      </c>
      <c r="D124" s="124" t="n">
        <v>0</v>
      </c>
      <c r="E124" s="124" t="n">
        <v>0</v>
      </c>
      <c r="F124" s="124" t="n">
        <v>0</v>
      </c>
      <c r="G124" s="124" t="n">
        <v>0</v>
      </c>
      <c r="I124" s="124" t="n">
        <f aca="false">IF(MONTH($A124)=MONTH($A123),IF(G124=0,I123,G124),G124)</f>
        <v>0</v>
      </c>
      <c r="J124" s="124" t="n">
        <f aca="false">IF(MONTH($A124)=MONTH($A123),SUM(I124-I123),I124)</f>
        <v>0</v>
      </c>
      <c r="K124" s="124" t="n">
        <f aca="false">IF(WEEKDAY(A124,3)&gt;4,0,(IF(A124&lt;K$2,0,IF(A124&lt;=K$3,1,0))))</f>
        <v>0</v>
      </c>
      <c r="L124" s="124" t="n">
        <f aca="false">J124*K124</f>
        <v>0</v>
      </c>
      <c r="M124" s="124" t="n">
        <f aca="false">SUM(J$97:J124)</f>
        <v>0</v>
      </c>
      <c r="N124" s="124" t="n">
        <f aca="false">SUM(J$6:J124)</f>
        <v>1197025</v>
      </c>
      <c r="P124" s="124" t="n">
        <f aca="false">D124/P$3</f>
        <v>0</v>
      </c>
      <c r="Q124" s="124" t="n">
        <f aca="false">E124/P$3</f>
        <v>0</v>
      </c>
      <c r="R124" s="124" t="n">
        <f aca="false">F124/R$3</f>
        <v>0</v>
      </c>
      <c r="S124" s="126" t="n">
        <f aca="false">J124/$R$3</f>
        <v>0</v>
      </c>
      <c r="T124" s="126" t="n">
        <f aca="false">L124/$R$3</f>
        <v>0</v>
      </c>
      <c r="U124" s="126" t="n">
        <f aca="false">I124/$R$3</f>
        <v>0</v>
      </c>
      <c r="V124" s="126" t="n">
        <f aca="false">M124/$R$3</f>
        <v>0</v>
      </c>
      <c r="W124" s="126" t="n">
        <f aca="false">N124/$R$3</f>
        <v>1197.025</v>
      </c>
    </row>
    <row r="125" customFormat="false" ht="12.75" hidden="false" customHeight="false" outlineLevel="0" collapsed="false">
      <c r="A125" s="120" t="n">
        <f aca="false">A124+1</f>
        <v>37011</v>
      </c>
      <c r="B125" s="131" t="str">
        <f aca="false">INDEX('[4]Master Data'!$A$2:$B$8,MATCH(WEEKDAY('SC Gas MTM'!A125,3),'[4]Master Data'!$A$2:$A$8,0),2)</f>
        <v>M</v>
      </c>
      <c r="D125" s="124" t="n">
        <v>0</v>
      </c>
      <c r="E125" s="124" t="n">
        <v>0</v>
      </c>
      <c r="F125" s="124" t="n">
        <v>0</v>
      </c>
      <c r="G125" s="124" t="n">
        <v>0</v>
      </c>
      <c r="I125" s="124" t="n">
        <f aca="false">IF(MONTH($A125)=MONTH($A124),IF(G125=0,I124,G125),G125)</f>
        <v>0</v>
      </c>
      <c r="J125" s="124" t="n">
        <f aca="false">IF(MONTH($A125)=MONTH($A124),SUM(I125-I124),I125)</f>
        <v>0</v>
      </c>
      <c r="K125" s="124" t="n">
        <f aca="false">IF(WEEKDAY(A125,3)&gt;4,0,(IF(A125&lt;K$2,0,IF(A125&lt;=K$3,1,0))))</f>
        <v>0</v>
      </c>
      <c r="L125" s="124" t="n">
        <f aca="false">J125*K125</f>
        <v>0</v>
      </c>
      <c r="M125" s="124" t="n">
        <f aca="false">SUM(J$97:J125)</f>
        <v>0</v>
      </c>
      <c r="N125" s="124" t="n">
        <f aca="false">SUM(J$6:J125)</f>
        <v>1197025</v>
      </c>
      <c r="P125" s="124" t="n">
        <f aca="false">D125/P$3</f>
        <v>0</v>
      </c>
      <c r="Q125" s="124" t="n">
        <f aca="false">E125/P$3</f>
        <v>0</v>
      </c>
      <c r="R125" s="124" t="n">
        <f aca="false">F125/R$3</f>
        <v>0</v>
      </c>
      <c r="S125" s="126" t="n">
        <f aca="false">J125/$R$3</f>
        <v>0</v>
      </c>
      <c r="T125" s="126" t="n">
        <f aca="false">L125/$R$3</f>
        <v>0</v>
      </c>
      <c r="U125" s="126" t="n">
        <f aca="false">I125/$R$3</f>
        <v>0</v>
      </c>
      <c r="V125" s="126" t="n">
        <f aca="false">M125/$R$3</f>
        <v>0</v>
      </c>
      <c r="W125" s="126" t="n">
        <f aca="false">N125/$R$3</f>
        <v>1197.025</v>
      </c>
    </row>
    <row r="126" customFormat="false" ht="12.75" hidden="false" customHeight="false" outlineLevel="0" collapsed="false">
      <c r="A126" s="120" t="n">
        <f aca="false">A125+1</f>
        <v>37012</v>
      </c>
      <c r="B126" s="131" t="str">
        <f aca="false">INDEX('[4]Master Data'!$A$2:$B$8,MATCH(WEEKDAY('SC Gas MTM'!A126,3),'[4]Master Data'!$A$2:$A$8,0),2)</f>
        <v>T</v>
      </c>
      <c r="D126" s="124" t="n">
        <v>0</v>
      </c>
      <c r="E126" s="124" t="n">
        <v>0</v>
      </c>
      <c r="F126" s="124" t="n">
        <v>0</v>
      </c>
      <c r="G126" s="124" t="n">
        <v>0</v>
      </c>
      <c r="I126" s="124" t="n">
        <f aca="false">IF(MONTH($A126)=MONTH($A125),IF(G126=0,I125,G126),G126)</f>
        <v>0</v>
      </c>
      <c r="J126" s="124" t="n">
        <f aca="false">IF(MONTH($A126)=MONTH($A125),SUM(I126-I125),I126)</f>
        <v>0</v>
      </c>
      <c r="K126" s="124" t="n">
        <f aca="false">IF(WEEKDAY(A126,3)&gt;4,0,(IF(A126&lt;K$2,0,IF(A126&lt;=K$3,1,0))))</f>
        <v>0</v>
      </c>
      <c r="L126" s="124" t="n">
        <f aca="false">J126*K126</f>
        <v>0</v>
      </c>
      <c r="M126" s="124" t="n">
        <f aca="false">SUM(J$97:J126)</f>
        <v>0</v>
      </c>
      <c r="N126" s="124" t="n">
        <f aca="false">SUM(J$6:J126)</f>
        <v>1197025</v>
      </c>
      <c r="P126" s="124" t="n">
        <f aca="false">D126/P$3</f>
        <v>0</v>
      </c>
      <c r="Q126" s="124" t="n">
        <f aca="false">E126/P$3</f>
        <v>0</v>
      </c>
      <c r="R126" s="124" t="n">
        <f aca="false">F126/R$3</f>
        <v>0</v>
      </c>
      <c r="S126" s="126" t="n">
        <f aca="false">J126/$R$3</f>
        <v>0</v>
      </c>
      <c r="T126" s="126" t="n">
        <f aca="false">L126/$R$3</f>
        <v>0</v>
      </c>
      <c r="U126" s="126" t="n">
        <f aca="false">I126/$R$3</f>
        <v>0</v>
      </c>
      <c r="V126" s="126" t="n">
        <f aca="false">M126/$R$3</f>
        <v>0</v>
      </c>
      <c r="W126" s="126" t="n">
        <f aca="false">N126/$R$3</f>
        <v>1197.025</v>
      </c>
    </row>
    <row r="127" customFormat="false" ht="12.75" hidden="false" customHeight="false" outlineLevel="0" collapsed="false">
      <c r="A127" s="120" t="n">
        <f aca="false">A126+1</f>
        <v>37013</v>
      </c>
      <c r="B127" s="131" t="str">
        <f aca="false">INDEX('[4]Master Data'!$A$2:$B$8,MATCH(WEEKDAY('SC Gas MTM'!A127,3),'[4]Master Data'!$A$2:$A$8,0),2)</f>
        <v>W</v>
      </c>
      <c r="D127" s="124" t="n">
        <v>0</v>
      </c>
      <c r="E127" s="124" t="n">
        <v>0</v>
      </c>
      <c r="F127" s="124" t="n">
        <v>0</v>
      </c>
      <c r="G127" s="124" t="n">
        <v>0</v>
      </c>
      <c r="I127" s="124" t="n">
        <f aca="false">IF(MONTH($A127)=MONTH($A126),IF(G127=0,I126,G127),G127)</f>
        <v>0</v>
      </c>
      <c r="J127" s="124" t="n">
        <f aca="false">IF(MONTH($A127)=MONTH($A126),SUM(I127-I126),I127)</f>
        <v>0</v>
      </c>
      <c r="K127" s="124" t="n">
        <f aca="false">IF(WEEKDAY(A127,3)&gt;4,0,(IF(A127&lt;K$2,0,IF(A127&lt;=K$3,1,0))))</f>
        <v>0</v>
      </c>
      <c r="L127" s="124" t="n">
        <f aca="false">J127*K127</f>
        <v>0</v>
      </c>
      <c r="M127" s="124" t="n">
        <f aca="false">SUM(J$97:J127)</f>
        <v>0</v>
      </c>
      <c r="N127" s="124" t="n">
        <f aca="false">SUM(J$6:J127)</f>
        <v>1197025</v>
      </c>
      <c r="P127" s="124" t="n">
        <f aca="false">D127/P$3</f>
        <v>0</v>
      </c>
      <c r="Q127" s="124" t="n">
        <f aca="false">E127/P$3</f>
        <v>0</v>
      </c>
      <c r="R127" s="124" t="n">
        <f aca="false">F127/R$3</f>
        <v>0</v>
      </c>
      <c r="S127" s="126" t="n">
        <f aca="false">J127/$R$3</f>
        <v>0</v>
      </c>
      <c r="T127" s="126" t="n">
        <f aca="false">L127/$R$3</f>
        <v>0</v>
      </c>
      <c r="U127" s="126" t="n">
        <f aca="false">I127/$R$3</f>
        <v>0</v>
      </c>
      <c r="V127" s="126" t="n">
        <f aca="false">M127/$R$3</f>
        <v>0</v>
      </c>
      <c r="W127" s="126" t="n">
        <f aca="false">N127/$R$3</f>
        <v>1197.025</v>
      </c>
    </row>
    <row r="128" customFormat="false" ht="12.75" hidden="false" customHeight="false" outlineLevel="0" collapsed="false">
      <c r="A128" s="120" t="n">
        <f aca="false">A127+1</f>
        <v>37014</v>
      </c>
      <c r="B128" s="131" t="str">
        <f aca="false">INDEX('[4]Master Data'!$A$2:$B$8,MATCH(WEEKDAY('SC Gas MTM'!A128,3),'[4]Master Data'!$A$2:$A$8,0),2)</f>
        <v>Th</v>
      </c>
      <c r="D128" s="124" t="n">
        <v>0</v>
      </c>
      <c r="E128" s="124" t="n">
        <v>0</v>
      </c>
      <c r="F128" s="124" t="n">
        <v>0</v>
      </c>
      <c r="G128" s="124" t="n">
        <v>0</v>
      </c>
      <c r="I128" s="124" t="n">
        <f aca="false">IF(MONTH($A128)=MONTH($A127),IF(G128=0,I127,G128),G128)</f>
        <v>0</v>
      </c>
      <c r="J128" s="124" t="n">
        <f aca="false">IF(MONTH($A128)=MONTH($A127),SUM(I128-I127),I128)</f>
        <v>0</v>
      </c>
      <c r="K128" s="124" t="n">
        <f aca="false">IF(WEEKDAY(A128,3)&gt;4,0,(IF(A128&lt;K$2,0,IF(A128&lt;=K$3,1,0))))</f>
        <v>0</v>
      </c>
      <c r="L128" s="124" t="n">
        <f aca="false">J128*K128</f>
        <v>0</v>
      </c>
      <c r="M128" s="124" t="n">
        <f aca="false">SUM(J$97:J128)</f>
        <v>0</v>
      </c>
      <c r="N128" s="124" t="n">
        <f aca="false">SUM(J$6:J128)</f>
        <v>1197025</v>
      </c>
      <c r="P128" s="124" t="n">
        <f aca="false">D128/P$3</f>
        <v>0</v>
      </c>
      <c r="Q128" s="124" t="n">
        <f aca="false">E128/P$3</f>
        <v>0</v>
      </c>
      <c r="R128" s="124" t="n">
        <f aca="false">F128/R$3</f>
        <v>0</v>
      </c>
      <c r="S128" s="126" t="n">
        <f aca="false">J128/$R$3</f>
        <v>0</v>
      </c>
      <c r="T128" s="126" t="n">
        <f aca="false">L128/$R$3</f>
        <v>0</v>
      </c>
      <c r="U128" s="126" t="n">
        <f aca="false">I128/$R$3</f>
        <v>0</v>
      </c>
      <c r="V128" s="126" t="n">
        <f aca="false">M128/$R$3</f>
        <v>0</v>
      </c>
      <c r="W128" s="126" t="n">
        <f aca="false">N128/$R$3</f>
        <v>1197.025</v>
      </c>
    </row>
    <row r="129" customFormat="false" ht="12.75" hidden="false" customHeight="false" outlineLevel="0" collapsed="false">
      <c r="A129" s="120" t="n">
        <f aca="false">A128+1</f>
        <v>37015</v>
      </c>
      <c r="B129" s="131" t="str">
        <f aca="false">INDEX('[4]Master Data'!$A$2:$B$8,MATCH(WEEKDAY('SC Gas MTM'!A129,3),'[4]Master Data'!$A$2:$A$8,0),2)</f>
        <v>F</v>
      </c>
      <c r="D129" s="124" t="n">
        <v>0</v>
      </c>
      <c r="E129" s="124" t="n">
        <v>0</v>
      </c>
      <c r="F129" s="124" t="n">
        <v>0</v>
      </c>
      <c r="G129" s="124" t="n">
        <v>0</v>
      </c>
      <c r="I129" s="124" t="n">
        <f aca="false">IF(MONTH($A129)=MONTH($A128),IF(G129=0,I128,G129),G129)</f>
        <v>0</v>
      </c>
      <c r="J129" s="124" t="n">
        <f aca="false">IF(MONTH($A129)=MONTH($A128),SUM(I129-I128),I129)</f>
        <v>0</v>
      </c>
      <c r="K129" s="124" t="n">
        <f aca="false">IF(WEEKDAY(A129,3)&gt;4,0,(IF(A129&lt;K$2,0,IF(A129&lt;=K$3,1,0))))</f>
        <v>0</v>
      </c>
      <c r="L129" s="124" t="n">
        <f aca="false">J129*K129</f>
        <v>0</v>
      </c>
      <c r="M129" s="124" t="n">
        <f aca="false">SUM(J$97:J129)</f>
        <v>0</v>
      </c>
      <c r="N129" s="124" t="n">
        <f aca="false">SUM(J$6:J129)</f>
        <v>1197025</v>
      </c>
      <c r="P129" s="124" t="n">
        <f aca="false">D129/P$3</f>
        <v>0</v>
      </c>
      <c r="Q129" s="124" t="n">
        <f aca="false">E129/P$3</f>
        <v>0</v>
      </c>
      <c r="R129" s="124" t="n">
        <f aca="false">F129/R$3</f>
        <v>0</v>
      </c>
      <c r="S129" s="126" t="n">
        <f aca="false">J129/$R$3</f>
        <v>0</v>
      </c>
      <c r="T129" s="126" t="n">
        <f aca="false">L129/$R$3</f>
        <v>0</v>
      </c>
      <c r="U129" s="126" t="n">
        <f aca="false">I129/$R$3</f>
        <v>0</v>
      </c>
      <c r="V129" s="126" t="n">
        <f aca="false">M129/$R$3</f>
        <v>0</v>
      </c>
      <c r="W129" s="126" t="n">
        <f aca="false">N129/$R$3</f>
        <v>1197.025</v>
      </c>
    </row>
    <row r="130" customFormat="false" ht="12.75" hidden="false" customHeight="false" outlineLevel="0" collapsed="false">
      <c r="A130" s="120" t="n">
        <f aca="false">A129+1</f>
        <v>37016</v>
      </c>
      <c r="B130" s="131" t="str">
        <f aca="false">INDEX('[4]Master Data'!$A$2:$B$8,MATCH(WEEKDAY('SC Gas MTM'!A130,3),'[4]Master Data'!$A$2:$A$8,0),2)</f>
        <v>Sa</v>
      </c>
      <c r="D130" s="124" t="n">
        <v>0</v>
      </c>
      <c r="E130" s="124" t="n">
        <v>0</v>
      </c>
      <c r="F130" s="124" t="n">
        <v>0</v>
      </c>
      <c r="G130" s="124" t="n">
        <v>0</v>
      </c>
      <c r="I130" s="124" t="n">
        <f aca="false">IF(MONTH($A130)=MONTH($A129),IF(G130=0,I129,G130),G130)</f>
        <v>0</v>
      </c>
      <c r="J130" s="124" t="n">
        <f aca="false">IF(MONTH($A130)=MONTH($A129),SUM(I130-I129),I130)</f>
        <v>0</v>
      </c>
      <c r="K130" s="124" t="n">
        <f aca="false">IF(WEEKDAY(A130,3)&gt;4,0,(IF(A130&lt;K$2,0,IF(A130&lt;=K$3,1,0))))</f>
        <v>0</v>
      </c>
      <c r="L130" s="124" t="n">
        <f aca="false">J130*K130</f>
        <v>0</v>
      </c>
      <c r="M130" s="124" t="n">
        <f aca="false">SUM(J$97:J130)</f>
        <v>0</v>
      </c>
      <c r="N130" s="124" t="n">
        <f aca="false">SUM(J$6:J130)</f>
        <v>1197025</v>
      </c>
      <c r="P130" s="124" t="n">
        <f aca="false">D130/P$3</f>
        <v>0</v>
      </c>
      <c r="Q130" s="124" t="n">
        <f aca="false">E130/P$3</f>
        <v>0</v>
      </c>
      <c r="R130" s="124" t="n">
        <f aca="false">F130/R$3</f>
        <v>0</v>
      </c>
      <c r="S130" s="126" t="n">
        <f aca="false">J130/$R$3</f>
        <v>0</v>
      </c>
      <c r="T130" s="126" t="n">
        <f aca="false">L130/$R$3</f>
        <v>0</v>
      </c>
      <c r="U130" s="126" t="n">
        <f aca="false">I130/$R$3</f>
        <v>0</v>
      </c>
      <c r="V130" s="126" t="n">
        <f aca="false">M130/$R$3</f>
        <v>0</v>
      </c>
      <c r="W130" s="126" t="n">
        <f aca="false">N130/$R$3</f>
        <v>1197.025</v>
      </c>
    </row>
    <row r="131" customFormat="false" ht="12.75" hidden="false" customHeight="false" outlineLevel="0" collapsed="false">
      <c r="A131" s="120" t="n">
        <f aca="false">A130+1</f>
        <v>37017</v>
      </c>
      <c r="B131" s="131" t="str">
        <f aca="false">INDEX('[4]Master Data'!$A$2:$B$8,MATCH(WEEKDAY('SC Gas MTM'!A131,3),'[4]Master Data'!$A$2:$A$8,0),2)</f>
        <v>Su</v>
      </c>
      <c r="D131" s="124" t="n">
        <v>0</v>
      </c>
      <c r="E131" s="124" t="n">
        <v>0</v>
      </c>
      <c r="F131" s="124" t="n">
        <v>0</v>
      </c>
      <c r="G131" s="124" t="n">
        <v>0</v>
      </c>
      <c r="I131" s="124" t="n">
        <f aca="false">IF(MONTH($A131)=MONTH($A130),IF(G131=0,I130,G131),G131)</f>
        <v>0</v>
      </c>
      <c r="J131" s="124" t="n">
        <f aca="false">IF(MONTH($A131)=MONTH($A130),SUM(I131-I130),I131)</f>
        <v>0</v>
      </c>
      <c r="K131" s="124" t="n">
        <f aca="false">IF(WEEKDAY(A131,3)&gt;4,0,(IF(A131&lt;K$2,0,IF(A131&lt;=K$3,1,0))))</f>
        <v>0</v>
      </c>
      <c r="L131" s="124" t="n">
        <f aca="false">J131*K131</f>
        <v>0</v>
      </c>
      <c r="M131" s="124" t="n">
        <f aca="false">SUM(J$97:J131)</f>
        <v>0</v>
      </c>
      <c r="N131" s="124" t="n">
        <f aca="false">SUM(J$6:J131)</f>
        <v>1197025</v>
      </c>
      <c r="P131" s="124" t="n">
        <f aca="false">D131/P$3</f>
        <v>0</v>
      </c>
      <c r="Q131" s="124" t="n">
        <f aca="false">E131/P$3</f>
        <v>0</v>
      </c>
      <c r="R131" s="124" t="n">
        <f aca="false">F131/R$3</f>
        <v>0</v>
      </c>
      <c r="S131" s="126" t="n">
        <f aca="false">J131/$R$3</f>
        <v>0</v>
      </c>
      <c r="T131" s="126" t="n">
        <f aca="false">L131/$R$3</f>
        <v>0</v>
      </c>
      <c r="U131" s="126" t="n">
        <f aca="false">I131/$R$3</f>
        <v>0</v>
      </c>
      <c r="V131" s="126" t="n">
        <f aca="false">M131/$R$3</f>
        <v>0</v>
      </c>
      <c r="W131" s="126" t="n">
        <f aca="false">N131/$R$3</f>
        <v>1197.025</v>
      </c>
    </row>
    <row r="132" customFormat="false" ht="12.75" hidden="false" customHeight="false" outlineLevel="0" collapsed="false">
      <c r="A132" s="120" t="n">
        <f aca="false">A131+1</f>
        <v>37018</v>
      </c>
      <c r="B132" s="131" t="str">
        <f aca="false">INDEX('[4]Master Data'!$A$2:$B$8,MATCH(WEEKDAY('SC Gas MTM'!A132,3),'[4]Master Data'!$A$2:$A$8,0),2)</f>
        <v>M</v>
      </c>
      <c r="D132" s="124" t="n">
        <v>0</v>
      </c>
      <c r="E132" s="124" t="n">
        <v>0</v>
      </c>
      <c r="F132" s="124" t="n">
        <v>0</v>
      </c>
      <c r="G132" s="124" t="n">
        <v>0</v>
      </c>
      <c r="I132" s="124" t="n">
        <f aca="false">IF(MONTH($A132)=MONTH($A131),IF(G132=0,I131,G132),G132)</f>
        <v>0</v>
      </c>
      <c r="J132" s="124" t="n">
        <f aca="false">IF(MONTH($A132)=MONTH($A131),SUM(I132-I131),I132)</f>
        <v>0</v>
      </c>
      <c r="K132" s="124" t="n">
        <f aca="false">IF(WEEKDAY(A132,3)&gt;4,0,(IF(A132&lt;K$2,0,IF(A132&lt;=K$3,1,0))))</f>
        <v>0</v>
      </c>
      <c r="L132" s="124" t="n">
        <f aca="false">J132*K132</f>
        <v>0</v>
      </c>
      <c r="M132" s="124" t="n">
        <f aca="false">SUM(J$97:J132)</f>
        <v>0</v>
      </c>
      <c r="N132" s="124" t="n">
        <f aca="false">SUM(J$6:J132)</f>
        <v>1197025</v>
      </c>
      <c r="P132" s="124" t="n">
        <f aca="false">D132/P$3</f>
        <v>0</v>
      </c>
      <c r="Q132" s="124" t="n">
        <f aca="false">E132/P$3</f>
        <v>0</v>
      </c>
      <c r="R132" s="124" t="n">
        <f aca="false">F132/R$3</f>
        <v>0</v>
      </c>
      <c r="S132" s="126" t="n">
        <f aca="false">J132/$R$3</f>
        <v>0</v>
      </c>
      <c r="T132" s="126" t="n">
        <f aca="false">L132/$R$3</f>
        <v>0</v>
      </c>
      <c r="U132" s="126" t="n">
        <f aca="false">I132/$R$3</f>
        <v>0</v>
      </c>
      <c r="V132" s="126" t="n">
        <f aca="false">M132/$R$3</f>
        <v>0</v>
      </c>
      <c r="W132" s="126" t="n">
        <f aca="false">N132/$R$3</f>
        <v>1197.025</v>
      </c>
    </row>
    <row r="133" customFormat="false" ht="12.75" hidden="false" customHeight="false" outlineLevel="0" collapsed="false">
      <c r="A133" s="120" t="n">
        <f aca="false">A132+1</f>
        <v>37019</v>
      </c>
      <c r="B133" s="131" t="str">
        <f aca="false">INDEX('[4]Master Data'!$A$2:$B$8,MATCH(WEEKDAY('SC Gas MTM'!A133,3),'[4]Master Data'!$A$2:$A$8,0),2)</f>
        <v>T</v>
      </c>
      <c r="D133" s="124" t="n">
        <v>0</v>
      </c>
      <c r="E133" s="124" t="n">
        <v>0</v>
      </c>
      <c r="F133" s="124" t="n">
        <v>0</v>
      </c>
      <c r="G133" s="124" t="n">
        <v>0</v>
      </c>
      <c r="I133" s="124" t="n">
        <f aca="false">IF(MONTH($A133)=MONTH($A132),IF(G133=0,I132,G133),G133)</f>
        <v>0</v>
      </c>
      <c r="J133" s="124" t="n">
        <f aca="false">IF(MONTH($A133)=MONTH($A132),SUM(I133-I132),I133)</f>
        <v>0</v>
      </c>
      <c r="K133" s="124" t="n">
        <f aca="false">IF(WEEKDAY(A133,3)&gt;4,0,(IF(A133&lt;K$2,0,IF(A133&lt;=K$3,1,0))))</f>
        <v>0</v>
      </c>
      <c r="L133" s="124" t="n">
        <f aca="false">J133*K133</f>
        <v>0</v>
      </c>
      <c r="M133" s="124" t="n">
        <f aca="false">SUM(J$97:J133)</f>
        <v>0</v>
      </c>
      <c r="N133" s="124" t="n">
        <f aca="false">SUM(J$6:J133)</f>
        <v>1197025</v>
      </c>
      <c r="P133" s="124" t="n">
        <f aca="false">D133/P$3</f>
        <v>0</v>
      </c>
      <c r="Q133" s="124" t="n">
        <f aca="false">E133/P$3</f>
        <v>0</v>
      </c>
      <c r="R133" s="124" t="n">
        <f aca="false">F133/R$3</f>
        <v>0</v>
      </c>
      <c r="S133" s="126" t="n">
        <f aca="false">J133/$R$3</f>
        <v>0</v>
      </c>
      <c r="T133" s="126" t="n">
        <f aca="false">L133/$R$3</f>
        <v>0</v>
      </c>
      <c r="U133" s="126" t="n">
        <f aca="false">I133/$R$3</f>
        <v>0</v>
      </c>
      <c r="V133" s="126" t="n">
        <f aca="false">M133/$R$3</f>
        <v>0</v>
      </c>
      <c r="W133" s="126" t="n">
        <f aca="false">N133/$R$3</f>
        <v>1197.025</v>
      </c>
    </row>
    <row r="134" customFormat="false" ht="12.75" hidden="false" customHeight="false" outlineLevel="0" collapsed="false">
      <c r="A134" s="120" t="n">
        <f aca="false">A133+1</f>
        <v>37020</v>
      </c>
      <c r="B134" s="131" t="str">
        <f aca="false">INDEX('[4]Master Data'!$A$2:$B$8,MATCH(WEEKDAY('SC Gas MTM'!A134,3),'[4]Master Data'!$A$2:$A$8,0),2)</f>
        <v>W</v>
      </c>
      <c r="D134" s="124" t="n">
        <v>0</v>
      </c>
      <c r="E134" s="124" t="n">
        <v>0</v>
      </c>
      <c r="F134" s="124" t="n">
        <v>0</v>
      </c>
      <c r="G134" s="124" t="n">
        <v>0</v>
      </c>
      <c r="I134" s="124" t="n">
        <f aca="false">IF(MONTH($A134)=MONTH($A133),IF(G134=0,I133,G134),G134)</f>
        <v>0</v>
      </c>
      <c r="J134" s="124" t="n">
        <f aca="false">IF(MONTH($A134)=MONTH($A133),SUM(I134-I133),I134)</f>
        <v>0</v>
      </c>
      <c r="K134" s="124" t="n">
        <f aca="false">IF(WEEKDAY(A134,3)&gt;4,0,(IF(A134&lt;K$2,0,IF(A134&lt;=K$3,1,0))))</f>
        <v>0</v>
      </c>
      <c r="L134" s="124" t="n">
        <f aca="false">J134*K134</f>
        <v>0</v>
      </c>
      <c r="M134" s="124" t="n">
        <f aca="false">SUM(J$97:J134)</f>
        <v>0</v>
      </c>
      <c r="N134" s="124" t="n">
        <f aca="false">SUM(J$6:J134)</f>
        <v>1197025</v>
      </c>
      <c r="P134" s="124" t="n">
        <f aca="false">D134/P$3</f>
        <v>0</v>
      </c>
      <c r="Q134" s="124" t="n">
        <f aca="false">E134/P$3</f>
        <v>0</v>
      </c>
      <c r="R134" s="124" t="n">
        <f aca="false">F134/R$3</f>
        <v>0</v>
      </c>
      <c r="S134" s="126" t="n">
        <f aca="false">J134/$R$3</f>
        <v>0</v>
      </c>
      <c r="T134" s="126" t="n">
        <f aca="false">L134/$R$3</f>
        <v>0</v>
      </c>
      <c r="U134" s="126" t="n">
        <f aca="false">I134/$R$3</f>
        <v>0</v>
      </c>
      <c r="V134" s="126" t="n">
        <f aca="false">M134/$R$3</f>
        <v>0</v>
      </c>
      <c r="W134" s="126" t="n">
        <f aca="false">N134/$R$3</f>
        <v>1197.025</v>
      </c>
    </row>
    <row r="135" customFormat="false" ht="12.75" hidden="false" customHeight="false" outlineLevel="0" collapsed="false">
      <c r="A135" s="120" t="n">
        <f aca="false">A134+1</f>
        <v>37021</v>
      </c>
      <c r="B135" s="131" t="str">
        <f aca="false">INDEX('[4]Master Data'!$A$2:$B$8,MATCH(WEEKDAY('SC Gas MTM'!A135,3),'[4]Master Data'!$A$2:$A$8,0),2)</f>
        <v>Th</v>
      </c>
      <c r="D135" s="124" t="n">
        <v>0</v>
      </c>
      <c r="E135" s="124" t="n">
        <v>0</v>
      </c>
      <c r="F135" s="124" t="n">
        <v>0</v>
      </c>
      <c r="G135" s="124" t="n">
        <v>0</v>
      </c>
      <c r="I135" s="124" t="n">
        <f aca="false">IF(MONTH($A135)=MONTH($A134),IF(G135=0,I134,G135),G135)</f>
        <v>0</v>
      </c>
      <c r="J135" s="124" t="n">
        <f aca="false">IF(MONTH($A135)=MONTH($A134),SUM(I135-I134),I135)</f>
        <v>0</v>
      </c>
      <c r="K135" s="124" t="n">
        <f aca="false">IF(WEEKDAY(A135,3)&gt;4,0,(IF(A135&lt;K$2,0,IF(A135&lt;=K$3,1,0))))</f>
        <v>0</v>
      </c>
      <c r="L135" s="124" t="n">
        <f aca="false">J135*K135</f>
        <v>0</v>
      </c>
      <c r="M135" s="124" t="n">
        <f aca="false">SUM(J$97:J135)</f>
        <v>0</v>
      </c>
      <c r="N135" s="124" t="n">
        <f aca="false">SUM(J$6:J135)</f>
        <v>1197025</v>
      </c>
      <c r="P135" s="124" t="n">
        <f aca="false">D135/P$3</f>
        <v>0</v>
      </c>
      <c r="Q135" s="124" t="n">
        <f aca="false">E135/P$3</f>
        <v>0</v>
      </c>
      <c r="R135" s="124" t="n">
        <f aca="false">F135/R$3</f>
        <v>0</v>
      </c>
      <c r="S135" s="126" t="n">
        <f aca="false">J135/$R$3</f>
        <v>0</v>
      </c>
      <c r="T135" s="126" t="n">
        <f aca="false">L135/$R$3</f>
        <v>0</v>
      </c>
      <c r="U135" s="126" t="n">
        <f aca="false">I135/$R$3</f>
        <v>0</v>
      </c>
      <c r="V135" s="126" t="n">
        <f aca="false">M135/$R$3</f>
        <v>0</v>
      </c>
      <c r="W135" s="126" t="n">
        <f aca="false">N135/$R$3</f>
        <v>1197.025</v>
      </c>
    </row>
    <row r="136" customFormat="false" ht="12.75" hidden="false" customHeight="false" outlineLevel="0" collapsed="false">
      <c r="A136" s="120" t="n">
        <f aca="false">A135+1</f>
        <v>37022</v>
      </c>
      <c r="B136" s="131" t="str">
        <f aca="false">INDEX('[4]Master Data'!$A$2:$B$8,MATCH(WEEKDAY('SC Gas MTM'!A136,3),'[4]Master Data'!$A$2:$A$8,0),2)</f>
        <v>F</v>
      </c>
      <c r="D136" s="124" t="n">
        <v>0</v>
      </c>
      <c r="E136" s="124" t="n">
        <v>0</v>
      </c>
      <c r="F136" s="124" t="n">
        <v>0</v>
      </c>
      <c r="G136" s="124" t="n">
        <v>0</v>
      </c>
      <c r="I136" s="124" t="n">
        <f aca="false">IF(MONTH($A136)=MONTH($A135),IF(G136=0,I135,G136),G136)</f>
        <v>0</v>
      </c>
      <c r="J136" s="124" t="n">
        <f aca="false">IF(MONTH($A136)=MONTH($A135),SUM(I136-I135),I136)</f>
        <v>0</v>
      </c>
      <c r="K136" s="124" t="n">
        <f aca="false">IF(WEEKDAY(A136,3)&gt;4,0,(IF(A136&lt;K$2,0,IF(A136&lt;=K$3,1,0))))</f>
        <v>0</v>
      </c>
      <c r="L136" s="124" t="n">
        <f aca="false">J136*K136</f>
        <v>0</v>
      </c>
      <c r="M136" s="124" t="n">
        <f aca="false">SUM(J$97:J136)</f>
        <v>0</v>
      </c>
      <c r="N136" s="124" t="n">
        <f aca="false">SUM(J$6:J136)</f>
        <v>1197025</v>
      </c>
      <c r="P136" s="124" t="n">
        <f aca="false">D136/P$3</f>
        <v>0</v>
      </c>
      <c r="Q136" s="124" t="n">
        <f aca="false">E136/P$3</f>
        <v>0</v>
      </c>
      <c r="R136" s="124" t="n">
        <f aca="false">F136/R$3</f>
        <v>0</v>
      </c>
      <c r="S136" s="126" t="n">
        <f aca="false">J136/$R$3</f>
        <v>0</v>
      </c>
      <c r="T136" s="126" t="n">
        <f aca="false">L136/$R$3</f>
        <v>0</v>
      </c>
      <c r="U136" s="126" t="n">
        <f aca="false">I136/$R$3</f>
        <v>0</v>
      </c>
      <c r="V136" s="126" t="n">
        <f aca="false">M136/$R$3</f>
        <v>0</v>
      </c>
      <c r="W136" s="126" t="n">
        <f aca="false">N136/$R$3</f>
        <v>1197.025</v>
      </c>
    </row>
    <row r="137" customFormat="false" ht="12.75" hidden="false" customHeight="false" outlineLevel="0" collapsed="false">
      <c r="A137" s="120" t="n">
        <f aca="false">A136+1</f>
        <v>37023</v>
      </c>
      <c r="B137" s="131" t="str">
        <f aca="false">INDEX('[4]Master Data'!$A$2:$B$8,MATCH(WEEKDAY('SC Gas MTM'!A137,3),'[4]Master Data'!$A$2:$A$8,0),2)</f>
        <v>Sa</v>
      </c>
      <c r="D137" s="124" t="n">
        <v>0</v>
      </c>
      <c r="E137" s="124" t="n">
        <v>0</v>
      </c>
      <c r="F137" s="124" t="n">
        <v>0</v>
      </c>
      <c r="G137" s="124" t="n">
        <v>0</v>
      </c>
      <c r="I137" s="124" t="n">
        <f aca="false">IF(MONTH($A137)=MONTH($A136),IF(G137=0,I136,G137),G137)</f>
        <v>0</v>
      </c>
      <c r="J137" s="124" t="n">
        <f aca="false">IF(MONTH($A137)=MONTH($A136),SUM(I137-I136),I137)</f>
        <v>0</v>
      </c>
      <c r="K137" s="124" t="n">
        <f aca="false">IF(WEEKDAY(A137,3)&gt;4,0,(IF(A137&lt;K$2,0,IF(A137&lt;=K$3,1,0))))</f>
        <v>0</v>
      </c>
      <c r="L137" s="124" t="n">
        <f aca="false">J137*K137</f>
        <v>0</v>
      </c>
      <c r="M137" s="124" t="n">
        <f aca="false">SUM(J$97:J137)</f>
        <v>0</v>
      </c>
      <c r="N137" s="124" t="n">
        <f aca="false">SUM(J$6:J137)</f>
        <v>1197025</v>
      </c>
      <c r="P137" s="124" t="n">
        <f aca="false">D137/P$3</f>
        <v>0</v>
      </c>
      <c r="Q137" s="124" t="n">
        <f aca="false">E137/P$3</f>
        <v>0</v>
      </c>
      <c r="R137" s="124" t="n">
        <f aca="false">F137/R$3</f>
        <v>0</v>
      </c>
      <c r="S137" s="126" t="n">
        <f aca="false">J137/$R$3</f>
        <v>0</v>
      </c>
      <c r="T137" s="126" t="n">
        <f aca="false">L137/$R$3</f>
        <v>0</v>
      </c>
      <c r="U137" s="126" t="n">
        <f aca="false">I137/$R$3</f>
        <v>0</v>
      </c>
      <c r="V137" s="126" t="n">
        <f aca="false">M137/$R$3</f>
        <v>0</v>
      </c>
      <c r="W137" s="126" t="n">
        <f aca="false">N137/$R$3</f>
        <v>1197.025</v>
      </c>
    </row>
    <row r="138" customFormat="false" ht="12.75" hidden="false" customHeight="false" outlineLevel="0" collapsed="false">
      <c r="A138" s="120" t="n">
        <f aca="false">A137+1</f>
        <v>37024</v>
      </c>
      <c r="B138" s="131" t="str">
        <f aca="false">INDEX('[4]Master Data'!$A$2:$B$8,MATCH(WEEKDAY('SC Gas MTM'!A138,3),'[4]Master Data'!$A$2:$A$8,0),2)</f>
        <v>Su</v>
      </c>
      <c r="D138" s="124" t="n">
        <v>0</v>
      </c>
      <c r="E138" s="124" t="n">
        <v>0</v>
      </c>
      <c r="F138" s="124" t="n">
        <v>0</v>
      </c>
      <c r="G138" s="124" t="n">
        <v>0</v>
      </c>
      <c r="I138" s="124" t="n">
        <f aca="false">IF(MONTH($A138)=MONTH($A137),IF(G138=0,I137,G138),G138)</f>
        <v>0</v>
      </c>
      <c r="J138" s="124" t="n">
        <f aca="false">IF(MONTH($A138)=MONTH($A137),SUM(I138-I137),I138)</f>
        <v>0</v>
      </c>
      <c r="K138" s="124" t="n">
        <f aca="false">IF(WEEKDAY(A138,3)&gt;4,0,(IF(A138&lt;K$2,0,IF(A138&lt;=K$3,1,0))))</f>
        <v>0</v>
      </c>
      <c r="L138" s="124" t="n">
        <f aca="false">J138*K138</f>
        <v>0</v>
      </c>
      <c r="M138" s="124" t="n">
        <f aca="false">SUM(J$97:J138)</f>
        <v>0</v>
      </c>
      <c r="N138" s="124" t="n">
        <f aca="false">SUM(J$6:J138)</f>
        <v>1197025</v>
      </c>
      <c r="P138" s="124" t="n">
        <f aca="false">D138/P$3</f>
        <v>0</v>
      </c>
      <c r="Q138" s="124" t="n">
        <f aca="false">E138/P$3</f>
        <v>0</v>
      </c>
      <c r="R138" s="124" t="n">
        <f aca="false">F138/R$3</f>
        <v>0</v>
      </c>
      <c r="S138" s="126" t="n">
        <f aca="false">J138/$R$3</f>
        <v>0</v>
      </c>
      <c r="T138" s="126" t="n">
        <f aca="false">L138/$R$3</f>
        <v>0</v>
      </c>
      <c r="U138" s="126" t="n">
        <f aca="false">I138/$R$3</f>
        <v>0</v>
      </c>
      <c r="V138" s="126" t="n">
        <f aca="false">M138/$R$3</f>
        <v>0</v>
      </c>
      <c r="W138" s="126" t="n">
        <f aca="false">N138/$R$3</f>
        <v>1197.025</v>
      </c>
    </row>
    <row r="139" customFormat="false" ht="12.75" hidden="false" customHeight="false" outlineLevel="0" collapsed="false">
      <c r="A139" s="120" t="n">
        <f aca="false">A138+1</f>
        <v>37025</v>
      </c>
      <c r="B139" s="131" t="str">
        <f aca="false">INDEX('[4]Master Data'!$A$2:$B$8,MATCH(WEEKDAY('SC Gas MTM'!A139,3),'[4]Master Data'!$A$2:$A$8,0),2)</f>
        <v>M</v>
      </c>
      <c r="D139" s="124" t="n">
        <v>0</v>
      </c>
      <c r="E139" s="124" t="n">
        <v>0</v>
      </c>
      <c r="F139" s="124" t="n">
        <v>0</v>
      </c>
      <c r="G139" s="124" t="n">
        <v>0</v>
      </c>
      <c r="I139" s="124" t="n">
        <f aca="false">IF(MONTH($A139)=MONTH($A138),IF(G139=0,I138,G139),G139)</f>
        <v>0</v>
      </c>
      <c r="J139" s="124" t="n">
        <f aca="false">IF(MONTH($A139)=MONTH($A138),SUM(I139-I138),I139)</f>
        <v>0</v>
      </c>
      <c r="K139" s="124" t="n">
        <f aca="false">IF(WEEKDAY(A139,3)&gt;4,0,(IF(A139&lt;K$2,0,IF(A139&lt;=K$3,1,0))))</f>
        <v>0</v>
      </c>
      <c r="L139" s="124" t="n">
        <f aca="false">J139*K139</f>
        <v>0</v>
      </c>
      <c r="M139" s="124" t="n">
        <f aca="false">SUM(J$97:J139)</f>
        <v>0</v>
      </c>
      <c r="N139" s="124" t="n">
        <f aca="false">SUM(J$6:J139)</f>
        <v>1197025</v>
      </c>
      <c r="P139" s="124" t="n">
        <f aca="false">D139/P$3</f>
        <v>0</v>
      </c>
      <c r="Q139" s="124" t="n">
        <f aca="false">E139/P$3</f>
        <v>0</v>
      </c>
      <c r="R139" s="124" t="n">
        <f aca="false">F139/R$3</f>
        <v>0</v>
      </c>
      <c r="S139" s="126" t="n">
        <f aca="false">J139/$R$3</f>
        <v>0</v>
      </c>
      <c r="T139" s="126" t="n">
        <f aca="false">L139/$R$3</f>
        <v>0</v>
      </c>
      <c r="U139" s="126" t="n">
        <f aca="false">I139/$R$3</f>
        <v>0</v>
      </c>
      <c r="V139" s="126" t="n">
        <f aca="false">M139/$R$3</f>
        <v>0</v>
      </c>
      <c r="W139" s="126" t="n">
        <f aca="false">N139/$R$3</f>
        <v>1197.025</v>
      </c>
    </row>
    <row r="140" customFormat="false" ht="12.75" hidden="false" customHeight="false" outlineLevel="0" collapsed="false">
      <c r="A140" s="120" t="n">
        <f aca="false">A139+1</f>
        <v>37026</v>
      </c>
      <c r="B140" s="131" t="str">
        <f aca="false">INDEX('[4]Master Data'!$A$2:$B$8,MATCH(WEEKDAY('SC Gas MTM'!A140,3),'[4]Master Data'!$A$2:$A$8,0),2)</f>
        <v>T</v>
      </c>
      <c r="D140" s="124" t="n">
        <v>0</v>
      </c>
      <c r="E140" s="124" t="n">
        <v>0</v>
      </c>
      <c r="F140" s="124" t="n">
        <v>0</v>
      </c>
      <c r="G140" s="124" t="n">
        <v>0</v>
      </c>
      <c r="I140" s="124" t="n">
        <f aca="false">IF(MONTH($A140)=MONTH($A139),IF(G140=0,I139,G140),G140)</f>
        <v>0</v>
      </c>
      <c r="J140" s="124" t="n">
        <f aca="false">IF(MONTH($A140)=MONTH($A139),SUM(I140-I139),I140)</f>
        <v>0</v>
      </c>
      <c r="K140" s="124" t="n">
        <f aca="false">IF(WEEKDAY(A140,3)&gt;4,0,(IF(A140&lt;K$2,0,IF(A140&lt;=K$3,1,0))))</f>
        <v>0</v>
      </c>
      <c r="L140" s="124" t="n">
        <f aca="false">J140*K140</f>
        <v>0</v>
      </c>
      <c r="M140" s="124" t="n">
        <f aca="false">SUM(J$97:J140)</f>
        <v>0</v>
      </c>
      <c r="N140" s="124" t="n">
        <f aca="false">SUM(J$6:J140)</f>
        <v>1197025</v>
      </c>
      <c r="P140" s="124" t="n">
        <f aca="false">D140/P$3</f>
        <v>0</v>
      </c>
      <c r="Q140" s="124" t="n">
        <f aca="false">E140/P$3</f>
        <v>0</v>
      </c>
      <c r="R140" s="124" t="n">
        <f aca="false">F140/R$3</f>
        <v>0</v>
      </c>
      <c r="S140" s="126" t="n">
        <f aca="false">J140/$R$3</f>
        <v>0</v>
      </c>
      <c r="T140" s="126" t="n">
        <f aca="false">L140/$R$3</f>
        <v>0</v>
      </c>
      <c r="U140" s="126" t="n">
        <f aca="false">I140/$R$3</f>
        <v>0</v>
      </c>
      <c r="V140" s="126" t="n">
        <f aca="false">M140/$R$3</f>
        <v>0</v>
      </c>
      <c r="W140" s="126" t="n">
        <f aca="false">N140/$R$3</f>
        <v>1197.025</v>
      </c>
    </row>
    <row r="141" customFormat="false" ht="12.75" hidden="false" customHeight="false" outlineLevel="0" collapsed="false">
      <c r="A141" s="120" t="n">
        <f aca="false">A140+1</f>
        <v>37027</v>
      </c>
      <c r="B141" s="131" t="str">
        <f aca="false">INDEX('[4]Master Data'!$A$2:$B$8,MATCH(WEEKDAY('SC Gas MTM'!A141,3),'[4]Master Data'!$A$2:$A$8,0),2)</f>
        <v>W</v>
      </c>
      <c r="D141" s="124" t="n">
        <v>0</v>
      </c>
      <c r="E141" s="124" t="n">
        <v>0</v>
      </c>
      <c r="F141" s="124" t="n">
        <v>0</v>
      </c>
      <c r="G141" s="124" t="n">
        <v>0</v>
      </c>
      <c r="I141" s="124" t="n">
        <f aca="false">IF(MONTH($A141)=MONTH($A140),IF(G141=0,I140,G141),G141)</f>
        <v>0</v>
      </c>
      <c r="J141" s="124" t="n">
        <f aca="false">IF(MONTH($A141)=MONTH($A140),SUM(I141-I140),I141)</f>
        <v>0</v>
      </c>
      <c r="K141" s="124" t="n">
        <f aca="false">IF(WEEKDAY(A141,3)&gt;4,0,(IF(A141&lt;K$2,0,IF(A141&lt;=K$3,1,0))))</f>
        <v>0</v>
      </c>
      <c r="L141" s="124" t="n">
        <f aca="false">J141*K141</f>
        <v>0</v>
      </c>
      <c r="M141" s="124" t="n">
        <f aca="false">SUM(J$97:J141)</f>
        <v>0</v>
      </c>
      <c r="N141" s="124" t="n">
        <f aca="false">SUM(J$6:J141)</f>
        <v>1197025</v>
      </c>
      <c r="P141" s="124" t="n">
        <f aca="false">D141/P$3</f>
        <v>0</v>
      </c>
      <c r="Q141" s="124" t="n">
        <f aca="false">E141/P$3</f>
        <v>0</v>
      </c>
      <c r="R141" s="124" t="n">
        <f aca="false">F141/R$3</f>
        <v>0</v>
      </c>
      <c r="S141" s="126" t="n">
        <f aca="false">J141/$R$3</f>
        <v>0</v>
      </c>
      <c r="T141" s="126" t="n">
        <f aca="false">L141/$R$3</f>
        <v>0</v>
      </c>
      <c r="U141" s="126" t="n">
        <f aca="false">I141/$R$3</f>
        <v>0</v>
      </c>
      <c r="V141" s="126" t="n">
        <f aca="false">M141/$R$3</f>
        <v>0</v>
      </c>
      <c r="W141" s="126" t="n">
        <f aca="false">N141/$R$3</f>
        <v>1197.025</v>
      </c>
    </row>
    <row r="142" customFormat="false" ht="12.75" hidden="false" customHeight="false" outlineLevel="0" collapsed="false">
      <c r="A142" s="120" t="n">
        <f aca="false">A141+1</f>
        <v>37028</v>
      </c>
      <c r="B142" s="131" t="str">
        <f aca="false">INDEX('[4]Master Data'!$A$2:$B$8,MATCH(WEEKDAY('SC Gas MTM'!A142,3),'[4]Master Data'!$A$2:$A$8,0),2)</f>
        <v>Th</v>
      </c>
      <c r="D142" s="124" t="n">
        <v>0</v>
      </c>
      <c r="E142" s="124" t="n">
        <v>0</v>
      </c>
      <c r="F142" s="124" t="n">
        <v>0</v>
      </c>
      <c r="G142" s="124" t="n">
        <v>0</v>
      </c>
      <c r="I142" s="124" t="n">
        <f aca="false">IF(MONTH($A142)=MONTH($A141),IF(G142=0,I141,G142),G142)</f>
        <v>0</v>
      </c>
      <c r="J142" s="124" t="n">
        <f aca="false">IF(MONTH($A142)=MONTH($A141),SUM(I142-I141),I142)</f>
        <v>0</v>
      </c>
      <c r="K142" s="124" t="n">
        <f aca="false">IF(WEEKDAY(A142,3)&gt;4,0,(IF(A142&lt;K$2,0,IF(A142&lt;=K$3,1,0))))</f>
        <v>0</v>
      </c>
      <c r="L142" s="124" t="n">
        <f aca="false">J142*K142</f>
        <v>0</v>
      </c>
      <c r="M142" s="124" t="n">
        <f aca="false">SUM(J$97:J142)</f>
        <v>0</v>
      </c>
      <c r="N142" s="124" t="n">
        <f aca="false">SUM(J$6:J142)</f>
        <v>1197025</v>
      </c>
      <c r="P142" s="124" t="n">
        <f aca="false">D142/P$3</f>
        <v>0</v>
      </c>
      <c r="Q142" s="124" t="n">
        <f aca="false">E142/P$3</f>
        <v>0</v>
      </c>
      <c r="R142" s="124" t="n">
        <f aca="false">F142/R$3</f>
        <v>0</v>
      </c>
      <c r="S142" s="126" t="n">
        <f aca="false">J142/$R$3</f>
        <v>0</v>
      </c>
      <c r="T142" s="126" t="n">
        <f aca="false">L142/$R$3</f>
        <v>0</v>
      </c>
      <c r="U142" s="126" t="n">
        <f aca="false">I142/$R$3</f>
        <v>0</v>
      </c>
      <c r="V142" s="126" t="n">
        <f aca="false">M142/$R$3</f>
        <v>0</v>
      </c>
      <c r="W142" s="126" t="n">
        <f aca="false">N142/$R$3</f>
        <v>1197.025</v>
      </c>
    </row>
    <row r="143" customFormat="false" ht="12.75" hidden="false" customHeight="false" outlineLevel="0" collapsed="false">
      <c r="A143" s="120" t="n">
        <f aca="false">A142+1</f>
        <v>37029</v>
      </c>
      <c r="B143" s="131" t="str">
        <f aca="false">INDEX('[4]Master Data'!$A$2:$B$8,MATCH(WEEKDAY('SC Gas MTM'!A143,3),'[4]Master Data'!$A$2:$A$8,0),2)</f>
        <v>F</v>
      </c>
      <c r="D143" s="124" t="n">
        <v>0</v>
      </c>
      <c r="E143" s="124" t="n">
        <v>0</v>
      </c>
      <c r="F143" s="124" t="n">
        <v>0</v>
      </c>
      <c r="G143" s="124" t="n">
        <v>0</v>
      </c>
      <c r="I143" s="124" t="n">
        <f aca="false">IF(MONTH($A143)=MONTH($A142),IF(G143=0,I142,G143),G143)</f>
        <v>0</v>
      </c>
      <c r="J143" s="124" t="n">
        <f aca="false">IF(MONTH($A143)=MONTH($A142),SUM(I143-I142),I143)</f>
        <v>0</v>
      </c>
      <c r="K143" s="124" t="n">
        <f aca="false">IF(WEEKDAY(A143,3)&gt;4,0,(IF(A143&lt;K$2,0,IF(A143&lt;=K$3,1,0))))</f>
        <v>0</v>
      </c>
      <c r="L143" s="124" t="n">
        <f aca="false">J143*K143</f>
        <v>0</v>
      </c>
      <c r="M143" s="124" t="n">
        <f aca="false">SUM(J$97:J143)</f>
        <v>0</v>
      </c>
      <c r="N143" s="124" t="n">
        <f aca="false">SUM(J$6:J143)</f>
        <v>1197025</v>
      </c>
      <c r="P143" s="124" t="n">
        <f aca="false">D143/P$3</f>
        <v>0</v>
      </c>
      <c r="Q143" s="124" t="n">
        <f aca="false">E143/P$3</f>
        <v>0</v>
      </c>
      <c r="R143" s="124" t="n">
        <f aca="false">F143/R$3</f>
        <v>0</v>
      </c>
      <c r="S143" s="126" t="n">
        <f aca="false">J143/$R$3</f>
        <v>0</v>
      </c>
      <c r="T143" s="126" t="n">
        <f aca="false">L143/$R$3</f>
        <v>0</v>
      </c>
      <c r="U143" s="126" t="n">
        <f aca="false">I143/$R$3</f>
        <v>0</v>
      </c>
      <c r="V143" s="126" t="n">
        <f aca="false">M143/$R$3</f>
        <v>0</v>
      </c>
      <c r="W143" s="126" t="n">
        <f aca="false">N143/$R$3</f>
        <v>1197.025</v>
      </c>
    </row>
    <row r="144" customFormat="false" ht="12.75" hidden="false" customHeight="false" outlineLevel="0" collapsed="false">
      <c r="A144" s="120" t="n">
        <f aca="false">A143+1</f>
        <v>37030</v>
      </c>
      <c r="B144" s="131" t="str">
        <f aca="false">INDEX('[4]Master Data'!$A$2:$B$8,MATCH(WEEKDAY('SC Gas MTM'!A144,3),'[4]Master Data'!$A$2:$A$8,0),2)</f>
        <v>Sa</v>
      </c>
      <c r="D144" s="124" t="n">
        <v>0</v>
      </c>
      <c r="E144" s="124" t="n">
        <v>0</v>
      </c>
      <c r="F144" s="124" t="n">
        <v>0</v>
      </c>
      <c r="G144" s="124" t="n">
        <v>0</v>
      </c>
      <c r="I144" s="124" t="n">
        <f aca="false">IF(MONTH($A144)=MONTH($A143),IF(G144=0,I143,G144),G144)</f>
        <v>0</v>
      </c>
      <c r="J144" s="124" t="n">
        <f aca="false">IF(MONTH($A144)=MONTH($A143),SUM(I144-I143),I144)</f>
        <v>0</v>
      </c>
      <c r="K144" s="124" t="n">
        <f aca="false">IF(WEEKDAY(A144,3)&gt;4,0,(IF(A144&lt;K$2,0,IF(A144&lt;=K$3,1,0))))</f>
        <v>0</v>
      </c>
      <c r="L144" s="124" t="n">
        <f aca="false">J144*K144</f>
        <v>0</v>
      </c>
      <c r="M144" s="124" t="n">
        <f aca="false">SUM(J$97:J144)</f>
        <v>0</v>
      </c>
      <c r="N144" s="124" t="n">
        <f aca="false">SUM(J$6:J144)</f>
        <v>1197025</v>
      </c>
      <c r="P144" s="124" t="n">
        <f aca="false">D144/P$3</f>
        <v>0</v>
      </c>
      <c r="Q144" s="124" t="n">
        <f aca="false">E144/P$3</f>
        <v>0</v>
      </c>
      <c r="R144" s="124" t="n">
        <f aca="false">F144/R$3</f>
        <v>0</v>
      </c>
      <c r="S144" s="126" t="n">
        <f aca="false">J144/$R$3</f>
        <v>0</v>
      </c>
      <c r="T144" s="126" t="n">
        <f aca="false">L144/$R$3</f>
        <v>0</v>
      </c>
      <c r="U144" s="126" t="n">
        <f aca="false">I144/$R$3</f>
        <v>0</v>
      </c>
      <c r="V144" s="126" t="n">
        <f aca="false">M144/$R$3</f>
        <v>0</v>
      </c>
      <c r="W144" s="126" t="n">
        <f aca="false">N144/$R$3</f>
        <v>1197.025</v>
      </c>
    </row>
    <row r="145" customFormat="false" ht="12.75" hidden="false" customHeight="false" outlineLevel="0" collapsed="false">
      <c r="A145" s="120" t="n">
        <f aca="false">A144+1</f>
        <v>37031</v>
      </c>
      <c r="B145" s="131" t="str">
        <f aca="false">INDEX('[4]Master Data'!$A$2:$B$8,MATCH(WEEKDAY('SC Gas MTM'!A145,3),'[4]Master Data'!$A$2:$A$8,0),2)</f>
        <v>Su</v>
      </c>
      <c r="D145" s="124" t="n">
        <v>0</v>
      </c>
      <c r="E145" s="124" t="n">
        <v>0</v>
      </c>
      <c r="F145" s="124" t="n">
        <v>0</v>
      </c>
      <c r="G145" s="124" t="n">
        <v>0</v>
      </c>
      <c r="I145" s="124" t="n">
        <f aca="false">IF(MONTH($A145)=MONTH($A144),IF(G145=0,I144,G145),G145)</f>
        <v>0</v>
      </c>
      <c r="J145" s="124" t="n">
        <f aca="false">IF(MONTH($A145)=MONTH($A144),SUM(I145-I144),I145)</f>
        <v>0</v>
      </c>
      <c r="K145" s="124" t="n">
        <f aca="false">IF(WEEKDAY(A145,3)&gt;4,0,(IF(A145&lt;K$2,0,IF(A145&lt;=K$3,1,0))))</f>
        <v>0</v>
      </c>
      <c r="L145" s="124" t="n">
        <f aca="false">J145*K145</f>
        <v>0</v>
      </c>
      <c r="M145" s="124" t="n">
        <f aca="false">SUM(J$97:J145)</f>
        <v>0</v>
      </c>
      <c r="N145" s="124" t="n">
        <f aca="false">SUM(J$6:J145)</f>
        <v>1197025</v>
      </c>
      <c r="P145" s="124" t="n">
        <f aca="false">D145/P$3</f>
        <v>0</v>
      </c>
      <c r="Q145" s="124" t="n">
        <f aca="false">E145/P$3</f>
        <v>0</v>
      </c>
      <c r="R145" s="124" t="n">
        <f aca="false">F145/R$3</f>
        <v>0</v>
      </c>
      <c r="S145" s="126" t="n">
        <f aca="false">J145/$R$3</f>
        <v>0</v>
      </c>
      <c r="T145" s="126" t="n">
        <f aca="false">L145/$R$3</f>
        <v>0</v>
      </c>
      <c r="U145" s="126" t="n">
        <f aca="false">I145/$R$3</f>
        <v>0</v>
      </c>
      <c r="V145" s="126" t="n">
        <f aca="false">M145/$R$3</f>
        <v>0</v>
      </c>
      <c r="W145" s="126" t="n">
        <f aca="false">N145/$R$3</f>
        <v>1197.025</v>
      </c>
    </row>
    <row r="146" customFormat="false" ht="12.75" hidden="false" customHeight="false" outlineLevel="0" collapsed="false">
      <c r="A146" s="120" t="n">
        <f aca="false">A145+1</f>
        <v>37032</v>
      </c>
      <c r="B146" s="131" t="str">
        <f aca="false">INDEX('[4]Master Data'!$A$2:$B$8,MATCH(WEEKDAY('SC Gas MTM'!A146,3),'[4]Master Data'!$A$2:$A$8,0),2)</f>
        <v>M</v>
      </c>
      <c r="D146" s="124" t="n">
        <v>0</v>
      </c>
      <c r="E146" s="124" t="n">
        <v>0</v>
      </c>
      <c r="F146" s="124" t="n">
        <v>0</v>
      </c>
      <c r="G146" s="124" t="n">
        <v>0</v>
      </c>
      <c r="I146" s="124" t="n">
        <f aca="false">IF(MONTH($A146)=MONTH($A145),IF(G146=0,I145,G146),G146)</f>
        <v>0</v>
      </c>
      <c r="J146" s="124" t="n">
        <f aca="false">IF(MONTH($A146)=MONTH($A145),SUM(I146-I145),I146)</f>
        <v>0</v>
      </c>
      <c r="K146" s="124" t="n">
        <f aca="false">IF(WEEKDAY(A146,3)&gt;4,0,(IF(A146&lt;K$2,0,IF(A146&lt;=K$3,1,0))))</f>
        <v>0</v>
      </c>
      <c r="L146" s="124" t="n">
        <f aca="false">J146*K146</f>
        <v>0</v>
      </c>
      <c r="M146" s="124" t="n">
        <f aca="false">SUM(J$97:J146)</f>
        <v>0</v>
      </c>
      <c r="N146" s="124" t="n">
        <f aca="false">SUM(J$6:J146)</f>
        <v>1197025</v>
      </c>
      <c r="P146" s="124" t="n">
        <f aca="false">D146/P$3</f>
        <v>0</v>
      </c>
      <c r="Q146" s="124" t="n">
        <f aca="false">E146/P$3</f>
        <v>0</v>
      </c>
      <c r="R146" s="124" t="n">
        <f aca="false">F146/R$3</f>
        <v>0</v>
      </c>
      <c r="S146" s="126" t="n">
        <f aca="false">J146/$R$3</f>
        <v>0</v>
      </c>
      <c r="T146" s="126" t="n">
        <f aca="false">L146/$R$3</f>
        <v>0</v>
      </c>
      <c r="U146" s="126" t="n">
        <f aca="false">I146/$R$3</f>
        <v>0</v>
      </c>
      <c r="V146" s="126" t="n">
        <f aca="false">M146/$R$3</f>
        <v>0</v>
      </c>
      <c r="W146" s="126" t="n">
        <f aca="false">N146/$R$3</f>
        <v>1197.025</v>
      </c>
    </row>
    <row r="147" customFormat="false" ht="12.75" hidden="false" customHeight="false" outlineLevel="0" collapsed="false">
      <c r="A147" s="120" t="n">
        <f aca="false">A146+1</f>
        <v>37033</v>
      </c>
      <c r="B147" s="131" t="str">
        <f aca="false">INDEX('[4]Master Data'!$A$2:$B$8,MATCH(WEEKDAY('SC Gas MTM'!A147,3),'[4]Master Data'!$A$2:$A$8,0),2)</f>
        <v>T</v>
      </c>
      <c r="D147" s="124" t="n">
        <v>0</v>
      </c>
      <c r="E147" s="124" t="n">
        <v>0</v>
      </c>
      <c r="F147" s="124" t="n">
        <v>0</v>
      </c>
      <c r="G147" s="124" t="n">
        <v>0</v>
      </c>
      <c r="I147" s="124" t="n">
        <f aca="false">IF(MONTH($A147)=MONTH($A146),IF(G147=0,I146,G147),G147)</f>
        <v>0</v>
      </c>
      <c r="J147" s="124" t="n">
        <f aca="false">IF(MONTH($A147)=MONTH($A146),SUM(I147-I146),I147)</f>
        <v>0</v>
      </c>
      <c r="K147" s="124" t="n">
        <f aca="false">IF(WEEKDAY(A147,3)&gt;4,0,(IF(A147&lt;K$2,0,IF(A147&lt;=K$3,1,0))))</f>
        <v>0</v>
      </c>
      <c r="L147" s="124" t="n">
        <f aca="false">J147*K147</f>
        <v>0</v>
      </c>
      <c r="M147" s="124" t="n">
        <f aca="false">SUM(J$97:J147)</f>
        <v>0</v>
      </c>
      <c r="N147" s="124" t="n">
        <f aca="false">SUM(J$6:J147)</f>
        <v>1197025</v>
      </c>
      <c r="P147" s="124" t="n">
        <f aca="false">D147/P$3</f>
        <v>0</v>
      </c>
      <c r="Q147" s="124" t="n">
        <f aca="false">E147/P$3</f>
        <v>0</v>
      </c>
      <c r="R147" s="124" t="n">
        <f aca="false">F147/R$3</f>
        <v>0</v>
      </c>
      <c r="S147" s="126" t="n">
        <f aca="false">J147/$R$3</f>
        <v>0</v>
      </c>
      <c r="T147" s="126" t="n">
        <f aca="false">L147/$R$3</f>
        <v>0</v>
      </c>
      <c r="U147" s="126" t="n">
        <f aca="false">I147/$R$3</f>
        <v>0</v>
      </c>
      <c r="V147" s="126" t="n">
        <f aca="false">M147/$R$3</f>
        <v>0</v>
      </c>
      <c r="W147" s="126" t="n">
        <f aca="false">N147/$R$3</f>
        <v>1197.025</v>
      </c>
    </row>
    <row r="148" customFormat="false" ht="12.75" hidden="false" customHeight="false" outlineLevel="0" collapsed="false">
      <c r="A148" s="120" t="n">
        <f aca="false">A147+1</f>
        <v>37034</v>
      </c>
      <c r="B148" s="131" t="str">
        <f aca="false">INDEX('[4]Master Data'!$A$2:$B$8,MATCH(WEEKDAY('SC Gas MTM'!A148,3),'[4]Master Data'!$A$2:$A$8,0),2)</f>
        <v>W</v>
      </c>
      <c r="D148" s="124" t="n">
        <v>0</v>
      </c>
      <c r="E148" s="124" t="n">
        <v>0</v>
      </c>
      <c r="F148" s="124" t="n">
        <v>0</v>
      </c>
      <c r="G148" s="124" t="n">
        <v>0</v>
      </c>
      <c r="I148" s="124" t="n">
        <f aca="false">IF(MONTH($A148)=MONTH($A147),IF(G148=0,I147,G148),G148)</f>
        <v>0</v>
      </c>
      <c r="J148" s="124" t="n">
        <f aca="false">IF(MONTH($A148)=MONTH($A147),SUM(I148-I147),I148)</f>
        <v>0</v>
      </c>
      <c r="K148" s="124" t="n">
        <f aca="false">IF(WEEKDAY(A148,3)&gt;4,0,(IF(A148&lt;K$2,0,IF(A148&lt;=K$3,1,0))))</f>
        <v>0</v>
      </c>
      <c r="L148" s="124" t="n">
        <f aca="false">J148*K148</f>
        <v>0</v>
      </c>
      <c r="M148" s="124" t="n">
        <f aca="false">SUM(J$97:J148)</f>
        <v>0</v>
      </c>
      <c r="N148" s="124" t="n">
        <f aca="false">SUM(J$6:J148)</f>
        <v>1197025</v>
      </c>
      <c r="P148" s="124" t="n">
        <f aca="false">D148/P$3</f>
        <v>0</v>
      </c>
      <c r="Q148" s="124" t="n">
        <f aca="false">E148/P$3</f>
        <v>0</v>
      </c>
      <c r="R148" s="124" t="n">
        <f aca="false">F148/R$3</f>
        <v>0</v>
      </c>
      <c r="S148" s="126" t="n">
        <f aca="false">J148/$R$3</f>
        <v>0</v>
      </c>
      <c r="T148" s="126" t="n">
        <f aca="false">L148/$R$3</f>
        <v>0</v>
      </c>
      <c r="U148" s="126" t="n">
        <f aca="false">I148/$R$3</f>
        <v>0</v>
      </c>
      <c r="V148" s="126" t="n">
        <f aca="false">M148/$R$3</f>
        <v>0</v>
      </c>
      <c r="W148" s="126" t="n">
        <f aca="false">N148/$R$3</f>
        <v>1197.025</v>
      </c>
    </row>
    <row r="149" customFormat="false" ht="12.75" hidden="false" customHeight="false" outlineLevel="0" collapsed="false">
      <c r="A149" s="120" t="n">
        <f aca="false">A148+1</f>
        <v>37035</v>
      </c>
      <c r="B149" s="131" t="str">
        <f aca="false">INDEX('[4]Master Data'!$A$2:$B$8,MATCH(WEEKDAY('SC Gas MTM'!A149,3),'[4]Master Data'!$A$2:$A$8,0),2)</f>
        <v>Th</v>
      </c>
      <c r="D149" s="124" t="n">
        <v>0</v>
      </c>
      <c r="E149" s="124" t="n">
        <v>0</v>
      </c>
      <c r="F149" s="124" t="n">
        <v>0</v>
      </c>
      <c r="G149" s="124" t="n">
        <v>0</v>
      </c>
      <c r="I149" s="124" t="n">
        <f aca="false">IF(MONTH($A149)=MONTH($A148),IF(G149=0,I148,G149),G149)</f>
        <v>0</v>
      </c>
      <c r="J149" s="124" t="n">
        <f aca="false">IF(MONTH($A149)=MONTH($A148),SUM(I149-I148),I149)</f>
        <v>0</v>
      </c>
      <c r="K149" s="124" t="n">
        <f aca="false">IF(WEEKDAY(A149,3)&gt;4,0,(IF(A149&lt;K$2,0,IF(A149&lt;=K$3,1,0))))</f>
        <v>0</v>
      </c>
      <c r="L149" s="124" t="n">
        <f aca="false">J149*K149</f>
        <v>0</v>
      </c>
      <c r="M149" s="124" t="n">
        <f aca="false">SUM(J$97:J149)</f>
        <v>0</v>
      </c>
      <c r="N149" s="124" t="n">
        <f aca="false">SUM(J$6:J149)</f>
        <v>1197025</v>
      </c>
      <c r="P149" s="124" t="n">
        <f aca="false">D149/P$3</f>
        <v>0</v>
      </c>
      <c r="Q149" s="124" t="n">
        <f aca="false">E149/P$3</f>
        <v>0</v>
      </c>
      <c r="R149" s="124" t="n">
        <f aca="false">F149/R$3</f>
        <v>0</v>
      </c>
      <c r="S149" s="126" t="n">
        <f aca="false">J149/$R$3</f>
        <v>0</v>
      </c>
      <c r="T149" s="126" t="n">
        <f aca="false">L149/$R$3</f>
        <v>0</v>
      </c>
      <c r="U149" s="126" t="n">
        <f aca="false">I149/$R$3</f>
        <v>0</v>
      </c>
      <c r="V149" s="126" t="n">
        <f aca="false">M149/$R$3</f>
        <v>0</v>
      </c>
      <c r="W149" s="126" t="n">
        <f aca="false">N149/$R$3</f>
        <v>1197.025</v>
      </c>
    </row>
    <row r="150" customFormat="false" ht="12.75" hidden="false" customHeight="false" outlineLevel="0" collapsed="false">
      <c r="A150" s="120" t="n">
        <f aca="false">A149+1</f>
        <v>37036</v>
      </c>
      <c r="B150" s="131" t="str">
        <f aca="false">INDEX('[4]Master Data'!$A$2:$B$8,MATCH(WEEKDAY('SC Gas MTM'!A150,3),'[4]Master Data'!$A$2:$A$8,0),2)</f>
        <v>F</v>
      </c>
      <c r="D150" s="124" t="n">
        <v>0</v>
      </c>
      <c r="E150" s="124" t="n">
        <v>0</v>
      </c>
      <c r="F150" s="124" t="n">
        <v>0</v>
      </c>
      <c r="G150" s="124" t="n">
        <v>0</v>
      </c>
      <c r="I150" s="124" t="n">
        <f aca="false">IF(MONTH($A150)=MONTH($A149),IF(G150=0,I149,G150),G150)</f>
        <v>0</v>
      </c>
      <c r="J150" s="124" t="n">
        <f aca="false">IF(MONTH($A150)=MONTH($A149),SUM(I150-I149),I150)</f>
        <v>0</v>
      </c>
      <c r="K150" s="124" t="n">
        <f aca="false">IF(WEEKDAY(A150,3)&gt;4,0,(IF(A150&lt;K$2,0,IF(A150&lt;=K$3,1,0))))</f>
        <v>0</v>
      </c>
      <c r="L150" s="124" t="n">
        <f aca="false">J150*K150</f>
        <v>0</v>
      </c>
      <c r="M150" s="124" t="n">
        <f aca="false">SUM(J$97:J150)</f>
        <v>0</v>
      </c>
      <c r="N150" s="124" t="n">
        <f aca="false">SUM(J$6:J150)</f>
        <v>1197025</v>
      </c>
      <c r="P150" s="124" t="n">
        <f aca="false">D150/P$3</f>
        <v>0</v>
      </c>
      <c r="Q150" s="124" t="n">
        <f aca="false">E150/P$3</f>
        <v>0</v>
      </c>
      <c r="R150" s="124" t="n">
        <f aca="false">F150/R$3</f>
        <v>0</v>
      </c>
      <c r="S150" s="126" t="n">
        <f aca="false">J150/$R$3</f>
        <v>0</v>
      </c>
      <c r="T150" s="126" t="n">
        <f aca="false">L150/$R$3</f>
        <v>0</v>
      </c>
      <c r="U150" s="126" t="n">
        <f aca="false">I150/$R$3</f>
        <v>0</v>
      </c>
      <c r="V150" s="126" t="n">
        <f aca="false">M150/$R$3</f>
        <v>0</v>
      </c>
      <c r="W150" s="126" t="n">
        <f aca="false">N150/$R$3</f>
        <v>1197.025</v>
      </c>
    </row>
    <row r="151" customFormat="false" ht="12.75" hidden="false" customHeight="false" outlineLevel="0" collapsed="false">
      <c r="A151" s="120" t="n">
        <f aca="false">A150+1</f>
        <v>37037</v>
      </c>
      <c r="B151" s="131" t="str">
        <f aca="false">INDEX('[4]Master Data'!$A$2:$B$8,MATCH(WEEKDAY('SC Gas MTM'!A151,3),'[4]Master Data'!$A$2:$A$8,0),2)</f>
        <v>Sa</v>
      </c>
      <c r="D151" s="124" t="n">
        <v>0</v>
      </c>
      <c r="E151" s="124" t="n">
        <v>0</v>
      </c>
      <c r="F151" s="124" t="n">
        <v>0</v>
      </c>
      <c r="G151" s="124" t="n">
        <v>0</v>
      </c>
      <c r="I151" s="124" t="n">
        <f aca="false">IF(MONTH($A151)=MONTH($A150),IF(G151=0,I150,G151),G151)</f>
        <v>0</v>
      </c>
      <c r="J151" s="124" t="n">
        <f aca="false">IF(MONTH($A151)=MONTH($A150),SUM(I151-I150),I151)</f>
        <v>0</v>
      </c>
      <c r="K151" s="124" t="n">
        <f aca="false">IF(WEEKDAY(A151,3)&gt;4,0,(IF(A151&lt;K$2,0,IF(A151&lt;=K$3,1,0))))</f>
        <v>0</v>
      </c>
      <c r="L151" s="124" t="n">
        <f aca="false">J151*K151</f>
        <v>0</v>
      </c>
      <c r="M151" s="124" t="n">
        <f aca="false">SUM(J$97:J151)</f>
        <v>0</v>
      </c>
      <c r="N151" s="124" t="n">
        <f aca="false">SUM(J$6:J151)</f>
        <v>1197025</v>
      </c>
      <c r="P151" s="124" t="n">
        <f aca="false">D151/P$3</f>
        <v>0</v>
      </c>
      <c r="Q151" s="124" t="n">
        <f aca="false">E151/P$3</f>
        <v>0</v>
      </c>
      <c r="R151" s="124" t="n">
        <f aca="false">F151/R$3</f>
        <v>0</v>
      </c>
      <c r="S151" s="126" t="n">
        <f aca="false">J151/$R$3</f>
        <v>0</v>
      </c>
      <c r="T151" s="126" t="n">
        <f aca="false">L151/$R$3</f>
        <v>0</v>
      </c>
      <c r="U151" s="126" t="n">
        <f aca="false">I151/$R$3</f>
        <v>0</v>
      </c>
      <c r="V151" s="126" t="n">
        <f aca="false">M151/$R$3</f>
        <v>0</v>
      </c>
      <c r="W151" s="126" t="n">
        <f aca="false">N151/$R$3</f>
        <v>1197.025</v>
      </c>
    </row>
    <row r="152" customFormat="false" ht="12.75" hidden="false" customHeight="false" outlineLevel="0" collapsed="false">
      <c r="A152" s="120" t="n">
        <f aca="false">A151+1</f>
        <v>37038</v>
      </c>
      <c r="B152" s="131" t="str">
        <f aca="false">INDEX('[4]Master Data'!$A$2:$B$8,MATCH(WEEKDAY('SC Gas MTM'!A152,3),'[4]Master Data'!$A$2:$A$8,0),2)</f>
        <v>Su</v>
      </c>
      <c r="D152" s="124" t="n">
        <v>0</v>
      </c>
      <c r="E152" s="124" t="n">
        <v>0</v>
      </c>
      <c r="F152" s="124" t="n">
        <v>0</v>
      </c>
      <c r="G152" s="124" t="n">
        <v>0</v>
      </c>
      <c r="I152" s="124" t="n">
        <f aca="false">IF(MONTH($A152)=MONTH($A151),IF(G152=0,I151,G152),G152)</f>
        <v>0</v>
      </c>
      <c r="J152" s="124" t="n">
        <f aca="false">IF(MONTH($A152)=MONTH($A151),SUM(I152-I151),I152)</f>
        <v>0</v>
      </c>
      <c r="K152" s="124" t="n">
        <f aca="false">IF(WEEKDAY(A152,3)&gt;4,0,(IF(A152&lt;K$2,0,IF(A152&lt;=K$3,1,0))))</f>
        <v>0</v>
      </c>
      <c r="L152" s="124" t="n">
        <f aca="false">J152*K152</f>
        <v>0</v>
      </c>
      <c r="M152" s="124" t="n">
        <f aca="false">SUM(J$97:J152)</f>
        <v>0</v>
      </c>
      <c r="N152" s="124" t="n">
        <f aca="false">SUM(J$6:J152)</f>
        <v>1197025</v>
      </c>
      <c r="P152" s="124" t="n">
        <f aca="false">D152/P$3</f>
        <v>0</v>
      </c>
      <c r="Q152" s="124" t="n">
        <f aca="false">E152/P$3</f>
        <v>0</v>
      </c>
      <c r="R152" s="124" t="n">
        <f aca="false">F152/R$3</f>
        <v>0</v>
      </c>
      <c r="S152" s="126" t="n">
        <f aca="false">J152/$R$3</f>
        <v>0</v>
      </c>
      <c r="T152" s="126" t="n">
        <f aca="false">L152/$R$3</f>
        <v>0</v>
      </c>
      <c r="U152" s="126" t="n">
        <f aca="false">I152/$R$3</f>
        <v>0</v>
      </c>
      <c r="V152" s="126" t="n">
        <f aca="false">M152/$R$3</f>
        <v>0</v>
      </c>
      <c r="W152" s="126" t="n">
        <f aca="false">N152/$R$3</f>
        <v>1197.025</v>
      </c>
    </row>
    <row r="153" customFormat="false" ht="12.75" hidden="false" customHeight="false" outlineLevel="0" collapsed="false">
      <c r="A153" s="120" t="n">
        <f aca="false">A152+1</f>
        <v>37039</v>
      </c>
      <c r="B153" s="131" t="str">
        <f aca="false">INDEX('[4]Master Data'!$A$2:$B$8,MATCH(WEEKDAY('SC Gas MTM'!A153,3),'[4]Master Data'!$A$2:$A$8,0),2)</f>
        <v>M</v>
      </c>
      <c r="D153" s="124" t="n">
        <v>0</v>
      </c>
      <c r="E153" s="124" t="n">
        <v>0</v>
      </c>
      <c r="F153" s="124" t="n">
        <v>0</v>
      </c>
      <c r="G153" s="124" t="n">
        <v>0</v>
      </c>
      <c r="I153" s="124" t="n">
        <f aca="false">IF(MONTH($A153)=MONTH($A152),IF(G153=0,I152,G153),G153)</f>
        <v>0</v>
      </c>
      <c r="J153" s="124" t="n">
        <f aca="false">IF(MONTH($A153)=MONTH($A152),SUM(I153-I152),I153)</f>
        <v>0</v>
      </c>
      <c r="K153" s="124" t="n">
        <f aca="false">IF(WEEKDAY(A153,3)&gt;4,0,(IF(A153&lt;K$2,0,IF(A153&lt;=K$3,1,0))))</f>
        <v>0</v>
      </c>
      <c r="L153" s="124" t="n">
        <f aca="false">J153*K153</f>
        <v>0</v>
      </c>
      <c r="M153" s="124" t="n">
        <f aca="false">SUM(J$97:J153)</f>
        <v>0</v>
      </c>
      <c r="N153" s="124" t="n">
        <f aca="false">SUM(J$6:J153)</f>
        <v>1197025</v>
      </c>
      <c r="P153" s="124" t="n">
        <f aca="false">D153/P$3</f>
        <v>0</v>
      </c>
      <c r="Q153" s="124" t="n">
        <f aca="false">E153/P$3</f>
        <v>0</v>
      </c>
      <c r="R153" s="124" t="n">
        <f aca="false">F153/R$3</f>
        <v>0</v>
      </c>
      <c r="S153" s="126" t="n">
        <f aca="false">J153/$R$3</f>
        <v>0</v>
      </c>
      <c r="T153" s="126" t="n">
        <f aca="false">L153/$R$3</f>
        <v>0</v>
      </c>
      <c r="U153" s="126" t="n">
        <f aca="false">I153/$R$3</f>
        <v>0</v>
      </c>
      <c r="V153" s="126" t="n">
        <f aca="false">M153/$R$3</f>
        <v>0</v>
      </c>
      <c r="W153" s="126" t="n">
        <f aca="false">N153/$R$3</f>
        <v>1197.025</v>
      </c>
    </row>
    <row r="154" customFormat="false" ht="12.75" hidden="false" customHeight="false" outlineLevel="0" collapsed="false">
      <c r="A154" s="120" t="n">
        <f aca="false">A153+1</f>
        <v>37040</v>
      </c>
      <c r="B154" s="131" t="str">
        <f aca="false">INDEX('[4]Master Data'!$A$2:$B$8,MATCH(WEEKDAY('SC Gas MTM'!A154,3),'[4]Master Data'!$A$2:$A$8,0),2)</f>
        <v>T</v>
      </c>
      <c r="D154" s="124" t="n">
        <v>0</v>
      </c>
      <c r="E154" s="124" t="n">
        <v>0</v>
      </c>
      <c r="F154" s="124" t="n">
        <v>0</v>
      </c>
      <c r="G154" s="124" t="n">
        <v>0</v>
      </c>
      <c r="I154" s="124" t="n">
        <f aca="false">IF(MONTH($A154)=MONTH($A153),IF(G154=0,I153,G154),G154)</f>
        <v>0</v>
      </c>
      <c r="J154" s="124" t="n">
        <f aca="false">IF(MONTH($A154)=MONTH($A153),SUM(I154-I153),I154)</f>
        <v>0</v>
      </c>
      <c r="K154" s="124" t="n">
        <f aca="false">IF(WEEKDAY(A154,3)&gt;4,0,(IF(A154&lt;K$2,0,IF(A154&lt;=K$3,1,0))))</f>
        <v>0</v>
      </c>
      <c r="L154" s="124" t="n">
        <f aca="false">J154*K154</f>
        <v>0</v>
      </c>
      <c r="M154" s="124" t="n">
        <f aca="false">SUM(J$97:J154)</f>
        <v>0</v>
      </c>
      <c r="N154" s="124" t="n">
        <f aca="false">SUM(J$6:J154)</f>
        <v>1197025</v>
      </c>
      <c r="P154" s="124" t="n">
        <f aca="false">D154/P$3</f>
        <v>0</v>
      </c>
      <c r="Q154" s="124" t="n">
        <f aca="false">E154/P$3</f>
        <v>0</v>
      </c>
      <c r="R154" s="124" t="n">
        <f aca="false">F154/R$3</f>
        <v>0</v>
      </c>
      <c r="S154" s="126" t="n">
        <f aca="false">J154/$R$3</f>
        <v>0</v>
      </c>
      <c r="T154" s="126" t="n">
        <f aca="false">L154/$R$3</f>
        <v>0</v>
      </c>
      <c r="U154" s="126" t="n">
        <f aca="false">I154/$R$3</f>
        <v>0</v>
      </c>
      <c r="V154" s="126" t="n">
        <f aca="false">M154/$R$3</f>
        <v>0</v>
      </c>
      <c r="W154" s="126" t="n">
        <f aca="false">N154/$R$3</f>
        <v>1197.025</v>
      </c>
    </row>
    <row r="155" customFormat="false" ht="12.75" hidden="false" customHeight="false" outlineLevel="0" collapsed="false">
      <c r="A155" s="120" t="n">
        <f aca="false">A154+1</f>
        <v>37041</v>
      </c>
      <c r="B155" s="131" t="str">
        <f aca="false">INDEX('[4]Master Data'!$A$2:$B$8,MATCH(WEEKDAY('SC Gas MTM'!A155,3),'[4]Master Data'!$A$2:$A$8,0),2)</f>
        <v>W</v>
      </c>
      <c r="D155" s="124" t="n">
        <v>0</v>
      </c>
      <c r="E155" s="124" t="n">
        <v>0</v>
      </c>
      <c r="F155" s="124" t="n">
        <v>0</v>
      </c>
      <c r="G155" s="124" t="n">
        <v>0</v>
      </c>
      <c r="I155" s="124" t="n">
        <f aca="false">IF(MONTH($A155)=MONTH($A154),IF(G155=0,I154,G155),G155)</f>
        <v>0</v>
      </c>
      <c r="J155" s="124" t="n">
        <f aca="false">IF(MONTH($A155)=MONTH($A154),SUM(I155-I154),I155)</f>
        <v>0</v>
      </c>
      <c r="K155" s="124" t="n">
        <f aca="false">IF(WEEKDAY(A155,3)&gt;4,0,(IF(A155&lt;K$2,0,IF(A155&lt;=K$3,1,0))))</f>
        <v>0</v>
      </c>
      <c r="L155" s="124" t="n">
        <f aca="false">J155*K155</f>
        <v>0</v>
      </c>
      <c r="M155" s="124" t="n">
        <f aca="false">SUM(J$97:J155)</f>
        <v>0</v>
      </c>
      <c r="N155" s="124" t="n">
        <f aca="false">SUM(J$6:J155)</f>
        <v>1197025</v>
      </c>
      <c r="P155" s="124" t="n">
        <f aca="false">D155/P$3</f>
        <v>0</v>
      </c>
      <c r="Q155" s="124" t="n">
        <f aca="false">E155/P$3</f>
        <v>0</v>
      </c>
      <c r="R155" s="124" t="n">
        <f aca="false">F155/R$3</f>
        <v>0</v>
      </c>
      <c r="S155" s="126" t="n">
        <f aca="false">J155/$R$3</f>
        <v>0</v>
      </c>
      <c r="T155" s="126" t="n">
        <f aca="false">L155/$R$3</f>
        <v>0</v>
      </c>
      <c r="U155" s="126" t="n">
        <f aca="false">I155/$R$3</f>
        <v>0</v>
      </c>
      <c r="V155" s="126" t="n">
        <f aca="false">M155/$R$3</f>
        <v>0</v>
      </c>
      <c r="W155" s="126" t="n">
        <f aca="false">N155/$R$3</f>
        <v>1197.025</v>
      </c>
    </row>
    <row r="156" customFormat="false" ht="12.75" hidden="false" customHeight="false" outlineLevel="0" collapsed="false">
      <c r="A156" s="120" t="n">
        <f aca="false">A155+1</f>
        <v>37042</v>
      </c>
      <c r="B156" s="131" t="str">
        <f aca="false">INDEX('[4]Master Data'!$A$2:$B$8,MATCH(WEEKDAY('SC Gas MTM'!A156,3),'[4]Master Data'!$A$2:$A$8,0),2)</f>
        <v>Th</v>
      </c>
      <c r="D156" s="124" t="n">
        <v>0</v>
      </c>
      <c r="E156" s="124" t="n">
        <v>0</v>
      </c>
      <c r="F156" s="124" t="n">
        <v>0</v>
      </c>
      <c r="G156" s="124" t="n">
        <v>0</v>
      </c>
      <c r="I156" s="124" t="n">
        <f aca="false">IF(MONTH($A156)=MONTH($A155),IF(G156=0,I155,G156),G156)</f>
        <v>0</v>
      </c>
      <c r="J156" s="124" t="n">
        <f aca="false">IF(MONTH($A156)=MONTH($A155),SUM(I156-I155),I156)</f>
        <v>0</v>
      </c>
      <c r="K156" s="124" t="n">
        <f aca="false">IF(WEEKDAY(A156,3)&gt;4,0,(IF(A156&lt;K$2,0,IF(A156&lt;=K$3,1,0))))</f>
        <v>0</v>
      </c>
      <c r="L156" s="124" t="n">
        <f aca="false">J156*K156</f>
        <v>0</v>
      </c>
      <c r="M156" s="124" t="n">
        <f aca="false">SUM(J$97:J156)</f>
        <v>0</v>
      </c>
      <c r="N156" s="124" t="n">
        <f aca="false">SUM(J$6:J156)</f>
        <v>1197025</v>
      </c>
      <c r="P156" s="124" t="n">
        <f aca="false">D156/P$3</f>
        <v>0</v>
      </c>
      <c r="Q156" s="124" t="n">
        <f aca="false">E156/P$3</f>
        <v>0</v>
      </c>
      <c r="R156" s="124" t="n">
        <f aca="false">F156/R$3</f>
        <v>0</v>
      </c>
      <c r="S156" s="126" t="n">
        <f aca="false">J156/$R$3</f>
        <v>0</v>
      </c>
      <c r="T156" s="126" t="n">
        <f aca="false">L156/$R$3</f>
        <v>0</v>
      </c>
      <c r="U156" s="126" t="n">
        <f aca="false">I156/$R$3</f>
        <v>0</v>
      </c>
      <c r="V156" s="126" t="n">
        <f aca="false">M156/$R$3</f>
        <v>0</v>
      </c>
      <c r="W156" s="126" t="n">
        <f aca="false">N156/$R$3</f>
        <v>1197.025</v>
      </c>
    </row>
    <row r="157" customFormat="false" ht="12.75" hidden="false" customHeight="false" outlineLevel="0" collapsed="false">
      <c r="A157" s="120" t="n">
        <f aca="false">A156+1</f>
        <v>37043</v>
      </c>
      <c r="B157" s="131" t="str">
        <f aca="false">INDEX('[4]Master Data'!$A$2:$B$8,MATCH(WEEKDAY('SC Gas MTM'!A157,3),'[4]Master Data'!$A$2:$A$8,0),2)</f>
        <v>F</v>
      </c>
      <c r="D157" s="124" t="n">
        <v>0</v>
      </c>
      <c r="E157" s="124" t="n">
        <v>0</v>
      </c>
      <c r="F157" s="124" t="n">
        <v>0</v>
      </c>
      <c r="G157" s="124" t="n">
        <v>0</v>
      </c>
      <c r="I157" s="124" t="n">
        <f aca="false">IF(MONTH($A157)=MONTH($A156),IF(G157=0,I156,G157),G157)</f>
        <v>0</v>
      </c>
      <c r="J157" s="124" t="n">
        <f aca="false">IF(MONTH($A157)=MONTH($A156),SUM(I157-I156),I157)</f>
        <v>0</v>
      </c>
      <c r="K157" s="124" t="n">
        <f aca="false">IF(WEEKDAY(A157,3)&gt;4,0,(IF(A157&lt;K$2,0,IF(A157&lt;=K$3,1,0))))</f>
        <v>0</v>
      </c>
      <c r="L157" s="124" t="n">
        <f aca="false">J157*K157</f>
        <v>0</v>
      </c>
      <c r="M157" s="124" t="n">
        <f aca="false">SUM(J$97:J157)</f>
        <v>0</v>
      </c>
      <c r="N157" s="124" t="n">
        <f aca="false">SUM(J$6:J157)</f>
        <v>1197025</v>
      </c>
      <c r="P157" s="124" t="n">
        <f aca="false">D157/P$3</f>
        <v>0</v>
      </c>
      <c r="Q157" s="124" t="n">
        <f aca="false">E157/P$3</f>
        <v>0</v>
      </c>
      <c r="R157" s="124" t="n">
        <f aca="false">F157/R$3</f>
        <v>0</v>
      </c>
      <c r="S157" s="126" t="n">
        <f aca="false">J157/$R$3</f>
        <v>0</v>
      </c>
      <c r="T157" s="126" t="n">
        <f aca="false">L157/$R$3</f>
        <v>0</v>
      </c>
      <c r="U157" s="126" t="n">
        <f aca="false">I157/$R$3</f>
        <v>0</v>
      </c>
      <c r="V157" s="126" t="n">
        <f aca="false">M157/$R$3</f>
        <v>0</v>
      </c>
      <c r="W157" s="126" t="n">
        <f aca="false">N157/$R$3</f>
        <v>1197.025</v>
      </c>
    </row>
    <row r="158" customFormat="false" ht="12.75" hidden="false" customHeight="false" outlineLevel="0" collapsed="false">
      <c r="A158" s="120" t="n">
        <f aca="false">A157+1</f>
        <v>37044</v>
      </c>
      <c r="B158" s="131" t="str">
        <f aca="false">INDEX('[4]Master Data'!$A$2:$B$8,MATCH(WEEKDAY('SC Gas MTM'!A158,3),'[4]Master Data'!$A$2:$A$8,0),2)</f>
        <v>Sa</v>
      </c>
      <c r="D158" s="124" t="n">
        <v>0</v>
      </c>
      <c r="E158" s="124" t="n">
        <v>0</v>
      </c>
      <c r="F158" s="124" t="n">
        <v>0</v>
      </c>
      <c r="G158" s="124" t="n">
        <v>0</v>
      </c>
      <c r="I158" s="124" t="n">
        <f aca="false">IF(MONTH($A158)=MONTH($A157),IF(G158=0,I157,G158),G158)</f>
        <v>0</v>
      </c>
      <c r="J158" s="124" t="n">
        <f aca="false">IF(MONTH($A158)=MONTH($A157),SUM(I158-I157),I158)</f>
        <v>0</v>
      </c>
      <c r="K158" s="124" t="n">
        <f aca="false">IF(WEEKDAY(A158,3)&gt;4,0,(IF(A158&lt;K$2,0,IF(A158&lt;=K$3,1,0))))</f>
        <v>0</v>
      </c>
      <c r="L158" s="124" t="n">
        <f aca="false">J158*K158</f>
        <v>0</v>
      </c>
      <c r="M158" s="124" t="n">
        <f aca="false">SUM(J$97:J158)</f>
        <v>0</v>
      </c>
      <c r="N158" s="124" t="n">
        <f aca="false">SUM(J$6:J158)</f>
        <v>1197025</v>
      </c>
      <c r="P158" s="124" t="n">
        <f aca="false">D158/P$3</f>
        <v>0</v>
      </c>
      <c r="Q158" s="124" t="n">
        <f aca="false">E158/P$3</f>
        <v>0</v>
      </c>
      <c r="R158" s="124" t="n">
        <f aca="false">F158/R$3</f>
        <v>0</v>
      </c>
      <c r="S158" s="126" t="n">
        <f aca="false">J158/$R$3</f>
        <v>0</v>
      </c>
      <c r="T158" s="126" t="n">
        <f aca="false">L158/$R$3</f>
        <v>0</v>
      </c>
      <c r="U158" s="126" t="n">
        <f aca="false">I158/$R$3</f>
        <v>0</v>
      </c>
      <c r="V158" s="126" t="n">
        <f aca="false">M158/$R$3</f>
        <v>0</v>
      </c>
      <c r="W158" s="126" t="n">
        <f aca="false">N158/$R$3</f>
        <v>1197.025</v>
      </c>
    </row>
    <row r="159" customFormat="false" ht="12.75" hidden="false" customHeight="false" outlineLevel="0" collapsed="false">
      <c r="A159" s="120" t="n">
        <f aca="false">A158+1</f>
        <v>37045</v>
      </c>
      <c r="B159" s="131" t="str">
        <f aca="false">INDEX('[4]Master Data'!$A$2:$B$8,MATCH(WEEKDAY('SC Gas MTM'!A159,3),'[4]Master Data'!$A$2:$A$8,0),2)</f>
        <v>Su</v>
      </c>
      <c r="D159" s="124" t="n">
        <v>0</v>
      </c>
      <c r="E159" s="124" t="n">
        <v>0</v>
      </c>
      <c r="F159" s="124" t="n">
        <v>0</v>
      </c>
      <c r="G159" s="124" t="n">
        <v>0</v>
      </c>
      <c r="I159" s="124" t="n">
        <f aca="false">IF(MONTH($A159)=MONTH($A158),IF(G159=0,I158,G159),G159)</f>
        <v>0</v>
      </c>
      <c r="J159" s="124" t="n">
        <f aca="false">IF(MONTH($A159)=MONTH($A158),SUM(I159-I158),I159)</f>
        <v>0</v>
      </c>
      <c r="K159" s="124" t="n">
        <f aca="false">IF(WEEKDAY(A159,3)&gt;4,0,(IF(A159&lt;K$2,0,IF(A159&lt;=K$3,1,0))))</f>
        <v>0</v>
      </c>
      <c r="L159" s="124" t="n">
        <f aca="false">J159*K159</f>
        <v>0</v>
      </c>
      <c r="M159" s="124" t="n">
        <f aca="false">SUM(J$97:J159)</f>
        <v>0</v>
      </c>
      <c r="N159" s="124" t="n">
        <f aca="false">SUM(J$6:J159)</f>
        <v>1197025</v>
      </c>
      <c r="P159" s="124" t="n">
        <f aca="false">D159/P$3</f>
        <v>0</v>
      </c>
      <c r="Q159" s="124" t="n">
        <f aca="false">E159/P$3</f>
        <v>0</v>
      </c>
      <c r="R159" s="124" t="n">
        <f aca="false">F159/R$3</f>
        <v>0</v>
      </c>
      <c r="S159" s="126" t="n">
        <f aca="false">J159/$R$3</f>
        <v>0</v>
      </c>
      <c r="T159" s="126" t="n">
        <f aca="false">L159/$R$3</f>
        <v>0</v>
      </c>
      <c r="U159" s="126" t="n">
        <f aca="false">I159/$R$3</f>
        <v>0</v>
      </c>
      <c r="V159" s="126" t="n">
        <f aca="false">M159/$R$3</f>
        <v>0</v>
      </c>
      <c r="W159" s="126" t="n">
        <f aca="false">N159/$R$3</f>
        <v>1197.025</v>
      </c>
    </row>
    <row r="160" customFormat="false" ht="12.75" hidden="false" customHeight="false" outlineLevel="0" collapsed="false">
      <c r="A160" s="120" t="n">
        <f aca="false">A159+1</f>
        <v>37046</v>
      </c>
      <c r="B160" s="131" t="str">
        <f aca="false">INDEX('[4]Master Data'!$A$2:$B$8,MATCH(WEEKDAY('SC Gas MTM'!A160,3),'[4]Master Data'!$A$2:$A$8,0),2)</f>
        <v>M</v>
      </c>
      <c r="D160" s="124" t="n">
        <v>0</v>
      </c>
      <c r="E160" s="124" t="n">
        <v>0</v>
      </c>
      <c r="F160" s="124" t="n">
        <v>0</v>
      </c>
      <c r="G160" s="124" t="n">
        <v>0</v>
      </c>
      <c r="I160" s="124" t="n">
        <f aca="false">IF(MONTH($A160)=MONTH($A159),IF(G160=0,I159,G160),G160)</f>
        <v>0</v>
      </c>
      <c r="J160" s="124" t="n">
        <f aca="false">IF(MONTH($A160)=MONTH($A159),SUM(I160-I159),I160)</f>
        <v>0</v>
      </c>
      <c r="K160" s="124" t="n">
        <f aca="false">IF(WEEKDAY(A160,3)&gt;4,0,(IF(A160&lt;K$2,0,IF(A160&lt;=K$3,1,0))))</f>
        <v>0</v>
      </c>
      <c r="L160" s="124" t="n">
        <f aca="false">J160*K160</f>
        <v>0</v>
      </c>
      <c r="M160" s="124" t="n">
        <f aca="false">SUM(J$97:J160)</f>
        <v>0</v>
      </c>
      <c r="N160" s="124" t="n">
        <f aca="false">SUM(J$6:J160)</f>
        <v>1197025</v>
      </c>
      <c r="P160" s="124" t="n">
        <f aca="false">D160/P$3</f>
        <v>0</v>
      </c>
      <c r="Q160" s="124" t="n">
        <f aca="false">E160/P$3</f>
        <v>0</v>
      </c>
      <c r="R160" s="124" t="n">
        <f aca="false">F160/R$3</f>
        <v>0</v>
      </c>
      <c r="S160" s="126" t="n">
        <f aca="false">J160/$R$3</f>
        <v>0</v>
      </c>
      <c r="T160" s="126" t="n">
        <f aca="false">L160/$R$3</f>
        <v>0</v>
      </c>
      <c r="U160" s="126" t="n">
        <f aca="false">I160/$R$3</f>
        <v>0</v>
      </c>
      <c r="V160" s="126" t="n">
        <f aca="false">M160/$R$3</f>
        <v>0</v>
      </c>
      <c r="W160" s="126" t="n">
        <f aca="false">N160/$R$3</f>
        <v>1197.025</v>
      </c>
    </row>
    <row r="161" customFormat="false" ht="12.75" hidden="false" customHeight="false" outlineLevel="0" collapsed="false">
      <c r="A161" s="120" t="n">
        <f aca="false">A160+1</f>
        <v>37047</v>
      </c>
      <c r="B161" s="131" t="str">
        <f aca="false">INDEX('[4]Master Data'!$A$2:$B$8,MATCH(WEEKDAY('SC Gas MTM'!A161,3),'[4]Master Data'!$A$2:$A$8,0),2)</f>
        <v>T</v>
      </c>
      <c r="D161" s="124" t="n">
        <v>0</v>
      </c>
      <c r="E161" s="124" t="n">
        <v>0</v>
      </c>
      <c r="F161" s="124" t="n">
        <v>0</v>
      </c>
      <c r="G161" s="124" t="n">
        <v>0</v>
      </c>
      <c r="I161" s="124" t="n">
        <f aca="false">IF(MONTH($A161)=MONTH($A160),IF(G161=0,I160,G161),G161)</f>
        <v>0</v>
      </c>
      <c r="J161" s="124" t="n">
        <f aca="false">IF(MONTH($A161)=MONTH($A160),SUM(I161-I160),I161)</f>
        <v>0</v>
      </c>
      <c r="K161" s="124" t="n">
        <f aca="false">IF(WEEKDAY(A161,3)&gt;4,0,(IF(A161&lt;K$2,0,IF(A161&lt;=K$3,1,0))))</f>
        <v>0</v>
      </c>
      <c r="L161" s="124" t="n">
        <f aca="false">J161*K161</f>
        <v>0</v>
      </c>
      <c r="M161" s="124" t="n">
        <f aca="false">SUM(J$97:J161)</f>
        <v>0</v>
      </c>
      <c r="N161" s="124" t="n">
        <f aca="false">SUM(J$6:J161)</f>
        <v>1197025</v>
      </c>
      <c r="P161" s="124" t="n">
        <f aca="false">D161/P$3</f>
        <v>0</v>
      </c>
      <c r="Q161" s="124" t="n">
        <f aca="false">E161/P$3</f>
        <v>0</v>
      </c>
      <c r="R161" s="124" t="n">
        <f aca="false">F161/R$3</f>
        <v>0</v>
      </c>
      <c r="S161" s="126" t="n">
        <f aca="false">J161/$R$3</f>
        <v>0</v>
      </c>
      <c r="T161" s="126" t="n">
        <f aca="false">L161/$R$3</f>
        <v>0</v>
      </c>
      <c r="U161" s="126" t="n">
        <f aca="false">I161/$R$3</f>
        <v>0</v>
      </c>
      <c r="V161" s="126" t="n">
        <f aca="false">M161/$R$3</f>
        <v>0</v>
      </c>
      <c r="W161" s="126" t="n">
        <f aca="false">N161/$R$3</f>
        <v>1197.025</v>
      </c>
    </row>
    <row r="162" customFormat="false" ht="12.75" hidden="false" customHeight="false" outlineLevel="0" collapsed="false">
      <c r="A162" s="120" t="n">
        <f aca="false">A161+1</f>
        <v>37048</v>
      </c>
      <c r="B162" s="131" t="str">
        <f aca="false">INDEX('[4]Master Data'!$A$2:$B$8,MATCH(WEEKDAY('SC Gas MTM'!A162,3),'[4]Master Data'!$A$2:$A$8,0),2)</f>
        <v>W</v>
      </c>
      <c r="D162" s="124" t="n">
        <v>0</v>
      </c>
      <c r="E162" s="124" t="n">
        <v>0</v>
      </c>
      <c r="F162" s="124" t="n">
        <v>0</v>
      </c>
      <c r="G162" s="124" t="n">
        <v>0</v>
      </c>
      <c r="I162" s="124" t="n">
        <f aca="false">IF(MONTH($A162)=MONTH($A161),IF(G162=0,I161,G162),G162)</f>
        <v>0</v>
      </c>
      <c r="J162" s="124" t="n">
        <f aca="false">IF(MONTH($A162)=MONTH($A161),SUM(I162-I161),I162)</f>
        <v>0</v>
      </c>
      <c r="K162" s="124" t="n">
        <f aca="false">IF(WEEKDAY(A162,3)&gt;4,0,(IF(A162&lt;K$2,0,IF(A162&lt;=K$3,1,0))))</f>
        <v>0</v>
      </c>
      <c r="L162" s="124" t="n">
        <f aca="false">J162*K162</f>
        <v>0</v>
      </c>
      <c r="M162" s="124" t="n">
        <f aca="false">SUM(J$97:J162)</f>
        <v>0</v>
      </c>
      <c r="N162" s="124" t="n">
        <f aca="false">SUM(J$6:J162)</f>
        <v>1197025</v>
      </c>
      <c r="P162" s="124" t="n">
        <f aca="false">D162/P$3</f>
        <v>0</v>
      </c>
      <c r="Q162" s="124" t="n">
        <f aca="false">E162/P$3</f>
        <v>0</v>
      </c>
      <c r="R162" s="124" t="n">
        <f aca="false">F162/R$3</f>
        <v>0</v>
      </c>
      <c r="S162" s="126" t="n">
        <f aca="false">J162/$R$3</f>
        <v>0</v>
      </c>
      <c r="T162" s="126" t="n">
        <f aca="false">L162/$R$3</f>
        <v>0</v>
      </c>
      <c r="U162" s="126" t="n">
        <f aca="false">I162/$R$3</f>
        <v>0</v>
      </c>
      <c r="V162" s="126" t="n">
        <f aca="false">M162/$R$3</f>
        <v>0</v>
      </c>
      <c r="W162" s="126" t="n">
        <f aca="false">N162/$R$3</f>
        <v>1197.025</v>
      </c>
    </row>
    <row r="163" customFormat="false" ht="12.75" hidden="false" customHeight="false" outlineLevel="0" collapsed="false">
      <c r="A163" s="120" t="n">
        <f aca="false">A162+1</f>
        <v>37049</v>
      </c>
      <c r="B163" s="131" t="str">
        <f aca="false">INDEX('[4]Master Data'!$A$2:$B$8,MATCH(WEEKDAY('SC Gas MTM'!A163,3),'[4]Master Data'!$A$2:$A$8,0),2)</f>
        <v>Th</v>
      </c>
      <c r="D163" s="124" t="n">
        <v>0</v>
      </c>
      <c r="E163" s="124" t="n">
        <v>0</v>
      </c>
      <c r="F163" s="124" t="n">
        <v>0</v>
      </c>
      <c r="G163" s="124" t="n">
        <v>0</v>
      </c>
      <c r="I163" s="124" t="n">
        <f aca="false">IF(MONTH($A163)=MONTH($A162),IF(G163=0,I162,G163),G163)</f>
        <v>0</v>
      </c>
      <c r="J163" s="124" t="n">
        <f aca="false">IF(MONTH($A163)=MONTH($A162),SUM(I163-I162),I163)</f>
        <v>0</v>
      </c>
      <c r="K163" s="124" t="n">
        <f aca="false">IF(WEEKDAY(A163,3)&gt;4,0,(IF(A163&lt;K$2,0,IF(A163&lt;=K$3,1,0))))</f>
        <v>0</v>
      </c>
      <c r="L163" s="124" t="n">
        <f aca="false">J163*K163</f>
        <v>0</v>
      </c>
      <c r="M163" s="124" t="n">
        <f aca="false">SUM(J$97:J163)</f>
        <v>0</v>
      </c>
      <c r="N163" s="124" t="n">
        <f aca="false">SUM(J$6:J163)</f>
        <v>1197025</v>
      </c>
      <c r="P163" s="124" t="n">
        <f aca="false">D163/P$3</f>
        <v>0</v>
      </c>
      <c r="Q163" s="124" t="n">
        <f aca="false">E163/P$3</f>
        <v>0</v>
      </c>
      <c r="R163" s="124" t="n">
        <f aca="false">F163/R$3</f>
        <v>0</v>
      </c>
      <c r="S163" s="126" t="n">
        <f aca="false">J163/$R$3</f>
        <v>0</v>
      </c>
      <c r="T163" s="126" t="n">
        <f aca="false">L163/$R$3</f>
        <v>0</v>
      </c>
      <c r="U163" s="126" t="n">
        <f aca="false">I163/$R$3</f>
        <v>0</v>
      </c>
      <c r="V163" s="126" t="n">
        <f aca="false">M163/$R$3</f>
        <v>0</v>
      </c>
      <c r="W163" s="126" t="n">
        <f aca="false">N163/$R$3</f>
        <v>1197.025</v>
      </c>
    </row>
    <row r="164" customFormat="false" ht="12.75" hidden="false" customHeight="false" outlineLevel="0" collapsed="false">
      <c r="A164" s="120" t="n">
        <f aca="false">A163+1</f>
        <v>37050</v>
      </c>
      <c r="B164" s="131" t="str">
        <f aca="false">INDEX('[4]Master Data'!$A$2:$B$8,MATCH(WEEKDAY('SC Gas MTM'!A164,3),'[4]Master Data'!$A$2:$A$8,0),2)</f>
        <v>F</v>
      </c>
      <c r="D164" s="124" t="n">
        <v>0</v>
      </c>
      <c r="E164" s="124" t="n">
        <v>0</v>
      </c>
      <c r="F164" s="124" t="n">
        <v>0</v>
      </c>
      <c r="G164" s="124" t="n">
        <v>0</v>
      </c>
      <c r="I164" s="124" t="n">
        <f aca="false">IF(MONTH($A164)=MONTH($A163),IF(G164=0,I163,G164),G164)</f>
        <v>0</v>
      </c>
      <c r="J164" s="124" t="n">
        <f aca="false">IF(MONTH($A164)=MONTH($A163),SUM(I164-I163),I164)</f>
        <v>0</v>
      </c>
      <c r="K164" s="124" t="n">
        <f aca="false">IF(WEEKDAY(A164,3)&gt;4,0,(IF(A164&lt;K$2,0,IF(A164&lt;=K$3,1,0))))</f>
        <v>0</v>
      </c>
      <c r="L164" s="124" t="n">
        <f aca="false">J164*K164</f>
        <v>0</v>
      </c>
      <c r="M164" s="124" t="n">
        <f aca="false">SUM(J$97:J164)</f>
        <v>0</v>
      </c>
      <c r="N164" s="124" t="n">
        <f aca="false">SUM(J$6:J164)</f>
        <v>1197025</v>
      </c>
      <c r="P164" s="124" t="n">
        <f aca="false">D164/P$3</f>
        <v>0</v>
      </c>
      <c r="Q164" s="124" t="n">
        <f aca="false">E164/P$3</f>
        <v>0</v>
      </c>
      <c r="R164" s="124" t="n">
        <f aca="false">F164/R$3</f>
        <v>0</v>
      </c>
      <c r="S164" s="126" t="n">
        <f aca="false">J164/$R$3</f>
        <v>0</v>
      </c>
      <c r="T164" s="126" t="n">
        <f aca="false">L164/$R$3</f>
        <v>0</v>
      </c>
      <c r="U164" s="126" t="n">
        <f aca="false">I164/$R$3</f>
        <v>0</v>
      </c>
      <c r="V164" s="126" t="n">
        <f aca="false">M164/$R$3</f>
        <v>0</v>
      </c>
      <c r="W164" s="126" t="n">
        <f aca="false">N164/$R$3</f>
        <v>1197.025</v>
      </c>
    </row>
    <row r="165" customFormat="false" ht="12.75" hidden="false" customHeight="false" outlineLevel="0" collapsed="false">
      <c r="A165" s="120" t="n">
        <f aca="false">A164+1</f>
        <v>37051</v>
      </c>
      <c r="B165" s="131" t="str">
        <f aca="false">INDEX('[4]Master Data'!$A$2:$B$8,MATCH(WEEKDAY('SC Gas MTM'!A165,3),'[4]Master Data'!$A$2:$A$8,0),2)</f>
        <v>Sa</v>
      </c>
      <c r="D165" s="124" t="n">
        <v>0</v>
      </c>
      <c r="E165" s="124" t="n">
        <v>0</v>
      </c>
      <c r="F165" s="124" t="n">
        <v>0</v>
      </c>
      <c r="G165" s="124" t="n">
        <v>0</v>
      </c>
      <c r="I165" s="124" t="n">
        <f aca="false">IF(MONTH($A165)=MONTH($A164),IF(G165=0,I164,G165),G165)</f>
        <v>0</v>
      </c>
      <c r="J165" s="124" t="n">
        <f aca="false">IF(MONTH($A165)=MONTH($A164),SUM(I165-I164),I165)</f>
        <v>0</v>
      </c>
      <c r="K165" s="124" t="n">
        <f aca="false">IF(WEEKDAY(A165,3)&gt;4,0,(IF(A165&lt;K$2,0,IF(A165&lt;=K$3,1,0))))</f>
        <v>0</v>
      </c>
      <c r="L165" s="124" t="n">
        <f aca="false">J165*K165</f>
        <v>0</v>
      </c>
      <c r="M165" s="124" t="n">
        <f aca="false">SUM(J$97:J165)</f>
        <v>0</v>
      </c>
      <c r="N165" s="124" t="n">
        <f aca="false">SUM(J$6:J165)</f>
        <v>1197025</v>
      </c>
      <c r="P165" s="124" t="n">
        <f aca="false">D165/P$3</f>
        <v>0</v>
      </c>
      <c r="Q165" s="124" t="n">
        <f aca="false">E165/P$3</f>
        <v>0</v>
      </c>
      <c r="R165" s="124" t="n">
        <f aca="false">F165/R$3</f>
        <v>0</v>
      </c>
      <c r="S165" s="126" t="n">
        <f aca="false">J165/$R$3</f>
        <v>0</v>
      </c>
      <c r="T165" s="126" t="n">
        <f aca="false">L165/$R$3</f>
        <v>0</v>
      </c>
      <c r="U165" s="126" t="n">
        <f aca="false">I165/$R$3</f>
        <v>0</v>
      </c>
      <c r="V165" s="126" t="n">
        <f aca="false">M165/$R$3</f>
        <v>0</v>
      </c>
      <c r="W165" s="126" t="n">
        <f aca="false">N165/$R$3</f>
        <v>1197.025</v>
      </c>
    </row>
    <row r="166" customFormat="false" ht="12.75" hidden="false" customHeight="false" outlineLevel="0" collapsed="false">
      <c r="A166" s="120" t="n">
        <f aca="false">A165+1</f>
        <v>37052</v>
      </c>
      <c r="B166" s="131" t="str">
        <f aca="false">INDEX('[4]Master Data'!$A$2:$B$8,MATCH(WEEKDAY('SC Gas MTM'!A166,3),'[4]Master Data'!$A$2:$A$8,0),2)</f>
        <v>Su</v>
      </c>
      <c r="D166" s="124" t="n">
        <v>0</v>
      </c>
      <c r="E166" s="124" t="n">
        <v>0</v>
      </c>
      <c r="F166" s="124" t="n">
        <v>0</v>
      </c>
      <c r="G166" s="124" t="n">
        <v>0</v>
      </c>
      <c r="I166" s="124" t="n">
        <f aca="false">IF(MONTH($A166)=MONTH($A165),IF(G166=0,I165,G166),G166)</f>
        <v>0</v>
      </c>
      <c r="J166" s="124" t="n">
        <f aca="false">IF(MONTH($A166)=MONTH($A165),SUM(I166-I165),I166)</f>
        <v>0</v>
      </c>
      <c r="K166" s="124" t="n">
        <f aca="false">IF(WEEKDAY(A166,3)&gt;4,0,(IF(A166&lt;K$2,0,IF(A166&lt;=K$3,1,0))))</f>
        <v>0</v>
      </c>
      <c r="L166" s="124" t="n">
        <f aca="false">J166*K166</f>
        <v>0</v>
      </c>
      <c r="M166" s="124" t="n">
        <f aca="false">SUM(J$97:J166)</f>
        <v>0</v>
      </c>
      <c r="N166" s="124" t="n">
        <f aca="false">SUM(J$6:J166)</f>
        <v>1197025</v>
      </c>
      <c r="P166" s="124" t="n">
        <f aca="false">D166/P$3</f>
        <v>0</v>
      </c>
      <c r="Q166" s="124" t="n">
        <f aca="false">E166/P$3</f>
        <v>0</v>
      </c>
      <c r="R166" s="124" t="n">
        <f aca="false">F166/R$3</f>
        <v>0</v>
      </c>
      <c r="S166" s="126" t="n">
        <f aca="false">J166/$R$3</f>
        <v>0</v>
      </c>
      <c r="T166" s="126" t="n">
        <f aca="false">L166/$R$3</f>
        <v>0</v>
      </c>
      <c r="U166" s="126" t="n">
        <f aca="false">I166/$R$3</f>
        <v>0</v>
      </c>
      <c r="V166" s="126" t="n">
        <f aca="false">M166/$R$3</f>
        <v>0</v>
      </c>
      <c r="W166" s="126" t="n">
        <f aca="false">N166/$R$3</f>
        <v>1197.025</v>
      </c>
    </row>
    <row r="167" customFormat="false" ht="12.75" hidden="false" customHeight="false" outlineLevel="0" collapsed="false">
      <c r="A167" s="120" t="n">
        <f aca="false">A166+1</f>
        <v>37053</v>
      </c>
      <c r="B167" s="131" t="str">
        <f aca="false">INDEX('[4]Master Data'!$A$2:$B$8,MATCH(WEEKDAY('SC Gas MTM'!A167,3),'[4]Master Data'!$A$2:$A$8,0),2)</f>
        <v>M</v>
      </c>
      <c r="D167" s="124" t="n">
        <v>0</v>
      </c>
      <c r="E167" s="124" t="n">
        <v>0</v>
      </c>
      <c r="F167" s="124" t="n">
        <v>0</v>
      </c>
      <c r="G167" s="124" t="n">
        <v>0</v>
      </c>
      <c r="I167" s="124" t="n">
        <f aca="false">IF(MONTH($A167)=MONTH($A166),IF(G167=0,I166,G167),G167)</f>
        <v>0</v>
      </c>
      <c r="J167" s="124" t="n">
        <f aca="false">IF(MONTH($A167)=MONTH($A166),SUM(I167-I166),I167)</f>
        <v>0</v>
      </c>
      <c r="K167" s="124" t="n">
        <f aca="false">IF(WEEKDAY(A167,3)&gt;4,0,(IF(A167&lt;K$2,0,IF(A167&lt;=K$3,1,0))))</f>
        <v>0</v>
      </c>
      <c r="L167" s="124" t="n">
        <f aca="false">J167*K167</f>
        <v>0</v>
      </c>
      <c r="M167" s="124" t="n">
        <f aca="false">SUM(J$97:J167)</f>
        <v>0</v>
      </c>
      <c r="N167" s="124" t="n">
        <f aca="false">SUM(J$6:J167)</f>
        <v>1197025</v>
      </c>
      <c r="P167" s="124" t="n">
        <f aca="false">D167/P$3</f>
        <v>0</v>
      </c>
      <c r="Q167" s="124" t="n">
        <f aca="false">E167/P$3</f>
        <v>0</v>
      </c>
      <c r="R167" s="124" t="n">
        <f aca="false">F167/R$3</f>
        <v>0</v>
      </c>
      <c r="S167" s="126" t="n">
        <f aca="false">J167/$R$3</f>
        <v>0</v>
      </c>
      <c r="T167" s="126" t="n">
        <f aca="false">L167/$R$3</f>
        <v>0</v>
      </c>
      <c r="U167" s="126" t="n">
        <f aca="false">I167/$R$3</f>
        <v>0</v>
      </c>
      <c r="V167" s="126" t="n">
        <f aca="false">M167/$R$3</f>
        <v>0</v>
      </c>
      <c r="W167" s="126" t="n">
        <f aca="false">N167/$R$3</f>
        <v>1197.025</v>
      </c>
    </row>
    <row r="168" customFormat="false" ht="12.75" hidden="false" customHeight="false" outlineLevel="0" collapsed="false">
      <c r="A168" s="120" t="n">
        <f aca="false">A167+1</f>
        <v>37054</v>
      </c>
      <c r="B168" s="131" t="str">
        <f aca="false">INDEX('[4]Master Data'!$A$2:$B$8,MATCH(WEEKDAY('SC Gas MTM'!A168,3),'[4]Master Data'!$A$2:$A$8,0),2)</f>
        <v>T</v>
      </c>
      <c r="D168" s="124" t="n">
        <v>0</v>
      </c>
      <c r="E168" s="124" t="n">
        <v>0</v>
      </c>
      <c r="F168" s="124" t="n">
        <v>0</v>
      </c>
      <c r="G168" s="124" t="n">
        <v>0</v>
      </c>
      <c r="I168" s="124" t="n">
        <f aca="false">IF(MONTH($A168)=MONTH($A167),IF(G168=0,I167,G168),G168)</f>
        <v>0</v>
      </c>
      <c r="J168" s="124" t="n">
        <f aca="false">IF(MONTH($A168)=MONTH($A167),SUM(I168-I167),I168)</f>
        <v>0</v>
      </c>
      <c r="K168" s="124" t="n">
        <f aca="false">IF(WEEKDAY(A168,3)&gt;4,0,(IF(A168&lt;K$2,0,IF(A168&lt;=K$3,1,0))))</f>
        <v>0</v>
      </c>
      <c r="L168" s="124" t="n">
        <f aca="false">J168*K168</f>
        <v>0</v>
      </c>
      <c r="M168" s="124" t="n">
        <f aca="false">SUM(J$97:J168)</f>
        <v>0</v>
      </c>
      <c r="N168" s="124" t="n">
        <f aca="false">SUM(J$6:J168)</f>
        <v>1197025</v>
      </c>
      <c r="P168" s="124" t="n">
        <f aca="false">D168/P$3</f>
        <v>0</v>
      </c>
      <c r="Q168" s="124" t="n">
        <f aca="false">E168/P$3</f>
        <v>0</v>
      </c>
      <c r="R168" s="124" t="n">
        <f aca="false">F168/R$3</f>
        <v>0</v>
      </c>
      <c r="S168" s="126" t="n">
        <f aca="false">J168/$R$3</f>
        <v>0</v>
      </c>
      <c r="T168" s="126" t="n">
        <f aca="false">L168/$R$3</f>
        <v>0</v>
      </c>
      <c r="U168" s="126" t="n">
        <f aca="false">I168/$R$3</f>
        <v>0</v>
      </c>
      <c r="V168" s="126" t="n">
        <f aca="false">M168/$R$3</f>
        <v>0</v>
      </c>
      <c r="W168" s="126" t="n">
        <f aca="false">N168/$R$3</f>
        <v>1197.025</v>
      </c>
    </row>
    <row r="169" customFormat="false" ht="12.75" hidden="false" customHeight="false" outlineLevel="0" collapsed="false">
      <c r="A169" s="120" t="n">
        <f aca="false">A168+1</f>
        <v>37055</v>
      </c>
      <c r="B169" s="131" t="str">
        <f aca="false">INDEX('[4]Master Data'!$A$2:$B$8,MATCH(WEEKDAY('SC Gas MTM'!A169,3),'[4]Master Data'!$A$2:$A$8,0),2)</f>
        <v>W</v>
      </c>
      <c r="D169" s="124" t="n">
        <v>0</v>
      </c>
      <c r="E169" s="124" t="n">
        <v>0</v>
      </c>
      <c r="F169" s="124" t="n">
        <v>0</v>
      </c>
      <c r="G169" s="124" t="n">
        <v>0</v>
      </c>
      <c r="I169" s="124" t="n">
        <f aca="false">IF(MONTH($A169)=MONTH($A168),IF(G169=0,I168,G169),G169)</f>
        <v>0</v>
      </c>
      <c r="J169" s="124" t="n">
        <f aca="false">IF(MONTH($A169)=MONTH($A168),SUM(I169-I168),I169)</f>
        <v>0</v>
      </c>
      <c r="K169" s="124" t="n">
        <f aca="false">IF(WEEKDAY(A169,3)&gt;4,0,(IF(A169&lt;K$2,0,IF(A169&lt;=K$3,1,0))))</f>
        <v>0</v>
      </c>
      <c r="L169" s="124" t="n">
        <f aca="false">J169*K169</f>
        <v>0</v>
      </c>
      <c r="M169" s="124" t="n">
        <f aca="false">SUM(J$97:J169)</f>
        <v>0</v>
      </c>
      <c r="N169" s="124" t="n">
        <f aca="false">SUM(J$6:J169)</f>
        <v>1197025</v>
      </c>
      <c r="P169" s="124" t="n">
        <f aca="false">D169/P$3</f>
        <v>0</v>
      </c>
      <c r="Q169" s="124" t="n">
        <f aca="false">E169/P$3</f>
        <v>0</v>
      </c>
      <c r="R169" s="124" t="n">
        <f aca="false">F169/R$3</f>
        <v>0</v>
      </c>
      <c r="S169" s="126" t="n">
        <f aca="false">J169/$R$3</f>
        <v>0</v>
      </c>
      <c r="T169" s="126" t="n">
        <f aca="false">L169/$R$3</f>
        <v>0</v>
      </c>
      <c r="U169" s="126" t="n">
        <f aca="false">I169/$R$3</f>
        <v>0</v>
      </c>
      <c r="V169" s="126" t="n">
        <f aca="false">M169/$R$3</f>
        <v>0</v>
      </c>
      <c r="W169" s="126" t="n">
        <f aca="false">N169/$R$3</f>
        <v>1197.025</v>
      </c>
    </row>
    <row r="170" customFormat="false" ht="12.75" hidden="false" customHeight="false" outlineLevel="0" collapsed="false">
      <c r="A170" s="120" t="n">
        <f aca="false">A169+1</f>
        <v>37056</v>
      </c>
      <c r="B170" s="131" t="str">
        <f aca="false">INDEX('[4]Master Data'!$A$2:$B$8,MATCH(WEEKDAY('SC Gas MTM'!A170,3),'[4]Master Data'!$A$2:$A$8,0),2)</f>
        <v>Th</v>
      </c>
      <c r="D170" s="124" t="n">
        <v>0</v>
      </c>
      <c r="E170" s="124" t="n">
        <v>0</v>
      </c>
      <c r="F170" s="124" t="n">
        <v>0</v>
      </c>
      <c r="G170" s="124" t="n">
        <v>0</v>
      </c>
      <c r="I170" s="124" t="n">
        <f aca="false">IF(MONTH($A170)=MONTH($A169),IF(G170=0,I169,G170),G170)</f>
        <v>0</v>
      </c>
      <c r="J170" s="124" t="n">
        <f aca="false">IF(MONTH($A170)=MONTH($A169),SUM(I170-I169),I170)</f>
        <v>0</v>
      </c>
      <c r="K170" s="124" t="n">
        <f aca="false">IF(WEEKDAY(A170,3)&gt;4,0,(IF(A170&lt;K$2,0,IF(A170&lt;=K$3,1,0))))</f>
        <v>0</v>
      </c>
      <c r="L170" s="124" t="n">
        <f aca="false">J170*K170</f>
        <v>0</v>
      </c>
      <c r="M170" s="124" t="n">
        <f aca="false">SUM(J$97:J170)</f>
        <v>0</v>
      </c>
      <c r="N170" s="124" t="n">
        <f aca="false">SUM(J$6:J170)</f>
        <v>1197025</v>
      </c>
      <c r="P170" s="124" t="n">
        <f aca="false">D170/P$3</f>
        <v>0</v>
      </c>
      <c r="Q170" s="124" t="n">
        <f aca="false">E170/P$3</f>
        <v>0</v>
      </c>
      <c r="R170" s="124" t="n">
        <f aca="false">F170/R$3</f>
        <v>0</v>
      </c>
      <c r="S170" s="126" t="n">
        <f aca="false">J170/$R$3</f>
        <v>0</v>
      </c>
      <c r="T170" s="126" t="n">
        <f aca="false">L170/$R$3</f>
        <v>0</v>
      </c>
      <c r="U170" s="126" t="n">
        <f aca="false">I170/$R$3</f>
        <v>0</v>
      </c>
      <c r="V170" s="126" t="n">
        <f aca="false">M170/$R$3</f>
        <v>0</v>
      </c>
      <c r="W170" s="126" t="n">
        <f aca="false">N170/$R$3</f>
        <v>1197.025</v>
      </c>
    </row>
    <row r="171" customFormat="false" ht="12.75" hidden="false" customHeight="false" outlineLevel="0" collapsed="false">
      <c r="A171" s="120" t="n">
        <f aca="false">A170+1</f>
        <v>37057</v>
      </c>
      <c r="B171" s="131" t="str">
        <f aca="false">INDEX('[4]Master Data'!$A$2:$B$8,MATCH(WEEKDAY('SC Gas MTM'!A171,3),'[4]Master Data'!$A$2:$A$8,0),2)</f>
        <v>F</v>
      </c>
      <c r="D171" s="124" t="n">
        <v>0</v>
      </c>
      <c r="E171" s="124" t="n">
        <v>0</v>
      </c>
      <c r="F171" s="124" t="n">
        <v>0</v>
      </c>
      <c r="G171" s="124" t="n">
        <v>0</v>
      </c>
      <c r="I171" s="124" t="n">
        <f aca="false">IF(MONTH($A171)=MONTH($A170),IF(G171=0,I170,G171),G171)</f>
        <v>0</v>
      </c>
      <c r="J171" s="124" t="n">
        <f aca="false">IF(MONTH($A171)=MONTH($A170),SUM(I171-I170),I171)</f>
        <v>0</v>
      </c>
      <c r="K171" s="124" t="n">
        <f aca="false">IF(WEEKDAY(A171,3)&gt;4,0,(IF(A171&lt;K$2,0,IF(A171&lt;=K$3,1,0))))</f>
        <v>0</v>
      </c>
      <c r="L171" s="124" t="n">
        <f aca="false">J171*K171</f>
        <v>0</v>
      </c>
      <c r="M171" s="124" t="n">
        <f aca="false">SUM(J$97:J171)</f>
        <v>0</v>
      </c>
      <c r="N171" s="124" t="n">
        <f aca="false">SUM(J$6:J171)</f>
        <v>1197025</v>
      </c>
      <c r="P171" s="124" t="n">
        <f aca="false">D171/P$3</f>
        <v>0</v>
      </c>
      <c r="Q171" s="124" t="n">
        <f aca="false">E171/P$3</f>
        <v>0</v>
      </c>
      <c r="R171" s="124" t="n">
        <f aca="false">F171/R$3</f>
        <v>0</v>
      </c>
      <c r="S171" s="126" t="n">
        <f aca="false">J171/$R$3</f>
        <v>0</v>
      </c>
      <c r="T171" s="126" t="n">
        <f aca="false">L171/$R$3</f>
        <v>0</v>
      </c>
      <c r="U171" s="126" t="n">
        <f aca="false">I171/$R$3</f>
        <v>0</v>
      </c>
      <c r="V171" s="126" t="n">
        <f aca="false">M171/$R$3</f>
        <v>0</v>
      </c>
      <c r="W171" s="126" t="n">
        <f aca="false">N171/$R$3</f>
        <v>1197.025</v>
      </c>
    </row>
    <row r="172" customFormat="false" ht="12.75" hidden="false" customHeight="false" outlineLevel="0" collapsed="false">
      <c r="A172" s="120" t="n">
        <f aca="false">A171+1</f>
        <v>37058</v>
      </c>
      <c r="B172" s="131" t="str">
        <f aca="false">INDEX('[4]Master Data'!$A$2:$B$8,MATCH(WEEKDAY('SC Gas MTM'!A172,3),'[4]Master Data'!$A$2:$A$8,0),2)</f>
        <v>Sa</v>
      </c>
      <c r="D172" s="124" t="n">
        <v>0</v>
      </c>
      <c r="E172" s="124" t="n">
        <v>0</v>
      </c>
      <c r="F172" s="124" t="n">
        <v>0</v>
      </c>
      <c r="G172" s="124" t="n">
        <v>0</v>
      </c>
      <c r="I172" s="124" t="n">
        <f aca="false">IF(MONTH($A172)=MONTH($A171),IF(G172=0,I171,G172),G172)</f>
        <v>0</v>
      </c>
      <c r="J172" s="124" t="n">
        <f aca="false">IF(MONTH($A172)=MONTH($A171),SUM(I172-I171),I172)</f>
        <v>0</v>
      </c>
      <c r="K172" s="124" t="n">
        <f aca="false">IF(WEEKDAY(A172,3)&gt;4,0,(IF(A172&lt;K$2,0,IF(A172&lt;=K$3,1,0))))</f>
        <v>0</v>
      </c>
      <c r="L172" s="124" t="n">
        <f aca="false">J172*K172</f>
        <v>0</v>
      </c>
      <c r="M172" s="124" t="n">
        <f aca="false">SUM(J$97:J172)</f>
        <v>0</v>
      </c>
      <c r="N172" s="124" t="n">
        <f aca="false">SUM(J$6:J172)</f>
        <v>1197025</v>
      </c>
      <c r="P172" s="124" t="n">
        <f aca="false">D172/P$3</f>
        <v>0</v>
      </c>
      <c r="Q172" s="124" t="n">
        <f aca="false">E172/P$3</f>
        <v>0</v>
      </c>
      <c r="R172" s="124" t="n">
        <f aca="false">F172/R$3</f>
        <v>0</v>
      </c>
      <c r="S172" s="126" t="n">
        <f aca="false">J172/$R$3</f>
        <v>0</v>
      </c>
      <c r="T172" s="126" t="n">
        <f aca="false">L172/$R$3</f>
        <v>0</v>
      </c>
      <c r="U172" s="126" t="n">
        <f aca="false">I172/$R$3</f>
        <v>0</v>
      </c>
      <c r="V172" s="126" t="n">
        <f aca="false">M172/$R$3</f>
        <v>0</v>
      </c>
      <c r="W172" s="126" t="n">
        <f aca="false">N172/$R$3</f>
        <v>1197.025</v>
      </c>
    </row>
    <row r="173" customFormat="false" ht="12.75" hidden="false" customHeight="false" outlineLevel="0" collapsed="false">
      <c r="A173" s="120" t="n">
        <f aca="false">A172+1</f>
        <v>37059</v>
      </c>
      <c r="B173" s="131" t="str">
        <f aca="false">INDEX('[4]Master Data'!$A$2:$B$8,MATCH(WEEKDAY('SC Gas MTM'!A173,3),'[4]Master Data'!$A$2:$A$8,0),2)</f>
        <v>Su</v>
      </c>
      <c r="D173" s="124" t="n">
        <v>0</v>
      </c>
      <c r="E173" s="124" t="n">
        <v>0</v>
      </c>
      <c r="F173" s="124" t="n">
        <v>0</v>
      </c>
      <c r="G173" s="124" t="n">
        <v>0</v>
      </c>
      <c r="I173" s="124" t="n">
        <f aca="false">IF(MONTH($A173)=MONTH($A172),IF(G173=0,I172,G173),G173)</f>
        <v>0</v>
      </c>
      <c r="J173" s="124" t="n">
        <f aca="false">IF(MONTH($A173)=MONTH($A172),SUM(I173-I172),I173)</f>
        <v>0</v>
      </c>
      <c r="K173" s="124" t="n">
        <f aca="false">IF(WEEKDAY(A173,3)&gt;4,0,(IF(A173&lt;K$2,0,IF(A173&lt;=K$3,1,0))))</f>
        <v>0</v>
      </c>
      <c r="L173" s="124" t="n">
        <f aca="false">J173*K173</f>
        <v>0</v>
      </c>
      <c r="M173" s="124" t="n">
        <f aca="false">SUM(J$97:J173)</f>
        <v>0</v>
      </c>
      <c r="N173" s="124" t="n">
        <f aca="false">SUM(J$6:J173)</f>
        <v>1197025</v>
      </c>
      <c r="P173" s="124" t="n">
        <f aca="false">D173/P$3</f>
        <v>0</v>
      </c>
      <c r="Q173" s="124" t="n">
        <f aca="false">E173/P$3</f>
        <v>0</v>
      </c>
      <c r="R173" s="124" t="n">
        <f aca="false">F173/R$3</f>
        <v>0</v>
      </c>
      <c r="S173" s="126" t="n">
        <f aca="false">J173/$R$3</f>
        <v>0</v>
      </c>
      <c r="T173" s="126" t="n">
        <f aca="false">L173/$R$3</f>
        <v>0</v>
      </c>
      <c r="U173" s="126" t="n">
        <f aca="false">I173/$R$3</f>
        <v>0</v>
      </c>
      <c r="V173" s="126" t="n">
        <f aca="false">M173/$R$3</f>
        <v>0</v>
      </c>
      <c r="W173" s="126" t="n">
        <f aca="false">N173/$R$3</f>
        <v>1197.025</v>
      </c>
    </row>
    <row r="174" customFormat="false" ht="12.75" hidden="false" customHeight="false" outlineLevel="0" collapsed="false">
      <c r="A174" s="120" t="n">
        <f aca="false">A173+1</f>
        <v>37060</v>
      </c>
      <c r="B174" s="131" t="str">
        <f aca="false">INDEX('[4]Master Data'!$A$2:$B$8,MATCH(WEEKDAY('SC Gas MTM'!A174,3),'[4]Master Data'!$A$2:$A$8,0),2)</f>
        <v>M</v>
      </c>
      <c r="D174" s="124" t="n">
        <v>0</v>
      </c>
      <c r="E174" s="124" t="n">
        <v>0</v>
      </c>
      <c r="F174" s="124" t="n">
        <v>0</v>
      </c>
      <c r="G174" s="124" t="n">
        <v>0</v>
      </c>
      <c r="I174" s="124" t="n">
        <f aca="false">IF(MONTH($A174)=MONTH($A173),IF(G174=0,I173,G174),G174)</f>
        <v>0</v>
      </c>
      <c r="J174" s="124" t="n">
        <f aca="false">IF(MONTH($A174)=MONTH($A173),SUM(I174-I173),I174)</f>
        <v>0</v>
      </c>
      <c r="K174" s="124" t="n">
        <f aca="false">IF(WEEKDAY(A174,3)&gt;4,0,(IF(A174&lt;K$2,0,IF(A174&lt;=K$3,1,0))))</f>
        <v>0</v>
      </c>
      <c r="L174" s="124" t="n">
        <f aca="false">J174*K174</f>
        <v>0</v>
      </c>
      <c r="M174" s="124" t="n">
        <f aca="false">SUM(J$97:J174)</f>
        <v>0</v>
      </c>
      <c r="N174" s="124" t="n">
        <f aca="false">SUM(J$6:J174)</f>
        <v>1197025</v>
      </c>
      <c r="P174" s="124" t="n">
        <f aca="false">D174/P$3</f>
        <v>0</v>
      </c>
      <c r="Q174" s="124" t="n">
        <f aca="false">E174/P$3</f>
        <v>0</v>
      </c>
      <c r="R174" s="124" t="n">
        <f aca="false">F174/R$3</f>
        <v>0</v>
      </c>
      <c r="S174" s="126" t="n">
        <f aca="false">J174/$R$3</f>
        <v>0</v>
      </c>
      <c r="T174" s="126" t="n">
        <f aca="false">L174/$R$3</f>
        <v>0</v>
      </c>
      <c r="U174" s="126" t="n">
        <f aca="false">I174/$R$3</f>
        <v>0</v>
      </c>
      <c r="V174" s="126" t="n">
        <f aca="false">M174/$R$3</f>
        <v>0</v>
      </c>
      <c r="W174" s="126" t="n">
        <f aca="false">N174/$R$3</f>
        <v>1197.025</v>
      </c>
    </row>
    <row r="175" customFormat="false" ht="12.75" hidden="false" customHeight="false" outlineLevel="0" collapsed="false">
      <c r="A175" s="120" t="n">
        <f aca="false">A174+1</f>
        <v>37061</v>
      </c>
      <c r="B175" s="131" t="str">
        <f aca="false">INDEX('[4]Master Data'!$A$2:$B$8,MATCH(WEEKDAY('SC Gas MTM'!A175,3),'[4]Master Data'!$A$2:$A$8,0),2)</f>
        <v>T</v>
      </c>
      <c r="D175" s="124" t="n">
        <v>0</v>
      </c>
      <c r="E175" s="124" t="n">
        <v>0</v>
      </c>
      <c r="F175" s="124" t="n">
        <v>0</v>
      </c>
      <c r="G175" s="124" t="n">
        <v>0</v>
      </c>
      <c r="I175" s="124" t="n">
        <f aca="false">IF(MONTH($A175)=MONTH($A174),IF(G175=0,I174,G175),G175)</f>
        <v>0</v>
      </c>
      <c r="J175" s="124" t="n">
        <f aca="false">IF(MONTH($A175)=MONTH($A174),SUM(I175-I174),I175)</f>
        <v>0</v>
      </c>
      <c r="K175" s="124" t="n">
        <f aca="false">IF(WEEKDAY(A175,3)&gt;4,0,(IF(A175&lt;K$2,0,IF(A175&lt;=K$3,1,0))))</f>
        <v>0</v>
      </c>
      <c r="L175" s="124" t="n">
        <f aca="false">J175*K175</f>
        <v>0</v>
      </c>
      <c r="M175" s="124" t="n">
        <f aca="false">SUM(J$97:J175)</f>
        <v>0</v>
      </c>
      <c r="N175" s="124" t="n">
        <f aca="false">SUM(J$6:J175)</f>
        <v>1197025</v>
      </c>
      <c r="P175" s="124" t="n">
        <f aca="false">D175/P$3</f>
        <v>0</v>
      </c>
      <c r="Q175" s="124" t="n">
        <f aca="false">E175/P$3</f>
        <v>0</v>
      </c>
      <c r="R175" s="124" t="n">
        <f aca="false">F175/R$3</f>
        <v>0</v>
      </c>
      <c r="S175" s="126" t="n">
        <f aca="false">J175/$R$3</f>
        <v>0</v>
      </c>
      <c r="T175" s="126" t="n">
        <f aca="false">L175/$R$3</f>
        <v>0</v>
      </c>
      <c r="U175" s="126" t="n">
        <f aca="false">I175/$R$3</f>
        <v>0</v>
      </c>
      <c r="V175" s="126" t="n">
        <f aca="false">M175/$R$3</f>
        <v>0</v>
      </c>
      <c r="W175" s="126" t="n">
        <f aca="false">N175/$R$3</f>
        <v>1197.025</v>
      </c>
    </row>
    <row r="176" customFormat="false" ht="12.75" hidden="false" customHeight="false" outlineLevel="0" collapsed="false">
      <c r="A176" s="120" t="n">
        <f aca="false">A175+1</f>
        <v>37062</v>
      </c>
      <c r="B176" s="131" t="str">
        <f aca="false">INDEX('[4]Master Data'!$A$2:$B$8,MATCH(WEEKDAY('SC Gas MTM'!A176,3),'[4]Master Data'!$A$2:$A$8,0),2)</f>
        <v>W</v>
      </c>
      <c r="D176" s="124" t="n">
        <v>0</v>
      </c>
      <c r="E176" s="124" t="n">
        <v>0</v>
      </c>
      <c r="F176" s="124" t="n">
        <v>0</v>
      </c>
      <c r="G176" s="124" t="n">
        <v>0</v>
      </c>
      <c r="I176" s="124" t="n">
        <f aca="false">IF(MONTH($A176)=MONTH($A175),IF(G176=0,I175,G176),G176)</f>
        <v>0</v>
      </c>
      <c r="J176" s="124" t="n">
        <f aca="false">IF(MONTH($A176)=MONTH($A175),SUM(I176-I175),I176)</f>
        <v>0</v>
      </c>
      <c r="K176" s="124" t="n">
        <f aca="false">IF(WEEKDAY(A176,3)&gt;4,0,(IF(A176&lt;K$2,0,IF(A176&lt;=K$3,1,0))))</f>
        <v>0</v>
      </c>
      <c r="L176" s="124" t="n">
        <f aca="false">J176*K176</f>
        <v>0</v>
      </c>
      <c r="M176" s="124" t="n">
        <f aca="false">SUM(J$97:J176)</f>
        <v>0</v>
      </c>
      <c r="N176" s="124" t="n">
        <f aca="false">SUM(J$6:J176)</f>
        <v>1197025</v>
      </c>
      <c r="P176" s="124" t="n">
        <f aca="false">D176/P$3</f>
        <v>0</v>
      </c>
      <c r="Q176" s="124" t="n">
        <f aca="false">E176/P$3</f>
        <v>0</v>
      </c>
      <c r="R176" s="124" t="n">
        <f aca="false">F176/R$3</f>
        <v>0</v>
      </c>
      <c r="S176" s="126" t="n">
        <f aca="false">J176/$R$3</f>
        <v>0</v>
      </c>
      <c r="T176" s="126" t="n">
        <f aca="false">L176/$R$3</f>
        <v>0</v>
      </c>
      <c r="U176" s="126" t="n">
        <f aca="false">I176/$R$3</f>
        <v>0</v>
      </c>
      <c r="V176" s="126" t="n">
        <f aca="false">M176/$R$3</f>
        <v>0</v>
      </c>
      <c r="W176" s="126" t="n">
        <f aca="false">N176/$R$3</f>
        <v>1197.025</v>
      </c>
    </row>
    <row r="177" customFormat="false" ht="12.75" hidden="false" customHeight="false" outlineLevel="0" collapsed="false">
      <c r="A177" s="120" t="n">
        <f aca="false">A176+1</f>
        <v>37063</v>
      </c>
      <c r="B177" s="131" t="str">
        <f aca="false">INDEX('[4]Master Data'!$A$2:$B$8,MATCH(WEEKDAY('SC Gas MTM'!A177,3),'[4]Master Data'!$A$2:$A$8,0),2)</f>
        <v>Th</v>
      </c>
      <c r="D177" s="124" t="n">
        <v>0</v>
      </c>
      <c r="E177" s="124" t="n">
        <v>0</v>
      </c>
      <c r="F177" s="124" t="n">
        <v>0</v>
      </c>
      <c r="G177" s="124" t="n">
        <v>0</v>
      </c>
      <c r="I177" s="124" t="n">
        <f aca="false">IF(MONTH($A177)=MONTH($A176),IF(G177=0,I176,G177),G177)</f>
        <v>0</v>
      </c>
      <c r="J177" s="124" t="n">
        <f aca="false">IF(MONTH($A177)=MONTH($A176),SUM(I177-I176),I177)</f>
        <v>0</v>
      </c>
      <c r="K177" s="124" t="n">
        <f aca="false">IF(WEEKDAY(A177,3)&gt;4,0,(IF(A177&lt;K$2,0,IF(A177&lt;=K$3,1,0))))</f>
        <v>0</v>
      </c>
      <c r="L177" s="124" t="n">
        <f aca="false">J177*K177</f>
        <v>0</v>
      </c>
      <c r="M177" s="124" t="n">
        <f aca="false">SUM(J$97:J177)</f>
        <v>0</v>
      </c>
      <c r="N177" s="124" t="n">
        <f aca="false">SUM(J$6:J177)</f>
        <v>1197025</v>
      </c>
      <c r="P177" s="124" t="n">
        <f aca="false">D177/P$3</f>
        <v>0</v>
      </c>
      <c r="Q177" s="124" t="n">
        <f aca="false">E177/P$3</f>
        <v>0</v>
      </c>
      <c r="R177" s="124" t="n">
        <f aca="false">F177/R$3</f>
        <v>0</v>
      </c>
      <c r="S177" s="126" t="n">
        <f aca="false">J177/$R$3</f>
        <v>0</v>
      </c>
      <c r="T177" s="126" t="n">
        <f aca="false">L177/$R$3</f>
        <v>0</v>
      </c>
      <c r="U177" s="126" t="n">
        <f aca="false">I177/$R$3</f>
        <v>0</v>
      </c>
      <c r="V177" s="126" t="n">
        <f aca="false">M177/$R$3</f>
        <v>0</v>
      </c>
      <c r="W177" s="126" t="n">
        <f aca="false">N177/$R$3</f>
        <v>1197.025</v>
      </c>
    </row>
    <row r="178" customFormat="false" ht="12.75" hidden="false" customHeight="false" outlineLevel="0" collapsed="false">
      <c r="A178" s="120" t="n">
        <f aca="false">A177+1</f>
        <v>37064</v>
      </c>
      <c r="B178" s="131" t="str">
        <f aca="false">INDEX('[4]Master Data'!$A$2:$B$8,MATCH(WEEKDAY('SC Gas MTM'!A178,3),'[4]Master Data'!$A$2:$A$8,0),2)</f>
        <v>F</v>
      </c>
      <c r="D178" s="124" t="n">
        <v>0</v>
      </c>
      <c r="E178" s="124" t="n">
        <v>0</v>
      </c>
      <c r="F178" s="124" t="n">
        <v>0</v>
      </c>
      <c r="G178" s="124" t="n">
        <v>0</v>
      </c>
      <c r="I178" s="124" t="n">
        <f aca="false">IF(MONTH($A178)=MONTH($A177),IF(G178=0,I177,G178),G178)</f>
        <v>0</v>
      </c>
      <c r="J178" s="124" t="n">
        <f aca="false">IF(MONTH($A178)=MONTH($A177),SUM(I178-I177),I178)</f>
        <v>0</v>
      </c>
      <c r="K178" s="124" t="n">
        <f aca="false">IF(WEEKDAY(A178,3)&gt;4,0,(IF(A178&lt;K$2,0,IF(A178&lt;=K$3,1,0))))</f>
        <v>0</v>
      </c>
      <c r="L178" s="124" t="n">
        <f aca="false">J178*K178</f>
        <v>0</v>
      </c>
      <c r="M178" s="124" t="n">
        <f aca="false">SUM(J$97:J178)</f>
        <v>0</v>
      </c>
      <c r="N178" s="124" t="n">
        <f aca="false">SUM(J$6:J178)</f>
        <v>1197025</v>
      </c>
      <c r="P178" s="124" t="n">
        <f aca="false">D178/P$3</f>
        <v>0</v>
      </c>
      <c r="Q178" s="124" t="n">
        <f aca="false">E178/P$3</f>
        <v>0</v>
      </c>
      <c r="R178" s="124" t="n">
        <f aca="false">F178/R$3</f>
        <v>0</v>
      </c>
      <c r="S178" s="126" t="n">
        <f aca="false">J178/$R$3</f>
        <v>0</v>
      </c>
      <c r="T178" s="126" t="n">
        <f aca="false">L178/$R$3</f>
        <v>0</v>
      </c>
      <c r="U178" s="126" t="n">
        <f aca="false">I178/$R$3</f>
        <v>0</v>
      </c>
      <c r="V178" s="126" t="n">
        <f aca="false">M178/$R$3</f>
        <v>0</v>
      </c>
      <c r="W178" s="126" t="n">
        <f aca="false">N178/$R$3</f>
        <v>1197.025</v>
      </c>
    </row>
    <row r="179" customFormat="false" ht="12.75" hidden="false" customHeight="false" outlineLevel="0" collapsed="false">
      <c r="A179" s="120" t="n">
        <f aca="false">A178+1</f>
        <v>37065</v>
      </c>
      <c r="B179" s="131" t="str">
        <f aca="false">INDEX('[4]Master Data'!$A$2:$B$8,MATCH(WEEKDAY('SC Gas MTM'!A179,3),'[4]Master Data'!$A$2:$A$8,0),2)</f>
        <v>Sa</v>
      </c>
      <c r="D179" s="124" t="n">
        <v>0</v>
      </c>
      <c r="E179" s="124" t="n">
        <v>0</v>
      </c>
      <c r="F179" s="124" t="n">
        <v>0</v>
      </c>
      <c r="G179" s="124" t="n">
        <v>0</v>
      </c>
      <c r="I179" s="124" t="n">
        <f aca="false">IF(MONTH($A179)=MONTH($A178),IF(G179=0,I178,G179),G179)</f>
        <v>0</v>
      </c>
      <c r="J179" s="124" t="n">
        <f aca="false">IF(MONTH($A179)=MONTH($A178),SUM(I179-I178),I179)</f>
        <v>0</v>
      </c>
      <c r="K179" s="124" t="n">
        <f aca="false">IF(WEEKDAY(A179,3)&gt;4,0,(IF(A179&lt;K$2,0,IF(A179&lt;=K$3,1,0))))</f>
        <v>0</v>
      </c>
      <c r="L179" s="124" t="n">
        <f aca="false">J179*K179</f>
        <v>0</v>
      </c>
      <c r="M179" s="124" t="n">
        <f aca="false">SUM(J$97:J179)</f>
        <v>0</v>
      </c>
      <c r="N179" s="124" t="n">
        <f aca="false">SUM(J$6:J179)</f>
        <v>1197025</v>
      </c>
      <c r="P179" s="124" t="n">
        <f aca="false">D179/P$3</f>
        <v>0</v>
      </c>
      <c r="Q179" s="124" t="n">
        <f aca="false">E179/P$3</f>
        <v>0</v>
      </c>
      <c r="R179" s="124" t="n">
        <f aca="false">F179/R$3</f>
        <v>0</v>
      </c>
      <c r="S179" s="126" t="n">
        <f aca="false">J179/$R$3</f>
        <v>0</v>
      </c>
      <c r="T179" s="126" t="n">
        <f aca="false">L179/$R$3</f>
        <v>0</v>
      </c>
      <c r="U179" s="126" t="n">
        <f aca="false">I179/$R$3</f>
        <v>0</v>
      </c>
      <c r="V179" s="126" t="n">
        <f aca="false">M179/$R$3</f>
        <v>0</v>
      </c>
      <c r="W179" s="126" t="n">
        <f aca="false">N179/$R$3</f>
        <v>1197.025</v>
      </c>
    </row>
    <row r="180" customFormat="false" ht="12.75" hidden="false" customHeight="false" outlineLevel="0" collapsed="false">
      <c r="A180" s="120" t="n">
        <f aca="false">A179+1</f>
        <v>37066</v>
      </c>
      <c r="B180" s="131" t="str">
        <f aca="false">INDEX('[4]Master Data'!$A$2:$B$8,MATCH(WEEKDAY('SC Gas MTM'!A180,3),'[4]Master Data'!$A$2:$A$8,0),2)</f>
        <v>Su</v>
      </c>
      <c r="D180" s="124" t="n">
        <v>0</v>
      </c>
      <c r="E180" s="124" t="n">
        <v>0</v>
      </c>
      <c r="F180" s="124" t="n">
        <v>0</v>
      </c>
      <c r="G180" s="124" t="n">
        <v>0</v>
      </c>
      <c r="I180" s="124" t="n">
        <f aca="false">IF(MONTH($A180)=MONTH($A179),IF(G180=0,I179,G180),G180)</f>
        <v>0</v>
      </c>
      <c r="J180" s="124" t="n">
        <f aca="false">IF(MONTH($A180)=MONTH($A179),SUM(I180-I179),I180)</f>
        <v>0</v>
      </c>
      <c r="K180" s="124" t="n">
        <f aca="false">IF(WEEKDAY(A180,3)&gt;4,0,(IF(A180&lt;K$2,0,IF(A180&lt;=K$3,1,0))))</f>
        <v>0</v>
      </c>
      <c r="L180" s="124" t="n">
        <f aca="false">J180*K180</f>
        <v>0</v>
      </c>
      <c r="M180" s="124" t="n">
        <f aca="false">SUM(J$97:J180)</f>
        <v>0</v>
      </c>
      <c r="N180" s="124" t="n">
        <f aca="false">SUM(J$6:J180)</f>
        <v>1197025</v>
      </c>
      <c r="P180" s="124" t="n">
        <f aca="false">D180/P$3</f>
        <v>0</v>
      </c>
      <c r="Q180" s="124" t="n">
        <f aca="false">E180/P$3</f>
        <v>0</v>
      </c>
      <c r="R180" s="124" t="n">
        <f aca="false">F180/R$3</f>
        <v>0</v>
      </c>
      <c r="S180" s="126" t="n">
        <f aca="false">J180/$R$3</f>
        <v>0</v>
      </c>
      <c r="T180" s="126" t="n">
        <f aca="false">L180/$R$3</f>
        <v>0</v>
      </c>
      <c r="U180" s="126" t="n">
        <f aca="false">I180/$R$3</f>
        <v>0</v>
      </c>
      <c r="V180" s="126" t="n">
        <f aca="false">M180/$R$3</f>
        <v>0</v>
      </c>
      <c r="W180" s="126" t="n">
        <f aca="false">N180/$R$3</f>
        <v>1197.025</v>
      </c>
    </row>
    <row r="181" customFormat="false" ht="12.75" hidden="false" customHeight="false" outlineLevel="0" collapsed="false">
      <c r="A181" s="120" t="n">
        <f aca="false">A180+1</f>
        <v>37067</v>
      </c>
      <c r="B181" s="131" t="str">
        <f aca="false">INDEX('[4]Master Data'!$A$2:$B$8,MATCH(WEEKDAY('SC Gas MTM'!A181,3),'[4]Master Data'!$A$2:$A$8,0),2)</f>
        <v>M</v>
      </c>
      <c r="D181" s="124" t="n">
        <v>0</v>
      </c>
      <c r="E181" s="124" t="n">
        <v>0</v>
      </c>
      <c r="F181" s="124" t="n">
        <v>0</v>
      </c>
      <c r="G181" s="124" t="n">
        <v>0</v>
      </c>
      <c r="I181" s="124" t="n">
        <f aca="false">IF(MONTH($A181)=MONTH($A180),IF(G181=0,I180,G181),G181)</f>
        <v>0</v>
      </c>
      <c r="J181" s="124" t="n">
        <f aca="false">IF(MONTH($A181)=MONTH($A180),SUM(I181-I180),I181)</f>
        <v>0</v>
      </c>
      <c r="K181" s="124" t="n">
        <f aca="false">IF(WEEKDAY(A181,3)&gt;4,0,(IF(A181&lt;K$2,0,IF(A181&lt;=K$3,1,0))))</f>
        <v>0</v>
      </c>
      <c r="L181" s="124" t="n">
        <f aca="false">J181*K181</f>
        <v>0</v>
      </c>
      <c r="M181" s="124" t="n">
        <f aca="false">SUM(J$97:J181)</f>
        <v>0</v>
      </c>
      <c r="N181" s="124" t="n">
        <f aca="false">SUM(J$6:J181)</f>
        <v>1197025</v>
      </c>
      <c r="P181" s="124" t="n">
        <f aca="false">D181/P$3</f>
        <v>0</v>
      </c>
      <c r="Q181" s="124" t="n">
        <f aca="false">E181/P$3</f>
        <v>0</v>
      </c>
      <c r="R181" s="124" t="n">
        <f aca="false">F181/R$3</f>
        <v>0</v>
      </c>
      <c r="S181" s="126" t="n">
        <f aca="false">J181/$R$3</f>
        <v>0</v>
      </c>
      <c r="T181" s="126" t="n">
        <f aca="false">L181/$R$3</f>
        <v>0</v>
      </c>
      <c r="U181" s="126" t="n">
        <f aca="false">I181/$R$3</f>
        <v>0</v>
      </c>
      <c r="V181" s="126" t="n">
        <f aca="false">M181/$R$3</f>
        <v>0</v>
      </c>
      <c r="W181" s="126" t="n">
        <f aca="false">N181/$R$3</f>
        <v>1197.025</v>
      </c>
    </row>
    <row r="182" customFormat="false" ht="12.75" hidden="false" customHeight="false" outlineLevel="0" collapsed="false">
      <c r="A182" s="120" t="n">
        <f aca="false">A181+1</f>
        <v>37068</v>
      </c>
      <c r="B182" s="131" t="str">
        <f aca="false">INDEX('[4]Master Data'!$A$2:$B$8,MATCH(WEEKDAY('SC Gas MTM'!A182,3),'[4]Master Data'!$A$2:$A$8,0),2)</f>
        <v>T</v>
      </c>
      <c r="D182" s="124" t="n">
        <v>0</v>
      </c>
      <c r="E182" s="124" t="n">
        <v>0</v>
      </c>
      <c r="F182" s="124" t="n">
        <v>0</v>
      </c>
      <c r="G182" s="124" t="n">
        <v>0</v>
      </c>
      <c r="I182" s="124" t="n">
        <f aca="false">IF(MONTH($A182)=MONTH($A181),IF(G182=0,I181,G182),G182)</f>
        <v>0</v>
      </c>
      <c r="J182" s="124" t="n">
        <f aca="false">IF(MONTH($A182)=MONTH($A181),SUM(I182-I181),I182)</f>
        <v>0</v>
      </c>
      <c r="K182" s="124" t="n">
        <f aca="false">IF(WEEKDAY(A182,3)&gt;4,0,(IF(A182&lt;K$2,0,IF(A182&lt;=K$3,1,0))))</f>
        <v>0</v>
      </c>
      <c r="L182" s="124" t="n">
        <f aca="false">J182*K182</f>
        <v>0</v>
      </c>
      <c r="M182" s="124" t="n">
        <f aca="false">SUM(J$97:J182)</f>
        <v>0</v>
      </c>
      <c r="N182" s="124" t="n">
        <f aca="false">SUM(J$6:J182)</f>
        <v>1197025</v>
      </c>
      <c r="P182" s="124" t="n">
        <f aca="false">D182/P$3</f>
        <v>0</v>
      </c>
      <c r="Q182" s="124" t="n">
        <f aca="false">E182/P$3</f>
        <v>0</v>
      </c>
      <c r="R182" s="124" t="n">
        <f aca="false">F182/R$3</f>
        <v>0</v>
      </c>
      <c r="S182" s="126" t="n">
        <f aca="false">J182/$R$3</f>
        <v>0</v>
      </c>
      <c r="T182" s="126" t="n">
        <f aca="false">L182/$R$3</f>
        <v>0</v>
      </c>
      <c r="U182" s="126" t="n">
        <f aca="false">I182/$R$3</f>
        <v>0</v>
      </c>
      <c r="V182" s="126" t="n">
        <f aca="false">M182/$R$3</f>
        <v>0</v>
      </c>
      <c r="W182" s="126" t="n">
        <f aca="false">N182/$R$3</f>
        <v>1197.025</v>
      </c>
    </row>
    <row r="183" customFormat="false" ht="12.75" hidden="false" customHeight="false" outlineLevel="0" collapsed="false">
      <c r="A183" s="120" t="n">
        <f aca="false">A182+1</f>
        <v>37069</v>
      </c>
      <c r="B183" s="131" t="str">
        <f aca="false">INDEX('[4]Master Data'!$A$2:$B$8,MATCH(WEEKDAY('SC Gas MTM'!A183,3),'[4]Master Data'!$A$2:$A$8,0),2)</f>
        <v>W</v>
      </c>
      <c r="D183" s="124" t="n">
        <v>0</v>
      </c>
      <c r="E183" s="124" t="n">
        <v>0</v>
      </c>
      <c r="F183" s="124" t="n">
        <v>0</v>
      </c>
      <c r="G183" s="124" t="n">
        <v>0</v>
      </c>
      <c r="I183" s="124" t="n">
        <f aca="false">IF(MONTH($A183)=MONTH($A182),IF(G183=0,I182,G183),G183)</f>
        <v>0</v>
      </c>
      <c r="J183" s="124" t="n">
        <f aca="false">IF(MONTH($A183)=MONTH($A182),SUM(I183-I182),I183)</f>
        <v>0</v>
      </c>
      <c r="K183" s="124" t="n">
        <f aca="false">IF(WEEKDAY(A183,3)&gt;4,0,(IF(A183&lt;K$2,0,IF(A183&lt;=K$3,1,0))))</f>
        <v>0</v>
      </c>
      <c r="L183" s="124" t="n">
        <f aca="false">J183*K183</f>
        <v>0</v>
      </c>
      <c r="M183" s="124" t="n">
        <f aca="false">SUM(J$97:J183)</f>
        <v>0</v>
      </c>
      <c r="N183" s="124" t="n">
        <f aca="false">SUM(J$6:J183)</f>
        <v>1197025</v>
      </c>
      <c r="P183" s="124" t="n">
        <f aca="false">D183/P$3</f>
        <v>0</v>
      </c>
      <c r="Q183" s="124" t="n">
        <f aca="false">E183/P$3</f>
        <v>0</v>
      </c>
      <c r="R183" s="124" t="n">
        <f aca="false">F183/R$3</f>
        <v>0</v>
      </c>
      <c r="S183" s="126" t="n">
        <f aca="false">J183/$R$3</f>
        <v>0</v>
      </c>
      <c r="T183" s="126" t="n">
        <f aca="false">L183/$R$3</f>
        <v>0</v>
      </c>
      <c r="U183" s="126" t="n">
        <f aca="false">I183/$R$3</f>
        <v>0</v>
      </c>
      <c r="V183" s="126" t="n">
        <f aca="false">M183/$R$3</f>
        <v>0</v>
      </c>
      <c r="W183" s="126" t="n">
        <f aca="false">N183/$R$3</f>
        <v>1197.025</v>
      </c>
    </row>
    <row r="184" customFormat="false" ht="12.75" hidden="false" customHeight="false" outlineLevel="0" collapsed="false">
      <c r="A184" s="120" t="n">
        <f aca="false">A183+1</f>
        <v>37070</v>
      </c>
      <c r="B184" s="131" t="str">
        <f aca="false">INDEX('[4]Master Data'!$A$2:$B$8,MATCH(WEEKDAY('SC Gas MTM'!A184,3),'[4]Master Data'!$A$2:$A$8,0),2)</f>
        <v>Th</v>
      </c>
      <c r="D184" s="124" t="n">
        <v>0</v>
      </c>
      <c r="E184" s="124" t="n">
        <v>0</v>
      </c>
      <c r="F184" s="124" t="n">
        <v>0</v>
      </c>
      <c r="G184" s="124" t="n">
        <v>0</v>
      </c>
      <c r="I184" s="124" t="n">
        <f aca="false">IF(MONTH($A184)=MONTH($A183),IF(G184=0,I183,G184),G184)</f>
        <v>0</v>
      </c>
      <c r="J184" s="124" t="n">
        <f aca="false">IF(MONTH($A184)=MONTH($A183),SUM(I184-I183),I184)</f>
        <v>0</v>
      </c>
      <c r="K184" s="124" t="n">
        <f aca="false">IF(WEEKDAY(A184,3)&gt;4,0,(IF(A184&lt;K$2,0,IF(A184&lt;=K$3,1,0))))</f>
        <v>0</v>
      </c>
      <c r="L184" s="124" t="n">
        <f aca="false">J184*K184</f>
        <v>0</v>
      </c>
      <c r="M184" s="124" t="n">
        <f aca="false">SUM(J$97:J184)</f>
        <v>0</v>
      </c>
      <c r="N184" s="124" t="n">
        <f aca="false">SUM(J$6:J184)</f>
        <v>1197025</v>
      </c>
      <c r="P184" s="124" t="n">
        <f aca="false">D184/P$3</f>
        <v>0</v>
      </c>
      <c r="Q184" s="124" t="n">
        <f aca="false">E184/P$3</f>
        <v>0</v>
      </c>
      <c r="R184" s="124" t="n">
        <f aca="false">F184/R$3</f>
        <v>0</v>
      </c>
      <c r="S184" s="126" t="n">
        <f aca="false">J184/$R$3</f>
        <v>0</v>
      </c>
      <c r="T184" s="126" t="n">
        <f aca="false">L184/$R$3</f>
        <v>0</v>
      </c>
      <c r="U184" s="126" t="n">
        <f aca="false">I184/$R$3</f>
        <v>0</v>
      </c>
      <c r="V184" s="126" t="n">
        <f aca="false">M184/$R$3</f>
        <v>0</v>
      </c>
      <c r="W184" s="126" t="n">
        <f aca="false">N184/$R$3</f>
        <v>1197.025</v>
      </c>
    </row>
    <row r="185" customFormat="false" ht="12.75" hidden="false" customHeight="false" outlineLevel="0" collapsed="false">
      <c r="A185" s="120" t="n">
        <f aca="false">A184+1</f>
        <v>37071</v>
      </c>
      <c r="B185" s="131" t="str">
        <f aca="false">INDEX('[4]Master Data'!$A$2:$B$8,MATCH(WEEKDAY('SC Gas MTM'!A185,3),'[4]Master Data'!$A$2:$A$8,0),2)</f>
        <v>F</v>
      </c>
      <c r="D185" s="124" t="n">
        <v>0</v>
      </c>
      <c r="E185" s="124" t="n">
        <v>0</v>
      </c>
      <c r="F185" s="124" t="n">
        <v>0</v>
      </c>
      <c r="G185" s="124" t="n">
        <v>0</v>
      </c>
      <c r="I185" s="124" t="n">
        <f aca="false">IF(MONTH($A185)=MONTH($A184),IF(G185=0,I184,G185),G185)</f>
        <v>0</v>
      </c>
      <c r="J185" s="124" t="n">
        <f aca="false">IF(MONTH($A185)=MONTH($A184),SUM(I185-I184),I185)</f>
        <v>0</v>
      </c>
      <c r="K185" s="124" t="n">
        <f aca="false">IF(WEEKDAY(A185,3)&gt;4,0,(IF(A185&lt;K$2,0,IF(A185&lt;=K$3,1,0))))</f>
        <v>0</v>
      </c>
      <c r="L185" s="124" t="n">
        <f aca="false">J185*K185</f>
        <v>0</v>
      </c>
      <c r="M185" s="124" t="n">
        <f aca="false">SUM(J$97:J185)</f>
        <v>0</v>
      </c>
      <c r="N185" s="124" t="n">
        <f aca="false">SUM(J$6:J185)</f>
        <v>1197025</v>
      </c>
      <c r="P185" s="124" t="n">
        <f aca="false">D185/P$3</f>
        <v>0</v>
      </c>
      <c r="Q185" s="124" t="n">
        <f aca="false">E185/P$3</f>
        <v>0</v>
      </c>
      <c r="R185" s="124" t="n">
        <f aca="false">F185/R$3</f>
        <v>0</v>
      </c>
      <c r="S185" s="126" t="n">
        <f aca="false">J185/$R$3</f>
        <v>0</v>
      </c>
      <c r="T185" s="126" t="n">
        <f aca="false">L185/$R$3</f>
        <v>0</v>
      </c>
      <c r="U185" s="126" t="n">
        <f aca="false">I185/$R$3</f>
        <v>0</v>
      </c>
      <c r="V185" s="126" t="n">
        <f aca="false">M185/$R$3</f>
        <v>0</v>
      </c>
      <c r="W185" s="126" t="n">
        <f aca="false">N185/$R$3</f>
        <v>1197.025</v>
      </c>
    </row>
    <row r="186" customFormat="false" ht="12.75" hidden="false" customHeight="false" outlineLevel="0" collapsed="false">
      <c r="A186" s="120" t="n">
        <f aca="false">A185+1</f>
        <v>37072</v>
      </c>
      <c r="B186" s="131" t="str">
        <f aca="false">INDEX('[4]Master Data'!$A$2:$B$8,MATCH(WEEKDAY('SC Gas MTM'!A186,3),'[4]Master Data'!$A$2:$A$8,0),2)</f>
        <v>Sa</v>
      </c>
      <c r="D186" s="124" t="n">
        <v>0</v>
      </c>
      <c r="E186" s="124" t="n">
        <v>0</v>
      </c>
      <c r="F186" s="124" t="n">
        <v>0</v>
      </c>
      <c r="G186" s="124" t="n">
        <v>0</v>
      </c>
      <c r="I186" s="124" t="n">
        <f aca="false">IF(MONTH($A186)=MONTH($A185),IF(G186=0,I185,G186),G186)</f>
        <v>0</v>
      </c>
      <c r="J186" s="124" t="n">
        <f aca="false">IF(MONTH($A186)=MONTH($A185),SUM(I186-I185),I186)</f>
        <v>0</v>
      </c>
      <c r="K186" s="124" t="n">
        <f aca="false">IF(WEEKDAY(A186,3)&gt;4,0,(IF(A186&lt;K$2,0,IF(A186&lt;=K$3,1,0))))</f>
        <v>0</v>
      </c>
      <c r="L186" s="124" t="n">
        <f aca="false">J186*K186</f>
        <v>0</v>
      </c>
      <c r="M186" s="124" t="n">
        <f aca="false">SUM(J$97:J186)</f>
        <v>0</v>
      </c>
      <c r="N186" s="124" t="n">
        <f aca="false">SUM(J$6:J186)</f>
        <v>1197025</v>
      </c>
      <c r="P186" s="124" t="n">
        <f aca="false">D186/P$3</f>
        <v>0</v>
      </c>
      <c r="Q186" s="124" t="n">
        <f aca="false">E186/P$3</f>
        <v>0</v>
      </c>
      <c r="R186" s="124" t="n">
        <f aca="false">F186/R$3</f>
        <v>0</v>
      </c>
      <c r="S186" s="126" t="n">
        <f aca="false">J186/$R$3</f>
        <v>0</v>
      </c>
      <c r="T186" s="126" t="n">
        <f aca="false">L186/$R$3</f>
        <v>0</v>
      </c>
      <c r="U186" s="126" t="n">
        <f aca="false">I186/$R$3</f>
        <v>0</v>
      </c>
      <c r="V186" s="126" t="n">
        <f aca="false">M186/$R$3</f>
        <v>0</v>
      </c>
      <c r="W186" s="126" t="n">
        <f aca="false">N186/$R$3</f>
        <v>1197.025</v>
      </c>
    </row>
    <row r="187" customFormat="false" ht="12.75" hidden="false" customHeight="false" outlineLevel="0" collapsed="false">
      <c r="A187" s="120" t="n">
        <f aca="false">A186+1</f>
        <v>37073</v>
      </c>
      <c r="B187" s="131" t="str">
        <f aca="false">INDEX('[4]Master Data'!$A$2:$B$8,MATCH(WEEKDAY('SC Gas MTM'!A187,3),'[4]Master Data'!$A$2:$A$8,0),2)</f>
        <v>Su</v>
      </c>
      <c r="D187" s="124" t="n">
        <v>0</v>
      </c>
      <c r="E187" s="124" t="n">
        <v>0</v>
      </c>
      <c r="F187" s="124" t="n">
        <v>0</v>
      </c>
      <c r="G187" s="124" t="n">
        <v>0</v>
      </c>
      <c r="I187" s="124" t="n">
        <f aca="false">IF(MONTH($A187)=MONTH($A186),IF(G187=0,I186,G187),G187)</f>
        <v>0</v>
      </c>
      <c r="J187" s="124" t="n">
        <f aca="false">IF(MONTH($A187)=MONTH($A186),SUM(I187-I186),I187)</f>
        <v>0</v>
      </c>
      <c r="K187" s="124" t="n">
        <f aca="false">IF(WEEKDAY(A187,3)&gt;4,0,(IF(A187&lt;K$2,0,IF(A187&lt;=K$3,1,0))))</f>
        <v>0</v>
      </c>
      <c r="L187" s="124" t="n">
        <f aca="false">J187*K187</f>
        <v>0</v>
      </c>
      <c r="M187" s="124" t="n">
        <f aca="false">SUM(J$97:J187)</f>
        <v>0</v>
      </c>
      <c r="N187" s="124" t="n">
        <f aca="false">SUM(J$6:J187)</f>
        <v>1197025</v>
      </c>
      <c r="P187" s="124" t="n">
        <f aca="false">D187/P$3</f>
        <v>0</v>
      </c>
      <c r="Q187" s="124" t="n">
        <f aca="false">E187/P$3</f>
        <v>0</v>
      </c>
      <c r="R187" s="124" t="n">
        <f aca="false">F187/R$3</f>
        <v>0</v>
      </c>
      <c r="S187" s="126" t="n">
        <f aca="false">J187/$R$3</f>
        <v>0</v>
      </c>
      <c r="T187" s="126" t="n">
        <f aca="false">L187/$R$3</f>
        <v>0</v>
      </c>
      <c r="U187" s="126" t="n">
        <f aca="false">I187/$R$3</f>
        <v>0</v>
      </c>
      <c r="V187" s="126" t="n">
        <f aca="false">M187/$R$3</f>
        <v>0</v>
      </c>
      <c r="W187" s="126" t="n">
        <f aca="false">N187/$R$3</f>
        <v>1197.025</v>
      </c>
    </row>
    <row r="188" customFormat="false" ht="12.75" hidden="false" customHeight="false" outlineLevel="0" collapsed="false">
      <c r="A188" s="120" t="n">
        <f aca="false">A187+1</f>
        <v>37074</v>
      </c>
      <c r="B188" s="131" t="str">
        <f aca="false">INDEX('[4]Master Data'!$A$2:$B$8,MATCH(WEEKDAY('SC Gas MTM'!A188,3),'[4]Master Data'!$A$2:$A$8,0),2)</f>
        <v>M</v>
      </c>
      <c r="D188" s="124" t="n">
        <v>0</v>
      </c>
      <c r="E188" s="124" t="n">
        <v>0</v>
      </c>
      <c r="F188" s="124" t="n">
        <v>0</v>
      </c>
      <c r="G188" s="124" t="n">
        <v>0</v>
      </c>
      <c r="I188" s="124" t="n">
        <f aca="false">IF(MONTH($A188)=MONTH($A187),IF(G188=0,I187,G188),G188)</f>
        <v>0</v>
      </c>
      <c r="J188" s="124" t="n">
        <f aca="false">IF(MONTH($A188)=MONTH($A187),SUM(I188-I187),I188)</f>
        <v>0</v>
      </c>
      <c r="K188" s="124" t="n">
        <f aca="false">IF(WEEKDAY(A188,3)&gt;4,0,(IF(A188&lt;K$2,0,IF(A188&lt;=K$3,1,0))))</f>
        <v>0</v>
      </c>
      <c r="L188" s="124" t="n">
        <f aca="false">J188*K188</f>
        <v>0</v>
      </c>
      <c r="M188" s="124" t="n">
        <f aca="false">SUM(J$188:J188)</f>
        <v>0</v>
      </c>
      <c r="N188" s="124" t="n">
        <f aca="false">SUM(J$6:J188)</f>
        <v>1197025</v>
      </c>
      <c r="P188" s="124" t="n">
        <f aca="false">D188/P$3</f>
        <v>0</v>
      </c>
      <c r="Q188" s="124" t="n">
        <f aca="false">E188/P$3</f>
        <v>0</v>
      </c>
      <c r="R188" s="124" t="n">
        <f aca="false">F188/R$3</f>
        <v>0</v>
      </c>
      <c r="S188" s="126" t="n">
        <f aca="false">J188/$R$3</f>
        <v>0</v>
      </c>
      <c r="T188" s="126" t="n">
        <f aca="false">L188/$R$3</f>
        <v>0</v>
      </c>
      <c r="U188" s="126" t="n">
        <f aca="false">I188/$R$3</f>
        <v>0</v>
      </c>
      <c r="V188" s="126" t="n">
        <f aca="false">M188/$R$3</f>
        <v>0</v>
      </c>
      <c r="W188" s="126" t="n">
        <f aca="false">N188/$R$3</f>
        <v>1197.025</v>
      </c>
    </row>
    <row r="189" customFormat="false" ht="12.75" hidden="false" customHeight="false" outlineLevel="0" collapsed="false">
      <c r="A189" s="120" t="n">
        <f aca="false">A188+1</f>
        <v>37075</v>
      </c>
      <c r="B189" s="131" t="str">
        <f aca="false">INDEX('[4]Master Data'!$A$2:$B$8,MATCH(WEEKDAY('SC Gas MTM'!A189,3),'[4]Master Data'!$A$2:$A$8,0),2)</f>
        <v>T</v>
      </c>
      <c r="D189" s="124" t="n">
        <v>0</v>
      </c>
      <c r="E189" s="124" t="n">
        <v>0</v>
      </c>
      <c r="F189" s="124" t="n">
        <v>0</v>
      </c>
      <c r="G189" s="124" t="n">
        <v>0</v>
      </c>
      <c r="I189" s="124" t="n">
        <f aca="false">IF(MONTH($A189)=MONTH($A188),IF(G189=0,I188,G189),G189)</f>
        <v>0</v>
      </c>
      <c r="J189" s="124" t="n">
        <f aca="false">IF(MONTH($A189)=MONTH($A188),SUM(I189-I188),I189)</f>
        <v>0</v>
      </c>
      <c r="K189" s="124" t="n">
        <f aca="false">IF(WEEKDAY(A189,3)&gt;4,0,(IF(A189&lt;K$2,0,IF(A189&lt;=K$3,1,0))))</f>
        <v>0</v>
      </c>
      <c r="L189" s="124" t="n">
        <f aca="false">J189*K189</f>
        <v>0</v>
      </c>
      <c r="M189" s="124" t="n">
        <f aca="false">SUM(J$188:J189)</f>
        <v>0</v>
      </c>
      <c r="N189" s="124" t="n">
        <f aca="false">SUM(J$6:J189)</f>
        <v>1197025</v>
      </c>
      <c r="P189" s="124" t="n">
        <f aca="false">D189/P$3</f>
        <v>0</v>
      </c>
      <c r="Q189" s="124" t="n">
        <f aca="false">E189/P$3</f>
        <v>0</v>
      </c>
      <c r="R189" s="124" t="n">
        <f aca="false">F189/R$3</f>
        <v>0</v>
      </c>
      <c r="S189" s="126" t="n">
        <f aca="false">J189/$R$3</f>
        <v>0</v>
      </c>
      <c r="T189" s="126" t="n">
        <f aca="false">L189/$R$3</f>
        <v>0</v>
      </c>
      <c r="U189" s="126" t="n">
        <f aca="false">I189/$R$3</f>
        <v>0</v>
      </c>
      <c r="V189" s="126" t="n">
        <f aca="false">M189/$R$3</f>
        <v>0</v>
      </c>
      <c r="W189" s="126" t="n">
        <f aca="false">N189/$R$3</f>
        <v>1197.025</v>
      </c>
    </row>
    <row r="190" customFormat="false" ht="12.75" hidden="false" customHeight="false" outlineLevel="0" collapsed="false">
      <c r="A190" s="120" t="n">
        <f aca="false">A189+1</f>
        <v>37076</v>
      </c>
      <c r="B190" s="131" t="str">
        <f aca="false">INDEX('[4]Master Data'!$A$2:$B$8,MATCH(WEEKDAY('SC Gas MTM'!A190,3),'[4]Master Data'!$A$2:$A$8,0),2)</f>
        <v>W</v>
      </c>
      <c r="D190" s="124" t="n">
        <v>0</v>
      </c>
      <c r="E190" s="124" t="n">
        <v>0</v>
      </c>
      <c r="F190" s="124" t="n">
        <v>0</v>
      </c>
      <c r="G190" s="124" t="n">
        <v>0</v>
      </c>
      <c r="I190" s="124" t="n">
        <f aca="false">IF(MONTH($A190)=MONTH($A189),IF(G190=0,I189,G190),G190)</f>
        <v>0</v>
      </c>
      <c r="J190" s="124" t="n">
        <f aca="false">IF(MONTH($A190)=MONTH($A189),SUM(I190-I189),I190)</f>
        <v>0</v>
      </c>
      <c r="K190" s="124" t="n">
        <f aca="false">IF(WEEKDAY(A190,3)&gt;4,0,(IF(A190&lt;K$2,0,IF(A190&lt;=K$3,1,0))))</f>
        <v>0</v>
      </c>
      <c r="L190" s="124" t="n">
        <f aca="false">J190*K190</f>
        <v>0</v>
      </c>
      <c r="M190" s="124" t="n">
        <f aca="false">SUM(J$188:J190)</f>
        <v>0</v>
      </c>
      <c r="N190" s="124" t="n">
        <f aca="false">SUM(J$6:J190)</f>
        <v>1197025</v>
      </c>
      <c r="P190" s="124" t="n">
        <f aca="false">D190/P$3</f>
        <v>0</v>
      </c>
      <c r="Q190" s="124" t="n">
        <f aca="false">E190/P$3</f>
        <v>0</v>
      </c>
      <c r="R190" s="124" t="n">
        <f aca="false">F190/R$3</f>
        <v>0</v>
      </c>
      <c r="S190" s="126" t="n">
        <f aca="false">J190/$R$3</f>
        <v>0</v>
      </c>
      <c r="T190" s="126" t="n">
        <f aca="false">L190/$R$3</f>
        <v>0</v>
      </c>
      <c r="U190" s="126" t="n">
        <f aca="false">I190/$R$3</f>
        <v>0</v>
      </c>
      <c r="V190" s="126" t="n">
        <f aca="false">M190/$R$3</f>
        <v>0</v>
      </c>
      <c r="W190" s="126" t="n">
        <f aca="false">N190/$R$3</f>
        <v>1197.025</v>
      </c>
    </row>
    <row r="191" customFormat="false" ht="12.75" hidden="false" customHeight="false" outlineLevel="0" collapsed="false">
      <c r="A191" s="120" t="n">
        <f aca="false">A190+1</f>
        <v>37077</v>
      </c>
      <c r="B191" s="131" t="str">
        <f aca="false">INDEX('[4]Master Data'!$A$2:$B$8,MATCH(WEEKDAY('SC Gas MTM'!A191,3),'[4]Master Data'!$A$2:$A$8,0),2)</f>
        <v>Th</v>
      </c>
      <c r="D191" s="124" t="n">
        <v>0</v>
      </c>
      <c r="E191" s="124" t="n">
        <v>0</v>
      </c>
      <c r="F191" s="124" t="n">
        <v>0</v>
      </c>
      <c r="G191" s="124" t="n">
        <v>0</v>
      </c>
      <c r="I191" s="124" t="n">
        <f aca="false">IF(MONTH($A191)=MONTH($A190),IF(G191=0,I190,G191),G191)</f>
        <v>0</v>
      </c>
      <c r="J191" s="124" t="n">
        <f aca="false">IF(MONTH($A191)=MONTH($A190),SUM(I191-I190),I191)</f>
        <v>0</v>
      </c>
      <c r="K191" s="124" t="n">
        <f aca="false">IF(WEEKDAY(A191,3)&gt;4,0,(IF(A191&lt;K$2,0,IF(A191&lt;=K$3,1,0))))</f>
        <v>0</v>
      </c>
      <c r="L191" s="124" t="n">
        <f aca="false">J191*K191</f>
        <v>0</v>
      </c>
      <c r="M191" s="124" t="n">
        <f aca="false">SUM(J$188:J191)</f>
        <v>0</v>
      </c>
      <c r="N191" s="124" t="n">
        <f aca="false">SUM(J$6:J191)</f>
        <v>1197025</v>
      </c>
      <c r="P191" s="124" t="n">
        <f aca="false">D191/P$3</f>
        <v>0</v>
      </c>
      <c r="Q191" s="124" t="n">
        <f aca="false">E191/P$3</f>
        <v>0</v>
      </c>
      <c r="R191" s="124" t="n">
        <f aca="false">F191/R$3</f>
        <v>0</v>
      </c>
      <c r="S191" s="126" t="n">
        <f aca="false">J191/$R$3</f>
        <v>0</v>
      </c>
      <c r="T191" s="126" t="n">
        <f aca="false">L191/$R$3</f>
        <v>0</v>
      </c>
      <c r="U191" s="126" t="n">
        <f aca="false">I191/$R$3</f>
        <v>0</v>
      </c>
      <c r="V191" s="126" t="n">
        <f aca="false">M191/$R$3</f>
        <v>0</v>
      </c>
      <c r="W191" s="126" t="n">
        <f aca="false">N191/$R$3</f>
        <v>1197.025</v>
      </c>
    </row>
    <row r="192" customFormat="false" ht="12.75" hidden="false" customHeight="false" outlineLevel="0" collapsed="false">
      <c r="A192" s="120" t="n">
        <f aca="false">A191+1</f>
        <v>37078</v>
      </c>
      <c r="B192" s="131" t="str">
        <f aca="false">INDEX('[4]Master Data'!$A$2:$B$8,MATCH(WEEKDAY('SC Gas MTM'!A192,3),'[4]Master Data'!$A$2:$A$8,0),2)</f>
        <v>F</v>
      </c>
      <c r="D192" s="124" t="n">
        <v>0</v>
      </c>
      <c r="E192" s="124" t="n">
        <v>0</v>
      </c>
      <c r="F192" s="124" t="n">
        <v>0</v>
      </c>
      <c r="G192" s="124" t="n">
        <v>0</v>
      </c>
      <c r="I192" s="124" t="n">
        <f aca="false">IF(MONTH($A192)=MONTH($A191),IF(G192=0,I191,G192),G192)</f>
        <v>0</v>
      </c>
      <c r="J192" s="124" t="n">
        <f aca="false">IF(MONTH($A192)=MONTH($A191),SUM(I192-I191),I192)</f>
        <v>0</v>
      </c>
      <c r="K192" s="124" t="n">
        <f aca="false">IF(WEEKDAY(A192,3)&gt;4,0,(IF(A192&lt;K$2,0,IF(A192&lt;=K$3,1,0))))</f>
        <v>0</v>
      </c>
      <c r="L192" s="124" t="n">
        <f aca="false">J192*K192</f>
        <v>0</v>
      </c>
      <c r="M192" s="124" t="n">
        <f aca="false">SUM(J$188:J192)</f>
        <v>0</v>
      </c>
      <c r="N192" s="124" t="n">
        <f aca="false">SUM(J$6:J192)</f>
        <v>1197025</v>
      </c>
      <c r="P192" s="124" t="n">
        <f aca="false">D192/P$3</f>
        <v>0</v>
      </c>
      <c r="Q192" s="124" t="n">
        <f aca="false">E192/P$3</f>
        <v>0</v>
      </c>
      <c r="R192" s="124" t="n">
        <f aca="false">F192/R$3</f>
        <v>0</v>
      </c>
      <c r="S192" s="126" t="n">
        <f aca="false">J192/$R$3</f>
        <v>0</v>
      </c>
      <c r="T192" s="126" t="n">
        <f aca="false">L192/$R$3</f>
        <v>0</v>
      </c>
      <c r="U192" s="126" t="n">
        <f aca="false">I192/$R$3</f>
        <v>0</v>
      </c>
      <c r="V192" s="126" t="n">
        <f aca="false">M192/$R$3</f>
        <v>0</v>
      </c>
      <c r="W192" s="126" t="n">
        <f aca="false">N192/$R$3</f>
        <v>1197.025</v>
      </c>
    </row>
    <row r="193" customFormat="false" ht="12.75" hidden="false" customHeight="false" outlineLevel="0" collapsed="false">
      <c r="A193" s="120" t="n">
        <f aca="false">A192+1</f>
        <v>37079</v>
      </c>
      <c r="B193" s="131" t="str">
        <f aca="false">INDEX('[4]Master Data'!$A$2:$B$8,MATCH(WEEKDAY('SC Gas MTM'!A193,3),'[4]Master Data'!$A$2:$A$8,0),2)</f>
        <v>Sa</v>
      </c>
      <c r="D193" s="124" t="n">
        <v>0</v>
      </c>
      <c r="E193" s="124" t="n">
        <v>0</v>
      </c>
      <c r="F193" s="124" t="n">
        <v>0</v>
      </c>
      <c r="G193" s="124" t="n">
        <v>0</v>
      </c>
      <c r="I193" s="124" t="n">
        <f aca="false">IF(MONTH($A193)=MONTH($A192),IF(G193=0,I192,G193),G193)</f>
        <v>0</v>
      </c>
      <c r="J193" s="124" t="n">
        <f aca="false">IF(MONTH($A193)=MONTH($A192),SUM(I193-I192),I193)</f>
        <v>0</v>
      </c>
      <c r="K193" s="124" t="n">
        <f aca="false">IF(WEEKDAY(A193,3)&gt;4,0,(IF(A193&lt;K$2,0,IF(A193&lt;=K$3,1,0))))</f>
        <v>0</v>
      </c>
      <c r="L193" s="124" t="n">
        <f aca="false">J193*K193</f>
        <v>0</v>
      </c>
      <c r="M193" s="124" t="n">
        <f aca="false">SUM(J$188:J193)</f>
        <v>0</v>
      </c>
      <c r="N193" s="124" t="n">
        <f aca="false">SUM(J$6:J193)</f>
        <v>1197025</v>
      </c>
      <c r="P193" s="124" t="n">
        <f aca="false">D193/P$3</f>
        <v>0</v>
      </c>
      <c r="Q193" s="124" t="n">
        <f aca="false">E193/P$3</f>
        <v>0</v>
      </c>
      <c r="R193" s="124" t="n">
        <f aca="false">F193/R$3</f>
        <v>0</v>
      </c>
      <c r="S193" s="126" t="n">
        <f aca="false">J193/$R$3</f>
        <v>0</v>
      </c>
      <c r="T193" s="126" t="n">
        <f aca="false">L193/$R$3</f>
        <v>0</v>
      </c>
      <c r="U193" s="126" t="n">
        <f aca="false">I193/$R$3</f>
        <v>0</v>
      </c>
      <c r="V193" s="126" t="n">
        <f aca="false">M193/$R$3</f>
        <v>0</v>
      </c>
      <c r="W193" s="126" t="n">
        <f aca="false">N193/$R$3</f>
        <v>1197.025</v>
      </c>
    </row>
    <row r="194" customFormat="false" ht="12.75" hidden="false" customHeight="false" outlineLevel="0" collapsed="false">
      <c r="A194" s="120" t="n">
        <f aca="false">A193+1</f>
        <v>37080</v>
      </c>
      <c r="B194" s="131" t="str">
        <f aca="false">INDEX('[4]Master Data'!$A$2:$B$8,MATCH(WEEKDAY('SC Gas MTM'!A194,3),'[4]Master Data'!$A$2:$A$8,0),2)</f>
        <v>Su</v>
      </c>
      <c r="D194" s="124" t="n">
        <v>0</v>
      </c>
      <c r="E194" s="124" t="n">
        <v>0</v>
      </c>
      <c r="F194" s="124" t="n">
        <v>0</v>
      </c>
      <c r="G194" s="124" t="n">
        <v>0</v>
      </c>
      <c r="I194" s="124" t="n">
        <f aca="false">IF(MONTH($A194)=MONTH($A193),IF(G194=0,I193,G194),G194)</f>
        <v>0</v>
      </c>
      <c r="J194" s="124" t="n">
        <f aca="false">IF(MONTH($A194)=MONTH($A193),SUM(I194-I193),I194)</f>
        <v>0</v>
      </c>
      <c r="K194" s="124" t="n">
        <f aca="false">IF(WEEKDAY(A194,3)&gt;4,0,(IF(A194&lt;K$2,0,IF(A194&lt;=K$3,1,0))))</f>
        <v>0</v>
      </c>
      <c r="L194" s="124" t="n">
        <f aca="false">J194*K194</f>
        <v>0</v>
      </c>
      <c r="M194" s="124" t="n">
        <f aca="false">SUM(J$188:J194)</f>
        <v>0</v>
      </c>
      <c r="N194" s="124" t="n">
        <f aca="false">SUM(J$6:J194)</f>
        <v>1197025</v>
      </c>
      <c r="P194" s="124" t="n">
        <f aca="false">D194/P$3</f>
        <v>0</v>
      </c>
      <c r="Q194" s="124" t="n">
        <f aca="false">E194/P$3</f>
        <v>0</v>
      </c>
      <c r="R194" s="124" t="n">
        <f aca="false">F194/R$3</f>
        <v>0</v>
      </c>
      <c r="S194" s="126" t="n">
        <f aca="false">J194/$R$3</f>
        <v>0</v>
      </c>
      <c r="T194" s="126" t="n">
        <f aca="false">L194/$R$3</f>
        <v>0</v>
      </c>
      <c r="U194" s="126" t="n">
        <f aca="false">I194/$R$3</f>
        <v>0</v>
      </c>
      <c r="V194" s="126" t="n">
        <f aca="false">M194/$R$3</f>
        <v>0</v>
      </c>
      <c r="W194" s="126" t="n">
        <f aca="false">N194/$R$3</f>
        <v>1197.025</v>
      </c>
    </row>
    <row r="195" customFormat="false" ht="12.75" hidden="false" customHeight="false" outlineLevel="0" collapsed="false">
      <c r="A195" s="120" t="n">
        <f aca="false">A194+1</f>
        <v>37081</v>
      </c>
      <c r="B195" s="131" t="str">
        <f aca="false">INDEX('[4]Master Data'!$A$2:$B$8,MATCH(WEEKDAY('SC Gas MTM'!A195,3),'[4]Master Data'!$A$2:$A$8,0),2)</f>
        <v>M</v>
      </c>
      <c r="D195" s="124" t="n">
        <v>0</v>
      </c>
      <c r="E195" s="124" t="n">
        <v>0</v>
      </c>
      <c r="F195" s="124" t="n">
        <v>0</v>
      </c>
      <c r="G195" s="124" t="n">
        <v>0</v>
      </c>
      <c r="I195" s="124" t="n">
        <f aca="false">IF(MONTH($A195)=MONTH($A194),IF(G195=0,I194,G195),G195)</f>
        <v>0</v>
      </c>
      <c r="J195" s="124" t="n">
        <f aca="false">IF(MONTH($A195)=MONTH($A194),SUM(I195-I194),I195)</f>
        <v>0</v>
      </c>
      <c r="K195" s="124" t="n">
        <f aca="false">IF(WEEKDAY(A195,3)&gt;4,0,(IF(A195&lt;K$2,0,IF(A195&lt;=K$3,1,0))))</f>
        <v>0</v>
      </c>
      <c r="L195" s="124" t="n">
        <f aca="false">J195*K195</f>
        <v>0</v>
      </c>
      <c r="M195" s="124" t="n">
        <f aca="false">SUM(J$188:J195)</f>
        <v>0</v>
      </c>
      <c r="N195" s="124" t="n">
        <f aca="false">SUM(J$6:J195)</f>
        <v>1197025</v>
      </c>
      <c r="P195" s="124" t="n">
        <f aca="false">D195/P$3</f>
        <v>0</v>
      </c>
      <c r="Q195" s="124" t="n">
        <f aca="false">E195/P$3</f>
        <v>0</v>
      </c>
      <c r="R195" s="124" t="n">
        <f aca="false">F195/R$3</f>
        <v>0</v>
      </c>
      <c r="S195" s="126" t="n">
        <f aca="false">J195/$R$3</f>
        <v>0</v>
      </c>
      <c r="T195" s="126" t="n">
        <f aca="false">L195/$R$3</f>
        <v>0</v>
      </c>
      <c r="U195" s="126" t="n">
        <f aca="false">I195/$R$3</f>
        <v>0</v>
      </c>
      <c r="V195" s="126" t="n">
        <f aca="false">M195/$R$3</f>
        <v>0</v>
      </c>
      <c r="W195" s="126" t="n">
        <f aca="false">N195/$R$3</f>
        <v>1197.025</v>
      </c>
    </row>
    <row r="196" customFormat="false" ht="12.75" hidden="false" customHeight="false" outlineLevel="0" collapsed="false">
      <c r="A196" s="120" t="n">
        <f aca="false">A195+1</f>
        <v>37082</v>
      </c>
      <c r="B196" s="131" t="str">
        <f aca="false">INDEX('[4]Master Data'!$A$2:$B$8,MATCH(WEEKDAY('SC Gas MTM'!A196,3),'[4]Master Data'!$A$2:$A$8,0),2)</f>
        <v>T</v>
      </c>
      <c r="D196" s="124" t="n">
        <v>0</v>
      </c>
      <c r="E196" s="124" t="n">
        <v>0</v>
      </c>
      <c r="F196" s="124" t="n">
        <v>0</v>
      </c>
      <c r="G196" s="124" t="n">
        <v>0</v>
      </c>
      <c r="I196" s="124" t="n">
        <f aca="false">IF(MONTH($A196)=MONTH($A195),IF(G196=0,I195,G196),G196)</f>
        <v>0</v>
      </c>
      <c r="J196" s="124" t="n">
        <f aca="false">IF(MONTH($A196)=MONTH($A195),SUM(I196-I195),I196)</f>
        <v>0</v>
      </c>
      <c r="K196" s="124" t="n">
        <f aca="false">IF(WEEKDAY(A196,3)&gt;4,0,(IF(A196&lt;K$2,0,IF(A196&lt;=K$3,1,0))))</f>
        <v>0</v>
      </c>
      <c r="L196" s="124" t="n">
        <f aca="false">J196*K196</f>
        <v>0</v>
      </c>
      <c r="M196" s="124" t="n">
        <f aca="false">SUM(J$188:J196)</f>
        <v>0</v>
      </c>
      <c r="N196" s="124" t="n">
        <f aca="false">SUM(J$6:J196)</f>
        <v>1197025</v>
      </c>
      <c r="P196" s="124" t="n">
        <f aca="false">D196/P$3</f>
        <v>0</v>
      </c>
      <c r="Q196" s="124" t="n">
        <f aca="false">E196/P$3</f>
        <v>0</v>
      </c>
      <c r="R196" s="124" t="n">
        <f aca="false">F196/R$3</f>
        <v>0</v>
      </c>
      <c r="S196" s="126" t="n">
        <f aca="false">J196/$R$3</f>
        <v>0</v>
      </c>
      <c r="T196" s="126" t="n">
        <f aca="false">L196/$R$3</f>
        <v>0</v>
      </c>
      <c r="U196" s="126" t="n">
        <f aca="false">I196/$R$3</f>
        <v>0</v>
      </c>
      <c r="V196" s="126" t="n">
        <f aca="false">M196/$R$3</f>
        <v>0</v>
      </c>
      <c r="W196" s="126" t="n">
        <f aca="false">N196/$R$3</f>
        <v>1197.025</v>
      </c>
    </row>
    <row r="197" customFormat="false" ht="12.75" hidden="false" customHeight="false" outlineLevel="0" collapsed="false">
      <c r="A197" s="120" t="n">
        <f aca="false">A196+1</f>
        <v>37083</v>
      </c>
      <c r="B197" s="131" t="str">
        <f aca="false">INDEX('[4]Master Data'!$A$2:$B$8,MATCH(WEEKDAY('SC Gas MTM'!A197,3),'[4]Master Data'!$A$2:$A$8,0),2)</f>
        <v>W</v>
      </c>
      <c r="D197" s="124" t="n">
        <v>0</v>
      </c>
      <c r="E197" s="124" t="n">
        <v>0</v>
      </c>
      <c r="F197" s="124" t="n">
        <v>0</v>
      </c>
      <c r="G197" s="124" t="n">
        <v>0</v>
      </c>
      <c r="I197" s="124" t="n">
        <f aca="false">IF(MONTH($A197)=MONTH($A196),IF(G197=0,I196,G197),G197)</f>
        <v>0</v>
      </c>
      <c r="J197" s="124" t="n">
        <f aca="false">IF(MONTH($A197)=MONTH($A196),SUM(I197-I196),I197)</f>
        <v>0</v>
      </c>
      <c r="K197" s="124" t="n">
        <f aca="false">IF(WEEKDAY(A197,3)&gt;4,0,(IF(A197&lt;K$2,0,IF(A197&lt;=K$3,1,0))))</f>
        <v>0</v>
      </c>
      <c r="L197" s="124" t="n">
        <f aca="false">J197*K197</f>
        <v>0</v>
      </c>
      <c r="M197" s="124" t="n">
        <f aca="false">SUM(J$188:J197)</f>
        <v>0</v>
      </c>
      <c r="N197" s="124" t="n">
        <f aca="false">SUM(J$6:J197)</f>
        <v>1197025</v>
      </c>
      <c r="P197" s="124" t="n">
        <f aca="false">D197/P$3</f>
        <v>0</v>
      </c>
      <c r="Q197" s="124" t="n">
        <f aca="false">E197/P$3</f>
        <v>0</v>
      </c>
      <c r="R197" s="124" t="n">
        <f aca="false">F197/R$3</f>
        <v>0</v>
      </c>
      <c r="S197" s="126" t="n">
        <f aca="false">J197/$R$3</f>
        <v>0</v>
      </c>
      <c r="T197" s="126" t="n">
        <f aca="false">L197/$R$3</f>
        <v>0</v>
      </c>
      <c r="U197" s="126" t="n">
        <f aca="false">I197/$R$3</f>
        <v>0</v>
      </c>
      <c r="V197" s="126" t="n">
        <f aca="false">M197/$R$3</f>
        <v>0</v>
      </c>
      <c r="W197" s="126" t="n">
        <f aca="false">N197/$R$3</f>
        <v>1197.025</v>
      </c>
    </row>
    <row r="198" customFormat="false" ht="12.75" hidden="false" customHeight="false" outlineLevel="0" collapsed="false">
      <c r="A198" s="120" t="n">
        <f aca="false">A197+1</f>
        <v>37084</v>
      </c>
      <c r="B198" s="131" t="str">
        <f aca="false">INDEX('[4]Master Data'!$A$2:$B$8,MATCH(WEEKDAY('SC Gas MTM'!A198,3),'[4]Master Data'!$A$2:$A$8,0),2)</f>
        <v>Th</v>
      </c>
      <c r="D198" s="124" t="n">
        <v>0</v>
      </c>
      <c r="E198" s="124" t="n">
        <v>0</v>
      </c>
      <c r="F198" s="124" t="n">
        <v>0</v>
      </c>
      <c r="G198" s="124" t="n">
        <v>0</v>
      </c>
      <c r="I198" s="124" t="n">
        <f aca="false">IF(MONTH($A198)=MONTH($A197),IF(G198=0,I197,G198),G198)</f>
        <v>0</v>
      </c>
      <c r="J198" s="124" t="n">
        <f aca="false">IF(MONTH($A198)=MONTH($A197),SUM(I198-I197),I198)</f>
        <v>0</v>
      </c>
      <c r="K198" s="124" t="n">
        <f aca="false">IF(WEEKDAY(A198,3)&gt;4,0,(IF(A198&lt;K$2,0,IF(A198&lt;=K$3,1,0))))</f>
        <v>0</v>
      </c>
      <c r="L198" s="124" t="n">
        <f aca="false">J198*K198</f>
        <v>0</v>
      </c>
      <c r="M198" s="124" t="n">
        <f aca="false">SUM(J$188:J198)</f>
        <v>0</v>
      </c>
      <c r="N198" s="124" t="n">
        <f aca="false">SUM(J$6:J198)</f>
        <v>1197025</v>
      </c>
      <c r="P198" s="124" t="n">
        <f aca="false">D198/P$3</f>
        <v>0</v>
      </c>
      <c r="Q198" s="124" t="n">
        <f aca="false">E198/P$3</f>
        <v>0</v>
      </c>
      <c r="R198" s="124" t="n">
        <f aca="false">F198/R$3</f>
        <v>0</v>
      </c>
      <c r="S198" s="126" t="n">
        <f aca="false">J198/$R$3</f>
        <v>0</v>
      </c>
      <c r="T198" s="126" t="n">
        <f aca="false">L198/$R$3</f>
        <v>0</v>
      </c>
      <c r="U198" s="126" t="n">
        <f aca="false">I198/$R$3</f>
        <v>0</v>
      </c>
      <c r="V198" s="126" t="n">
        <f aca="false">M198/$R$3</f>
        <v>0</v>
      </c>
      <c r="W198" s="126" t="n">
        <f aca="false">N198/$R$3</f>
        <v>1197.025</v>
      </c>
    </row>
    <row r="199" customFormat="false" ht="12.75" hidden="false" customHeight="false" outlineLevel="0" collapsed="false">
      <c r="A199" s="120" t="n">
        <f aca="false">A198+1</f>
        <v>37085</v>
      </c>
      <c r="B199" s="131" t="str">
        <f aca="false">INDEX('[4]Master Data'!$A$2:$B$8,MATCH(WEEKDAY('SC Gas MTM'!A199,3),'[4]Master Data'!$A$2:$A$8,0),2)</f>
        <v>F</v>
      </c>
      <c r="D199" s="124" t="n">
        <v>0</v>
      </c>
      <c r="E199" s="124" t="n">
        <v>0</v>
      </c>
      <c r="F199" s="124" t="n">
        <v>0</v>
      </c>
      <c r="G199" s="124" t="n">
        <v>0</v>
      </c>
      <c r="I199" s="124" t="n">
        <f aca="false">IF(MONTH($A199)=MONTH($A198),IF(G199=0,I198,G199),G199)</f>
        <v>0</v>
      </c>
      <c r="J199" s="124" t="n">
        <f aca="false">IF(MONTH($A199)=MONTH($A198),SUM(I199-I198),I199)</f>
        <v>0</v>
      </c>
      <c r="K199" s="124" t="n">
        <f aca="false">IF(WEEKDAY(A199,3)&gt;4,0,(IF(A199&lt;K$2,0,IF(A199&lt;=K$3,1,0))))</f>
        <v>0</v>
      </c>
      <c r="L199" s="124" t="n">
        <f aca="false">J199*K199</f>
        <v>0</v>
      </c>
      <c r="M199" s="124" t="n">
        <f aca="false">SUM(J$188:J199)</f>
        <v>0</v>
      </c>
      <c r="N199" s="124" t="n">
        <f aca="false">SUM(J$6:J199)</f>
        <v>1197025</v>
      </c>
      <c r="P199" s="124" t="n">
        <f aca="false">D199/P$3</f>
        <v>0</v>
      </c>
      <c r="Q199" s="124" t="n">
        <f aca="false">E199/P$3</f>
        <v>0</v>
      </c>
      <c r="R199" s="124" t="n">
        <f aca="false">F199/R$3</f>
        <v>0</v>
      </c>
      <c r="S199" s="126" t="n">
        <f aca="false">J199/$R$3</f>
        <v>0</v>
      </c>
      <c r="T199" s="126" t="n">
        <f aca="false">L199/$R$3</f>
        <v>0</v>
      </c>
      <c r="U199" s="126" t="n">
        <f aca="false">I199/$R$3</f>
        <v>0</v>
      </c>
      <c r="V199" s="126" t="n">
        <f aca="false">M199/$R$3</f>
        <v>0</v>
      </c>
      <c r="W199" s="126" t="n">
        <f aca="false">N199/$R$3</f>
        <v>1197.025</v>
      </c>
    </row>
    <row r="200" customFormat="false" ht="12.75" hidden="false" customHeight="false" outlineLevel="0" collapsed="false">
      <c r="A200" s="120" t="n">
        <f aca="false">A199+1</f>
        <v>37086</v>
      </c>
      <c r="B200" s="131" t="str">
        <f aca="false">INDEX('[4]Master Data'!$A$2:$B$8,MATCH(WEEKDAY('SC Gas MTM'!A200,3),'[4]Master Data'!$A$2:$A$8,0),2)</f>
        <v>Sa</v>
      </c>
      <c r="D200" s="124" t="n">
        <v>0</v>
      </c>
      <c r="E200" s="124" t="n">
        <v>0</v>
      </c>
      <c r="F200" s="124" t="n">
        <v>0</v>
      </c>
      <c r="G200" s="124" t="n">
        <v>0</v>
      </c>
      <c r="I200" s="124" t="n">
        <f aca="false">IF(MONTH($A200)=MONTH($A199),IF(G200=0,I199,G200),G200)</f>
        <v>0</v>
      </c>
      <c r="J200" s="124" t="n">
        <f aca="false">IF(MONTH($A200)=MONTH($A199),SUM(I200-I199),I200)</f>
        <v>0</v>
      </c>
      <c r="K200" s="124" t="n">
        <f aca="false">IF(WEEKDAY(A200,3)&gt;4,0,(IF(A200&lt;K$2,0,IF(A200&lt;=K$3,1,0))))</f>
        <v>0</v>
      </c>
      <c r="L200" s="124" t="n">
        <f aca="false">J200*K200</f>
        <v>0</v>
      </c>
      <c r="M200" s="124" t="n">
        <f aca="false">SUM(J$188:J200)</f>
        <v>0</v>
      </c>
      <c r="N200" s="124" t="n">
        <f aca="false">SUM(J$6:J200)</f>
        <v>1197025</v>
      </c>
      <c r="P200" s="124" t="n">
        <f aca="false">D200/P$3</f>
        <v>0</v>
      </c>
      <c r="Q200" s="124" t="n">
        <f aca="false">E200/P$3</f>
        <v>0</v>
      </c>
      <c r="R200" s="124" t="n">
        <f aca="false">F200/R$3</f>
        <v>0</v>
      </c>
      <c r="S200" s="126" t="n">
        <f aca="false">J200/$R$3</f>
        <v>0</v>
      </c>
      <c r="T200" s="126" t="n">
        <f aca="false">L200/$R$3</f>
        <v>0</v>
      </c>
      <c r="U200" s="126" t="n">
        <f aca="false">I200/$R$3</f>
        <v>0</v>
      </c>
      <c r="V200" s="126" t="n">
        <f aca="false">M200/$R$3</f>
        <v>0</v>
      </c>
      <c r="W200" s="126" t="n">
        <f aca="false">N200/$R$3</f>
        <v>1197.025</v>
      </c>
    </row>
    <row r="201" customFormat="false" ht="12.75" hidden="false" customHeight="false" outlineLevel="0" collapsed="false">
      <c r="A201" s="120" t="n">
        <f aca="false">A200+1</f>
        <v>37087</v>
      </c>
      <c r="B201" s="131" t="str">
        <f aca="false">INDEX('[4]Master Data'!$A$2:$B$8,MATCH(WEEKDAY('SC Gas MTM'!A201,3),'[4]Master Data'!$A$2:$A$8,0),2)</f>
        <v>Su</v>
      </c>
      <c r="D201" s="124" t="n">
        <v>0</v>
      </c>
      <c r="E201" s="124" t="n">
        <v>0</v>
      </c>
      <c r="F201" s="124" t="n">
        <v>0</v>
      </c>
      <c r="G201" s="124" t="n">
        <v>0</v>
      </c>
      <c r="I201" s="124" t="n">
        <f aca="false">IF(MONTH($A201)=MONTH($A200),IF(G201=0,I200,G201),G201)</f>
        <v>0</v>
      </c>
      <c r="J201" s="124" t="n">
        <f aca="false">IF(MONTH($A201)=MONTH($A200),SUM(I201-I200),I201)</f>
        <v>0</v>
      </c>
      <c r="K201" s="124" t="n">
        <f aca="false">IF(WEEKDAY(A201,3)&gt;4,0,(IF(A201&lt;K$2,0,IF(A201&lt;=K$3,1,0))))</f>
        <v>0</v>
      </c>
      <c r="L201" s="124" t="n">
        <f aca="false">J201*K201</f>
        <v>0</v>
      </c>
      <c r="M201" s="124" t="n">
        <f aca="false">SUM(J$188:J201)</f>
        <v>0</v>
      </c>
      <c r="N201" s="124" t="n">
        <f aca="false">SUM(J$6:J201)</f>
        <v>1197025</v>
      </c>
      <c r="P201" s="124" t="n">
        <f aca="false">D201/P$3</f>
        <v>0</v>
      </c>
      <c r="Q201" s="124" t="n">
        <f aca="false">E201/P$3</f>
        <v>0</v>
      </c>
      <c r="R201" s="124" t="n">
        <f aca="false">F201/R$3</f>
        <v>0</v>
      </c>
      <c r="S201" s="126" t="n">
        <f aca="false">J201/$R$3</f>
        <v>0</v>
      </c>
      <c r="T201" s="126" t="n">
        <f aca="false">L201/$R$3</f>
        <v>0</v>
      </c>
      <c r="U201" s="126" t="n">
        <f aca="false">I201/$R$3</f>
        <v>0</v>
      </c>
      <c r="V201" s="126" t="n">
        <f aca="false">M201/$R$3</f>
        <v>0</v>
      </c>
      <c r="W201" s="126" t="n">
        <f aca="false">N201/$R$3</f>
        <v>1197.025</v>
      </c>
    </row>
    <row r="202" customFormat="false" ht="12.75" hidden="false" customHeight="false" outlineLevel="0" collapsed="false">
      <c r="A202" s="120" t="n">
        <f aca="false">A201+1</f>
        <v>37088</v>
      </c>
      <c r="B202" s="131" t="str">
        <f aca="false">INDEX('[4]Master Data'!$A$2:$B$8,MATCH(WEEKDAY('SC Gas MTM'!A202,3),'[4]Master Data'!$A$2:$A$8,0),2)</f>
        <v>M</v>
      </c>
      <c r="D202" s="124" t="n">
        <v>0</v>
      </c>
      <c r="E202" s="124" t="n">
        <v>0</v>
      </c>
      <c r="F202" s="124" t="n">
        <v>0</v>
      </c>
      <c r="G202" s="124" t="n">
        <v>0</v>
      </c>
      <c r="I202" s="124" t="n">
        <f aca="false">IF(MONTH($A202)=MONTH($A201),IF(G202=0,I201,G202),G202)</f>
        <v>0</v>
      </c>
      <c r="J202" s="124" t="n">
        <f aca="false">IF(MONTH($A202)=MONTH($A201),SUM(I202-I201),I202)</f>
        <v>0</v>
      </c>
      <c r="K202" s="124" t="n">
        <f aca="false">IF(WEEKDAY(A202,3)&gt;4,0,(IF(A202&lt;K$2,0,IF(A202&lt;=K$3,1,0))))</f>
        <v>0</v>
      </c>
      <c r="L202" s="124" t="n">
        <f aca="false">J202*K202</f>
        <v>0</v>
      </c>
      <c r="M202" s="124" t="n">
        <f aca="false">SUM(J$188:J202)</f>
        <v>0</v>
      </c>
      <c r="N202" s="124" t="n">
        <f aca="false">SUM(J$6:J202)</f>
        <v>1197025</v>
      </c>
      <c r="P202" s="124" t="n">
        <f aca="false">D202/P$3</f>
        <v>0</v>
      </c>
      <c r="Q202" s="124" t="n">
        <f aca="false">E202/P$3</f>
        <v>0</v>
      </c>
      <c r="R202" s="124" t="n">
        <f aca="false">F202/R$3</f>
        <v>0</v>
      </c>
      <c r="S202" s="126" t="n">
        <f aca="false">J202/$R$3</f>
        <v>0</v>
      </c>
      <c r="T202" s="126" t="n">
        <f aca="false">L202/$R$3</f>
        <v>0</v>
      </c>
      <c r="U202" s="126" t="n">
        <f aca="false">I202/$R$3</f>
        <v>0</v>
      </c>
      <c r="V202" s="126" t="n">
        <f aca="false">M202/$R$3</f>
        <v>0</v>
      </c>
      <c r="W202" s="126" t="n">
        <f aca="false">N202/$R$3</f>
        <v>1197.025</v>
      </c>
    </row>
    <row r="203" customFormat="false" ht="12.75" hidden="false" customHeight="false" outlineLevel="0" collapsed="false">
      <c r="A203" s="120" t="n">
        <f aca="false">A202+1</f>
        <v>37089</v>
      </c>
      <c r="B203" s="131" t="str">
        <f aca="false">INDEX('[4]Master Data'!$A$2:$B$8,MATCH(WEEKDAY('SC Gas MTM'!A203,3),'[4]Master Data'!$A$2:$A$8,0),2)</f>
        <v>T</v>
      </c>
      <c r="D203" s="124" t="n">
        <v>0</v>
      </c>
      <c r="E203" s="124" t="n">
        <v>0</v>
      </c>
      <c r="F203" s="124" t="n">
        <v>0</v>
      </c>
      <c r="G203" s="124" t="n">
        <v>0</v>
      </c>
      <c r="I203" s="124" t="n">
        <f aca="false">IF(MONTH($A203)=MONTH($A202),IF(G203=0,I202,G203),G203)</f>
        <v>0</v>
      </c>
      <c r="J203" s="124" t="n">
        <f aca="false">IF(MONTH($A203)=MONTH($A202),SUM(I203-I202),I203)</f>
        <v>0</v>
      </c>
      <c r="K203" s="124" t="n">
        <f aca="false">IF(WEEKDAY(A203,3)&gt;4,0,(IF(A203&lt;K$2,0,IF(A203&lt;=K$3,1,0))))</f>
        <v>0</v>
      </c>
      <c r="L203" s="124" t="n">
        <f aca="false">J203*K203</f>
        <v>0</v>
      </c>
      <c r="M203" s="124" t="n">
        <f aca="false">SUM(J$188:J203)</f>
        <v>0</v>
      </c>
      <c r="N203" s="124" t="n">
        <f aca="false">SUM(J$6:J203)</f>
        <v>1197025</v>
      </c>
      <c r="P203" s="124" t="n">
        <f aca="false">D203/P$3</f>
        <v>0</v>
      </c>
      <c r="Q203" s="124" t="n">
        <f aca="false">E203/P$3</f>
        <v>0</v>
      </c>
      <c r="R203" s="124" t="n">
        <f aca="false">F203/R$3</f>
        <v>0</v>
      </c>
      <c r="S203" s="126" t="n">
        <f aca="false">J203/$R$3</f>
        <v>0</v>
      </c>
      <c r="T203" s="126" t="n">
        <f aca="false">L203/$R$3</f>
        <v>0</v>
      </c>
      <c r="U203" s="126" t="n">
        <f aca="false">I203/$R$3</f>
        <v>0</v>
      </c>
      <c r="V203" s="126" t="n">
        <f aca="false">M203/$R$3</f>
        <v>0</v>
      </c>
      <c r="W203" s="126" t="n">
        <f aca="false">N203/$R$3</f>
        <v>1197.025</v>
      </c>
    </row>
    <row r="204" customFormat="false" ht="12.75" hidden="false" customHeight="false" outlineLevel="0" collapsed="false">
      <c r="A204" s="120" t="n">
        <f aca="false">A203+1</f>
        <v>37090</v>
      </c>
      <c r="B204" s="131" t="str">
        <f aca="false">INDEX('[4]Master Data'!$A$2:$B$8,MATCH(WEEKDAY('SC Gas MTM'!A204,3),'[4]Master Data'!$A$2:$A$8,0),2)</f>
        <v>W</v>
      </c>
      <c r="D204" s="124" t="n">
        <v>0</v>
      </c>
      <c r="E204" s="124" t="n">
        <v>0</v>
      </c>
      <c r="F204" s="124" t="n">
        <v>0</v>
      </c>
      <c r="G204" s="124" t="n">
        <v>0</v>
      </c>
      <c r="I204" s="124" t="n">
        <f aca="false">IF(MONTH($A204)=MONTH($A203),IF(G204=0,I203,G204),G204)</f>
        <v>0</v>
      </c>
      <c r="J204" s="124" t="n">
        <f aca="false">IF(MONTH($A204)=MONTH($A203),SUM(I204-I203),I204)</f>
        <v>0</v>
      </c>
      <c r="K204" s="124" t="n">
        <f aca="false">IF(WEEKDAY(A204,3)&gt;4,0,(IF(A204&lt;K$2,0,IF(A204&lt;=K$3,1,0))))</f>
        <v>0</v>
      </c>
      <c r="L204" s="124" t="n">
        <f aca="false">J204*K204</f>
        <v>0</v>
      </c>
      <c r="M204" s="124" t="n">
        <f aca="false">SUM(J$188:J204)</f>
        <v>0</v>
      </c>
      <c r="N204" s="124" t="n">
        <f aca="false">SUM(J$6:J204)</f>
        <v>1197025</v>
      </c>
      <c r="P204" s="124" t="n">
        <f aca="false">D204/P$3</f>
        <v>0</v>
      </c>
      <c r="Q204" s="124" t="n">
        <f aca="false">E204/P$3</f>
        <v>0</v>
      </c>
      <c r="R204" s="124" t="n">
        <f aca="false">F204/R$3</f>
        <v>0</v>
      </c>
      <c r="S204" s="126" t="n">
        <f aca="false">J204/$R$3</f>
        <v>0</v>
      </c>
      <c r="T204" s="126" t="n">
        <f aca="false">L204/$R$3</f>
        <v>0</v>
      </c>
      <c r="U204" s="126" t="n">
        <f aca="false">I204/$R$3</f>
        <v>0</v>
      </c>
      <c r="V204" s="126" t="n">
        <f aca="false">M204/$R$3</f>
        <v>0</v>
      </c>
      <c r="W204" s="126" t="n">
        <f aca="false">N204/$R$3</f>
        <v>1197.025</v>
      </c>
    </row>
    <row r="205" customFormat="false" ht="12.75" hidden="false" customHeight="false" outlineLevel="0" collapsed="false">
      <c r="A205" s="120" t="n">
        <f aca="false">A204+1</f>
        <v>37091</v>
      </c>
      <c r="B205" s="131" t="str">
        <f aca="false">INDEX('[4]Master Data'!$A$2:$B$8,MATCH(WEEKDAY('SC Gas MTM'!A205,3),'[4]Master Data'!$A$2:$A$8,0),2)</f>
        <v>Th</v>
      </c>
      <c r="D205" s="124" t="n">
        <v>0</v>
      </c>
      <c r="E205" s="124" t="n">
        <v>0</v>
      </c>
      <c r="F205" s="124" t="n">
        <v>0</v>
      </c>
      <c r="G205" s="124" t="n">
        <v>0</v>
      </c>
      <c r="I205" s="124" t="n">
        <f aca="false">IF(MONTH($A205)=MONTH($A204),IF(G205=0,I204,G205),G205)</f>
        <v>0</v>
      </c>
      <c r="J205" s="124" t="n">
        <f aca="false">IF(MONTH($A205)=MONTH($A204),SUM(I205-I204),I205)</f>
        <v>0</v>
      </c>
      <c r="K205" s="124" t="n">
        <f aca="false">IF(WEEKDAY(A205,3)&gt;4,0,(IF(A205&lt;K$2,0,IF(A205&lt;=K$3,1,0))))</f>
        <v>0</v>
      </c>
      <c r="L205" s="124" t="n">
        <f aca="false">J205*K205</f>
        <v>0</v>
      </c>
      <c r="M205" s="124" t="n">
        <f aca="false">SUM(J$188:J205)</f>
        <v>0</v>
      </c>
      <c r="N205" s="124" t="n">
        <f aca="false">SUM(J$6:J205)</f>
        <v>1197025</v>
      </c>
      <c r="P205" s="124" t="n">
        <f aca="false">D205/P$3</f>
        <v>0</v>
      </c>
      <c r="Q205" s="124" t="n">
        <f aca="false">E205/P$3</f>
        <v>0</v>
      </c>
      <c r="R205" s="124" t="n">
        <f aca="false">F205/R$3</f>
        <v>0</v>
      </c>
      <c r="S205" s="126" t="n">
        <f aca="false">J205/$R$3</f>
        <v>0</v>
      </c>
      <c r="T205" s="126" t="n">
        <f aca="false">L205/$R$3</f>
        <v>0</v>
      </c>
      <c r="U205" s="126" t="n">
        <f aca="false">I205/$R$3</f>
        <v>0</v>
      </c>
      <c r="V205" s="126" t="n">
        <f aca="false">M205/$R$3</f>
        <v>0</v>
      </c>
      <c r="W205" s="126" t="n">
        <f aca="false">N205/$R$3</f>
        <v>1197.025</v>
      </c>
    </row>
    <row r="206" customFormat="false" ht="12.75" hidden="false" customHeight="false" outlineLevel="0" collapsed="false">
      <c r="A206" s="120" t="n">
        <f aca="false">A205+1</f>
        <v>37092</v>
      </c>
      <c r="B206" s="131" t="str">
        <f aca="false">INDEX('[4]Master Data'!$A$2:$B$8,MATCH(WEEKDAY('SC Gas MTM'!A206,3),'[4]Master Data'!$A$2:$A$8,0),2)</f>
        <v>F</v>
      </c>
      <c r="D206" s="124" t="n">
        <v>0</v>
      </c>
      <c r="E206" s="124" t="n">
        <v>0</v>
      </c>
      <c r="F206" s="124" t="n">
        <v>0</v>
      </c>
      <c r="G206" s="124" t="n">
        <v>0</v>
      </c>
      <c r="I206" s="124" t="n">
        <f aca="false">IF(MONTH($A206)=MONTH($A205),IF(G206=0,I205,G206),G206)</f>
        <v>0</v>
      </c>
      <c r="J206" s="124" t="n">
        <f aca="false">IF(MONTH($A206)=MONTH($A205),SUM(I206-I205),I206)</f>
        <v>0</v>
      </c>
      <c r="K206" s="124" t="n">
        <f aca="false">IF(WEEKDAY(A206,3)&gt;4,0,(IF(A206&lt;K$2,0,IF(A206&lt;=K$3,1,0))))</f>
        <v>0</v>
      </c>
      <c r="L206" s="124" t="n">
        <f aca="false">J206*K206</f>
        <v>0</v>
      </c>
      <c r="M206" s="124" t="n">
        <f aca="false">SUM(J$188:J206)</f>
        <v>0</v>
      </c>
      <c r="N206" s="124" t="n">
        <f aca="false">SUM(J$6:J206)</f>
        <v>1197025</v>
      </c>
      <c r="P206" s="124" t="n">
        <f aca="false">D206/P$3</f>
        <v>0</v>
      </c>
      <c r="Q206" s="124" t="n">
        <f aca="false">E206/P$3</f>
        <v>0</v>
      </c>
      <c r="R206" s="124" t="n">
        <f aca="false">F206/R$3</f>
        <v>0</v>
      </c>
      <c r="S206" s="126" t="n">
        <f aca="false">J206/$R$3</f>
        <v>0</v>
      </c>
      <c r="T206" s="126" t="n">
        <f aca="false">L206/$R$3</f>
        <v>0</v>
      </c>
      <c r="U206" s="126" t="n">
        <f aca="false">I206/$R$3</f>
        <v>0</v>
      </c>
      <c r="V206" s="126" t="n">
        <f aca="false">M206/$R$3</f>
        <v>0</v>
      </c>
      <c r="W206" s="126" t="n">
        <f aca="false">N206/$R$3</f>
        <v>1197.025</v>
      </c>
    </row>
    <row r="207" customFormat="false" ht="12.75" hidden="false" customHeight="false" outlineLevel="0" collapsed="false">
      <c r="A207" s="120" t="n">
        <f aca="false">A206+1</f>
        <v>37093</v>
      </c>
      <c r="B207" s="131" t="str">
        <f aca="false">INDEX('[4]Master Data'!$A$2:$B$8,MATCH(WEEKDAY('SC Gas MTM'!A207,3),'[4]Master Data'!$A$2:$A$8,0),2)</f>
        <v>Sa</v>
      </c>
      <c r="D207" s="124" t="n">
        <v>0</v>
      </c>
      <c r="E207" s="124" t="n">
        <v>0</v>
      </c>
      <c r="F207" s="124" t="n">
        <v>0</v>
      </c>
      <c r="G207" s="124" t="n">
        <v>0</v>
      </c>
      <c r="I207" s="124" t="n">
        <f aca="false">IF(MONTH($A207)=MONTH($A206),IF(G207=0,I206,G207),G207)</f>
        <v>0</v>
      </c>
      <c r="J207" s="124" t="n">
        <f aca="false">IF(MONTH($A207)=MONTH($A206),SUM(I207-I206),I207)</f>
        <v>0</v>
      </c>
      <c r="K207" s="124" t="n">
        <f aca="false">IF(WEEKDAY(A207,3)&gt;4,0,(IF(A207&lt;K$2,0,IF(A207&lt;=K$3,1,0))))</f>
        <v>0</v>
      </c>
      <c r="L207" s="124" t="n">
        <f aca="false">J207*K207</f>
        <v>0</v>
      </c>
      <c r="M207" s="124" t="n">
        <f aca="false">SUM(J$188:J207)</f>
        <v>0</v>
      </c>
      <c r="N207" s="124" t="n">
        <f aca="false">SUM(J$6:J207)</f>
        <v>1197025</v>
      </c>
      <c r="P207" s="124" t="n">
        <f aca="false">D207/P$3</f>
        <v>0</v>
      </c>
      <c r="Q207" s="124" t="n">
        <f aca="false">E207/P$3</f>
        <v>0</v>
      </c>
      <c r="R207" s="124" t="n">
        <f aca="false">F207/R$3</f>
        <v>0</v>
      </c>
      <c r="S207" s="126" t="n">
        <f aca="false">J207/$R$3</f>
        <v>0</v>
      </c>
      <c r="T207" s="126" t="n">
        <f aca="false">L207/$R$3</f>
        <v>0</v>
      </c>
      <c r="U207" s="126" t="n">
        <f aca="false">I207/$R$3</f>
        <v>0</v>
      </c>
      <c r="V207" s="126" t="n">
        <f aca="false">M207/$R$3</f>
        <v>0</v>
      </c>
      <c r="W207" s="126" t="n">
        <f aca="false">N207/$R$3</f>
        <v>1197.025</v>
      </c>
    </row>
    <row r="208" customFormat="false" ht="12.75" hidden="false" customHeight="false" outlineLevel="0" collapsed="false">
      <c r="A208" s="120" t="n">
        <f aca="false">A207+1</f>
        <v>37094</v>
      </c>
      <c r="B208" s="131" t="str">
        <f aca="false">INDEX('[4]Master Data'!$A$2:$B$8,MATCH(WEEKDAY('SC Gas MTM'!A208,3),'[4]Master Data'!$A$2:$A$8,0),2)</f>
        <v>Su</v>
      </c>
      <c r="D208" s="124" t="n">
        <v>0</v>
      </c>
      <c r="E208" s="124" t="n">
        <v>0</v>
      </c>
      <c r="F208" s="124" t="n">
        <v>0</v>
      </c>
      <c r="G208" s="124" t="n">
        <v>0</v>
      </c>
      <c r="I208" s="124" t="n">
        <f aca="false">IF(MONTH($A208)=MONTH($A207),IF(G208=0,I207,G208),G208)</f>
        <v>0</v>
      </c>
      <c r="J208" s="124" t="n">
        <f aca="false">IF(MONTH($A208)=MONTH($A207),SUM(I208-I207),I208)</f>
        <v>0</v>
      </c>
      <c r="K208" s="124" t="n">
        <f aca="false">IF(WEEKDAY(A208,3)&gt;4,0,(IF(A208&lt;K$2,0,IF(A208&lt;=K$3,1,0))))</f>
        <v>0</v>
      </c>
      <c r="L208" s="124" t="n">
        <f aca="false">J208*K208</f>
        <v>0</v>
      </c>
      <c r="M208" s="124" t="n">
        <f aca="false">SUM(J$188:J208)</f>
        <v>0</v>
      </c>
      <c r="N208" s="124" t="n">
        <f aca="false">SUM(J$6:J208)</f>
        <v>1197025</v>
      </c>
      <c r="P208" s="124" t="n">
        <f aca="false">D208/P$3</f>
        <v>0</v>
      </c>
      <c r="Q208" s="124" t="n">
        <f aca="false">E208/P$3</f>
        <v>0</v>
      </c>
      <c r="R208" s="124" t="n">
        <f aca="false">F208/R$3</f>
        <v>0</v>
      </c>
      <c r="S208" s="126" t="n">
        <f aca="false">J208/$R$3</f>
        <v>0</v>
      </c>
      <c r="T208" s="126" t="n">
        <f aca="false">L208/$R$3</f>
        <v>0</v>
      </c>
      <c r="U208" s="126" t="n">
        <f aca="false">I208/$R$3</f>
        <v>0</v>
      </c>
      <c r="V208" s="126" t="n">
        <f aca="false">M208/$R$3</f>
        <v>0</v>
      </c>
      <c r="W208" s="126" t="n">
        <f aca="false">N208/$R$3</f>
        <v>1197.025</v>
      </c>
    </row>
    <row r="209" customFormat="false" ht="12.75" hidden="false" customHeight="false" outlineLevel="0" collapsed="false">
      <c r="A209" s="120" t="n">
        <f aca="false">A208+1</f>
        <v>37095</v>
      </c>
      <c r="B209" s="131" t="str">
        <f aca="false">INDEX('[4]Master Data'!$A$2:$B$8,MATCH(WEEKDAY('SC Gas MTM'!A209,3),'[4]Master Data'!$A$2:$A$8,0),2)</f>
        <v>M</v>
      </c>
      <c r="D209" s="124" t="n">
        <v>0</v>
      </c>
      <c r="E209" s="124" t="n">
        <v>0</v>
      </c>
      <c r="F209" s="124" t="n">
        <v>0</v>
      </c>
      <c r="G209" s="124" t="n">
        <v>0</v>
      </c>
      <c r="I209" s="124" t="n">
        <f aca="false">IF(MONTH($A209)=MONTH($A208),IF(G209=0,I208,G209),G209)</f>
        <v>0</v>
      </c>
      <c r="J209" s="124" t="n">
        <f aca="false">IF(MONTH($A209)=MONTH($A208),SUM(I209-I208),I209)</f>
        <v>0</v>
      </c>
      <c r="K209" s="124" t="n">
        <f aca="false">IF(WEEKDAY(A209,3)&gt;4,0,(IF(A209&lt;K$2,0,IF(A209&lt;=K$3,1,0))))</f>
        <v>0</v>
      </c>
      <c r="L209" s="124" t="n">
        <f aca="false">J209*K209</f>
        <v>0</v>
      </c>
      <c r="M209" s="124" t="n">
        <f aca="false">SUM(J$188:J209)</f>
        <v>0</v>
      </c>
      <c r="N209" s="124" t="n">
        <f aca="false">SUM(J$6:J209)</f>
        <v>1197025</v>
      </c>
      <c r="P209" s="124" t="n">
        <f aca="false">D209/P$3</f>
        <v>0</v>
      </c>
      <c r="Q209" s="124" t="n">
        <f aca="false">E209/P$3</f>
        <v>0</v>
      </c>
      <c r="R209" s="124" t="n">
        <f aca="false">F209/R$3</f>
        <v>0</v>
      </c>
      <c r="S209" s="126" t="n">
        <f aca="false">J209/$R$3</f>
        <v>0</v>
      </c>
      <c r="T209" s="126" t="n">
        <f aca="false">L209/$R$3</f>
        <v>0</v>
      </c>
      <c r="U209" s="126" t="n">
        <f aca="false">I209/$R$3</f>
        <v>0</v>
      </c>
      <c r="V209" s="126" t="n">
        <f aca="false">M209/$R$3</f>
        <v>0</v>
      </c>
      <c r="W209" s="126" t="n">
        <f aca="false">N209/$R$3</f>
        <v>1197.025</v>
      </c>
    </row>
    <row r="210" customFormat="false" ht="12.75" hidden="false" customHeight="false" outlineLevel="0" collapsed="false">
      <c r="A210" s="120" t="n">
        <f aca="false">A209+1</f>
        <v>37096</v>
      </c>
      <c r="B210" s="131" t="str">
        <f aca="false">INDEX('[4]Master Data'!$A$2:$B$8,MATCH(WEEKDAY('SC Gas MTM'!A210,3),'[4]Master Data'!$A$2:$A$8,0),2)</f>
        <v>T</v>
      </c>
      <c r="D210" s="124" t="n">
        <v>0</v>
      </c>
      <c r="E210" s="124" t="n">
        <v>0</v>
      </c>
      <c r="F210" s="124" t="n">
        <v>0</v>
      </c>
      <c r="G210" s="124" t="n">
        <v>0</v>
      </c>
      <c r="I210" s="124" t="n">
        <f aca="false">IF(MONTH($A210)=MONTH($A209),IF(G210=0,I209,G210),G210)</f>
        <v>0</v>
      </c>
      <c r="J210" s="124" t="n">
        <f aca="false">IF(MONTH($A210)=MONTH($A209),SUM(I210-I209),I210)</f>
        <v>0</v>
      </c>
      <c r="K210" s="124" t="n">
        <f aca="false">IF(WEEKDAY(A210,3)&gt;4,0,(IF(A210&lt;K$2,0,IF(A210&lt;=K$3,1,0))))</f>
        <v>0</v>
      </c>
      <c r="L210" s="124" t="n">
        <f aca="false">J210*K210</f>
        <v>0</v>
      </c>
      <c r="M210" s="124" t="n">
        <f aca="false">SUM(J$188:J210)</f>
        <v>0</v>
      </c>
      <c r="N210" s="124" t="n">
        <f aca="false">SUM(J$6:J210)</f>
        <v>1197025</v>
      </c>
      <c r="P210" s="124" t="n">
        <f aca="false">D210/P$3</f>
        <v>0</v>
      </c>
      <c r="Q210" s="124" t="n">
        <f aca="false">E210/P$3</f>
        <v>0</v>
      </c>
      <c r="R210" s="124" t="n">
        <f aca="false">F210/R$3</f>
        <v>0</v>
      </c>
      <c r="S210" s="126" t="n">
        <f aca="false">J210/$R$3</f>
        <v>0</v>
      </c>
      <c r="T210" s="126" t="n">
        <f aca="false">L210/$R$3</f>
        <v>0</v>
      </c>
      <c r="U210" s="126" t="n">
        <f aca="false">I210/$R$3</f>
        <v>0</v>
      </c>
      <c r="V210" s="126" t="n">
        <f aca="false">M210/$R$3</f>
        <v>0</v>
      </c>
      <c r="W210" s="126" t="n">
        <f aca="false">N210/$R$3</f>
        <v>1197.025</v>
      </c>
    </row>
    <row r="211" customFormat="false" ht="12.75" hidden="false" customHeight="false" outlineLevel="0" collapsed="false">
      <c r="A211" s="120" t="n">
        <f aca="false">A210+1</f>
        <v>37097</v>
      </c>
      <c r="B211" s="131" t="str">
        <f aca="false">INDEX('[4]Master Data'!$A$2:$B$8,MATCH(WEEKDAY('SC Gas MTM'!A211,3),'[4]Master Data'!$A$2:$A$8,0),2)</f>
        <v>W</v>
      </c>
      <c r="D211" s="124" t="n">
        <v>0</v>
      </c>
      <c r="E211" s="124" t="n">
        <v>0</v>
      </c>
      <c r="F211" s="124" t="n">
        <v>0</v>
      </c>
      <c r="G211" s="124" t="n">
        <v>0</v>
      </c>
      <c r="I211" s="124" t="n">
        <f aca="false">IF(MONTH($A211)=MONTH($A210),IF(G211=0,I210,G211),G211)</f>
        <v>0</v>
      </c>
      <c r="J211" s="124" t="n">
        <f aca="false">IF(MONTH($A211)=MONTH($A210),SUM(I211-I210),I211)</f>
        <v>0</v>
      </c>
      <c r="K211" s="124" t="n">
        <f aca="false">IF(WEEKDAY(A211,3)&gt;4,0,(IF(A211&lt;K$2,0,IF(A211&lt;=K$3,1,0))))</f>
        <v>0</v>
      </c>
      <c r="L211" s="124" t="n">
        <f aca="false">J211*K211</f>
        <v>0</v>
      </c>
      <c r="M211" s="124" t="n">
        <f aca="false">SUM(J$188:J211)</f>
        <v>0</v>
      </c>
      <c r="N211" s="124" t="n">
        <f aca="false">SUM(J$6:J211)</f>
        <v>1197025</v>
      </c>
      <c r="P211" s="124" t="n">
        <f aca="false">D211/P$3</f>
        <v>0</v>
      </c>
      <c r="Q211" s="124" t="n">
        <f aca="false">E211/P$3</f>
        <v>0</v>
      </c>
      <c r="R211" s="124" t="n">
        <f aca="false">F211/R$3</f>
        <v>0</v>
      </c>
      <c r="S211" s="126" t="n">
        <f aca="false">J211/$R$3</f>
        <v>0</v>
      </c>
      <c r="T211" s="126" t="n">
        <f aca="false">L211/$R$3</f>
        <v>0</v>
      </c>
      <c r="U211" s="126" t="n">
        <f aca="false">I211/$R$3</f>
        <v>0</v>
      </c>
      <c r="V211" s="126" t="n">
        <f aca="false">M211/$R$3</f>
        <v>0</v>
      </c>
      <c r="W211" s="126" t="n">
        <f aca="false">N211/$R$3</f>
        <v>1197.025</v>
      </c>
    </row>
    <row r="212" customFormat="false" ht="12.75" hidden="false" customHeight="false" outlineLevel="0" collapsed="false">
      <c r="A212" s="120" t="n">
        <f aca="false">A211+1</f>
        <v>37098</v>
      </c>
      <c r="B212" s="131" t="str">
        <f aca="false">INDEX('[4]Master Data'!$A$2:$B$8,MATCH(WEEKDAY('SC Gas MTM'!A212,3),'[4]Master Data'!$A$2:$A$8,0),2)</f>
        <v>Th</v>
      </c>
      <c r="D212" s="124" t="n">
        <v>0</v>
      </c>
      <c r="E212" s="124" t="n">
        <v>0</v>
      </c>
      <c r="F212" s="124" t="n">
        <v>0</v>
      </c>
      <c r="G212" s="124" t="n">
        <v>0</v>
      </c>
      <c r="I212" s="124" t="n">
        <f aca="false">IF(MONTH($A212)=MONTH($A211),IF(G212=0,I211,G212),G212)</f>
        <v>0</v>
      </c>
      <c r="J212" s="124" t="n">
        <f aca="false">IF(MONTH($A212)=MONTH($A211),SUM(I212-I211),I212)</f>
        <v>0</v>
      </c>
      <c r="K212" s="124" t="n">
        <f aca="false">IF(WEEKDAY(A212,3)&gt;4,0,(IF(A212&lt;K$2,0,IF(A212&lt;=K$3,1,0))))</f>
        <v>0</v>
      </c>
      <c r="L212" s="124" t="n">
        <f aca="false">J212*K212</f>
        <v>0</v>
      </c>
      <c r="M212" s="124" t="n">
        <f aca="false">SUM(J$188:J212)</f>
        <v>0</v>
      </c>
      <c r="N212" s="124" t="n">
        <f aca="false">SUM(J$6:J212)</f>
        <v>1197025</v>
      </c>
      <c r="P212" s="124" t="n">
        <f aca="false">D212/P$3</f>
        <v>0</v>
      </c>
      <c r="Q212" s="124" t="n">
        <f aca="false">E212/P$3</f>
        <v>0</v>
      </c>
      <c r="R212" s="124" t="n">
        <f aca="false">F212/R$3</f>
        <v>0</v>
      </c>
      <c r="S212" s="126" t="n">
        <f aca="false">J212/$R$3</f>
        <v>0</v>
      </c>
      <c r="T212" s="126" t="n">
        <f aca="false">L212/$R$3</f>
        <v>0</v>
      </c>
      <c r="U212" s="126" t="n">
        <f aca="false">I212/$R$3</f>
        <v>0</v>
      </c>
      <c r="V212" s="126" t="n">
        <f aca="false">M212/$R$3</f>
        <v>0</v>
      </c>
      <c r="W212" s="126" t="n">
        <f aca="false">N212/$R$3</f>
        <v>1197.025</v>
      </c>
    </row>
    <row r="213" customFormat="false" ht="12.75" hidden="false" customHeight="false" outlineLevel="0" collapsed="false">
      <c r="A213" s="120" t="n">
        <f aca="false">A212+1</f>
        <v>37099</v>
      </c>
      <c r="B213" s="131" t="str">
        <f aca="false">INDEX('[4]Master Data'!$A$2:$B$8,MATCH(WEEKDAY('SC Gas MTM'!A213,3),'[4]Master Data'!$A$2:$A$8,0),2)</f>
        <v>F</v>
      </c>
      <c r="D213" s="124" t="n">
        <v>0</v>
      </c>
      <c r="E213" s="124" t="n">
        <v>0</v>
      </c>
      <c r="F213" s="124" t="n">
        <v>0</v>
      </c>
      <c r="G213" s="124" t="n">
        <v>0</v>
      </c>
      <c r="I213" s="124" t="n">
        <f aca="false">IF(MONTH($A213)=MONTH($A212),IF(G213=0,I212,G213),G213)</f>
        <v>0</v>
      </c>
      <c r="J213" s="124" t="n">
        <f aca="false">IF(MONTH($A213)=MONTH($A212),SUM(I213-I212),I213)</f>
        <v>0</v>
      </c>
      <c r="K213" s="124" t="n">
        <f aca="false">IF(WEEKDAY(A213,3)&gt;4,0,(IF(A213&lt;K$2,0,IF(A213&lt;=K$3,1,0))))</f>
        <v>0</v>
      </c>
      <c r="L213" s="124" t="n">
        <f aca="false">J213*K213</f>
        <v>0</v>
      </c>
      <c r="M213" s="124" t="n">
        <f aca="false">SUM(J$188:J213)</f>
        <v>0</v>
      </c>
      <c r="N213" s="124" t="n">
        <f aca="false">SUM(J$6:J213)</f>
        <v>1197025</v>
      </c>
      <c r="P213" s="124" t="n">
        <f aca="false">D213/P$3</f>
        <v>0</v>
      </c>
      <c r="Q213" s="124" t="n">
        <f aca="false">E213/P$3</f>
        <v>0</v>
      </c>
      <c r="R213" s="124" t="n">
        <f aca="false">F213/R$3</f>
        <v>0</v>
      </c>
      <c r="S213" s="126" t="n">
        <f aca="false">J213/$R$3</f>
        <v>0</v>
      </c>
      <c r="T213" s="126" t="n">
        <f aca="false">L213/$R$3</f>
        <v>0</v>
      </c>
      <c r="U213" s="126" t="n">
        <f aca="false">I213/$R$3</f>
        <v>0</v>
      </c>
      <c r="V213" s="126" t="n">
        <f aca="false">M213/$R$3</f>
        <v>0</v>
      </c>
      <c r="W213" s="126" t="n">
        <f aca="false">N213/$R$3</f>
        <v>1197.025</v>
      </c>
    </row>
    <row r="214" customFormat="false" ht="12.75" hidden="false" customHeight="false" outlineLevel="0" collapsed="false">
      <c r="A214" s="120" t="n">
        <f aca="false">A213+1</f>
        <v>37100</v>
      </c>
      <c r="B214" s="131" t="str">
        <f aca="false">INDEX('[4]Master Data'!$A$2:$B$8,MATCH(WEEKDAY('SC Gas MTM'!A214,3),'[4]Master Data'!$A$2:$A$8,0),2)</f>
        <v>Sa</v>
      </c>
      <c r="D214" s="124" t="n">
        <v>0</v>
      </c>
      <c r="E214" s="124" t="n">
        <v>0</v>
      </c>
      <c r="F214" s="124" t="n">
        <v>0</v>
      </c>
      <c r="G214" s="124" t="n">
        <v>0</v>
      </c>
      <c r="I214" s="124" t="n">
        <f aca="false">IF(MONTH($A214)=MONTH($A213),IF(G214=0,I213,G214),G214)</f>
        <v>0</v>
      </c>
      <c r="J214" s="124" t="n">
        <f aca="false">IF(MONTH($A214)=MONTH($A213),SUM(I214-I213),I214)</f>
        <v>0</v>
      </c>
      <c r="K214" s="124" t="n">
        <f aca="false">IF(WEEKDAY(A214,3)&gt;4,0,(IF(A214&lt;K$2,0,IF(A214&lt;=K$3,1,0))))</f>
        <v>0</v>
      </c>
      <c r="L214" s="124" t="n">
        <f aca="false">J214*K214</f>
        <v>0</v>
      </c>
      <c r="M214" s="124" t="n">
        <f aca="false">SUM(J$188:J214)</f>
        <v>0</v>
      </c>
      <c r="N214" s="124" t="n">
        <f aca="false">SUM(J$6:J214)</f>
        <v>1197025</v>
      </c>
      <c r="P214" s="124" t="n">
        <f aca="false">D214/P$3</f>
        <v>0</v>
      </c>
      <c r="Q214" s="124" t="n">
        <f aca="false">E214/P$3</f>
        <v>0</v>
      </c>
      <c r="R214" s="124" t="n">
        <f aca="false">F214/R$3</f>
        <v>0</v>
      </c>
      <c r="S214" s="126" t="n">
        <f aca="false">J214/$R$3</f>
        <v>0</v>
      </c>
      <c r="T214" s="126" t="n">
        <f aca="false">L214/$R$3</f>
        <v>0</v>
      </c>
      <c r="U214" s="126" t="n">
        <f aca="false">I214/$R$3</f>
        <v>0</v>
      </c>
      <c r="V214" s="126" t="n">
        <f aca="false">M214/$R$3</f>
        <v>0</v>
      </c>
      <c r="W214" s="126" t="n">
        <f aca="false">N214/$R$3</f>
        <v>1197.025</v>
      </c>
    </row>
    <row r="215" customFormat="false" ht="12.75" hidden="false" customHeight="false" outlineLevel="0" collapsed="false">
      <c r="A215" s="120" t="n">
        <f aca="false">A214+1</f>
        <v>37101</v>
      </c>
      <c r="B215" s="131" t="str">
        <f aca="false">INDEX('[4]Master Data'!$A$2:$B$8,MATCH(WEEKDAY('SC Gas MTM'!A215,3),'[4]Master Data'!$A$2:$A$8,0),2)</f>
        <v>Su</v>
      </c>
      <c r="D215" s="124" t="n">
        <v>0</v>
      </c>
      <c r="E215" s="124" t="n">
        <v>0</v>
      </c>
      <c r="F215" s="124" t="n">
        <v>0</v>
      </c>
      <c r="G215" s="124" t="n">
        <v>0</v>
      </c>
      <c r="I215" s="124" t="n">
        <f aca="false">IF(MONTH($A215)=MONTH($A214),IF(G215=0,I214,G215),G215)</f>
        <v>0</v>
      </c>
      <c r="J215" s="124" t="n">
        <f aca="false">IF(MONTH($A215)=MONTH($A214),SUM(I215-I214),I215)</f>
        <v>0</v>
      </c>
      <c r="K215" s="124" t="n">
        <f aca="false">IF(WEEKDAY(A215,3)&gt;4,0,(IF(A215&lt;K$2,0,IF(A215&lt;=K$3,1,0))))</f>
        <v>0</v>
      </c>
      <c r="L215" s="124" t="n">
        <f aca="false">J215*K215</f>
        <v>0</v>
      </c>
      <c r="M215" s="124" t="n">
        <f aca="false">SUM(J$188:J215)</f>
        <v>0</v>
      </c>
      <c r="N215" s="124" t="n">
        <f aca="false">SUM(J$6:J215)</f>
        <v>1197025</v>
      </c>
      <c r="P215" s="124" t="n">
        <f aca="false">D215/P$3</f>
        <v>0</v>
      </c>
      <c r="Q215" s="124" t="n">
        <f aca="false">E215/P$3</f>
        <v>0</v>
      </c>
      <c r="R215" s="124" t="n">
        <f aca="false">F215/R$3</f>
        <v>0</v>
      </c>
      <c r="S215" s="126" t="n">
        <f aca="false">J215/$R$3</f>
        <v>0</v>
      </c>
      <c r="T215" s="126" t="n">
        <f aca="false">L215/$R$3</f>
        <v>0</v>
      </c>
      <c r="U215" s="126" t="n">
        <f aca="false">I215/$R$3</f>
        <v>0</v>
      </c>
      <c r="V215" s="126" t="n">
        <f aca="false">M215/$R$3</f>
        <v>0</v>
      </c>
      <c r="W215" s="126" t="n">
        <f aca="false">N215/$R$3</f>
        <v>1197.025</v>
      </c>
    </row>
    <row r="216" customFormat="false" ht="12.75" hidden="false" customHeight="false" outlineLevel="0" collapsed="false">
      <c r="A216" s="120" t="n">
        <f aca="false">A215+1</f>
        <v>37102</v>
      </c>
      <c r="B216" s="131" t="str">
        <f aca="false">INDEX('[4]Master Data'!$A$2:$B$8,MATCH(WEEKDAY('SC Gas MTM'!A216,3),'[4]Master Data'!$A$2:$A$8,0),2)</f>
        <v>M</v>
      </c>
      <c r="D216" s="124" t="n">
        <v>0</v>
      </c>
      <c r="E216" s="124" t="n">
        <v>0</v>
      </c>
      <c r="F216" s="124" t="n">
        <v>0</v>
      </c>
      <c r="G216" s="124" t="n">
        <v>0</v>
      </c>
      <c r="I216" s="124" t="n">
        <f aca="false">IF(MONTH($A216)=MONTH($A215),IF(G216=0,I215,G216),G216)</f>
        <v>0</v>
      </c>
      <c r="J216" s="124" t="n">
        <f aca="false">IF(MONTH($A216)=MONTH($A215),SUM(I216-I215),I216)</f>
        <v>0</v>
      </c>
      <c r="K216" s="124" t="n">
        <f aca="false">IF(WEEKDAY(A216,3)&gt;4,0,(IF(A216&lt;K$2,0,IF(A216&lt;=K$3,1,0))))</f>
        <v>0</v>
      </c>
      <c r="L216" s="124" t="n">
        <f aca="false">J216*K216</f>
        <v>0</v>
      </c>
      <c r="M216" s="124" t="n">
        <f aca="false">SUM(J$188:J216)</f>
        <v>0</v>
      </c>
      <c r="N216" s="124" t="n">
        <f aca="false">SUM(J$6:J216)</f>
        <v>1197025</v>
      </c>
      <c r="P216" s="124" t="n">
        <f aca="false">D216/P$3</f>
        <v>0</v>
      </c>
      <c r="Q216" s="124" t="n">
        <f aca="false">E216/P$3</f>
        <v>0</v>
      </c>
      <c r="R216" s="124" t="n">
        <f aca="false">F216/R$3</f>
        <v>0</v>
      </c>
      <c r="S216" s="126" t="n">
        <f aca="false">J216/$R$3</f>
        <v>0</v>
      </c>
      <c r="T216" s="126" t="n">
        <f aca="false">L216/$R$3</f>
        <v>0</v>
      </c>
      <c r="U216" s="126" t="n">
        <f aca="false">I216/$R$3</f>
        <v>0</v>
      </c>
      <c r="V216" s="126" t="n">
        <f aca="false">M216/$R$3</f>
        <v>0</v>
      </c>
      <c r="W216" s="126" t="n">
        <f aca="false">N216/$R$3</f>
        <v>1197.025</v>
      </c>
    </row>
    <row r="217" customFormat="false" ht="12.75" hidden="false" customHeight="false" outlineLevel="0" collapsed="false">
      <c r="A217" s="120" t="n">
        <f aca="false">A216+1</f>
        <v>37103</v>
      </c>
      <c r="B217" s="131" t="str">
        <f aca="false">INDEX('[4]Master Data'!$A$2:$B$8,MATCH(WEEKDAY('SC Gas MTM'!A217,3),'[4]Master Data'!$A$2:$A$8,0),2)</f>
        <v>T</v>
      </c>
      <c r="D217" s="124" t="n">
        <v>0</v>
      </c>
      <c r="E217" s="124" t="n">
        <v>0</v>
      </c>
      <c r="F217" s="124" t="n">
        <v>0</v>
      </c>
      <c r="G217" s="124" t="n">
        <v>0</v>
      </c>
      <c r="I217" s="124" t="n">
        <f aca="false">IF(MONTH($A217)=MONTH($A216),IF(G217=0,I216,G217),G217)</f>
        <v>0</v>
      </c>
      <c r="J217" s="124" t="n">
        <f aca="false">IF(MONTH($A217)=MONTH($A216),SUM(I217-I216),I217)</f>
        <v>0</v>
      </c>
      <c r="K217" s="124" t="n">
        <f aca="false">IF(WEEKDAY(A217,3)&gt;4,0,(IF(A217&lt;K$2,0,IF(A217&lt;=K$3,1,0))))</f>
        <v>0</v>
      </c>
      <c r="L217" s="124" t="n">
        <f aca="false">J217*K217</f>
        <v>0</v>
      </c>
      <c r="M217" s="124" t="n">
        <f aca="false">SUM(J$188:J217)</f>
        <v>0</v>
      </c>
      <c r="N217" s="124" t="n">
        <f aca="false">SUM(J$6:J217)</f>
        <v>1197025</v>
      </c>
      <c r="P217" s="124" t="n">
        <f aca="false">D217/P$3</f>
        <v>0</v>
      </c>
      <c r="Q217" s="124" t="n">
        <f aca="false">E217/P$3</f>
        <v>0</v>
      </c>
      <c r="R217" s="124" t="n">
        <f aca="false">F217/R$3</f>
        <v>0</v>
      </c>
      <c r="S217" s="126" t="n">
        <f aca="false">J217/$R$3</f>
        <v>0</v>
      </c>
      <c r="T217" s="126" t="n">
        <f aca="false">L217/$R$3</f>
        <v>0</v>
      </c>
      <c r="U217" s="126" t="n">
        <f aca="false">I217/$R$3</f>
        <v>0</v>
      </c>
      <c r="V217" s="126" t="n">
        <f aca="false">M217/$R$3</f>
        <v>0</v>
      </c>
      <c r="W217" s="126" t="n">
        <f aca="false">N217/$R$3</f>
        <v>1197.025</v>
      </c>
    </row>
    <row r="218" customFormat="false" ht="12.75" hidden="false" customHeight="false" outlineLevel="0" collapsed="false">
      <c r="A218" s="120" t="n">
        <f aca="false">A217+1</f>
        <v>37104</v>
      </c>
      <c r="B218" s="131" t="str">
        <f aca="false">INDEX('[4]Master Data'!$A$2:$B$8,MATCH(WEEKDAY('SC Gas MTM'!A218,3),'[4]Master Data'!$A$2:$A$8,0),2)</f>
        <v>W</v>
      </c>
      <c r="D218" s="124" t="n">
        <v>0</v>
      </c>
      <c r="E218" s="124" t="n">
        <v>0</v>
      </c>
      <c r="F218" s="124" t="n">
        <v>0</v>
      </c>
      <c r="G218" s="124" t="n">
        <v>0</v>
      </c>
      <c r="I218" s="124" t="n">
        <f aca="false">IF(MONTH($A218)=MONTH($A217),IF(G218=0,I217,G218),G218)</f>
        <v>0</v>
      </c>
      <c r="J218" s="124" t="n">
        <f aca="false">IF(MONTH($A218)=MONTH($A217),SUM(I218-I217),I218)</f>
        <v>0</v>
      </c>
      <c r="K218" s="124" t="n">
        <f aca="false">IF(WEEKDAY(A218,3)&gt;4,0,(IF(A218&lt;K$2,0,IF(A218&lt;=K$3,1,0))))</f>
        <v>0</v>
      </c>
      <c r="L218" s="124" t="n">
        <f aca="false">J218*K218</f>
        <v>0</v>
      </c>
      <c r="M218" s="124" t="n">
        <f aca="false">SUM(J$188:J218)</f>
        <v>0</v>
      </c>
      <c r="N218" s="124" t="n">
        <f aca="false">SUM(J$6:J218)</f>
        <v>1197025</v>
      </c>
      <c r="P218" s="124" t="n">
        <f aca="false">D218/P$3</f>
        <v>0</v>
      </c>
      <c r="Q218" s="124" t="n">
        <f aca="false">E218/P$3</f>
        <v>0</v>
      </c>
      <c r="R218" s="124" t="n">
        <f aca="false">F218/R$3</f>
        <v>0</v>
      </c>
      <c r="S218" s="126" t="n">
        <f aca="false">J218/$R$3</f>
        <v>0</v>
      </c>
      <c r="T218" s="126" t="n">
        <f aca="false">L218/$R$3</f>
        <v>0</v>
      </c>
      <c r="U218" s="126" t="n">
        <f aca="false">I218/$R$3</f>
        <v>0</v>
      </c>
      <c r="V218" s="126" t="n">
        <f aca="false">M218/$R$3</f>
        <v>0</v>
      </c>
      <c r="W218" s="126" t="n">
        <f aca="false">N218/$R$3</f>
        <v>1197.025</v>
      </c>
    </row>
    <row r="219" customFormat="false" ht="12.75" hidden="false" customHeight="false" outlineLevel="0" collapsed="false">
      <c r="A219" s="120" t="n">
        <f aca="false">A218+1</f>
        <v>37105</v>
      </c>
      <c r="B219" s="131" t="str">
        <f aca="false">INDEX('[4]Master Data'!$A$2:$B$8,MATCH(WEEKDAY('SC Gas MTM'!A219,3),'[4]Master Data'!$A$2:$A$8,0),2)</f>
        <v>Th</v>
      </c>
      <c r="D219" s="124" t="n">
        <v>0</v>
      </c>
      <c r="E219" s="124" t="n">
        <v>0</v>
      </c>
      <c r="F219" s="124" t="n">
        <v>0</v>
      </c>
      <c r="G219" s="124" t="n">
        <v>0</v>
      </c>
      <c r="I219" s="124" t="n">
        <f aca="false">IF(MONTH($A219)=MONTH($A218),IF(G219=0,I218,G219),G219)</f>
        <v>0</v>
      </c>
      <c r="J219" s="124" t="n">
        <f aca="false">IF(MONTH($A219)=MONTH($A218),SUM(I219-I218),I219)</f>
        <v>0</v>
      </c>
      <c r="K219" s="124" t="n">
        <f aca="false">IF(WEEKDAY(A219,3)&gt;4,0,(IF(A219&lt;K$2,0,IF(A219&lt;=K$3,1,0))))</f>
        <v>0</v>
      </c>
      <c r="L219" s="124" t="n">
        <f aca="false">J219*K219</f>
        <v>0</v>
      </c>
      <c r="M219" s="124" t="n">
        <f aca="false">SUM(J$188:J219)</f>
        <v>0</v>
      </c>
      <c r="N219" s="124" t="n">
        <f aca="false">SUM(J$6:J219)</f>
        <v>1197025</v>
      </c>
      <c r="P219" s="124" t="n">
        <f aca="false">D219/P$3</f>
        <v>0</v>
      </c>
      <c r="Q219" s="124" t="n">
        <f aca="false">E219/P$3</f>
        <v>0</v>
      </c>
      <c r="R219" s="124" t="n">
        <f aca="false">F219/R$3</f>
        <v>0</v>
      </c>
      <c r="S219" s="126" t="n">
        <f aca="false">J219/$R$3</f>
        <v>0</v>
      </c>
      <c r="T219" s="126" t="n">
        <f aca="false">L219/$R$3</f>
        <v>0</v>
      </c>
      <c r="U219" s="126" t="n">
        <f aca="false">I219/$R$3</f>
        <v>0</v>
      </c>
      <c r="V219" s="126" t="n">
        <f aca="false">M219/$R$3</f>
        <v>0</v>
      </c>
      <c r="W219" s="126" t="n">
        <f aca="false">N219/$R$3</f>
        <v>1197.025</v>
      </c>
    </row>
    <row r="220" customFormat="false" ht="12.75" hidden="false" customHeight="false" outlineLevel="0" collapsed="false">
      <c r="A220" s="120" t="n">
        <f aca="false">A219+1</f>
        <v>37106</v>
      </c>
      <c r="B220" s="131" t="str">
        <f aca="false">INDEX('[4]Master Data'!$A$2:$B$8,MATCH(WEEKDAY('SC Gas MTM'!A220,3),'[4]Master Data'!$A$2:$A$8,0),2)</f>
        <v>F</v>
      </c>
      <c r="D220" s="124" t="n">
        <v>0</v>
      </c>
      <c r="E220" s="124" t="n">
        <v>0</v>
      </c>
      <c r="F220" s="124" t="n">
        <v>0</v>
      </c>
      <c r="G220" s="124" t="n">
        <v>0</v>
      </c>
      <c r="I220" s="124" t="n">
        <f aca="false">IF(MONTH($A220)=MONTH($A219),IF(G220=0,I219,G220),G220)</f>
        <v>0</v>
      </c>
      <c r="J220" s="124" t="n">
        <f aca="false">IF(MONTH($A220)=MONTH($A219),SUM(I220-I219),I220)</f>
        <v>0</v>
      </c>
      <c r="K220" s="124" t="n">
        <f aca="false">IF(WEEKDAY(A220,3)&gt;4,0,(IF(A220&lt;K$2,0,IF(A220&lt;=K$3,1,0))))</f>
        <v>0</v>
      </c>
      <c r="L220" s="124" t="n">
        <f aca="false">J220*K220</f>
        <v>0</v>
      </c>
      <c r="M220" s="124" t="n">
        <f aca="false">SUM(J$188:J220)</f>
        <v>0</v>
      </c>
      <c r="N220" s="124" t="n">
        <f aca="false">SUM(J$6:J220)</f>
        <v>1197025</v>
      </c>
      <c r="P220" s="124" t="n">
        <f aca="false">D220/P$3</f>
        <v>0</v>
      </c>
      <c r="Q220" s="124" t="n">
        <f aca="false">E220/P$3</f>
        <v>0</v>
      </c>
      <c r="R220" s="124" t="n">
        <f aca="false">F220/R$3</f>
        <v>0</v>
      </c>
      <c r="S220" s="126" t="n">
        <f aca="false">J220/$R$3</f>
        <v>0</v>
      </c>
      <c r="T220" s="126" t="n">
        <f aca="false">L220/$R$3</f>
        <v>0</v>
      </c>
      <c r="U220" s="126" t="n">
        <f aca="false">I220/$R$3</f>
        <v>0</v>
      </c>
      <c r="V220" s="126" t="n">
        <f aca="false">M220/$R$3</f>
        <v>0</v>
      </c>
      <c r="W220" s="126" t="n">
        <f aca="false">N220/$R$3</f>
        <v>1197.025</v>
      </c>
    </row>
    <row r="221" customFormat="false" ht="12.75" hidden="false" customHeight="false" outlineLevel="0" collapsed="false">
      <c r="A221" s="120" t="n">
        <f aca="false">A220+1</f>
        <v>37107</v>
      </c>
      <c r="B221" s="131" t="str">
        <f aca="false">INDEX('[4]Master Data'!$A$2:$B$8,MATCH(WEEKDAY('SC Gas MTM'!A221,3),'[4]Master Data'!$A$2:$A$8,0),2)</f>
        <v>Sa</v>
      </c>
      <c r="D221" s="124" t="n">
        <v>0</v>
      </c>
      <c r="E221" s="124" t="n">
        <v>0</v>
      </c>
      <c r="F221" s="124" t="n">
        <v>0</v>
      </c>
      <c r="G221" s="124" t="n">
        <v>0</v>
      </c>
      <c r="I221" s="124" t="n">
        <f aca="false">IF(MONTH($A221)=MONTH($A220),IF(G221=0,I220,G221),G221)</f>
        <v>0</v>
      </c>
      <c r="J221" s="124" t="n">
        <f aca="false">IF(MONTH($A221)=MONTH($A220),SUM(I221-I220),I221)</f>
        <v>0</v>
      </c>
      <c r="K221" s="124" t="n">
        <f aca="false">IF(WEEKDAY(A221,3)&gt;4,0,(IF(A221&lt;K$2,0,IF(A221&lt;=K$3,1,0))))</f>
        <v>0</v>
      </c>
      <c r="L221" s="124" t="n">
        <f aca="false">J221*K221</f>
        <v>0</v>
      </c>
      <c r="M221" s="124" t="n">
        <f aca="false">SUM(J$188:J221)</f>
        <v>0</v>
      </c>
      <c r="N221" s="124" t="n">
        <f aca="false">SUM(J$6:J221)</f>
        <v>1197025</v>
      </c>
      <c r="P221" s="124" t="n">
        <f aca="false">D221/P$3</f>
        <v>0</v>
      </c>
      <c r="Q221" s="124" t="n">
        <f aca="false">E221/P$3</f>
        <v>0</v>
      </c>
      <c r="R221" s="124" t="n">
        <f aca="false">F221/R$3</f>
        <v>0</v>
      </c>
      <c r="S221" s="126" t="n">
        <f aca="false">J221/$R$3</f>
        <v>0</v>
      </c>
      <c r="T221" s="126" t="n">
        <f aca="false">L221/$R$3</f>
        <v>0</v>
      </c>
      <c r="U221" s="126" t="n">
        <f aca="false">I221/$R$3</f>
        <v>0</v>
      </c>
      <c r="V221" s="126" t="n">
        <f aca="false">M221/$R$3</f>
        <v>0</v>
      </c>
      <c r="W221" s="126" t="n">
        <f aca="false">N221/$R$3</f>
        <v>1197.025</v>
      </c>
    </row>
    <row r="222" customFormat="false" ht="12.75" hidden="false" customHeight="false" outlineLevel="0" collapsed="false">
      <c r="A222" s="120" t="n">
        <f aca="false">A221+1</f>
        <v>37108</v>
      </c>
      <c r="B222" s="131" t="str">
        <f aca="false">INDEX('[4]Master Data'!$A$2:$B$8,MATCH(WEEKDAY('SC Gas MTM'!A222,3),'[4]Master Data'!$A$2:$A$8,0),2)</f>
        <v>Su</v>
      </c>
      <c r="D222" s="124" t="n">
        <v>0</v>
      </c>
      <c r="E222" s="124" t="n">
        <v>0</v>
      </c>
      <c r="F222" s="124" t="n">
        <v>0</v>
      </c>
      <c r="G222" s="124" t="n">
        <v>0</v>
      </c>
      <c r="I222" s="124" t="n">
        <f aca="false">IF(MONTH($A222)=MONTH($A221),IF(G222=0,I221,G222),G222)</f>
        <v>0</v>
      </c>
      <c r="J222" s="124" t="n">
        <f aca="false">IF(MONTH($A222)=MONTH($A221),SUM(I222-I221),I222)</f>
        <v>0</v>
      </c>
      <c r="K222" s="124" t="n">
        <f aca="false">IF(WEEKDAY(A222,3)&gt;4,0,(IF(A222&lt;K$2,0,IF(A222&lt;=K$3,1,0))))</f>
        <v>0</v>
      </c>
      <c r="L222" s="124" t="n">
        <f aca="false">J222*K222</f>
        <v>0</v>
      </c>
      <c r="M222" s="124" t="n">
        <f aca="false">SUM(J$188:J222)</f>
        <v>0</v>
      </c>
      <c r="N222" s="124" t="n">
        <f aca="false">SUM(J$6:J222)</f>
        <v>1197025</v>
      </c>
      <c r="P222" s="124" t="n">
        <f aca="false">D222/P$3</f>
        <v>0</v>
      </c>
      <c r="Q222" s="124" t="n">
        <f aca="false">E222/P$3</f>
        <v>0</v>
      </c>
      <c r="R222" s="124" t="n">
        <f aca="false">F222/R$3</f>
        <v>0</v>
      </c>
      <c r="S222" s="126" t="n">
        <f aca="false">J222/$R$3</f>
        <v>0</v>
      </c>
      <c r="T222" s="126" t="n">
        <f aca="false">L222/$R$3</f>
        <v>0</v>
      </c>
      <c r="U222" s="126" t="n">
        <f aca="false">I222/$R$3</f>
        <v>0</v>
      </c>
      <c r="V222" s="126" t="n">
        <f aca="false">M222/$R$3</f>
        <v>0</v>
      </c>
      <c r="W222" s="126" t="n">
        <f aca="false">N222/$R$3</f>
        <v>1197.025</v>
      </c>
    </row>
    <row r="223" customFormat="false" ht="12.75" hidden="false" customHeight="false" outlineLevel="0" collapsed="false">
      <c r="A223" s="120" t="n">
        <f aca="false">A222+1</f>
        <v>37109</v>
      </c>
      <c r="B223" s="131" t="str">
        <f aca="false">INDEX('[4]Master Data'!$A$2:$B$8,MATCH(WEEKDAY('SC Gas MTM'!A223,3),'[4]Master Data'!$A$2:$A$8,0),2)</f>
        <v>M</v>
      </c>
      <c r="D223" s="124" t="n">
        <v>0</v>
      </c>
      <c r="E223" s="124" t="n">
        <v>0</v>
      </c>
      <c r="F223" s="124" t="n">
        <v>0</v>
      </c>
      <c r="G223" s="124" t="n">
        <v>0</v>
      </c>
      <c r="I223" s="124" t="n">
        <f aca="false">IF(MONTH($A223)=MONTH($A222),IF(G223=0,I222,G223),G223)</f>
        <v>0</v>
      </c>
      <c r="J223" s="124" t="n">
        <f aca="false">IF(MONTH($A223)=MONTH($A222),SUM(I223-I222),I223)</f>
        <v>0</v>
      </c>
      <c r="K223" s="124" t="n">
        <f aca="false">IF(WEEKDAY(A223,3)&gt;4,0,(IF(A223&lt;K$2,0,IF(A223&lt;=K$3,1,0))))</f>
        <v>0</v>
      </c>
      <c r="L223" s="124" t="n">
        <f aca="false">J223*K223</f>
        <v>0</v>
      </c>
      <c r="M223" s="124" t="n">
        <f aca="false">SUM(J$188:J223)</f>
        <v>0</v>
      </c>
      <c r="N223" s="124" t="n">
        <f aca="false">SUM(J$6:J223)</f>
        <v>1197025</v>
      </c>
      <c r="P223" s="124" t="n">
        <f aca="false">D223/P$3</f>
        <v>0</v>
      </c>
      <c r="Q223" s="124" t="n">
        <f aca="false">E223/P$3</f>
        <v>0</v>
      </c>
      <c r="R223" s="124" t="n">
        <f aca="false">F223/R$3</f>
        <v>0</v>
      </c>
      <c r="S223" s="126" t="n">
        <f aca="false">J223/$R$3</f>
        <v>0</v>
      </c>
      <c r="T223" s="126" t="n">
        <f aca="false">L223/$R$3</f>
        <v>0</v>
      </c>
      <c r="U223" s="126" t="n">
        <f aca="false">I223/$R$3</f>
        <v>0</v>
      </c>
      <c r="V223" s="126" t="n">
        <f aca="false">M223/$R$3</f>
        <v>0</v>
      </c>
      <c r="W223" s="126" t="n">
        <f aca="false">N223/$R$3</f>
        <v>1197.025</v>
      </c>
    </row>
    <row r="224" customFormat="false" ht="12.75" hidden="false" customHeight="false" outlineLevel="0" collapsed="false">
      <c r="A224" s="120" t="n">
        <f aca="false">A223+1</f>
        <v>37110</v>
      </c>
      <c r="B224" s="131" t="str">
        <f aca="false">INDEX('[4]Master Data'!$A$2:$B$8,MATCH(WEEKDAY('SC Gas MTM'!A224,3),'[4]Master Data'!$A$2:$A$8,0),2)</f>
        <v>T</v>
      </c>
      <c r="D224" s="124" t="n">
        <v>0</v>
      </c>
      <c r="E224" s="124" t="n">
        <v>0</v>
      </c>
      <c r="F224" s="124" t="n">
        <v>0</v>
      </c>
      <c r="G224" s="124" t="n">
        <v>0</v>
      </c>
      <c r="I224" s="124" t="n">
        <f aca="false">IF(MONTH($A224)=MONTH($A223),IF(G224=0,I223,G224),G224)</f>
        <v>0</v>
      </c>
      <c r="J224" s="124" t="n">
        <f aca="false">IF(MONTH($A224)=MONTH($A223),SUM(I224-I223),I224)</f>
        <v>0</v>
      </c>
      <c r="K224" s="124" t="n">
        <f aca="false">IF(WEEKDAY(A224,3)&gt;4,0,(IF(A224&lt;K$2,0,IF(A224&lt;=K$3,1,0))))</f>
        <v>0</v>
      </c>
      <c r="L224" s="124" t="n">
        <f aca="false">J224*K224</f>
        <v>0</v>
      </c>
      <c r="M224" s="124" t="n">
        <f aca="false">SUM(J$188:J224)</f>
        <v>0</v>
      </c>
      <c r="N224" s="124" t="n">
        <f aca="false">SUM(J$6:J224)</f>
        <v>1197025</v>
      </c>
      <c r="P224" s="124" t="n">
        <f aca="false">D224/P$3</f>
        <v>0</v>
      </c>
      <c r="Q224" s="124" t="n">
        <f aca="false">E224/P$3</f>
        <v>0</v>
      </c>
      <c r="R224" s="124" t="n">
        <f aca="false">F224/R$3</f>
        <v>0</v>
      </c>
      <c r="S224" s="126" t="n">
        <f aca="false">J224/$R$3</f>
        <v>0</v>
      </c>
      <c r="T224" s="126" t="n">
        <f aca="false">L224/$R$3</f>
        <v>0</v>
      </c>
      <c r="U224" s="126" t="n">
        <f aca="false">I224/$R$3</f>
        <v>0</v>
      </c>
      <c r="V224" s="126" t="n">
        <f aca="false">M224/$R$3</f>
        <v>0</v>
      </c>
      <c r="W224" s="126" t="n">
        <f aca="false">N224/$R$3</f>
        <v>1197.025</v>
      </c>
    </row>
    <row r="225" customFormat="false" ht="12.75" hidden="false" customHeight="false" outlineLevel="0" collapsed="false">
      <c r="A225" s="120" t="n">
        <f aca="false">A224+1</f>
        <v>37111</v>
      </c>
      <c r="B225" s="131" t="str">
        <f aca="false">INDEX('[4]Master Data'!$A$2:$B$8,MATCH(WEEKDAY('SC Gas MTM'!A225,3),'[4]Master Data'!$A$2:$A$8,0),2)</f>
        <v>W</v>
      </c>
      <c r="D225" s="124" t="n">
        <v>0</v>
      </c>
      <c r="E225" s="124" t="n">
        <v>0</v>
      </c>
      <c r="F225" s="124" t="n">
        <v>0</v>
      </c>
      <c r="G225" s="124" t="n">
        <v>0</v>
      </c>
      <c r="I225" s="124" t="n">
        <f aca="false">IF(MONTH($A225)=MONTH($A224),IF(G225=0,I224,G225),G225)</f>
        <v>0</v>
      </c>
      <c r="J225" s="124" t="n">
        <f aca="false">IF(MONTH($A225)=MONTH($A224),SUM(I225-I224),I225)</f>
        <v>0</v>
      </c>
      <c r="K225" s="124" t="n">
        <f aca="false">IF(WEEKDAY(A225,3)&gt;4,0,(IF(A225&lt;K$2,0,IF(A225&lt;=K$3,1,0))))</f>
        <v>0</v>
      </c>
      <c r="L225" s="124" t="n">
        <f aca="false">J225*K225</f>
        <v>0</v>
      </c>
      <c r="M225" s="124" t="n">
        <f aca="false">SUM(J$188:J225)</f>
        <v>0</v>
      </c>
      <c r="N225" s="124" t="n">
        <f aca="false">SUM(J$6:J225)</f>
        <v>1197025</v>
      </c>
      <c r="P225" s="124" t="n">
        <f aca="false">D225/P$3</f>
        <v>0</v>
      </c>
      <c r="Q225" s="124" t="n">
        <f aca="false">E225/P$3</f>
        <v>0</v>
      </c>
      <c r="R225" s="124" t="n">
        <f aca="false">F225/R$3</f>
        <v>0</v>
      </c>
      <c r="S225" s="126" t="n">
        <f aca="false">J225/$R$3</f>
        <v>0</v>
      </c>
      <c r="T225" s="126" t="n">
        <f aca="false">L225/$R$3</f>
        <v>0</v>
      </c>
      <c r="U225" s="126" t="n">
        <f aca="false">I225/$R$3</f>
        <v>0</v>
      </c>
      <c r="V225" s="126" t="n">
        <f aca="false">M225/$R$3</f>
        <v>0</v>
      </c>
      <c r="W225" s="126" t="n">
        <f aca="false">N225/$R$3</f>
        <v>1197.025</v>
      </c>
    </row>
    <row r="226" customFormat="false" ht="12.75" hidden="false" customHeight="false" outlineLevel="0" collapsed="false">
      <c r="A226" s="120" t="n">
        <f aca="false">A225+1</f>
        <v>37112</v>
      </c>
      <c r="B226" s="131" t="str">
        <f aca="false">INDEX('[4]Master Data'!$A$2:$B$8,MATCH(WEEKDAY('SC Gas MTM'!A226,3),'[4]Master Data'!$A$2:$A$8,0),2)</f>
        <v>Th</v>
      </c>
      <c r="D226" s="124" t="n">
        <v>0</v>
      </c>
      <c r="E226" s="124" t="n">
        <v>0</v>
      </c>
      <c r="F226" s="124" t="n">
        <v>0</v>
      </c>
      <c r="G226" s="124" t="n">
        <v>0</v>
      </c>
      <c r="I226" s="124" t="n">
        <f aca="false">IF(MONTH($A226)=MONTH($A225),IF(G226=0,I225,G226),G226)</f>
        <v>0</v>
      </c>
      <c r="J226" s="124" t="n">
        <f aca="false">IF(MONTH($A226)=MONTH($A225),SUM(I226-I225),I226)</f>
        <v>0</v>
      </c>
      <c r="K226" s="124" t="n">
        <f aca="false">IF(WEEKDAY(A226,3)&gt;4,0,(IF(A226&lt;K$2,0,IF(A226&lt;=K$3,1,0))))</f>
        <v>0</v>
      </c>
      <c r="L226" s="124" t="n">
        <f aca="false">J226*K226</f>
        <v>0</v>
      </c>
      <c r="M226" s="124" t="n">
        <f aca="false">SUM(J$188:J226)</f>
        <v>0</v>
      </c>
      <c r="N226" s="124" t="n">
        <f aca="false">SUM(J$6:J226)</f>
        <v>1197025</v>
      </c>
      <c r="P226" s="124" t="n">
        <f aca="false">D226/P$3</f>
        <v>0</v>
      </c>
      <c r="Q226" s="124" t="n">
        <f aca="false">E226/P$3</f>
        <v>0</v>
      </c>
      <c r="R226" s="124" t="n">
        <f aca="false">F226/R$3</f>
        <v>0</v>
      </c>
      <c r="S226" s="126" t="n">
        <f aca="false">J226/$R$3</f>
        <v>0</v>
      </c>
      <c r="T226" s="126" t="n">
        <f aca="false">L226/$R$3</f>
        <v>0</v>
      </c>
      <c r="U226" s="126" t="n">
        <f aca="false">I226/$R$3</f>
        <v>0</v>
      </c>
      <c r="V226" s="126" t="n">
        <f aca="false">M226/$R$3</f>
        <v>0</v>
      </c>
      <c r="W226" s="126" t="n">
        <f aca="false">N226/$R$3</f>
        <v>1197.025</v>
      </c>
    </row>
    <row r="227" customFormat="false" ht="12.75" hidden="false" customHeight="false" outlineLevel="0" collapsed="false">
      <c r="A227" s="120" t="n">
        <f aca="false">A226+1</f>
        <v>37113</v>
      </c>
      <c r="B227" s="131" t="str">
        <f aca="false">INDEX('[4]Master Data'!$A$2:$B$8,MATCH(WEEKDAY('SC Gas MTM'!A227,3),'[4]Master Data'!$A$2:$A$8,0),2)</f>
        <v>F</v>
      </c>
      <c r="D227" s="124" t="n">
        <v>0</v>
      </c>
      <c r="E227" s="124" t="n">
        <v>0</v>
      </c>
      <c r="F227" s="124" t="n">
        <v>0</v>
      </c>
      <c r="G227" s="124" t="n">
        <v>0</v>
      </c>
      <c r="I227" s="124" t="n">
        <f aca="false">IF(MONTH($A227)=MONTH($A226),IF(G227=0,I226,G227),G227)</f>
        <v>0</v>
      </c>
      <c r="J227" s="124" t="n">
        <f aca="false">IF(MONTH($A227)=MONTH($A226),SUM(I227-I226),I227)</f>
        <v>0</v>
      </c>
      <c r="K227" s="124" t="n">
        <f aca="false">IF(WEEKDAY(A227,3)&gt;4,0,(IF(A227&lt;K$2,0,IF(A227&lt;=K$3,1,0))))</f>
        <v>0</v>
      </c>
      <c r="L227" s="124" t="n">
        <f aca="false">J227*K227</f>
        <v>0</v>
      </c>
      <c r="M227" s="124" t="n">
        <f aca="false">SUM(J$188:J227)</f>
        <v>0</v>
      </c>
      <c r="N227" s="124" t="n">
        <f aca="false">SUM(J$6:J227)</f>
        <v>1197025</v>
      </c>
      <c r="P227" s="124" t="n">
        <f aca="false">D227/P$3</f>
        <v>0</v>
      </c>
      <c r="Q227" s="124" t="n">
        <f aca="false">E227/P$3</f>
        <v>0</v>
      </c>
      <c r="R227" s="124" t="n">
        <f aca="false">F227/R$3</f>
        <v>0</v>
      </c>
      <c r="S227" s="126" t="n">
        <f aca="false">J227/$R$3</f>
        <v>0</v>
      </c>
      <c r="T227" s="126" t="n">
        <f aca="false">L227/$R$3</f>
        <v>0</v>
      </c>
      <c r="U227" s="126" t="n">
        <f aca="false">I227/$R$3</f>
        <v>0</v>
      </c>
      <c r="V227" s="126" t="n">
        <f aca="false">M227/$R$3</f>
        <v>0</v>
      </c>
      <c r="W227" s="126" t="n">
        <f aca="false">N227/$R$3</f>
        <v>1197.025</v>
      </c>
    </row>
    <row r="228" customFormat="false" ht="12.75" hidden="false" customHeight="false" outlineLevel="0" collapsed="false">
      <c r="A228" s="120" t="n">
        <f aca="false">A227+1</f>
        <v>37114</v>
      </c>
      <c r="B228" s="131" t="str">
        <f aca="false">INDEX('[4]Master Data'!$A$2:$B$8,MATCH(WEEKDAY('SC Gas MTM'!A228,3),'[4]Master Data'!$A$2:$A$8,0),2)</f>
        <v>Sa</v>
      </c>
      <c r="D228" s="124" t="n">
        <v>0</v>
      </c>
      <c r="E228" s="124" t="n">
        <v>0</v>
      </c>
      <c r="F228" s="124" t="n">
        <v>0</v>
      </c>
      <c r="G228" s="124" t="n">
        <v>0</v>
      </c>
      <c r="I228" s="124" t="n">
        <f aca="false">IF(MONTH($A228)=MONTH($A227),IF(G228=0,I227,G228),G228)</f>
        <v>0</v>
      </c>
      <c r="J228" s="124" t="n">
        <f aca="false">IF(MONTH($A228)=MONTH($A227),SUM(I228-I227),I228)</f>
        <v>0</v>
      </c>
      <c r="K228" s="124" t="n">
        <f aca="false">IF(WEEKDAY(A228,3)&gt;4,0,(IF(A228&lt;K$2,0,IF(A228&lt;=K$3,1,0))))</f>
        <v>0</v>
      </c>
      <c r="L228" s="124" t="n">
        <f aca="false">J228*K228</f>
        <v>0</v>
      </c>
      <c r="M228" s="124" t="n">
        <f aca="false">SUM(J$188:J228)</f>
        <v>0</v>
      </c>
      <c r="N228" s="124" t="n">
        <f aca="false">SUM(J$6:J228)</f>
        <v>1197025</v>
      </c>
      <c r="P228" s="124" t="n">
        <f aca="false">D228/P$3</f>
        <v>0</v>
      </c>
      <c r="Q228" s="124" t="n">
        <f aca="false">E228/P$3</f>
        <v>0</v>
      </c>
      <c r="R228" s="124" t="n">
        <f aca="false">F228/R$3</f>
        <v>0</v>
      </c>
      <c r="S228" s="126" t="n">
        <f aca="false">J228/$R$3</f>
        <v>0</v>
      </c>
      <c r="T228" s="126" t="n">
        <f aca="false">L228/$R$3</f>
        <v>0</v>
      </c>
      <c r="U228" s="126" t="n">
        <f aca="false">I228/$R$3</f>
        <v>0</v>
      </c>
      <c r="V228" s="126" t="n">
        <f aca="false">M228/$R$3</f>
        <v>0</v>
      </c>
      <c r="W228" s="126" t="n">
        <f aca="false">N228/$R$3</f>
        <v>1197.025</v>
      </c>
    </row>
    <row r="229" customFormat="false" ht="12.75" hidden="false" customHeight="false" outlineLevel="0" collapsed="false">
      <c r="A229" s="120" t="n">
        <f aca="false">A228+1</f>
        <v>37115</v>
      </c>
      <c r="B229" s="131" t="str">
        <f aca="false">INDEX('[4]Master Data'!$A$2:$B$8,MATCH(WEEKDAY('SC Gas MTM'!A229,3),'[4]Master Data'!$A$2:$A$8,0),2)</f>
        <v>Su</v>
      </c>
      <c r="D229" s="124" t="n">
        <v>0</v>
      </c>
      <c r="E229" s="124" t="n">
        <v>0</v>
      </c>
      <c r="F229" s="124" t="n">
        <v>0</v>
      </c>
      <c r="G229" s="124" t="n">
        <v>0</v>
      </c>
      <c r="I229" s="124" t="n">
        <f aca="false">IF(MONTH($A229)=MONTH($A228),IF(G229=0,I228,G229),G229)</f>
        <v>0</v>
      </c>
      <c r="J229" s="124" t="n">
        <f aca="false">IF(MONTH($A229)=MONTH($A228),SUM(I229-I228),I229)</f>
        <v>0</v>
      </c>
      <c r="K229" s="124" t="n">
        <f aca="false">IF(WEEKDAY(A229,3)&gt;4,0,(IF(A229&lt;K$2,0,IF(A229&lt;=K$3,1,0))))</f>
        <v>0</v>
      </c>
      <c r="L229" s="124" t="n">
        <f aca="false">J229*K229</f>
        <v>0</v>
      </c>
      <c r="M229" s="124" t="n">
        <f aca="false">SUM(J$188:J229)</f>
        <v>0</v>
      </c>
      <c r="N229" s="124" t="n">
        <f aca="false">SUM(J$6:J229)</f>
        <v>1197025</v>
      </c>
      <c r="P229" s="124" t="n">
        <f aca="false">D229/P$3</f>
        <v>0</v>
      </c>
      <c r="Q229" s="124" t="n">
        <f aca="false">E229/P$3</f>
        <v>0</v>
      </c>
      <c r="R229" s="124" t="n">
        <f aca="false">F229/R$3</f>
        <v>0</v>
      </c>
      <c r="S229" s="126" t="n">
        <f aca="false">J229/$R$3</f>
        <v>0</v>
      </c>
      <c r="T229" s="126" t="n">
        <f aca="false">L229/$R$3</f>
        <v>0</v>
      </c>
      <c r="U229" s="126" t="n">
        <f aca="false">I229/$R$3</f>
        <v>0</v>
      </c>
      <c r="V229" s="126" t="n">
        <f aca="false">M229/$R$3</f>
        <v>0</v>
      </c>
      <c r="W229" s="126" t="n">
        <f aca="false">N229/$R$3</f>
        <v>1197.025</v>
      </c>
    </row>
    <row r="230" customFormat="false" ht="12.75" hidden="false" customHeight="false" outlineLevel="0" collapsed="false">
      <c r="A230" s="120" t="n">
        <f aca="false">A229+1</f>
        <v>37116</v>
      </c>
      <c r="B230" s="131" t="str">
        <f aca="false">INDEX('[4]Master Data'!$A$2:$B$8,MATCH(WEEKDAY('SC Gas MTM'!A230,3),'[4]Master Data'!$A$2:$A$8,0),2)</f>
        <v>M</v>
      </c>
      <c r="D230" s="124" t="n">
        <v>0</v>
      </c>
      <c r="E230" s="124" t="n">
        <v>0</v>
      </c>
      <c r="F230" s="124" t="n">
        <v>0</v>
      </c>
      <c r="G230" s="124" t="n">
        <v>0</v>
      </c>
      <c r="I230" s="124" t="n">
        <f aca="false">IF(MONTH($A230)=MONTH($A229),IF(G230=0,I229,G230),G230)</f>
        <v>0</v>
      </c>
      <c r="J230" s="124" t="n">
        <f aca="false">IF(MONTH($A230)=MONTH($A229),SUM(I230-I229),I230)</f>
        <v>0</v>
      </c>
      <c r="K230" s="124" t="n">
        <f aca="false">IF(WEEKDAY(A230,3)&gt;4,0,(IF(A230&lt;K$2,0,IF(A230&lt;=K$3,1,0))))</f>
        <v>0</v>
      </c>
      <c r="L230" s="124" t="n">
        <f aca="false">J230*K230</f>
        <v>0</v>
      </c>
      <c r="M230" s="124" t="n">
        <f aca="false">SUM(J$188:J230)</f>
        <v>0</v>
      </c>
      <c r="N230" s="124" t="n">
        <f aca="false">SUM(J$6:J230)</f>
        <v>1197025</v>
      </c>
      <c r="P230" s="124" t="n">
        <f aca="false">D230/P$3</f>
        <v>0</v>
      </c>
      <c r="Q230" s="124" t="n">
        <f aca="false">E230/P$3</f>
        <v>0</v>
      </c>
      <c r="R230" s="124" t="n">
        <f aca="false">F230/R$3</f>
        <v>0</v>
      </c>
      <c r="S230" s="126" t="n">
        <f aca="false">J230/$R$3</f>
        <v>0</v>
      </c>
      <c r="T230" s="126" t="n">
        <f aca="false">L230/$R$3</f>
        <v>0</v>
      </c>
      <c r="U230" s="126" t="n">
        <f aca="false">I230/$R$3</f>
        <v>0</v>
      </c>
      <c r="V230" s="126" t="n">
        <f aca="false">M230/$R$3</f>
        <v>0</v>
      </c>
      <c r="W230" s="126" t="n">
        <f aca="false">N230/$R$3</f>
        <v>1197.025</v>
      </c>
    </row>
    <row r="231" customFormat="false" ht="12.75" hidden="false" customHeight="false" outlineLevel="0" collapsed="false">
      <c r="A231" s="120" t="n">
        <f aca="false">A230+1</f>
        <v>37117</v>
      </c>
      <c r="B231" s="131" t="str">
        <f aca="false">INDEX('[4]Master Data'!$A$2:$B$8,MATCH(WEEKDAY('SC Gas MTM'!A231,3),'[4]Master Data'!$A$2:$A$8,0),2)</f>
        <v>T</v>
      </c>
      <c r="D231" s="124" t="n">
        <v>0</v>
      </c>
      <c r="E231" s="124" t="n">
        <v>0</v>
      </c>
      <c r="F231" s="124" t="n">
        <v>0</v>
      </c>
      <c r="G231" s="124" t="n">
        <v>0</v>
      </c>
      <c r="I231" s="124" t="n">
        <f aca="false">IF(MONTH($A231)=MONTH($A230),IF(G231=0,I230,G231),G231)</f>
        <v>0</v>
      </c>
      <c r="J231" s="124" t="n">
        <f aca="false">IF(MONTH($A231)=MONTH($A230),SUM(I231-I230),I231)</f>
        <v>0</v>
      </c>
      <c r="K231" s="124" t="n">
        <f aca="false">IF(WEEKDAY(A231,3)&gt;4,0,(IF(A231&lt;K$2,0,IF(A231&lt;=K$3,1,0))))</f>
        <v>0</v>
      </c>
      <c r="L231" s="124" t="n">
        <f aca="false">J231*K231</f>
        <v>0</v>
      </c>
      <c r="M231" s="124" t="n">
        <f aca="false">SUM(J$188:J231)</f>
        <v>0</v>
      </c>
      <c r="N231" s="124" t="n">
        <f aca="false">SUM(J$6:J231)</f>
        <v>1197025</v>
      </c>
      <c r="P231" s="124" t="n">
        <f aca="false">D231/P$3</f>
        <v>0</v>
      </c>
      <c r="Q231" s="124" t="n">
        <f aca="false">E231/P$3</f>
        <v>0</v>
      </c>
      <c r="R231" s="124" t="n">
        <f aca="false">F231/R$3</f>
        <v>0</v>
      </c>
      <c r="S231" s="126" t="n">
        <f aca="false">J231/$R$3</f>
        <v>0</v>
      </c>
      <c r="T231" s="126" t="n">
        <f aca="false">L231/$R$3</f>
        <v>0</v>
      </c>
      <c r="U231" s="126" t="n">
        <f aca="false">I231/$R$3</f>
        <v>0</v>
      </c>
      <c r="V231" s="126" t="n">
        <f aca="false">M231/$R$3</f>
        <v>0</v>
      </c>
      <c r="W231" s="126" t="n">
        <f aca="false">N231/$R$3</f>
        <v>1197.025</v>
      </c>
    </row>
    <row r="232" customFormat="false" ht="12.75" hidden="false" customHeight="false" outlineLevel="0" collapsed="false">
      <c r="A232" s="120" t="n">
        <f aca="false">A231+1</f>
        <v>37118</v>
      </c>
      <c r="B232" s="131" t="str">
        <f aca="false">INDEX('[4]Master Data'!$A$2:$B$8,MATCH(WEEKDAY('SC Gas MTM'!A232,3),'[4]Master Data'!$A$2:$A$8,0),2)</f>
        <v>W</v>
      </c>
      <c r="D232" s="124" t="n">
        <v>0</v>
      </c>
      <c r="E232" s="124" t="n">
        <v>0</v>
      </c>
      <c r="F232" s="124" t="n">
        <v>0</v>
      </c>
      <c r="G232" s="124" t="n">
        <v>0</v>
      </c>
      <c r="I232" s="124" t="n">
        <f aca="false">IF(MONTH($A232)=MONTH($A231),IF(G232=0,I231,G232),G232)</f>
        <v>0</v>
      </c>
      <c r="J232" s="124" t="n">
        <f aca="false">IF(MONTH($A232)=MONTH($A231),SUM(I232-I231),I232)</f>
        <v>0</v>
      </c>
      <c r="K232" s="124" t="n">
        <f aca="false">IF(WEEKDAY(A232,3)&gt;4,0,(IF(A232&lt;K$2,0,IF(A232&lt;=K$3,1,0))))</f>
        <v>0</v>
      </c>
      <c r="L232" s="124" t="n">
        <f aca="false">J232*K232</f>
        <v>0</v>
      </c>
      <c r="M232" s="124" t="n">
        <f aca="false">SUM(J$188:J232)</f>
        <v>0</v>
      </c>
      <c r="N232" s="124" t="n">
        <f aca="false">SUM(J$6:J232)</f>
        <v>1197025</v>
      </c>
      <c r="P232" s="124" t="n">
        <f aca="false">D232/P$3</f>
        <v>0</v>
      </c>
      <c r="Q232" s="124" t="n">
        <f aca="false">E232/P$3</f>
        <v>0</v>
      </c>
      <c r="R232" s="124" t="n">
        <f aca="false">F232/R$3</f>
        <v>0</v>
      </c>
      <c r="S232" s="126" t="n">
        <f aca="false">J232/$R$3</f>
        <v>0</v>
      </c>
      <c r="T232" s="126" t="n">
        <f aca="false">L232/$R$3</f>
        <v>0</v>
      </c>
      <c r="U232" s="126" t="n">
        <f aca="false">I232/$R$3</f>
        <v>0</v>
      </c>
      <c r="V232" s="126" t="n">
        <f aca="false">M232/$R$3</f>
        <v>0</v>
      </c>
      <c r="W232" s="126" t="n">
        <f aca="false">N232/$R$3</f>
        <v>1197.025</v>
      </c>
    </row>
    <row r="233" customFormat="false" ht="12.75" hidden="false" customHeight="false" outlineLevel="0" collapsed="false">
      <c r="A233" s="120" t="n">
        <f aca="false">A232+1</f>
        <v>37119</v>
      </c>
      <c r="B233" s="131" t="str">
        <f aca="false">INDEX('[4]Master Data'!$A$2:$B$8,MATCH(WEEKDAY('SC Gas MTM'!A233,3),'[4]Master Data'!$A$2:$A$8,0),2)</f>
        <v>Th</v>
      </c>
      <c r="D233" s="124" t="n">
        <v>0</v>
      </c>
      <c r="E233" s="124" t="n">
        <v>0</v>
      </c>
      <c r="F233" s="124" t="n">
        <v>0</v>
      </c>
      <c r="G233" s="124" t="n">
        <v>0</v>
      </c>
      <c r="I233" s="124" t="n">
        <f aca="false">IF(MONTH($A233)=MONTH($A232),IF(G233=0,I232,G233),G233)</f>
        <v>0</v>
      </c>
      <c r="J233" s="124" t="n">
        <f aca="false">IF(MONTH($A233)=MONTH($A232),SUM(I233-I232),I233)</f>
        <v>0</v>
      </c>
      <c r="K233" s="124" t="n">
        <f aca="false">IF(WEEKDAY(A233,3)&gt;4,0,(IF(A233&lt;K$2,0,IF(A233&lt;=K$3,1,0))))</f>
        <v>0</v>
      </c>
      <c r="L233" s="124" t="n">
        <f aca="false">J233*K233</f>
        <v>0</v>
      </c>
      <c r="M233" s="124" t="n">
        <f aca="false">SUM(J$188:J233)</f>
        <v>0</v>
      </c>
      <c r="N233" s="124" t="n">
        <f aca="false">SUM(J$6:J233)</f>
        <v>1197025</v>
      </c>
      <c r="P233" s="124" t="n">
        <f aca="false">D233/P$3</f>
        <v>0</v>
      </c>
      <c r="Q233" s="124" t="n">
        <f aca="false">E233/P$3</f>
        <v>0</v>
      </c>
      <c r="R233" s="124" t="n">
        <f aca="false">F233/R$3</f>
        <v>0</v>
      </c>
      <c r="S233" s="126" t="n">
        <f aca="false">J233/$R$3</f>
        <v>0</v>
      </c>
      <c r="T233" s="126" t="n">
        <f aca="false">L233/$R$3</f>
        <v>0</v>
      </c>
      <c r="U233" s="126" t="n">
        <f aca="false">I233/$R$3</f>
        <v>0</v>
      </c>
      <c r="V233" s="126" t="n">
        <f aca="false">M233/$R$3</f>
        <v>0</v>
      </c>
      <c r="W233" s="126" t="n">
        <f aca="false">N233/$R$3</f>
        <v>1197.025</v>
      </c>
    </row>
    <row r="234" customFormat="false" ht="12.75" hidden="false" customHeight="false" outlineLevel="0" collapsed="false">
      <c r="A234" s="120" t="n">
        <f aca="false">A233+1</f>
        <v>37120</v>
      </c>
      <c r="B234" s="131" t="str">
        <f aca="false">INDEX('[4]Master Data'!$A$2:$B$8,MATCH(WEEKDAY('SC Gas MTM'!A234,3),'[4]Master Data'!$A$2:$A$8,0),2)</f>
        <v>F</v>
      </c>
      <c r="D234" s="124" t="n">
        <v>0</v>
      </c>
      <c r="E234" s="124" t="n">
        <v>0</v>
      </c>
      <c r="F234" s="124" t="n">
        <v>0</v>
      </c>
      <c r="G234" s="124" t="n">
        <v>0</v>
      </c>
      <c r="I234" s="124" t="n">
        <f aca="false">IF(MONTH($A234)=MONTH($A233),IF(G234=0,I233,G234),G234)</f>
        <v>0</v>
      </c>
      <c r="J234" s="124" t="n">
        <f aca="false">IF(MONTH($A234)=MONTH($A233),SUM(I234-I233),I234)</f>
        <v>0</v>
      </c>
      <c r="K234" s="124" t="n">
        <f aca="false">IF(WEEKDAY(A234,3)&gt;4,0,(IF(A234&lt;K$2,0,IF(A234&lt;=K$3,1,0))))</f>
        <v>0</v>
      </c>
      <c r="L234" s="124" t="n">
        <f aca="false">J234*K234</f>
        <v>0</v>
      </c>
      <c r="M234" s="124" t="n">
        <f aca="false">SUM(J$188:J234)</f>
        <v>0</v>
      </c>
      <c r="N234" s="124" t="n">
        <f aca="false">SUM(J$6:J234)</f>
        <v>1197025</v>
      </c>
      <c r="P234" s="124" t="n">
        <f aca="false">D234/P$3</f>
        <v>0</v>
      </c>
      <c r="Q234" s="124" t="n">
        <f aca="false">E234/P$3</f>
        <v>0</v>
      </c>
      <c r="R234" s="124" t="n">
        <f aca="false">F234/R$3</f>
        <v>0</v>
      </c>
      <c r="S234" s="126" t="n">
        <f aca="false">J234/$R$3</f>
        <v>0</v>
      </c>
      <c r="T234" s="126" t="n">
        <f aca="false">L234/$R$3</f>
        <v>0</v>
      </c>
      <c r="U234" s="126" t="n">
        <f aca="false">I234/$R$3</f>
        <v>0</v>
      </c>
      <c r="V234" s="126" t="n">
        <f aca="false">M234/$R$3</f>
        <v>0</v>
      </c>
      <c r="W234" s="126" t="n">
        <f aca="false">N234/$R$3</f>
        <v>1197.025</v>
      </c>
    </row>
    <row r="235" customFormat="false" ht="12.75" hidden="false" customHeight="false" outlineLevel="0" collapsed="false">
      <c r="A235" s="120" t="n">
        <f aca="false">A234+1</f>
        <v>37121</v>
      </c>
      <c r="B235" s="131" t="str">
        <f aca="false">INDEX('[4]Master Data'!$A$2:$B$8,MATCH(WEEKDAY('SC Gas MTM'!A235,3),'[4]Master Data'!$A$2:$A$8,0),2)</f>
        <v>Sa</v>
      </c>
      <c r="D235" s="124" t="n">
        <v>0</v>
      </c>
      <c r="E235" s="124" t="n">
        <v>0</v>
      </c>
      <c r="F235" s="124" t="n">
        <v>0</v>
      </c>
      <c r="G235" s="124" t="n">
        <v>0</v>
      </c>
      <c r="I235" s="124" t="n">
        <f aca="false">IF(MONTH($A235)=MONTH($A234),IF(G235=0,I234,G235),G235)</f>
        <v>0</v>
      </c>
      <c r="J235" s="124" t="n">
        <f aca="false">IF(MONTH($A235)=MONTH($A234),SUM(I235-I234),I235)</f>
        <v>0</v>
      </c>
      <c r="K235" s="124" t="n">
        <f aca="false">IF(WEEKDAY(A235,3)&gt;4,0,(IF(A235&lt;K$2,0,IF(A235&lt;=K$3,1,0))))</f>
        <v>0</v>
      </c>
      <c r="L235" s="124" t="n">
        <f aca="false">J235*K235</f>
        <v>0</v>
      </c>
      <c r="M235" s="124" t="n">
        <f aca="false">SUM(J$188:J235)</f>
        <v>0</v>
      </c>
      <c r="N235" s="124" t="n">
        <f aca="false">SUM(J$6:J235)</f>
        <v>1197025</v>
      </c>
      <c r="P235" s="124" t="n">
        <f aca="false">D235/P$3</f>
        <v>0</v>
      </c>
      <c r="Q235" s="124" t="n">
        <f aca="false">E235/P$3</f>
        <v>0</v>
      </c>
      <c r="R235" s="124" t="n">
        <f aca="false">F235/R$3</f>
        <v>0</v>
      </c>
      <c r="S235" s="126" t="n">
        <f aca="false">J235/$R$3</f>
        <v>0</v>
      </c>
      <c r="T235" s="126" t="n">
        <f aca="false">L235/$R$3</f>
        <v>0</v>
      </c>
      <c r="U235" s="126" t="n">
        <f aca="false">I235/$R$3</f>
        <v>0</v>
      </c>
      <c r="V235" s="126" t="n">
        <f aca="false">M235/$R$3</f>
        <v>0</v>
      </c>
      <c r="W235" s="126" t="n">
        <f aca="false">N235/$R$3</f>
        <v>1197.025</v>
      </c>
    </row>
    <row r="236" customFormat="false" ht="12.75" hidden="false" customHeight="false" outlineLevel="0" collapsed="false">
      <c r="A236" s="120" t="n">
        <f aca="false">A235+1</f>
        <v>37122</v>
      </c>
      <c r="B236" s="131" t="str">
        <f aca="false">INDEX('[4]Master Data'!$A$2:$B$8,MATCH(WEEKDAY('SC Gas MTM'!A236,3),'[4]Master Data'!$A$2:$A$8,0),2)</f>
        <v>Su</v>
      </c>
      <c r="D236" s="124" t="n">
        <v>0</v>
      </c>
      <c r="E236" s="124" t="n">
        <v>0</v>
      </c>
      <c r="F236" s="124" t="n">
        <v>0</v>
      </c>
      <c r="G236" s="124" t="n">
        <v>0</v>
      </c>
      <c r="I236" s="124" t="n">
        <f aca="false">IF(MONTH($A236)=MONTH($A235),IF(G236=0,I235,G236),G236)</f>
        <v>0</v>
      </c>
      <c r="J236" s="124" t="n">
        <f aca="false">IF(MONTH($A236)=MONTH($A235),SUM(I236-I235),I236)</f>
        <v>0</v>
      </c>
      <c r="K236" s="124" t="n">
        <f aca="false">IF(WEEKDAY(A236,3)&gt;4,0,(IF(A236&lt;K$2,0,IF(A236&lt;=K$3,1,0))))</f>
        <v>0</v>
      </c>
      <c r="L236" s="124" t="n">
        <f aca="false">J236*K236</f>
        <v>0</v>
      </c>
      <c r="M236" s="124" t="n">
        <f aca="false">SUM(J$188:J236)</f>
        <v>0</v>
      </c>
      <c r="N236" s="124" t="n">
        <f aca="false">SUM(J$6:J236)</f>
        <v>1197025</v>
      </c>
      <c r="P236" s="124" t="n">
        <f aca="false">D236/P$3</f>
        <v>0</v>
      </c>
      <c r="Q236" s="124" t="n">
        <f aca="false">E236/P$3</f>
        <v>0</v>
      </c>
      <c r="R236" s="124" t="n">
        <f aca="false">F236/R$3</f>
        <v>0</v>
      </c>
      <c r="S236" s="126" t="n">
        <f aca="false">J236/$R$3</f>
        <v>0</v>
      </c>
      <c r="T236" s="126" t="n">
        <f aca="false">L236/$R$3</f>
        <v>0</v>
      </c>
      <c r="U236" s="126" t="n">
        <f aca="false">I236/$R$3</f>
        <v>0</v>
      </c>
      <c r="V236" s="126" t="n">
        <f aca="false">M236/$R$3</f>
        <v>0</v>
      </c>
      <c r="W236" s="126" t="n">
        <f aca="false">N236/$R$3</f>
        <v>1197.025</v>
      </c>
    </row>
    <row r="237" customFormat="false" ht="12.75" hidden="false" customHeight="false" outlineLevel="0" collapsed="false">
      <c r="A237" s="120" t="n">
        <f aca="false">A236+1</f>
        <v>37123</v>
      </c>
      <c r="B237" s="131" t="str">
        <f aca="false">INDEX('[4]Master Data'!$A$2:$B$8,MATCH(WEEKDAY('SC Gas MTM'!A237,3),'[4]Master Data'!$A$2:$A$8,0),2)</f>
        <v>M</v>
      </c>
      <c r="D237" s="124" t="n">
        <v>0</v>
      </c>
      <c r="E237" s="124" t="n">
        <v>0</v>
      </c>
      <c r="F237" s="124" t="n">
        <v>0</v>
      </c>
      <c r="G237" s="124" t="n">
        <v>0</v>
      </c>
      <c r="I237" s="124" t="n">
        <f aca="false">IF(MONTH($A237)=MONTH($A236),IF(G237=0,I236,G237),G237)</f>
        <v>0</v>
      </c>
      <c r="J237" s="124" t="n">
        <f aca="false">IF(MONTH($A237)=MONTH($A236),SUM(I237-I236),I237)</f>
        <v>0</v>
      </c>
      <c r="K237" s="124" t="n">
        <f aca="false">IF(WEEKDAY(A237,3)&gt;4,0,(IF(A237&lt;K$2,0,IF(A237&lt;=K$3,1,0))))</f>
        <v>0</v>
      </c>
      <c r="L237" s="124" t="n">
        <f aca="false">J237*K237</f>
        <v>0</v>
      </c>
      <c r="M237" s="124" t="n">
        <f aca="false">SUM(J$188:J237)</f>
        <v>0</v>
      </c>
      <c r="N237" s="124" t="n">
        <f aca="false">SUM(J$6:J237)</f>
        <v>1197025</v>
      </c>
      <c r="P237" s="124" t="n">
        <f aca="false">D237/P$3</f>
        <v>0</v>
      </c>
      <c r="Q237" s="124" t="n">
        <f aca="false">E237/P$3</f>
        <v>0</v>
      </c>
      <c r="R237" s="124" t="n">
        <f aca="false">F237/R$3</f>
        <v>0</v>
      </c>
      <c r="S237" s="126" t="n">
        <f aca="false">J237/$R$3</f>
        <v>0</v>
      </c>
      <c r="T237" s="126" t="n">
        <f aca="false">L237/$R$3</f>
        <v>0</v>
      </c>
      <c r="U237" s="126" t="n">
        <f aca="false">I237/$R$3</f>
        <v>0</v>
      </c>
      <c r="V237" s="126" t="n">
        <f aca="false">M237/$R$3</f>
        <v>0</v>
      </c>
      <c r="W237" s="126" t="n">
        <f aca="false">N237/$R$3</f>
        <v>1197.025</v>
      </c>
    </row>
    <row r="238" customFormat="false" ht="12.75" hidden="false" customHeight="false" outlineLevel="0" collapsed="false">
      <c r="A238" s="120" t="n">
        <f aca="false">A237+1</f>
        <v>37124</v>
      </c>
      <c r="B238" s="131" t="str">
        <f aca="false">INDEX('[4]Master Data'!$A$2:$B$8,MATCH(WEEKDAY('SC Gas MTM'!A238,3),'[4]Master Data'!$A$2:$A$8,0),2)</f>
        <v>T</v>
      </c>
      <c r="D238" s="124" t="n">
        <v>0</v>
      </c>
      <c r="E238" s="124" t="n">
        <v>0</v>
      </c>
      <c r="F238" s="124" t="n">
        <v>0</v>
      </c>
      <c r="G238" s="124" t="n">
        <v>0</v>
      </c>
      <c r="I238" s="124" t="n">
        <f aca="false">IF(MONTH($A238)=MONTH($A237),IF(G238=0,I237,G238),G238)</f>
        <v>0</v>
      </c>
      <c r="J238" s="124" t="n">
        <f aca="false">IF(MONTH($A238)=MONTH($A237),SUM(I238-I237),I238)</f>
        <v>0</v>
      </c>
      <c r="K238" s="124" t="n">
        <f aca="false">IF(WEEKDAY(A238,3)&gt;4,0,(IF(A238&lt;K$2,0,IF(A238&lt;=K$3,1,0))))</f>
        <v>0</v>
      </c>
      <c r="L238" s="124" t="n">
        <f aca="false">J238*K238</f>
        <v>0</v>
      </c>
      <c r="M238" s="124" t="n">
        <f aca="false">SUM(J$188:J238)</f>
        <v>0</v>
      </c>
      <c r="N238" s="124" t="n">
        <f aca="false">SUM(J$6:J238)</f>
        <v>1197025</v>
      </c>
      <c r="P238" s="124" t="n">
        <f aca="false">D238/P$3</f>
        <v>0</v>
      </c>
      <c r="Q238" s="124" t="n">
        <f aca="false">E238/P$3</f>
        <v>0</v>
      </c>
      <c r="R238" s="124" t="n">
        <f aca="false">F238/R$3</f>
        <v>0</v>
      </c>
      <c r="S238" s="126" t="n">
        <f aca="false">J238/$R$3</f>
        <v>0</v>
      </c>
      <c r="T238" s="126" t="n">
        <f aca="false">L238/$R$3</f>
        <v>0</v>
      </c>
      <c r="U238" s="126" t="n">
        <f aca="false">I238/$R$3</f>
        <v>0</v>
      </c>
      <c r="V238" s="126" t="n">
        <f aca="false">M238/$R$3</f>
        <v>0</v>
      </c>
      <c r="W238" s="126" t="n">
        <f aca="false">N238/$R$3</f>
        <v>1197.025</v>
      </c>
    </row>
    <row r="239" customFormat="false" ht="12.75" hidden="false" customHeight="false" outlineLevel="0" collapsed="false">
      <c r="A239" s="120" t="n">
        <f aca="false">A238+1</f>
        <v>37125</v>
      </c>
      <c r="B239" s="131" t="str">
        <f aca="false">INDEX('[4]Master Data'!$A$2:$B$8,MATCH(WEEKDAY('SC Gas MTM'!A239,3),'[4]Master Data'!$A$2:$A$8,0),2)</f>
        <v>W</v>
      </c>
      <c r="D239" s="124" t="n">
        <v>0</v>
      </c>
      <c r="E239" s="124" t="n">
        <v>0</v>
      </c>
      <c r="F239" s="124" t="n">
        <v>0</v>
      </c>
      <c r="G239" s="124" t="n">
        <v>0</v>
      </c>
      <c r="I239" s="124" t="n">
        <f aca="false">IF(MONTH($A239)=MONTH($A238),IF(G239=0,I238,G239),G239)</f>
        <v>0</v>
      </c>
      <c r="J239" s="124" t="n">
        <f aca="false">IF(MONTH($A239)=MONTH($A238),SUM(I239-I238),I239)</f>
        <v>0</v>
      </c>
      <c r="K239" s="124" t="n">
        <f aca="false">IF(WEEKDAY(A239,3)&gt;4,0,(IF(A239&lt;K$2,0,IF(A239&lt;=K$3,1,0))))</f>
        <v>0</v>
      </c>
      <c r="L239" s="124" t="n">
        <f aca="false">J239*K239</f>
        <v>0</v>
      </c>
      <c r="M239" s="124" t="n">
        <f aca="false">SUM(J$188:J239)</f>
        <v>0</v>
      </c>
      <c r="N239" s="124" t="n">
        <f aca="false">SUM(J$6:J239)</f>
        <v>1197025</v>
      </c>
      <c r="P239" s="124" t="n">
        <f aca="false">D239/P$3</f>
        <v>0</v>
      </c>
      <c r="Q239" s="124" t="n">
        <f aca="false">E239/P$3</f>
        <v>0</v>
      </c>
      <c r="R239" s="124" t="n">
        <f aca="false">F239/R$3</f>
        <v>0</v>
      </c>
      <c r="S239" s="126" t="n">
        <f aca="false">J239/$R$3</f>
        <v>0</v>
      </c>
      <c r="T239" s="126" t="n">
        <f aca="false">L239/$R$3</f>
        <v>0</v>
      </c>
      <c r="U239" s="126" t="n">
        <f aca="false">I239/$R$3</f>
        <v>0</v>
      </c>
      <c r="V239" s="126" t="n">
        <f aca="false">M239/$R$3</f>
        <v>0</v>
      </c>
      <c r="W239" s="126" t="n">
        <f aca="false">N239/$R$3</f>
        <v>1197.025</v>
      </c>
    </row>
    <row r="240" customFormat="false" ht="12.75" hidden="false" customHeight="false" outlineLevel="0" collapsed="false">
      <c r="A240" s="120" t="n">
        <f aca="false">A239+1</f>
        <v>37126</v>
      </c>
      <c r="B240" s="131" t="str">
        <f aca="false">INDEX('[4]Master Data'!$A$2:$B$8,MATCH(WEEKDAY('SC Gas MTM'!A240,3),'[4]Master Data'!$A$2:$A$8,0),2)</f>
        <v>Th</v>
      </c>
      <c r="D240" s="124" t="n">
        <v>0</v>
      </c>
      <c r="E240" s="124" t="n">
        <v>0</v>
      </c>
      <c r="F240" s="124" t="n">
        <v>0</v>
      </c>
      <c r="G240" s="124" t="n">
        <v>0</v>
      </c>
      <c r="I240" s="124" t="n">
        <f aca="false">IF(MONTH($A240)=MONTH($A239),IF(G240=0,I239,G240),G240)</f>
        <v>0</v>
      </c>
      <c r="J240" s="124" t="n">
        <f aca="false">IF(MONTH($A240)=MONTH($A239),SUM(I240-I239),I240)</f>
        <v>0</v>
      </c>
      <c r="K240" s="124" t="n">
        <f aca="false">IF(WEEKDAY(A240,3)&gt;4,0,(IF(A240&lt;K$2,0,IF(A240&lt;=K$3,1,0))))</f>
        <v>0</v>
      </c>
      <c r="L240" s="124" t="n">
        <f aca="false">J240*K240</f>
        <v>0</v>
      </c>
      <c r="M240" s="124" t="n">
        <f aca="false">SUM(J$188:J240)</f>
        <v>0</v>
      </c>
      <c r="N240" s="124" t="n">
        <f aca="false">SUM(J$6:J240)</f>
        <v>1197025</v>
      </c>
      <c r="P240" s="124" t="n">
        <f aca="false">D240/P$3</f>
        <v>0</v>
      </c>
      <c r="Q240" s="124" t="n">
        <f aca="false">E240/P$3</f>
        <v>0</v>
      </c>
      <c r="R240" s="124" t="n">
        <f aca="false">F240/R$3</f>
        <v>0</v>
      </c>
      <c r="S240" s="126" t="n">
        <f aca="false">J240/$R$3</f>
        <v>0</v>
      </c>
      <c r="T240" s="126" t="n">
        <f aca="false">L240/$R$3</f>
        <v>0</v>
      </c>
      <c r="U240" s="126" t="n">
        <f aca="false">I240/$R$3</f>
        <v>0</v>
      </c>
      <c r="V240" s="126" t="n">
        <f aca="false">M240/$R$3</f>
        <v>0</v>
      </c>
      <c r="W240" s="126" t="n">
        <f aca="false">N240/$R$3</f>
        <v>1197.025</v>
      </c>
    </row>
    <row r="241" customFormat="false" ht="12.75" hidden="false" customHeight="false" outlineLevel="0" collapsed="false">
      <c r="A241" s="120" t="n">
        <f aca="false">A240+1</f>
        <v>37127</v>
      </c>
      <c r="B241" s="131" t="str">
        <f aca="false">INDEX('[4]Master Data'!$A$2:$B$8,MATCH(WEEKDAY('SC Gas MTM'!A241,3),'[4]Master Data'!$A$2:$A$8,0),2)</f>
        <v>F</v>
      </c>
      <c r="D241" s="124" t="n">
        <v>0</v>
      </c>
      <c r="E241" s="124" t="n">
        <v>0</v>
      </c>
      <c r="F241" s="124" t="n">
        <v>0</v>
      </c>
      <c r="G241" s="124" t="n">
        <v>0</v>
      </c>
      <c r="I241" s="124" t="n">
        <f aca="false">IF(MONTH($A241)=MONTH($A240),IF(G241=0,I240,G241),G241)</f>
        <v>0</v>
      </c>
      <c r="J241" s="124" t="n">
        <f aca="false">IF(MONTH($A241)=MONTH($A240),SUM(I241-I240),I241)</f>
        <v>0</v>
      </c>
      <c r="K241" s="124" t="n">
        <f aca="false">IF(WEEKDAY(A241,3)&gt;4,0,(IF(A241&lt;K$2,0,IF(A241&lt;=K$3,1,0))))</f>
        <v>0</v>
      </c>
      <c r="L241" s="124" t="n">
        <f aca="false">J241*K241</f>
        <v>0</v>
      </c>
      <c r="M241" s="124" t="n">
        <f aca="false">SUM(J$188:J241)</f>
        <v>0</v>
      </c>
      <c r="N241" s="124" t="n">
        <f aca="false">SUM(J$6:J241)</f>
        <v>1197025</v>
      </c>
      <c r="P241" s="124" t="n">
        <f aca="false">D241/P$3</f>
        <v>0</v>
      </c>
      <c r="Q241" s="124" t="n">
        <f aca="false">E241/P$3</f>
        <v>0</v>
      </c>
      <c r="R241" s="124" t="n">
        <f aca="false">F241/R$3</f>
        <v>0</v>
      </c>
      <c r="S241" s="126" t="n">
        <f aca="false">J241/$R$3</f>
        <v>0</v>
      </c>
      <c r="T241" s="126" t="n">
        <f aca="false">L241/$R$3</f>
        <v>0</v>
      </c>
      <c r="U241" s="126" t="n">
        <f aca="false">I241/$R$3</f>
        <v>0</v>
      </c>
      <c r="V241" s="126" t="n">
        <f aca="false">M241/$R$3</f>
        <v>0</v>
      </c>
      <c r="W241" s="126" t="n">
        <f aca="false">N241/$R$3</f>
        <v>1197.025</v>
      </c>
    </row>
    <row r="242" customFormat="false" ht="12.75" hidden="false" customHeight="false" outlineLevel="0" collapsed="false">
      <c r="A242" s="120" t="n">
        <f aca="false">A241+1</f>
        <v>37128</v>
      </c>
      <c r="B242" s="131" t="str">
        <f aca="false">INDEX('[4]Master Data'!$A$2:$B$8,MATCH(WEEKDAY('SC Gas MTM'!A242,3),'[4]Master Data'!$A$2:$A$8,0),2)</f>
        <v>Sa</v>
      </c>
      <c r="D242" s="124" t="n">
        <v>0</v>
      </c>
      <c r="E242" s="124" t="n">
        <v>0</v>
      </c>
      <c r="F242" s="124" t="n">
        <v>0</v>
      </c>
      <c r="G242" s="124" t="n">
        <v>0</v>
      </c>
      <c r="I242" s="124" t="n">
        <f aca="false">IF(MONTH($A242)=MONTH($A241),IF(G242=0,I241,G242),G242)</f>
        <v>0</v>
      </c>
      <c r="J242" s="124" t="n">
        <f aca="false">IF(MONTH($A242)=MONTH($A241),SUM(I242-I241),I242)</f>
        <v>0</v>
      </c>
      <c r="K242" s="124" t="n">
        <f aca="false">IF(WEEKDAY(A242,3)&gt;4,0,(IF(A242&lt;K$2,0,IF(A242&lt;=K$3,1,0))))</f>
        <v>0</v>
      </c>
      <c r="L242" s="124" t="n">
        <f aca="false">J242*K242</f>
        <v>0</v>
      </c>
      <c r="M242" s="124" t="n">
        <f aca="false">SUM(J$188:J242)</f>
        <v>0</v>
      </c>
      <c r="N242" s="124" t="n">
        <f aca="false">SUM(J$6:J242)</f>
        <v>1197025</v>
      </c>
      <c r="P242" s="124" t="n">
        <f aca="false">D242/P$3</f>
        <v>0</v>
      </c>
      <c r="Q242" s="124" t="n">
        <f aca="false">E242/P$3</f>
        <v>0</v>
      </c>
      <c r="R242" s="124" t="n">
        <f aca="false">F242/R$3</f>
        <v>0</v>
      </c>
      <c r="S242" s="126" t="n">
        <f aca="false">J242/$R$3</f>
        <v>0</v>
      </c>
      <c r="T242" s="126" t="n">
        <f aca="false">L242/$R$3</f>
        <v>0</v>
      </c>
      <c r="U242" s="126" t="n">
        <f aca="false">I242/$R$3</f>
        <v>0</v>
      </c>
      <c r="V242" s="126" t="n">
        <f aca="false">M242/$R$3</f>
        <v>0</v>
      </c>
      <c r="W242" s="126" t="n">
        <f aca="false">N242/$R$3</f>
        <v>1197.025</v>
      </c>
    </row>
    <row r="243" customFormat="false" ht="12.75" hidden="false" customHeight="false" outlineLevel="0" collapsed="false">
      <c r="A243" s="120" t="n">
        <f aca="false">A242+1</f>
        <v>37129</v>
      </c>
      <c r="B243" s="131" t="str">
        <f aca="false">INDEX('[4]Master Data'!$A$2:$B$8,MATCH(WEEKDAY('SC Gas MTM'!A243,3),'[4]Master Data'!$A$2:$A$8,0),2)</f>
        <v>Su</v>
      </c>
      <c r="D243" s="124" t="n">
        <v>0</v>
      </c>
      <c r="E243" s="124" t="n">
        <v>0</v>
      </c>
      <c r="F243" s="124" t="n">
        <v>0</v>
      </c>
      <c r="G243" s="124" t="n">
        <v>0</v>
      </c>
      <c r="I243" s="124" t="n">
        <f aca="false">IF(MONTH($A243)=MONTH($A242),IF(G243=0,I242,G243),G243)</f>
        <v>0</v>
      </c>
      <c r="J243" s="124" t="n">
        <f aca="false">IF(MONTH($A243)=MONTH($A242),SUM(I243-I242),I243)</f>
        <v>0</v>
      </c>
      <c r="K243" s="124" t="n">
        <f aca="false">IF(WEEKDAY(A243,3)&gt;4,0,(IF(A243&lt;K$2,0,IF(A243&lt;=K$3,1,0))))</f>
        <v>0</v>
      </c>
      <c r="L243" s="124" t="n">
        <f aca="false">J243*K243</f>
        <v>0</v>
      </c>
      <c r="M243" s="124" t="n">
        <f aca="false">SUM(J$188:J243)</f>
        <v>0</v>
      </c>
      <c r="N243" s="124" t="n">
        <f aca="false">SUM(J$6:J243)</f>
        <v>1197025</v>
      </c>
      <c r="P243" s="124" t="n">
        <f aca="false">D243/P$3</f>
        <v>0</v>
      </c>
      <c r="Q243" s="124" t="n">
        <f aca="false">E243/P$3</f>
        <v>0</v>
      </c>
      <c r="R243" s="124" t="n">
        <f aca="false">F243/R$3</f>
        <v>0</v>
      </c>
      <c r="S243" s="126" t="n">
        <f aca="false">J243/$R$3</f>
        <v>0</v>
      </c>
      <c r="T243" s="126" t="n">
        <f aca="false">L243/$R$3</f>
        <v>0</v>
      </c>
      <c r="U243" s="126" t="n">
        <f aca="false">I243/$R$3</f>
        <v>0</v>
      </c>
      <c r="V243" s="126" t="n">
        <f aca="false">M243/$R$3</f>
        <v>0</v>
      </c>
      <c r="W243" s="126" t="n">
        <f aca="false">N243/$R$3</f>
        <v>1197.025</v>
      </c>
    </row>
    <row r="244" customFormat="false" ht="12.75" hidden="false" customHeight="false" outlineLevel="0" collapsed="false">
      <c r="A244" s="120" t="n">
        <f aca="false">A243+1</f>
        <v>37130</v>
      </c>
      <c r="B244" s="131" t="str">
        <f aca="false">INDEX('[4]Master Data'!$A$2:$B$8,MATCH(WEEKDAY('SC Gas MTM'!A244,3),'[4]Master Data'!$A$2:$A$8,0),2)</f>
        <v>M</v>
      </c>
      <c r="D244" s="124" t="n">
        <v>0</v>
      </c>
      <c r="E244" s="124" t="n">
        <v>0</v>
      </c>
      <c r="F244" s="124" t="n">
        <v>0</v>
      </c>
      <c r="G244" s="124" t="n">
        <v>0</v>
      </c>
      <c r="I244" s="124" t="n">
        <f aca="false">IF(MONTH($A244)=MONTH($A243),IF(G244=0,I243,G244),G244)</f>
        <v>0</v>
      </c>
      <c r="J244" s="124" t="n">
        <f aca="false">IF(MONTH($A244)=MONTH($A243),SUM(I244-I243),I244)</f>
        <v>0</v>
      </c>
      <c r="K244" s="124" t="n">
        <f aca="false">IF(WEEKDAY(A244,3)&gt;4,0,(IF(A244&lt;K$2,0,IF(A244&lt;=K$3,1,0))))</f>
        <v>0</v>
      </c>
      <c r="L244" s="124" t="n">
        <f aca="false">J244*K244</f>
        <v>0</v>
      </c>
      <c r="M244" s="124" t="n">
        <f aca="false">SUM(J$188:J244)</f>
        <v>0</v>
      </c>
      <c r="N244" s="124" t="n">
        <f aca="false">SUM(J$6:J244)</f>
        <v>1197025</v>
      </c>
      <c r="P244" s="124" t="n">
        <f aca="false">D244/P$3</f>
        <v>0</v>
      </c>
      <c r="Q244" s="124" t="n">
        <f aca="false">E244/P$3</f>
        <v>0</v>
      </c>
      <c r="R244" s="124" t="n">
        <f aca="false">F244/R$3</f>
        <v>0</v>
      </c>
      <c r="S244" s="126" t="n">
        <f aca="false">J244/$R$3</f>
        <v>0</v>
      </c>
      <c r="T244" s="126" t="n">
        <f aca="false">L244/$R$3</f>
        <v>0</v>
      </c>
      <c r="U244" s="126" t="n">
        <f aca="false">I244/$R$3</f>
        <v>0</v>
      </c>
      <c r="V244" s="126" t="n">
        <f aca="false">M244/$R$3</f>
        <v>0</v>
      </c>
      <c r="W244" s="126" t="n">
        <f aca="false">N244/$R$3</f>
        <v>1197.025</v>
      </c>
    </row>
    <row r="245" customFormat="false" ht="12.75" hidden="false" customHeight="false" outlineLevel="0" collapsed="false">
      <c r="A245" s="120" t="n">
        <f aca="false">A244+1</f>
        <v>37131</v>
      </c>
      <c r="B245" s="131" t="str">
        <f aca="false">INDEX('[4]Master Data'!$A$2:$B$8,MATCH(WEEKDAY('SC Gas MTM'!A245,3),'[4]Master Data'!$A$2:$A$8,0),2)</f>
        <v>T</v>
      </c>
      <c r="D245" s="124" t="n">
        <v>0</v>
      </c>
      <c r="E245" s="124" t="n">
        <v>0</v>
      </c>
      <c r="F245" s="124" t="n">
        <v>0</v>
      </c>
      <c r="G245" s="124" t="n">
        <v>0</v>
      </c>
      <c r="I245" s="124" t="n">
        <f aca="false">IF(MONTH($A245)=MONTH($A244),IF(G245=0,I244,G245),G245)</f>
        <v>0</v>
      </c>
      <c r="J245" s="124" t="n">
        <f aca="false">IF(MONTH($A245)=MONTH($A244),SUM(I245-I244),I245)</f>
        <v>0</v>
      </c>
      <c r="K245" s="124" t="n">
        <f aca="false">IF(WEEKDAY(A245,3)&gt;4,0,(IF(A245&lt;K$2,0,IF(A245&lt;=K$3,1,0))))</f>
        <v>0</v>
      </c>
      <c r="L245" s="124" t="n">
        <f aca="false">J245*K245</f>
        <v>0</v>
      </c>
      <c r="M245" s="124" t="n">
        <f aca="false">SUM(J$188:J245)</f>
        <v>0</v>
      </c>
      <c r="N245" s="124" t="n">
        <f aca="false">SUM(J$6:J245)</f>
        <v>1197025</v>
      </c>
      <c r="P245" s="124" t="n">
        <f aca="false">D245/P$3</f>
        <v>0</v>
      </c>
      <c r="Q245" s="124" t="n">
        <f aca="false">E245/P$3</f>
        <v>0</v>
      </c>
      <c r="R245" s="124" t="n">
        <f aca="false">F245/R$3</f>
        <v>0</v>
      </c>
      <c r="S245" s="126" t="n">
        <f aca="false">J245/$R$3</f>
        <v>0</v>
      </c>
      <c r="T245" s="126" t="n">
        <f aca="false">L245/$R$3</f>
        <v>0</v>
      </c>
      <c r="U245" s="126" t="n">
        <f aca="false">I245/$R$3</f>
        <v>0</v>
      </c>
      <c r="V245" s="126" t="n">
        <f aca="false">M245/$R$3</f>
        <v>0</v>
      </c>
      <c r="W245" s="126" t="n">
        <f aca="false">N245/$R$3</f>
        <v>1197.025</v>
      </c>
    </row>
    <row r="246" customFormat="false" ht="12.75" hidden="false" customHeight="false" outlineLevel="0" collapsed="false">
      <c r="A246" s="120" t="n">
        <f aca="false">A245+1</f>
        <v>37132</v>
      </c>
      <c r="B246" s="131" t="str">
        <f aca="false">INDEX('[4]Master Data'!$A$2:$B$8,MATCH(WEEKDAY('SC Gas MTM'!A246,3),'[4]Master Data'!$A$2:$A$8,0),2)</f>
        <v>W</v>
      </c>
      <c r="D246" s="124" t="n">
        <v>0</v>
      </c>
      <c r="E246" s="124" t="n">
        <v>0</v>
      </c>
      <c r="F246" s="124" t="n">
        <v>0</v>
      </c>
      <c r="G246" s="124" t="n">
        <v>0</v>
      </c>
      <c r="I246" s="124" t="n">
        <f aca="false">IF(MONTH($A246)=MONTH($A245),IF(G246=0,I245,G246),G246)</f>
        <v>0</v>
      </c>
      <c r="J246" s="124" t="n">
        <f aca="false">IF(MONTH($A246)=MONTH($A245),SUM(I246-I245),I246)</f>
        <v>0</v>
      </c>
      <c r="K246" s="124" t="n">
        <f aca="false">IF(WEEKDAY(A246,3)&gt;4,0,(IF(A246&lt;K$2,0,IF(A246&lt;=K$3,1,0))))</f>
        <v>0</v>
      </c>
      <c r="L246" s="124" t="n">
        <f aca="false">J246*K246</f>
        <v>0</v>
      </c>
      <c r="M246" s="124" t="n">
        <f aca="false">SUM(J$188:J246)</f>
        <v>0</v>
      </c>
      <c r="N246" s="124" t="n">
        <f aca="false">SUM(J$6:J246)</f>
        <v>1197025</v>
      </c>
      <c r="P246" s="124" t="n">
        <f aca="false">D246/P$3</f>
        <v>0</v>
      </c>
      <c r="Q246" s="124" t="n">
        <f aca="false">E246/P$3</f>
        <v>0</v>
      </c>
      <c r="R246" s="124" t="n">
        <f aca="false">F246/R$3</f>
        <v>0</v>
      </c>
      <c r="S246" s="126" t="n">
        <f aca="false">J246/$R$3</f>
        <v>0</v>
      </c>
      <c r="T246" s="126" t="n">
        <f aca="false">L246/$R$3</f>
        <v>0</v>
      </c>
      <c r="U246" s="126" t="n">
        <f aca="false">I246/$R$3</f>
        <v>0</v>
      </c>
      <c r="V246" s="126" t="n">
        <f aca="false">M246/$R$3</f>
        <v>0</v>
      </c>
      <c r="W246" s="126" t="n">
        <f aca="false">N246/$R$3</f>
        <v>1197.025</v>
      </c>
    </row>
    <row r="247" customFormat="false" ht="12.75" hidden="false" customHeight="false" outlineLevel="0" collapsed="false">
      <c r="A247" s="120" t="n">
        <f aca="false">A246+1</f>
        <v>37133</v>
      </c>
      <c r="B247" s="131" t="str">
        <f aca="false">INDEX('[4]Master Data'!$A$2:$B$8,MATCH(WEEKDAY('SC Gas MTM'!A247,3),'[4]Master Data'!$A$2:$A$8,0),2)</f>
        <v>Th</v>
      </c>
      <c r="D247" s="124" t="n">
        <v>0</v>
      </c>
      <c r="E247" s="124" t="n">
        <v>0</v>
      </c>
      <c r="F247" s="124" t="n">
        <v>0</v>
      </c>
      <c r="G247" s="124" t="n">
        <v>0</v>
      </c>
      <c r="I247" s="124" t="n">
        <f aca="false">IF(MONTH($A247)=MONTH($A246),IF(G247=0,I246,G247),G247)</f>
        <v>0</v>
      </c>
      <c r="J247" s="124" t="n">
        <f aca="false">IF(MONTH($A247)=MONTH($A246),SUM(I247-I246),I247)</f>
        <v>0</v>
      </c>
      <c r="K247" s="124" t="n">
        <f aca="false">IF(WEEKDAY(A247,3)&gt;4,0,(IF(A247&lt;K$2,0,IF(A247&lt;=K$3,1,0))))</f>
        <v>0</v>
      </c>
      <c r="L247" s="124" t="n">
        <f aca="false">J247*K247</f>
        <v>0</v>
      </c>
      <c r="M247" s="124" t="n">
        <f aca="false">SUM(J$188:J247)</f>
        <v>0</v>
      </c>
      <c r="N247" s="124" t="n">
        <f aca="false">SUM(J$6:J247)</f>
        <v>1197025</v>
      </c>
      <c r="P247" s="124" t="n">
        <f aca="false">D247/P$3</f>
        <v>0</v>
      </c>
      <c r="Q247" s="124" t="n">
        <f aca="false">E247/P$3</f>
        <v>0</v>
      </c>
      <c r="R247" s="124" t="n">
        <f aca="false">F247/R$3</f>
        <v>0</v>
      </c>
      <c r="S247" s="126" t="n">
        <f aca="false">J247/$R$3</f>
        <v>0</v>
      </c>
      <c r="T247" s="126" t="n">
        <f aca="false">L247/$R$3</f>
        <v>0</v>
      </c>
      <c r="U247" s="126" t="n">
        <f aca="false">I247/$R$3</f>
        <v>0</v>
      </c>
      <c r="V247" s="126" t="n">
        <f aca="false">M247/$R$3</f>
        <v>0</v>
      </c>
      <c r="W247" s="126" t="n">
        <f aca="false">N247/$R$3</f>
        <v>1197.025</v>
      </c>
    </row>
    <row r="248" customFormat="false" ht="12.75" hidden="false" customHeight="false" outlineLevel="0" collapsed="false">
      <c r="A248" s="120" t="n">
        <f aca="false">A247+1</f>
        <v>37134</v>
      </c>
      <c r="B248" s="131" t="str">
        <f aca="false">INDEX('[4]Master Data'!$A$2:$B$8,MATCH(WEEKDAY('SC Gas MTM'!A248,3),'[4]Master Data'!$A$2:$A$8,0),2)</f>
        <v>F</v>
      </c>
      <c r="D248" s="124" t="n">
        <v>0</v>
      </c>
      <c r="E248" s="124" t="n">
        <v>0</v>
      </c>
      <c r="F248" s="124" t="n">
        <v>0</v>
      </c>
      <c r="G248" s="124" t="n">
        <v>0</v>
      </c>
      <c r="I248" s="124" t="n">
        <f aca="false">IF(MONTH($A248)=MONTH($A247),IF(G248=0,I247,G248),G248)</f>
        <v>0</v>
      </c>
      <c r="J248" s="124" t="n">
        <f aca="false">IF(MONTH($A248)=MONTH($A247),SUM(I248-I247),I248)</f>
        <v>0</v>
      </c>
      <c r="K248" s="124" t="n">
        <f aca="false">IF(WEEKDAY(A248,3)&gt;4,0,(IF(A248&lt;K$2,0,IF(A248&lt;=K$3,1,0))))</f>
        <v>0</v>
      </c>
      <c r="L248" s="124" t="n">
        <f aca="false">J248*K248</f>
        <v>0</v>
      </c>
      <c r="M248" s="124" t="n">
        <f aca="false">SUM(J$188:J248)</f>
        <v>0</v>
      </c>
      <c r="N248" s="124" t="n">
        <f aca="false">SUM(J$6:J248)</f>
        <v>1197025</v>
      </c>
      <c r="P248" s="124" t="n">
        <f aca="false">D248/P$3</f>
        <v>0</v>
      </c>
      <c r="Q248" s="124" t="n">
        <f aca="false">E248/P$3</f>
        <v>0</v>
      </c>
      <c r="R248" s="124" t="n">
        <f aca="false">F248/R$3</f>
        <v>0</v>
      </c>
      <c r="S248" s="126" t="n">
        <f aca="false">J248/$R$3</f>
        <v>0</v>
      </c>
      <c r="T248" s="126" t="n">
        <f aca="false">L248/$R$3</f>
        <v>0</v>
      </c>
      <c r="U248" s="126" t="n">
        <f aca="false">I248/$R$3</f>
        <v>0</v>
      </c>
      <c r="V248" s="126" t="n">
        <f aca="false">M248/$R$3</f>
        <v>0</v>
      </c>
      <c r="W248" s="126" t="n">
        <f aca="false">N248/$R$3</f>
        <v>1197.025</v>
      </c>
    </row>
    <row r="249" customFormat="false" ht="12.75" hidden="false" customHeight="false" outlineLevel="0" collapsed="false">
      <c r="A249" s="120" t="n">
        <f aca="false">A248+1</f>
        <v>37135</v>
      </c>
      <c r="B249" s="131" t="str">
        <f aca="false">INDEX('[4]Master Data'!$A$2:$B$8,MATCH(WEEKDAY('SC Gas MTM'!A249,3),'[4]Master Data'!$A$2:$A$8,0),2)</f>
        <v>Sa</v>
      </c>
      <c r="D249" s="124" t="n">
        <v>0</v>
      </c>
      <c r="E249" s="124" t="n">
        <v>0</v>
      </c>
      <c r="F249" s="124" t="n">
        <v>0</v>
      </c>
      <c r="G249" s="124" t="n">
        <v>0</v>
      </c>
      <c r="I249" s="124" t="n">
        <f aca="false">IF(MONTH($A249)=MONTH($A248),IF(G249=0,I248,G249),G249)</f>
        <v>0</v>
      </c>
      <c r="J249" s="124" t="n">
        <f aca="false">IF(MONTH($A249)=MONTH($A248),SUM(I249-I248),I249)</f>
        <v>0</v>
      </c>
      <c r="K249" s="124" t="n">
        <f aca="false">IF(WEEKDAY(A249,3)&gt;4,0,(IF(A249&lt;K$2,0,IF(A249&lt;=K$3,1,0))))</f>
        <v>0</v>
      </c>
      <c r="L249" s="124" t="n">
        <f aca="false">J249*K249</f>
        <v>0</v>
      </c>
      <c r="M249" s="124" t="n">
        <f aca="false">SUM(J$188:J249)</f>
        <v>0</v>
      </c>
      <c r="N249" s="124" t="n">
        <f aca="false">SUM(J$6:J249)</f>
        <v>1197025</v>
      </c>
      <c r="P249" s="124" t="n">
        <f aca="false">D249/P$3</f>
        <v>0</v>
      </c>
      <c r="Q249" s="124" t="n">
        <f aca="false">E249/P$3</f>
        <v>0</v>
      </c>
      <c r="R249" s="124" t="n">
        <f aca="false">F249/R$3</f>
        <v>0</v>
      </c>
      <c r="S249" s="126" t="n">
        <f aca="false">J249/$R$3</f>
        <v>0</v>
      </c>
      <c r="T249" s="126" t="n">
        <f aca="false">L249/$R$3</f>
        <v>0</v>
      </c>
      <c r="U249" s="126" t="n">
        <f aca="false">I249/$R$3</f>
        <v>0</v>
      </c>
      <c r="V249" s="126" t="n">
        <f aca="false">M249/$R$3</f>
        <v>0</v>
      </c>
      <c r="W249" s="126" t="n">
        <f aca="false">N249/$R$3</f>
        <v>1197.025</v>
      </c>
    </row>
    <row r="250" customFormat="false" ht="12.75" hidden="false" customHeight="false" outlineLevel="0" collapsed="false">
      <c r="A250" s="120" t="n">
        <f aca="false">A249+1</f>
        <v>37136</v>
      </c>
      <c r="B250" s="131" t="str">
        <f aca="false">INDEX('[4]Master Data'!$A$2:$B$8,MATCH(WEEKDAY('SC Gas MTM'!A250,3),'[4]Master Data'!$A$2:$A$8,0),2)</f>
        <v>Su</v>
      </c>
      <c r="D250" s="124" t="n">
        <v>0</v>
      </c>
      <c r="E250" s="124" t="n">
        <v>0</v>
      </c>
      <c r="F250" s="124" t="n">
        <v>0</v>
      </c>
      <c r="G250" s="124" t="n">
        <v>0</v>
      </c>
      <c r="I250" s="124" t="n">
        <f aca="false">IF(MONTH($A250)=MONTH($A249),IF(G250=0,I249,G250),G250)</f>
        <v>0</v>
      </c>
      <c r="J250" s="124" t="n">
        <f aca="false">IF(MONTH($A250)=MONTH($A249),SUM(I250-I249),I250)</f>
        <v>0</v>
      </c>
      <c r="K250" s="124" t="n">
        <f aca="false">IF(WEEKDAY(A250,3)&gt;4,0,(IF(A250&lt;K$2,0,IF(A250&lt;=K$3,1,0))))</f>
        <v>0</v>
      </c>
      <c r="L250" s="124" t="n">
        <f aca="false">J250*K250</f>
        <v>0</v>
      </c>
      <c r="M250" s="124" t="n">
        <f aca="false">SUM(J$188:J250)</f>
        <v>0</v>
      </c>
      <c r="N250" s="124" t="n">
        <f aca="false">SUM(J$6:J250)</f>
        <v>1197025</v>
      </c>
      <c r="P250" s="124" t="n">
        <f aca="false">D250/P$3</f>
        <v>0</v>
      </c>
      <c r="Q250" s="124" t="n">
        <f aca="false">E250/P$3</f>
        <v>0</v>
      </c>
      <c r="R250" s="124" t="n">
        <f aca="false">F250/R$3</f>
        <v>0</v>
      </c>
      <c r="S250" s="126" t="n">
        <f aca="false">J250/$R$3</f>
        <v>0</v>
      </c>
      <c r="T250" s="126" t="n">
        <f aca="false">L250/$R$3</f>
        <v>0</v>
      </c>
      <c r="U250" s="126" t="n">
        <f aca="false">I250/$R$3</f>
        <v>0</v>
      </c>
      <c r="V250" s="126" t="n">
        <f aca="false">M250/$R$3</f>
        <v>0</v>
      </c>
      <c r="W250" s="126" t="n">
        <f aca="false">N250/$R$3</f>
        <v>1197.025</v>
      </c>
    </row>
    <row r="251" customFormat="false" ht="12.75" hidden="false" customHeight="false" outlineLevel="0" collapsed="false">
      <c r="A251" s="120" t="n">
        <f aca="false">A250+1</f>
        <v>37137</v>
      </c>
      <c r="B251" s="131" t="str">
        <f aca="false">INDEX('[4]Master Data'!$A$2:$B$8,MATCH(WEEKDAY('SC Gas MTM'!A251,3),'[4]Master Data'!$A$2:$A$8,0),2)</f>
        <v>M</v>
      </c>
      <c r="D251" s="124" t="n">
        <v>0</v>
      </c>
      <c r="E251" s="124" t="n">
        <v>0</v>
      </c>
      <c r="F251" s="124" t="n">
        <v>0</v>
      </c>
      <c r="G251" s="124" t="n">
        <v>0</v>
      </c>
      <c r="I251" s="124" t="n">
        <f aca="false">IF(MONTH($A251)=MONTH($A250),IF(G251=0,I250,G251),G251)</f>
        <v>0</v>
      </c>
      <c r="J251" s="124" t="n">
        <f aca="false">IF(MONTH($A251)=MONTH($A250),SUM(I251-I250),I251)</f>
        <v>0</v>
      </c>
      <c r="K251" s="124" t="n">
        <f aca="false">IF(WEEKDAY(A251,3)&gt;4,0,(IF(A251&lt;K$2,0,IF(A251&lt;=K$3,1,0))))</f>
        <v>0</v>
      </c>
      <c r="L251" s="124" t="n">
        <f aca="false">J251*K251</f>
        <v>0</v>
      </c>
      <c r="M251" s="124" t="n">
        <f aca="false">SUM(J$188:J251)</f>
        <v>0</v>
      </c>
      <c r="N251" s="124" t="n">
        <f aca="false">SUM(J$6:J251)</f>
        <v>1197025</v>
      </c>
      <c r="P251" s="124" t="n">
        <f aca="false">D251/P$3</f>
        <v>0</v>
      </c>
      <c r="Q251" s="124" t="n">
        <f aca="false">E251/P$3</f>
        <v>0</v>
      </c>
      <c r="R251" s="124" t="n">
        <f aca="false">F251/R$3</f>
        <v>0</v>
      </c>
      <c r="S251" s="126" t="n">
        <f aca="false">J251/$R$3</f>
        <v>0</v>
      </c>
      <c r="T251" s="126" t="n">
        <f aca="false">L251/$R$3</f>
        <v>0</v>
      </c>
      <c r="U251" s="126" t="n">
        <f aca="false">I251/$R$3</f>
        <v>0</v>
      </c>
      <c r="V251" s="126" t="n">
        <f aca="false">M251/$R$3</f>
        <v>0</v>
      </c>
      <c r="W251" s="126" t="n">
        <f aca="false">N251/$R$3</f>
        <v>1197.025</v>
      </c>
    </row>
    <row r="252" customFormat="false" ht="12.75" hidden="false" customHeight="false" outlineLevel="0" collapsed="false">
      <c r="A252" s="120" t="n">
        <f aca="false">A251+1</f>
        <v>37138</v>
      </c>
      <c r="B252" s="131" t="str">
        <f aca="false">INDEX('[4]Master Data'!$A$2:$B$8,MATCH(WEEKDAY('SC Gas MTM'!A252,3),'[4]Master Data'!$A$2:$A$8,0),2)</f>
        <v>T</v>
      </c>
      <c r="D252" s="124" t="n">
        <v>0</v>
      </c>
      <c r="E252" s="124" t="n">
        <v>0</v>
      </c>
      <c r="F252" s="124" t="n">
        <v>0</v>
      </c>
      <c r="G252" s="124" t="n">
        <v>0</v>
      </c>
      <c r="I252" s="124" t="n">
        <f aca="false">IF(MONTH($A252)=MONTH($A251),IF(G252=0,I251,G252),G252)</f>
        <v>0</v>
      </c>
      <c r="J252" s="124" t="n">
        <f aca="false">IF(MONTH($A252)=MONTH($A251),SUM(I252-I251),I252)</f>
        <v>0</v>
      </c>
      <c r="K252" s="124" t="n">
        <f aca="false">IF(WEEKDAY(A252,3)&gt;4,0,(IF(A252&lt;K$2,0,IF(A252&lt;=K$3,1,0))))</f>
        <v>0</v>
      </c>
      <c r="L252" s="124" t="n">
        <f aca="false">J252*K252</f>
        <v>0</v>
      </c>
      <c r="M252" s="124" t="n">
        <f aca="false">SUM(J$188:J252)</f>
        <v>0</v>
      </c>
      <c r="N252" s="124" t="n">
        <f aca="false">SUM(J$6:J252)</f>
        <v>1197025</v>
      </c>
      <c r="P252" s="124" t="n">
        <f aca="false">D252/P$3</f>
        <v>0</v>
      </c>
      <c r="Q252" s="124" t="n">
        <f aca="false">E252/P$3</f>
        <v>0</v>
      </c>
      <c r="R252" s="124" t="n">
        <f aca="false">F252/R$3</f>
        <v>0</v>
      </c>
      <c r="S252" s="126" t="n">
        <f aca="false">J252/$R$3</f>
        <v>0</v>
      </c>
      <c r="T252" s="126" t="n">
        <f aca="false">L252/$R$3</f>
        <v>0</v>
      </c>
      <c r="U252" s="126" t="n">
        <f aca="false">I252/$R$3</f>
        <v>0</v>
      </c>
      <c r="V252" s="126" t="n">
        <f aca="false">M252/$R$3</f>
        <v>0</v>
      </c>
      <c r="W252" s="126" t="n">
        <f aca="false">N252/$R$3</f>
        <v>1197.025</v>
      </c>
    </row>
    <row r="253" customFormat="false" ht="12.75" hidden="false" customHeight="false" outlineLevel="0" collapsed="false">
      <c r="A253" s="120" t="n">
        <f aca="false">A252+1</f>
        <v>37139</v>
      </c>
      <c r="B253" s="131" t="str">
        <f aca="false">INDEX('[4]Master Data'!$A$2:$B$8,MATCH(WEEKDAY('SC Gas MTM'!A253,3),'[4]Master Data'!$A$2:$A$8,0),2)</f>
        <v>W</v>
      </c>
      <c r="D253" s="124" t="n">
        <v>0</v>
      </c>
      <c r="E253" s="124" t="n">
        <v>0</v>
      </c>
      <c r="F253" s="124" t="n">
        <v>0</v>
      </c>
      <c r="G253" s="124" t="n">
        <v>0</v>
      </c>
      <c r="I253" s="124" t="n">
        <f aca="false">IF(MONTH($A253)=MONTH($A252),IF(G253=0,I252,G253),G253)</f>
        <v>0</v>
      </c>
      <c r="J253" s="124" t="n">
        <f aca="false">IF(MONTH($A253)=MONTH($A252),SUM(I253-I252),I253)</f>
        <v>0</v>
      </c>
      <c r="K253" s="124" t="n">
        <f aca="false">IF(WEEKDAY(A253,3)&gt;4,0,(IF(A253&lt;K$2,0,IF(A253&lt;=K$3,1,0))))</f>
        <v>0</v>
      </c>
      <c r="L253" s="124" t="n">
        <f aca="false">J253*K253</f>
        <v>0</v>
      </c>
      <c r="M253" s="124" t="n">
        <f aca="false">SUM(J$188:J253)</f>
        <v>0</v>
      </c>
      <c r="N253" s="124" t="n">
        <f aca="false">SUM(J$6:J253)</f>
        <v>1197025</v>
      </c>
      <c r="P253" s="124" t="n">
        <f aca="false">D253/P$3</f>
        <v>0</v>
      </c>
      <c r="Q253" s="124" t="n">
        <f aca="false">E253/P$3</f>
        <v>0</v>
      </c>
      <c r="R253" s="124" t="n">
        <f aca="false">F253/R$3</f>
        <v>0</v>
      </c>
      <c r="S253" s="126" t="n">
        <f aca="false">J253/$R$3</f>
        <v>0</v>
      </c>
      <c r="T253" s="126" t="n">
        <f aca="false">L253/$R$3</f>
        <v>0</v>
      </c>
      <c r="U253" s="126" t="n">
        <f aca="false">I253/$R$3</f>
        <v>0</v>
      </c>
      <c r="V253" s="126" t="n">
        <f aca="false">M253/$R$3</f>
        <v>0</v>
      </c>
      <c r="W253" s="126" t="n">
        <f aca="false">N253/$R$3</f>
        <v>1197.025</v>
      </c>
    </row>
    <row r="254" customFormat="false" ht="12.75" hidden="false" customHeight="false" outlineLevel="0" collapsed="false">
      <c r="A254" s="120" t="n">
        <f aca="false">A253+1</f>
        <v>37140</v>
      </c>
      <c r="B254" s="131" t="str">
        <f aca="false">INDEX('[4]Master Data'!$A$2:$B$8,MATCH(WEEKDAY('SC Gas MTM'!A254,3),'[4]Master Data'!$A$2:$A$8,0),2)</f>
        <v>Th</v>
      </c>
      <c r="D254" s="124" t="n">
        <v>0</v>
      </c>
      <c r="E254" s="124" t="n">
        <v>0</v>
      </c>
      <c r="F254" s="124" t="n">
        <v>0</v>
      </c>
      <c r="G254" s="124" t="n">
        <v>0</v>
      </c>
      <c r="I254" s="124" t="n">
        <f aca="false">IF(MONTH($A254)=MONTH($A253),IF(G254=0,I253,G254),G254)</f>
        <v>0</v>
      </c>
      <c r="J254" s="124" t="n">
        <f aca="false">IF(MONTH($A254)=MONTH($A253),SUM(I254-I253),I254)</f>
        <v>0</v>
      </c>
      <c r="K254" s="124" t="n">
        <f aca="false">IF(WEEKDAY(A254,3)&gt;4,0,(IF(A254&lt;K$2,0,IF(A254&lt;=K$3,1,0))))</f>
        <v>0</v>
      </c>
      <c r="L254" s="124" t="n">
        <f aca="false">J254*K254</f>
        <v>0</v>
      </c>
      <c r="M254" s="124" t="n">
        <f aca="false">SUM(J$188:J254)</f>
        <v>0</v>
      </c>
      <c r="N254" s="124" t="n">
        <f aca="false">SUM(J$6:J254)</f>
        <v>1197025</v>
      </c>
      <c r="P254" s="124" t="n">
        <f aca="false">D254/P$3</f>
        <v>0</v>
      </c>
      <c r="Q254" s="124" t="n">
        <f aca="false">E254/P$3</f>
        <v>0</v>
      </c>
      <c r="R254" s="124" t="n">
        <f aca="false">F254/R$3</f>
        <v>0</v>
      </c>
      <c r="S254" s="126" t="n">
        <f aca="false">J254/$R$3</f>
        <v>0</v>
      </c>
      <c r="T254" s="126" t="n">
        <f aca="false">L254/$R$3</f>
        <v>0</v>
      </c>
      <c r="U254" s="126" t="n">
        <f aca="false">I254/$R$3</f>
        <v>0</v>
      </c>
      <c r="V254" s="126" t="n">
        <f aca="false">M254/$R$3</f>
        <v>0</v>
      </c>
      <c r="W254" s="126" t="n">
        <f aca="false">N254/$R$3</f>
        <v>1197.025</v>
      </c>
    </row>
    <row r="255" customFormat="false" ht="12.75" hidden="false" customHeight="false" outlineLevel="0" collapsed="false">
      <c r="A255" s="120" t="n">
        <f aca="false">A254+1</f>
        <v>37141</v>
      </c>
      <c r="B255" s="131" t="str">
        <f aca="false">INDEX('[4]Master Data'!$A$2:$B$8,MATCH(WEEKDAY('SC Gas MTM'!A255,3),'[4]Master Data'!$A$2:$A$8,0),2)</f>
        <v>F</v>
      </c>
      <c r="D255" s="124" t="n">
        <v>0</v>
      </c>
      <c r="E255" s="124" t="n">
        <v>0</v>
      </c>
      <c r="F255" s="124" t="n">
        <v>0</v>
      </c>
      <c r="G255" s="124" t="n">
        <v>0</v>
      </c>
      <c r="I255" s="124" t="n">
        <f aca="false">IF(MONTH($A255)=MONTH($A254),IF(G255=0,I254,G255),G255)</f>
        <v>0</v>
      </c>
      <c r="J255" s="124" t="n">
        <f aca="false">IF(MONTH($A255)=MONTH($A254),SUM(I255-I254),I255)</f>
        <v>0</v>
      </c>
      <c r="K255" s="124" t="n">
        <f aca="false">IF(WEEKDAY(A255,3)&gt;4,0,(IF(A255&lt;K$2,0,IF(A255&lt;=K$3,1,0))))</f>
        <v>0</v>
      </c>
      <c r="L255" s="124" t="n">
        <f aca="false">J255*K255</f>
        <v>0</v>
      </c>
      <c r="M255" s="124" t="n">
        <f aca="false">SUM(J$188:J255)</f>
        <v>0</v>
      </c>
      <c r="N255" s="124" t="n">
        <f aca="false">SUM(J$6:J255)</f>
        <v>1197025</v>
      </c>
      <c r="P255" s="124" t="n">
        <f aca="false">D255/P$3</f>
        <v>0</v>
      </c>
      <c r="Q255" s="124" t="n">
        <f aca="false">E255/P$3</f>
        <v>0</v>
      </c>
      <c r="R255" s="124" t="n">
        <f aca="false">F255/R$3</f>
        <v>0</v>
      </c>
      <c r="S255" s="126" t="n">
        <f aca="false">J255/$R$3</f>
        <v>0</v>
      </c>
      <c r="T255" s="126" t="n">
        <f aca="false">L255/$R$3</f>
        <v>0</v>
      </c>
      <c r="U255" s="126" t="n">
        <f aca="false">I255/$R$3</f>
        <v>0</v>
      </c>
      <c r="V255" s="126" t="n">
        <f aca="false">M255/$R$3</f>
        <v>0</v>
      </c>
      <c r="W255" s="126" t="n">
        <f aca="false">N255/$R$3</f>
        <v>1197.025</v>
      </c>
    </row>
    <row r="256" customFormat="false" ht="12.75" hidden="false" customHeight="false" outlineLevel="0" collapsed="false">
      <c r="A256" s="120" t="n">
        <f aca="false">A255+1</f>
        <v>37142</v>
      </c>
      <c r="B256" s="131" t="str">
        <f aca="false">INDEX('[4]Master Data'!$A$2:$B$8,MATCH(WEEKDAY('SC Gas MTM'!A256,3),'[4]Master Data'!$A$2:$A$8,0),2)</f>
        <v>Sa</v>
      </c>
      <c r="D256" s="124" t="n">
        <v>0</v>
      </c>
      <c r="E256" s="124" t="n">
        <v>0</v>
      </c>
      <c r="F256" s="124" t="n">
        <v>0</v>
      </c>
      <c r="G256" s="124" t="n">
        <v>0</v>
      </c>
      <c r="I256" s="124" t="n">
        <f aca="false">IF(MONTH($A256)=MONTH($A255),IF(G256=0,I255,G256),G256)</f>
        <v>0</v>
      </c>
      <c r="J256" s="124" t="n">
        <f aca="false">IF(MONTH($A256)=MONTH($A255),SUM(I256-I255),I256)</f>
        <v>0</v>
      </c>
      <c r="K256" s="124" t="n">
        <f aca="false">IF(WEEKDAY(A256,3)&gt;4,0,(IF(A256&lt;K$2,0,IF(A256&lt;=K$3,1,0))))</f>
        <v>0</v>
      </c>
      <c r="L256" s="124" t="n">
        <f aca="false">J256*K256</f>
        <v>0</v>
      </c>
      <c r="M256" s="124" t="n">
        <f aca="false">SUM(J$188:J256)</f>
        <v>0</v>
      </c>
      <c r="N256" s="124" t="n">
        <f aca="false">SUM(J$6:J256)</f>
        <v>1197025</v>
      </c>
      <c r="P256" s="124" t="n">
        <f aca="false">D256/P$3</f>
        <v>0</v>
      </c>
      <c r="Q256" s="124" t="n">
        <f aca="false">E256/P$3</f>
        <v>0</v>
      </c>
      <c r="R256" s="124" t="n">
        <f aca="false">F256/R$3</f>
        <v>0</v>
      </c>
      <c r="S256" s="126" t="n">
        <f aca="false">J256/$R$3</f>
        <v>0</v>
      </c>
      <c r="T256" s="126" t="n">
        <f aca="false">L256/$R$3</f>
        <v>0</v>
      </c>
      <c r="U256" s="126" t="n">
        <f aca="false">I256/$R$3</f>
        <v>0</v>
      </c>
      <c r="V256" s="126" t="n">
        <f aca="false">M256/$R$3</f>
        <v>0</v>
      </c>
      <c r="W256" s="126" t="n">
        <f aca="false">N256/$R$3</f>
        <v>1197.025</v>
      </c>
    </row>
    <row r="257" customFormat="false" ht="12.75" hidden="false" customHeight="false" outlineLevel="0" collapsed="false">
      <c r="A257" s="120" t="n">
        <f aca="false">A256+1</f>
        <v>37143</v>
      </c>
      <c r="B257" s="131" t="str">
        <f aca="false">INDEX('[4]Master Data'!$A$2:$B$8,MATCH(WEEKDAY('SC Gas MTM'!A257,3),'[4]Master Data'!$A$2:$A$8,0),2)</f>
        <v>Su</v>
      </c>
      <c r="D257" s="124" t="n">
        <v>0</v>
      </c>
      <c r="E257" s="124" t="n">
        <v>0</v>
      </c>
      <c r="F257" s="124" t="n">
        <v>0</v>
      </c>
      <c r="G257" s="124" t="n">
        <v>0</v>
      </c>
      <c r="I257" s="124" t="n">
        <f aca="false">IF(MONTH($A257)=MONTH($A256),IF(G257=0,I256,G257),G257)</f>
        <v>0</v>
      </c>
      <c r="J257" s="124" t="n">
        <f aca="false">IF(MONTH($A257)=MONTH($A256),SUM(I257-I256),I257)</f>
        <v>0</v>
      </c>
      <c r="K257" s="124" t="n">
        <f aca="false">IF(WEEKDAY(A257,3)&gt;4,0,(IF(A257&lt;K$2,0,IF(A257&lt;=K$3,1,0))))</f>
        <v>0</v>
      </c>
      <c r="L257" s="124" t="n">
        <f aca="false">J257*K257</f>
        <v>0</v>
      </c>
      <c r="M257" s="124" t="n">
        <f aca="false">SUM(J$188:J257)</f>
        <v>0</v>
      </c>
      <c r="N257" s="124" t="n">
        <f aca="false">SUM(J$6:J257)</f>
        <v>1197025</v>
      </c>
      <c r="P257" s="124" t="n">
        <f aca="false">D257/P$3</f>
        <v>0</v>
      </c>
      <c r="Q257" s="124" t="n">
        <f aca="false">E257/P$3</f>
        <v>0</v>
      </c>
      <c r="R257" s="124" t="n">
        <f aca="false">F257/R$3</f>
        <v>0</v>
      </c>
      <c r="S257" s="126" t="n">
        <f aca="false">J257/$R$3</f>
        <v>0</v>
      </c>
      <c r="T257" s="126" t="n">
        <f aca="false">L257/$R$3</f>
        <v>0</v>
      </c>
      <c r="U257" s="126" t="n">
        <f aca="false">I257/$R$3</f>
        <v>0</v>
      </c>
      <c r="V257" s="126" t="n">
        <f aca="false">M257/$R$3</f>
        <v>0</v>
      </c>
      <c r="W257" s="126" t="n">
        <f aca="false">N257/$R$3</f>
        <v>1197.025</v>
      </c>
    </row>
    <row r="258" customFormat="false" ht="12.75" hidden="false" customHeight="false" outlineLevel="0" collapsed="false">
      <c r="A258" s="120" t="n">
        <f aca="false">A257+1</f>
        <v>37144</v>
      </c>
      <c r="B258" s="131" t="str">
        <f aca="false">INDEX('[4]Master Data'!$A$2:$B$8,MATCH(WEEKDAY('SC Gas MTM'!A258,3),'[4]Master Data'!$A$2:$A$8,0),2)</f>
        <v>M</v>
      </c>
      <c r="D258" s="124" t="n">
        <v>0</v>
      </c>
      <c r="E258" s="124" t="n">
        <v>0</v>
      </c>
      <c r="F258" s="124" t="n">
        <v>0</v>
      </c>
      <c r="G258" s="124" t="n">
        <v>0</v>
      </c>
      <c r="I258" s="124" t="n">
        <f aca="false">IF(MONTH($A258)=MONTH($A257),IF(G258=0,I257,G258),G258)</f>
        <v>0</v>
      </c>
      <c r="J258" s="124" t="n">
        <f aca="false">IF(MONTH($A258)=MONTH($A257),SUM(I258-I257),I258)</f>
        <v>0</v>
      </c>
      <c r="K258" s="124" t="n">
        <f aca="false">IF(WEEKDAY(A258,3)&gt;4,0,(IF(A258&lt;K$2,0,IF(A258&lt;=K$3,1,0))))</f>
        <v>0</v>
      </c>
      <c r="L258" s="124" t="n">
        <f aca="false">J258*K258</f>
        <v>0</v>
      </c>
      <c r="M258" s="124" t="n">
        <f aca="false">SUM(J$188:J258)</f>
        <v>0</v>
      </c>
      <c r="N258" s="124" t="n">
        <f aca="false">SUM(J$6:J258)</f>
        <v>1197025</v>
      </c>
      <c r="P258" s="124" t="n">
        <f aca="false">D258/P$3</f>
        <v>0</v>
      </c>
      <c r="Q258" s="124" t="n">
        <f aca="false">E258/P$3</f>
        <v>0</v>
      </c>
      <c r="R258" s="124" t="n">
        <f aca="false">F258/R$3</f>
        <v>0</v>
      </c>
      <c r="S258" s="126" t="n">
        <f aca="false">J258/$R$3</f>
        <v>0</v>
      </c>
      <c r="T258" s="126" t="n">
        <f aca="false">L258/$R$3</f>
        <v>0</v>
      </c>
      <c r="U258" s="126" t="n">
        <f aca="false">I258/$R$3</f>
        <v>0</v>
      </c>
      <c r="V258" s="126" t="n">
        <f aca="false">M258/$R$3</f>
        <v>0</v>
      </c>
      <c r="W258" s="126" t="n">
        <f aca="false">N258/$R$3</f>
        <v>1197.025</v>
      </c>
    </row>
    <row r="259" customFormat="false" ht="12.75" hidden="false" customHeight="false" outlineLevel="0" collapsed="false">
      <c r="A259" s="120" t="n">
        <f aca="false">A258+1</f>
        <v>37145</v>
      </c>
      <c r="B259" s="131" t="str">
        <f aca="false">INDEX('[4]Master Data'!$A$2:$B$8,MATCH(WEEKDAY('SC Gas MTM'!A259,3),'[4]Master Data'!$A$2:$A$8,0),2)</f>
        <v>T</v>
      </c>
      <c r="D259" s="124" t="n">
        <v>0</v>
      </c>
      <c r="E259" s="124" t="n">
        <v>0</v>
      </c>
      <c r="F259" s="124" t="n">
        <v>0</v>
      </c>
      <c r="G259" s="124" t="n">
        <v>0</v>
      </c>
      <c r="I259" s="124" t="n">
        <f aca="false">IF(MONTH($A259)=MONTH($A258),IF(G259=0,I258,G259),G259)</f>
        <v>0</v>
      </c>
      <c r="J259" s="124" t="n">
        <f aca="false">IF(MONTH($A259)=MONTH($A258),SUM(I259-I258),I259)</f>
        <v>0</v>
      </c>
      <c r="K259" s="124" t="n">
        <f aca="false">IF(WEEKDAY(A259,3)&gt;4,0,(IF(A259&lt;K$2,0,IF(A259&lt;=K$3,1,0))))</f>
        <v>0</v>
      </c>
      <c r="L259" s="124" t="n">
        <f aca="false">J259*K259</f>
        <v>0</v>
      </c>
      <c r="M259" s="124" t="n">
        <f aca="false">SUM(J$188:J259)</f>
        <v>0</v>
      </c>
      <c r="N259" s="124" t="n">
        <f aca="false">SUM(J$6:J259)</f>
        <v>1197025</v>
      </c>
      <c r="P259" s="124" t="n">
        <f aca="false">D259/P$3</f>
        <v>0</v>
      </c>
      <c r="Q259" s="124" t="n">
        <f aca="false">E259/P$3</f>
        <v>0</v>
      </c>
      <c r="R259" s="124" t="n">
        <f aca="false">F259/R$3</f>
        <v>0</v>
      </c>
      <c r="S259" s="126" t="n">
        <f aca="false">J259/$R$3</f>
        <v>0</v>
      </c>
      <c r="T259" s="126" t="n">
        <f aca="false">L259/$R$3</f>
        <v>0</v>
      </c>
      <c r="U259" s="126" t="n">
        <f aca="false">I259/$R$3</f>
        <v>0</v>
      </c>
      <c r="V259" s="126" t="n">
        <f aca="false">M259/$R$3</f>
        <v>0</v>
      </c>
      <c r="W259" s="126" t="n">
        <f aca="false">N259/$R$3</f>
        <v>1197.025</v>
      </c>
    </row>
    <row r="260" customFormat="false" ht="12.75" hidden="false" customHeight="false" outlineLevel="0" collapsed="false">
      <c r="A260" s="120" t="n">
        <f aca="false">A259+1</f>
        <v>37146</v>
      </c>
      <c r="B260" s="131" t="str">
        <f aca="false">INDEX('[4]Master Data'!$A$2:$B$8,MATCH(WEEKDAY('SC Gas MTM'!A260,3),'[4]Master Data'!$A$2:$A$8,0),2)</f>
        <v>W</v>
      </c>
      <c r="D260" s="124" t="n">
        <v>0</v>
      </c>
      <c r="E260" s="124" t="n">
        <v>0</v>
      </c>
      <c r="F260" s="124" t="n">
        <v>0</v>
      </c>
      <c r="G260" s="124" t="n">
        <v>0</v>
      </c>
      <c r="I260" s="124" t="n">
        <f aca="false">IF(MONTH($A260)=MONTH($A259),IF(G260=0,I259,G260),G260)</f>
        <v>0</v>
      </c>
      <c r="J260" s="124" t="n">
        <f aca="false">IF(MONTH($A260)=MONTH($A259),SUM(I260-I259),I260)</f>
        <v>0</v>
      </c>
      <c r="K260" s="124" t="n">
        <f aca="false">IF(WEEKDAY(A260,3)&gt;4,0,(IF(A260&lt;K$2,0,IF(A260&lt;=K$3,1,0))))</f>
        <v>0</v>
      </c>
      <c r="L260" s="124" t="n">
        <f aca="false">J260*K260</f>
        <v>0</v>
      </c>
      <c r="M260" s="124" t="n">
        <f aca="false">SUM(J$188:J260)</f>
        <v>0</v>
      </c>
      <c r="N260" s="124" t="n">
        <f aca="false">SUM(J$6:J260)</f>
        <v>1197025</v>
      </c>
      <c r="P260" s="124" t="n">
        <f aca="false">D260/P$3</f>
        <v>0</v>
      </c>
      <c r="Q260" s="124" t="n">
        <f aca="false">E260/P$3</f>
        <v>0</v>
      </c>
      <c r="R260" s="124" t="n">
        <f aca="false">F260/R$3</f>
        <v>0</v>
      </c>
      <c r="S260" s="126" t="n">
        <f aca="false">J260/$R$3</f>
        <v>0</v>
      </c>
      <c r="T260" s="126" t="n">
        <f aca="false">L260/$R$3</f>
        <v>0</v>
      </c>
      <c r="U260" s="126" t="n">
        <f aca="false">I260/$R$3</f>
        <v>0</v>
      </c>
      <c r="V260" s="126" t="n">
        <f aca="false">M260/$R$3</f>
        <v>0</v>
      </c>
      <c r="W260" s="126" t="n">
        <f aca="false">N260/$R$3</f>
        <v>1197.025</v>
      </c>
    </row>
    <row r="261" customFormat="false" ht="12.75" hidden="false" customHeight="false" outlineLevel="0" collapsed="false">
      <c r="A261" s="120" t="n">
        <f aca="false">A260+1</f>
        <v>37147</v>
      </c>
      <c r="B261" s="131" t="str">
        <f aca="false">INDEX('[4]Master Data'!$A$2:$B$8,MATCH(WEEKDAY('SC Gas MTM'!A261,3),'[4]Master Data'!$A$2:$A$8,0),2)</f>
        <v>Th</v>
      </c>
      <c r="D261" s="124" t="n">
        <v>0</v>
      </c>
      <c r="E261" s="124" t="n">
        <v>0</v>
      </c>
      <c r="F261" s="124" t="n">
        <v>0</v>
      </c>
      <c r="G261" s="124" t="n">
        <v>0</v>
      </c>
      <c r="I261" s="124" t="n">
        <f aca="false">IF(MONTH($A261)=MONTH($A260),IF(G261=0,I260,G261),G261)</f>
        <v>0</v>
      </c>
      <c r="J261" s="124" t="n">
        <f aca="false">IF(MONTH($A261)=MONTH($A260),SUM(I261-I260),I261)</f>
        <v>0</v>
      </c>
      <c r="K261" s="124" t="n">
        <f aca="false">IF(WEEKDAY(A261,3)&gt;4,0,(IF(A261&lt;K$2,0,IF(A261&lt;=K$3,1,0))))</f>
        <v>0</v>
      </c>
      <c r="L261" s="124" t="n">
        <f aca="false">J261*K261</f>
        <v>0</v>
      </c>
      <c r="M261" s="124" t="n">
        <f aca="false">SUM(J$188:J261)</f>
        <v>0</v>
      </c>
      <c r="N261" s="124" t="n">
        <f aca="false">SUM(J$6:J261)</f>
        <v>1197025</v>
      </c>
      <c r="P261" s="124" t="n">
        <f aca="false">D261/P$3</f>
        <v>0</v>
      </c>
      <c r="Q261" s="124" t="n">
        <f aca="false">E261/P$3</f>
        <v>0</v>
      </c>
      <c r="R261" s="124" t="n">
        <f aca="false">F261/R$3</f>
        <v>0</v>
      </c>
      <c r="S261" s="126" t="n">
        <f aca="false">J261/$R$3</f>
        <v>0</v>
      </c>
      <c r="T261" s="126" t="n">
        <f aca="false">L261/$R$3</f>
        <v>0</v>
      </c>
      <c r="U261" s="126" t="n">
        <f aca="false">I261/$R$3</f>
        <v>0</v>
      </c>
      <c r="V261" s="126" t="n">
        <f aca="false">M261/$R$3</f>
        <v>0</v>
      </c>
      <c r="W261" s="126" t="n">
        <f aca="false">N261/$R$3</f>
        <v>1197.025</v>
      </c>
    </row>
    <row r="262" customFormat="false" ht="12.75" hidden="false" customHeight="false" outlineLevel="0" collapsed="false">
      <c r="A262" s="120" t="n">
        <f aca="false">A261+1</f>
        <v>37148</v>
      </c>
      <c r="B262" s="131" t="str">
        <f aca="false">INDEX('[4]Master Data'!$A$2:$B$8,MATCH(WEEKDAY('SC Gas MTM'!A262,3),'[4]Master Data'!$A$2:$A$8,0),2)</f>
        <v>F</v>
      </c>
      <c r="D262" s="124" t="n">
        <v>0</v>
      </c>
      <c r="E262" s="124" t="n">
        <v>0</v>
      </c>
      <c r="F262" s="124" t="n">
        <v>0</v>
      </c>
      <c r="G262" s="124" t="n">
        <v>0</v>
      </c>
      <c r="I262" s="124" t="n">
        <f aca="false">IF(MONTH($A262)=MONTH($A261),IF(G262=0,I261,G262),G262)</f>
        <v>0</v>
      </c>
      <c r="J262" s="124" t="n">
        <f aca="false">IF(MONTH($A262)=MONTH($A261),SUM(I262-I261),I262)</f>
        <v>0</v>
      </c>
      <c r="K262" s="124" t="n">
        <f aca="false">IF(WEEKDAY(A262,3)&gt;4,0,(IF(A262&lt;K$2,0,IF(A262&lt;=K$3,1,0))))</f>
        <v>0</v>
      </c>
      <c r="L262" s="124" t="n">
        <f aca="false">J262*K262</f>
        <v>0</v>
      </c>
      <c r="M262" s="124" t="n">
        <f aca="false">SUM(J$188:J262)</f>
        <v>0</v>
      </c>
      <c r="N262" s="124" t="n">
        <f aca="false">SUM(J$6:J262)</f>
        <v>1197025</v>
      </c>
      <c r="P262" s="124" t="n">
        <f aca="false">D262/P$3</f>
        <v>0</v>
      </c>
      <c r="Q262" s="124" t="n">
        <f aca="false">E262/P$3</f>
        <v>0</v>
      </c>
      <c r="R262" s="124" t="n">
        <f aca="false">F262/R$3</f>
        <v>0</v>
      </c>
      <c r="S262" s="126" t="n">
        <f aca="false">J262/$R$3</f>
        <v>0</v>
      </c>
      <c r="T262" s="126" t="n">
        <f aca="false">L262/$R$3</f>
        <v>0</v>
      </c>
      <c r="U262" s="126" t="n">
        <f aca="false">I262/$R$3</f>
        <v>0</v>
      </c>
      <c r="V262" s="126" t="n">
        <f aca="false">M262/$R$3</f>
        <v>0</v>
      </c>
      <c r="W262" s="126" t="n">
        <f aca="false">N262/$R$3</f>
        <v>1197.025</v>
      </c>
    </row>
    <row r="263" customFormat="false" ht="12.75" hidden="false" customHeight="false" outlineLevel="0" collapsed="false">
      <c r="A263" s="120" t="n">
        <f aca="false">A262+1</f>
        <v>37149</v>
      </c>
      <c r="B263" s="131" t="str">
        <f aca="false">INDEX('[4]Master Data'!$A$2:$B$8,MATCH(WEEKDAY('SC Gas MTM'!A263,3),'[4]Master Data'!$A$2:$A$8,0),2)</f>
        <v>Sa</v>
      </c>
      <c r="D263" s="124" t="n">
        <v>0</v>
      </c>
      <c r="E263" s="124" t="n">
        <v>0</v>
      </c>
      <c r="F263" s="124" t="n">
        <v>0</v>
      </c>
      <c r="G263" s="124" t="n">
        <v>0</v>
      </c>
      <c r="I263" s="124" t="n">
        <f aca="false">IF(MONTH($A263)=MONTH($A262),IF(G263=0,I262,G263),G263)</f>
        <v>0</v>
      </c>
      <c r="J263" s="124" t="n">
        <f aca="false">IF(MONTH($A263)=MONTH($A262),SUM(I263-I262),I263)</f>
        <v>0</v>
      </c>
      <c r="K263" s="124" t="n">
        <f aca="false">IF(WEEKDAY(A263,3)&gt;4,0,(IF(A263&lt;K$2,0,IF(A263&lt;=K$3,1,0))))</f>
        <v>0</v>
      </c>
      <c r="L263" s="124" t="n">
        <f aca="false">J263*K263</f>
        <v>0</v>
      </c>
      <c r="M263" s="124" t="n">
        <f aca="false">SUM(J$188:J263)</f>
        <v>0</v>
      </c>
      <c r="N263" s="124" t="n">
        <f aca="false">SUM(J$6:J263)</f>
        <v>1197025</v>
      </c>
      <c r="P263" s="124" t="n">
        <f aca="false">D263/P$3</f>
        <v>0</v>
      </c>
      <c r="Q263" s="124" t="n">
        <f aca="false">E263/P$3</f>
        <v>0</v>
      </c>
      <c r="R263" s="124" t="n">
        <f aca="false">F263/R$3</f>
        <v>0</v>
      </c>
      <c r="S263" s="126" t="n">
        <f aca="false">J263/$R$3</f>
        <v>0</v>
      </c>
      <c r="T263" s="126" t="n">
        <f aca="false">L263/$R$3</f>
        <v>0</v>
      </c>
      <c r="U263" s="126" t="n">
        <f aca="false">I263/$R$3</f>
        <v>0</v>
      </c>
      <c r="V263" s="126" t="n">
        <f aca="false">M263/$R$3</f>
        <v>0</v>
      </c>
      <c r="W263" s="126" t="n">
        <f aca="false">N263/$R$3</f>
        <v>1197.025</v>
      </c>
    </row>
    <row r="264" customFormat="false" ht="12.75" hidden="false" customHeight="false" outlineLevel="0" collapsed="false">
      <c r="A264" s="120" t="n">
        <f aca="false">A263+1</f>
        <v>37150</v>
      </c>
      <c r="B264" s="131" t="str">
        <f aca="false">INDEX('[4]Master Data'!$A$2:$B$8,MATCH(WEEKDAY('SC Gas MTM'!A264,3),'[4]Master Data'!$A$2:$A$8,0),2)</f>
        <v>Su</v>
      </c>
      <c r="D264" s="124" t="n">
        <v>0</v>
      </c>
      <c r="E264" s="124" t="n">
        <v>0</v>
      </c>
      <c r="F264" s="124" t="n">
        <v>0</v>
      </c>
      <c r="G264" s="124" t="n">
        <v>0</v>
      </c>
      <c r="I264" s="124" t="n">
        <f aca="false">IF(MONTH($A264)=MONTH($A263),IF(G264=0,I263,G264),G264)</f>
        <v>0</v>
      </c>
      <c r="J264" s="124" t="n">
        <f aca="false">IF(MONTH($A264)=MONTH($A263),SUM(I264-I263),I264)</f>
        <v>0</v>
      </c>
      <c r="K264" s="124" t="n">
        <f aca="false">IF(WEEKDAY(A264,3)&gt;4,0,(IF(A264&lt;K$2,0,IF(A264&lt;=K$3,1,0))))</f>
        <v>0</v>
      </c>
      <c r="L264" s="124" t="n">
        <f aca="false">J264*K264</f>
        <v>0</v>
      </c>
      <c r="M264" s="124" t="n">
        <f aca="false">SUM(J$188:J264)</f>
        <v>0</v>
      </c>
      <c r="N264" s="124" t="n">
        <f aca="false">SUM(J$6:J264)</f>
        <v>1197025</v>
      </c>
      <c r="P264" s="124" t="n">
        <f aca="false">D264/P$3</f>
        <v>0</v>
      </c>
      <c r="Q264" s="124" t="n">
        <f aca="false">E264/P$3</f>
        <v>0</v>
      </c>
      <c r="R264" s="124" t="n">
        <f aca="false">F264/R$3</f>
        <v>0</v>
      </c>
      <c r="S264" s="126" t="n">
        <f aca="false">J264/$R$3</f>
        <v>0</v>
      </c>
      <c r="T264" s="126" t="n">
        <f aca="false">L264/$R$3</f>
        <v>0</v>
      </c>
      <c r="U264" s="126" t="n">
        <f aca="false">I264/$R$3</f>
        <v>0</v>
      </c>
      <c r="V264" s="126" t="n">
        <f aca="false">M264/$R$3</f>
        <v>0</v>
      </c>
      <c r="W264" s="126" t="n">
        <f aca="false">N264/$R$3</f>
        <v>1197.025</v>
      </c>
    </row>
    <row r="265" customFormat="false" ht="12.75" hidden="false" customHeight="false" outlineLevel="0" collapsed="false">
      <c r="A265" s="120" t="n">
        <f aca="false">A264+1</f>
        <v>37151</v>
      </c>
      <c r="B265" s="131" t="str">
        <f aca="false">INDEX('[4]Master Data'!$A$2:$B$8,MATCH(WEEKDAY('SC Gas MTM'!A265,3),'[4]Master Data'!$A$2:$A$8,0),2)</f>
        <v>M</v>
      </c>
      <c r="D265" s="124" t="n">
        <v>0</v>
      </c>
      <c r="E265" s="124" t="n">
        <v>0</v>
      </c>
      <c r="F265" s="124" t="n">
        <v>0</v>
      </c>
      <c r="G265" s="124" t="n">
        <v>0</v>
      </c>
      <c r="I265" s="124" t="n">
        <f aca="false">IF(MONTH($A265)=MONTH($A264),IF(G265=0,I264,G265),G265)</f>
        <v>0</v>
      </c>
      <c r="J265" s="124" t="n">
        <f aca="false">IF(MONTH($A265)=MONTH($A264),SUM(I265-I264),I265)</f>
        <v>0</v>
      </c>
      <c r="K265" s="124" t="n">
        <f aca="false">IF(WEEKDAY(A265,3)&gt;4,0,(IF(A265&lt;K$2,0,IF(A265&lt;=K$3,1,0))))</f>
        <v>0</v>
      </c>
      <c r="L265" s="124" t="n">
        <f aca="false">J265*K265</f>
        <v>0</v>
      </c>
      <c r="M265" s="124" t="n">
        <f aca="false">SUM(J$188:J265)</f>
        <v>0</v>
      </c>
      <c r="N265" s="124" t="n">
        <f aca="false">SUM(J$6:J265)</f>
        <v>1197025</v>
      </c>
      <c r="P265" s="124" t="n">
        <f aca="false">D265/P$3</f>
        <v>0</v>
      </c>
      <c r="Q265" s="124" t="n">
        <f aca="false">E265/P$3</f>
        <v>0</v>
      </c>
      <c r="R265" s="124" t="n">
        <f aca="false">F265/R$3</f>
        <v>0</v>
      </c>
      <c r="S265" s="126" t="n">
        <f aca="false">J265/$R$3</f>
        <v>0</v>
      </c>
      <c r="T265" s="126" t="n">
        <f aca="false">L265/$R$3</f>
        <v>0</v>
      </c>
      <c r="U265" s="126" t="n">
        <f aca="false">I265/$R$3</f>
        <v>0</v>
      </c>
      <c r="V265" s="126" t="n">
        <f aca="false">M265/$R$3</f>
        <v>0</v>
      </c>
      <c r="W265" s="126" t="n">
        <f aca="false">N265/$R$3</f>
        <v>1197.025</v>
      </c>
    </row>
    <row r="266" customFormat="false" ht="12.75" hidden="false" customHeight="false" outlineLevel="0" collapsed="false">
      <c r="A266" s="120" t="n">
        <f aca="false">A265+1</f>
        <v>37152</v>
      </c>
      <c r="B266" s="131" t="str">
        <f aca="false">INDEX('[4]Master Data'!$A$2:$B$8,MATCH(WEEKDAY('SC Gas MTM'!A266,3),'[4]Master Data'!$A$2:$A$8,0),2)</f>
        <v>T</v>
      </c>
      <c r="D266" s="124" t="n">
        <v>0</v>
      </c>
      <c r="E266" s="124" t="n">
        <v>0</v>
      </c>
      <c r="F266" s="124" t="n">
        <v>0</v>
      </c>
      <c r="G266" s="124" t="n">
        <v>0</v>
      </c>
      <c r="I266" s="124" t="n">
        <f aca="false">IF(MONTH($A266)=MONTH($A265),IF(G266=0,I265,G266),G266)</f>
        <v>0</v>
      </c>
      <c r="J266" s="124" t="n">
        <f aca="false">IF(MONTH($A266)=MONTH($A265),SUM(I266-I265),I266)</f>
        <v>0</v>
      </c>
      <c r="K266" s="124" t="n">
        <f aca="false">IF(WEEKDAY(A266,3)&gt;4,0,(IF(A266&lt;K$2,0,IF(A266&lt;=K$3,1,0))))</f>
        <v>0</v>
      </c>
      <c r="L266" s="124" t="n">
        <f aca="false">J266*K266</f>
        <v>0</v>
      </c>
      <c r="M266" s="124" t="n">
        <f aca="false">SUM(J$188:J266)</f>
        <v>0</v>
      </c>
      <c r="N266" s="124" t="n">
        <f aca="false">SUM(J$6:J266)</f>
        <v>1197025</v>
      </c>
      <c r="P266" s="124" t="n">
        <f aca="false">D266/P$3</f>
        <v>0</v>
      </c>
      <c r="Q266" s="124" t="n">
        <f aca="false">E266/P$3</f>
        <v>0</v>
      </c>
      <c r="R266" s="124" t="n">
        <f aca="false">F266/R$3</f>
        <v>0</v>
      </c>
      <c r="S266" s="126" t="n">
        <f aca="false">J266/$R$3</f>
        <v>0</v>
      </c>
      <c r="T266" s="126" t="n">
        <f aca="false">L266/$R$3</f>
        <v>0</v>
      </c>
      <c r="U266" s="126" t="n">
        <f aca="false">I266/$R$3</f>
        <v>0</v>
      </c>
      <c r="V266" s="126" t="n">
        <f aca="false">M266/$R$3</f>
        <v>0</v>
      </c>
      <c r="W266" s="126" t="n">
        <f aca="false">N266/$R$3</f>
        <v>1197.025</v>
      </c>
    </row>
    <row r="267" customFormat="false" ht="12.75" hidden="false" customHeight="false" outlineLevel="0" collapsed="false">
      <c r="A267" s="120" t="n">
        <f aca="false">A266+1</f>
        <v>37153</v>
      </c>
      <c r="B267" s="131" t="str">
        <f aca="false">INDEX('[4]Master Data'!$A$2:$B$8,MATCH(WEEKDAY('SC Gas MTM'!A267,3),'[4]Master Data'!$A$2:$A$8,0),2)</f>
        <v>W</v>
      </c>
      <c r="D267" s="124" t="n">
        <v>0</v>
      </c>
      <c r="E267" s="124" t="n">
        <v>0</v>
      </c>
      <c r="F267" s="124" t="n">
        <v>0</v>
      </c>
      <c r="G267" s="124" t="n">
        <v>0</v>
      </c>
      <c r="I267" s="124" t="n">
        <f aca="false">IF(MONTH($A267)=MONTH($A266),IF(G267=0,I266,G267),G267)</f>
        <v>0</v>
      </c>
      <c r="J267" s="124" t="n">
        <f aca="false">IF(MONTH($A267)=MONTH($A266),SUM(I267-I266),I267)</f>
        <v>0</v>
      </c>
      <c r="K267" s="124" t="n">
        <f aca="false">IF(WEEKDAY(A267,3)&gt;4,0,(IF(A267&lt;K$2,0,IF(A267&lt;=K$3,1,0))))</f>
        <v>0</v>
      </c>
      <c r="L267" s="124" t="n">
        <f aca="false">J267*K267</f>
        <v>0</v>
      </c>
      <c r="M267" s="124" t="n">
        <f aca="false">SUM(J$188:J267)</f>
        <v>0</v>
      </c>
      <c r="N267" s="124" t="n">
        <f aca="false">SUM(J$6:J267)</f>
        <v>1197025</v>
      </c>
      <c r="P267" s="124" t="n">
        <f aca="false">D267/P$3</f>
        <v>0</v>
      </c>
      <c r="Q267" s="124" t="n">
        <f aca="false">E267/P$3</f>
        <v>0</v>
      </c>
      <c r="R267" s="124" t="n">
        <f aca="false">F267/R$3</f>
        <v>0</v>
      </c>
      <c r="S267" s="126" t="n">
        <f aca="false">J267/$R$3</f>
        <v>0</v>
      </c>
      <c r="T267" s="126" t="n">
        <f aca="false">L267/$R$3</f>
        <v>0</v>
      </c>
      <c r="U267" s="126" t="n">
        <f aca="false">I267/$R$3</f>
        <v>0</v>
      </c>
      <c r="V267" s="126" t="n">
        <f aca="false">M267/$R$3</f>
        <v>0</v>
      </c>
      <c r="W267" s="126" t="n">
        <f aca="false">N267/$R$3</f>
        <v>1197.025</v>
      </c>
    </row>
    <row r="268" customFormat="false" ht="12.75" hidden="false" customHeight="false" outlineLevel="0" collapsed="false">
      <c r="A268" s="120" t="n">
        <f aca="false">A267+1</f>
        <v>37154</v>
      </c>
      <c r="B268" s="131" t="str">
        <f aca="false">INDEX('[4]Master Data'!$A$2:$B$8,MATCH(WEEKDAY('SC Gas MTM'!A268,3),'[4]Master Data'!$A$2:$A$8,0),2)</f>
        <v>Th</v>
      </c>
      <c r="D268" s="124" t="n">
        <v>0</v>
      </c>
      <c r="E268" s="124" t="n">
        <v>0</v>
      </c>
      <c r="F268" s="124" t="n">
        <v>0</v>
      </c>
      <c r="G268" s="124" t="n">
        <v>0</v>
      </c>
      <c r="I268" s="124" t="n">
        <f aca="false">IF(MONTH($A268)=MONTH($A267),IF(G268=0,I267,G268),G268)</f>
        <v>0</v>
      </c>
      <c r="J268" s="124" t="n">
        <f aca="false">IF(MONTH($A268)=MONTH($A267),SUM(I268-I267),I268)</f>
        <v>0</v>
      </c>
      <c r="K268" s="124" t="n">
        <f aca="false">IF(WEEKDAY(A268,3)&gt;4,0,(IF(A268&lt;K$2,0,IF(A268&lt;=K$3,1,0))))</f>
        <v>0</v>
      </c>
      <c r="L268" s="124" t="n">
        <f aca="false">J268*K268</f>
        <v>0</v>
      </c>
      <c r="M268" s="124" t="n">
        <f aca="false">SUM(J$188:J268)</f>
        <v>0</v>
      </c>
      <c r="N268" s="124" t="n">
        <f aca="false">SUM(J$6:J268)</f>
        <v>1197025</v>
      </c>
      <c r="P268" s="124" t="n">
        <f aca="false">D268/P$3</f>
        <v>0</v>
      </c>
      <c r="Q268" s="124" t="n">
        <f aca="false">E268/P$3</f>
        <v>0</v>
      </c>
      <c r="R268" s="124" t="n">
        <f aca="false">F268/R$3</f>
        <v>0</v>
      </c>
      <c r="S268" s="126" t="n">
        <f aca="false">J268/$R$3</f>
        <v>0</v>
      </c>
      <c r="T268" s="126" t="n">
        <f aca="false">L268/$R$3</f>
        <v>0</v>
      </c>
      <c r="U268" s="126" t="n">
        <f aca="false">I268/$R$3</f>
        <v>0</v>
      </c>
      <c r="V268" s="126" t="n">
        <f aca="false">M268/$R$3</f>
        <v>0</v>
      </c>
      <c r="W268" s="126" t="n">
        <f aca="false">N268/$R$3</f>
        <v>1197.025</v>
      </c>
    </row>
    <row r="269" customFormat="false" ht="12.75" hidden="false" customHeight="false" outlineLevel="0" collapsed="false">
      <c r="A269" s="120" t="n">
        <f aca="false">A268+1</f>
        <v>37155</v>
      </c>
      <c r="B269" s="131" t="str">
        <f aca="false">INDEX('[4]Master Data'!$A$2:$B$8,MATCH(WEEKDAY('SC Gas MTM'!A269,3),'[4]Master Data'!$A$2:$A$8,0),2)</f>
        <v>F</v>
      </c>
      <c r="D269" s="124" t="n">
        <v>0</v>
      </c>
      <c r="E269" s="124" t="n">
        <v>0</v>
      </c>
      <c r="F269" s="124" t="n">
        <v>0</v>
      </c>
      <c r="G269" s="124" t="n">
        <v>0</v>
      </c>
      <c r="I269" s="124" t="n">
        <f aca="false">IF(MONTH($A269)=MONTH($A268),IF(G269=0,I268,G269),G269)</f>
        <v>0</v>
      </c>
      <c r="J269" s="124" t="n">
        <f aca="false">IF(MONTH($A269)=MONTH($A268),SUM(I269-I268),I269)</f>
        <v>0</v>
      </c>
      <c r="K269" s="124" t="n">
        <f aca="false">IF(WEEKDAY(A269,3)&gt;4,0,(IF(A269&lt;K$2,0,IF(A269&lt;=K$3,1,0))))</f>
        <v>0</v>
      </c>
      <c r="L269" s="124" t="n">
        <f aca="false">J269*K269</f>
        <v>0</v>
      </c>
      <c r="M269" s="124" t="n">
        <f aca="false">SUM(J$188:J269)</f>
        <v>0</v>
      </c>
      <c r="N269" s="124" t="n">
        <f aca="false">SUM(J$6:J269)</f>
        <v>1197025</v>
      </c>
      <c r="P269" s="124" t="n">
        <f aca="false">D269/P$3</f>
        <v>0</v>
      </c>
      <c r="Q269" s="124" t="n">
        <f aca="false">E269/P$3</f>
        <v>0</v>
      </c>
      <c r="R269" s="124" t="n">
        <f aca="false">F269/R$3</f>
        <v>0</v>
      </c>
      <c r="S269" s="126" t="n">
        <f aca="false">J269/$R$3</f>
        <v>0</v>
      </c>
      <c r="T269" s="126" t="n">
        <f aca="false">L269/$R$3</f>
        <v>0</v>
      </c>
      <c r="U269" s="126" t="n">
        <f aca="false">I269/$R$3</f>
        <v>0</v>
      </c>
      <c r="V269" s="126" t="n">
        <f aca="false">M269/$R$3</f>
        <v>0</v>
      </c>
      <c r="W269" s="126" t="n">
        <f aca="false">N269/$R$3</f>
        <v>1197.025</v>
      </c>
    </row>
    <row r="270" customFormat="false" ht="12.75" hidden="false" customHeight="false" outlineLevel="0" collapsed="false">
      <c r="A270" s="120" t="n">
        <f aca="false">A269+1</f>
        <v>37156</v>
      </c>
      <c r="B270" s="131" t="str">
        <f aca="false">INDEX('[4]Master Data'!$A$2:$B$8,MATCH(WEEKDAY('SC Gas MTM'!A270,3),'[4]Master Data'!$A$2:$A$8,0),2)</f>
        <v>Sa</v>
      </c>
      <c r="D270" s="124" t="n">
        <v>0</v>
      </c>
      <c r="E270" s="124" t="n">
        <v>0</v>
      </c>
      <c r="F270" s="124" t="n">
        <v>0</v>
      </c>
      <c r="G270" s="124" t="n">
        <v>0</v>
      </c>
      <c r="I270" s="124" t="n">
        <f aca="false">IF(MONTH($A270)=MONTH($A269),IF(G270=0,I269,G270),G270)</f>
        <v>0</v>
      </c>
      <c r="J270" s="124" t="n">
        <f aca="false">IF(MONTH($A270)=MONTH($A269),SUM(I270-I269),I270)</f>
        <v>0</v>
      </c>
      <c r="K270" s="124" t="n">
        <f aca="false">IF(WEEKDAY(A270,3)&gt;4,0,(IF(A270&lt;K$2,0,IF(A270&lt;=K$3,1,0))))</f>
        <v>0</v>
      </c>
      <c r="L270" s="124" t="n">
        <f aca="false">J270*K270</f>
        <v>0</v>
      </c>
      <c r="M270" s="124" t="n">
        <f aca="false">SUM(J$188:J270)</f>
        <v>0</v>
      </c>
      <c r="N270" s="124" t="n">
        <f aca="false">SUM(J$6:J270)</f>
        <v>1197025</v>
      </c>
      <c r="P270" s="124" t="n">
        <f aca="false">D270/P$3</f>
        <v>0</v>
      </c>
      <c r="Q270" s="124" t="n">
        <f aca="false">E270/P$3</f>
        <v>0</v>
      </c>
      <c r="R270" s="124" t="n">
        <f aca="false">F270/R$3</f>
        <v>0</v>
      </c>
      <c r="S270" s="126" t="n">
        <f aca="false">J270/$R$3</f>
        <v>0</v>
      </c>
      <c r="T270" s="126" t="n">
        <f aca="false">L270/$R$3</f>
        <v>0</v>
      </c>
      <c r="U270" s="126" t="n">
        <f aca="false">I270/$R$3</f>
        <v>0</v>
      </c>
      <c r="V270" s="126" t="n">
        <f aca="false">M270/$R$3</f>
        <v>0</v>
      </c>
      <c r="W270" s="126" t="n">
        <f aca="false">N270/$R$3</f>
        <v>1197.025</v>
      </c>
    </row>
    <row r="271" customFormat="false" ht="12.75" hidden="false" customHeight="false" outlineLevel="0" collapsed="false">
      <c r="A271" s="120" t="n">
        <f aca="false">A270+1</f>
        <v>37157</v>
      </c>
      <c r="B271" s="131" t="str">
        <f aca="false">INDEX('[4]Master Data'!$A$2:$B$8,MATCH(WEEKDAY('SC Gas MTM'!A271,3),'[4]Master Data'!$A$2:$A$8,0),2)</f>
        <v>Su</v>
      </c>
      <c r="D271" s="124" t="n">
        <v>0</v>
      </c>
      <c r="E271" s="124" t="n">
        <v>0</v>
      </c>
      <c r="F271" s="124" t="n">
        <v>0</v>
      </c>
      <c r="G271" s="124" t="n">
        <v>0</v>
      </c>
      <c r="I271" s="124" t="n">
        <f aca="false">IF(MONTH($A271)=MONTH($A270),IF(G271=0,I270,G271),G271)</f>
        <v>0</v>
      </c>
      <c r="J271" s="124" t="n">
        <f aca="false">IF(MONTH($A271)=MONTH($A270),SUM(I271-I270),I271)</f>
        <v>0</v>
      </c>
      <c r="K271" s="124" t="n">
        <f aca="false">IF(WEEKDAY(A271,3)&gt;4,0,(IF(A271&lt;K$2,0,IF(A271&lt;=K$3,1,0))))</f>
        <v>0</v>
      </c>
      <c r="L271" s="124" t="n">
        <f aca="false">J271*K271</f>
        <v>0</v>
      </c>
      <c r="M271" s="124" t="n">
        <f aca="false">SUM(J$188:J271)</f>
        <v>0</v>
      </c>
      <c r="N271" s="124" t="n">
        <f aca="false">SUM(J$6:J271)</f>
        <v>1197025</v>
      </c>
      <c r="P271" s="124" t="n">
        <f aca="false">D271/P$3</f>
        <v>0</v>
      </c>
      <c r="Q271" s="124" t="n">
        <f aca="false">E271/P$3</f>
        <v>0</v>
      </c>
      <c r="R271" s="124" t="n">
        <f aca="false">F271/R$3</f>
        <v>0</v>
      </c>
      <c r="S271" s="126" t="n">
        <f aca="false">J271/$R$3</f>
        <v>0</v>
      </c>
      <c r="T271" s="126" t="n">
        <f aca="false">L271/$R$3</f>
        <v>0</v>
      </c>
      <c r="U271" s="126" t="n">
        <f aca="false">I271/$R$3</f>
        <v>0</v>
      </c>
      <c r="V271" s="126" t="n">
        <f aca="false">M271/$R$3</f>
        <v>0</v>
      </c>
      <c r="W271" s="126" t="n">
        <f aca="false">N271/$R$3</f>
        <v>1197.025</v>
      </c>
    </row>
    <row r="272" customFormat="false" ht="12.75" hidden="false" customHeight="false" outlineLevel="0" collapsed="false">
      <c r="A272" s="120" t="n">
        <f aca="false">A271+1</f>
        <v>37158</v>
      </c>
      <c r="B272" s="131" t="str">
        <f aca="false">INDEX('[4]Master Data'!$A$2:$B$8,MATCH(WEEKDAY('SC Gas MTM'!A272,3),'[4]Master Data'!$A$2:$A$8,0),2)</f>
        <v>M</v>
      </c>
      <c r="D272" s="124" t="n">
        <v>0</v>
      </c>
      <c r="E272" s="124" t="n">
        <v>0</v>
      </c>
      <c r="F272" s="124" t="n">
        <v>0</v>
      </c>
      <c r="G272" s="124" t="n">
        <v>0</v>
      </c>
      <c r="I272" s="124" t="n">
        <f aca="false">IF(MONTH($A272)=MONTH($A271),IF(G272=0,I271,G272),G272)</f>
        <v>0</v>
      </c>
      <c r="J272" s="124" t="n">
        <f aca="false">IF(MONTH($A272)=MONTH($A271),SUM(I272-I271),I272)</f>
        <v>0</v>
      </c>
      <c r="K272" s="124" t="n">
        <f aca="false">IF(WEEKDAY(A272,3)&gt;4,0,(IF(A272&lt;K$2,0,IF(A272&lt;=K$3,1,0))))</f>
        <v>0</v>
      </c>
      <c r="L272" s="124" t="n">
        <f aca="false">J272*K272</f>
        <v>0</v>
      </c>
      <c r="M272" s="124" t="n">
        <f aca="false">SUM(J$188:J272)</f>
        <v>0</v>
      </c>
      <c r="N272" s="124" t="n">
        <f aca="false">SUM(J$6:J272)</f>
        <v>1197025</v>
      </c>
      <c r="P272" s="124" t="n">
        <f aca="false">D272/P$3</f>
        <v>0</v>
      </c>
      <c r="Q272" s="124" t="n">
        <f aca="false">E272/P$3</f>
        <v>0</v>
      </c>
      <c r="R272" s="124" t="n">
        <f aca="false">F272/R$3</f>
        <v>0</v>
      </c>
      <c r="S272" s="126" t="n">
        <f aca="false">J272/$R$3</f>
        <v>0</v>
      </c>
      <c r="T272" s="126" t="n">
        <f aca="false">L272/$R$3</f>
        <v>0</v>
      </c>
      <c r="U272" s="126" t="n">
        <f aca="false">I272/$R$3</f>
        <v>0</v>
      </c>
      <c r="V272" s="126" t="n">
        <f aca="false">M272/$R$3</f>
        <v>0</v>
      </c>
      <c r="W272" s="126" t="n">
        <f aca="false">N272/$R$3</f>
        <v>1197.025</v>
      </c>
    </row>
    <row r="273" customFormat="false" ht="12.75" hidden="false" customHeight="false" outlineLevel="0" collapsed="false">
      <c r="A273" s="120" t="n">
        <f aca="false">A272+1</f>
        <v>37159</v>
      </c>
      <c r="B273" s="131" t="str">
        <f aca="false">INDEX('[4]Master Data'!$A$2:$B$8,MATCH(WEEKDAY('SC Gas MTM'!A273,3),'[4]Master Data'!$A$2:$A$8,0),2)</f>
        <v>T</v>
      </c>
      <c r="D273" s="124" t="n">
        <v>0</v>
      </c>
      <c r="E273" s="124" t="n">
        <v>0</v>
      </c>
      <c r="F273" s="124" t="n">
        <v>0</v>
      </c>
      <c r="G273" s="124" t="n">
        <v>0</v>
      </c>
      <c r="I273" s="124" t="n">
        <f aca="false">IF(MONTH($A273)=MONTH($A272),IF(G273=0,I272,G273),G273)</f>
        <v>0</v>
      </c>
      <c r="J273" s="124" t="n">
        <f aca="false">IF(MONTH($A273)=MONTH($A272),SUM(I273-I272),I273)</f>
        <v>0</v>
      </c>
      <c r="K273" s="124" t="n">
        <f aca="false">IF(WEEKDAY(A273,3)&gt;4,0,(IF(A273&lt;K$2,0,IF(A273&lt;=K$3,1,0))))</f>
        <v>0</v>
      </c>
      <c r="L273" s="124" t="n">
        <f aca="false">J273*K273</f>
        <v>0</v>
      </c>
      <c r="M273" s="124" t="n">
        <f aca="false">SUM(J$188:J273)</f>
        <v>0</v>
      </c>
      <c r="N273" s="124" t="n">
        <f aca="false">SUM(J$6:J273)</f>
        <v>1197025</v>
      </c>
      <c r="P273" s="124" t="n">
        <f aca="false">D273/P$3</f>
        <v>0</v>
      </c>
      <c r="Q273" s="124" t="n">
        <f aca="false">E273/P$3</f>
        <v>0</v>
      </c>
      <c r="R273" s="124" t="n">
        <f aca="false">F273/R$3</f>
        <v>0</v>
      </c>
      <c r="S273" s="126" t="n">
        <f aca="false">J273/$R$3</f>
        <v>0</v>
      </c>
      <c r="T273" s="126" t="n">
        <f aca="false">L273/$R$3</f>
        <v>0</v>
      </c>
      <c r="U273" s="126" t="n">
        <f aca="false">I273/$R$3</f>
        <v>0</v>
      </c>
      <c r="V273" s="126" t="n">
        <f aca="false">M273/$R$3</f>
        <v>0</v>
      </c>
      <c r="W273" s="126" t="n">
        <f aca="false">N273/$R$3</f>
        <v>1197.025</v>
      </c>
    </row>
    <row r="274" customFormat="false" ht="12.75" hidden="false" customHeight="false" outlineLevel="0" collapsed="false">
      <c r="A274" s="120" t="n">
        <f aca="false">A273+1</f>
        <v>37160</v>
      </c>
      <c r="B274" s="131" t="str">
        <f aca="false">INDEX('[4]Master Data'!$A$2:$B$8,MATCH(WEEKDAY('SC Gas MTM'!A274,3),'[4]Master Data'!$A$2:$A$8,0),2)</f>
        <v>W</v>
      </c>
      <c r="D274" s="124" t="n">
        <v>0</v>
      </c>
      <c r="E274" s="124" t="n">
        <v>0</v>
      </c>
      <c r="F274" s="124" t="n">
        <v>0</v>
      </c>
      <c r="G274" s="124" t="n">
        <v>0</v>
      </c>
      <c r="I274" s="124" t="n">
        <f aca="false">IF(MONTH($A274)=MONTH($A273),IF(G274=0,I273,G274),G274)</f>
        <v>0</v>
      </c>
      <c r="J274" s="124" t="n">
        <f aca="false">IF(MONTH($A274)=MONTH($A273),SUM(I274-I273),I274)</f>
        <v>0</v>
      </c>
      <c r="K274" s="124" t="n">
        <f aca="false">IF(WEEKDAY(A274,3)&gt;4,0,(IF(A274&lt;K$2,0,IF(A274&lt;=K$3,1,0))))</f>
        <v>0</v>
      </c>
      <c r="L274" s="124" t="n">
        <f aca="false">J274*K274</f>
        <v>0</v>
      </c>
      <c r="M274" s="124" t="n">
        <f aca="false">SUM(J$188:J274)</f>
        <v>0</v>
      </c>
      <c r="N274" s="124" t="n">
        <f aca="false">SUM(J$6:J274)</f>
        <v>1197025</v>
      </c>
      <c r="P274" s="124" t="n">
        <f aca="false">D274/P$3</f>
        <v>0</v>
      </c>
      <c r="Q274" s="124" t="n">
        <f aca="false">E274/P$3</f>
        <v>0</v>
      </c>
      <c r="R274" s="124" t="n">
        <f aca="false">F274/R$3</f>
        <v>0</v>
      </c>
      <c r="S274" s="126" t="n">
        <f aca="false">J274/$R$3</f>
        <v>0</v>
      </c>
      <c r="T274" s="126" t="n">
        <f aca="false">L274/$R$3</f>
        <v>0</v>
      </c>
      <c r="U274" s="126" t="n">
        <f aca="false">I274/$R$3</f>
        <v>0</v>
      </c>
      <c r="V274" s="126" t="n">
        <f aca="false">M274/$R$3</f>
        <v>0</v>
      </c>
      <c r="W274" s="126" t="n">
        <f aca="false">N274/$R$3</f>
        <v>1197.025</v>
      </c>
    </row>
    <row r="275" customFormat="false" ht="12.75" hidden="false" customHeight="false" outlineLevel="0" collapsed="false">
      <c r="A275" s="120" t="n">
        <f aca="false">A274+1</f>
        <v>37161</v>
      </c>
      <c r="B275" s="131" t="str">
        <f aca="false">INDEX('[4]Master Data'!$A$2:$B$8,MATCH(WEEKDAY('SC Gas MTM'!A275,3),'[4]Master Data'!$A$2:$A$8,0),2)</f>
        <v>Th</v>
      </c>
      <c r="D275" s="124" t="n">
        <v>0</v>
      </c>
      <c r="E275" s="124" t="n">
        <v>0</v>
      </c>
      <c r="F275" s="124" t="n">
        <v>0</v>
      </c>
      <c r="G275" s="124" t="n">
        <v>0</v>
      </c>
      <c r="I275" s="124" t="n">
        <f aca="false">IF(MONTH($A275)=MONTH($A274),IF(G275=0,I274,G275),G275)</f>
        <v>0</v>
      </c>
      <c r="J275" s="124" t="n">
        <f aca="false">IF(MONTH($A275)=MONTH($A274),SUM(I275-I274),I275)</f>
        <v>0</v>
      </c>
      <c r="K275" s="124" t="n">
        <f aca="false">IF(WEEKDAY(A275,3)&gt;4,0,(IF(A275&lt;K$2,0,IF(A275&lt;=K$3,1,0))))</f>
        <v>0</v>
      </c>
      <c r="L275" s="124" t="n">
        <f aca="false">J275*K275</f>
        <v>0</v>
      </c>
      <c r="M275" s="124" t="n">
        <f aca="false">SUM(J$188:J275)</f>
        <v>0</v>
      </c>
      <c r="N275" s="124" t="n">
        <f aca="false">SUM(J$6:J275)</f>
        <v>1197025</v>
      </c>
      <c r="P275" s="124" t="n">
        <f aca="false">D275/P$3</f>
        <v>0</v>
      </c>
      <c r="Q275" s="124" t="n">
        <f aca="false">E275/P$3</f>
        <v>0</v>
      </c>
      <c r="R275" s="124" t="n">
        <f aca="false">F275/R$3</f>
        <v>0</v>
      </c>
      <c r="S275" s="126" t="n">
        <f aca="false">J275/$R$3</f>
        <v>0</v>
      </c>
      <c r="T275" s="126" t="n">
        <f aca="false">L275/$R$3</f>
        <v>0</v>
      </c>
      <c r="U275" s="126" t="n">
        <f aca="false">I275/$R$3</f>
        <v>0</v>
      </c>
      <c r="V275" s="126" t="n">
        <f aca="false">M275/$R$3</f>
        <v>0</v>
      </c>
      <c r="W275" s="126" t="n">
        <f aca="false">N275/$R$3</f>
        <v>1197.025</v>
      </c>
    </row>
    <row r="276" customFormat="false" ht="12.75" hidden="false" customHeight="false" outlineLevel="0" collapsed="false">
      <c r="A276" s="120" t="n">
        <f aca="false">A275+1</f>
        <v>37162</v>
      </c>
      <c r="B276" s="131" t="str">
        <f aca="false">INDEX('[4]Master Data'!$A$2:$B$8,MATCH(WEEKDAY('SC Gas MTM'!A276,3),'[4]Master Data'!$A$2:$A$8,0),2)</f>
        <v>F</v>
      </c>
      <c r="D276" s="124" t="n">
        <v>0</v>
      </c>
      <c r="E276" s="124" t="n">
        <v>0</v>
      </c>
      <c r="F276" s="124" t="n">
        <v>0</v>
      </c>
      <c r="G276" s="124" t="n">
        <v>0</v>
      </c>
      <c r="I276" s="124" t="n">
        <f aca="false">IF(MONTH($A276)=MONTH($A275),IF(G276=0,I275,G276),G276)</f>
        <v>0</v>
      </c>
      <c r="J276" s="124" t="n">
        <f aca="false">IF(MONTH($A276)=MONTH($A275),SUM(I276-I275),I276)</f>
        <v>0</v>
      </c>
      <c r="K276" s="124" t="n">
        <f aca="false">IF(WEEKDAY(A276,3)&gt;4,0,(IF(A276&lt;K$2,0,IF(A276&lt;=K$3,1,0))))</f>
        <v>0</v>
      </c>
      <c r="L276" s="124" t="n">
        <f aca="false">J276*K276</f>
        <v>0</v>
      </c>
      <c r="M276" s="124" t="n">
        <f aca="false">SUM(J$188:J276)</f>
        <v>0</v>
      </c>
      <c r="N276" s="124" t="n">
        <f aca="false">SUM(J$6:J276)</f>
        <v>1197025</v>
      </c>
      <c r="P276" s="124" t="n">
        <f aca="false">D276/P$3</f>
        <v>0</v>
      </c>
      <c r="Q276" s="124" t="n">
        <f aca="false">E276/P$3</f>
        <v>0</v>
      </c>
      <c r="R276" s="124" t="n">
        <f aca="false">F276/R$3</f>
        <v>0</v>
      </c>
      <c r="S276" s="126" t="n">
        <f aca="false">J276/$R$3</f>
        <v>0</v>
      </c>
      <c r="T276" s="126" t="n">
        <f aca="false">L276/$R$3</f>
        <v>0</v>
      </c>
      <c r="U276" s="126" t="n">
        <f aca="false">I276/$R$3</f>
        <v>0</v>
      </c>
      <c r="V276" s="126" t="n">
        <f aca="false">M276/$R$3</f>
        <v>0</v>
      </c>
      <c r="W276" s="126" t="n">
        <f aca="false">N276/$R$3</f>
        <v>1197.025</v>
      </c>
    </row>
    <row r="277" customFormat="false" ht="12.75" hidden="false" customHeight="false" outlineLevel="0" collapsed="false">
      <c r="A277" s="120" t="n">
        <f aca="false">A276+1</f>
        <v>37163</v>
      </c>
      <c r="B277" s="131" t="str">
        <f aca="false">INDEX('[4]Master Data'!$A$2:$B$8,MATCH(WEEKDAY('SC Gas MTM'!A277,3),'[4]Master Data'!$A$2:$A$8,0),2)</f>
        <v>Sa</v>
      </c>
      <c r="D277" s="124" t="n">
        <v>0</v>
      </c>
      <c r="E277" s="124" t="n">
        <v>0</v>
      </c>
      <c r="F277" s="124" t="n">
        <v>0</v>
      </c>
      <c r="G277" s="124" t="n">
        <v>0</v>
      </c>
      <c r="I277" s="124" t="n">
        <f aca="false">IF(MONTH($A277)=MONTH($A276),IF(G277=0,I276,G277),G277)</f>
        <v>0</v>
      </c>
      <c r="J277" s="124" t="n">
        <f aca="false">IF(MONTH($A277)=MONTH($A276),SUM(I277-I276),I277)</f>
        <v>0</v>
      </c>
      <c r="K277" s="124" t="n">
        <f aca="false">IF(WEEKDAY(A277,3)&gt;4,0,(IF(A277&lt;K$2,0,IF(A277&lt;=K$3,1,0))))</f>
        <v>0</v>
      </c>
      <c r="L277" s="124" t="n">
        <f aca="false">J277*K277</f>
        <v>0</v>
      </c>
      <c r="M277" s="124" t="n">
        <f aca="false">SUM(J$188:J277)</f>
        <v>0</v>
      </c>
      <c r="N277" s="124" t="n">
        <f aca="false">SUM(J$6:J277)</f>
        <v>1197025</v>
      </c>
      <c r="P277" s="124" t="n">
        <f aca="false">D277/P$3</f>
        <v>0</v>
      </c>
      <c r="Q277" s="124" t="n">
        <f aca="false">E277/P$3</f>
        <v>0</v>
      </c>
      <c r="R277" s="124" t="n">
        <f aca="false">F277/R$3</f>
        <v>0</v>
      </c>
      <c r="S277" s="126" t="n">
        <f aca="false">J277/$R$3</f>
        <v>0</v>
      </c>
      <c r="T277" s="126" t="n">
        <f aca="false">L277/$R$3</f>
        <v>0</v>
      </c>
      <c r="U277" s="126" t="n">
        <f aca="false">I277/$R$3</f>
        <v>0</v>
      </c>
      <c r="V277" s="126" t="n">
        <f aca="false">M277/$R$3</f>
        <v>0</v>
      </c>
      <c r="W277" s="126" t="n">
        <f aca="false">N277/$R$3</f>
        <v>1197.025</v>
      </c>
    </row>
    <row r="278" customFormat="false" ht="12.75" hidden="false" customHeight="false" outlineLevel="0" collapsed="false">
      <c r="A278" s="120" t="n">
        <f aca="false">A277+1</f>
        <v>37164</v>
      </c>
      <c r="B278" s="131" t="str">
        <f aca="false">INDEX('[4]Master Data'!$A$2:$B$8,MATCH(WEEKDAY('SC Gas MTM'!A278,3),'[4]Master Data'!$A$2:$A$8,0),2)</f>
        <v>Su</v>
      </c>
      <c r="D278" s="124" t="n">
        <v>0</v>
      </c>
      <c r="E278" s="124" t="n">
        <v>0</v>
      </c>
      <c r="F278" s="124" t="n">
        <v>0</v>
      </c>
      <c r="G278" s="124" t="n">
        <v>0</v>
      </c>
      <c r="I278" s="124" t="n">
        <f aca="false">IF(MONTH($A278)=MONTH($A277),IF(G278=0,I277,G278),G278)</f>
        <v>0</v>
      </c>
      <c r="J278" s="124" t="n">
        <f aca="false">IF(MONTH($A278)=MONTH($A277),SUM(I278-I277),I278)</f>
        <v>0</v>
      </c>
      <c r="K278" s="124" t="n">
        <f aca="false">IF(WEEKDAY(A278,3)&gt;4,0,(IF(A278&lt;K$2,0,IF(A278&lt;=K$3,1,0))))</f>
        <v>0</v>
      </c>
      <c r="L278" s="124" t="n">
        <f aca="false">J278*K278</f>
        <v>0</v>
      </c>
      <c r="M278" s="124" t="n">
        <f aca="false">SUM(J$188:J278)</f>
        <v>0</v>
      </c>
      <c r="N278" s="124" t="n">
        <f aca="false">SUM(J$6:J278)</f>
        <v>1197025</v>
      </c>
      <c r="P278" s="124" t="n">
        <f aca="false">D278/P$3</f>
        <v>0</v>
      </c>
      <c r="Q278" s="124" t="n">
        <f aca="false">E278/P$3</f>
        <v>0</v>
      </c>
      <c r="R278" s="124" t="n">
        <f aca="false">F278/R$3</f>
        <v>0</v>
      </c>
      <c r="S278" s="126" t="n">
        <f aca="false">J278/$R$3</f>
        <v>0</v>
      </c>
      <c r="T278" s="126" t="n">
        <f aca="false">L278/$R$3</f>
        <v>0</v>
      </c>
      <c r="U278" s="126" t="n">
        <f aca="false">I278/$R$3</f>
        <v>0</v>
      </c>
      <c r="V278" s="126" t="n">
        <f aca="false">M278/$R$3</f>
        <v>0</v>
      </c>
      <c r="W278" s="126" t="n">
        <f aca="false">N278/$R$3</f>
        <v>1197.025</v>
      </c>
    </row>
    <row r="279" customFormat="false" ht="12.75" hidden="false" customHeight="false" outlineLevel="0" collapsed="false">
      <c r="A279" s="120" t="n">
        <f aca="false">A278+1</f>
        <v>37165</v>
      </c>
      <c r="B279" s="131" t="str">
        <f aca="false">INDEX('[4]Master Data'!$A$2:$B$8,MATCH(WEEKDAY('SC Gas MTM'!A279,3),'[4]Master Data'!$A$2:$A$8,0),2)</f>
        <v>M</v>
      </c>
      <c r="D279" s="124" t="n">
        <v>0</v>
      </c>
      <c r="E279" s="124" t="n">
        <v>0</v>
      </c>
      <c r="F279" s="124" t="n">
        <v>0</v>
      </c>
      <c r="G279" s="124" t="n">
        <v>0</v>
      </c>
      <c r="I279" s="124" t="n">
        <f aca="false">IF(MONTH($A279)=MONTH($A278),IF(G279=0,I278,G279),G279)</f>
        <v>0</v>
      </c>
      <c r="J279" s="124" t="n">
        <f aca="false">IF(MONTH($A279)=MONTH($A278),SUM(I279-I278),I279)</f>
        <v>0</v>
      </c>
      <c r="K279" s="124" t="n">
        <f aca="false">IF(WEEKDAY(A279,3)&gt;4,0,(IF(A279&lt;K$2,0,IF(A279&lt;=K$3,1,0))))</f>
        <v>0</v>
      </c>
      <c r="L279" s="124" t="n">
        <f aca="false">J279*K279</f>
        <v>0</v>
      </c>
      <c r="M279" s="124" t="n">
        <f aca="false">SUM(J$188:J279)</f>
        <v>0</v>
      </c>
      <c r="N279" s="124" t="n">
        <f aca="false">SUM(J$6:J279)</f>
        <v>1197025</v>
      </c>
      <c r="P279" s="124" t="n">
        <f aca="false">D279/P$3</f>
        <v>0</v>
      </c>
      <c r="Q279" s="124" t="n">
        <f aca="false">E279/P$3</f>
        <v>0</v>
      </c>
      <c r="R279" s="124" t="n">
        <f aca="false">F279/R$3</f>
        <v>0</v>
      </c>
      <c r="S279" s="126" t="n">
        <f aca="false">J279/$R$3</f>
        <v>0</v>
      </c>
      <c r="T279" s="126" t="n">
        <f aca="false">L279/$R$3</f>
        <v>0</v>
      </c>
      <c r="U279" s="126" t="n">
        <f aca="false">I279/$R$3</f>
        <v>0</v>
      </c>
      <c r="V279" s="126" t="n">
        <f aca="false">M279/$R$3</f>
        <v>0</v>
      </c>
      <c r="W279" s="126" t="n">
        <f aca="false">N279/$R$3</f>
        <v>1197.025</v>
      </c>
    </row>
    <row r="280" customFormat="false" ht="12.75" hidden="false" customHeight="false" outlineLevel="0" collapsed="false">
      <c r="A280" s="120" t="n">
        <f aca="false">A279+1</f>
        <v>37166</v>
      </c>
      <c r="B280" s="131" t="str">
        <f aca="false">INDEX('[4]Master Data'!$A$2:$B$8,MATCH(WEEKDAY('SC Gas MTM'!A280,3),'[4]Master Data'!$A$2:$A$8,0),2)</f>
        <v>T</v>
      </c>
      <c r="D280" s="124" t="n">
        <v>0</v>
      </c>
      <c r="E280" s="124" t="n">
        <v>0</v>
      </c>
      <c r="F280" s="124" t="n">
        <v>0</v>
      </c>
      <c r="G280" s="124" t="n">
        <v>0</v>
      </c>
      <c r="I280" s="124" t="n">
        <f aca="false">IF(MONTH($A280)=MONTH($A279),IF(G280=0,I279,G280),G280)</f>
        <v>0</v>
      </c>
      <c r="J280" s="124" t="n">
        <f aca="false">IF(MONTH($A280)=MONTH($A279),SUM(I280-I279),I280)</f>
        <v>0</v>
      </c>
      <c r="K280" s="124" t="n">
        <f aca="false">IF(WEEKDAY(A280,3)&gt;4,0,(IF(A280&lt;K$2,0,IF(A280&lt;=K$3,1,0))))</f>
        <v>0</v>
      </c>
      <c r="L280" s="124" t="n">
        <f aca="false">J280*K280</f>
        <v>0</v>
      </c>
      <c r="M280" s="124" t="n">
        <f aca="false">SUM(J$280:J280)</f>
        <v>0</v>
      </c>
      <c r="N280" s="124" t="n">
        <f aca="false">SUM(J$6:J280)</f>
        <v>1197025</v>
      </c>
      <c r="P280" s="124" t="n">
        <f aca="false">D280/P$3</f>
        <v>0</v>
      </c>
      <c r="Q280" s="124" t="n">
        <f aca="false">E280/P$3</f>
        <v>0</v>
      </c>
      <c r="R280" s="124" t="n">
        <f aca="false">F280/R$3</f>
        <v>0</v>
      </c>
      <c r="S280" s="126" t="n">
        <f aca="false">J280/$R$3</f>
        <v>0</v>
      </c>
      <c r="T280" s="126" t="n">
        <f aca="false">L280/$R$3</f>
        <v>0</v>
      </c>
      <c r="U280" s="126" t="n">
        <f aca="false">I280/$R$3</f>
        <v>0</v>
      </c>
      <c r="V280" s="126" t="n">
        <f aca="false">M280/$R$3</f>
        <v>0</v>
      </c>
      <c r="W280" s="126" t="n">
        <f aca="false">N280/$R$3</f>
        <v>1197.025</v>
      </c>
    </row>
    <row r="281" customFormat="false" ht="12.75" hidden="false" customHeight="false" outlineLevel="0" collapsed="false">
      <c r="A281" s="120" t="n">
        <f aca="false">A280+1</f>
        <v>37167</v>
      </c>
      <c r="B281" s="131" t="str">
        <f aca="false">INDEX('[4]Master Data'!$A$2:$B$8,MATCH(WEEKDAY('SC Gas MTM'!A281,3),'[4]Master Data'!$A$2:$A$8,0),2)</f>
        <v>W</v>
      </c>
      <c r="D281" s="124" t="n">
        <v>0</v>
      </c>
      <c r="E281" s="124" t="n">
        <v>0</v>
      </c>
      <c r="F281" s="124" t="n">
        <v>0</v>
      </c>
      <c r="G281" s="124" t="n">
        <v>0</v>
      </c>
      <c r="I281" s="124" t="n">
        <f aca="false">IF(MONTH($A281)=MONTH($A280),IF(G281=0,I280,G281),G281)</f>
        <v>0</v>
      </c>
      <c r="J281" s="124" t="n">
        <f aca="false">IF(MONTH($A281)=MONTH($A280),SUM(I281-I280),I281)</f>
        <v>0</v>
      </c>
      <c r="K281" s="124" t="n">
        <f aca="false">IF(WEEKDAY(A281,3)&gt;4,0,(IF(A281&lt;K$2,0,IF(A281&lt;=K$3,1,0))))</f>
        <v>0</v>
      </c>
      <c r="L281" s="124" t="n">
        <f aca="false">J281*K281</f>
        <v>0</v>
      </c>
      <c r="M281" s="124" t="n">
        <f aca="false">SUM(J$280:J281)</f>
        <v>0</v>
      </c>
      <c r="N281" s="124" t="n">
        <f aca="false">SUM(J$6:J281)</f>
        <v>1197025</v>
      </c>
      <c r="P281" s="124" t="n">
        <f aca="false">D281/P$3</f>
        <v>0</v>
      </c>
      <c r="Q281" s="124" t="n">
        <f aca="false">E281/P$3</f>
        <v>0</v>
      </c>
      <c r="R281" s="124" t="n">
        <f aca="false">F281/R$3</f>
        <v>0</v>
      </c>
      <c r="S281" s="126" t="n">
        <f aca="false">J281/$R$3</f>
        <v>0</v>
      </c>
      <c r="T281" s="126" t="n">
        <f aca="false">L281/$R$3</f>
        <v>0</v>
      </c>
      <c r="U281" s="126" t="n">
        <f aca="false">I281/$R$3</f>
        <v>0</v>
      </c>
      <c r="V281" s="126" t="n">
        <f aca="false">M281/$R$3</f>
        <v>0</v>
      </c>
      <c r="W281" s="126" t="n">
        <f aca="false">N281/$R$3</f>
        <v>1197.025</v>
      </c>
    </row>
    <row r="282" customFormat="false" ht="12.75" hidden="false" customHeight="false" outlineLevel="0" collapsed="false">
      <c r="A282" s="120" t="n">
        <f aca="false">A281+1</f>
        <v>37168</v>
      </c>
      <c r="B282" s="131" t="str">
        <f aca="false">INDEX('[4]Master Data'!$A$2:$B$8,MATCH(WEEKDAY('SC Gas MTM'!A282,3),'[4]Master Data'!$A$2:$A$8,0),2)</f>
        <v>Th</v>
      </c>
      <c r="D282" s="124" t="n">
        <v>0</v>
      </c>
      <c r="E282" s="124" t="n">
        <v>0</v>
      </c>
      <c r="F282" s="124" t="n">
        <v>0</v>
      </c>
      <c r="G282" s="124" t="n">
        <v>0</v>
      </c>
      <c r="I282" s="124" t="n">
        <f aca="false">IF(MONTH($A282)=MONTH($A281),IF(G282=0,I281,G282),G282)</f>
        <v>0</v>
      </c>
      <c r="J282" s="124" t="n">
        <f aca="false">IF(MONTH($A282)=MONTH($A281),SUM(I282-I281),I282)</f>
        <v>0</v>
      </c>
      <c r="K282" s="124" t="n">
        <f aca="false">IF(WEEKDAY(A282,3)&gt;4,0,(IF(A282&lt;K$2,0,IF(A282&lt;=K$3,1,0))))</f>
        <v>0</v>
      </c>
      <c r="L282" s="124" t="n">
        <f aca="false">J282*K282</f>
        <v>0</v>
      </c>
      <c r="M282" s="124" t="n">
        <f aca="false">SUM(J$280:J282)</f>
        <v>0</v>
      </c>
      <c r="N282" s="124" t="n">
        <f aca="false">SUM(J$6:J282)</f>
        <v>1197025</v>
      </c>
      <c r="P282" s="124" t="n">
        <f aca="false">D282/P$3</f>
        <v>0</v>
      </c>
      <c r="Q282" s="124" t="n">
        <f aca="false">E282/P$3</f>
        <v>0</v>
      </c>
      <c r="R282" s="124" t="n">
        <f aca="false">F282/R$3</f>
        <v>0</v>
      </c>
      <c r="S282" s="126" t="n">
        <f aca="false">J282/$R$3</f>
        <v>0</v>
      </c>
      <c r="T282" s="126" t="n">
        <f aca="false">L282/$R$3</f>
        <v>0</v>
      </c>
      <c r="U282" s="126" t="n">
        <f aca="false">I282/$R$3</f>
        <v>0</v>
      </c>
      <c r="V282" s="126" t="n">
        <f aca="false">M282/$R$3</f>
        <v>0</v>
      </c>
      <c r="W282" s="126" t="n">
        <f aca="false">N282/$R$3</f>
        <v>1197.025</v>
      </c>
    </row>
    <row r="283" customFormat="false" ht="12.75" hidden="false" customHeight="false" outlineLevel="0" collapsed="false">
      <c r="A283" s="120" t="n">
        <f aca="false">A282+1</f>
        <v>37169</v>
      </c>
      <c r="B283" s="131" t="str">
        <f aca="false">INDEX('[4]Master Data'!$A$2:$B$8,MATCH(WEEKDAY('SC Gas MTM'!A283,3),'[4]Master Data'!$A$2:$A$8,0),2)</f>
        <v>F</v>
      </c>
      <c r="D283" s="124" t="n">
        <v>0</v>
      </c>
      <c r="E283" s="124" t="n">
        <v>0</v>
      </c>
      <c r="F283" s="124" t="n">
        <v>0</v>
      </c>
      <c r="G283" s="124" t="n">
        <v>0</v>
      </c>
      <c r="I283" s="124" t="n">
        <f aca="false">IF(MONTH($A283)=MONTH($A282),IF(G283=0,I282,G283),G283)</f>
        <v>0</v>
      </c>
      <c r="J283" s="124" t="n">
        <f aca="false">IF(MONTH($A283)=MONTH($A282),SUM(I283-I282),I283)</f>
        <v>0</v>
      </c>
      <c r="K283" s="124" t="n">
        <f aca="false">IF(WEEKDAY(A283,3)&gt;4,0,(IF(A283&lt;K$2,0,IF(A283&lt;=K$3,1,0))))</f>
        <v>0</v>
      </c>
      <c r="L283" s="124" t="n">
        <f aca="false">J283*K283</f>
        <v>0</v>
      </c>
      <c r="M283" s="124" t="n">
        <f aca="false">SUM(J$280:J283)</f>
        <v>0</v>
      </c>
      <c r="N283" s="124" t="n">
        <f aca="false">SUM(J$6:J283)</f>
        <v>1197025</v>
      </c>
      <c r="P283" s="124" t="n">
        <f aca="false">D283/P$3</f>
        <v>0</v>
      </c>
      <c r="Q283" s="124" t="n">
        <f aca="false">E283/P$3</f>
        <v>0</v>
      </c>
      <c r="R283" s="124" t="n">
        <f aca="false">F283/R$3</f>
        <v>0</v>
      </c>
      <c r="S283" s="126" t="n">
        <f aca="false">J283/$R$3</f>
        <v>0</v>
      </c>
      <c r="T283" s="126" t="n">
        <f aca="false">L283/$R$3</f>
        <v>0</v>
      </c>
      <c r="U283" s="126" t="n">
        <f aca="false">I283/$R$3</f>
        <v>0</v>
      </c>
      <c r="V283" s="126" t="n">
        <f aca="false">M283/$R$3</f>
        <v>0</v>
      </c>
      <c r="W283" s="126" t="n">
        <f aca="false">N283/$R$3</f>
        <v>1197.025</v>
      </c>
    </row>
    <row r="284" customFormat="false" ht="12.75" hidden="false" customHeight="false" outlineLevel="0" collapsed="false">
      <c r="A284" s="120" t="n">
        <f aca="false">A283+1</f>
        <v>37170</v>
      </c>
      <c r="B284" s="131" t="str">
        <f aca="false">INDEX('[4]Master Data'!$A$2:$B$8,MATCH(WEEKDAY('SC Gas MTM'!A284,3),'[4]Master Data'!$A$2:$A$8,0),2)</f>
        <v>Sa</v>
      </c>
      <c r="D284" s="124" t="n">
        <v>0</v>
      </c>
      <c r="E284" s="124" t="n">
        <v>0</v>
      </c>
      <c r="F284" s="124" t="n">
        <v>0</v>
      </c>
      <c r="G284" s="124" t="n">
        <v>0</v>
      </c>
      <c r="I284" s="124" t="n">
        <f aca="false">IF(MONTH($A284)=MONTH($A283),IF(G284=0,I283,G284),G284)</f>
        <v>0</v>
      </c>
      <c r="J284" s="124" t="n">
        <f aca="false">IF(MONTH($A284)=MONTH($A283),SUM(I284-I283),I284)</f>
        <v>0</v>
      </c>
      <c r="K284" s="124" t="n">
        <f aca="false">IF(WEEKDAY(A284,3)&gt;4,0,(IF(A284&lt;K$2,0,IF(A284&lt;=K$3,1,0))))</f>
        <v>0</v>
      </c>
      <c r="L284" s="124" t="n">
        <f aca="false">J284*K284</f>
        <v>0</v>
      </c>
      <c r="M284" s="124" t="n">
        <f aca="false">SUM(J$280:J284)</f>
        <v>0</v>
      </c>
      <c r="N284" s="124" t="n">
        <f aca="false">SUM(J$6:J284)</f>
        <v>1197025</v>
      </c>
      <c r="P284" s="124" t="n">
        <f aca="false">D284/P$3</f>
        <v>0</v>
      </c>
      <c r="Q284" s="124" t="n">
        <f aca="false">E284/P$3</f>
        <v>0</v>
      </c>
      <c r="R284" s="124" t="n">
        <f aca="false">F284/R$3</f>
        <v>0</v>
      </c>
      <c r="S284" s="126" t="n">
        <f aca="false">J284/$R$3</f>
        <v>0</v>
      </c>
      <c r="T284" s="126" t="n">
        <f aca="false">L284/$R$3</f>
        <v>0</v>
      </c>
      <c r="U284" s="126" t="n">
        <f aca="false">I284/$R$3</f>
        <v>0</v>
      </c>
      <c r="V284" s="126" t="n">
        <f aca="false">M284/$R$3</f>
        <v>0</v>
      </c>
      <c r="W284" s="126" t="n">
        <f aca="false">N284/$R$3</f>
        <v>1197.025</v>
      </c>
    </row>
    <row r="285" customFormat="false" ht="12.75" hidden="false" customHeight="false" outlineLevel="0" collapsed="false">
      <c r="A285" s="120" t="n">
        <f aca="false">A284+1</f>
        <v>37171</v>
      </c>
      <c r="B285" s="131" t="str">
        <f aca="false">INDEX('[4]Master Data'!$A$2:$B$8,MATCH(WEEKDAY('SC Gas MTM'!A285,3),'[4]Master Data'!$A$2:$A$8,0),2)</f>
        <v>Su</v>
      </c>
      <c r="D285" s="124" t="n">
        <v>0</v>
      </c>
      <c r="E285" s="124" t="n">
        <v>0</v>
      </c>
      <c r="F285" s="124" t="n">
        <v>0</v>
      </c>
      <c r="G285" s="124" t="n">
        <v>0</v>
      </c>
      <c r="I285" s="124" t="n">
        <f aca="false">IF(MONTH($A285)=MONTH($A284),IF(G285=0,I284,G285),G285)</f>
        <v>0</v>
      </c>
      <c r="J285" s="124" t="n">
        <f aca="false">IF(MONTH($A285)=MONTH($A284),SUM(I285-I284),I285)</f>
        <v>0</v>
      </c>
      <c r="K285" s="124" t="n">
        <f aca="false">IF(WEEKDAY(A285,3)&gt;4,0,(IF(A285&lt;K$2,0,IF(A285&lt;=K$3,1,0))))</f>
        <v>0</v>
      </c>
      <c r="L285" s="124" t="n">
        <f aca="false">J285*K285</f>
        <v>0</v>
      </c>
      <c r="M285" s="124" t="n">
        <f aca="false">SUM(J$280:J285)</f>
        <v>0</v>
      </c>
      <c r="N285" s="124" t="n">
        <f aca="false">SUM(J$6:J285)</f>
        <v>1197025</v>
      </c>
      <c r="P285" s="124" t="n">
        <f aca="false">D285/P$3</f>
        <v>0</v>
      </c>
      <c r="Q285" s="124" t="n">
        <f aca="false">E285/P$3</f>
        <v>0</v>
      </c>
      <c r="R285" s="124" t="n">
        <f aca="false">F285/R$3</f>
        <v>0</v>
      </c>
      <c r="S285" s="126" t="n">
        <f aca="false">J285/$R$3</f>
        <v>0</v>
      </c>
      <c r="T285" s="126" t="n">
        <f aca="false">L285/$R$3</f>
        <v>0</v>
      </c>
      <c r="U285" s="126" t="n">
        <f aca="false">I285/$R$3</f>
        <v>0</v>
      </c>
      <c r="V285" s="126" t="n">
        <f aca="false">M285/$R$3</f>
        <v>0</v>
      </c>
      <c r="W285" s="126" t="n">
        <f aca="false">N285/$R$3</f>
        <v>1197.025</v>
      </c>
    </row>
    <row r="286" customFormat="false" ht="12.75" hidden="false" customHeight="false" outlineLevel="0" collapsed="false">
      <c r="A286" s="120" t="n">
        <f aca="false">A285+1</f>
        <v>37172</v>
      </c>
      <c r="B286" s="131" t="str">
        <f aca="false">INDEX('[4]Master Data'!$A$2:$B$8,MATCH(WEEKDAY('SC Gas MTM'!A286,3),'[4]Master Data'!$A$2:$A$8,0),2)</f>
        <v>M</v>
      </c>
      <c r="D286" s="124" t="n">
        <v>0</v>
      </c>
      <c r="E286" s="124" t="n">
        <v>0</v>
      </c>
      <c r="F286" s="124" t="n">
        <v>0</v>
      </c>
      <c r="G286" s="124" t="n">
        <v>0</v>
      </c>
      <c r="I286" s="124" t="n">
        <f aca="false">IF(MONTH($A286)=MONTH($A285),IF(G286=0,I285,G286),G286)</f>
        <v>0</v>
      </c>
      <c r="J286" s="124" t="n">
        <f aca="false">IF(MONTH($A286)=MONTH($A285),SUM(I286-I285),I286)</f>
        <v>0</v>
      </c>
      <c r="K286" s="124" t="n">
        <f aca="false">IF(WEEKDAY(A286,3)&gt;4,0,(IF(A286&lt;K$2,0,IF(A286&lt;=K$3,1,0))))</f>
        <v>0</v>
      </c>
      <c r="L286" s="124" t="n">
        <f aca="false">J286*K286</f>
        <v>0</v>
      </c>
      <c r="M286" s="124" t="n">
        <f aca="false">SUM(J$280:J286)</f>
        <v>0</v>
      </c>
      <c r="N286" s="124" t="n">
        <f aca="false">SUM(J$6:J286)</f>
        <v>1197025</v>
      </c>
      <c r="P286" s="124" t="n">
        <f aca="false">D286/P$3</f>
        <v>0</v>
      </c>
      <c r="Q286" s="124" t="n">
        <f aca="false">E286/P$3</f>
        <v>0</v>
      </c>
      <c r="R286" s="124" t="n">
        <f aca="false">F286/R$3</f>
        <v>0</v>
      </c>
      <c r="S286" s="126" t="n">
        <f aca="false">J286/$R$3</f>
        <v>0</v>
      </c>
      <c r="T286" s="126" t="n">
        <f aca="false">L286/$R$3</f>
        <v>0</v>
      </c>
      <c r="U286" s="126" t="n">
        <f aca="false">I286/$R$3</f>
        <v>0</v>
      </c>
      <c r="V286" s="126" t="n">
        <f aca="false">M286/$R$3</f>
        <v>0</v>
      </c>
      <c r="W286" s="126" t="n">
        <f aca="false">N286/$R$3</f>
        <v>1197.025</v>
      </c>
    </row>
    <row r="287" customFormat="false" ht="12.75" hidden="false" customHeight="false" outlineLevel="0" collapsed="false">
      <c r="A287" s="120" t="n">
        <f aca="false">A286+1</f>
        <v>37173</v>
      </c>
      <c r="B287" s="131" t="str">
        <f aca="false">INDEX('[4]Master Data'!$A$2:$B$8,MATCH(WEEKDAY('SC Gas MTM'!A287,3),'[4]Master Data'!$A$2:$A$8,0),2)</f>
        <v>T</v>
      </c>
      <c r="D287" s="124" t="n">
        <v>0</v>
      </c>
      <c r="E287" s="124" t="n">
        <v>0</v>
      </c>
      <c r="F287" s="124" t="n">
        <v>0</v>
      </c>
      <c r="G287" s="124" t="n">
        <v>0</v>
      </c>
      <c r="I287" s="124" t="n">
        <f aca="false">IF(MONTH($A287)=MONTH($A286),IF(G287=0,I286,G287),G287)</f>
        <v>0</v>
      </c>
      <c r="J287" s="124" t="n">
        <f aca="false">IF(MONTH($A287)=MONTH($A286),SUM(I287-I286),I287)</f>
        <v>0</v>
      </c>
      <c r="K287" s="124" t="n">
        <f aca="false">IF(WEEKDAY(A287,3)&gt;4,0,(IF(A287&lt;K$2,0,IF(A287&lt;=K$3,1,0))))</f>
        <v>0</v>
      </c>
      <c r="L287" s="124" t="n">
        <f aca="false">J287*K287</f>
        <v>0</v>
      </c>
      <c r="M287" s="124" t="n">
        <f aca="false">SUM(J$280:J287)</f>
        <v>0</v>
      </c>
      <c r="N287" s="124" t="n">
        <f aca="false">SUM(J$6:J287)</f>
        <v>1197025</v>
      </c>
      <c r="P287" s="124" t="n">
        <f aca="false">D287/P$3</f>
        <v>0</v>
      </c>
      <c r="Q287" s="124" t="n">
        <f aca="false">E287/P$3</f>
        <v>0</v>
      </c>
      <c r="R287" s="124" t="n">
        <f aca="false">F287/R$3</f>
        <v>0</v>
      </c>
      <c r="S287" s="126" t="n">
        <f aca="false">J287/$R$3</f>
        <v>0</v>
      </c>
      <c r="T287" s="126" t="n">
        <f aca="false">L287/$R$3</f>
        <v>0</v>
      </c>
      <c r="U287" s="126" t="n">
        <f aca="false">I287/$R$3</f>
        <v>0</v>
      </c>
      <c r="V287" s="126" t="n">
        <f aca="false">M287/$R$3</f>
        <v>0</v>
      </c>
      <c r="W287" s="126" t="n">
        <f aca="false">N287/$R$3</f>
        <v>1197.025</v>
      </c>
    </row>
    <row r="288" customFormat="false" ht="12.75" hidden="false" customHeight="false" outlineLevel="0" collapsed="false">
      <c r="A288" s="120" t="n">
        <f aca="false">A287+1</f>
        <v>37174</v>
      </c>
      <c r="B288" s="131" t="str">
        <f aca="false">INDEX('[4]Master Data'!$A$2:$B$8,MATCH(WEEKDAY('SC Gas MTM'!A288,3),'[4]Master Data'!$A$2:$A$8,0),2)</f>
        <v>W</v>
      </c>
      <c r="D288" s="124" t="n">
        <v>0</v>
      </c>
      <c r="E288" s="124" t="n">
        <v>0</v>
      </c>
      <c r="F288" s="124" t="n">
        <v>0</v>
      </c>
      <c r="G288" s="124" t="n">
        <v>0</v>
      </c>
      <c r="I288" s="124" t="n">
        <f aca="false">IF(MONTH($A288)=MONTH($A287),IF(G288=0,I287,G288),G288)</f>
        <v>0</v>
      </c>
      <c r="J288" s="124" t="n">
        <f aca="false">IF(MONTH($A288)=MONTH($A287),SUM(I288-I287),I288)</f>
        <v>0</v>
      </c>
      <c r="K288" s="124" t="n">
        <f aca="false">IF(WEEKDAY(A288,3)&gt;4,0,(IF(A288&lt;K$2,0,IF(A288&lt;=K$3,1,0))))</f>
        <v>0</v>
      </c>
      <c r="L288" s="124" t="n">
        <f aca="false">J288*K288</f>
        <v>0</v>
      </c>
      <c r="M288" s="124" t="n">
        <f aca="false">SUM(J$280:J288)</f>
        <v>0</v>
      </c>
      <c r="N288" s="124" t="n">
        <f aca="false">SUM(J$6:J288)</f>
        <v>1197025</v>
      </c>
      <c r="P288" s="124" t="n">
        <f aca="false">D288/P$3</f>
        <v>0</v>
      </c>
      <c r="Q288" s="124" t="n">
        <f aca="false">E288/P$3</f>
        <v>0</v>
      </c>
      <c r="R288" s="124" t="n">
        <f aca="false">F288/R$3</f>
        <v>0</v>
      </c>
      <c r="S288" s="126" t="n">
        <f aca="false">J288/$R$3</f>
        <v>0</v>
      </c>
      <c r="T288" s="126" t="n">
        <f aca="false">L288/$R$3</f>
        <v>0</v>
      </c>
      <c r="U288" s="126" t="n">
        <f aca="false">I288/$R$3</f>
        <v>0</v>
      </c>
      <c r="V288" s="126" t="n">
        <f aca="false">M288/$R$3</f>
        <v>0</v>
      </c>
      <c r="W288" s="126" t="n">
        <f aca="false">N288/$R$3</f>
        <v>1197.025</v>
      </c>
    </row>
    <row r="289" customFormat="false" ht="12.75" hidden="false" customHeight="false" outlineLevel="0" collapsed="false">
      <c r="A289" s="120" t="n">
        <f aca="false">A288+1</f>
        <v>37175</v>
      </c>
      <c r="B289" s="131" t="str">
        <f aca="false">INDEX('[4]Master Data'!$A$2:$B$8,MATCH(WEEKDAY('SC Gas MTM'!A289,3),'[4]Master Data'!$A$2:$A$8,0),2)</f>
        <v>Th</v>
      </c>
      <c r="D289" s="124" t="n">
        <v>0</v>
      </c>
      <c r="E289" s="124" t="n">
        <v>0</v>
      </c>
      <c r="F289" s="124" t="n">
        <v>0</v>
      </c>
      <c r="G289" s="124" t="n">
        <v>0</v>
      </c>
      <c r="I289" s="124" t="n">
        <f aca="false">IF(MONTH($A289)=MONTH($A288),IF(G289=0,I288,G289),G289)</f>
        <v>0</v>
      </c>
      <c r="J289" s="124" t="n">
        <f aca="false">IF(MONTH($A289)=MONTH($A288),SUM(I289-I288),I289)</f>
        <v>0</v>
      </c>
      <c r="K289" s="124" t="n">
        <f aca="false">IF(WEEKDAY(A289,3)&gt;4,0,(IF(A289&lt;K$2,0,IF(A289&lt;=K$3,1,0))))</f>
        <v>0</v>
      </c>
      <c r="L289" s="124" t="n">
        <f aca="false">J289*K289</f>
        <v>0</v>
      </c>
      <c r="M289" s="124" t="n">
        <f aca="false">SUM(J$280:J289)</f>
        <v>0</v>
      </c>
      <c r="N289" s="124" t="n">
        <f aca="false">SUM(J$6:J289)</f>
        <v>1197025</v>
      </c>
      <c r="P289" s="124" t="n">
        <f aca="false">D289/P$3</f>
        <v>0</v>
      </c>
      <c r="Q289" s="124" t="n">
        <f aca="false">E289/P$3</f>
        <v>0</v>
      </c>
      <c r="R289" s="124" t="n">
        <f aca="false">F289/R$3</f>
        <v>0</v>
      </c>
      <c r="S289" s="126" t="n">
        <f aca="false">J289/$R$3</f>
        <v>0</v>
      </c>
      <c r="T289" s="126" t="n">
        <f aca="false">L289/$R$3</f>
        <v>0</v>
      </c>
      <c r="U289" s="126" t="n">
        <f aca="false">I289/$R$3</f>
        <v>0</v>
      </c>
      <c r="V289" s="126" t="n">
        <f aca="false">M289/$R$3</f>
        <v>0</v>
      </c>
      <c r="W289" s="126" t="n">
        <f aca="false">N289/$R$3</f>
        <v>1197.025</v>
      </c>
    </row>
    <row r="290" customFormat="false" ht="12.75" hidden="false" customHeight="false" outlineLevel="0" collapsed="false">
      <c r="A290" s="120" t="n">
        <f aca="false">A289+1</f>
        <v>37176</v>
      </c>
      <c r="B290" s="131" t="str">
        <f aca="false">INDEX('[4]Master Data'!$A$2:$B$8,MATCH(WEEKDAY('SC Gas MTM'!A290,3),'[4]Master Data'!$A$2:$A$8,0),2)</f>
        <v>F</v>
      </c>
      <c r="D290" s="124" t="n">
        <v>0</v>
      </c>
      <c r="E290" s="124" t="n">
        <v>0</v>
      </c>
      <c r="F290" s="124" t="n">
        <v>0</v>
      </c>
      <c r="G290" s="124" t="n">
        <v>0</v>
      </c>
      <c r="I290" s="124" t="n">
        <f aca="false">IF(MONTH($A290)=MONTH($A289),IF(G290=0,I289,G290),G290)</f>
        <v>0</v>
      </c>
      <c r="J290" s="124" t="n">
        <f aca="false">IF(MONTH($A290)=MONTH($A289),SUM(I290-I289),I290)</f>
        <v>0</v>
      </c>
      <c r="K290" s="124" t="n">
        <f aca="false">IF(WEEKDAY(A290,3)&gt;4,0,(IF(A290&lt;K$2,0,IF(A290&lt;=K$3,1,0))))</f>
        <v>0</v>
      </c>
      <c r="L290" s="124" t="n">
        <f aca="false">J290*K290</f>
        <v>0</v>
      </c>
      <c r="M290" s="124" t="n">
        <f aca="false">SUM(J$280:J290)</f>
        <v>0</v>
      </c>
      <c r="N290" s="124" t="n">
        <f aca="false">SUM(J$6:J290)</f>
        <v>1197025</v>
      </c>
      <c r="P290" s="124" t="n">
        <f aca="false">D290/P$3</f>
        <v>0</v>
      </c>
      <c r="Q290" s="124" t="n">
        <f aca="false">E290/P$3</f>
        <v>0</v>
      </c>
      <c r="R290" s="124" t="n">
        <f aca="false">F290/R$3</f>
        <v>0</v>
      </c>
      <c r="S290" s="126" t="n">
        <f aca="false">J290/$R$3</f>
        <v>0</v>
      </c>
      <c r="T290" s="126" t="n">
        <f aca="false">L290/$R$3</f>
        <v>0</v>
      </c>
      <c r="U290" s="126" t="n">
        <f aca="false">I290/$R$3</f>
        <v>0</v>
      </c>
      <c r="V290" s="126" t="n">
        <f aca="false">M290/$R$3</f>
        <v>0</v>
      </c>
      <c r="W290" s="126" t="n">
        <f aca="false">N290/$R$3</f>
        <v>1197.025</v>
      </c>
    </row>
    <row r="291" customFormat="false" ht="12.75" hidden="false" customHeight="false" outlineLevel="0" collapsed="false">
      <c r="A291" s="120" t="n">
        <f aca="false">A290+1</f>
        <v>37177</v>
      </c>
      <c r="B291" s="131" t="str">
        <f aca="false">INDEX('[4]Master Data'!$A$2:$B$8,MATCH(WEEKDAY('SC Gas MTM'!A291,3),'[4]Master Data'!$A$2:$A$8,0),2)</f>
        <v>Sa</v>
      </c>
      <c r="D291" s="124" t="n">
        <v>0</v>
      </c>
      <c r="E291" s="124" t="n">
        <v>0</v>
      </c>
      <c r="F291" s="124" t="n">
        <v>0</v>
      </c>
      <c r="G291" s="124" t="n">
        <v>0</v>
      </c>
      <c r="I291" s="124" t="n">
        <f aca="false">IF(MONTH($A291)=MONTH($A290),IF(G291=0,I290,G291),G291)</f>
        <v>0</v>
      </c>
      <c r="J291" s="124" t="n">
        <f aca="false">IF(MONTH($A291)=MONTH($A290),SUM(I291-I290),I291)</f>
        <v>0</v>
      </c>
      <c r="K291" s="124" t="n">
        <f aca="false">IF(WEEKDAY(A291,3)&gt;4,0,(IF(A291&lt;K$2,0,IF(A291&lt;=K$3,1,0))))</f>
        <v>0</v>
      </c>
      <c r="L291" s="124" t="n">
        <f aca="false">J291*K291</f>
        <v>0</v>
      </c>
      <c r="M291" s="124" t="n">
        <f aca="false">SUM(J$280:J291)</f>
        <v>0</v>
      </c>
      <c r="N291" s="124" t="n">
        <f aca="false">SUM(J$6:J291)</f>
        <v>1197025</v>
      </c>
      <c r="P291" s="124" t="n">
        <f aca="false">D291/P$3</f>
        <v>0</v>
      </c>
      <c r="Q291" s="124" t="n">
        <f aca="false">E291/P$3</f>
        <v>0</v>
      </c>
      <c r="R291" s="124" t="n">
        <f aca="false">F291/R$3</f>
        <v>0</v>
      </c>
      <c r="S291" s="126" t="n">
        <f aca="false">J291/$R$3</f>
        <v>0</v>
      </c>
      <c r="T291" s="126" t="n">
        <f aca="false">L291/$R$3</f>
        <v>0</v>
      </c>
      <c r="U291" s="126" t="n">
        <f aca="false">I291/$R$3</f>
        <v>0</v>
      </c>
      <c r="V291" s="126" t="n">
        <f aca="false">M291/$R$3</f>
        <v>0</v>
      </c>
      <c r="W291" s="126" t="n">
        <f aca="false">N291/$R$3</f>
        <v>1197.025</v>
      </c>
    </row>
    <row r="292" customFormat="false" ht="12.75" hidden="false" customHeight="false" outlineLevel="0" collapsed="false">
      <c r="A292" s="120" t="n">
        <f aca="false">A291+1</f>
        <v>37178</v>
      </c>
      <c r="B292" s="131" t="str">
        <f aca="false">INDEX('[4]Master Data'!$A$2:$B$8,MATCH(WEEKDAY('SC Gas MTM'!A292,3),'[4]Master Data'!$A$2:$A$8,0),2)</f>
        <v>Su</v>
      </c>
      <c r="D292" s="124" t="n">
        <v>0</v>
      </c>
      <c r="E292" s="124" t="n">
        <v>0</v>
      </c>
      <c r="F292" s="124" t="n">
        <v>0</v>
      </c>
      <c r="G292" s="124" t="n">
        <v>0</v>
      </c>
      <c r="I292" s="124" t="n">
        <f aca="false">IF(MONTH($A292)=MONTH($A291),IF(G292=0,I291,G292),G292)</f>
        <v>0</v>
      </c>
      <c r="J292" s="124" t="n">
        <f aca="false">IF(MONTH($A292)=MONTH($A291),SUM(I292-I291),I292)</f>
        <v>0</v>
      </c>
      <c r="K292" s="124" t="n">
        <f aca="false">IF(WEEKDAY(A292,3)&gt;4,0,(IF(A292&lt;K$2,0,IF(A292&lt;=K$3,1,0))))</f>
        <v>0</v>
      </c>
      <c r="L292" s="124" t="n">
        <f aca="false">J292*K292</f>
        <v>0</v>
      </c>
      <c r="M292" s="124" t="n">
        <f aca="false">SUM(J$280:J292)</f>
        <v>0</v>
      </c>
      <c r="N292" s="124" t="n">
        <f aca="false">SUM(J$6:J292)</f>
        <v>1197025</v>
      </c>
      <c r="P292" s="124" t="n">
        <f aca="false">D292/P$3</f>
        <v>0</v>
      </c>
      <c r="Q292" s="124" t="n">
        <f aca="false">E292/P$3</f>
        <v>0</v>
      </c>
      <c r="R292" s="124" t="n">
        <f aca="false">F292/R$3</f>
        <v>0</v>
      </c>
      <c r="S292" s="126" t="n">
        <f aca="false">J292/$R$3</f>
        <v>0</v>
      </c>
      <c r="T292" s="126" t="n">
        <f aca="false">L292/$R$3</f>
        <v>0</v>
      </c>
      <c r="U292" s="126" t="n">
        <f aca="false">I292/$R$3</f>
        <v>0</v>
      </c>
      <c r="V292" s="126" t="n">
        <f aca="false">M292/$R$3</f>
        <v>0</v>
      </c>
      <c r="W292" s="126" t="n">
        <f aca="false">N292/$R$3</f>
        <v>1197.025</v>
      </c>
    </row>
    <row r="293" customFormat="false" ht="12.75" hidden="false" customHeight="false" outlineLevel="0" collapsed="false">
      <c r="A293" s="120" t="n">
        <f aca="false">A292+1</f>
        <v>37179</v>
      </c>
      <c r="B293" s="131" t="str">
        <f aca="false">INDEX('[4]Master Data'!$A$2:$B$8,MATCH(WEEKDAY('SC Gas MTM'!A293,3),'[4]Master Data'!$A$2:$A$8,0),2)</f>
        <v>M</v>
      </c>
      <c r="D293" s="124" t="n">
        <v>0</v>
      </c>
      <c r="E293" s="124" t="n">
        <v>0</v>
      </c>
      <c r="F293" s="124" t="n">
        <v>0</v>
      </c>
      <c r="G293" s="124" t="n">
        <v>0</v>
      </c>
      <c r="I293" s="124" t="n">
        <f aca="false">IF(MONTH($A293)=MONTH($A292),IF(G293=0,I292,G293),G293)</f>
        <v>0</v>
      </c>
      <c r="J293" s="124" t="n">
        <f aca="false">IF(MONTH($A293)=MONTH($A292),SUM(I293-I292),I293)</f>
        <v>0</v>
      </c>
      <c r="K293" s="124" t="n">
        <f aca="false">IF(WEEKDAY(A293,3)&gt;4,0,(IF(A293&lt;K$2,0,IF(A293&lt;=K$3,1,0))))</f>
        <v>0</v>
      </c>
      <c r="L293" s="124" t="n">
        <f aca="false">J293*K293</f>
        <v>0</v>
      </c>
      <c r="M293" s="124" t="n">
        <f aca="false">SUM(J$280:J293)</f>
        <v>0</v>
      </c>
      <c r="N293" s="124" t="n">
        <f aca="false">SUM(J$6:J293)</f>
        <v>1197025</v>
      </c>
      <c r="P293" s="124" t="n">
        <f aca="false">D293/P$3</f>
        <v>0</v>
      </c>
      <c r="Q293" s="124" t="n">
        <f aca="false">E293/P$3</f>
        <v>0</v>
      </c>
      <c r="R293" s="124" t="n">
        <f aca="false">F293/R$3</f>
        <v>0</v>
      </c>
      <c r="S293" s="126" t="n">
        <f aca="false">J293/$R$3</f>
        <v>0</v>
      </c>
      <c r="T293" s="126" t="n">
        <f aca="false">L293/$R$3</f>
        <v>0</v>
      </c>
      <c r="U293" s="126" t="n">
        <f aca="false">I293/$R$3</f>
        <v>0</v>
      </c>
      <c r="V293" s="126" t="n">
        <f aca="false">M293/$R$3</f>
        <v>0</v>
      </c>
      <c r="W293" s="126" t="n">
        <f aca="false">N293/$R$3</f>
        <v>1197.025</v>
      </c>
    </row>
    <row r="294" customFormat="false" ht="12.75" hidden="false" customHeight="false" outlineLevel="0" collapsed="false">
      <c r="A294" s="120" t="n">
        <f aca="false">A293+1</f>
        <v>37180</v>
      </c>
      <c r="B294" s="131" t="str">
        <f aca="false">INDEX('[4]Master Data'!$A$2:$B$8,MATCH(WEEKDAY('SC Gas MTM'!A294,3),'[4]Master Data'!$A$2:$A$8,0),2)</f>
        <v>T</v>
      </c>
      <c r="D294" s="124" t="n">
        <v>0</v>
      </c>
      <c r="E294" s="124" t="n">
        <v>0</v>
      </c>
      <c r="F294" s="124" t="n">
        <v>0</v>
      </c>
      <c r="G294" s="124" t="n">
        <v>0</v>
      </c>
      <c r="I294" s="124" t="n">
        <f aca="false">IF(MONTH($A294)=MONTH($A293),IF(G294=0,I293,G294),G294)</f>
        <v>0</v>
      </c>
      <c r="J294" s="124" t="n">
        <f aca="false">IF(MONTH($A294)=MONTH($A293),SUM(I294-I293),I294)</f>
        <v>0</v>
      </c>
      <c r="K294" s="124" t="n">
        <f aca="false">IF(WEEKDAY(A294,3)&gt;4,0,(IF(A294&lt;K$2,0,IF(A294&lt;=K$3,1,0))))</f>
        <v>0</v>
      </c>
      <c r="L294" s="124" t="n">
        <f aca="false">J294*K294</f>
        <v>0</v>
      </c>
      <c r="M294" s="124" t="n">
        <f aca="false">SUM(J$280:J294)</f>
        <v>0</v>
      </c>
      <c r="N294" s="124" t="n">
        <f aca="false">SUM(J$6:J294)</f>
        <v>1197025</v>
      </c>
      <c r="P294" s="124" t="n">
        <f aca="false">D294/P$3</f>
        <v>0</v>
      </c>
      <c r="Q294" s="124" t="n">
        <f aca="false">E294/P$3</f>
        <v>0</v>
      </c>
      <c r="R294" s="124" t="n">
        <f aca="false">F294/R$3</f>
        <v>0</v>
      </c>
      <c r="S294" s="126" t="n">
        <f aca="false">J294/$R$3</f>
        <v>0</v>
      </c>
      <c r="T294" s="126" t="n">
        <f aca="false">L294/$R$3</f>
        <v>0</v>
      </c>
      <c r="U294" s="126" t="n">
        <f aca="false">I294/$R$3</f>
        <v>0</v>
      </c>
      <c r="V294" s="126" t="n">
        <f aca="false">M294/$R$3</f>
        <v>0</v>
      </c>
      <c r="W294" s="126" t="n">
        <f aca="false">N294/$R$3</f>
        <v>1197.025</v>
      </c>
    </row>
    <row r="295" customFormat="false" ht="12.75" hidden="false" customHeight="false" outlineLevel="0" collapsed="false">
      <c r="A295" s="120" t="n">
        <f aca="false">A294+1</f>
        <v>37181</v>
      </c>
      <c r="B295" s="131" t="str">
        <f aca="false">INDEX('[4]Master Data'!$A$2:$B$8,MATCH(WEEKDAY('SC Gas MTM'!A295,3),'[4]Master Data'!$A$2:$A$8,0),2)</f>
        <v>W</v>
      </c>
      <c r="D295" s="124" t="n">
        <v>0</v>
      </c>
      <c r="E295" s="124" t="n">
        <v>0</v>
      </c>
      <c r="F295" s="124" t="n">
        <v>0</v>
      </c>
      <c r="G295" s="124" t="n">
        <v>0</v>
      </c>
      <c r="I295" s="124" t="n">
        <f aca="false">IF(MONTH($A295)=MONTH($A294),IF(G295=0,I294,G295),G295)</f>
        <v>0</v>
      </c>
      <c r="J295" s="124" t="n">
        <f aca="false">IF(MONTH($A295)=MONTH($A294),SUM(I295-I294),I295)</f>
        <v>0</v>
      </c>
      <c r="K295" s="124" t="n">
        <f aca="false">IF(WEEKDAY(A295,3)&gt;4,0,(IF(A295&lt;K$2,0,IF(A295&lt;=K$3,1,0))))</f>
        <v>0</v>
      </c>
      <c r="L295" s="124" t="n">
        <f aca="false">J295*K295</f>
        <v>0</v>
      </c>
      <c r="M295" s="124" t="n">
        <f aca="false">SUM(J$280:J295)</f>
        <v>0</v>
      </c>
      <c r="N295" s="124" t="n">
        <f aca="false">SUM(J$6:J295)</f>
        <v>1197025</v>
      </c>
      <c r="P295" s="124" t="n">
        <f aca="false">D295/P$3</f>
        <v>0</v>
      </c>
      <c r="Q295" s="124" t="n">
        <f aca="false">E295/P$3</f>
        <v>0</v>
      </c>
      <c r="R295" s="124" t="n">
        <f aca="false">F295/R$3</f>
        <v>0</v>
      </c>
      <c r="S295" s="126" t="n">
        <f aca="false">J295/$R$3</f>
        <v>0</v>
      </c>
      <c r="T295" s="126" t="n">
        <f aca="false">L295/$R$3</f>
        <v>0</v>
      </c>
      <c r="U295" s="126" t="n">
        <f aca="false">I295/$R$3</f>
        <v>0</v>
      </c>
      <c r="V295" s="126" t="n">
        <f aca="false">M295/$R$3</f>
        <v>0</v>
      </c>
      <c r="W295" s="126" t="n">
        <f aca="false">N295/$R$3</f>
        <v>1197.025</v>
      </c>
    </row>
    <row r="296" customFormat="false" ht="12.75" hidden="false" customHeight="false" outlineLevel="0" collapsed="false">
      <c r="A296" s="120" t="n">
        <f aca="false">A295+1</f>
        <v>37182</v>
      </c>
      <c r="B296" s="131" t="str">
        <f aca="false">INDEX('[4]Master Data'!$A$2:$B$8,MATCH(WEEKDAY('SC Gas MTM'!A296,3),'[4]Master Data'!$A$2:$A$8,0),2)</f>
        <v>Th</v>
      </c>
      <c r="D296" s="124" t="n">
        <v>0</v>
      </c>
      <c r="E296" s="124" t="n">
        <v>0</v>
      </c>
      <c r="F296" s="124" t="n">
        <v>0</v>
      </c>
      <c r="G296" s="124" t="n">
        <v>0</v>
      </c>
      <c r="I296" s="124" t="n">
        <f aca="false">IF(MONTH($A296)=MONTH($A295),IF(G296=0,I295,G296),G296)</f>
        <v>0</v>
      </c>
      <c r="J296" s="124" t="n">
        <f aca="false">IF(MONTH($A296)=MONTH($A295),SUM(I296-I295),I296)</f>
        <v>0</v>
      </c>
      <c r="K296" s="124" t="n">
        <f aca="false">IF(WEEKDAY(A296,3)&gt;4,0,(IF(A296&lt;K$2,0,IF(A296&lt;=K$3,1,0))))</f>
        <v>0</v>
      </c>
      <c r="L296" s="124" t="n">
        <f aca="false">J296*K296</f>
        <v>0</v>
      </c>
      <c r="M296" s="124" t="n">
        <f aca="false">SUM(J$280:J296)</f>
        <v>0</v>
      </c>
      <c r="N296" s="124" t="n">
        <f aca="false">SUM(J$6:J296)</f>
        <v>1197025</v>
      </c>
      <c r="P296" s="124" t="n">
        <f aca="false">D296/P$3</f>
        <v>0</v>
      </c>
      <c r="Q296" s="124" t="n">
        <f aca="false">E296/P$3</f>
        <v>0</v>
      </c>
      <c r="R296" s="124" t="n">
        <f aca="false">F296/R$3</f>
        <v>0</v>
      </c>
      <c r="S296" s="126" t="n">
        <f aca="false">J296/$R$3</f>
        <v>0</v>
      </c>
      <c r="T296" s="126" t="n">
        <f aca="false">L296/$R$3</f>
        <v>0</v>
      </c>
      <c r="U296" s="126" t="n">
        <f aca="false">I296/$R$3</f>
        <v>0</v>
      </c>
      <c r="V296" s="126" t="n">
        <f aca="false">M296/$R$3</f>
        <v>0</v>
      </c>
      <c r="W296" s="126" t="n">
        <f aca="false">N296/$R$3</f>
        <v>1197.025</v>
      </c>
    </row>
    <row r="297" customFormat="false" ht="12.75" hidden="false" customHeight="false" outlineLevel="0" collapsed="false">
      <c r="A297" s="120" t="n">
        <f aca="false">A296+1</f>
        <v>37183</v>
      </c>
      <c r="B297" s="131" t="str">
        <f aca="false">INDEX('[4]Master Data'!$A$2:$B$8,MATCH(WEEKDAY('SC Gas MTM'!A297,3),'[4]Master Data'!$A$2:$A$8,0),2)</f>
        <v>F</v>
      </c>
      <c r="D297" s="124" t="n">
        <v>0</v>
      </c>
      <c r="E297" s="124" t="n">
        <v>0</v>
      </c>
      <c r="F297" s="124" t="n">
        <v>0</v>
      </c>
      <c r="G297" s="124" t="n">
        <v>0</v>
      </c>
      <c r="I297" s="124" t="n">
        <f aca="false">IF(MONTH($A297)=MONTH($A296),IF(G297=0,I296,G297),G297)</f>
        <v>0</v>
      </c>
      <c r="J297" s="124" t="n">
        <f aca="false">IF(MONTH($A297)=MONTH($A296),SUM(I297-I296),I297)</f>
        <v>0</v>
      </c>
      <c r="K297" s="124" t="n">
        <f aca="false">IF(WEEKDAY(A297,3)&gt;4,0,(IF(A297&lt;K$2,0,IF(A297&lt;=K$3,1,0))))</f>
        <v>0</v>
      </c>
      <c r="L297" s="124" t="n">
        <f aca="false">J297*K297</f>
        <v>0</v>
      </c>
      <c r="M297" s="124" t="n">
        <f aca="false">SUM(J$280:J297)</f>
        <v>0</v>
      </c>
      <c r="N297" s="124" t="n">
        <f aca="false">SUM(J$6:J297)</f>
        <v>1197025</v>
      </c>
      <c r="P297" s="124" t="n">
        <f aca="false">D297/P$3</f>
        <v>0</v>
      </c>
      <c r="Q297" s="124" t="n">
        <f aca="false">E297/P$3</f>
        <v>0</v>
      </c>
      <c r="R297" s="124" t="n">
        <f aca="false">F297/R$3</f>
        <v>0</v>
      </c>
      <c r="S297" s="126" t="n">
        <f aca="false">J297/$R$3</f>
        <v>0</v>
      </c>
      <c r="T297" s="126" t="n">
        <f aca="false">L297/$R$3</f>
        <v>0</v>
      </c>
      <c r="U297" s="126" t="n">
        <f aca="false">I297/$R$3</f>
        <v>0</v>
      </c>
      <c r="V297" s="126" t="n">
        <f aca="false">M297/$R$3</f>
        <v>0</v>
      </c>
      <c r="W297" s="126" t="n">
        <f aca="false">N297/$R$3</f>
        <v>1197.025</v>
      </c>
    </row>
    <row r="298" customFormat="false" ht="12.75" hidden="false" customHeight="false" outlineLevel="0" collapsed="false">
      <c r="A298" s="120" t="n">
        <f aca="false">A297+1</f>
        <v>37184</v>
      </c>
      <c r="B298" s="131" t="str">
        <f aca="false">INDEX('[4]Master Data'!$A$2:$B$8,MATCH(WEEKDAY('SC Gas MTM'!A298,3),'[4]Master Data'!$A$2:$A$8,0),2)</f>
        <v>Sa</v>
      </c>
      <c r="D298" s="124" t="n">
        <v>0</v>
      </c>
      <c r="E298" s="124" t="n">
        <v>0</v>
      </c>
      <c r="F298" s="124" t="n">
        <v>0</v>
      </c>
      <c r="G298" s="124" t="n">
        <v>0</v>
      </c>
      <c r="I298" s="124" t="n">
        <f aca="false">IF(MONTH($A298)=MONTH($A297),IF(G298=0,I297,G298),G298)</f>
        <v>0</v>
      </c>
      <c r="J298" s="124" t="n">
        <f aca="false">IF(MONTH($A298)=MONTH($A297),SUM(I298-I297),I298)</f>
        <v>0</v>
      </c>
      <c r="K298" s="124" t="n">
        <f aca="false">IF(WEEKDAY(A298,3)&gt;4,0,(IF(A298&lt;K$2,0,IF(A298&lt;=K$3,1,0))))</f>
        <v>0</v>
      </c>
      <c r="L298" s="124" t="n">
        <f aca="false">J298*K298</f>
        <v>0</v>
      </c>
      <c r="M298" s="124" t="n">
        <f aca="false">SUM(J$280:J298)</f>
        <v>0</v>
      </c>
      <c r="N298" s="124" t="n">
        <f aca="false">SUM(J$6:J298)</f>
        <v>1197025</v>
      </c>
      <c r="P298" s="124" t="n">
        <f aca="false">D298/P$3</f>
        <v>0</v>
      </c>
      <c r="Q298" s="124" t="n">
        <f aca="false">E298/P$3</f>
        <v>0</v>
      </c>
      <c r="R298" s="124" t="n">
        <f aca="false">F298/R$3</f>
        <v>0</v>
      </c>
      <c r="S298" s="126" t="n">
        <f aca="false">J298/$R$3</f>
        <v>0</v>
      </c>
      <c r="T298" s="126" t="n">
        <f aca="false">L298/$R$3</f>
        <v>0</v>
      </c>
      <c r="U298" s="126" t="n">
        <f aca="false">I298/$R$3</f>
        <v>0</v>
      </c>
      <c r="V298" s="126" t="n">
        <f aca="false">M298/$R$3</f>
        <v>0</v>
      </c>
      <c r="W298" s="126" t="n">
        <f aca="false">N298/$R$3</f>
        <v>1197.025</v>
      </c>
    </row>
    <row r="299" customFormat="false" ht="12.75" hidden="false" customHeight="false" outlineLevel="0" collapsed="false">
      <c r="A299" s="120" t="n">
        <f aca="false">A298+1</f>
        <v>37185</v>
      </c>
      <c r="B299" s="131" t="str">
        <f aca="false">INDEX('[4]Master Data'!$A$2:$B$8,MATCH(WEEKDAY('SC Gas MTM'!A299,3),'[4]Master Data'!$A$2:$A$8,0),2)</f>
        <v>Su</v>
      </c>
      <c r="D299" s="124" t="n">
        <v>0</v>
      </c>
      <c r="E299" s="124" t="n">
        <v>0</v>
      </c>
      <c r="F299" s="124" t="n">
        <v>0</v>
      </c>
      <c r="G299" s="124" t="n">
        <v>0</v>
      </c>
      <c r="I299" s="124" t="n">
        <f aca="false">IF(MONTH($A299)=MONTH($A298),IF(G299=0,I298,G299),G299)</f>
        <v>0</v>
      </c>
      <c r="J299" s="124" t="n">
        <f aca="false">IF(MONTH($A299)=MONTH($A298),SUM(I299-I298),I299)</f>
        <v>0</v>
      </c>
      <c r="K299" s="124" t="n">
        <f aca="false">IF(WEEKDAY(A299,3)&gt;4,0,(IF(A299&lt;K$2,0,IF(A299&lt;=K$3,1,0))))</f>
        <v>0</v>
      </c>
      <c r="L299" s="124" t="n">
        <f aca="false">J299*K299</f>
        <v>0</v>
      </c>
      <c r="M299" s="124" t="n">
        <f aca="false">SUM(J$280:J299)</f>
        <v>0</v>
      </c>
      <c r="N299" s="124" t="n">
        <f aca="false">SUM(J$6:J299)</f>
        <v>1197025</v>
      </c>
      <c r="P299" s="124" t="n">
        <f aca="false">D299/P$3</f>
        <v>0</v>
      </c>
      <c r="Q299" s="124" t="n">
        <f aca="false">E299/P$3</f>
        <v>0</v>
      </c>
      <c r="R299" s="124" t="n">
        <f aca="false">F299/R$3</f>
        <v>0</v>
      </c>
      <c r="S299" s="126" t="n">
        <f aca="false">J299/$R$3</f>
        <v>0</v>
      </c>
      <c r="T299" s="126" t="n">
        <f aca="false">L299/$R$3</f>
        <v>0</v>
      </c>
      <c r="U299" s="126" t="n">
        <f aca="false">I299/$R$3</f>
        <v>0</v>
      </c>
      <c r="V299" s="126" t="n">
        <f aca="false">M299/$R$3</f>
        <v>0</v>
      </c>
      <c r="W299" s="126" t="n">
        <f aca="false">N299/$R$3</f>
        <v>1197.025</v>
      </c>
    </row>
    <row r="300" customFormat="false" ht="12.75" hidden="false" customHeight="false" outlineLevel="0" collapsed="false">
      <c r="A300" s="120" t="n">
        <f aca="false">A299+1</f>
        <v>37186</v>
      </c>
      <c r="B300" s="131" t="str">
        <f aca="false">INDEX('[4]Master Data'!$A$2:$B$8,MATCH(WEEKDAY('SC Gas MTM'!A300,3),'[4]Master Data'!$A$2:$A$8,0),2)</f>
        <v>M</v>
      </c>
      <c r="D300" s="124" t="n">
        <v>0</v>
      </c>
      <c r="E300" s="124" t="n">
        <v>0</v>
      </c>
      <c r="F300" s="124" t="n">
        <v>0</v>
      </c>
      <c r="G300" s="124" t="n">
        <v>0</v>
      </c>
      <c r="I300" s="124" t="n">
        <f aca="false">IF(MONTH($A300)=MONTH($A299),IF(G300=0,I299,G300),G300)</f>
        <v>0</v>
      </c>
      <c r="J300" s="124" t="n">
        <f aca="false">IF(MONTH($A300)=MONTH($A299),SUM(I300-I299),I300)</f>
        <v>0</v>
      </c>
      <c r="K300" s="124" t="n">
        <f aca="false">IF(WEEKDAY(A300,3)&gt;4,0,(IF(A300&lt;K$2,0,IF(A300&lt;=K$3,1,0))))</f>
        <v>0</v>
      </c>
      <c r="L300" s="124" t="n">
        <f aca="false">J300*K300</f>
        <v>0</v>
      </c>
      <c r="M300" s="124" t="n">
        <f aca="false">SUM(J$280:J300)</f>
        <v>0</v>
      </c>
      <c r="N300" s="124" t="n">
        <f aca="false">SUM(J$6:J300)</f>
        <v>1197025</v>
      </c>
      <c r="P300" s="124" t="n">
        <f aca="false">D300/P$3</f>
        <v>0</v>
      </c>
      <c r="Q300" s="124" t="n">
        <f aca="false">E300/P$3</f>
        <v>0</v>
      </c>
      <c r="R300" s="124" t="n">
        <f aca="false">F300/R$3</f>
        <v>0</v>
      </c>
      <c r="S300" s="126" t="n">
        <f aca="false">J300/$R$3</f>
        <v>0</v>
      </c>
      <c r="T300" s="126" t="n">
        <f aca="false">L300/$R$3</f>
        <v>0</v>
      </c>
      <c r="U300" s="126" t="n">
        <f aca="false">I300/$R$3</f>
        <v>0</v>
      </c>
      <c r="V300" s="126" t="n">
        <f aca="false">M300/$R$3</f>
        <v>0</v>
      </c>
      <c r="W300" s="126" t="n">
        <f aca="false">N300/$R$3</f>
        <v>1197.025</v>
      </c>
    </row>
    <row r="301" customFormat="false" ht="12.75" hidden="false" customHeight="false" outlineLevel="0" collapsed="false">
      <c r="A301" s="120" t="n">
        <f aca="false">A300+1</f>
        <v>37187</v>
      </c>
      <c r="B301" s="131" t="str">
        <f aca="false">INDEX('[4]Master Data'!$A$2:$B$8,MATCH(WEEKDAY('SC Gas MTM'!A301,3),'[4]Master Data'!$A$2:$A$8,0),2)</f>
        <v>T</v>
      </c>
      <c r="D301" s="124" t="n">
        <v>0</v>
      </c>
      <c r="E301" s="124" t="n">
        <v>0</v>
      </c>
      <c r="F301" s="124" t="n">
        <v>0</v>
      </c>
      <c r="G301" s="124" t="n">
        <v>0</v>
      </c>
      <c r="I301" s="124" t="n">
        <f aca="false">IF(MONTH($A301)=MONTH($A300),IF(G301=0,I300,G301),G301)</f>
        <v>0</v>
      </c>
      <c r="J301" s="124" t="n">
        <f aca="false">IF(MONTH($A301)=MONTH($A300),SUM(I301-I300),I301)</f>
        <v>0</v>
      </c>
      <c r="K301" s="124" t="n">
        <f aca="false">IF(WEEKDAY(A301,3)&gt;4,0,(IF(A301&lt;K$2,0,IF(A301&lt;=K$3,1,0))))</f>
        <v>0</v>
      </c>
      <c r="L301" s="124" t="n">
        <f aca="false">J301*K301</f>
        <v>0</v>
      </c>
      <c r="M301" s="124" t="n">
        <f aca="false">SUM(J$280:J301)</f>
        <v>0</v>
      </c>
      <c r="N301" s="124" t="n">
        <f aca="false">SUM(J$6:J301)</f>
        <v>1197025</v>
      </c>
      <c r="P301" s="124" t="n">
        <f aca="false">D301/P$3</f>
        <v>0</v>
      </c>
      <c r="Q301" s="124" t="n">
        <f aca="false">E301/P$3</f>
        <v>0</v>
      </c>
      <c r="R301" s="124" t="n">
        <f aca="false">F301/R$3</f>
        <v>0</v>
      </c>
      <c r="S301" s="126" t="n">
        <f aca="false">J301/$R$3</f>
        <v>0</v>
      </c>
      <c r="T301" s="126" t="n">
        <f aca="false">L301/$R$3</f>
        <v>0</v>
      </c>
      <c r="U301" s="126" t="n">
        <f aca="false">I301/$R$3</f>
        <v>0</v>
      </c>
      <c r="V301" s="126" t="n">
        <f aca="false">M301/$R$3</f>
        <v>0</v>
      </c>
      <c r="W301" s="126" t="n">
        <f aca="false">N301/$R$3</f>
        <v>1197.025</v>
      </c>
    </row>
    <row r="302" customFormat="false" ht="12.75" hidden="false" customHeight="false" outlineLevel="0" collapsed="false">
      <c r="A302" s="120" t="n">
        <f aca="false">A301+1</f>
        <v>37188</v>
      </c>
      <c r="B302" s="131" t="str">
        <f aca="false">INDEX('[4]Master Data'!$A$2:$B$8,MATCH(WEEKDAY('SC Gas MTM'!A302,3),'[4]Master Data'!$A$2:$A$8,0),2)</f>
        <v>W</v>
      </c>
      <c r="D302" s="124" t="n">
        <v>0</v>
      </c>
      <c r="E302" s="124" t="n">
        <v>0</v>
      </c>
      <c r="F302" s="124" t="n">
        <v>0</v>
      </c>
      <c r="G302" s="124" t="n">
        <v>0</v>
      </c>
      <c r="I302" s="124" t="n">
        <f aca="false">IF(MONTH($A302)=MONTH($A301),IF(G302=0,I301,G302),G302)</f>
        <v>0</v>
      </c>
      <c r="J302" s="124" t="n">
        <f aca="false">IF(MONTH($A302)=MONTH($A301),SUM(I302-I301),I302)</f>
        <v>0</v>
      </c>
      <c r="K302" s="124" t="n">
        <f aca="false">IF(WEEKDAY(A302,3)&gt;4,0,(IF(A302&lt;K$2,0,IF(A302&lt;=K$3,1,0))))</f>
        <v>0</v>
      </c>
      <c r="L302" s="124" t="n">
        <f aca="false">J302*K302</f>
        <v>0</v>
      </c>
      <c r="M302" s="124" t="n">
        <f aca="false">SUM(J$280:J302)</f>
        <v>0</v>
      </c>
      <c r="N302" s="124" t="n">
        <f aca="false">SUM(J$6:J302)</f>
        <v>1197025</v>
      </c>
      <c r="P302" s="124" t="n">
        <f aca="false">D302/P$3</f>
        <v>0</v>
      </c>
      <c r="Q302" s="124" t="n">
        <f aca="false">E302/P$3</f>
        <v>0</v>
      </c>
      <c r="R302" s="124" t="n">
        <f aca="false">F302/R$3</f>
        <v>0</v>
      </c>
      <c r="S302" s="126" t="n">
        <f aca="false">J302/$R$3</f>
        <v>0</v>
      </c>
      <c r="T302" s="126" t="n">
        <f aca="false">L302/$R$3</f>
        <v>0</v>
      </c>
      <c r="U302" s="126" t="n">
        <f aca="false">I302/$R$3</f>
        <v>0</v>
      </c>
      <c r="V302" s="126" t="n">
        <f aca="false">M302/$R$3</f>
        <v>0</v>
      </c>
      <c r="W302" s="126" t="n">
        <f aca="false">N302/$R$3</f>
        <v>1197.025</v>
      </c>
    </row>
    <row r="303" customFormat="false" ht="12.75" hidden="false" customHeight="false" outlineLevel="0" collapsed="false">
      <c r="A303" s="120" t="n">
        <f aca="false">A302+1</f>
        <v>37189</v>
      </c>
      <c r="B303" s="131" t="str">
        <f aca="false">INDEX('[4]Master Data'!$A$2:$B$8,MATCH(WEEKDAY('SC Gas MTM'!A303,3),'[4]Master Data'!$A$2:$A$8,0),2)</f>
        <v>Th</v>
      </c>
      <c r="D303" s="124" t="n">
        <v>0</v>
      </c>
      <c r="E303" s="124" t="n">
        <v>0</v>
      </c>
      <c r="F303" s="124" t="n">
        <v>0</v>
      </c>
      <c r="G303" s="124" t="n">
        <v>0</v>
      </c>
      <c r="I303" s="124" t="n">
        <f aca="false">IF(MONTH($A303)=MONTH($A302),IF(G303=0,I302,G303),G303)</f>
        <v>0</v>
      </c>
      <c r="J303" s="124" t="n">
        <f aca="false">IF(MONTH($A303)=MONTH($A302),SUM(I303-I302),I303)</f>
        <v>0</v>
      </c>
      <c r="K303" s="124" t="n">
        <f aca="false">IF(WEEKDAY(A303,3)&gt;4,0,(IF(A303&lt;K$2,0,IF(A303&lt;=K$3,1,0))))</f>
        <v>0</v>
      </c>
      <c r="L303" s="124" t="n">
        <f aca="false">J303*K303</f>
        <v>0</v>
      </c>
      <c r="M303" s="124" t="n">
        <f aca="false">SUM(J$280:J303)</f>
        <v>0</v>
      </c>
      <c r="N303" s="124" t="n">
        <f aca="false">SUM(J$6:J303)</f>
        <v>1197025</v>
      </c>
      <c r="P303" s="124" t="n">
        <f aca="false">D303/P$3</f>
        <v>0</v>
      </c>
      <c r="Q303" s="124" t="n">
        <f aca="false">E303/P$3</f>
        <v>0</v>
      </c>
      <c r="R303" s="124" t="n">
        <f aca="false">F303/R$3</f>
        <v>0</v>
      </c>
      <c r="S303" s="126" t="n">
        <f aca="false">J303/$R$3</f>
        <v>0</v>
      </c>
      <c r="T303" s="126" t="n">
        <f aca="false">L303/$R$3</f>
        <v>0</v>
      </c>
      <c r="U303" s="126" t="n">
        <f aca="false">I303/$R$3</f>
        <v>0</v>
      </c>
      <c r="V303" s="126" t="n">
        <f aca="false">M303/$R$3</f>
        <v>0</v>
      </c>
      <c r="W303" s="126" t="n">
        <f aca="false">N303/$R$3</f>
        <v>1197.025</v>
      </c>
    </row>
    <row r="304" customFormat="false" ht="12.75" hidden="false" customHeight="false" outlineLevel="0" collapsed="false">
      <c r="A304" s="120" t="n">
        <f aca="false">A303+1</f>
        <v>37190</v>
      </c>
      <c r="B304" s="131" t="str">
        <f aca="false">INDEX('[4]Master Data'!$A$2:$B$8,MATCH(WEEKDAY('SC Gas MTM'!A304,3),'[4]Master Data'!$A$2:$A$8,0),2)</f>
        <v>F</v>
      </c>
      <c r="D304" s="124" t="n">
        <v>0</v>
      </c>
      <c r="E304" s="124" t="n">
        <v>0</v>
      </c>
      <c r="F304" s="124" t="n">
        <v>0</v>
      </c>
      <c r="G304" s="124" t="n">
        <v>0</v>
      </c>
      <c r="I304" s="124" t="n">
        <f aca="false">IF(MONTH($A304)=MONTH($A303),IF(G304=0,I303,G304),G304)</f>
        <v>0</v>
      </c>
      <c r="J304" s="124" t="n">
        <f aca="false">IF(MONTH($A304)=MONTH($A303),SUM(I304-I303),I304)</f>
        <v>0</v>
      </c>
      <c r="K304" s="124" t="n">
        <f aca="false">IF(WEEKDAY(A304,3)&gt;4,0,(IF(A304&lt;K$2,0,IF(A304&lt;=K$3,1,0))))</f>
        <v>1</v>
      </c>
      <c r="L304" s="124" t="n">
        <f aca="false">J304*K304</f>
        <v>0</v>
      </c>
      <c r="M304" s="124" t="n">
        <f aca="false">SUM(J$280:J304)</f>
        <v>0</v>
      </c>
      <c r="N304" s="124" t="n">
        <f aca="false">SUM(J$6:J304)</f>
        <v>1197025</v>
      </c>
      <c r="P304" s="124" t="n">
        <f aca="false">D304/P$3</f>
        <v>0</v>
      </c>
      <c r="Q304" s="124" t="n">
        <f aca="false">E304/P$3</f>
        <v>0</v>
      </c>
      <c r="R304" s="124" t="n">
        <f aca="false">F304/R$3</f>
        <v>0</v>
      </c>
      <c r="S304" s="126" t="n">
        <f aca="false">J304/$R$3</f>
        <v>0</v>
      </c>
      <c r="T304" s="126" t="n">
        <f aca="false">L304/$R$3</f>
        <v>0</v>
      </c>
      <c r="U304" s="126" t="n">
        <f aca="false">I304/$R$3</f>
        <v>0</v>
      </c>
      <c r="V304" s="126" t="n">
        <f aca="false">M304/$R$3</f>
        <v>0</v>
      </c>
      <c r="W304" s="126" t="n">
        <f aca="false">N304/$R$3</f>
        <v>1197.025</v>
      </c>
    </row>
    <row r="305" customFormat="false" ht="12.75" hidden="false" customHeight="false" outlineLevel="0" collapsed="false">
      <c r="A305" s="120" t="n">
        <f aca="false">A304+1</f>
        <v>37191</v>
      </c>
      <c r="B305" s="131" t="str">
        <f aca="false">INDEX('[4]Master Data'!$A$2:$B$8,MATCH(WEEKDAY('SC Gas MTM'!A305,3),'[4]Master Data'!$A$2:$A$8,0),2)</f>
        <v>Sa</v>
      </c>
      <c r="D305" s="124" t="n">
        <v>0</v>
      </c>
      <c r="E305" s="124" t="n">
        <v>0</v>
      </c>
      <c r="F305" s="124" t="n">
        <v>0</v>
      </c>
      <c r="G305" s="124" t="n">
        <v>0</v>
      </c>
      <c r="I305" s="124" t="n">
        <f aca="false">IF(MONTH($A305)=MONTH($A304),IF(G305=0,I304,G305),G305)</f>
        <v>0</v>
      </c>
      <c r="J305" s="124" t="n">
        <f aca="false">IF(MONTH($A305)=MONTH($A304),SUM(I305-I304),I305)</f>
        <v>0</v>
      </c>
      <c r="K305" s="124" t="n">
        <f aca="false">IF(WEEKDAY(A305,3)&gt;4,0,(IF(A305&lt;K$2,0,IF(A305&lt;=K$3,1,0))))</f>
        <v>0</v>
      </c>
      <c r="L305" s="124" t="n">
        <f aca="false">J305*K305</f>
        <v>0</v>
      </c>
      <c r="M305" s="124" t="n">
        <f aca="false">SUM(J$280:J305)</f>
        <v>0</v>
      </c>
      <c r="N305" s="124" t="n">
        <f aca="false">SUM(J$6:J305)</f>
        <v>1197025</v>
      </c>
      <c r="P305" s="124" t="n">
        <f aca="false">D305/P$3</f>
        <v>0</v>
      </c>
      <c r="Q305" s="124" t="n">
        <f aca="false">E305/P$3</f>
        <v>0</v>
      </c>
      <c r="R305" s="124" t="n">
        <f aca="false">F305/R$3</f>
        <v>0</v>
      </c>
      <c r="S305" s="126" t="n">
        <f aca="false">J305/$R$3</f>
        <v>0</v>
      </c>
      <c r="T305" s="126" t="n">
        <f aca="false">L305/$R$3</f>
        <v>0</v>
      </c>
      <c r="U305" s="126" t="n">
        <f aca="false">I305/$R$3</f>
        <v>0</v>
      </c>
      <c r="V305" s="126" t="n">
        <f aca="false">M305/$R$3</f>
        <v>0</v>
      </c>
      <c r="W305" s="126" t="n">
        <f aca="false">N305/$R$3</f>
        <v>1197.025</v>
      </c>
    </row>
    <row r="306" customFormat="false" ht="12.75" hidden="false" customHeight="false" outlineLevel="0" collapsed="false">
      <c r="A306" s="120" t="n">
        <f aca="false">A305+1</f>
        <v>37192</v>
      </c>
      <c r="B306" s="131" t="str">
        <f aca="false">INDEX('[4]Master Data'!$A$2:$B$8,MATCH(WEEKDAY('SC Gas MTM'!A306,3),'[4]Master Data'!$A$2:$A$8,0),2)</f>
        <v>Su</v>
      </c>
      <c r="D306" s="124" t="n">
        <v>0</v>
      </c>
      <c r="E306" s="124" t="n">
        <v>0</v>
      </c>
      <c r="F306" s="124" t="n">
        <v>0</v>
      </c>
      <c r="G306" s="124" t="n">
        <v>0</v>
      </c>
      <c r="I306" s="124" t="n">
        <f aca="false">IF(MONTH($A306)=MONTH($A305),IF(G306=0,I305,G306),G306)</f>
        <v>0</v>
      </c>
      <c r="J306" s="124" t="n">
        <f aca="false">IF(MONTH($A306)=MONTH($A305),SUM(I306-I305),I306)</f>
        <v>0</v>
      </c>
      <c r="K306" s="124" t="n">
        <f aca="false">IF(WEEKDAY(A306,3)&gt;4,0,(IF(A306&lt;K$2,0,IF(A306&lt;=K$3,1,0))))</f>
        <v>0</v>
      </c>
      <c r="L306" s="124" t="n">
        <f aca="false">J306*K306</f>
        <v>0</v>
      </c>
      <c r="M306" s="124" t="n">
        <f aca="false">SUM(J$280:J306)</f>
        <v>0</v>
      </c>
      <c r="N306" s="124" t="n">
        <f aca="false">SUM(J$6:J306)</f>
        <v>1197025</v>
      </c>
      <c r="P306" s="124" t="n">
        <f aca="false">D306/P$3</f>
        <v>0</v>
      </c>
      <c r="Q306" s="124" t="n">
        <f aca="false">E306/P$3</f>
        <v>0</v>
      </c>
      <c r="R306" s="124" t="n">
        <f aca="false">F306/R$3</f>
        <v>0</v>
      </c>
      <c r="S306" s="126" t="n">
        <f aca="false">J306/$R$3</f>
        <v>0</v>
      </c>
      <c r="T306" s="126" t="n">
        <f aca="false">L306/$R$3</f>
        <v>0</v>
      </c>
      <c r="U306" s="126" t="n">
        <f aca="false">I306/$R$3</f>
        <v>0</v>
      </c>
      <c r="V306" s="126" t="n">
        <f aca="false">M306/$R$3</f>
        <v>0</v>
      </c>
      <c r="W306" s="126" t="n">
        <f aca="false">N306/$R$3</f>
        <v>1197.025</v>
      </c>
    </row>
    <row r="307" customFormat="false" ht="12.75" hidden="false" customHeight="false" outlineLevel="0" collapsed="false">
      <c r="A307" s="120" t="n">
        <f aca="false">A306+1</f>
        <v>37193</v>
      </c>
      <c r="B307" s="131" t="str">
        <f aca="false">INDEX('[4]Master Data'!$A$2:$B$8,MATCH(WEEKDAY('SC Gas MTM'!A307,3),'[4]Master Data'!$A$2:$A$8,0),2)</f>
        <v>M</v>
      </c>
      <c r="D307" s="124" t="n">
        <v>0</v>
      </c>
      <c r="E307" s="124" t="n">
        <v>0</v>
      </c>
      <c r="F307" s="124" t="n">
        <v>0</v>
      </c>
      <c r="G307" s="124" t="n">
        <v>0</v>
      </c>
      <c r="I307" s="124" t="n">
        <f aca="false">IF(MONTH($A307)=MONTH($A306),IF(G307=0,I306,G307),G307)</f>
        <v>0</v>
      </c>
      <c r="J307" s="124" t="n">
        <f aca="false">IF(MONTH($A307)=MONTH($A306),SUM(I307-I306),I307)</f>
        <v>0</v>
      </c>
      <c r="K307" s="124" t="n">
        <f aca="false">IF(WEEKDAY(A307,3)&gt;4,0,(IF(A307&lt;K$2,0,IF(A307&lt;=K$3,1,0))))</f>
        <v>1</v>
      </c>
      <c r="L307" s="124" t="n">
        <f aca="false">J307*K307</f>
        <v>0</v>
      </c>
      <c r="M307" s="124" t="n">
        <f aca="false">SUM(J$280:J307)</f>
        <v>0</v>
      </c>
      <c r="N307" s="124" t="n">
        <f aca="false">SUM(J$6:J307)</f>
        <v>1197025</v>
      </c>
      <c r="P307" s="124" t="n">
        <f aca="false">D307/P$3</f>
        <v>0</v>
      </c>
      <c r="Q307" s="124" t="n">
        <f aca="false">E307/P$3</f>
        <v>0</v>
      </c>
      <c r="R307" s="124" t="n">
        <f aca="false">F307/R$3</f>
        <v>0</v>
      </c>
      <c r="S307" s="126" t="n">
        <f aca="false">J307/$R$3</f>
        <v>0</v>
      </c>
      <c r="T307" s="126" t="n">
        <f aca="false">L307/$R$3</f>
        <v>0</v>
      </c>
      <c r="U307" s="126" t="n">
        <f aca="false">I307/$R$3</f>
        <v>0</v>
      </c>
      <c r="V307" s="126" t="n">
        <f aca="false">M307/$R$3</f>
        <v>0</v>
      </c>
      <c r="W307" s="126" t="n">
        <f aca="false">N307/$R$3</f>
        <v>1197.025</v>
      </c>
    </row>
    <row r="308" customFormat="false" ht="12.75" hidden="false" customHeight="false" outlineLevel="0" collapsed="false">
      <c r="A308" s="120" t="n">
        <f aca="false">A307+1</f>
        <v>37194</v>
      </c>
      <c r="B308" s="131" t="str">
        <f aca="false">INDEX('[4]Master Data'!$A$2:$B$8,MATCH(WEEKDAY('SC Gas MTM'!A308,3),'[4]Master Data'!$A$2:$A$8,0),2)</f>
        <v>T</v>
      </c>
      <c r="D308" s="124" t="n">
        <v>0</v>
      </c>
      <c r="E308" s="124" t="n">
        <v>0</v>
      </c>
      <c r="F308" s="124" t="n">
        <v>0</v>
      </c>
      <c r="G308" s="124" t="n">
        <v>0</v>
      </c>
      <c r="I308" s="124" t="n">
        <f aca="false">IF(MONTH($A308)=MONTH($A307),IF(G308=0,I307,G308),G308)</f>
        <v>0</v>
      </c>
      <c r="J308" s="124" t="n">
        <f aca="false">IF(MONTH($A308)=MONTH($A307),SUM(I308-I307),I308)</f>
        <v>0</v>
      </c>
      <c r="K308" s="124" t="n">
        <f aca="false">IF(WEEKDAY(A308,3)&gt;4,0,(IF(A308&lt;K$2,0,IF(A308&lt;=K$3,1,0))))</f>
        <v>1</v>
      </c>
      <c r="L308" s="124" t="n">
        <f aca="false">J308*K308</f>
        <v>0</v>
      </c>
      <c r="M308" s="124" t="n">
        <f aca="false">SUM(J$280:J308)</f>
        <v>0</v>
      </c>
      <c r="N308" s="124" t="n">
        <f aca="false">SUM(J$6:J308)</f>
        <v>1197025</v>
      </c>
      <c r="P308" s="124" t="n">
        <f aca="false">D308/P$3</f>
        <v>0</v>
      </c>
      <c r="Q308" s="124" t="n">
        <f aca="false">E308/P$3</f>
        <v>0</v>
      </c>
      <c r="R308" s="124" t="n">
        <f aca="false">F308/R$3</f>
        <v>0</v>
      </c>
      <c r="S308" s="126" t="n">
        <f aca="false">J308/$R$3</f>
        <v>0</v>
      </c>
      <c r="T308" s="126" t="n">
        <f aca="false">L308/$R$3</f>
        <v>0</v>
      </c>
      <c r="U308" s="126" t="n">
        <f aca="false">I308/$R$3</f>
        <v>0</v>
      </c>
      <c r="V308" s="126" t="n">
        <f aca="false">M308/$R$3</f>
        <v>0</v>
      </c>
      <c r="W308" s="126" t="n">
        <f aca="false">N308/$R$3</f>
        <v>1197.025</v>
      </c>
    </row>
    <row r="309" customFormat="false" ht="12.75" hidden="false" customHeight="false" outlineLevel="0" collapsed="false">
      <c r="A309" s="120" t="n">
        <f aca="false">A308+1</f>
        <v>37195</v>
      </c>
      <c r="B309" s="131" t="str">
        <f aca="false">INDEX('[4]Master Data'!$A$2:$B$8,MATCH(WEEKDAY('SC Gas MTM'!A309,3),'[4]Master Data'!$A$2:$A$8,0),2)</f>
        <v>W</v>
      </c>
      <c r="D309" s="124" t="n">
        <v>0</v>
      </c>
      <c r="E309" s="124" t="n">
        <v>0</v>
      </c>
      <c r="F309" s="124" t="n">
        <v>0</v>
      </c>
      <c r="G309" s="124" t="n">
        <v>0</v>
      </c>
      <c r="I309" s="124" t="n">
        <f aca="false">IF(MONTH($A309)=MONTH($A308),IF(G309=0,I308,G309),G309)</f>
        <v>0</v>
      </c>
      <c r="J309" s="124" t="n">
        <f aca="false">IF(MONTH($A309)=MONTH($A308),SUM(I309-I308),I309)</f>
        <v>0</v>
      </c>
      <c r="K309" s="124" t="n">
        <f aca="false">IF(WEEKDAY(A309,3)&gt;4,0,(IF(A309&lt;K$2,0,IF(A309&lt;=K$3,1,0))))</f>
        <v>1</v>
      </c>
      <c r="L309" s="124" t="n">
        <f aca="false">J309*K309</f>
        <v>0</v>
      </c>
      <c r="M309" s="124" t="n">
        <f aca="false">SUM(J$280:J309)</f>
        <v>0</v>
      </c>
      <c r="N309" s="124" t="n">
        <f aca="false">SUM(J$6:J309)</f>
        <v>1197025</v>
      </c>
      <c r="P309" s="124" t="n">
        <f aca="false">D309/P$3</f>
        <v>0</v>
      </c>
      <c r="Q309" s="124" t="n">
        <f aca="false">E309/P$3</f>
        <v>0</v>
      </c>
      <c r="R309" s="124" t="n">
        <f aca="false">F309/R$3</f>
        <v>0</v>
      </c>
      <c r="S309" s="126" t="n">
        <f aca="false">J309/$R$3</f>
        <v>0</v>
      </c>
      <c r="T309" s="126" t="n">
        <f aca="false">L309/$R$3</f>
        <v>0</v>
      </c>
      <c r="U309" s="126" t="n">
        <f aca="false">I309/$R$3</f>
        <v>0</v>
      </c>
      <c r="V309" s="126" t="n">
        <f aca="false">M309/$R$3</f>
        <v>0</v>
      </c>
      <c r="W309" s="126" t="n">
        <f aca="false">N309/$R$3</f>
        <v>1197.025</v>
      </c>
    </row>
    <row r="310" customFormat="false" ht="12.75" hidden="false" customHeight="false" outlineLevel="0" collapsed="false">
      <c r="A310" s="120" t="n">
        <f aca="false">A309+1</f>
        <v>37196</v>
      </c>
      <c r="B310" s="131" t="str">
        <f aca="false">INDEX('[4]Master Data'!$A$2:$B$8,MATCH(WEEKDAY('SC Gas MTM'!A310,3),'[4]Master Data'!$A$2:$A$8,0),2)</f>
        <v>Th</v>
      </c>
      <c r="D310" s="124" t="n">
        <v>0</v>
      </c>
      <c r="E310" s="124" t="n">
        <v>0</v>
      </c>
      <c r="F310" s="124" t="n">
        <v>0</v>
      </c>
      <c r="G310" s="124" t="n">
        <v>0</v>
      </c>
      <c r="I310" s="124" t="n">
        <f aca="false">IF(MONTH($A310)=MONTH($A309),IF(G310=0,I309,G310),G310)</f>
        <v>0</v>
      </c>
      <c r="J310" s="124" t="n">
        <f aca="false">IF(MONTH($A310)=MONTH($A309),SUM(I310-I309),I310)</f>
        <v>0</v>
      </c>
      <c r="K310" s="124" t="n">
        <f aca="false">IF(WEEKDAY(A310,3)&gt;4,0,(IF(A310&lt;K$2,0,IF(A310&lt;=K$3,1,0))))</f>
        <v>1</v>
      </c>
      <c r="L310" s="124" t="n">
        <f aca="false">J310*K310</f>
        <v>0</v>
      </c>
      <c r="M310" s="124" t="n">
        <f aca="false">SUM(J$280:J310)</f>
        <v>0</v>
      </c>
      <c r="N310" s="124" t="n">
        <f aca="false">SUM(J$6:J310)</f>
        <v>1197025</v>
      </c>
      <c r="P310" s="124" t="n">
        <f aca="false">D310/P$3</f>
        <v>0</v>
      </c>
      <c r="Q310" s="124" t="n">
        <f aca="false">E310/P$3</f>
        <v>0</v>
      </c>
      <c r="R310" s="124" t="n">
        <f aca="false">F310/R$3</f>
        <v>0</v>
      </c>
      <c r="S310" s="126" t="n">
        <f aca="false">J310/$R$3</f>
        <v>0</v>
      </c>
      <c r="T310" s="126" t="n">
        <f aca="false">L310/$R$3</f>
        <v>0</v>
      </c>
      <c r="U310" s="126" t="n">
        <f aca="false">I310/$R$3</f>
        <v>0</v>
      </c>
      <c r="V310" s="126" t="n">
        <f aca="false">M310/$R$3</f>
        <v>0</v>
      </c>
      <c r="W310" s="126" t="n">
        <f aca="false">N310/$R$3</f>
        <v>1197.025</v>
      </c>
    </row>
    <row r="311" customFormat="false" ht="12.75" hidden="false" customHeight="false" outlineLevel="0" collapsed="false">
      <c r="A311" s="120" t="n">
        <f aca="false">A310+1</f>
        <v>37197</v>
      </c>
      <c r="B311" s="131" t="str">
        <f aca="false">INDEX('[4]Master Data'!$A$2:$B$8,MATCH(WEEKDAY('SC Gas MTM'!A311,3),'[4]Master Data'!$A$2:$A$8,0),2)</f>
        <v>F</v>
      </c>
      <c r="D311" s="124" t="n">
        <v>0</v>
      </c>
      <c r="E311" s="124" t="n">
        <v>0</v>
      </c>
      <c r="F311" s="124" t="n">
        <v>0</v>
      </c>
      <c r="G311" s="124" t="n">
        <v>0</v>
      </c>
      <c r="I311" s="124" t="n">
        <f aca="false">IF(MONTH($A311)=MONTH($A310),IF(G311=0,I310,G311),G311)</f>
        <v>0</v>
      </c>
      <c r="J311" s="124" t="n">
        <f aca="false">IF(MONTH($A311)=MONTH($A310),SUM(I311-I310),I311)</f>
        <v>0</v>
      </c>
      <c r="K311" s="124" t="n">
        <f aca="false">IF(WEEKDAY(A311,3)&gt;4,0,(IF(A311&lt;K$2,0,IF(A311&lt;=K$3,1,0))))</f>
        <v>0</v>
      </c>
      <c r="L311" s="124" t="n">
        <f aca="false">J311*K311</f>
        <v>0</v>
      </c>
      <c r="M311" s="124" t="n">
        <f aca="false">SUM(J$280:J311)</f>
        <v>0</v>
      </c>
      <c r="N311" s="124" t="n">
        <f aca="false">SUM(J$6:J311)</f>
        <v>1197025</v>
      </c>
      <c r="P311" s="124" t="n">
        <f aca="false">D311/P$3</f>
        <v>0</v>
      </c>
      <c r="Q311" s="124" t="n">
        <f aca="false">E311/P$3</f>
        <v>0</v>
      </c>
      <c r="R311" s="124" t="n">
        <f aca="false">F311/R$3</f>
        <v>0</v>
      </c>
      <c r="S311" s="126" t="n">
        <f aca="false">J311/$R$3</f>
        <v>0</v>
      </c>
      <c r="T311" s="126" t="n">
        <f aca="false">L311/$R$3</f>
        <v>0</v>
      </c>
      <c r="U311" s="126" t="n">
        <f aca="false">I311/$R$3</f>
        <v>0</v>
      </c>
      <c r="V311" s="126" t="n">
        <f aca="false">M311/$R$3</f>
        <v>0</v>
      </c>
      <c r="W311" s="126" t="n">
        <f aca="false">N311/$R$3</f>
        <v>1197.025</v>
      </c>
    </row>
    <row r="312" customFormat="false" ht="12.75" hidden="false" customHeight="false" outlineLevel="0" collapsed="false">
      <c r="A312" s="120" t="n">
        <f aca="false">A311+1</f>
        <v>37198</v>
      </c>
      <c r="B312" s="131" t="str">
        <f aca="false">INDEX('[4]Master Data'!$A$2:$B$8,MATCH(WEEKDAY('SC Gas MTM'!A312,3),'[4]Master Data'!$A$2:$A$8,0),2)</f>
        <v>Sa</v>
      </c>
      <c r="D312" s="124" t="n">
        <v>0</v>
      </c>
      <c r="E312" s="124" t="n">
        <v>0</v>
      </c>
      <c r="F312" s="124" t="n">
        <v>0</v>
      </c>
      <c r="G312" s="124" t="n">
        <v>0</v>
      </c>
      <c r="I312" s="124" t="n">
        <f aca="false">IF(MONTH($A312)=MONTH($A311),IF(G312=0,I311,G312),G312)</f>
        <v>0</v>
      </c>
      <c r="J312" s="124" t="n">
        <f aca="false">IF(MONTH($A312)=MONTH($A311),SUM(I312-I311),I312)</f>
        <v>0</v>
      </c>
      <c r="K312" s="124" t="n">
        <f aca="false">IF(WEEKDAY(A312,3)&gt;4,0,(IF(A312&lt;K$2,0,IF(A312&lt;=K$3,1,0))))</f>
        <v>0</v>
      </c>
      <c r="L312" s="124" t="n">
        <f aca="false">J312*K312</f>
        <v>0</v>
      </c>
      <c r="M312" s="124" t="n">
        <f aca="false">SUM(J$280:J312)</f>
        <v>0</v>
      </c>
      <c r="N312" s="124" t="n">
        <f aca="false">SUM(J$6:J312)</f>
        <v>1197025</v>
      </c>
      <c r="P312" s="124" t="n">
        <f aca="false">D312/P$3</f>
        <v>0</v>
      </c>
      <c r="Q312" s="124" t="n">
        <f aca="false">E312/P$3</f>
        <v>0</v>
      </c>
      <c r="R312" s="124" t="n">
        <f aca="false">F312/R$3</f>
        <v>0</v>
      </c>
      <c r="S312" s="126" t="n">
        <f aca="false">J312/$R$3</f>
        <v>0</v>
      </c>
      <c r="T312" s="126" t="n">
        <f aca="false">L312/$R$3</f>
        <v>0</v>
      </c>
      <c r="U312" s="126" t="n">
        <f aca="false">I312/$R$3</f>
        <v>0</v>
      </c>
      <c r="V312" s="126" t="n">
        <f aca="false">M312/$R$3</f>
        <v>0</v>
      </c>
      <c r="W312" s="126" t="n">
        <f aca="false">N312/$R$3</f>
        <v>1197.025</v>
      </c>
    </row>
    <row r="313" customFormat="false" ht="12.75" hidden="false" customHeight="false" outlineLevel="0" collapsed="false">
      <c r="A313" s="120" t="n">
        <f aca="false">A312+1</f>
        <v>37199</v>
      </c>
      <c r="B313" s="131" t="str">
        <f aca="false">INDEX('[4]Master Data'!$A$2:$B$8,MATCH(WEEKDAY('SC Gas MTM'!A313,3),'[4]Master Data'!$A$2:$A$8,0),2)</f>
        <v>Su</v>
      </c>
      <c r="D313" s="124" t="n">
        <v>0</v>
      </c>
      <c r="E313" s="124" t="n">
        <v>0</v>
      </c>
      <c r="F313" s="124" t="n">
        <v>0</v>
      </c>
      <c r="G313" s="124" t="n">
        <v>0</v>
      </c>
      <c r="I313" s="124" t="n">
        <f aca="false">IF(MONTH($A313)=MONTH($A312),IF(G313=0,I312,G313),G313)</f>
        <v>0</v>
      </c>
      <c r="J313" s="124" t="n">
        <f aca="false">IF(MONTH($A313)=MONTH($A312),SUM(I313-I312),I313)</f>
        <v>0</v>
      </c>
      <c r="K313" s="124" t="n">
        <f aca="false">IF(WEEKDAY(A313,3)&gt;4,0,(IF(A313&lt;K$2,0,IF(A313&lt;=K$3,1,0))))</f>
        <v>0</v>
      </c>
      <c r="L313" s="124" t="n">
        <f aca="false">J313*K313</f>
        <v>0</v>
      </c>
      <c r="M313" s="124" t="n">
        <f aca="false">SUM(J$280:J313)</f>
        <v>0</v>
      </c>
      <c r="N313" s="124" t="n">
        <f aca="false">SUM(J$6:J313)</f>
        <v>1197025</v>
      </c>
      <c r="P313" s="124" t="n">
        <f aca="false">D313/P$3</f>
        <v>0</v>
      </c>
      <c r="Q313" s="124" t="n">
        <f aca="false">E313/P$3</f>
        <v>0</v>
      </c>
      <c r="R313" s="124" t="n">
        <f aca="false">F313/R$3</f>
        <v>0</v>
      </c>
      <c r="S313" s="126" t="n">
        <f aca="false">J313/$R$3</f>
        <v>0</v>
      </c>
      <c r="T313" s="126" t="n">
        <f aca="false">L313/$R$3</f>
        <v>0</v>
      </c>
      <c r="U313" s="126" t="n">
        <f aca="false">I313/$R$3</f>
        <v>0</v>
      </c>
      <c r="V313" s="126" t="n">
        <f aca="false">M313/$R$3</f>
        <v>0</v>
      </c>
      <c r="W313" s="126" t="n">
        <f aca="false">N313/$R$3</f>
        <v>1197.025</v>
      </c>
    </row>
    <row r="314" customFormat="false" ht="12.75" hidden="false" customHeight="false" outlineLevel="0" collapsed="false">
      <c r="A314" s="120" t="n">
        <f aca="false">A313+1</f>
        <v>37200</v>
      </c>
      <c r="B314" s="131" t="str">
        <f aca="false">INDEX('[4]Master Data'!$A$2:$B$8,MATCH(WEEKDAY('SC Gas MTM'!A314,3),'[4]Master Data'!$A$2:$A$8,0),2)</f>
        <v>M</v>
      </c>
      <c r="D314" s="124" t="n">
        <v>0</v>
      </c>
      <c r="E314" s="124" t="n">
        <v>0</v>
      </c>
      <c r="F314" s="124" t="n">
        <v>0</v>
      </c>
      <c r="G314" s="124" t="n">
        <v>0</v>
      </c>
      <c r="I314" s="124" t="n">
        <f aca="false">IF(MONTH($A314)=MONTH($A313),IF(G314=0,I313,G314),G314)</f>
        <v>0</v>
      </c>
      <c r="J314" s="124" t="n">
        <f aca="false">IF(MONTH($A314)=MONTH($A313),SUM(I314-I313),I314)</f>
        <v>0</v>
      </c>
      <c r="K314" s="124" t="n">
        <f aca="false">IF(WEEKDAY(A314,3)&gt;4,0,(IF(A314&lt;K$2,0,IF(A314&lt;=K$3,1,0))))</f>
        <v>0</v>
      </c>
      <c r="L314" s="124" t="n">
        <f aca="false">J314*K314</f>
        <v>0</v>
      </c>
      <c r="M314" s="124" t="n">
        <f aca="false">SUM(J$280:J314)</f>
        <v>0</v>
      </c>
      <c r="N314" s="124" t="n">
        <f aca="false">SUM(J$6:J314)</f>
        <v>1197025</v>
      </c>
      <c r="P314" s="124" t="n">
        <f aca="false">D314/P$3</f>
        <v>0</v>
      </c>
      <c r="Q314" s="124" t="n">
        <f aca="false">E314/P$3</f>
        <v>0</v>
      </c>
      <c r="R314" s="124" t="n">
        <f aca="false">F314/R$3</f>
        <v>0</v>
      </c>
      <c r="S314" s="126" t="n">
        <f aca="false">J314/$R$3</f>
        <v>0</v>
      </c>
      <c r="T314" s="126" t="n">
        <f aca="false">L314/$R$3</f>
        <v>0</v>
      </c>
      <c r="U314" s="126" t="n">
        <f aca="false">I314/$R$3</f>
        <v>0</v>
      </c>
      <c r="V314" s="126" t="n">
        <f aca="false">M314/$R$3</f>
        <v>0</v>
      </c>
      <c r="W314" s="126" t="n">
        <f aca="false">N314/$R$3</f>
        <v>1197.025</v>
      </c>
    </row>
    <row r="315" customFormat="false" ht="12.75" hidden="false" customHeight="false" outlineLevel="0" collapsed="false">
      <c r="A315" s="120" t="n">
        <f aca="false">A314+1</f>
        <v>37201</v>
      </c>
      <c r="B315" s="131" t="str">
        <f aca="false">INDEX('[4]Master Data'!$A$2:$B$8,MATCH(WEEKDAY('SC Gas MTM'!A315,3),'[4]Master Data'!$A$2:$A$8,0),2)</f>
        <v>T</v>
      </c>
      <c r="D315" s="124" t="n">
        <v>0</v>
      </c>
      <c r="E315" s="124" t="n">
        <v>0</v>
      </c>
      <c r="F315" s="124" t="n">
        <v>0</v>
      </c>
      <c r="G315" s="124" t="n">
        <v>0</v>
      </c>
      <c r="I315" s="124" t="n">
        <f aca="false">IF(MONTH($A315)=MONTH($A314),IF(G315=0,I314,G315),G315)</f>
        <v>0</v>
      </c>
      <c r="J315" s="124" t="n">
        <f aca="false">IF(MONTH($A315)=MONTH($A314),SUM(I315-I314),I315)</f>
        <v>0</v>
      </c>
      <c r="K315" s="124" t="n">
        <f aca="false">IF(WEEKDAY(A315,3)&gt;4,0,(IF(A315&lt;K$2,0,IF(A315&lt;=K$3,1,0))))</f>
        <v>0</v>
      </c>
      <c r="L315" s="124" t="n">
        <f aca="false">J315*K315</f>
        <v>0</v>
      </c>
      <c r="M315" s="124" t="n">
        <f aca="false">SUM(J$280:J315)</f>
        <v>0</v>
      </c>
      <c r="N315" s="124" t="n">
        <f aca="false">SUM(J$6:J315)</f>
        <v>1197025</v>
      </c>
      <c r="P315" s="124" t="n">
        <f aca="false">D315/P$3</f>
        <v>0</v>
      </c>
      <c r="Q315" s="124" t="n">
        <f aca="false">E315/P$3</f>
        <v>0</v>
      </c>
      <c r="R315" s="124" t="n">
        <f aca="false">F315/R$3</f>
        <v>0</v>
      </c>
      <c r="S315" s="126" t="n">
        <f aca="false">J315/$R$3</f>
        <v>0</v>
      </c>
      <c r="T315" s="126" t="n">
        <f aca="false">L315/$R$3</f>
        <v>0</v>
      </c>
      <c r="U315" s="126" t="n">
        <f aca="false">I315/$R$3</f>
        <v>0</v>
      </c>
      <c r="V315" s="126" t="n">
        <f aca="false">M315/$R$3</f>
        <v>0</v>
      </c>
      <c r="W315" s="126" t="n">
        <f aca="false">N315/$R$3</f>
        <v>1197.025</v>
      </c>
    </row>
    <row r="316" customFormat="false" ht="12.75" hidden="false" customHeight="false" outlineLevel="0" collapsed="false">
      <c r="A316" s="120" t="n">
        <f aca="false">A315+1</f>
        <v>37202</v>
      </c>
      <c r="B316" s="131" t="str">
        <f aca="false">INDEX('[4]Master Data'!$A$2:$B$8,MATCH(WEEKDAY('SC Gas MTM'!A316,3),'[4]Master Data'!$A$2:$A$8,0),2)</f>
        <v>W</v>
      </c>
      <c r="D316" s="124" t="n">
        <v>0</v>
      </c>
      <c r="E316" s="124" t="n">
        <v>0</v>
      </c>
      <c r="F316" s="124" t="n">
        <v>0</v>
      </c>
      <c r="G316" s="124" t="n">
        <v>0</v>
      </c>
      <c r="I316" s="124" t="n">
        <f aca="false">IF(MONTH($A316)=MONTH($A315),IF(G316=0,I315,G316),G316)</f>
        <v>0</v>
      </c>
      <c r="J316" s="124" t="n">
        <f aca="false">IF(MONTH($A316)=MONTH($A315),SUM(I316-I315),I316)</f>
        <v>0</v>
      </c>
      <c r="K316" s="124" t="n">
        <f aca="false">IF(WEEKDAY(A316,3)&gt;4,0,(IF(A316&lt;K$2,0,IF(A316&lt;=K$3,1,0))))</f>
        <v>0</v>
      </c>
      <c r="L316" s="124" t="n">
        <f aca="false">J316*K316</f>
        <v>0</v>
      </c>
      <c r="M316" s="124" t="n">
        <f aca="false">SUM(J$280:J316)</f>
        <v>0</v>
      </c>
      <c r="N316" s="124" t="n">
        <f aca="false">SUM(J$6:J316)</f>
        <v>1197025</v>
      </c>
      <c r="P316" s="124" t="n">
        <f aca="false">D316/P$3</f>
        <v>0</v>
      </c>
      <c r="Q316" s="124" t="n">
        <f aca="false">E316/P$3</f>
        <v>0</v>
      </c>
      <c r="R316" s="124" t="n">
        <f aca="false">F316/R$3</f>
        <v>0</v>
      </c>
      <c r="S316" s="126" t="n">
        <f aca="false">J316/$R$3</f>
        <v>0</v>
      </c>
      <c r="T316" s="126" t="n">
        <f aca="false">L316/$R$3</f>
        <v>0</v>
      </c>
      <c r="U316" s="126" t="n">
        <f aca="false">I316/$R$3</f>
        <v>0</v>
      </c>
      <c r="V316" s="126" t="n">
        <f aca="false">M316/$R$3</f>
        <v>0</v>
      </c>
      <c r="W316" s="126" t="n">
        <f aca="false">N316/$R$3</f>
        <v>1197.025</v>
      </c>
    </row>
    <row r="317" customFormat="false" ht="12.75" hidden="false" customHeight="false" outlineLevel="0" collapsed="false">
      <c r="A317" s="120" t="n">
        <f aca="false">A316+1</f>
        <v>37203</v>
      </c>
      <c r="B317" s="131" t="str">
        <f aca="false">INDEX('[4]Master Data'!$A$2:$B$8,MATCH(WEEKDAY('SC Gas MTM'!A317,3),'[4]Master Data'!$A$2:$A$8,0),2)</f>
        <v>Th</v>
      </c>
      <c r="D317" s="124" t="n">
        <v>0</v>
      </c>
      <c r="E317" s="124" t="n">
        <v>0</v>
      </c>
      <c r="F317" s="124" t="n">
        <v>0</v>
      </c>
      <c r="G317" s="124" t="n">
        <v>0</v>
      </c>
      <c r="I317" s="124" t="n">
        <f aca="false">IF(MONTH($A317)=MONTH($A316),IF(G317=0,I316,G317),G317)</f>
        <v>0</v>
      </c>
      <c r="J317" s="124" t="n">
        <f aca="false">IF(MONTH($A317)=MONTH($A316),SUM(I317-I316),I317)</f>
        <v>0</v>
      </c>
      <c r="K317" s="124" t="n">
        <f aca="false">IF(WEEKDAY(A317,3)&gt;4,0,(IF(A317&lt;K$2,0,IF(A317&lt;=K$3,1,0))))</f>
        <v>0</v>
      </c>
      <c r="L317" s="124" t="n">
        <f aca="false">J317*K317</f>
        <v>0</v>
      </c>
      <c r="M317" s="124" t="n">
        <f aca="false">SUM(J$280:J317)</f>
        <v>0</v>
      </c>
      <c r="N317" s="124" t="n">
        <f aca="false">SUM(J$6:J317)</f>
        <v>1197025</v>
      </c>
      <c r="P317" s="124" t="n">
        <f aca="false">D317/P$3</f>
        <v>0</v>
      </c>
      <c r="Q317" s="124" t="n">
        <f aca="false">E317/P$3</f>
        <v>0</v>
      </c>
      <c r="R317" s="124" t="n">
        <f aca="false">F317/R$3</f>
        <v>0</v>
      </c>
      <c r="S317" s="126" t="n">
        <f aca="false">J317/$R$3</f>
        <v>0</v>
      </c>
      <c r="T317" s="126" t="n">
        <f aca="false">L317/$R$3</f>
        <v>0</v>
      </c>
      <c r="U317" s="126" t="n">
        <f aca="false">I317/$R$3</f>
        <v>0</v>
      </c>
      <c r="V317" s="126" t="n">
        <f aca="false">M317/$R$3</f>
        <v>0</v>
      </c>
      <c r="W317" s="126" t="n">
        <f aca="false">N317/$R$3</f>
        <v>1197.025</v>
      </c>
    </row>
    <row r="318" customFormat="false" ht="12.75" hidden="false" customHeight="false" outlineLevel="0" collapsed="false">
      <c r="A318" s="120" t="n">
        <f aca="false">A317+1</f>
        <v>37204</v>
      </c>
      <c r="B318" s="131" t="str">
        <f aca="false">INDEX('[4]Master Data'!$A$2:$B$8,MATCH(WEEKDAY('SC Gas MTM'!A318,3),'[4]Master Data'!$A$2:$A$8,0),2)</f>
        <v>F</v>
      </c>
      <c r="D318" s="124" t="n">
        <v>0</v>
      </c>
      <c r="E318" s="124" t="n">
        <v>0</v>
      </c>
      <c r="F318" s="124" t="n">
        <v>0</v>
      </c>
      <c r="G318" s="124" t="n">
        <v>0</v>
      </c>
      <c r="I318" s="124" t="n">
        <f aca="false">IF(MONTH($A318)=MONTH($A317),IF(G318=0,I317,G318),G318)</f>
        <v>0</v>
      </c>
      <c r="J318" s="124" t="n">
        <f aca="false">IF(MONTH($A318)=MONTH($A317),SUM(I318-I317),I318)</f>
        <v>0</v>
      </c>
      <c r="K318" s="124" t="n">
        <f aca="false">IF(WEEKDAY(A318,3)&gt;4,0,(IF(A318&lt;K$2,0,IF(A318&lt;=K$3,1,0))))</f>
        <v>0</v>
      </c>
      <c r="L318" s="124" t="n">
        <f aca="false">J318*K318</f>
        <v>0</v>
      </c>
      <c r="M318" s="124" t="n">
        <f aca="false">SUM(J$280:J318)</f>
        <v>0</v>
      </c>
      <c r="N318" s="124" t="n">
        <f aca="false">SUM(J$6:J318)</f>
        <v>1197025</v>
      </c>
      <c r="P318" s="124" t="n">
        <f aca="false">D318/P$3</f>
        <v>0</v>
      </c>
      <c r="Q318" s="124" t="n">
        <f aca="false">E318/P$3</f>
        <v>0</v>
      </c>
      <c r="R318" s="124" t="n">
        <f aca="false">F318/R$3</f>
        <v>0</v>
      </c>
      <c r="S318" s="126" t="n">
        <f aca="false">J318/$R$3</f>
        <v>0</v>
      </c>
      <c r="T318" s="126" t="n">
        <f aca="false">L318/$R$3</f>
        <v>0</v>
      </c>
      <c r="U318" s="126" t="n">
        <f aca="false">I318/$R$3</f>
        <v>0</v>
      </c>
      <c r="V318" s="126" t="n">
        <f aca="false">M318/$R$3</f>
        <v>0</v>
      </c>
      <c r="W318" s="126" t="n">
        <f aca="false">N318/$R$3</f>
        <v>1197.025</v>
      </c>
    </row>
    <row r="319" customFormat="false" ht="12.75" hidden="false" customHeight="false" outlineLevel="0" collapsed="false">
      <c r="A319" s="120" t="n">
        <f aca="false">A318+1</f>
        <v>37205</v>
      </c>
      <c r="B319" s="131" t="str">
        <f aca="false">INDEX('[4]Master Data'!$A$2:$B$8,MATCH(WEEKDAY('SC Gas MTM'!A319,3),'[4]Master Data'!$A$2:$A$8,0),2)</f>
        <v>Sa</v>
      </c>
      <c r="D319" s="124" t="n">
        <v>0</v>
      </c>
      <c r="E319" s="124" t="n">
        <v>0</v>
      </c>
      <c r="F319" s="124" t="n">
        <v>0</v>
      </c>
      <c r="G319" s="124" t="n">
        <v>0</v>
      </c>
      <c r="I319" s="124" t="n">
        <f aca="false">IF(MONTH($A319)=MONTH($A318),IF(G319=0,I318,G319),G319)</f>
        <v>0</v>
      </c>
      <c r="J319" s="124" t="n">
        <f aca="false">IF(MONTH($A319)=MONTH($A318),SUM(I319-I318),I319)</f>
        <v>0</v>
      </c>
      <c r="K319" s="124" t="n">
        <f aca="false">IF(WEEKDAY(A319,3)&gt;4,0,(IF(A319&lt;K$2,0,IF(A319&lt;=K$3,1,0))))</f>
        <v>0</v>
      </c>
      <c r="L319" s="124" t="n">
        <f aca="false">J319*K319</f>
        <v>0</v>
      </c>
      <c r="M319" s="124" t="n">
        <f aca="false">SUM(J$280:J319)</f>
        <v>0</v>
      </c>
      <c r="N319" s="124" t="n">
        <f aca="false">SUM(J$6:J319)</f>
        <v>1197025</v>
      </c>
      <c r="P319" s="124" t="n">
        <f aca="false">D319/P$3</f>
        <v>0</v>
      </c>
      <c r="Q319" s="124" t="n">
        <f aca="false">E319/P$3</f>
        <v>0</v>
      </c>
      <c r="R319" s="124" t="n">
        <f aca="false">F319/R$3</f>
        <v>0</v>
      </c>
      <c r="S319" s="126" t="n">
        <f aca="false">J319/$R$3</f>
        <v>0</v>
      </c>
      <c r="T319" s="126" t="n">
        <f aca="false">L319/$R$3</f>
        <v>0</v>
      </c>
      <c r="U319" s="126" t="n">
        <f aca="false">I319/$R$3</f>
        <v>0</v>
      </c>
      <c r="V319" s="126" t="n">
        <f aca="false">M319/$R$3</f>
        <v>0</v>
      </c>
      <c r="W319" s="126" t="n">
        <f aca="false">N319/$R$3</f>
        <v>1197.025</v>
      </c>
    </row>
    <row r="320" customFormat="false" ht="12.75" hidden="false" customHeight="false" outlineLevel="0" collapsed="false">
      <c r="A320" s="120" t="n">
        <f aca="false">A319+1</f>
        <v>37206</v>
      </c>
      <c r="B320" s="131" t="str">
        <f aca="false">INDEX('[4]Master Data'!$A$2:$B$8,MATCH(WEEKDAY('SC Gas MTM'!A320,3),'[4]Master Data'!$A$2:$A$8,0),2)</f>
        <v>Su</v>
      </c>
      <c r="D320" s="124" t="n">
        <v>0</v>
      </c>
      <c r="E320" s="124" t="n">
        <v>0</v>
      </c>
      <c r="F320" s="124" t="n">
        <v>0</v>
      </c>
      <c r="G320" s="124" t="n">
        <v>0</v>
      </c>
      <c r="I320" s="124" t="n">
        <f aca="false">IF(MONTH($A320)=MONTH($A319),IF(G320=0,I319,G320),G320)</f>
        <v>0</v>
      </c>
      <c r="J320" s="124" t="n">
        <f aca="false">IF(MONTH($A320)=MONTH($A319),SUM(I320-I319),I320)</f>
        <v>0</v>
      </c>
      <c r="K320" s="124" t="n">
        <f aca="false">IF(WEEKDAY(A320,3)&gt;4,0,(IF(A320&lt;K$2,0,IF(A320&lt;=K$3,1,0))))</f>
        <v>0</v>
      </c>
      <c r="L320" s="124" t="n">
        <f aca="false">J320*K320</f>
        <v>0</v>
      </c>
      <c r="M320" s="124" t="n">
        <f aca="false">SUM(J$280:J320)</f>
        <v>0</v>
      </c>
      <c r="N320" s="124" t="n">
        <f aca="false">SUM(J$6:J320)</f>
        <v>1197025</v>
      </c>
      <c r="P320" s="124" t="n">
        <f aca="false">D320/P$3</f>
        <v>0</v>
      </c>
      <c r="Q320" s="124" t="n">
        <f aca="false">E320/P$3</f>
        <v>0</v>
      </c>
      <c r="R320" s="124" t="n">
        <f aca="false">F320/R$3</f>
        <v>0</v>
      </c>
      <c r="S320" s="126" t="n">
        <f aca="false">J320/$R$3</f>
        <v>0</v>
      </c>
      <c r="T320" s="126" t="n">
        <f aca="false">L320/$R$3</f>
        <v>0</v>
      </c>
      <c r="U320" s="126" t="n">
        <f aca="false">I320/$R$3</f>
        <v>0</v>
      </c>
      <c r="V320" s="126" t="n">
        <f aca="false">M320/$R$3</f>
        <v>0</v>
      </c>
      <c r="W320" s="126" t="n">
        <f aca="false">N320/$R$3</f>
        <v>1197.025</v>
      </c>
    </row>
    <row r="321" customFormat="false" ht="12.75" hidden="false" customHeight="false" outlineLevel="0" collapsed="false">
      <c r="A321" s="120" t="n">
        <f aca="false">A320+1</f>
        <v>37207</v>
      </c>
      <c r="B321" s="131" t="str">
        <f aca="false">INDEX('[4]Master Data'!$A$2:$B$8,MATCH(WEEKDAY('SC Gas MTM'!A321,3),'[4]Master Data'!$A$2:$A$8,0),2)</f>
        <v>M</v>
      </c>
      <c r="D321" s="124" t="n">
        <v>0</v>
      </c>
      <c r="E321" s="124" t="n">
        <v>0</v>
      </c>
      <c r="F321" s="124" t="n">
        <v>0</v>
      </c>
      <c r="G321" s="124" t="n">
        <v>0</v>
      </c>
      <c r="I321" s="124" t="n">
        <f aca="false">IF(MONTH($A321)=MONTH($A320),IF(G321=0,I320,G321),G321)</f>
        <v>0</v>
      </c>
      <c r="J321" s="124" t="n">
        <f aca="false">IF(MONTH($A321)=MONTH($A320),SUM(I321-I320),I321)</f>
        <v>0</v>
      </c>
      <c r="K321" s="124" t="n">
        <f aca="false">IF(WEEKDAY(A321,3)&gt;4,0,(IF(A321&lt;K$2,0,IF(A321&lt;=K$3,1,0))))</f>
        <v>0</v>
      </c>
      <c r="L321" s="124" t="n">
        <f aca="false">J321*K321</f>
        <v>0</v>
      </c>
      <c r="M321" s="124" t="n">
        <f aca="false">SUM(J$280:J321)</f>
        <v>0</v>
      </c>
      <c r="N321" s="124" t="n">
        <f aca="false">SUM(J$6:J321)</f>
        <v>1197025</v>
      </c>
      <c r="P321" s="124" t="n">
        <f aca="false">D321/P$3</f>
        <v>0</v>
      </c>
      <c r="Q321" s="124" t="n">
        <f aca="false">E321/P$3</f>
        <v>0</v>
      </c>
      <c r="R321" s="124" t="n">
        <f aca="false">F321/R$3</f>
        <v>0</v>
      </c>
      <c r="S321" s="126" t="n">
        <f aca="false">J321/$R$3</f>
        <v>0</v>
      </c>
      <c r="T321" s="126" t="n">
        <f aca="false">L321/$R$3</f>
        <v>0</v>
      </c>
      <c r="U321" s="126" t="n">
        <f aca="false">I321/$R$3</f>
        <v>0</v>
      </c>
      <c r="V321" s="126" t="n">
        <f aca="false">M321/$R$3</f>
        <v>0</v>
      </c>
      <c r="W321" s="126" t="n">
        <f aca="false">N321/$R$3</f>
        <v>1197.025</v>
      </c>
    </row>
    <row r="322" customFormat="false" ht="12.75" hidden="false" customHeight="false" outlineLevel="0" collapsed="false">
      <c r="A322" s="120" t="n">
        <f aca="false">A321+1</f>
        <v>37208</v>
      </c>
      <c r="B322" s="131" t="str">
        <f aca="false">INDEX('[4]Master Data'!$A$2:$B$8,MATCH(WEEKDAY('SC Gas MTM'!A322,3),'[4]Master Data'!$A$2:$A$8,0),2)</f>
        <v>T</v>
      </c>
      <c r="D322" s="124" t="n">
        <v>0</v>
      </c>
      <c r="E322" s="124" t="n">
        <v>0</v>
      </c>
      <c r="F322" s="124" t="n">
        <v>0</v>
      </c>
      <c r="G322" s="124" t="n">
        <v>0</v>
      </c>
      <c r="I322" s="124" t="n">
        <f aca="false">IF(MONTH($A322)=MONTH($A321),IF(G322=0,I321,G322),G322)</f>
        <v>0</v>
      </c>
      <c r="J322" s="124" t="n">
        <f aca="false">IF(MONTH($A322)=MONTH($A321),SUM(I322-I321),I322)</f>
        <v>0</v>
      </c>
      <c r="K322" s="124" t="n">
        <f aca="false">IF(WEEKDAY(A322,3)&gt;4,0,(IF(A322&lt;K$2,0,IF(A322&lt;=K$3,1,0))))</f>
        <v>0</v>
      </c>
      <c r="L322" s="124" t="n">
        <f aca="false">J322*K322</f>
        <v>0</v>
      </c>
      <c r="M322" s="124" t="n">
        <f aca="false">SUM(J$280:J322)</f>
        <v>0</v>
      </c>
      <c r="N322" s="124" t="n">
        <f aca="false">SUM(J$6:J322)</f>
        <v>1197025</v>
      </c>
      <c r="P322" s="124" t="n">
        <f aca="false">D322/P$3</f>
        <v>0</v>
      </c>
      <c r="Q322" s="124" t="n">
        <f aca="false">E322/P$3</f>
        <v>0</v>
      </c>
      <c r="R322" s="124" t="n">
        <f aca="false">F322/R$3</f>
        <v>0</v>
      </c>
      <c r="S322" s="126" t="n">
        <f aca="false">J322/$R$3</f>
        <v>0</v>
      </c>
      <c r="T322" s="126" t="n">
        <f aca="false">L322/$R$3</f>
        <v>0</v>
      </c>
      <c r="U322" s="126" t="n">
        <f aca="false">I322/$R$3</f>
        <v>0</v>
      </c>
      <c r="V322" s="126" t="n">
        <f aca="false">M322/$R$3</f>
        <v>0</v>
      </c>
      <c r="W322" s="126" t="n">
        <f aca="false">N322/$R$3</f>
        <v>1197.025</v>
      </c>
    </row>
    <row r="323" customFormat="false" ht="12.75" hidden="false" customHeight="false" outlineLevel="0" collapsed="false">
      <c r="A323" s="120" t="n">
        <f aca="false">A322+1</f>
        <v>37209</v>
      </c>
      <c r="B323" s="131" t="str">
        <f aca="false">INDEX('[4]Master Data'!$A$2:$B$8,MATCH(WEEKDAY('SC Gas MTM'!A323,3),'[4]Master Data'!$A$2:$A$8,0),2)</f>
        <v>W</v>
      </c>
      <c r="D323" s="124" t="n">
        <v>0</v>
      </c>
      <c r="E323" s="124" t="n">
        <v>0</v>
      </c>
      <c r="F323" s="124" t="n">
        <v>0</v>
      </c>
      <c r="G323" s="124" t="n">
        <v>0</v>
      </c>
      <c r="I323" s="124" t="n">
        <f aca="false">IF(MONTH($A323)=MONTH($A322),IF(G323=0,I322,G323),G323)</f>
        <v>0</v>
      </c>
      <c r="J323" s="124" t="n">
        <f aca="false">IF(MONTH($A323)=MONTH($A322),SUM(I323-I322),I323)</f>
        <v>0</v>
      </c>
      <c r="K323" s="124" t="n">
        <f aca="false">IF(WEEKDAY(A323,3)&gt;4,0,(IF(A323&lt;K$2,0,IF(A323&lt;=K$3,1,0))))</f>
        <v>0</v>
      </c>
      <c r="L323" s="124" t="n">
        <f aca="false">J323*K323</f>
        <v>0</v>
      </c>
      <c r="M323" s="124" t="n">
        <f aca="false">SUM(J$280:J323)</f>
        <v>0</v>
      </c>
      <c r="N323" s="124" t="n">
        <f aca="false">SUM(J$6:J323)</f>
        <v>1197025</v>
      </c>
      <c r="P323" s="124" t="n">
        <f aca="false">D323/P$3</f>
        <v>0</v>
      </c>
      <c r="Q323" s="124" t="n">
        <f aca="false">E323/P$3</f>
        <v>0</v>
      </c>
      <c r="R323" s="124" t="n">
        <f aca="false">F323/R$3</f>
        <v>0</v>
      </c>
      <c r="S323" s="126" t="n">
        <f aca="false">J323/$R$3</f>
        <v>0</v>
      </c>
      <c r="T323" s="126" t="n">
        <f aca="false">L323/$R$3</f>
        <v>0</v>
      </c>
      <c r="U323" s="126" t="n">
        <f aca="false">I323/$R$3</f>
        <v>0</v>
      </c>
      <c r="V323" s="126" t="n">
        <f aca="false">M323/$R$3</f>
        <v>0</v>
      </c>
      <c r="W323" s="126" t="n">
        <f aca="false">N323/$R$3</f>
        <v>1197.025</v>
      </c>
    </row>
    <row r="324" customFormat="false" ht="12.75" hidden="false" customHeight="false" outlineLevel="0" collapsed="false">
      <c r="A324" s="120" t="n">
        <f aca="false">A323+1</f>
        <v>37210</v>
      </c>
      <c r="B324" s="131" t="str">
        <f aca="false">INDEX('[4]Master Data'!$A$2:$B$8,MATCH(WEEKDAY('SC Gas MTM'!A324,3),'[4]Master Data'!$A$2:$A$8,0),2)</f>
        <v>Th</v>
      </c>
      <c r="D324" s="124" t="n">
        <v>0</v>
      </c>
      <c r="E324" s="124" t="n">
        <v>0</v>
      </c>
      <c r="F324" s="124" t="n">
        <v>0</v>
      </c>
      <c r="G324" s="124" t="n">
        <v>0</v>
      </c>
      <c r="I324" s="124" t="n">
        <f aca="false">IF(MONTH($A324)=MONTH($A323),IF(G324=0,I323,G324),G324)</f>
        <v>0</v>
      </c>
      <c r="J324" s="124" t="n">
        <f aca="false">IF(MONTH($A324)=MONTH($A323),SUM(I324-I323),I324)</f>
        <v>0</v>
      </c>
      <c r="K324" s="124" t="n">
        <f aca="false">IF(WEEKDAY(A324,3)&gt;4,0,(IF(A324&lt;K$2,0,IF(A324&lt;=K$3,1,0))))</f>
        <v>0</v>
      </c>
      <c r="L324" s="124" t="n">
        <f aca="false">J324*K324</f>
        <v>0</v>
      </c>
      <c r="M324" s="124" t="n">
        <f aca="false">SUM(J$280:J324)</f>
        <v>0</v>
      </c>
      <c r="N324" s="124" t="n">
        <f aca="false">SUM(J$6:J324)</f>
        <v>1197025</v>
      </c>
      <c r="P324" s="124" t="n">
        <f aca="false">D324/P$3</f>
        <v>0</v>
      </c>
      <c r="Q324" s="124" t="n">
        <f aca="false">E324/P$3</f>
        <v>0</v>
      </c>
      <c r="R324" s="124" t="n">
        <f aca="false">F324/R$3</f>
        <v>0</v>
      </c>
      <c r="S324" s="126" t="n">
        <f aca="false">J324/$R$3</f>
        <v>0</v>
      </c>
      <c r="T324" s="126" t="n">
        <f aca="false">L324/$R$3</f>
        <v>0</v>
      </c>
      <c r="U324" s="126" t="n">
        <f aca="false">I324/$R$3</f>
        <v>0</v>
      </c>
      <c r="V324" s="126" t="n">
        <f aca="false">M324/$R$3</f>
        <v>0</v>
      </c>
      <c r="W324" s="126" t="n">
        <f aca="false">N324/$R$3</f>
        <v>1197.025</v>
      </c>
    </row>
    <row r="325" customFormat="false" ht="12.75" hidden="false" customHeight="false" outlineLevel="0" collapsed="false">
      <c r="A325" s="120" t="n">
        <f aca="false">A324+1</f>
        <v>37211</v>
      </c>
      <c r="B325" s="131" t="str">
        <f aca="false">INDEX('[4]Master Data'!$A$2:$B$8,MATCH(WEEKDAY('SC Gas MTM'!A325,3),'[4]Master Data'!$A$2:$A$8,0),2)</f>
        <v>F</v>
      </c>
      <c r="D325" s="124" t="n">
        <v>0</v>
      </c>
      <c r="E325" s="124" t="n">
        <v>0</v>
      </c>
      <c r="F325" s="124" t="n">
        <v>0</v>
      </c>
      <c r="G325" s="124" t="n">
        <v>0</v>
      </c>
      <c r="I325" s="124" t="n">
        <f aca="false">IF(MONTH($A325)=MONTH($A324),IF(G325=0,I324,G325),G325)</f>
        <v>0</v>
      </c>
      <c r="J325" s="124" t="n">
        <f aca="false">IF(MONTH($A325)=MONTH($A324),SUM(I325-I324),I325)</f>
        <v>0</v>
      </c>
      <c r="K325" s="124" t="n">
        <f aca="false">IF(WEEKDAY(A325,3)&gt;4,0,(IF(A325&lt;K$2,0,IF(A325&lt;=K$3,1,0))))</f>
        <v>0</v>
      </c>
      <c r="L325" s="124" t="n">
        <f aca="false">J325*K325</f>
        <v>0</v>
      </c>
      <c r="M325" s="124" t="n">
        <f aca="false">SUM(J$280:J325)</f>
        <v>0</v>
      </c>
      <c r="N325" s="124" t="n">
        <f aca="false">SUM(J$6:J325)</f>
        <v>1197025</v>
      </c>
      <c r="P325" s="124" t="n">
        <f aca="false">D325/P$3</f>
        <v>0</v>
      </c>
      <c r="Q325" s="124" t="n">
        <f aca="false">E325/P$3</f>
        <v>0</v>
      </c>
      <c r="R325" s="124" t="n">
        <f aca="false">F325/R$3</f>
        <v>0</v>
      </c>
      <c r="S325" s="126" t="n">
        <f aca="false">J325/$R$3</f>
        <v>0</v>
      </c>
      <c r="T325" s="126" t="n">
        <f aca="false">L325/$R$3</f>
        <v>0</v>
      </c>
      <c r="U325" s="126" t="n">
        <f aca="false">I325/$R$3</f>
        <v>0</v>
      </c>
      <c r="V325" s="126" t="n">
        <f aca="false">M325/$R$3</f>
        <v>0</v>
      </c>
      <c r="W325" s="126" t="n">
        <f aca="false">N325/$R$3</f>
        <v>1197.025</v>
      </c>
    </row>
    <row r="326" customFormat="false" ht="12.75" hidden="false" customHeight="false" outlineLevel="0" collapsed="false">
      <c r="A326" s="120" t="n">
        <f aca="false">A325+1</f>
        <v>37212</v>
      </c>
      <c r="B326" s="131" t="str">
        <f aca="false">INDEX('[4]Master Data'!$A$2:$B$8,MATCH(WEEKDAY('SC Gas MTM'!A326,3),'[4]Master Data'!$A$2:$A$8,0),2)</f>
        <v>Sa</v>
      </c>
      <c r="D326" s="124" t="n">
        <v>0</v>
      </c>
      <c r="E326" s="124" t="n">
        <v>0</v>
      </c>
      <c r="F326" s="124" t="n">
        <v>0</v>
      </c>
      <c r="G326" s="124" t="n">
        <v>0</v>
      </c>
      <c r="I326" s="124" t="n">
        <f aca="false">IF(MONTH($A326)=MONTH($A325),IF(G326=0,I325,G326),G326)</f>
        <v>0</v>
      </c>
      <c r="J326" s="124" t="n">
        <f aca="false">IF(MONTH($A326)=MONTH($A325),SUM(I326-I325),I326)</f>
        <v>0</v>
      </c>
      <c r="K326" s="124" t="n">
        <f aca="false">IF(WEEKDAY(A326,3)&gt;4,0,(IF(A326&lt;K$2,0,IF(A326&lt;=K$3,1,0))))</f>
        <v>0</v>
      </c>
      <c r="L326" s="124" t="n">
        <f aca="false">J326*K326</f>
        <v>0</v>
      </c>
      <c r="M326" s="124" t="n">
        <f aca="false">SUM(J$280:J326)</f>
        <v>0</v>
      </c>
      <c r="N326" s="124" t="n">
        <f aca="false">SUM(J$6:J326)</f>
        <v>1197025</v>
      </c>
      <c r="P326" s="124" t="n">
        <f aca="false">D326/P$3</f>
        <v>0</v>
      </c>
      <c r="Q326" s="124" t="n">
        <f aca="false">E326/P$3</f>
        <v>0</v>
      </c>
      <c r="R326" s="124" t="n">
        <f aca="false">F326/R$3</f>
        <v>0</v>
      </c>
      <c r="S326" s="126" t="n">
        <f aca="false">J326/$R$3</f>
        <v>0</v>
      </c>
      <c r="T326" s="126" t="n">
        <f aca="false">L326/$R$3</f>
        <v>0</v>
      </c>
      <c r="U326" s="126" t="n">
        <f aca="false">I326/$R$3</f>
        <v>0</v>
      </c>
      <c r="V326" s="126" t="n">
        <f aca="false">M326/$R$3</f>
        <v>0</v>
      </c>
      <c r="W326" s="126" t="n">
        <f aca="false">N326/$R$3</f>
        <v>1197.025</v>
      </c>
    </row>
    <row r="327" customFormat="false" ht="12.75" hidden="false" customHeight="false" outlineLevel="0" collapsed="false">
      <c r="A327" s="120" t="n">
        <f aca="false">A326+1</f>
        <v>37213</v>
      </c>
      <c r="B327" s="131" t="str">
        <f aca="false">INDEX('[4]Master Data'!$A$2:$B$8,MATCH(WEEKDAY('SC Gas MTM'!A327,3),'[4]Master Data'!$A$2:$A$8,0),2)</f>
        <v>Su</v>
      </c>
      <c r="D327" s="124" t="n">
        <v>0</v>
      </c>
      <c r="E327" s="124" t="n">
        <v>0</v>
      </c>
      <c r="F327" s="124" t="n">
        <v>0</v>
      </c>
      <c r="G327" s="124" t="n">
        <v>0</v>
      </c>
      <c r="I327" s="124" t="n">
        <f aca="false">IF(MONTH($A327)=MONTH($A326),IF(G327=0,I326,G327),G327)</f>
        <v>0</v>
      </c>
      <c r="J327" s="124" t="n">
        <f aca="false">IF(MONTH($A327)=MONTH($A326),SUM(I327-I326),I327)</f>
        <v>0</v>
      </c>
      <c r="K327" s="124" t="n">
        <f aca="false">IF(WEEKDAY(A327,3)&gt;4,0,(IF(A327&lt;K$2,0,IF(A327&lt;=K$3,1,0))))</f>
        <v>0</v>
      </c>
      <c r="L327" s="124" t="n">
        <f aca="false">J327*K327</f>
        <v>0</v>
      </c>
      <c r="M327" s="124" t="n">
        <f aca="false">SUM(J$280:J327)</f>
        <v>0</v>
      </c>
      <c r="N327" s="124" t="n">
        <f aca="false">SUM(J$6:J327)</f>
        <v>1197025</v>
      </c>
      <c r="P327" s="124" t="n">
        <f aca="false">D327/P$3</f>
        <v>0</v>
      </c>
      <c r="Q327" s="124" t="n">
        <f aca="false">E327/P$3</f>
        <v>0</v>
      </c>
      <c r="R327" s="124" t="n">
        <f aca="false">F327/R$3</f>
        <v>0</v>
      </c>
      <c r="S327" s="126" t="n">
        <f aca="false">J327/$R$3</f>
        <v>0</v>
      </c>
      <c r="T327" s="126" t="n">
        <f aca="false">L327/$R$3</f>
        <v>0</v>
      </c>
      <c r="U327" s="126" t="n">
        <f aca="false">I327/$R$3</f>
        <v>0</v>
      </c>
      <c r="V327" s="126" t="n">
        <f aca="false">M327/$R$3</f>
        <v>0</v>
      </c>
      <c r="W327" s="126" t="n">
        <f aca="false">N327/$R$3</f>
        <v>1197.025</v>
      </c>
    </row>
    <row r="328" customFormat="false" ht="12.75" hidden="false" customHeight="false" outlineLevel="0" collapsed="false">
      <c r="A328" s="120" t="n">
        <f aca="false">A327+1</f>
        <v>37214</v>
      </c>
      <c r="B328" s="131" t="str">
        <f aca="false">INDEX('[4]Master Data'!$A$2:$B$8,MATCH(WEEKDAY('SC Gas MTM'!A328,3),'[4]Master Data'!$A$2:$A$8,0),2)</f>
        <v>M</v>
      </c>
      <c r="D328" s="124" t="n">
        <v>0</v>
      </c>
      <c r="E328" s="124" t="n">
        <v>0</v>
      </c>
      <c r="F328" s="124" t="n">
        <v>0</v>
      </c>
      <c r="G328" s="124" t="n">
        <v>0</v>
      </c>
      <c r="I328" s="124" t="n">
        <f aca="false">IF(MONTH($A328)=MONTH($A327),IF(G328=0,I327,G328),G328)</f>
        <v>0</v>
      </c>
      <c r="J328" s="124" t="n">
        <f aca="false">IF(MONTH($A328)=MONTH($A327),SUM(I328-I327),I328)</f>
        <v>0</v>
      </c>
      <c r="K328" s="124" t="n">
        <f aca="false">IF(WEEKDAY(A328,3)&gt;4,0,(IF(A328&lt;K$2,0,IF(A328&lt;=K$3,1,0))))</f>
        <v>0</v>
      </c>
      <c r="L328" s="124" t="n">
        <f aca="false">J328*K328</f>
        <v>0</v>
      </c>
      <c r="M328" s="124" t="n">
        <f aca="false">SUM(J$280:J328)</f>
        <v>0</v>
      </c>
      <c r="N328" s="124" t="n">
        <f aca="false">SUM(J$6:J328)</f>
        <v>1197025</v>
      </c>
      <c r="P328" s="124" t="n">
        <f aca="false">D328/P$3</f>
        <v>0</v>
      </c>
      <c r="Q328" s="124" t="n">
        <f aca="false">E328/P$3</f>
        <v>0</v>
      </c>
      <c r="R328" s="124" t="n">
        <f aca="false">F328/R$3</f>
        <v>0</v>
      </c>
      <c r="S328" s="126" t="n">
        <f aca="false">J328/$R$3</f>
        <v>0</v>
      </c>
      <c r="T328" s="126" t="n">
        <f aca="false">L328/$R$3</f>
        <v>0</v>
      </c>
      <c r="U328" s="126" t="n">
        <f aca="false">I328/$R$3</f>
        <v>0</v>
      </c>
      <c r="V328" s="126" t="n">
        <f aca="false">M328/$R$3</f>
        <v>0</v>
      </c>
      <c r="W328" s="126" t="n">
        <f aca="false">N328/$R$3</f>
        <v>1197.025</v>
      </c>
    </row>
    <row r="329" customFormat="false" ht="12.75" hidden="false" customHeight="false" outlineLevel="0" collapsed="false">
      <c r="A329" s="120" t="n">
        <f aca="false">A328+1</f>
        <v>37215</v>
      </c>
      <c r="B329" s="131" t="str">
        <f aca="false">INDEX('[4]Master Data'!$A$2:$B$8,MATCH(WEEKDAY('SC Gas MTM'!A329,3),'[4]Master Data'!$A$2:$A$8,0),2)</f>
        <v>T</v>
      </c>
      <c r="D329" s="124" t="n">
        <v>0</v>
      </c>
      <c r="E329" s="124" t="n">
        <v>0</v>
      </c>
      <c r="F329" s="124" t="n">
        <v>0</v>
      </c>
      <c r="G329" s="124" t="n">
        <v>0</v>
      </c>
      <c r="I329" s="124" t="n">
        <f aca="false">IF(MONTH($A329)=MONTH($A328),IF(G329=0,I328,G329),G329)</f>
        <v>0</v>
      </c>
      <c r="J329" s="124" t="n">
        <f aca="false">IF(MONTH($A329)=MONTH($A328),SUM(I329-I328),I329)</f>
        <v>0</v>
      </c>
      <c r="K329" s="124" t="n">
        <f aca="false">IF(WEEKDAY(A329,3)&gt;4,0,(IF(A329&lt;K$2,0,IF(A329&lt;=K$3,1,0))))</f>
        <v>0</v>
      </c>
      <c r="L329" s="124" t="n">
        <f aca="false">J329*K329</f>
        <v>0</v>
      </c>
      <c r="M329" s="124" t="n">
        <f aca="false">SUM(J$280:J329)</f>
        <v>0</v>
      </c>
      <c r="N329" s="124" t="n">
        <f aca="false">SUM(J$6:J329)</f>
        <v>1197025</v>
      </c>
      <c r="P329" s="124" t="n">
        <f aca="false">D329/P$3</f>
        <v>0</v>
      </c>
      <c r="Q329" s="124" t="n">
        <f aca="false">E329/P$3</f>
        <v>0</v>
      </c>
      <c r="R329" s="124" t="n">
        <f aca="false">F329/R$3</f>
        <v>0</v>
      </c>
      <c r="S329" s="126" t="n">
        <f aca="false">J329/$R$3</f>
        <v>0</v>
      </c>
      <c r="T329" s="126" t="n">
        <f aca="false">L329/$R$3</f>
        <v>0</v>
      </c>
      <c r="U329" s="126" t="n">
        <f aca="false">I329/$R$3</f>
        <v>0</v>
      </c>
      <c r="V329" s="126" t="n">
        <f aca="false">M329/$R$3</f>
        <v>0</v>
      </c>
      <c r="W329" s="126" t="n">
        <f aca="false">N329/$R$3</f>
        <v>1197.025</v>
      </c>
    </row>
    <row r="330" customFormat="false" ht="12.75" hidden="false" customHeight="false" outlineLevel="0" collapsed="false">
      <c r="A330" s="120" t="n">
        <f aca="false">A329+1</f>
        <v>37216</v>
      </c>
      <c r="B330" s="131" t="str">
        <f aca="false">INDEX('[4]Master Data'!$A$2:$B$8,MATCH(WEEKDAY('SC Gas MTM'!A330,3),'[4]Master Data'!$A$2:$A$8,0),2)</f>
        <v>W</v>
      </c>
      <c r="D330" s="124" t="n">
        <v>0</v>
      </c>
      <c r="E330" s="124" t="n">
        <v>0</v>
      </c>
      <c r="F330" s="124" t="n">
        <v>0</v>
      </c>
      <c r="G330" s="124" t="n">
        <v>0</v>
      </c>
      <c r="I330" s="124" t="n">
        <f aca="false">IF(MONTH($A330)=MONTH($A329),IF(G330=0,I329,G330),G330)</f>
        <v>0</v>
      </c>
      <c r="J330" s="124" t="n">
        <f aca="false">IF(MONTH($A330)=MONTH($A329),SUM(I330-I329),I330)</f>
        <v>0</v>
      </c>
      <c r="K330" s="124" t="n">
        <f aca="false">IF(WEEKDAY(A330,3)&gt;4,0,(IF(A330&lt;K$2,0,IF(A330&lt;=K$3,1,0))))</f>
        <v>0</v>
      </c>
      <c r="L330" s="124" t="n">
        <f aca="false">J330*K330</f>
        <v>0</v>
      </c>
      <c r="M330" s="124" t="n">
        <f aca="false">SUM(J$280:J330)</f>
        <v>0</v>
      </c>
      <c r="N330" s="124" t="n">
        <f aca="false">SUM(J$6:J330)</f>
        <v>1197025</v>
      </c>
      <c r="P330" s="124" t="n">
        <f aca="false">D330/P$3</f>
        <v>0</v>
      </c>
      <c r="Q330" s="124" t="n">
        <f aca="false">E330/P$3</f>
        <v>0</v>
      </c>
      <c r="R330" s="124" t="n">
        <f aca="false">F330/R$3</f>
        <v>0</v>
      </c>
      <c r="S330" s="126" t="n">
        <f aca="false">J330/$R$3</f>
        <v>0</v>
      </c>
      <c r="T330" s="126" t="n">
        <f aca="false">L330/$R$3</f>
        <v>0</v>
      </c>
      <c r="U330" s="126" t="n">
        <f aca="false">I330/$R$3</f>
        <v>0</v>
      </c>
      <c r="V330" s="126" t="n">
        <f aca="false">M330/$R$3</f>
        <v>0</v>
      </c>
      <c r="W330" s="126" t="n">
        <f aca="false">N330/$R$3</f>
        <v>1197.025</v>
      </c>
    </row>
    <row r="331" customFormat="false" ht="12.75" hidden="false" customHeight="false" outlineLevel="0" collapsed="false">
      <c r="A331" s="120" t="n">
        <f aca="false">A330+1</f>
        <v>37217</v>
      </c>
      <c r="B331" s="131" t="str">
        <f aca="false">INDEX('[4]Master Data'!$A$2:$B$8,MATCH(WEEKDAY('SC Gas MTM'!A331,3),'[4]Master Data'!$A$2:$A$8,0),2)</f>
        <v>Th</v>
      </c>
      <c r="D331" s="124" t="n">
        <v>0</v>
      </c>
      <c r="E331" s="124" t="n">
        <v>0</v>
      </c>
      <c r="F331" s="124" t="n">
        <v>0</v>
      </c>
      <c r="G331" s="124" t="n">
        <v>0</v>
      </c>
      <c r="I331" s="124" t="n">
        <f aca="false">IF(MONTH($A331)=MONTH($A330),IF(G331=0,I330,G331),G331)</f>
        <v>0</v>
      </c>
      <c r="J331" s="124" t="n">
        <f aca="false">IF(MONTH($A331)=MONTH($A330),SUM(I331-I330),I331)</f>
        <v>0</v>
      </c>
      <c r="K331" s="124" t="n">
        <f aca="false">IF(WEEKDAY(A331,3)&gt;4,0,(IF(A331&lt;K$2,0,IF(A331&lt;=K$3,1,0))))</f>
        <v>0</v>
      </c>
      <c r="L331" s="124" t="n">
        <f aca="false">J331*K331</f>
        <v>0</v>
      </c>
      <c r="M331" s="124" t="n">
        <f aca="false">SUM(J$280:J331)</f>
        <v>0</v>
      </c>
      <c r="N331" s="124" t="n">
        <f aca="false">SUM(J$6:J331)</f>
        <v>1197025</v>
      </c>
      <c r="P331" s="124" t="n">
        <f aca="false">D331/P$3</f>
        <v>0</v>
      </c>
      <c r="Q331" s="124" t="n">
        <f aca="false">E331/P$3</f>
        <v>0</v>
      </c>
      <c r="R331" s="124" t="n">
        <f aca="false">F331/R$3</f>
        <v>0</v>
      </c>
      <c r="S331" s="126" t="n">
        <f aca="false">J331/$R$3</f>
        <v>0</v>
      </c>
      <c r="T331" s="126" t="n">
        <f aca="false">L331/$R$3</f>
        <v>0</v>
      </c>
      <c r="U331" s="126" t="n">
        <f aca="false">I331/$R$3</f>
        <v>0</v>
      </c>
      <c r="V331" s="126" t="n">
        <f aca="false">M331/$R$3</f>
        <v>0</v>
      </c>
      <c r="W331" s="126" t="n">
        <f aca="false">N331/$R$3</f>
        <v>1197.025</v>
      </c>
    </row>
    <row r="332" customFormat="false" ht="12.75" hidden="false" customHeight="false" outlineLevel="0" collapsed="false">
      <c r="A332" s="120" t="n">
        <f aca="false">A331+1</f>
        <v>37218</v>
      </c>
      <c r="B332" s="131" t="str">
        <f aca="false">INDEX('[4]Master Data'!$A$2:$B$8,MATCH(WEEKDAY('SC Gas MTM'!A332,3),'[4]Master Data'!$A$2:$A$8,0),2)</f>
        <v>F</v>
      </c>
      <c r="D332" s="124" t="n">
        <v>0</v>
      </c>
      <c r="E332" s="124" t="n">
        <v>0</v>
      </c>
      <c r="F332" s="124" t="n">
        <v>0</v>
      </c>
      <c r="G332" s="124" t="n">
        <v>0</v>
      </c>
      <c r="I332" s="124" t="n">
        <f aca="false">IF(MONTH($A332)=MONTH($A331),IF(G332=0,I331,G332),G332)</f>
        <v>0</v>
      </c>
      <c r="J332" s="124" t="n">
        <f aca="false">IF(MONTH($A332)=MONTH($A331),SUM(I332-I331),I332)</f>
        <v>0</v>
      </c>
      <c r="K332" s="124" t="n">
        <f aca="false">IF(WEEKDAY(A332,3)&gt;4,0,(IF(A332&lt;K$2,0,IF(A332&lt;=K$3,1,0))))</f>
        <v>0</v>
      </c>
      <c r="L332" s="124" t="n">
        <f aca="false">J332*K332</f>
        <v>0</v>
      </c>
      <c r="M332" s="124" t="n">
        <f aca="false">SUM(J$280:J332)</f>
        <v>0</v>
      </c>
      <c r="N332" s="124" t="n">
        <f aca="false">SUM(J$6:J332)</f>
        <v>1197025</v>
      </c>
      <c r="P332" s="124" t="n">
        <f aca="false">D332/P$3</f>
        <v>0</v>
      </c>
      <c r="Q332" s="124" t="n">
        <f aca="false">E332/P$3</f>
        <v>0</v>
      </c>
      <c r="R332" s="124" t="n">
        <f aca="false">F332/R$3</f>
        <v>0</v>
      </c>
      <c r="S332" s="126" t="n">
        <f aca="false">J332/$R$3</f>
        <v>0</v>
      </c>
      <c r="T332" s="126" t="n">
        <f aca="false">L332/$R$3</f>
        <v>0</v>
      </c>
      <c r="U332" s="126" t="n">
        <f aca="false">I332/$R$3</f>
        <v>0</v>
      </c>
      <c r="V332" s="126" t="n">
        <f aca="false">M332/$R$3</f>
        <v>0</v>
      </c>
      <c r="W332" s="126" t="n">
        <f aca="false">N332/$R$3</f>
        <v>1197.025</v>
      </c>
    </row>
    <row r="333" customFormat="false" ht="12.75" hidden="false" customHeight="false" outlineLevel="0" collapsed="false">
      <c r="A333" s="120" t="n">
        <f aca="false">A332+1</f>
        <v>37219</v>
      </c>
      <c r="B333" s="131" t="str">
        <f aca="false">INDEX('[4]Master Data'!$A$2:$B$8,MATCH(WEEKDAY('SC Gas MTM'!A333,3),'[4]Master Data'!$A$2:$A$8,0),2)</f>
        <v>Sa</v>
      </c>
      <c r="D333" s="124" t="n">
        <v>0</v>
      </c>
      <c r="E333" s="124" t="n">
        <v>0</v>
      </c>
      <c r="F333" s="124" t="n">
        <v>0</v>
      </c>
      <c r="G333" s="124" t="n">
        <v>0</v>
      </c>
      <c r="I333" s="124" t="n">
        <f aca="false">IF(MONTH($A333)=MONTH($A332),IF(G333=0,I332,G333),G333)</f>
        <v>0</v>
      </c>
      <c r="J333" s="124" t="n">
        <f aca="false">IF(MONTH($A333)=MONTH($A332),SUM(I333-I332),I333)</f>
        <v>0</v>
      </c>
      <c r="K333" s="124" t="n">
        <f aca="false">IF(WEEKDAY(A333,3)&gt;4,0,(IF(A333&lt;K$2,0,IF(A333&lt;=K$3,1,0))))</f>
        <v>0</v>
      </c>
      <c r="L333" s="124" t="n">
        <f aca="false">J333*K333</f>
        <v>0</v>
      </c>
      <c r="M333" s="124" t="n">
        <f aca="false">SUM(J$280:J333)</f>
        <v>0</v>
      </c>
      <c r="N333" s="124" t="n">
        <f aca="false">SUM(J$6:J333)</f>
        <v>1197025</v>
      </c>
      <c r="P333" s="124" t="n">
        <f aca="false">D333/P$3</f>
        <v>0</v>
      </c>
      <c r="Q333" s="124" t="n">
        <f aca="false">E333/P$3</f>
        <v>0</v>
      </c>
      <c r="R333" s="124" t="n">
        <f aca="false">F333/R$3</f>
        <v>0</v>
      </c>
      <c r="S333" s="126" t="n">
        <f aca="false">J333/$R$3</f>
        <v>0</v>
      </c>
      <c r="T333" s="126" t="n">
        <f aca="false">L333/$R$3</f>
        <v>0</v>
      </c>
      <c r="U333" s="126" t="n">
        <f aca="false">I333/$R$3</f>
        <v>0</v>
      </c>
      <c r="V333" s="126" t="n">
        <f aca="false">M333/$R$3</f>
        <v>0</v>
      </c>
      <c r="W333" s="126" t="n">
        <f aca="false">N333/$R$3</f>
        <v>1197.025</v>
      </c>
    </row>
    <row r="334" customFormat="false" ht="12.75" hidden="false" customHeight="false" outlineLevel="0" collapsed="false">
      <c r="A334" s="120" t="n">
        <f aca="false">A333+1</f>
        <v>37220</v>
      </c>
      <c r="B334" s="131" t="str">
        <f aca="false">INDEX('[4]Master Data'!$A$2:$B$8,MATCH(WEEKDAY('SC Gas MTM'!A334,3),'[4]Master Data'!$A$2:$A$8,0),2)</f>
        <v>Su</v>
      </c>
      <c r="D334" s="124" t="n">
        <v>0</v>
      </c>
      <c r="E334" s="124" t="n">
        <v>0</v>
      </c>
      <c r="F334" s="124" t="n">
        <v>0</v>
      </c>
      <c r="G334" s="124" t="n">
        <v>0</v>
      </c>
      <c r="I334" s="124" t="n">
        <f aca="false">IF(MONTH($A334)=MONTH($A333),IF(G334=0,I333,G334),G334)</f>
        <v>0</v>
      </c>
      <c r="J334" s="124" t="n">
        <f aca="false">IF(MONTH($A334)=MONTH($A333),SUM(I334-I333),I334)</f>
        <v>0</v>
      </c>
      <c r="K334" s="124" t="n">
        <f aca="false">IF(WEEKDAY(A334,3)&gt;4,0,(IF(A334&lt;K$2,0,IF(A334&lt;=K$3,1,0))))</f>
        <v>0</v>
      </c>
      <c r="L334" s="124" t="n">
        <f aca="false">J334*K334</f>
        <v>0</v>
      </c>
      <c r="M334" s="124" t="n">
        <f aca="false">SUM(J$280:J334)</f>
        <v>0</v>
      </c>
      <c r="N334" s="124" t="n">
        <f aca="false">SUM(J$6:J334)</f>
        <v>1197025</v>
      </c>
      <c r="P334" s="124" t="n">
        <f aca="false">D334/P$3</f>
        <v>0</v>
      </c>
      <c r="Q334" s="124" t="n">
        <f aca="false">E334/P$3</f>
        <v>0</v>
      </c>
      <c r="R334" s="124" t="n">
        <f aca="false">F334/R$3</f>
        <v>0</v>
      </c>
      <c r="S334" s="126" t="n">
        <f aca="false">J334/$R$3</f>
        <v>0</v>
      </c>
      <c r="T334" s="126" t="n">
        <f aca="false">L334/$R$3</f>
        <v>0</v>
      </c>
      <c r="U334" s="126" t="n">
        <f aca="false">I334/$R$3</f>
        <v>0</v>
      </c>
      <c r="V334" s="126" t="n">
        <f aca="false">M334/$R$3</f>
        <v>0</v>
      </c>
      <c r="W334" s="126" t="n">
        <f aca="false">N334/$R$3</f>
        <v>1197.025</v>
      </c>
    </row>
    <row r="335" customFormat="false" ht="12.75" hidden="false" customHeight="false" outlineLevel="0" collapsed="false">
      <c r="A335" s="120" t="n">
        <f aca="false">A334+1</f>
        <v>37221</v>
      </c>
      <c r="B335" s="131" t="str">
        <f aca="false">INDEX('[4]Master Data'!$A$2:$B$8,MATCH(WEEKDAY('SC Gas MTM'!A335,3),'[4]Master Data'!$A$2:$A$8,0),2)</f>
        <v>M</v>
      </c>
      <c r="D335" s="124" t="n">
        <v>0</v>
      </c>
      <c r="E335" s="124" t="n">
        <v>0</v>
      </c>
      <c r="F335" s="124" t="n">
        <v>0</v>
      </c>
      <c r="G335" s="124" t="n">
        <v>0</v>
      </c>
      <c r="I335" s="124" t="n">
        <f aca="false">IF(MONTH($A335)=MONTH($A334),IF(G335=0,I334,G335),G335)</f>
        <v>0</v>
      </c>
      <c r="J335" s="124" t="n">
        <f aca="false">IF(MONTH($A335)=MONTH($A334),SUM(I335-I334),I335)</f>
        <v>0</v>
      </c>
      <c r="K335" s="124" t="n">
        <f aca="false">IF(WEEKDAY(A335,3)&gt;4,0,(IF(A335&lt;K$2,0,IF(A335&lt;=K$3,1,0))))</f>
        <v>0</v>
      </c>
      <c r="L335" s="124" t="n">
        <f aca="false">J335*K335</f>
        <v>0</v>
      </c>
      <c r="M335" s="124" t="n">
        <f aca="false">SUM(J$280:J335)</f>
        <v>0</v>
      </c>
      <c r="N335" s="124" t="n">
        <f aca="false">SUM(J$6:J335)</f>
        <v>1197025</v>
      </c>
      <c r="P335" s="124" t="n">
        <f aca="false">D335/P$3</f>
        <v>0</v>
      </c>
      <c r="Q335" s="124" t="n">
        <f aca="false">E335/P$3</f>
        <v>0</v>
      </c>
      <c r="R335" s="124" t="n">
        <f aca="false">F335/R$3</f>
        <v>0</v>
      </c>
      <c r="S335" s="126" t="n">
        <f aca="false">J335/$R$3</f>
        <v>0</v>
      </c>
      <c r="T335" s="126" t="n">
        <f aca="false">L335/$R$3</f>
        <v>0</v>
      </c>
      <c r="U335" s="126" t="n">
        <f aca="false">I335/$R$3</f>
        <v>0</v>
      </c>
      <c r="V335" s="126" t="n">
        <f aca="false">M335/$R$3</f>
        <v>0</v>
      </c>
      <c r="W335" s="126" t="n">
        <f aca="false">N335/$R$3</f>
        <v>1197.025</v>
      </c>
    </row>
    <row r="336" customFormat="false" ht="12.75" hidden="false" customHeight="false" outlineLevel="0" collapsed="false">
      <c r="A336" s="120" t="n">
        <f aca="false">A335+1</f>
        <v>37222</v>
      </c>
      <c r="B336" s="131" t="str">
        <f aca="false">INDEX('[4]Master Data'!$A$2:$B$8,MATCH(WEEKDAY('SC Gas MTM'!A336,3),'[4]Master Data'!$A$2:$A$8,0),2)</f>
        <v>T</v>
      </c>
      <c r="D336" s="124" t="n">
        <v>0</v>
      </c>
      <c r="E336" s="124" t="n">
        <v>0</v>
      </c>
      <c r="F336" s="124" t="n">
        <v>0</v>
      </c>
      <c r="G336" s="124" t="n">
        <v>0</v>
      </c>
      <c r="I336" s="124" t="n">
        <f aca="false">IF(MONTH($A336)=MONTH($A335),IF(G336=0,I335,G336),G336)</f>
        <v>0</v>
      </c>
      <c r="J336" s="124" t="n">
        <f aca="false">IF(MONTH($A336)=MONTH($A335),SUM(I336-I335),I336)</f>
        <v>0</v>
      </c>
      <c r="K336" s="124" t="n">
        <f aca="false">IF(WEEKDAY(A336,3)&gt;4,0,(IF(A336&lt;K$2,0,IF(A336&lt;=K$3,1,0))))</f>
        <v>0</v>
      </c>
      <c r="L336" s="124" t="n">
        <f aca="false">J336*K336</f>
        <v>0</v>
      </c>
      <c r="M336" s="124" t="n">
        <f aca="false">SUM(J$280:J336)</f>
        <v>0</v>
      </c>
      <c r="N336" s="124" t="n">
        <f aca="false">SUM(J$6:J336)</f>
        <v>1197025</v>
      </c>
      <c r="P336" s="124" t="n">
        <f aca="false">D336/P$3</f>
        <v>0</v>
      </c>
      <c r="Q336" s="124" t="n">
        <f aca="false">E336/P$3</f>
        <v>0</v>
      </c>
      <c r="R336" s="124" t="n">
        <f aca="false">F336/R$3</f>
        <v>0</v>
      </c>
      <c r="S336" s="126" t="n">
        <f aca="false">J336/$R$3</f>
        <v>0</v>
      </c>
      <c r="T336" s="126" t="n">
        <f aca="false">L336/$R$3</f>
        <v>0</v>
      </c>
      <c r="U336" s="126" t="n">
        <f aca="false">I336/$R$3</f>
        <v>0</v>
      </c>
      <c r="V336" s="126" t="n">
        <f aca="false">M336/$R$3</f>
        <v>0</v>
      </c>
      <c r="W336" s="126" t="n">
        <f aca="false">N336/$R$3</f>
        <v>1197.025</v>
      </c>
    </row>
    <row r="337" customFormat="false" ht="12.75" hidden="false" customHeight="false" outlineLevel="0" collapsed="false">
      <c r="A337" s="120" t="n">
        <f aca="false">A336+1</f>
        <v>37223</v>
      </c>
      <c r="B337" s="131" t="str">
        <f aca="false">INDEX('[4]Master Data'!$A$2:$B$8,MATCH(WEEKDAY('SC Gas MTM'!A337,3),'[4]Master Data'!$A$2:$A$8,0),2)</f>
        <v>W</v>
      </c>
      <c r="D337" s="124" t="n">
        <v>0</v>
      </c>
      <c r="E337" s="124" t="n">
        <v>0</v>
      </c>
      <c r="F337" s="124" t="n">
        <v>0</v>
      </c>
      <c r="G337" s="124" t="n">
        <v>0</v>
      </c>
      <c r="I337" s="124" t="n">
        <f aca="false">IF(MONTH($A337)=MONTH($A336),IF(G337=0,I336,G337),G337)</f>
        <v>0</v>
      </c>
      <c r="J337" s="124" t="n">
        <f aca="false">IF(MONTH($A337)=MONTH($A336),SUM(I337-I336),I337)</f>
        <v>0</v>
      </c>
      <c r="K337" s="124" t="n">
        <f aca="false">IF(WEEKDAY(A337,3)&gt;4,0,(IF(A337&lt;K$2,0,IF(A337&lt;=K$3,1,0))))</f>
        <v>0</v>
      </c>
      <c r="L337" s="124" t="n">
        <f aca="false">J337*K337</f>
        <v>0</v>
      </c>
      <c r="M337" s="124" t="n">
        <f aca="false">SUM(J$280:J337)</f>
        <v>0</v>
      </c>
      <c r="N337" s="124" t="n">
        <f aca="false">SUM(J$6:J337)</f>
        <v>1197025</v>
      </c>
      <c r="P337" s="124" t="n">
        <f aca="false">D337/P$3</f>
        <v>0</v>
      </c>
      <c r="Q337" s="124" t="n">
        <f aca="false">E337/P$3</f>
        <v>0</v>
      </c>
      <c r="R337" s="124" t="n">
        <f aca="false">F337/R$3</f>
        <v>0</v>
      </c>
      <c r="S337" s="126" t="n">
        <f aca="false">J337/$R$3</f>
        <v>0</v>
      </c>
      <c r="T337" s="126" t="n">
        <f aca="false">L337/$R$3</f>
        <v>0</v>
      </c>
      <c r="U337" s="126" t="n">
        <f aca="false">I337/$R$3</f>
        <v>0</v>
      </c>
      <c r="V337" s="126" t="n">
        <f aca="false">M337/$R$3</f>
        <v>0</v>
      </c>
      <c r="W337" s="126" t="n">
        <f aca="false">N337/$R$3</f>
        <v>1197.025</v>
      </c>
    </row>
    <row r="338" customFormat="false" ht="12.75" hidden="false" customHeight="false" outlineLevel="0" collapsed="false">
      <c r="A338" s="120" t="n">
        <f aca="false">A337+1</f>
        <v>37224</v>
      </c>
      <c r="B338" s="131" t="str">
        <f aca="false">INDEX('[4]Master Data'!$A$2:$B$8,MATCH(WEEKDAY('SC Gas MTM'!A338,3),'[4]Master Data'!$A$2:$A$8,0),2)</f>
        <v>Th</v>
      </c>
      <c r="D338" s="124" t="n">
        <v>0</v>
      </c>
      <c r="E338" s="124" t="n">
        <v>0</v>
      </c>
      <c r="F338" s="124" t="n">
        <v>0</v>
      </c>
      <c r="G338" s="124" t="n">
        <v>0</v>
      </c>
      <c r="I338" s="124" t="n">
        <f aca="false">IF(MONTH($A338)=MONTH($A337),IF(G338=0,I337,G338),G338)</f>
        <v>0</v>
      </c>
      <c r="J338" s="124" t="n">
        <f aca="false">IF(MONTH($A338)=MONTH($A337),SUM(I338-I337),I338)</f>
        <v>0</v>
      </c>
      <c r="K338" s="124" t="n">
        <f aca="false">IF(WEEKDAY(A338,3)&gt;4,0,(IF(A338&lt;K$2,0,IF(A338&lt;=K$3,1,0))))</f>
        <v>0</v>
      </c>
      <c r="L338" s="124" t="n">
        <f aca="false">J338*K338</f>
        <v>0</v>
      </c>
      <c r="M338" s="124" t="n">
        <f aca="false">SUM(J$280:J338)</f>
        <v>0</v>
      </c>
      <c r="N338" s="124" t="n">
        <f aca="false">SUM(J$6:J338)</f>
        <v>1197025</v>
      </c>
      <c r="P338" s="124" t="n">
        <f aca="false">D338/P$3</f>
        <v>0</v>
      </c>
      <c r="Q338" s="124" t="n">
        <f aca="false">E338/P$3</f>
        <v>0</v>
      </c>
      <c r="R338" s="124" t="n">
        <f aca="false">F338/R$3</f>
        <v>0</v>
      </c>
      <c r="S338" s="126" t="n">
        <f aca="false">J338/$R$3</f>
        <v>0</v>
      </c>
      <c r="T338" s="126" t="n">
        <f aca="false">L338/$R$3</f>
        <v>0</v>
      </c>
      <c r="U338" s="126" t="n">
        <f aca="false">I338/$R$3</f>
        <v>0</v>
      </c>
      <c r="V338" s="126" t="n">
        <f aca="false">M338/$R$3</f>
        <v>0</v>
      </c>
      <c r="W338" s="126" t="n">
        <f aca="false">N338/$R$3</f>
        <v>1197.025</v>
      </c>
    </row>
    <row r="339" customFormat="false" ht="12.75" hidden="false" customHeight="false" outlineLevel="0" collapsed="false">
      <c r="A339" s="120" t="n">
        <f aca="false">A338+1</f>
        <v>37225</v>
      </c>
      <c r="B339" s="131" t="str">
        <f aca="false">INDEX('[4]Master Data'!$A$2:$B$8,MATCH(WEEKDAY('SC Gas MTM'!A339,3),'[4]Master Data'!$A$2:$A$8,0),2)</f>
        <v>F</v>
      </c>
      <c r="D339" s="124" t="n">
        <v>0</v>
      </c>
      <c r="E339" s="124" t="n">
        <v>0</v>
      </c>
      <c r="F339" s="124" t="n">
        <v>0</v>
      </c>
      <c r="G339" s="124" t="n">
        <v>0</v>
      </c>
      <c r="I339" s="124" t="n">
        <f aca="false">IF(MONTH($A339)=MONTH($A338),IF(G339=0,I338,G339),G339)</f>
        <v>0</v>
      </c>
      <c r="J339" s="124" t="n">
        <f aca="false">IF(MONTH($A339)=MONTH($A338),SUM(I339-I338),I339)</f>
        <v>0</v>
      </c>
      <c r="K339" s="124" t="n">
        <f aca="false">IF(WEEKDAY(A339,3)&gt;4,0,(IF(A339&lt;K$2,0,IF(A339&lt;=K$3,1,0))))</f>
        <v>0</v>
      </c>
      <c r="L339" s="124" t="n">
        <f aca="false">J339*K339</f>
        <v>0</v>
      </c>
      <c r="M339" s="124" t="n">
        <f aca="false">SUM(J$280:J339)</f>
        <v>0</v>
      </c>
      <c r="N339" s="124" t="n">
        <f aca="false">SUM(J$6:J339)</f>
        <v>1197025</v>
      </c>
      <c r="P339" s="124" t="n">
        <f aca="false">D339/P$3</f>
        <v>0</v>
      </c>
      <c r="Q339" s="124" t="n">
        <f aca="false">E339/P$3</f>
        <v>0</v>
      </c>
      <c r="R339" s="124" t="n">
        <f aca="false">F339/R$3</f>
        <v>0</v>
      </c>
      <c r="S339" s="126" t="n">
        <f aca="false">J339/$R$3</f>
        <v>0</v>
      </c>
      <c r="T339" s="126" t="n">
        <f aca="false">L339/$R$3</f>
        <v>0</v>
      </c>
      <c r="U339" s="126" t="n">
        <f aca="false">I339/$R$3</f>
        <v>0</v>
      </c>
      <c r="V339" s="126" t="n">
        <f aca="false">M339/$R$3</f>
        <v>0</v>
      </c>
      <c r="W339" s="126" t="n">
        <f aca="false">N339/$R$3</f>
        <v>1197.025</v>
      </c>
    </row>
    <row r="340" customFormat="false" ht="12.75" hidden="false" customHeight="false" outlineLevel="0" collapsed="false">
      <c r="A340" s="120" t="n">
        <f aca="false">A339+1</f>
        <v>37226</v>
      </c>
      <c r="B340" s="131" t="str">
        <f aca="false">INDEX('[4]Master Data'!$A$2:$B$8,MATCH(WEEKDAY('SC Gas MTM'!A340,3),'[4]Master Data'!$A$2:$A$8,0),2)</f>
        <v>Sa</v>
      </c>
      <c r="D340" s="124" t="n">
        <v>0</v>
      </c>
      <c r="E340" s="124" t="n">
        <v>0</v>
      </c>
      <c r="F340" s="124" t="n">
        <v>0</v>
      </c>
      <c r="G340" s="124" t="n">
        <v>0</v>
      </c>
      <c r="I340" s="124" t="n">
        <f aca="false">IF(MONTH($A340)=MONTH($A339),IF(G340=0,I339,G340),G340)</f>
        <v>0</v>
      </c>
      <c r="J340" s="124" t="n">
        <f aca="false">IF(MONTH($A340)=MONTH($A339),SUM(I340-I339),I340)</f>
        <v>0</v>
      </c>
      <c r="K340" s="124" t="n">
        <f aca="false">IF(WEEKDAY(A340,3)&gt;4,0,(IF(A340&lt;K$2,0,IF(A340&lt;=K$3,1,0))))</f>
        <v>0</v>
      </c>
      <c r="L340" s="124" t="n">
        <f aca="false">J340*K340</f>
        <v>0</v>
      </c>
      <c r="M340" s="124" t="n">
        <f aca="false">SUM(J$280:J340)</f>
        <v>0</v>
      </c>
      <c r="N340" s="124" t="n">
        <f aca="false">SUM(J$6:J340)</f>
        <v>1197025</v>
      </c>
      <c r="P340" s="124" t="n">
        <f aca="false">D340/P$3</f>
        <v>0</v>
      </c>
      <c r="Q340" s="124" t="n">
        <f aca="false">E340/P$3</f>
        <v>0</v>
      </c>
      <c r="R340" s="124" t="n">
        <f aca="false">F340/R$3</f>
        <v>0</v>
      </c>
      <c r="S340" s="126" t="n">
        <f aca="false">J340/$R$3</f>
        <v>0</v>
      </c>
      <c r="T340" s="126" t="n">
        <f aca="false">L340/$R$3</f>
        <v>0</v>
      </c>
      <c r="U340" s="126" t="n">
        <f aca="false">I340/$R$3</f>
        <v>0</v>
      </c>
      <c r="V340" s="126" t="n">
        <f aca="false">M340/$R$3</f>
        <v>0</v>
      </c>
      <c r="W340" s="126" t="n">
        <f aca="false">N340/$R$3</f>
        <v>1197.025</v>
      </c>
    </row>
    <row r="341" customFormat="false" ht="12.75" hidden="false" customHeight="false" outlineLevel="0" collapsed="false">
      <c r="A341" s="120" t="n">
        <f aca="false">A340+1</f>
        <v>37227</v>
      </c>
      <c r="B341" s="131" t="str">
        <f aca="false">INDEX('[4]Master Data'!$A$2:$B$8,MATCH(WEEKDAY('SC Gas MTM'!A341,3),'[4]Master Data'!$A$2:$A$8,0),2)</f>
        <v>Su</v>
      </c>
      <c r="D341" s="124" t="n">
        <v>0</v>
      </c>
      <c r="E341" s="124" t="n">
        <v>0</v>
      </c>
      <c r="F341" s="124" t="n">
        <v>0</v>
      </c>
      <c r="G341" s="124" t="n">
        <v>0</v>
      </c>
      <c r="I341" s="124" t="n">
        <f aca="false">IF(MONTH($A341)=MONTH($A340),IF(G341=0,I340,G341),G341)</f>
        <v>0</v>
      </c>
      <c r="J341" s="124" t="n">
        <f aca="false">IF(MONTH($A341)=MONTH($A340),SUM(I341-I340),I341)</f>
        <v>0</v>
      </c>
      <c r="K341" s="124" t="n">
        <f aca="false">IF(WEEKDAY(A341,3)&gt;4,0,(IF(A341&lt;K$2,0,IF(A341&lt;=K$3,1,0))))</f>
        <v>0</v>
      </c>
      <c r="L341" s="124" t="n">
        <f aca="false">J341*K341</f>
        <v>0</v>
      </c>
      <c r="M341" s="124" t="n">
        <f aca="false">SUM(J$280:J341)</f>
        <v>0</v>
      </c>
      <c r="N341" s="124" t="n">
        <f aca="false">SUM(J$6:J341)</f>
        <v>1197025</v>
      </c>
      <c r="P341" s="124" t="n">
        <f aca="false">D341/P$3</f>
        <v>0</v>
      </c>
      <c r="Q341" s="124" t="n">
        <f aca="false">E341/P$3</f>
        <v>0</v>
      </c>
      <c r="R341" s="124" t="n">
        <f aca="false">F341/R$3</f>
        <v>0</v>
      </c>
      <c r="S341" s="126" t="n">
        <f aca="false">J341/$R$3</f>
        <v>0</v>
      </c>
      <c r="T341" s="126" t="n">
        <f aca="false">L341/$R$3</f>
        <v>0</v>
      </c>
      <c r="U341" s="126" t="n">
        <f aca="false">I341/$R$3</f>
        <v>0</v>
      </c>
      <c r="V341" s="126" t="n">
        <f aca="false">M341/$R$3</f>
        <v>0</v>
      </c>
      <c r="W341" s="126" t="n">
        <f aca="false">N341/$R$3</f>
        <v>1197.025</v>
      </c>
    </row>
    <row r="342" customFormat="false" ht="12.75" hidden="false" customHeight="false" outlineLevel="0" collapsed="false">
      <c r="A342" s="120" t="n">
        <f aca="false">A341+1</f>
        <v>37228</v>
      </c>
      <c r="B342" s="131" t="str">
        <f aca="false">INDEX('[4]Master Data'!$A$2:$B$8,MATCH(WEEKDAY('SC Gas MTM'!A342,3),'[4]Master Data'!$A$2:$A$8,0),2)</f>
        <v>M</v>
      </c>
      <c r="D342" s="124" t="n">
        <v>0</v>
      </c>
      <c r="E342" s="124" t="n">
        <v>0</v>
      </c>
      <c r="F342" s="124" t="n">
        <v>0</v>
      </c>
      <c r="G342" s="124" t="n">
        <v>0</v>
      </c>
      <c r="I342" s="124" t="n">
        <f aca="false">IF(MONTH($A342)=MONTH($A341),IF(G342=0,I341,G342),G342)</f>
        <v>0</v>
      </c>
      <c r="J342" s="124" t="n">
        <f aca="false">IF(MONTH($A342)=MONTH($A341),SUM(I342-I341),I342)</f>
        <v>0</v>
      </c>
      <c r="K342" s="124" t="n">
        <f aca="false">IF(WEEKDAY(A342,3)&gt;4,0,(IF(A342&lt;K$2,0,IF(A342&lt;=K$3,1,0))))</f>
        <v>0</v>
      </c>
      <c r="L342" s="124" t="n">
        <f aca="false">J342*K342</f>
        <v>0</v>
      </c>
      <c r="M342" s="124" t="n">
        <f aca="false">SUM(J$280:J342)</f>
        <v>0</v>
      </c>
      <c r="N342" s="124" t="n">
        <f aca="false">SUM(J$6:J342)</f>
        <v>1197025</v>
      </c>
      <c r="P342" s="124" t="n">
        <f aca="false">D342/P$3</f>
        <v>0</v>
      </c>
      <c r="Q342" s="124" t="n">
        <f aca="false">E342/P$3</f>
        <v>0</v>
      </c>
      <c r="R342" s="124" t="n">
        <f aca="false">F342/R$3</f>
        <v>0</v>
      </c>
      <c r="S342" s="126" t="n">
        <f aca="false">J342/$R$3</f>
        <v>0</v>
      </c>
      <c r="T342" s="126" t="n">
        <f aca="false">L342/$R$3</f>
        <v>0</v>
      </c>
      <c r="U342" s="126" t="n">
        <f aca="false">I342/$R$3</f>
        <v>0</v>
      </c>
      <c r="V342" s="126" t="n">
        <f aca="false">M342/$R$3</f>
        <v>0</v>
      </c>
      <c r="W342" s="126" t="n">
        <f aca="false">N342/$R$3</f>
        <v>1197.025</v>
      </c>
    </row>
    <row r="343" customFormat="false" ht="12.75" hidden="false" customHeight="false" outlineLevel="0" collapsed="false">
      <c r="A343" s="120" t="n">
        <f aca="false">A342+1</f>
        <v>37229</v>
      </c>
      <c r="B343" s="131" t="str">
        <f aca="false">INDEX('[4]Master Data'!$A$2:$B$8,MATCH(WEEKDAY('SC Gas MTM'!A343,3),'[4]Master Data'!$A$2:$A$8,0),2)</f>
        <v>T</v>
      </c>
      <c r="D343" s="124" t="n">
        <v>0</v>
      </c>
      <c r="E343" s="124" t="n">
        <v>0</v>
      </c>
      <c r="F343" s="124" t="n">
        <v>0</v>
      </c>
      <c r="G343" s="124" t="n">
        <v>0</v>
      </c>
      <c r="I343" s="124" t="n">
        <f aca="false">IF(MONTH($A343)=MONTH($A342),IF(G343=0,I342,G343),G343)</f>
        <v>0</v>
      </c>
      <c r="J343" s="124" t="n">
        <f aca="false">IF(MONTH($A343)=MONTH($A342),SUM(I343-I342),I343)</f>
        <v>0</v>
      </c>
      <c r="K343" s="124" t="n">
        <f aca="false">IF(WEEKDAY(A343,3)&gt;4,0,(IF(A343&lt;K$2,0,IF(A343&lt;=K$3,1,0))))</f>
        <v>0</v>
      </c>
      <c r="L343" s="124" t="n">
        <f aca="false">J343*K343</f>
        <v>0</v>
      </c>
      <c r="M343" s="124" t="n">
        <f aca="false">SUM(J$280:J343)</f>
        <v>0</v>
      </c>
      <c r="N343" s="124" t="n">
        <f aca="false">SUM(J$6:J343)</f>
        <v>1197025</v>
      </c>
      <c r="P343" s="124" t="n">
        <f aca="false">D343/P$3</f>
        <v>0</v>
      </c>
      <c r="Q343" s="124" t="n">
        <f aca="false">E343/P$3</f>
        <v>0</v>
      </c>
      <c r="R343" s="124" t="n">
        <f aca="false">F343/R$3</f>
        <v>0</v>
      </c>
      <c r="S343" s="126" t="n">
        <f aca="false">J343/$R$3</f>
        <v>0</v>
      </c>
      <c r="T343" s="126" t="n">
        <f aca="false">L343/$R$3</f>
        <v>0</v>
      </c>
      <c r="U343" s="126" t="n">
        <f aca="false">I343/$R$3</f>
        <v>0</v>
      </c>
      <c r="V343" s="126" t="n">
        <f aca="false">M343/$R$3</f>
        <v>0</v>
      </c>
      <c r="W343" s="126" t="n">
        <f aca="false">N343/$R$3</f>
        <v>1197.025</v>
      </c>
    </row>
    <row r="344" customFormat="false" ht="12.75" hidden="false" customHeight="false" outlineLevel="0" collapsed="false">
      <c r="A344" s="120" t="n">
        <f aca="false">A343+1</f>
        <v>37230</v>
      </c>
      <c r="B344" s="131" t="str">
        <f aca="false">INDEX('[4]Master Data'!$A$2:$B$8,MATCH(WEEKDAY('SC Gas MTM'!A344,3),'[4]Master Data'!$A$2:$A$8,0),2)</f>
        <v>W</v>
      </c>
      <c r="D344" s="124" t="n">
        <v>0</v>
      </c>
      <c r="E344" s="124" t="n">
        <v>0</v>
      </c>
      <c r="F344" s="124" t="n">
        <v>0</v>
      </c>
      <c r="G344" s="124" t="n">
        <v>0</v>
      </c>
      <c r="I344" s="124" t="n">
        <f aca="false">IF(MONTH($A344)=MONTH($A343),IF(G344=0,I343,G344),G344)</f>
        <v>0</v>
      </c>
      <c r="J344" s="124" t="n">
        <f aca="false">IF(MONTH($A344)=MONTH($A343),SUM(I344-I343),I344)</f>
        <v>0</v>
      </c>
      <c r="K344" s="124" t="n">
        <f aca="false">IF(WEEKDAY(A344,3)&gt;4,0,(IF(A344&lt;K$2,0,IF(A344&lt;=K$3,1,0))))</f>
        <v>0</v>
      </c>
      <c r="L344" s="124" t="n">
        <f aca="false">J344*K344</f>
        <v>0</v>
      </c>
      <c r="M344" s="124" t="n">
        <f aca="false">SUM(J$280:J344)</f>
        <v>0</v>
      </c>
      <c r="N344" s="124" t="n">
        <f aca="false">SUM(J$6:J344)</f>
        <v>1197025</v>
      </c>
      <c r="P344" s="124" t="n">
        <f aca="false">D344/P$3</f>
        <v>0</v>
      </c>
      <c r="Q344" s="124" t="n">
        <f aca="false">E344/P$3</f>
        <v>0</v>
      </c>
      <c r="R344" s="124" t="n">
        <f aca="false">F344/R$3</f>
        <v>0</v>
      </c>
      <c r="S344" s="126" t="n">
        <f aca="false">J344/$R$3</f>
        <v>0</v>
      </c>
      <c r="T344" s="126" t="n">
        <f aca="false">L344/$R$3</f>
        <v>0</v>
      </c>
      <c r="U344" s="126" t="n">
        <f aca="false">I344/$R$3</f>
        <v>0</v>
      </c>
      <c r="V344" s="126" t="n">
        <f aca="false">M344/$R$3</f>
        <v>0</v>
      </c>
      <c r="W344" s="126" t="n">
        <f aca="false">N344/$R$3</f>
        <v>1197.025</v>
      </c>
    </row>
    <row r="345" customFormat="false" ht="12.75" hidden="false" customHeight="false" outlineLevel="0" collapsed="false">
      <c r="A345" s="120" t="n">
        <f aca="false">A344+1</f>
        <v>37231</v>
      </c>
      <c r="B345" s="131" t="str">
        <f aca="false">INDEX('[4]Master Data'!$A$2:$B$8,MATCH(WEEKDAY('SC Gas MTM'!A345,3),'[4]Master Data'!$A$2:$A$8,0),2)</f>
        <v>Th</v>
      </c>
      <c r="D345" s="124" t="n">
        <v>0</v>
      </c>
      <c r="E345" s="124" t="n">
        <v>0</v>
      </c>
      <c r="F345" s="124" t="n">
        <v>0</v>
      </c>
      <c r="G345" s="124" t="n">
        <v>0</v>
      </c>
      <c r="I345" s="124" t="n">
        <f aca="false">IF(MONTH($A345)=MONTH($A344),IF(G345=0,I344,G345),G345)</f>
        <v>0</v>
      </c>
      <c r="J345" s="124" t="n">
        <f aca="false">IF(MONTH($A345)=MONTH($A344),SUM(I345-I344),I345)</f>
        <v>0</v>
      </c>
      <c r="K345" s="124" t="n">
        <f aca="false">IF(WEEKDAY(A345,3)&gt;4,0,(IF(A345&lt;K$2,0,IF(A345&lt;=K$3,1,0))))</f>
        <v>0</v>
      </c>
      <c r="L345" s="124" t="n">
        <f aca="false">J345*K345</f>
        <v>0</v>
      </c>
      <c r="M345" s="124" t="n">
        <f aca="false">SUM(J$280:J345)</f>
        <v>0</v>
      </c>
      <c r="N345" s="124" t="n">
        <f aca="false">SUM(J$6:J345)</f>
        <v>1197025</v>
      </c>
      <c r="P345" s="124" t="n">
        <f aca="false">D345/P$3</f>
        <v>0</v>
      </c>
      <c r="Q345" s="124" t="n">
        <f aca="false">E345/P$3</f>
        <v>0</v>
      </c>
      <c r="R345" s="124" t="n">
        <f aca="false">F345/R$3</f>
        <v>0</v>
      </c>
      <c r="S345" s="126" t="n">
        <f aca="false">J345/$R$3</f>
        <v>0</v>
      </c>
      <c r="T345" s="126" t="n">
        <f aca="false">L345/$R$3</f>
        <v>0</v>
      </c>
      <c r="U345" s="126" t="n">
        <f aca="false">I345/$R$3</f>
        <v>0</v>
      </c>
      <c r="V345" s="126" t="n">
        <f aca="false">M345/$R$3</f>
        <v>0</v>
      </c>
      <c r="W345" s="126" t="n">
        <f aca="false">N345/$R$3</f>
        <v>1197.025</v>
      </c>
    </row>
    <row r="346" customFormat="false" ht="12.75" hidden="false" customHeight="false" outlineLevel="0" collapsed="false">
      <c r="A346" s="120" t="n">
        <f aca="false">A345+1</f>
        <v>37232</v>
      </c>
      <c r="B346" s="131" t="str">
        <f aca="false">INDEX('[4]Master Data'!$A$2:$B$8,MATCH(WEEKDAY('SC Gas MTM'!A346,3),'[4]Master Data'!$A$2:$A$8,0),2)</f>
        <v>F</v>
      </c>
      <c r="D346" s="124" t="n">
        <v>0</v>
      </c>
      <c r="E346" s="124" t="n">
        <v>0</v>
      </c>
      <c r="F346" s="124" t="n">
        <v>0</v>
      </c>
      <c r="G346" s="124" t="n">
        <v>0</v>
      </c>
      <c r="I346" s="124" t="n">
        <f aca="false">IF(MONTH($A346)=MONTH($A345),IF(G346=0,I345,G346),G346)</f>
        <v>0</v>
      </c>
      <c r="J346" s="124" t="n">
        <f aca="false">IF(MONTH($A346)=MONTH($A345),SUM(I346-I345),I346)</f>
        <v>0</v>
      </c>
      <c r="K346" s="124" t="n">
        <f aca="false">IF(WEEKDAY(A346,3)&gt;4,0,(IF(A346&lt;K$2,0,IF(A346&lt;=K$3,1,0))))</f>
        <v>0</v>
      </c>
      <c r="L346" s="124" t="n">
        <f aca="false">J346*K346</f>
        <v>0</v>
      </c>
      <c r="M346" s="124" t="n">
        <f aca="false">SUM(J$280:J346)</f>
        <v>0</v>
      </c>
      <c r="N346" s="124" t="n">
        <f aca="false">SUM(J$6:J346)</f>
        <v>1197025</v>
      </c>
      <c r="P346" s="124" t="n">
        <f aca="false">D346/P$3</f>
        <v>0</v>
      </c>
      <c r="Q346" s="124" t="n">
        <f aca="false">E346/P$3</f>
        <v>0</v>
      </c>
      <c r="R346" s="124" t="n">
        <f aca="false">F346/R$3</f>
        <v>0</v>
      </c>
      <c r="S346" s="126" t="n">
        <f aca="false">J346/$R$3</f>
        <v>0</v>
      </c>
      <c r="T346" s="126" t="n">
        <f aca="false">L346/$R$3</f>
        <v>0</v>
      </c>
      <c r="U346" s="126" t="n">
        <f aca="false">I346/$R$3</f>
        <v>0</v>
      </c>
      <c r="V346" s="126" t="n">
        <f aca="false">M346/$R$3</f>
        <v>0</v>
      </c>
      <c r="W346" s="126" t="n">
        <f aca="false">N346/$R$3</f>
        <v>1197.025</v>
      </c>
    </row>
    <row r="347" customFormat="false" ht="12.75" hidden="false" customHeight="false" outlineLevel="0" collapsed="false">
      <c r="A347" s="120" t="n">
        <f aca="false">A346+1</f>
        <v>37233</v>
      </c>
      <c r="B347" s="131" t="str">
        <f aca="false">INDEX('[4]Master Data'!$A$2:$B$8,MATCH(WEEKDAY('SC Gas MTM'!A347,3),'[4]Master Data'!$A$2:$A$8,0),2)</f>
        <v>Sa</v>
      </c>
      <c r="D347" s="124" t="n">
        <v>0</v>
      </c>
      <c r="E347" s="124" t="n">
        <v>0</v>
      </c>
      <c r="F347" s="124" t="n">
        <v>0</v>
      </c>
      <c r="G347" s="124" t="n">
        <v>0</v>
      </c>
      <c r="I347" s="124" t="n">
        <f aca="false">IF(MONTH($A347)=MONTH($A346),IF(G347=0,I346,G347),G347)</f>
        <v>0</v>
      </c>
      <c r="J347" s="124" t="n">
        <f aca="false">IF(MONTH($A347)=MONTH($A346),SUM(I347-I346),I347)</f>
        <v>0</v>
      </c>
      <c r="K347" s="124" t="n">
        <f aca="false">IF(WEEKDAY(A347,3)&gt;4,0,(IF(A347&lt;K$2,0,IF(A347&lt;=K$3,1,0))))</f>
        <v>0</v>
      </c>
      <c r="L347" s="124" t="n">
        <f aca="false">J347*K347</f>
        <v>0</v>
      </c>
      <c r="M347" s="124" t="n">
        <f aca="false">SUM(J$280:J347)</f>
        <v>0</v>
      </c>
      <c r="N347" s="124" t="n">
        <f aca="false">SUM(J$6:J347)</f>
        <v>1197025</v>
      </c>
      <c r="P347" s="124" t="n">
        <f aca="false">D347/P$3</f>
        <v>0</v>
      </c>
      <c r="Q347" s="124" t="n">
        <f aca="false">E347/P$3</f>
        <v>0</v>
      </c>
      <c r="R347" s="124" t="n">
        <f aca="false">F347/R$3</f>
        <v>0</v>
      </c>
      <c r="S347" s="126" t="n">
        <f aca="false">J347/$R$3</f>
        <v>0</v>
      </c>
      <c r="T347" s="126" t="n">
        <f aca="false">L347/$R$3</f>
        <v>0</v>
      </c>
      <c r="U347" s="126" t="n">
        <f aca="false">I347/$R$3</f>
        <v>0</v>
      </c>
      <c r="V347" s="126" t="n">
        <f aca="false">M347/$R$3</f>
        <v>0</v>
      </c>
      <c r="W347" s="126" t="n">
        <f aca="false">N347/$R$3</f>
        <v>1197.025</v>
      </c>
    </row>
    <row r="348" customFormat="false" ht="12.75" hidden="false" customHeight="false" outlineLevel="0" collapsed="false">
      <c r="A348" s="120" t="n">
        <f aca="false">A347+1</f>
        <v>37234</v>
      </c>
      <c r="B348" s="131" t="str">
        <f aca="false">INDEX('[4]Master Data'!$A$2:$B$8,MATCH(WEEKDAY('SC Gas MTM'!A348,3),'[4]Master Data'!$A$2:$A$8,0),2)</f>
        <v>Su</v>
      </c>
      <c r="D348" s="124" t="n">
        <v>0</v>
      </c>
      <c r="E348" s="124" t="n">
        <v>0</v>
      </c>
      <c r="F348" s="124" t="n">
        <v>0</v>
      </c>
      <c r="G348" s="124" t="n">
        <v>0</v>
      </c>
      <c r="I348" s="124" t="n">
        <f aca="false">IF(MONTH($A348)=MONTH($A347),IF(G348=0,I347,G348),G348)</f>
        <v>0</v>
      </c>
      <c r="J348" s="124" t="n">
        <f aca="false">IF(MONTH($A348)=MONTH($A347),SUM(I348-I347),I348)</f>
        <v>0</v>
      </c>
      <c r="K348" s="124" t="n">
        <f aca="false">IF(WEEKDAY(A348,3)&gt;4,0,(IF(A348&lt;K$2,0,IF(A348&lt;=K$3,1,0))))</f>
        <v>0</v>
      </c>
      <c r="L348" s="124" t="n">
        <f aca="false">J348*K348</f>
        <v>0</v>
      </c>
      <c r="M348" s="124" t="n">
        <f aca="false">SUM(J$280:J348)</f>
        <v>0</v>
      </c>
      <c r="N348" s="124" t="n">
        <f aca="false">SUM(J$6:J348)</f>
        <v>1197025</v>
      </c>
      <c r="P348" s="124" t="n">
        <f aca="false">D348/P$3</f>
        <v>0</v>
      </c>
      <c r="Q348" s="124" t="n">
        <f aca="false">E348/P$3</f>
        <v>0</v>
      </c>
      <c r="R348" s="124" t="n">
        <f aca="false">F348/R$3</f>
        <v>0</v>
      </c>
      <c r="S348" s="126" t="n">
        <f aca="false">J348/$R$3</f>
        <v>0</v>
      </c>
      <c r="T348" s="126" t="n">
        <f aca="false">L348/$R$3</f>
        <v>0</v>
      </c>
      <c r="U348" s="126" t="n">
        <f aca="false">I348/$R$3</f>
        <v>0</v>
      </c>
      <c r="V348" s="126" t="n">
        <f aca="false">M348/$R$3</f>
        <v>0</v>
      </c>
      <c r="W348" s="126" t="n">
        <f aca="false">N348/$R$3</f>
        <v>1197.025</v>
      </c>
    </row>
    <row r="349" customFormat="false" ht="12.75" hidden="false" customHeight="false" outlineLevel="0" collapsed="false">
      <c r="A349" s="120" t="n">
        <f aca="false">A348+1</f>
        <v>37235</v>
      </c>
      <c r="B349" s="131" t="str">
        <f aca="false">INDEX('[4]Master Data'!$A$2:$B$8,MATCH(WEEKDAY('SC Gas MTM'!A349,3),'[4]Master Data'!$A$2:$A$8,0),2)</f>
        <v>M</v>
      </c>
      <c r="D349" s="124" t="n">
        <v>0</v>
      </c>
      <c r="E349" s="124" t="n">
        <v>0</v>
      </c>
      <c r="F349" s="124" t="n">
        <v>0</v>
      </c>
      <c r="G349" s="124" t="n">
        <v>0</v>
      </c>
      <c r="I349" s="124" t="n">
        <f aca="false">IF(MONTH($A349)=MONTH($A348),IF(G349=0,I348,G349),G349)</f>
        <v>0</v>
      </c>
      <c r="J349" s="124" t="n">
        <f aca="false">IF(MONTH($A349)=MONTH($A348),SUM(I349-I348),I349)</f>
        <v>0</v>
      </c>
      <c r="K349" s="124" t="n">
        <f aca="false">IF(WEEKDAY(A349,3)&gt;4,0,(IF(A349&lt;K$2,0,IF(A349&lt;=K$3,1,0))))</f>
        <v>0</v>
      </c>
      <c r="L349" s="124" t="n">
        <f aca="false">J349*K349</f>
        <v>0</v>
      </c>
      <c r="M349" s="124" t="n">
        <f aca="false">SUM(J$280:J349)</f>
        <v>0</v>
      </c>
      <c r="N349" s="124" t="n">
        <f aca="false">SUM(J$6:J349)</f>
        <v>1197025</v>
      </c>
      <c r="P349" s="124" t="n">
        <f aca="false">D349/P$3</f>
        <v>0</v>
      </c>
      <c r="Q349" s="124" t="n">
        <f aca="false">E349/P$3</f>
        <v>0</v>
      </c>
      <c r="R349" s="124" t="n">
        <f aca="false">F349/R$3</f>
        <v>0</v>
      </c>
      <c r="S349" s="126" t="n">
        <f aca="false">J349/$R$3</f>
        <v>0</v>
      </c>
      <c r="T349" s="126" t="n">
        <f aca="false">L349/$R$3</f>
        <v>0</v>
      </c>
      <c r="U349" s="126" t="n">
        <f aca="false">I349/$R$3</f>
        <v>0</v>
      </c>
      <c r="V349" s="126" t="n">
        <f aca="false">M349/$R$3</f>
        <v>0</v>
      </c>
      <c r="W349" s="126" t="n">
        <f aca="false">N349/$R$3</f>
        <v>1197.025</v>
      </c>
    </row>
    <row r="350" customFormat="false" ht="12.75" hidden="false" customHeight="false" outlineLevel="0" collapsed="false">
      <c r="A350" s="120" t="n">
        <f aca="false">A349+1</f>
        <v>37236</v>
      </c>
      <c r="B350" s="131" t="str">
        <f aca="false">INDEX('[4]Master Data'!$A$2:$B$8,MATCH(WEEKDAY('SC Gas MTM'!A350,3),'[4]Master Data'!$A$2:$A$8,0),2)</f>
        <v>T</v>
      </c>
      <c r="D350" s="124" t="n">
        <v>0</v>
      </c>
      <c r="E350" s="124" t="n">
        <v>0</v>
      </c>
      <c r="F350" s="124" t="n">
        <v>0</v>
      </c>
      <c r="G350" s="124" t="n">
        <v>0</v>
      </c>
      <c r="I350" s="124" t="n">
        <f aca="false">IF(MONTH($A350)=MONTH($A349),IF(G350=0,I349,G350),G350)</f>
        <v>0</v>
      </c>
      <c r="J350" s="124" t="n">
        <f aca="false">IF(MONTH($A350)=MONTH($A349),SUM(I350-I349),I350)</f>
        <v>0</v>
      </c>
      <c r="K350" s="124" t="n">
        <f aca="false">IF(WEEKDAY(A350,3)&gt;4,0,(IF(A350&lt;K$2,0,IF(A350&lt;=K$3,1,0))))</f>
        <v>0</v>
      </c>
      <c r="L350" s="124" t="n">
        <f aca="false">J350*K350</f>
        <v>0</v>
      </c>
      <c r="M350" s="124" t="n">
        <f aca="false">SUM(J$280:J350)</f>
        <v>0</v>
      </c>
      <c r="N350" s="124" t="n">
        <f aca="false">SUM(J$6:J350)</f>
        <v>1197025</v>
      </c>
      <c r="P350" s="124" t="n">
        <f aca="false">D350/P$3</f>
        <v>0</v>
      </c>
      <c r="Q350" s="124" t="n">
        <f aca="false">E350/P$3</f>
        <v>0</v>
      </c>
      <c r="R350" s="124" t="n">
        <f aca="false">F350/R$3</f>
        <v>0</v>
      </c>
      <c r="S350" s="126" t="n">
        <f aca="false">J350/$R$3</f>
        <v>0</v>
      </c>
      <c r="T350" s="126" t="n">
        <f aca="false">L350/$R$3</f>
        <v>0</v>
      </c>
      <c r="U350" s="126" t="n">
        <f aca="false">I350/$R$3</f>
        <v>0</v>
      </c>
      <c r="V350" s="126" t="n">
        <f aca="false">M350/$R$3</f>
        <v>0</v>
      </c>
      <c r="W350" s="126" t="n">
        <f aca="false">N350/$R$3</f>
        <v>1197.025</v>
      </c>
    </row>
    <row r="351" customFormat="false" ht="12.75" hidden="false" customHeight="false" outlineLevel="0" collapsed="false">
      <c r="A351" s="120" t="n">
        <f aca="false">A350+1</f>
        <v>37237</v>
      </c>
      <c r="B351" s="131" t="str">
        <f aca="false">INDEX('[4]Master Data'!$A$2:$B$8,MATCH(WEEKDAY('SC Gas MTM'!A351,3),'[4]Master Data'!$A$2:$A$8,0),2)</f>
        <v>W</v>
      </c>
      <c r="D351" s="124" t="n">
        <v>0</v>
      </c>
      <c r="E351" s="124" t="n">
        <v>0</v>
      </c>
      <c r="F351" s="124" t="n">
        <v>0</v>
      </c>
      <c r="G351" s="124" t="n">
        <v>0</v>
      </c>
      <c r="I351" s="124" t="n">
        <f aca="false">IF(MONTH($A351)=MONTH($A350),IF(G351=0,I350,G351),G351)</f>
        <v>0</v>
      </c>
      <c r="J351" s="124" t="n">
        <f aca="false">IF(MONTH($A351)=MONTH($A350),SUM(I351-I350),I351)</f>
        <v>0</v>
      </c>
      <c r="K351" s="124" t="n">
        <f aca="false">IF(WEEKDAY(A351,3)&gt;4,0,(IF(A351&lt;K$2,0,IF(A351&lt;=K$3,1,0))))</f>
        <v>0</v>
      </c>
      <c r="L351" s="124" t="n">
        <f aca="false">J351*K351</f>
        <v>0</v>
      </c>
      <c r="M351" s="124" t="n">
        <f aca="false">SUM(J$280:J351)</f>
        <v>0</v>
      </c>
      <c r="N351" s="124" t="n">
        <f aca="false">SUM(J$6:J351)</f>
        <v>1197025</v>
      </c>
      <c r="P351" s="124" t="n">
        <f aca="false">D351/P$3</f>
        <v>0</v>
      </c>
      <c r="Q351" s="124" t="n">
        <f aca="false">E351/P$3</f>
        <v>0</v>
      </c>
      <c r="R351" s="124" t="n">
        <f aca="false">F351/R$3</f>
        <v>0</v>
      </c>
      <c r="S351" s="126" t="n">
        <f aca="false">J351/$R$3</f>
        <v>0</v>
      </c>
      <c r="T351" s="126" t="n">
        <f aca="false">L351/$R$3</f>
        <v>0</v>
      </c>
      <c r="U351" s="126" t="n">
        <f aca="false">I351/$R$3</f>
        <v>0</v>
      </c>
      <c r="V351" s="126" t="n">
        <f aca="false">M351/$R$3</f>
        <v>0</v>
      </c>
      <c r="W351" s="126" t="n">
        <f aca="false">N351/$R$3</f>
        <v>1197.025</v>
      </c>
    </row>
    <row r="352" customFormat="false" ht="12.75" hidden="false" customHeight="false" outlineLevel="0" collapsed="false">
      <c r="A352" s="120" t="n">
        <f aca="false">A351+1</f>
        <v>37238</v>
      </c>
      <c r="B352" s="131" t="str">
        <f aca="false">INDEX('[4]Master Data'!$A$2:$B$8,MATCH(WEEKDAY('SC Gas MTM'!A352,3),'[4]Master Data'!$A$2:$A$8,0),2)</f>
        <v>Th</v>
      </c>
      <c r="D352" s="124" t="n">
        <v>0</v>
      </c>
      <c r="E352" s="124" t="n">
        <v>0</v>
      </c>
      <c r="F352" s="124" t="n">
        <v>0</v>
      </c>
      <c r="G352" s="124" t="n">
        <v>0</v>
      </c>
      <c r="I352" s="124" t="n">
        <f aca="false">IF(MONTH($A352)=MONTH($A351),IF(G352=0,I351,G352),G352)</f>
        <v>0</v>
      </c>
      <c r="J352" s="124" t="n">
        <f aca="false">IF(MONTH($A352)=MONTH($A351),SUM(I352-I351),I352)</f>
        <v>0</v>
      </c>
      <c r="K352" s="124" t="n">
        <f aca="false">IF(WEEKDAY(A352,3)&gt;4,0,(IF(A352&lt;K$2,0,IF(A352&lt;=K$3,1,0))))</f>
        <v>0</v>
      </c>
      <c r="L352" s="124" t="n">
        <f aca="false">J352*K352</f>
        <v>0</v>
      </c>
      <c r="M352" s="124" t="n">
        <f aca="false">SUM(J$280:J352)</f>
        <v>0</v>
      </c>
      <c r="N352" s="124" t="n">
        <f aca="false">SUM(J$6:J352)</f>
        <v>1197025</v>
      </c>
      <c r="P352" s="124" t="n">
        <f aca="false">D352/P$3</f>
        <v>0</v>
      </c>
      <c r="Q352" s="124" t="n">
        <f aca="false">E352/P$3</f>
        <v>0</v>
      </c>
      <c r="R352" s="124" t="n">
        <f aca="false">F352/R$3</f>
        <v>0</v>
      </c>
      <c r="S352" s="126" t="n">
        <f aca="false">J352/$R$3</f>
        <v>0</v>
      </c>
      <c r="T352" s="126" t="n">
        <f aca="false">L352/$R$3</f>
        <v>0</v>
      </c>
      <c r="U352" s="126" t="n">
        <f aca="false">I352/$R$3</f>
        <v>0</v>
      </c>
      <c r="V352" s="126" t="n">
        <f aca="false">M352/$R$3</f>
        <v>0</v>
      </c>
      <c r="W352" s="126" t="n">
        <f aca="false">N352/$R$3</f>
        <v>1197.025</v>
      </c>
    </row>
    <row r="353" customFormat="false" ht="12.75" hidden="false" customHeight="false" outlineLevel="0" collapsed="false">
      <c r="A353" s="120" t="n">
        <f aca="false">A352+1</f>
        <v>37239</v>
      </c>
      <c r="B353" s="131" t="str">
        <f aca="false">INDEX('[4]Master Data'!$A$2:$B$8,MATCH(WEEKDAY('SC Gas MTM'!A353,3),'[4]Master Data'!$A$2:$A$8,0),2)</f>
        <v>F</v>
      </c>
      <c r="D353" s="124" t="n">
        <v>0</v>
      </c>
      <c r="E353" s="124" t="n">
        <v>0</v>
      </c>
      <c r="F353" s="124" t="n">
        <v>0</v>
      </c>
      <c r="G353" s="124" t="n">
        <v>0</v>
      </c>
      <c r="I353" s="124" t="n">
        <f aca="false">IF(MONTH($A353)=MONTH($A352),IF(G353=0,I352,G353),G353)</f>
        <v>0</v>
      </c>
      <c r="J353" s="124" t="n">
        <f aca="false">IF(MONTH($A353)=MONTH($A352),SUM(I353-I352),I353)</f>
        <v>0</v>
      </c>
      <c r="K353" s="124" t="n">
        <f aca="false">IF(WEEKDAY(A353,3)&gt;4,0,(IF(A353&lt;K$2,0,IF(A353&lt;=K$3,1,0))))</f>
        <v>0</v>
      </c>
      <c r="L353" s="124" t="n">
        <f aca="false">J353*K353</f>
        <v>0</v>
      </c>
      <c r="M353" s="124" t="n">
        <f aca="false">SUM(J$280:J353)</f>
        <v>0</v>
      </c>
      <c r="N353" s="124" t="n">
        <f aca="false">SUM(J$6:J353)</f>
        <v>1197025</v>
      </c>
      <c r="P353" s="124" t="n">
        <f aca="false">D353/P$3</f>
        <v>0</v>
      </c>
      <c r="Q353" s="124" t="n">
        <f aca="false">E353/P$3</f>
        <v>0</v>
      </c>
      <c r="R353" s="124" t="n">
        <f aca="false">F353/R$3</f>
        <v>0</v>
      </c>
      <c r="S353" s="126" t="n">
        <f aca="false">J353/$R$3</f>
        <v>0</v>
      </c>
      <c r="T353" s="126" t="n">
        <f aca="false">L353/$R$3</f>
        <v>0</v>
      </c>
      <c r="U353" s="126" t="n">
        <f aca="false">I353/$R$3</f>
        <v>0</v>
      </c>
      <c r="V353" s="126" t="n">
        <f aca="false">M353/$R$3</f>
        <v>0</v>
      </c>
      <c r="W353" s="126" t="n">
        <f aca="false">N353/$R$3</f>
        <v>1197.025</v>
      </c>
    </row>
    <row r="354" customFormat="false" ht="12.75" hidden="false" customHeight="false" outlineLevel="0" collapsed="false">
      <c r="A354" s="120" t="n">
        <f aca="false">A353+1</f>
        <v>37240</v>
      </c>
      <c r="B354" s="131" t="str">
        <f aca="false">INDEX('[4]Master Data'!$A$2:$B$8,MATCH(WEEKDAY('SC Gas MTM'!A354,3),'[4]Master Data'!$A$2:$A$8,0),2)</f>
        <v>Sa</v>
      </c>
      <c r="D354" s="124" t="n">
        <v>0</v>
      </c>
      <c r="E354" s="124" t="n">
        <v>0</v>
      </c>
      <c r="F354" s="124" t="n">
        <v>0</v>
      </c>
      <c r="G354" s="124" t="n">
        <v>0</v>
      </c>
      <c r="I354" s="124" t="n">
        <f aca="false">IF(MONTH($A354)=MONTH($A353),IF(G354=0,I353,G354),G354)</f>
        <v>0</v>
      </c>
      <c r="J354" s="124" t="n">
        <f aca="false">IF(MONTH($A354)=MONTH($A353),SUM(I354-I353),I354)</f>
        <v>0</v>
      </c>
      <c r="K354" s="124" t="n">
        <f aca="false">IF(WEEKDAY(A354,3)&gt;4,0,(IF(A354&lt;K$2,0,IF(A354&lt;=K$3,1,0))))</f>
        <v>0</v>
      </c>
      <c r="L354" s="124" t="n">
        <f aca="false">J354*K354</f>
        <v>0</v>
      </c>
      <c r="M354" s="124" t="n">
        <f aca="false">SUM(J$280:J354)</f>
        <v>0</v>
      </c>
      <c r="N354" s="124" t="n">
        <f aca="false">SUM(J$6:J354)</f>
        <v>1197025</v>
      </c>
      <c r="P354" s="124" t="n">
        <f aca="false">D354/P$3</f>
        <v>0</v>
      </c>
      <c r="Q354" s="124" t="n">
        <f aca="false">E354/P$3</f>
        <v>0</v>
      </c>
      <c r="R354" s="124" t="n">
        <f aca="false">F354/R$3</f>
        <v>0</v>
      </c>
      <c r="S354" s="126" t="n">
        <f aca="false">J354/$R$3</f>
        <v>0</v>
      </c>
      <c r="T354" s="126" t="n">
        <f aca="false">L354/$R$3</f>
        <v>0</v>
      </c>
      <c r="U354" s="126" t="n">
        <f aca="false">I354/$R$3</f>
        <v>0</v>
      </c>
      <c r="V354" s="126" t="n">
        <f aca="false">M354/$R$3</f>
        <v>0</v>
      </c>
      <c r="W354" s="126" t="n">
        <f aca="false">N354/$R$3</f>
        <v>1197.025</v>
      </c>
    </row>
    <row r="355" customFormat="false" ht="12.75" hidden="false" customHeight="false" outlineLevel="0" collapsed="false">
      <c r="A355" s="120" t="n">
        <f aca="false">A354+1</f>
        <v>37241</v>
      </c>
      <c r="B355" s="131" t="str">
        <f aca="false">INDEX('[4]Master Data'!$A$2:$B$8,MATCH(WEEKDAY('SC Gas MTM'!A355,3),'[4]Master Data'!$A$2:$A$8,0),2)</f>
        <v>Su</v>
      </c>
      <c r="D355" s="124" t="n">
        <v>0</v>
      </c>
      <c r="E355" s="124" t="n">
        <v>0</v>
      </c>
      <c r="F355" s="124" t="n">
        <v>0</v>
      </c>
      <c r="G355" s="124" t="n">
        <v>0</v>
      </c>
      <c r="I355" s="124" t="n">
        <f aca="false">IF(MONTH($A355)=MONTH($A354),IF(G355=0,I354,G355),G355)</f>
        <v>0</v>
      </c>
      <c r="J355" s="124" t="n">
        <f aca="false">IF(MONTH($A355)=MONTH($A354),SUM(I355-I354),I355)</f>
        <v>0</v>
      </c>
      <c r="K355" s="124" t="n">
        <f aca="false">IF(WEEKDAY(A355,3)&gt;4,0,(IF(A355&lt;K$2,0,IF(A355&lt;=K$3,1,0))))</f>
        <v>0</v>
      </c>
      <c r="L355" s="124" t="n">
        <f aca="false">J355*K355</f>
        <v>0</v>
      </c>
      <c r="M355" s="124" t="n">
        <f aca="false">SUM(J$280:J355)</f>
        <v>0</v>
      </c>
      <c r="N355" s="124" t="n">
        <f aca="false">SUM(J$6:J355)</f>
        <v>1197025</v>
      </c>
      <c r="P355" s="124" t="n">
        <f aca="false">D355/P$3</f>
        <v>0</v>
      </c>
      <c r="Q355" s="124" t="n">
        <f aca="false">E355/P$3</f>
        <v>0</v>
      </c>
      <c r="R355" s="124" t="n">
        <f aca="false">F355/R$3</f>
        <v>0</v>
      </c>
      <c r="S355" s="126" t="n">
        <f aca="false">J355/$R$3</f>
        <v>0</v>
      </c>
      <c r="T355" s="126" t="n">
        <f aca="false">L355/$R$3</f>
        <v>0</v>
      </c>
      <c r="U355" s="126" t="n">
        <f aca="false">I355/$R$3</f>
        <v>0</v>
      </c>
      <c r="V355" s="126" t="n">
        <f aca="false">M355/$R$3</f>
        <v>0</v>
      </c>
      <c r="W355" s="126" t="n">
        <f aca="false">N355/$R$3</f>
        <v>1197.025</v>
      </c>
    </row>
    <row r="356" customFormat="false" ht="12.75" hidden="false" customHeight="false" outlineLevel="0" collapsed="false">
      <c r="A356" s="120" t="n">
        <f aca="false">A355+1</f>
        <v>37242</v>
      </c>
      <c r="B356" s="131" t="str">
        <f aca="false">INDEX('[4]Master Data'!$A$2:$B$8,MATCH(WEEKDAY('SC Gas MTM'!A356,3),'[4]Master Data'!$A$2:$A$8,0),2)</f>
        <v>M</v>
      </c>
      <c r="D356" s="124" t="n">
        <v>0</v>
      </c>
      <c r="E356" s="124" t="n">
        <v>0</v>
      </c>
      <c r="F356" s="124" t="n">
        <v>0</v>
      </c>
      <c r="G356" s="124" t="n">
        <v>0</v>
      </c>
      <c r="I356" s="124" t="n">
        <f aca="false">IF(MONTH($A356)=MONTH($A355),IF(G356=0,I355,G356),G356)</f>
        <v>0</v>
      </c>
      <c r="J356" s="124" t="n">
        <f aca="false">IF(MONTH($A356)=MONTH($A355),SUM(I356-I355),I356)</f>
        <v>0</v>
      </c>
      <c r="K356" s="124" t="n">
        <f aca="false">IF(WEEKDAY(A356,3)&gt;4,0,(IF(A356&lt;K$2,0,IF(A356&lt;=K$3,1,0))))</f>
        <v>0</v>
      </c>
      <c r="L356" s="124" t="n">
        <f aca="false">J356*K356</f>
        <v>0</v>
      </c>
      <c r="M356" s="124" t="n">
        <f aca="false">SUM(J$280:J356)</f>
        <v>0</v>
      </c>
      <c r="N356" s="124" t="n">
        <f aca="false">SUM(J$6:J356)</f>
        <v>1197025</v>
      </c>
      <c r="P356" s="124" t="n">
        <f aca="false">D356/P$3</f>
        <v>0</v>
      </c>
      <c r="Q356" s="124" t="n">
        <f aca="false">E356/P$3</f>
        <v>0</v>
      </c>
      <c r="R356" s="124" t="n">
        <f aca="false">F356/R$3</f>
        <v>0</v>
      </c>
      <c r="S356" s="126" t="n">
        <f aca="false">J356/$R$3</f>
        <v>0</v>
      </c>
      <c r="T356" s="126" t="n">
        <f aca="false">L356/$R$3</f>
        <v>0</v>
      </c>
      <c r="U356" s="126" t="n">
        <f aca="false">I356/$R$3</f>
        <v>0</v>
      </c>
      <c r="V356" s="126" t="n">
        <f aca="false">M356/$R$3</f>
        <v>0</v>
      </c>
      <c r="W356" s="126" t="n">
        <f aca="false">N356/$R$3</f>
        <v>1197.025</v>
      </c>
    </row>
    <row r="357" customFormat="false" ht="12.75" hidden="false" customHeight="false" outlineLevel="0" collapsed="false">
      <c r="A357" s="120" t="n">
        <f aca="false">A356+1</f>
        <v>37243</v>
      </c>
      <c r="B357" s="131" t="str">
        <f aca="false">INDEX('[4]Master Data'!$A$2:$B$8,MATCH(WEEKDAY('SC Gas MTM'!A357,3),'[4]Master Data'!$A$2:$A$8,0),2)</f>
        <v>T</v>
      </c>
      <c r="D357" s="124" t="n">
        <v>0</v>
      </c>
      <c r="E357" s="124" t="n">
        <v>0</v>
      </c>
      <c r="F357" s="124" t="n">
        <v>0</v>
      </c>
      <c r="G357" s="124" t="n">
        <v>0</v>
      </c>
      <c r="I357" s="124" t="n">
        <f aca="false">IF(MONTH($A357)=MONTH($A356),IF(G357=0,I356,G357),G357)</f>
        <v>0</v>
      </c>
      <c r="J357" s="124" t="n">
        <f aca="false">IF(MONTH($A357)=MONTH($A356),SUM(I357-I356),I357)</f>
        <v>0</v>
      </c>
      <c r="K357" s="124" t="n">
        <f aca="false">IF(WEEKDAY(A357,3)&gt;4,0,(IF(A357&lt;K$2,0,IF(A357&lt;=K$3,1,0))))</f>
        <v>0</v>
      </c>
      <c r="L357" s="124" t="n">
        <f aca="false">J357*K357</f>
        <v>0</v>
      </c>
      <c r="M357" s="124" t="n">
        <f aca="false">SUM(J$280:J357)</f>
        <v>0</v>
      </c>
      <c r="N357" s="124" t="n">
        <f aca="false">SUM(J$6:J357)</f>
        <v>1197025</v>
      </c>
      <c r="P357" s="124" t="n">
        <f aca="false">D357/P$3</f>
        <v>0</v>
      </c>
      <c r="Q357" s="124" t="n">
        <f aca="false">E357/P$3</f>
        <v>0</v>
      </c>
      <c r="R357" s="124" t="n">
        <f aca="false">F357/R$3</f>
        <v>0</v>
      </c>
      <c r="S357" s="126" t="n">
        <f aca="false">J357/$R$3</f>
        <v>0</v>
      </c>
      <c r="T357" s="126" t="n">
        <f aca="false">L357/$R$3</f>
        <v>0</v>
      </c>
      <c r="U357" s="126" t="n">
        <f aca="false">I357/$R$3</f>
        <v>0</v>
      </c>
      <c r="V357" s="126" t="n">
        <f aca="false">M357/$R$3</f>
        <v>0</v>
      </c>
      <c r="W357" s="126" t="n">
        <f aca="false">N357/$R$3</f>
        <v>1197.025</v>
      </c>
    </row>
    <row r="358" customFormat="false" ht="12.75" hidden="false" customHeight="false" outlineLevel="0" collapsed="false">
      <c r="A358" s="120" t="n">
        <f aca="false">A357+1</f>
        <v>37244</v>
      </c>
      <c r="B358" s="131" t="str">
        <f aca="false">INDEX('[4]Master Data'!$A$2:$B$8,MATCH(WEEKDAY('SC Gas MTM'!A358,3),'[4]Master Data'!$A$2:$A$8,0),2)</f>
        <v>W</v>
      </c>
      <c r="D358" s="124" t="n">
        <v>0</v>
      </c>
      <c r="E358" s="124" t="n">
        <v>0</v>
      </c>
      <c r="F358" s="124" t="n">
        <v>0</v>
      </c>
      <c r="G358" s="124" t="n">
        <v>0</v>
      </c>
      <c r="I358" s="124" t="n">
        <f aca="false">IF(MONTH($A358)=MONTH($A357),IF(G358=0,I357,G358),G358)</f>
        <v>0</v>
      </c>
      <c r="J358" s="124" t="n">
        <f aca="false">IF(MONTH($A358)=MONTH($A357),SUM(I358-I357),I358)</f>
        <v>0</v>
      </c>
      <c r="K358" s="124" t="n">
        <f aca="false">IF(WEEKDAY(A358,3)&gt;4,0,(IF(A358&lt;K$2,0,IF(A358&lt;=K$3,1,0))))</f>
        <v>0</v>
      </c>
      <c r="L358" s="124" t="n">
        <f aca="false">J358*K358</f>
        <v>0</v>
      </c>
      <c r="M358" s="124" t="n">
        <f aca="false">SUM(J$280:J358)</f>
        <v>0</v>
      </c>
      <c r="N358" s="124" t="n">
        <f aca="false">SUM(J$6:J358)</f>
        <v>1197025</v>
      </c>
      <c r="P358" s="124" t="n">
        <f aca="false">D358/P$3</f>
        <v>0</v>
      </c>
      <c r="Q358" s="124" t="n">
        <f aca="false">E358/P$3</f>
        <v>0</v>
      </c>
      <c r="R358" s="124" t="n">
        <f aca="false">F358/R$3</f>
        <v>0</v>
      </c>
      <c r="S358" s="126" t="n">
        <f aca="false">J358/$R$3</f>
        <v>0</v>
      </c>
      <c r="T358" s="126" t="n">
        <f aca="false">L358/$R$3</f>
        <v>0</v>
      </c>
      <c r="U358" s="126" t="n">
        <f aca="false">I358/$R$3</f>
        <v>0</v>
      </c>
      <c r="V358" s="126" t="n">
        <f aca="false">M358/$R$3</f>
        <v>0</v>
      </c>
      <c r="W358" s="126" t="n">
        <f aca="false">N358/$R$3</f>
        <v>1197.025</v>
      </c>
    </row>
    <row r="359" customFormat="false" ht="12.75" hidden="false" customHeight="false" outlineLevel="0" collapsed="false">
      <c r="A359" s="120" t="n">
        <f aca="false">A358+1</f>
        <v>37245</v>
      </c>
      <c r="B359" s="131" t="str">
        <f aca="false">INDEX('[4]Master Data'!$A$2:$B$8,MATCH(WEEKDAY('SC Gas MTM'!A359,3),'[4]Master Data'!$A$2:$A$8,0),2)</f>
        <v>Th</v>
      </c>
      <c r="D359" s="124" t="n">
        <v>0</v>
      </c>
      <c r="E359" s="124" t="n">
        <v>0</v>
      </c>
      <c r="F359" s="124" t="n">
        <v>0</v>
      </c>
      <c r="G359" s="124" t="n">
        <v>0</v>
      </c>
      <c r="I359" s="124" t="n">
        <f aca="false">IF(MONTH($A359)=MONTH($A358),IF(G359=0,I358,G359),G359)</f>
        <v>0</v>
      </c>
      <c r="J359" s="124" t="n">
        <f aca="false">IF(MONTH($A359)=MONTH($A358),SUM(I359-I358),I359)</f>
        <v>0</v>
      </c>
      <c r="K359" s="124" t="n">
        <f aca="false">IF(WEEKDAY(A359,3)&gt;4,0,(IF(A359&lt;K$2,0,IF(A359&lt;=K$3,1,0))))</f>
        <v>0</v>
      </c>
      <c r="L359" s="124" t="n">
        <f aca="false">J359*K359</f>
        <v>0</v>
      </c>
      <c r="M359" s="124" t="n">
        <f aca="false">SUM(J$280:J359)</f>
        <v>0</v>
      </c>
      <c r="N359" s="124" t="n">
        <f aca="false">SUM(J$6:J359)</f>
        <v>1197025</v>
      </c>
      <c r="P359" s="124" t="n">
        <f aca="false">D359/P$3</f>
        <v>0</v>
      </c>
      <c r="Q359" s="124" t="n">
        <f aca="false">E359/P$3</f>
        <v>0</v>
      </c>
      <c r="R359" s="124" t="n">
        <f aca="false">F359/R$3</f>
        <v>0</v>
      </c>
      <c r="S359" s="126" t="n">
        <f aca="false">J359/$R$3</f>
        <v>0</v>
      </c>
      <c r="T359" s="126" t="n">
        <f aca="false">L359/$R$3</f>
        <v>0</v>
      </c>
      <c r="U359" s="126" t="n">
        <f aca="false">I359/$R$3</f>
        <v>0</v>
      </c>
      <c r="V359" s="126" t="n">
        <f aca="false">M359/$R$3</f>
        <v>0</v>
      </c>
      <c r="W359" s="126" t="n">
        <f aca="false">N359/$R$3</f>
        <v>1197.025</v>
      </c>
    </row>
    <row r="360" customFormat="false" ht="12.75" hidden="false" customHeight="false" outlineLevel="0" collapsed="false">
      <c r="A360" s="120" t="n">
        <f aca="false">A359+1</f>
        <v>37246</v>
      </c>
      <c r="B360" s="131" t="str">
        <f aca="false">INDEX('[4]Master Data'!$A$2:$B$8,MATCH(WEEKDAY('SC Gas MTM'!A360,3),'[4]Master Data'!$A$2:$A$8,0),2)</f>
        <v>F</v>
      </c>
      <c r="D360" s="124" t="n">
        <v>0</v>
      </c>
      <c r="E360" s="124" t="n">
        <v>0</v>
      </c>
      <c r="F360" s="124" t="n">
        <v>0</v>
      </c>
      <c r="G360" s="124" t="n">
        <v>0</v>
      </c>
      <c r="I360" s="124" t="n">
        <f aca="false">IF(MONTH($A360)=MONTH($A359),IF(G360=0,I359,G360),G360)</f>
        <v>0</v>
      </c>
      <c r="J360" s="124" t="n">
        <f aca="false">IF(MONTH($A360)=MONTH($A359),SUM(I360-I359),I360)</f>
        <v>0</v>
      </c>
      <c r="K360" s="124" t="n">
        <f aca="false">IF(WEEKDAY(A360,3)&gt;4,0,(IF(A360&lt;K$2,0,IF(A360&lt;=K$3,1,0))))</f>
        <v>0</v>
      </c>
      <c r="L360" s="124" t="n">
        <f aca="false">J360*K360</f>
        <v>0</v>
      </c>
      <c r="M360" s="124" t="n">
        <f aca="false">SUM(J$280:J360)</f>
        <v>0</v>
      </c>
      <c r="N360" s="124" t="n">
        <f aca="false">SUM(J$6:J360)</f>
        <v>1197025</v>
      </c>
      <c r="P360" s="124" t="n">
        <f aca="false">D360/P$3</f>
        <v>0</v>
      </c>
      <c r="Q360" s="124" t="n">
        <f aca="false">E360/P$3</f>
        <v>0</v>
      </c>
      <c r="R360" s="124" t="n">
        <f aca="false">F360/R$3</f>
        <v>0</v>
      </c>
      <c r="S360" s="126" t="n">
        <f aca="false">J360/$R$3</f>
        <v>0</v>
      </c>
      <c r="T360" s="126" t="n">
        <f aca="false">L360/$R$3</f>
        <v>0</v>
      </c>
      <c r="U360" s="126" t="n">
        <f aca="false">I360/$R$3</f>
        <v>0</v>
      </c>
      <c r="V360" s="126" t="n">
        <f aca="false">M360/$R$3</f>
        <v>0</v>
      </c>
      <c r="W360" s="126" t="n">
        <f aca="false">N360/$R$3</f>
        <v>1197.025</v>
      </c>
    </row>
    <row r="361" customFormat="false" ht="12.75" hidden="false" customHeight="false" outlineLevel="0" collapsed="false">
      <c r="A361" s="120" t="n">
        <f aca="false">A360+1</f>
        <v>37247</v>
      </c>
      <c r="B361" s="131" t="str">
        <f aca="false">INDEX('[4]Master Data'!$A$2:$B$8,MATCH(WEEKDAY('SC Gas MTM'!A361,3),'[4]Master Data'!$A$2:$A$8,0),2)</f>
        <v>Sa</v>
      </c>
      <c r="D361" s="124" t="n">
        <v>0</v>
      </c>
      <c r="E361" s="124" t="n">
        <v>0</v>
      </c>
      <c r="F361" s="124" t="n">
        <v>0</v>
      </c>
      <c r="G361" s="124" t="n">
        <v>0</v>
      </c>
      <c r="I361" s="124" t="n">
        <f aca="false">IF(MONTH($A361)=MONTH($A360),IF(G361=0,I360,G361),G361)</f>
        <v>0</v>
      </c>
      <c r="J361" s="124" t="n">
        <f aca="false">IF(MONTH($A361)=MONTH($A360),SUM(I361-I360),I361)</f>
        <v>0</v>
      </c>
      <c r="K361" s="124" t="n">
        <f aca="false">IF(WEEKDAY(A361,3)&gt;4,0,(IF(A361&lt;K$2,0,IF(A361&lt;=K$3,1,0))))</f>
        <v>0</v>
      </c>
      <c r="L361" s="124" t="n">
        <f aca="false">J361*K361</f>
        <v>0</v>
      </c>
      <c r="M361" s="124" t="n">
        <f aca="false">SUM(J$280:J361)</f>
        <v>0</v>
      </c>
      <c r="N361" s="124" t="n">
        <f aca="false">SUM(J$6:J361)</f>
        <v>1197025</v>
      </c>
      <c r="P361" s="124" t="n">
        <f aca="false">D361/P$3</f>
        <v>0</v>
      </c>
      <c r="Q361" s="124" t="n">
        <f aca="false">E361/P$3</f>
        <v>0</v>
      </c>
      <c r="R361" s="124" t="n">
        <f aca="false">F361/R$3</f>
        <v>0</v>
      </c>
      <c r="S361" s="126" t="n">
        <f aca="false">J361/$R$3</f>
        <v>0</v>
      </c>
      <c r="T361" s="126" t="n">
        <f aca="false">L361/$R$3</f>
        <v>0</v>
      </c>
      <c r="U361" s="126" t="n">
        <f aca="false">I361/$R$3</f>
        <v>0</v>
      </c>
      <c r="V361" s="126" t="n">
        <f aca="false">M361/$R$3</f>
        <v>0</v>
      </c>
      <c r="W361" s="126" t="n">
        <f aca="false">N361/$R$3</f>
        <v>1197.025</v>
      </c>
    </row>
    <row r="362" customFormat="false" ht="12.75" hidden="false" customHeight="false" outlineLevel="0" collapsed="false">
      <c r="A362" s="120" t="n">
        <f aca="false">A361+1</f>
        <v>37248</v>
      </c>
      <c r="B362" s="131" t="str">
        <f aca="false">INDEX('[4]Master Data'!$A$2:$B$8,MATCH(WEEKDAY('SC Gas MTM'!A362,3),'[4]Master Data'!$A$2:$A$8,0),2)</f>
        <v>Su</v>
      </c>
      <c r="D362" s="124" t="n">
        <v>0</v>
      </c>
      <c r="E362" s="124" t="n">
        <v>0</v>
      </c>
      <c r="F362" s="124" t="n">
        <v>0</v>
      </c>
      <c r="G362" s="124" t="n">
        <v>0</v>
      </c>
      <c r="I362" s="124" t="n">
        <f aca="false">IF(MONTH($A362)=MONTH($A361),IF(G362=0,I361,G362),G362)</f>
        <v>0</v>
      </c>
      <c r="J362" s="124" t="n">
        <f aca="false">IF(MONTH($A362)=MONTH($A361),SUM(I362-I361),I362)</f>
        <v>0</v>
      </c>
      <c r="K362" s="124" t="n">
        <f aca="false">IF(WEEKDAY(A362,3)&gt;4,0,(IF(A362&lt;K$2,0,IF(A362&lt;=K$3,1,0))))</f>
        <v>0</v>
      </c>
      <c r="L362" s="124" t="n">
        <f aca="false">J362*K362</f>
        <v>0</v>
      </c>
      <c r="M362" s="124" t="n">
        <f aca="false">SUM(J$280:J362)</f>
        <v>0</v>
      </c>
      <c r="N362" s="124" t="n">
        <f aca="false">SUM(J$6:J362)</f>
        <v>1197025</v>
      </c>
      <c r="P362" s="124" t="n">
        <f aca="false">D362/P$3</f>
        <v>0</v>
      </c>
      <c r="Q362" s="124" t="n">
        <f aca="false">E362/P$3</f>
        <v>0</v>
      </c>
      <c r="R362" s="124" t="n">
        <f aca="false">F362/R$3</f>
        <v>0</v>
      </c>
      <c r="S362" s="126" t="n">
        <f aca="false">J362/$R$3</f>
        <v>0</v>
      </c>
      <c r="T362" s="126" t="n">
        <f aca="false">L362/$R$3</f>
        <v>0</v>
      </c>
      <c r="U362" s="126" t="n">
        <f aca="false">I362/$R$3</f>
        <v>0</v>
      </c>
      <c r="V362" s="126" t="n">
        <f aca="false">M362/$R$3</f>
        <v>0</v>
      </c>
      <c r="W362" s="126" t="n">
        <f aca="false">N362/$R$3</f>
        <v>1197.025</v>
      </c>
    </row>
    <row r="363" customFormat="false" ht="12.75" hidden="false" customHeight="false" outlineLevel="0" collapsed="false">
      <c r="A363" s="120" t="n">
        <f aca="false">A362+1</f>
        <v>37249</v>
      </c>
      <c r="B363" s="131" t="str">
        <f aca="false">INDEX('[4]Master Data'!$A$2:$B$8,MATCH(WEEKDAY('SC Gas MTM'!A363,3),'[4]Master Data'!$A$2:$A$8,0),2)</f>
        <v>M</v>
      </c>
      <c r="D363" s="124" t="n">
        <v>0</v>
      </c>
      <c r="E363" s="124" t="n">
        <v>0</v>
      </c>
      <c r="F363" s="124" t="n">
        <v>0</v>
      </c>
      <c r="G363" s="124" t="n">
        <v>0</v>
      </c>
      <c r="I363" s="124" t="n">
        <f aca="false">IF(MONTH($A363)=MONTH($A362),IF(G363=0,I362,G363),G363)</f>
        <v>0</v>
      </c>
      <c r="J363" s="124" t="n">
        <f aca="false">IF(MONTH($A363)=MONTH($A362),SUM(I363-I362),I363)</f>
        <v>0</v>
      </c>
      <c r="K363" s="124" t="n">
        <f aca="false">IF(WEEKDAY(A363,3)&gt;4,0,(IF(A363&lt;K$2,0,IF(A363&lt;=K$3,1,0))))</f>
        <v>0</v>
      </c>
      <c r="L363" s="124" t="n">
        <f aca="false">J363*K363</f>
        <v>0</v>
      </c>
      <c r="M363" s="124" t="n">
        <f aca="false">SUM(J$280:J363)</f>
        <v>0</v>
      </c>
      <c r="N363" s="124" t="n">
        <f aca="false">SUM(J$6:J363)</f>
        <v>1197025</v>
      </c>
      <c r="P363" s="124" t="n">
        <f aca="false">D363/P$3</f>
        <v>0</v>
      </c>
      <c r="Q363" s="124" t="n">
        <f aca="false">E363/P$3</f>
        <v>0</v>
      </c>
      <c r="R363" s="124" t="n">
        <f aca="false">F363/R$3</f>
        <v>0</v>
      </c>
      <c r="S363" s="126" t="n">
        <f aca="false">J363/$R$3</f>
        <v>0</v>
      </c>
      <c r="T363" s="126" t="n">
        <f aca="false">L363/$R$3</f>
        <v>0</v>
      </c>
      <c r="U363" s="126" t="n">
        <f aca="false">I363/$R$3</f>
        <v>0</v>
      </c>
      <c r="V363" s="126" t="n">
        <f aca="false">M363/$R$3</f>
        <v>0</v>
      </c>
      <c r="W363" s="126" t="n">
        <f aca="false">N363/$R$3</f>
        <v>1197.025</v>
      </c>
    </row>
    <row r="364" customFormat="false" ht="12.75" hidden="false" customHeight="false" outlineLevel="0" collapsed="false">
      <c r="A364" s="120" t="n">
        <f aca="false">A363+1</f>
        <v>37250</v>
      </c>
      <c r="B364" s="131" t="str">
        <f aca="false">INDEX('[4]Master Data'!$A$2:$B$8,MATCH(WEEKDAY('SC Gas MTM'!A364,3),'[4]Master Data'!$A$2:$A$8,0),2)</f>
        <v>T</v>
      </c>
      <c r="D364" s="124" t="n">
        <v>0</v>
      </c>
      <c r="E364" s="124" t="n">
        <v>0</v>
      </c>
      <c r="F364" s="124" t="n">
        <v>0</v>
      </c>
      <c r="G364" s="124" t="n">
        <v>0</v>
      </c>
      <c r="I364" s="124" t="n">
        <f aca="false">IF(MONTH($A364)=MONTH($A363),IF(G364=0,I363,G364),G364)</f>
        <v>0</v>
      </c>
      <c r="J364" s="124" t="n">
        <f aca="false">IF(MONTH($A364)=MONTH($A363),SUM(I364-I363),I364)</f>
        <v>0</v>
      </c>
      <c r="K364" s="124" t="n">
        <f aca="false">IF(WEEKDAY(A364,3)&gt;4,0,(IF(A364&lt;K$2,0,IF(A364&lt;=K$3,1,0))))</f>
        <v>0</v>
      </c>
      <c r="L364" s="124" t="n">
        <f aca="false">J364*K364</f>
        <v>0</v>
      </c>
      <c r="M364" s="124" t="n">
        <f aca="false">SUM(J$280:J364)</f>
        <v>0</v>
      </c>
      <c r="N364" s="124" t="n">
        <f aca="false">SUM(J$6:J364)</f>
        <v>1197025</v>
      </c>
      <c r="P364" s="124" t="n">
        <f aca="false">D364/P$3</f>
        <v>0</v>
      </c>
      <c r="Q364" s="124" t="n">
        <f aca="false">E364/P$3</f>
        <v>0</v>
      </c>
      <c r="R364" s="124" t="n">
        <f aca="false">F364/R$3</f>
        <v>0</v>
      </c>
      <c r="S364" s="126" t="n">
        <f aca="false">J364/$R$3</f>
        <v>0</v>
      </c>
      <c r="T364" s="126" t="n">
        <f aca="false">L364/$R$3</f>
        <v>0</v>
      </c>
      <c r="U364" s="126" t="n">
        <f aca="false">I364/$R$3</f>
        <v>0</v>
      </c>
      <c r="V364" s="126" t="n">
        <f aca="false">M364/$R$3</f>
        <v>0</v>
      </c>
      <c r="W364" s="126" t="n">
        <f aca="false">N364/$R$3</f>
        <v>1197.025</v>
      </c>
    </row>
    <row r="365" customFormat="false" ht="12.75" hidden="false" customHeight="false" outlineLevel="0" collapsed="false">
      <c r="A365" s="120" t="n">
        <f aca="false">A364+1</f>
        <v>37251</v>
      </c>
      <c r="B365" s="131" t="str">
        <f aca="false">INDEX('[4]Master Data'!$A$2:$B$8,MATCH(WEEKDAY('SC Gas MTM'!A365,3),'[4]Master Data'!$A$2:$A$8,0),2)</f>
        <v>W</v>
      </c>
      <c r="D365" s="124" t="n">
        <v>0</v>
      </c>
      <c r="E365" s="124" t="n">
        <v>0</v>
      </c>
      <c r="F365" s="124" t="n">
        <v>0</v>
      </c>
      <c r="G365" s="124" t="n">
        <v>0</v>
      </c>
      <c r="I365" s="124" t="n">
        <f aca="false">IF(MONTH($A365)=MONTH($A364),IF(G365=0,I364,G365),G365)</f>
        <v>0</v>
      </c>
      <c r="J365" s="124" t="n">
        <f aca="false">IF(MONTH($A365)=MONTH($A364),SUM(I365-I364),I365)</f>
        <v>0</v>
      </c>
      <c r="K365" s="124" t="n">
        <f aca="false">IF(WEEKDAY(A365,3)&gt;4,0,(IF(A365&lt;K$2,0,IF(A365&lt;=K$3,1,0))))</f>
        <v>0</v>
      </c>
      <c r="L365" s="124" t="n">
        <f aca="false">J365*K365</f>
        <v>0</v>
      </c>
      <c r="M365" s="124" t="n">
        <f aca="false">SUM(J$280:J365)</f>
        <v>0</v>
      </c>
      <c r="N365" s="124" t="n">
        <f aca="false">SUM(J$6:J365)</f>
        <v>1197025</v>
      </c>
      <c r="P365" s="124" t="n">
        <f aca="false">D365/P$3</f>
        <v>0</v>
      </c>
      <c r="Q365" s="124" t="n">
        <f aca="false">E365/P$3</f>
        <v>0</v>
      </c>
      <c r="R365" s="124" t="n">
        <f aca="false">F365/R$3</f>
        <v>0</v>
      </c>
      <c r="S365" s="126" t="n">
        <f aca="false">J365/$R$3</f>
        <v>0</v>
      </c>
      <c r="T365" s="126" t="n">
        <f aca="false">L365/$R$3</f>
        <v>0</v>
      </c>
      <c r="U365" s="126" t="n">
        <f aca="false">I365/$R$3</f>
        <v>0</v>
      </c>
      <c r="V365" s="126" t="n">
        <f aca="false">M365/$R$3</f>
        <v>0</v>
      </c>
      <c r="W365" s="126" t="n">
        <f aca="false">N365/$R$3</f>
        <v>1197.025</v>
      </c>
    </row>
    <row r="366" customFormat="false" ht="12.75" hidden="false" customHeight="false" outlineLevel="0" collapsed="false">
      <c r="A366" s="120" t="n">
        <f aca="false">A365+1</f>
        <v>37252</v>
      </c>
      <c r="B366" s="131" t="str">
        <f aca="false">INDEX('[4]Master Data'!$A$2:$B$8,MATCH(WEEKDAY('SC Gas MTM'!A366,3),'[4]Master Data'!$A$2:$A$8,0),2)</f>
        <v>Th</v>
      </c>
      <c r="D366" s="124" t="n">
        <v>0</v>
      </c>
      <c r="E366" s="124" t="n">
        <v>0</v>
      </c>
      <c r="F366" s="124" t="n">
        <v>0</v>
      </c>
      <c r="G366" s="124" t="n">
        <v>0</v>
      </c>
      <c r="I366" s="124" t="n">
        <f aca="false">IF(MONTH($A366)=MONTH($A365),IF(G366=0,I365,G366),G366)</f>
        <v>0</v>
      </c>
      <c r="J366" s="124" t="n">
        <f aca="false">IF(MONTH($A366)=MONTH($A365),SUM(I366-I365),I366)</f>
        <v>0</v>
      </c>
      <c r="K366" s="124" t="n">
        <f aca="false">IF(WEEKDAY(A366,3)&gt;4,0,(IF(A366&lt;K$2,0,IF(A366&lt;=K$3,1,0))))</f>
        <v>0</v>
      </c>
      <c r="L366" s="124" t="n">
        <f aca="false">J366*K366</f>
        <v>0</v>
      </c>
      <c r="M366" s="124" t="n">
        <f aca="false">SUM(J$280:J366)</f>
        <v>0</v>
      </c>
      <c r="N366" s="124" t="n">
        <f aca="false">SUM(J$6:J366)</f>
        <v>1197025</v>
      </c>
      <c r="P366" s="124" t="n">
        <f aca="false">D366/P$3</f>
        <v>0</v>
      </c>
      <c r="Q366" s="124" t="n">
        <f aca="false">E366/P$3</f>
        <v>0</v>
      </c>
      <c r="R366" s="124" t="n">
        <f aca="false">F366/R$3</f>
        <v>0</v>
      </c>
      <c r="S366" s="126" t="n">
        <f aca="false">J366/$R$3</f>
        <v>0</v>
      </c>
      <c r="T366" s="126" t="n">
        <f aca="false">L366/$R$3</f>
        <v>0</v>
      </c>
      <c r="U366" s="126" t="n">
        <f aca="false">I366/$R$3</f>
        <v>0</v>
      </c>
      <c r="V366" s="126" t="n">
        <f aca="false">M366/$R$3</f>
        <v>0</v>
      </c>
      <c r="W366" s="126" t="n">
        <f aca="false">N366/$R$3</f>
        <v>1197.025</v>
      </c>
    </row>
    <row r="367" customFormat="false" ht="12.75" hidden="false" customHeight="false" outlineLevel="0" collapsed="false">
      <c r="A367" s="120" t="n">
        <f aca="false">A366+1</f>
        <v>37253</v>
      </c>
      <c r="B367" s="131" t="str">
        <f aca="false">INDEX('[4]Master Data'!$A$2:$B$8,MATCH(WEEKDAY('SC Gas MTM'!A367,3),'[4]Master Data'!$A$2:$A$8,0),2)</f>
        <v>F</v>
      </c>
      <c r="D367" s="124" t="n">
        <v>0</v>
      </c>
      <c r="E367" s="124" t="n">
        <v>0</v>
      </c>
      <c r="F367" s="124" t="n">
        <v>0</v>
      </c>
      <c r="G367" s="124" t="n">
        <v>0</v>
      </c>
      <c r="I367" s="124" t="n">
        <f aca="false">IF(MONTH($A367)=MONTH($A366),IF(G367=0,I366,G367),G367)</f>
        <v>0</v>
      </c>
      <c r="J367" s="124" t="n">
        <f aca="false">IF(MONTH($A367)=MONTH($A366),SUM(I367-I366),I367)</f>
        <v>0</v>
      </c>
      <c r="K367" s="124" t="n">
        <f aca="false">IF(WEEKDAY(A367,3)&gt;4,0,(IF(A367&lt;K$2,0,IF(A367&lt;=K$3,1,0))))</f>
        <v>0</v>
      </c>
      <c r="L367" s="124" t="n">
        <f aca="false">J367*K367</f>
        <v>0</v>
      </c>
      <c r="M367" s="124" t="n">
        <f aca="false">SUM(J$280:J367)</f>
        <v>0</v>
      </c>
      <c r="N367" s="124" t="n">
        <f aca="false">SUM(J$6:J367)</f>
        <v>1197025</v>
      </c>
      <c r="P367" s="124" t="n">
        <f aca="false">D367/P$3</f>
        <v>0</v>
      </c>
      <c r="Q367" s="124" t="n">
        <f aca="false">E367/P$3</f>
        <v>0</v>
      </c>
      <c r="R367" s="124" t="n">
        <f aca="false">F367/R$3</f>
        <v>0</v>
      </c>
      <c r="S367" s="126" t="n">
        <f aca="false">J367/$R$3</f>
        <v>0</v>
      </c>
      <c r="T367" s="126" t="n">
        <f aca="false">L367/$R$3</f>
        <v>0</v>
      </c>
      <c r="U367" s="126" t="n">
        <f aca="false">I367/$R$3</f>
        <v>0</v>
      </c>
      <c r="V367" s="126" t="n">
        <f aca="false">M367/$R$3</f>
        <v>0</v>
      </c>
      <c r="W367" s="126" t="n">
        <f aca="false">N367/$R$3</f>
        <v>1197.025</v>
      </c>
    </row>
    <row r="368" customFormat="false" ht="12.75" hidden="false" customHeight="false" outlineLevel="0" collapsed="false">
      <c r="A368" s="120" t="n">
        <f aca="false">A367+1</f>
        <v>37254</v>
      </c>
      <c r="B368" s="131" t="str">
        <f aca="false">INDEX('[4]Master Data'!$A$2:$B$8,MATCH(WEEKDAY('SC Gas MTM'!A368,3),'[4]Master Data'!$A$2:$A$8,0),2)</f>
        <v>Sa</v>
      </c>
      <c r="D368" s="124" t="n">
        <v>0</v>
      </c>
      <c r="E368" s="124" t="n">
        <v>0</v>
      </c>
      <c r="F368" s="124" t="n">
        <v>0</v>
      </c>
      <c r="G368" s="124" t="n">
        <v>0</v>
      </c>
      <c r="I368" s="124" t="n">
        <f aca="false">IF(MONTH($A368)=MONTH($A367),IF(G368=0,I367,G368),G368)</f>
        <v>0</v>
      </c>
      <c r="J368" s="124" t="n">
        <f aca="false">IF(MONTH($A368)=MONTH($A367),SUM(I368-I367),I368)</f>
        <v>0</v>
      </c>
      <c r="K368" s="124" t="n">
        <f aca="false">IF(WEEKDAY(A368,3)&gt;4,0,(IF(A368&lt;K$2,0,IF(A368&lt;=K$3,1,0))))</f>
        <v>0</v>
      </c>
      <c r="L368" s="124" t="n">
        <f aca="false">J368*K368</f>
        <v>0</v>
      </c>
      <c r="M368" s="124" t="n">
        <f aca="false">SUM(J$280:J368)</f>
        <v>0</v>
      </c>
      <c r="N368" s="124" t="n">
        <f aca="false">SUM(J$6:J368)</f>
        <v>1197025</v>
      </c>
      <c r="P368" s="124" t="n">
        <f aca="false">D368/P$3</f>
        <v>0</v>
      </c>
      <c r="Q368" s="124" t="n">
        <f aca="false">E368/P$3</f>
        <v>0</v>
      </c>
      <c r="R368" s="124" t="n">
        <f aca="false">F368/R$3</f>
        <v>0</v>
      </c>
      <c r="S368" s="126" t="n">
        <f aca="false">J368/$R$3</f>
        <v>0</v>
      </c>
      <c r="T368" s="126" t="n">
        <f aca="false">L368/$R$3</f>
        <v>0</v>
      </c>
      <c r="U368" s="126" t="n">
        <f aca="false">I368/$R$3</f>
        <v>0</v>
      </c>
      <c r="V368" s="126" t="n">
        <f aca="false">M368/$R$3</f>
        <v>0</v>
      </c>
      <c r="W368" s="126" t="n">
        <f aca="false">N368/$R$3</f>
        <v>1197.025</v>
      </c>
    </row>
    <row r="369" customFormat="false" ht="12.75" hidden="false" customHeight="false" outlineLevel="0" collapsed="false">
      <c r="A369" s="120" t="n">
        <f aca="false">A368+1</f>
        <v>37255</v>
      </c>
      <c r="B369" s="131" t="str">
        <f aca="false">INDEX('[4]Master Data'!$A$2:$B$8,MATCH(WEEKDAY('SC Gas MTM'!A369,3),'[4]Master Data'!$A$2:$A$8,0),2)</f>
        <v>Su</v>
      </c>
      <c r="D369" s="124" t="n">
        <v>0</v>
      </c>
      <c r="E369" s="124" t="n">
        <v>0</v>
      </c>
      <c r="F369" s="124" t="n">
        <v>0</v>
      </c>
      <c r="G369" s="124" t="n">
        <v>0</v>
      </c>
      <c r="I369" s="124" t="n">
        <f aca="false">IF(MONTH($A369)=MONTH($A368),IF(G369=0,I368,G369),G369)</f>
        <v>0</v>
      </c>
      <c r="J369" s="124" t="n">
        <f aca="false">IF(MONTH($A369)=MONTH($A368),SUM(I369-I368),I369)</f>
        <v>0</v>
      </c>
      <c r="K369" s="124" t="n">
        <f aca="false">IF(WEEKDAY(A369,3)&gt;4,0,(IF(A369&lt;K$2,0,IF(A369&lt;=K$3,1,0))))</f>
        <v>0</v>
      </c>
      <c r="L369" s="124" t="n">
        <f aca="false">J369*K369</f>
        <v>0</v>
      </c>
      <c r="M369" s="124" t="n">
        <f aca="false">SUM(J$280:J369)</f>
        <v>0</v>
      </c>
      <c r="N369" s="124" t="n">
        <f aca="false">SUM(J$6:J369)</f>
        <v>1197025</v>
      </c>
      <c r="P369" s="124" t="n">
        <f aca="false">D369/P$3</f>
        <v>0</v>
      </c>
      <c r="Q369" s="124" t="n">
        <f aca="false">E369/P$3</f>
        <v>0</v>
      </c>
      <c r="R369" s="124" t="n">
        <f aca="false">F369/R$3</f>
        <v>0</v>
      </c>
      <c r="S369" s="126" t="n">
        <f aca="false">J369/$R$3</f>
        <v>0</v>
      </c>
      <c r="T369" s="126" t="n">
        <f aca="false">L369/$R$3</f>
        <v>0</v>
      </c>
      <c r="U369" s="126" t="n">
        <f aca="false">I369/$R$3</f>
        <v>0</v>
      </c>
      <c r="V369" s="126" t="n">
        <f aca="false">M369/$R$3</f>
        <v>0</v>
      </c>
      <c r="W369" s="126" t="n">
        <f aca="false">N369/$R$3</f>
        <v>1197.025</v>
      </c>
    </row>
    <row r="370" customFormat="false" ht="12.75" hidden="false" customHeight="false" outlineLevel="0" collapsed="false">
      <c r="A370" s="120" t="n">
        <f aca="false">A369+1</f>
        <v>37256</v>
      </c>
      <c r="B370" s="131" t="str">
        <f aca="false">INDEX('[4]Master Data'!$A$2:$B$8,MATCH(WEEKDAY('SC Gas MTM'!A370,3),'[4]Master Data'!$A$2:$A$8,0),2)</f>
        <v>M</v>
      </c>
      <c r="D370" s="124" t="n">
        <v>0</v>
      </c>
      <c r="E370" s="124" t="n">
        <v>0</v>
      </c>
      <c r="F370" s="124" t="n">
        <v>0</v>
      </c>
      <c r="G370" s="124" t="n">
        <v>0</v>
      </c>
      <c r="I370" s="124" t="n">
        <f aca="false">IF(MONTH($A370)=MONTH($A369),IF(G370=0,I369,G370),G370)</f>
        <v>0</v>
      </c>
      <c r="J370" s="124" t="n">
        <f aca="false">IF(MONTH($A370)=MONTH($A369),SUM(I370-I369),I370)</f>
        <v>0</v>
      </c>
      <c r="K370" s="124" t="n">
        <f aca="false">IF(WEEKDAY(A370,3)&gt;4,0,(IF(A370&lt;K$2,0,IF(A370&lt;=K$3,1,0))))</f>
        <v>0</v>
      </c>
      <c r="L370" s="124" t="n">
        <f aca="false">J370*K370</f>
        <v>0</v>
      </c>
      <c r="M370" s="124" t="n">
        <f aca="false">SUM(J$280:J370)</f>
        <v>0</v>
      </c>
      <c r="N370" s="124" t="n">
        <f aca="false">SUM(J$6:J370)</f>
        <v>1197025</v>
      </c>
      <c r="P370" s="124" t="n">
        <f aca="false">D370/P$3</f>
        <v>0</v>
      </c>
      <c r="Q370" s="124" t="n">
        <f aca="false">E370/P$3</f>
        <v>0</v>
      </c>
      <c r="R370" s="124" t="n">
        <f aca="false">F370/R$3</f>
        <v>0</v>
      </c>
      <c r="S370" s="126" t="n">
        <f aca="false">J370/$R$3</f>
        <v>0</v>
      </c>
      <c r="T370" s="126" t="n">
        <f aca="false">L370/$R$3</f>
        <v>0</v>
      </c>
      <c r="U370" s="126" t="n">
        <f aca="false">I370/$R$3</f>
        <v>0</v>
      </c>
      <c r="V370" s="126" t="n">
        <f aca="false">M370/$R$3</f>
        <v>0</v>
      </c>
      <c r="W370" s="126" t="n">
        <f aca="false">N370/$R$3</f>
        <v>1197.025</v>
      </c>
    </row>
    <row r="371" customFormat="false" ht="12.75" hidden="false" customHeight="false" outlineLevel="0" collapsed="false">
      <c r="A371" s="120" t="n">
        <f aca="false">A370+1</f>
        <v>37257</v>
      </c>
      <c r="B371" s="131" t="str">
        <f aca="false">INDEX('[4]Master Data'!$A$2:$B$8,MATCH(WEEKDAY('SC Gas MTM'!A371,3),'[4]Master Data'!$A$2:$A$8,0),2)</f>
        <v>T</v>
      </c>
      <c r="D371" s="124" t="n">
        <v>0</v>
      </c>
      <c r="E371" s="124" t="n">
        <v>0</v>
      </c>
      <c r="F371" s="124" t="n">
        <v>0</v>
      </c>
      <c r="G371" s="124" t="n">
        <v>0</v>
      </c>
      <c r="I371" s="124" t="n">
        <f aca="false">IF(MONTH($A371)=MONTH($A370),IF(G371=0,I370,G371),G371)</f>
        <v>0</v>
      </c>
      <c r="J371" s="124" t="n">
        <f aca="false">IF(MONTH($A371)=MONTH($A370),SUM(I371-I370),I371)</f>
        <v>0</v>
      </c>
      <c r="K371" s="124" t="n">
        <f aca="false">IF(WEEKDAY(A371,3)&gt;4,0,(IF(A371&lt;K$2,0,IF(A371&lt;=K$3,1,0))))</f>
        <v>0</v>
      </c>
      <c r="L371" s="124" t="n">
        <f aca="false">J371*K371</f>
        <v>0</v>
      </c>
      <c r="M371" s="124" t="n">
        <f aca="false">SUM(J$280:J371)</f>
        <v>0</v>
      </c>
      <c r="N371" s="124" t="n">
        <f aca="false">SUM(J$6:J371)</f>
        <v>1197025</v>
      </c>
      <c r="P371" s="124" t="n">
        <f aca="false">D371/P$3</f>
        <v>0</v>
      </c>
      <c r="Q371" s="124" t="n">
        <f aca="false">E371/P$3</f>
        <v>0</v>
      </c>
      <c r="R371" s="124" t="n">
        <f aca="false">F371/R$3</f>
        <v>0</v>
      </c>
      <c r="S371" s="126" t="n">
        <f aca="false">J371/$R$3</f>
        <v>0</v>
      </c>
      <c r="T371" s="126" t="n">
        <f aca="false">L371/$R$3</f>
        <v>0</v>
      </c>
      <c r="U371" s="126" t="n">
        <f aca="false">I371/$R$3</f>
        <v>0</v>
      </c>
      <c r="V371" s="126" t="n">
        <f aca="false">M371/$R$3</f>
        <v>0</v>
      </c>
      <c r="W371" s="126" t="n">
        <f aca="false">N371/$R$3</f>
        <v>1197.025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310" activeCellId="0" sqref="E310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20" width="7.28"/>
    <col collapsed="false" customWidth="true" hidden="false" outlineLevel="0" max="2" min="2" style="121" width="4.14"/>
    <col collapsed="false" customWidth="true" hidden="false" outlineLevel="0" max="3" min="3" style="122" width="2.7"/>
    <col collapsed="false" customWidth="true" hidden="false" outlineLevel="0" max="7" min="4" style="121" width="14.99"/>
    <col collapsed="false" customWidth="true" hidden="false" outlineLevel="0" max="8" min="8" style="122" width="2.7"/>
    <col collapsed="false" customWidth="true" hidden="false" outlineLevel="0" max="9" min="9" style="123" width="13.14"/>
    <col collapsed="false" customWidth="true" hidden="false" outlineLevel="0" max="10" min="10" style="124" width="13.14"/>
    <col collapsed="false" customWidth="true" hidden="false" outlineLevel="0" max="11" min="11" style="124" width="10.99"/>
    <col collapsed="false" customWidth="true" hidden="false" outlineLevel="0" max="14" min="12" style="124" width="13.14"/>
    <col collapsed="false" customWidth="true" hidden="false" outlineLevel="0" max="15" min="15" style="125" width="2.7"/>
    <col collapsed="false" customWidth="true" hidden="false" outlineLevel="0" max="18" min="16" style="121" width="16.13"/>
    <col collapsed="false" customWidth="true" hidden="false" outlineLevel="0" max="23" min="19" style="126" width="12.7"/>
    <col collapsed="false" customWidth="false" hidden="false" outlineLevel="0" max="257" min="24" style="121" width="9.14"/>
  </cols>
  <sheetData>
    <row r="1" customFormat="false" ht="12.75" hidden="false" customHeight="false" outlineLevel="0" collapsed="false">
      <c r="A1" s="127" t="n">
        <v>1</v>
      </c>
      <c r="B1" s="121" t="n">
        <f aca="false">+A1+1</f>
        <v>2</v>
      </c>
      <c r="C1" s="122" t="n">
        <f aca="false">+B1+1</f>
        <v>3</v>
      </c>
      <c r="D1" s="121" t="n">
        <f aca="false">+C1+1</f>
        <v>4</v>
      </c>
      <c r="E1" s="121" t="n">
        <f aca="false">+D1+1</f>
        <v>5</v>
      </c>
      <c r="F1" s="121" t="n">
        <f aca="false">+E1+1</f>
        <v>6</v>
      </c>
      <c r="G1" s="121" t="n">
        <f aca="false">+F1+1</f>
        <v>7</v>
      </c>
      <c r="H1" s="122" t="n">
        <f aca="false">+G1+1</f>
        <v>8</v>
      </c>
      <c r="I1" s="123" t="n">
        <f aca="false">+H1+1</f>
        <v>9</v>
      </c>
      <c r="J1" s="124" t="n">
        <f aca="false">+I1+1</f>
        <v>10</v>
      </c>
      <c r="K1" s="124" t="n">
        <f aca="false">+J1+1</f>
        <v>11</v>
      </c>
      <c r="L1" s="124" t="n">
        <f aca="false">+K1+1</f>
        <v>12</v>
      </c>
      <c r="M1" s="124" t="n">
        <f aca="false">+L1+1</f>
        <v>13</v>
      </c>
      <c r="N1" s="124" t="n">
        <f aca="false">+M1+1</f>
        <v>14</v>
      </c>
      <c r="O1" s="125" t="n">
        <f aca="false">+N1+1</f>
        <v>15</v>
      </c>
      <c r="P1" s="121" t="n">
        <f aca="false">+O1+1</f>
        <v>16</v>
      </c>
      <c r="Q1" s="121" t="n">
        <f aca="false">+P1+1</f>
        <v>17</v>
      </c>
      <c r="R1" s="121" t="n">
        <f aca="false">+Q1+1</f>
        <v>18</v>
      </c>
      <c r="S1" s="121" t="n">
        <f aca="false">+R1+1</f>
        <v>19</v>
      </c>
      <c r="T1" s="121" t="n">
        <f aca="false">+S1+1</f>
        <v>20</v>
      </c>
      <c r="U1" s="121" t="n">
        <f aca="false">+T1+1</f>
        <v>21</v>
      </c>
      <c r="V1" s="121" t="n">
        <f aca="false">+U1+1</f>
        <v>22</v>
      </c>
      <c r="W1" s="121" t="n">
        <f aca="false">+V1+1</f>
        <v>23</v>
      </c>
    </row>
    <row r="2" customFormat="false" ht="12.75" hidden="false" customHeight="false" outlineLevel="0" collapsed="false">
      <c r="K2" s="128" t="n">
        <f aca="false">WORKDAY(K3,-4)</f>
        <v>37190</v>
      </c>
    </row>
    <row r="3" customFormat="false" ht="12.75" hidden="false" customHeight="false" outlineLevel="0" collapsed="false">
      <c r="K3" s="128" t="n">
        <f aca="false">Summary!B8</f>
        <v>37196</v>
      </c>
      <c r="L3" s="129" t="n">
        <f aca="false">SUM(L6:L371)</f>
        <v>0</v>
      </c>
      <c r="P3" s="124" t="n">
        <v>1000000</v>
      </c>
      <c r="Q3" s="124"/>
      <c r="R3" s="124" t="n">
        <v>1000</v>
      </c>
      <c r="S3" s="121"/>
      <c r="T3" s="130" t="n">
        <f aca="false">SUM(T6:T371)</f>
        <v>0</v>
      </c>
    </row>
    <row r="4" customFormat="false" ht="12.75" hidden="false" customHeight="false" outlineLevel="0" collapsed="false">
      <c r="D4" s="131" t="s">
        <v>57</v>
      </c>
      <c r="E4" s="131" t="s">
        <v>57</v>
      </c>
      <c r="F4" s="131" t="s">
        <v>58</v>
      </c>
      <c r="G4" s="131" t="s">
        <v>58</v>
      </c>
      <c r="I4" s="132" t="s">
        <v>58</v>
      </c>
      <c r="J4" s="132"/>
      <c r="K4" s="132"/>
      <c r="L4" s="132"/>
      <c r="M4" s="132"/>
      <c r="N4" s="132"/>
      <c r="O4" s="133"/>
      <c r="P4" s="134" t="s">
        <v>59</v>
      </c>
      <c r="Q4" s="134"/>
      <c r="R4" s="135" t="s">
        <v>60</v>
      </c>
      <c r="S4" s="135"/>
      <c r="T4" s="135"/>
      <c r="U4" s="135"/>
      <c r="V4" s="135"/>
      <c r="W4" s="135"/>
    </row>
    <row r="5" customFormat="false" ht="12.75" hidden="false" customHeight="false" outlineLevel="0" collapsed="false">
      <c r="A5" s="136" t="s">
        <v>61</v>
      </c>
      <c r="B5" s="131" t="s">
        <v>62</v>
      </c>
      <c r="C5" s="137"/>
      <c r="D5" s="138" t="s">
        <v>63</v>
      </c>
      <c r="E5" s="138" t="s">
        <v>64</v>
      </c>
      <c r="F5" s="138" t="s">
        <v>65</v>
      </c>
      <c r="G5" s="138" t="s">
        <v>66</v>
      </c>
      <c r="H5" s="139"/>
      <c r="I5" s="138" t="s">
        <v>67</v>
      </c>
      <c r="J5" s="140" t="s">
        <v>68</v>
      </c>
      <c r="K5" s="140" t="s">
        <v>69</v>
      </c>
      <c r="L5" s="140" t="s">
        <v>70</v>
      </c>
      <c r="M5" s="140" t="s">
        <v>71</v>
      </c>
      <c r="N5" s="140" t="s">
        <v>72</v>
      </c>
      <c r="O5" s="141"/>
      <c r="P5" s="138" t="s">
        <v>63</v>
      </c>
      <c r="Q5" s="138" t="s">
        <v>64</v>
      </c>
      <c r="R5" s="138" t="s">
        <v>65</v>
      </c>
      <c r="S5" s="142" t="s">
        <v>68</v>
      </c>
      <c r="T5" s="140" t="s">
        <v>70</v>
      </c>
      <c r="U5" s="142" t="s">
        <v>66</v>
      </c>
      <c r="V5" s="142" t="s">
        <v>71</v>
      </c>
      <c r="W5" s="142" t="s">
        <v>72</v>
      </c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1"/>
      <c r="AW5" s="131"/>
      <c r="AX5" s="131"/>
      <c r="AY5" s="131"/>
      <c r="AZ5" s="131"/>
      <c r="BA5" s="131"/>
      <c r="BB5" s="131"/>
      <c r="BC5" s="131"/>
      <c r="BD5" s="131"/>
      <c r="BE5" s="131"/>
      <c r="BF5" s="131"/>
      <c r="BG5" s="131"/>
      <c r="BH5" s="131"/>
      <c r="BI5" s="131"/>
      <c r="BJ5" s="131"/>
      <c r="BK5" s="131"/>
      <c r="BL5" s="131"/>
      <c r="BM5" s="131"/>
      <c r="BN5" s="131"/>
      <c r="BO5" s="131"/>
      <c r="BP5" s="131"/>
      <c r="BQ5" s="131"/>
      <c r="BR5" s="131"/>
      <c r="BS5" s="131"/>
      <c r="BT5" s="131"/>
      <c r="BU5" s="131"/>
      <c r="BV5" s="131"/>
      <c r="BW5" s="131"/>
      <c r="BX5" s="131"/>
      <c r="BY5" s="131"/>
      <c r="BZ5" s="131"/>
      <c r="CA5" s="131"/>
      <c r="CB5" s="131"/>
      <c r="CC5" s="131"/>
      <c r="CD5" s="131"/>
      <c r="CE5" s="131"/>
      <c r="CF5" s="131"/>
      <c r="CG5" s="131"/>
      <c r="CH5" s="131"/>
      <c r="CI5" s="131"/>
      <c r="CJ5" s="131"/>
      <c r="CK5" s="131"/>
      <c r="CL5" s="131"/>
      <c r="CM5" s="131"/>
      <c r="CN5" s="131"/>
      <c r="CO5" s="131"/>
      <c r="CP5" s="131"/>
      <c r="CQ5" s="131"/>
      <c r="CR5" s="131"/>
      <c r="CS5" s="131"/>
      <c r="CT5" s="131"/>
      <c r="CU5" s="131"/>
      <c r="CV5" s="131"/>
      <c r="CW5" s="131"/>
      <c r="CX5" s="131"/>
      <c r="CY5" s="131"/>
      <c r="CZ5" s="131"/>
      <c r="DA5" s="131"/>
      <c r="DB5" s="131"/>
      <c r="DC5" s="131"/>
      <c r="DD5" s="131"/>
      <c r="DE5" s="131"/>
      <c r="DF5" s="131"/>
      <c r="DG5" s="131"/>
      <c r="DH5" s="131"/>
      <c r="DI5" s="131"/>
      <c r="DJ5" s="131"/>
      <c r="DK5" s="131"/>
      <c r="DL5" s="131"/>
      <c r="DM5" s="131"/>
      <c r="DN5" s="131"/>
      <c r="DO5" s="131"/>
      <c r="DP5" s="131"/>
      <c r="DQ5" s="131"/>
      <c r="DR5" s="131"/>
      <c r="DS5" s="131"/>
      <c r="DT5" s="131"/>
      <c r="DU5" s="131"/>
      <c r="DV5" s="131"/>
      <c r="DW5" s="131"/>
      <c r="DX5" s="131"/>
      <c r="DY5" s="131"/>
      <c r="DZ5" s="131"/>
      <c r="EA5" s="131"/>
      <c r="EB5" s="131"/>
      <c r="EC5" s="131"/>
      <c r="ED5" s="131"/>
      <c r="EE5" s="131"/>
      <c r="EF5" s="131"/>
      <c r="EG5" s="131"/>
      <c r="EH5" s="131"/>
      <c r="EI5" s="131"/>
      <c r="EJ5" s="131"/>
      <c r="EK5" s="131"/>
      <c r="EL5" s="131"/>
      <c r="EM5" s="131"/>
      <c r="EN5" s="131"/>
      <c r="EO5" s="131"/>
      <c r="EP5" s="131"/>
      <c r="EQ5" s="131"/>
      <c r="ER5" s="131"/>
      <c r="ES5" s="131"/>
      <c r="ET5" s="131"/>
      <c r="EU5" s="131"/>
      <c r="EV5" s="131"/>
      <c r="EW5" s="131"/>
      <c r="EX5" s="131"/>
      <c r="EY5" s="131"/>
      <c r="EZ5" s="131"/>
      <c r="FA5" s="131"/>
      <c r="FB5" s="131"/>
      <c r="FC5" s="131"/>
      <c r="FD5" s="131"/>
      <c r="FE5" s="131"/>
      <c r="FF5" s="131"/>
      <c r="FG5" s="131"/>
      <c r="FH5" s="131"/>
      <c r="FI5" s="131"/>
      <c r="FJ5" s="131"/>
      <c r="FK5" s="131"/>
      <c r="FL5" s="131"/>
      <c r="FM5" s="131"/>
      <c r="FN5" s="131"/>
      <c r="FO5" s="131"/>
      <c r="FP5" s="131"/>
      <c r="FQ5" s="131"/>
      <c r="FR5" s="131"/>
      <c r="FS5" s="131"/>
      <c r="FT5" s="131"/>
      <c r="FU5" s="131"/>
      <c r="FV5" s="131"/>
      <c r="FW5" s="131"/>
      <c r="FX5" s="131"/>
      <c r="FY5" s="131"/>
      <c r="FZ5" s="131"/>
      <c r="GA5" s="131"/>
      <c r="GB5" s="131"/>
      <c r="GC5" s="131"/>
      <c r="GD5" s="131"/>
      <c r="GE5" s="131"/>
      <c r="GF5" s="131"/>
      <c r="GG5" s="131"/>
      <c r="GH5" s="131"/>
      <c r="GI5" s="131"/>
      <c r="GJ5" s="131"/>
      <c r="GK5" s="131"/>
      <c r="GL5" s="131"/>
      <c r="GM5" s="131"/>
      <c r="GN5" s="131"/>
      <c r="GO5" s="131"/>
      <c r="GP5" s="131"/>
      <c r="GQ5" s="131"/>
      <c r="GR5" s="131"/>
      <c r="GS5" s="131"/>
      <c r="GT5" s="131"/>
      <c r="GU5" s="131"/>
      <c r="GV5" s="131"/>
      <c r="GW5" s="131"/>
      <c r="GX5" s="131"/>
      <c r="GY5" s="131"/>
      <c r="GZ5" s="131"/>
      <c r="HA5" s="131"/>
      <c r="HB5" s="131"/>
      <c r="HC5" s="131"/>
      <c r="HD5" s="131"/>
      <c r="HE5" s="131"/>
      <c r="HF5" s="131"/>
      <c r="HG5" s="131"/>
      <c r="HH5" s="131"/>
      <c r="HI5" s="131"/>
      <c r="HJ5" s="131"/>
      <c r="HK5" s="131"/>
      <c r="HL5" s="131"/>
      <c r="HM5" s="131"/>
      <c r="HN5" s="131"/>
      <c r="HO5" s="131"/>
      <c r="HP5" s="131"/>
      <c r="HQ5" s="131"/>
      <c r="HR5" s="131"/>
      <c r="HS5" s="131"/>
      <c r="HT5" s="131"/>
      <c r="HU5" s="131"/>
      <c r="HV5" s="131"/>
      <c r="HW5" s="131"/>
      <c r="HX5" s="131"/>
      <c r="HY5" s="131"/>
      <c r="HZ5" s="131"/>
      <c r="IA5" s="131"/>
      <c r="IB5" s="131"/>
      <c r="IC5" s="131"/>
      <c r="ID5" s="131"/>
      <c r="IE5" s="131"/>
      <c r="IF5" s="131"/>
      <c r="IG5" s="131"/>
      <c r="IH5" s="131"/>
      <c r="II5" s="131"/>
      <c r="IJ5" s="131"/>
      <c r="IK5" s="131"/>
      <c r="IL5" s="131"/>
      <c r="IM5" s="131"/>
      <c r="IN5" s="131"/>
      <c r="IO5" s="131"/>
      <c r="IP5" s="131"/>
      <c r="IQ5" s="131"/>
      <c r="IR5" s="131"/>
      <c r="IS5" s="131"/>
      <c r="IT5" s="131"/>
      <c r="IU5" s="131"/>
      <c r="IV5" s="131"/>
      <c r="IW5" s="131"/>
    </row>
    <row r="6" customFormat="false" ht="12.75" hidden="true" customHeight="false" outlineLevel="0" collapsed="false">
      <c r="A6" s="120" t="n">
        <v>36892</v>
      </c>
      <c r="B6" s="131" t="str">
        <f aca="false">INDEX('Master Data'!$A$2:$B$8,MATCH(WEEKDAY('SC Total Power'!A6,3),'Master Data'!$A$2:$A$8,0),2)</f>
        <v>M</v>
      </c>
      <c r="D6" s="124" t="n">
        <v>0</v>
      </c>
      <c r="E6" s="124" t="n">
        <v>0</v>
      </c>
      <c r="F6" s="124" t="n">
        <v>0</v>
      </c>
      <c r="G6" s="124" t="n">
        <v>0</v>
      </c>
      <c r="I6" s="124" t="n">
        <f aca="false">G6</f>
        <v>0</v>
      </c>
      <c r="J6" s="124" t="n">
        <f aca="false">I6</f>
        <v>0</v>
      </c>
      <c r="K6" s="124" t="n">
        <f aca="false">IF(WEEKDAY(A6,3)&gt;4,0,(IF(A6&lt;K$2,0,IF(A6&lt;=K$3,1,0))))</f>
        <v>0</v>
      </c>
      <c r="L6" s="124" t="n">
        <f aca="false">J6*K6</f>
        <v>0</v>
      </c>
      <c r="M6" s="124" t="n">
        <f aca="false">SUM(J$6:J6)</f>
        <v>0</v>
      </c>
      <c r="N6" s="124" t="n">
        <f aca="false">SUM(J$6:J6)</f>
        <v>0</v>
      </c>
      <c r="P6" s="124" t="n">
        <f aca="false">D6/P$3</f>
        <v>0</v>
      </c>
      <c r="Q6" s="143" t="n">
        <f aca="false">E6/P$3</f>
        <v>0</v>
      </c>
      <c r="R6" s="124" t="n">
        <f aca="false">F6/R$3</f>
        <v>0</v>
      </c>
      <c r="S6" s="126" t="n">
        <f aca="false">J6/$R$3</f>
        <v>0</v>
      </c>
      <c r="T6" s="126" t="n">
        <f aca="false">L6/$R$3</f>
        <v>0</v>
      </c>
      <c r="U6" s="126" t="n">
        <f aca="false">I6/$R$3</f>
        <v>0</v>
      </c>
      <c r="V6" s="126" t="n">
        <f aca="false">M6/$R$3</f>
        <v>0</v>
      </c>
      <c r="W6" s="126" t="n">
        <f aca="false">N6/$R$3</f>
        <v>0</v>
      </c>
    </row>
    <row r="7" customFormat="false" ht="12.75" hidden="true" customHeight="false" outlineLevel="0" collapsed="false">
      <c r="A7" s="120" t="n">
        <f aca="false">A6+1</f>
        <v>36893</v>
      </c>
      <c r="B7" s="131" t="str">
        <f aca="false">INDEX('Master Data'!$A$2:$B$8,MATCH(WEEKDAY('SC Total Power'!A7,3),'Master Data'!$A$2:$A$8,0),2)</f>
        <v>T</v>
      </c>
      <c r="D7" s="124" t="n">
        <v>0</v>
      </c>
      <c r="E7" s="124" t="n">
        <v>86178</v>
      </c>
      <c r="F7" s="124" t="n">
        <v>0</v>
      </c>
      <c r="G7" s="124" t="n">
        <v>0</v>
      </c>
      <c r="I7" s="124" t="n">
        <f aca="false">IF(MONTH($A7)=MONTH($A6),IF(G7=0,I6,G7),0)</f>
        <v>0</v>
      </c>
      <c r="J7" s="124" t="n">
        <f aca="false">IF(MONTH($A7)=MONTH($A6),SUM(I7-I6),I7)</f>
        <v>0</v>
      </c>
      <c r="K7" s="124" t="n">
        <f aca="false">IF(WEEKDAY(A7,3)&gt;4,0,(IF(A7&lt;K$2,0,IF(A7&lt;=K$3,1,0))))</f>
        <v>0</v>
      </c>
      <c r="L7" s="124" t="n">
        <f aca="false">J7*K7</f>
        <v>0</v>
      </c>
      <c r="M7" s="124" t="n">
        <f aca="false">SUM(J$6:J7)</f>
        <v>0</v>
      </c>
      <c r="N7" s="124" t="n">
        <f aca="false">SUM(J$6:J7)</f>
        <v>0</v>
      </c>
      <c r="P7" s="124" t="n">
        <f aca="false">D7/P$3</f>
        <v>0</v>
      </c>
      <c r="Q7" s="143" t="n">
        <f aca="false">E7/P$3</f>
        <v>0.086178</v>
      </c>
      <c r="R7" s="124" t="n">
        <f aca="false">F7/R$3</f>
        <v>0</v>
      </c>
      <c r="S7" s="126" t="n">
        <f aca="false">J7/$R$3</f>
        <v>0</v>
      </c>
      <c r="T7" s="126" t="n">
        <f aca="false">L7/$R$3</f>
        <v>0</v>
      </c>
      <c r="U7" s="126" t="n">
        <f aca="false">I7/$R$3</f>
        <v>0</v>
      </c>
      <c r="V7" s="126" t="n">
        <f aca="false">M7/$R$3</f>
        <v>0</v>
      </c>
      <c r="W7" s="126" t="n">
        <f aca="false">N7/$R$3</f>
        <v>0</v>
      </c>
    </row>
    <row r="8" customFormat="false" ht="12.75" hidden="true" customHeight="false" outlineLevel="0" collapsed="false">
      <c r="A8" s="120" t="n">
        <f aca="false">A7+1</f>
        <v>36894</v>
      </c>
      <c r="B8" s="131" t="str">
        <f aca="false">INDEX('Master Data'!$A$2:$B$8,MATCH(WEEKDAY('SC Total Power'!A8,3),'Master Data'!$A$2:$A$8,0),2)</f>
        <v>W</v>
      </c>
      <c r="D8" s="124" t="n">
        <v>0</v>
      </c>
      <c r="E8" s="124" t="n">
        <v>84042</v>
      </c>
      <c r="F8" s="124" t="n">
        <v>0</v>
      </c>
      <c r="G8" s="124" t="n">
        <v>0</v>
      </c>
      <c r="I8" s="124" t="n">
        <f aca="false">IF(MONTH($A8)=MONTH($A7),IF(G8=0,I7,G8),0)</f>
        <v>0</v>
      </c>
      <c r="J8" s="124" t="n">
        <f aca="false">IF(MONTH($A8)=MONTH($A7),SUM(I8-I7),I8)</f>
        <v>0</v>
      </c>
      <c r="K8" s="124" t="n">
        <f aca="false">IF(WEEKDAY(A8,3)&gt;4,0,(IF(A8&lt;K$2,0,IF(A8&lt;=K$3,1,0))))</f>
        <v>0</v>
      </c>
      <c r="L8" s="124" t="n">
        <f aca="false">J8*K8</f>
        <v>0</v>
      </c>
      <c r="M8" s="124" t="n">
        <f aca="false">SUM(J$6:J8)</f>
        <v>0</v>
      </c>
      <c r="N8" s="124" t="n">
        <f aca="false">SUM(J$6:J8)</f>
        <v>0</v>
      </c>
      <c r="P8" s="124" t="n">
        <f aca="false">D8/P$3</f>
        <v>0</v>
      </c>
      <c r="Q8" s="143" t="n">
        <f aca="false">E8/P$3</f>
        <v>0.084042</v>
      </c>
      <c r="R8" s="124" t="n">
        <f aca="false">F8/R$3</f>
        <v>0</v>
      </c>
      <c r="S8" s="126" t="n">
        <f aca="false">J8/$R$3</f>
        <v>0</v>
      </c>
      <c r="T8" s="126" t="n">
        <f aca="false">L8/$R$3</f>
        <v>0</v>
      </c>
      <c r="U8" s="126" t="n">
        <f aca="false">I8/$R$3</f>
        <v>0</v>
      </c>
      <c r="V8" s="126" t="n">
        <f aca="false">M8/$R$3</f>
        <v>0</v>
      </c>
      <c r="W8" s="126" t="n">
        <f aca="false">N8/$R$3</f>
        <v>0</v>
      </c>
    </row>
    <row r="9" customFormat="false" ht="12.75" hidden="true" customHeight="false" outlineLevel="0" collapsed="false">
      <c r="A9" s="120" t="n">
        <f aca="false">A8+1</f>
        <v>36895</v>
      </c>
      <c r="B9" s="131" t="str">
        <f aca="false">INDEX('Master Data'!$A$2:$B$8,MATCH(WEEKDAY('SC Total Power'!A9,3),'Master Data'!$A$2:$A$8,0),2)</f>
        <v>Th</v>
      </c>
      <c r="D9" s="124" t="n">
        <v>0</v>
      </c>
      <c r="E9" s="124" t="n">
        <v>81902</v>
      </c>
      <c r="F9" s="124" t="n">
        <v>0</v>
      </c>
      <c r="G9" s="124" t="n">
        <v>0</v>
      </c>
      <c r="I9" s="124" t="n">
        <f aca="false">IF(MONTH($A9)=MONTH($A8),IF(G9=0,I8,G9),0)</f>
        <v>0</v>
      </c>
      <c r="J9" s="124" t="n">
        <f aca="false">IF(MONTH($A9)=MONTH($A8),SUM(I9-I8),I9)</f>
        <v>0</v>
      </c>
      <c r="K9" s="124" t="n">
        <f aca="false">IF(WEEKDAY(A9,3)&gt;4,0,(IF(A9&lt;K$2,0,IF(A9&lt;=K$3,1,0))))</f>
        <v>0</v>
      </c>
      <c r="L9" s="124" t="n">
        <f aca="false">J9*K9</f>
        <v>0</v>
      </c>
      <c r="M9" s="124" t="n">
        <f aca="false">SUM(J$6:J9)</f>
        <v>0</v>
      </c>
      <c r="N9" s="124" t="n">
        <f aca="false">SUM(J$6:J9)</f>
        <v>0</v>
      </c>
      <c r="P9" s="124" t="n">
        <f aca="false">D9/P$3</f>
        <v>0</v>
      </c>
      <c r="Q9" s="143" t="n">
        <f aca="false">E9/P$3</f>
        <v>0.081902</v>
      </c>
      <c r="R9" s="124" t="n">
        <f aca="false">F9/R$3</f>
        <v>0</v>
      </c>
      <c r="S9" s="126" t="n">
        <f aca="false">J9/$R$3</f>
        <v>0</v>
      </c>
      <c r="T9" s="126" t="n">
        <f aca="false">L9/$R$3</f>
        <v>0</v>
      </c>
      <c r="U9" s="126" t="n">
        <f aca="false">I9/$R$3</f>
        <v>0</v>
      </c>
      <c r="V9" s="126" t="n">
        <f aca="false">M9/$R$3</f>
        <v>0</v>
      </c>
      <c r="W9" s="126" t="n">
        <f aca="false">N9/$R$3</f>
        <v>0</v>
      </c>
    </row>
    <row r="10" customFormat="false" ht="12.75" hidden="true" customHeight="false" outlineLevel="0" collapsed="false">
      <c r="A10" s="120" t="n">
        <f aca="false">A9+1</f>
        <v>36896</v>
      </c>
      <c r="B10" s="131" t="str">
        <f aca="false">INDEX('Master Data'!$A$2:$B$8,MATCH(WEEKDAY('SC Total Power'!A10,3),'Master Data'!$A$2:$A$8,0),2)</f>
        <v>F</v>
      </c>
      <c r="D10" s="124" t="n">
        <v>0</v>
      </c>
      <c r="E10" s="124" t="n">
        <v>79750</v>
      </c>
      <c r="F10" s="124" t="n">
        <v>0</v>
      </c>
      <c r="G10" s="124" t="n">
        <v>0</v>
      </c>
      <c r="I10" s="124" t="n">
        <f aca="false">IF(MONTH($A10)=MONTH($A9),IF(G10=0,I9,G10),0)</f>
        <v>0</v>
      </c>
      <c r="J10" s="124" t="n">
        <f aca="false">IF(MONTH($A10)=MONTH($A9),SUM(I10-I9),I10)</f>
        <v>0</v>
      </c>
      <c r="K10" s="124" t="n">
        <f aca="false">IF(WEEKDAY(A10,3)&gt;4,0,(IF(A10&lt;K$2,0,IF(A10&lt;=K$3,1,0))))</f>
        <v>0</v>
      </c>
      <c r="L10" s="124" t="n">
        <f aca="false">J10*K10</f>
        <v>0</v>
      </c>
      <c r="M10" s="124" t="n">
        <f aca="false">SUM(J$6:J10)</f>
        <v>0</v>
      </c>
      <c r="N10" s="124" t="n">
        <f aca="false">SUM(J$6:J10)</f>
        <v>0</v>
      </c>
      <c r="P10" s="124" t="n">
        <f aca="false">D10/P$3</f>
        <v>0</v>
      </c>
      <c r="Q10" s="143" t="n">
        <f aca="false">E10/P$3</f>
        <v>0.07975</v>
      </c>
      <c r="R10" s="124" t="n">
        <f aca="false">F10/R$3</f>
        <v>0</v>
      </c>
      <c r="S10" s="126" t="n">
        <f aca="false">J10/$R$3</f>
        <v>0</v>
      </c>
      <c r="T10" s="126" t="n">
        <f aca="false">L10/$R$3</f>
        <v>0</v>
      </c>
      <c r="U10" s="126" t="n">
        <f aca="false">I10/$R$3</f>
        <v>0</v>
      </c>
      <c r="V10" s="126" t="n">
        <f aca="false">M10/$R$3</f>
        <v>0</v>
      </c>
      <c r="W10" s="126" t="n">
        <f aca="false">N10/$R$3</f>
        <v>0</v>
      </c>
    </row>
    <row r="11" customFormat="false" ht="12.75" hidden="true" customHeight="false" outlineLevel="0" collapsed="false">
      <c r="A11" s="120" t="n">
        <f aca="false">A10+1</f>
        <v>36897</v>
      </c>
      <c r="B11" s="131" t="str">
        <f aca="false">INDEX('Master Data'!$A$2:$B$8,MATCH(WEEKDAY('SC Total Power'!A11,3),'Master Data'!$A$2:$A$8,0),2)</f>
        <v>Sa</v>
      </c>
      <c r="D11" s="124" t="n">
        <v>0</v>
      </c>
      <c r="E11" s="124" t="n">
        <v>0</v>
      </c>
      <c r="F11" s="124" t="n">
        <v>0</v>
      </c>
      <c r="G11" s="124" t="n">
        <v>0</v>
      </c>
      <c r="I11" s="124" t="n">
        <f aca="false">IF(MONTH($A11)=MONTH($A10),IF(G11=0,I10,G11),0)</f>
        <v>0</v>
      </c>
      <c r="J11" s="124" t="n">
        <f aca="false">IF(MONTH($A11)=MONTH($A10),SUM(I11-I10),I11)</f>
        <v>0</v>
      </c>
      <c r="K11" s="124" t="n">
        <f aca="false">IF(WEEKDAY(A11,3)&gt;4,0,(IF(A11&lt;K$2,0,IF(A11&lt;=K$3,1,0))))</f>
        <v>0</v>
      </c>
      <c r="L11" s="124" t="n">
        <f aca="false">J11*K11</f>
        <v>0</v>
      </c>
      <c r="M11" s="124" t="n">
        <f aca="false">SUM(J$6:J11)</f>
        <v>0</v>
      </c>
      <c r="N11" s="124" t="n">
        <f aca="false">SUM(J$6:J11)</f>
        <v>0</v>
      </c>
      <c r="P11" s="124" t="n">
        <f aca="false">D11/P$3</f>
        <v>0</v>
      </c>
      <c r="Q11" s="143" t="n">
        <f aca="false">E11/P$3</f>
        <v>0</v>
      </c>
      <c r="R11" s="124" t="n">
        <f aca="false">F11/R$3</f>
        <v>0</v>
      </c>
      <c r="S11" s="126" t="n">
        <f aca="false">J11/$R$3</f>
        <v>0</v>
      </c>
      <c r="T11" s="126" t="n">
        <f aca="false">L11/$R$3</f>
        <v>0</v>
      </c>
      <c r="U11" s="126" t="n">
        <f aca="false">I11/$R$3</f>
        <v>0</v>
      </c>
      <c r="V11" s="126" t="n">
        <f aca="false">M11/$R$3</f>
        <v>0</v>
      </c>
      <c r="W11" s="126" t="n">
        <f aca="false">N11/$R$3</f>
        <v>0</v>
      </c>
    </row>
    <row r="12" customFormat="false" ht="12.75" hidden="true" customHeight="false" outlineLevel="0" collapsed="false">
      <c r="A12" s="120" t="n">
        <f aca="false">A11+1</f>
        <v>36898</v>
      </c>
      <c r="B12" s="131" t="str">
        <f aca="false">INDEX('Master Data'!$A$2:$B$8,MATCH(WEEKDAY('SC Total Power'!A12,3),'Master Data'!$A$2:$A$8,0),2)</f>
        <v>Su</v>
      </c>
      <c r="D12" s="124" t="n">
        <v>0</v>
      </c>
      <c r="E12" s="124" t="n">
        <v>0</v>
      </c>
      <c r="F12" s="124" t="n">
        <v>0</v>
      </c>
      <c r="G12" s="124" t="n">
        <v>0</v>
      </c>
      <c r="I12" s="124" t="n">
        <f aca="false">IF(MONTH($A12)=MONTH($A11),IF(G12=0,I11,G12),0)</f>
        <v>0</v>
      </c>
      <c r="J12" s="124" t="n">
        <f aca="false">IF(MONTH($A12)=MONTH($A11),SUM(I12-I11),I12)</f>
        <v>0</v>
      </c>
      <c r="K12" s="124" t="n">
        <f aca="false">IF(WEEKDAY(A12,3)&gt;4,0,(IF(A12&lt;K$2,0,IF(A12&lt;=K$3,1,0))))</f>
        <v>0</v>
      </c>
      <c r="L12" s="124" t="n">
        <f aca="false">J12*K12</f>
        <v>0</v>
      </c>
      <c r="M12" s="124" t="n">
        <f aca="false">SUM(J$6:J12)</f>
        <v>0</v>
      </c>
      <c r="N12" s="124" t="n">
        <f aca="false">SUM(J$6:J12)</f>
        <v>0</v>
      </c>
      <c r="P12" s="124" t="n">
        <f aca="false">D12/P$3</f>
        <v>0</v>
      </c>
      <c r="Q12" s="143" t="n">
        <f aca="false">E12/P$3</f>
        <v>0</v>
      </c>
      <c r="R12" s="124" t="n">
        <f aca="false">F12/R$3</f>
        <v>0</v>
      </c>
      <c r="S12" s="126" t="n">
        <f aca="false">J12/$R$3</f>
        <v>0</v>
      </c>
      <c r="T12" s="126" t="n">
        <f aca="false">L12/$R$3</f>
        <v>0</v>
      </c>
      <c r="U12" s="126" t="n">
        <f aca="false">I12/$R$3</f>
        <v>0</v>
      </c>
      <c r="V12" s="126" t="n">
        <f aca="false">M12/$R$3</f>
        <v>0</v>
      </c>
      <c r="W12" s="126" t="n">
        <f aca="false">N12/$R$3</f>
        <v>0</v>
      </c>
    </row>
    <row r="13" customFormat="false" ht="12.75" hidden="true" customHeight="false" outlineLevel="0" collapsed="false">
      <c r="A13" s="120" t="n">
        <f aca="false">A12+1</f>
        <v>36899</v>
      </c>
      <c r="B13" s="131" t="str">
        <f aca="false">INDEX('Master Data'!$A$2:$B$8,MATCH(WEEKDAY('SC Total Power'!A13,3),'Master Data'!$A$2:$A$8,0),2)</f>
        <v>M</v>
      </c>
      <c r="D13" s="124" t="n">
        <v>0</v>
      </c>
      <c r="E13" s="124" t="n">
        <v>73535</v>
      </c>
      <c r="F13" s="124" t="n">
        <v>0</v>
      </c>
      <c r="G13" s="124" t="n">
        <v>0</v>
      </c>
      <c r="I13" s="124" t="n">
        <f aca="false">IF(MONTH($A13)=MONTH($A12),IF(G13=0,I12,G13),0)</f>
        <v>0</v>
      </c>
      <c r="J13" s="124" t="n">
        <f aca="false">IF(MONTH($A13)=MONTH($A12),SUM(I13-I12),I13)</f>
        <v>0</v>
      </c>
      <c r="K13" s="124" t="n">
        <f aca="false">IF(WEEKDAY(A13,3)&gt;4,0,(IF(A13&lt;K$2,0,IF(A13&lt;=K$3,1,0))))</f>
        <v>0</v>
      </c>
      <c r="L13" s="124" t="n">
        <f aca="false">J13*K13</f>
        <v>0</v>
      </c>
      <c r="M13" s="124" t="n">
        <f aca="false">SUM(J$6:J13)</f>
        <v>0</v>
      </c>
      <c r="N13" s="124" t="n">
        <f aca="false">SUM(J$6:J13)</f>
        <v>0</v>
      </c>
      <c r="P13" s="124" t="n">
        <f aca="false">D13/P$3</f>
        <v>0</v>
      </c>
      <c r="Q13" s="143" t="n">
        <f aca="false">E13/P$3</f>
        <v>0.073535</v>
      </c>
      <c r="R13" s="124" t="n">
        <f aca="false">F13/R$3</f>
        <v>0</v>
      </c>
      <c r="S13" s="126" t="n">
        <f aca="false">J13/$R$3</f>
        <v>0</v>
      </c>
      <c r="T13" s="126" t="n">
        <f aca="false">L13/$R$3</f>
        <v>0</v>
      </c>
      <c r="U13" s="126" t="n">
        <f aca="false">I13/$R$3</f>
        <v>0</v>
      </c>
      <c r="V13" s="126" t="n">
        <f aca="false">M13/$R$3</f>
        <v>0</v>
      </c>
      <c r="W13" s="126" t="n">
        <f aca="false">N13/$R$3</f>
        <v>0</v>
      </c>
    </row>
    <row r="14" customFormat="false" ht="12.75" hidden="true" customHeight="false" outlineLevel="0" collapsed="false">
      <c r="A14" s="120" t="n">
        <f aca="false">A13+1</f>
        <v>36900</v>
      </c>
      <c r="B14" s="131" t="str">
        <f aca="false">INDEX('Master Data'!$A$2:$B$8,MATCH(WEEKDAY('SC Total Power'!A14,3),'Master Data'!$A$2:$A$8,0),2)</f>
        <v>T</v>
      </c>
      <c r="D14" s="124" t="n">
        <v>0</v>
      </c>
      <c r="E14" s="124" t="n">
        <v>71385</v>
      </c>
      <c r="F14" s="124" t="n">
        <v>0</v>
      </c>
      <c r="G14" s="124" t="n">
        <v>0</v>
      </c>
      <c r="I14" s="124" t="n">
        <f aca="false">IF(MONTH($A14)=MONTH($A13),IF(G14=0,I13,G14),0)</f>
        <v>0</v>
      </c>
      <c r="J14" s="124" t="n">
        <f aca="false">IF(MONTH($A14)=MONTH($A13),SUM(I14-I13),I14)</f>
        <v>0</v>
      </c>
      <c r="K14" s="124" t="n">
        <f aca="false">IF(WEEKDAY(A14,3)&gt;4,0,(IF(A14&lt;K$2,0,IF(A14&lt;=K$3,1,0))))</f>
        <v>0</v>
      </c>
      <c r="L14" s="124" t="n">
        <f aca="false">J14*K14</f>
        <v>0</v>
      </c>
      <c r="M14" s="124" t="n">
        <f aca="false">SUM(J$6:J14)</f>
        <v>0</v>
      </c>
      <c r="N14" s="124" t="n">
        <f aca="false">SUM(J$6:J14)</f>
        <v>0</v>
      </c>
      <c r="P14" s="124" t="n">
        <f aca="false">D14/P$3</f>
        <v>0</v>
      </c>
      <c r="Q14" s="143" t="n">
        <f aca="false">E14/P$3</f>
        <v>0.071385</v>
      </c>
      <c r="R14" s="124" t="n">
        <f aca="false">F14/R$3</f>
        <v>0</v>
      </c>
      <c r="S14" s="126" t="n">
        <f aca="false">J14/$R$3</f>
        <v>0</v>
      </c>
      <c r="T14" s="126" t="n">
        <f aca="false">L14/$R$3</f>
        <v>0</v>
      </c>
      <c r="U14" s="126" t="n">
        <f aca="false">I14/$R$3</f>
        <v>0</v>
      </c>
      <c r="V14" s="126" t="n">
        <f aca="false">M14/$R$3</f>
        <v>0</v>
      </c>
      <c r="W14" s="126" t="n">
        <f aca="false">N14/$R$3</f>
        <v>0</v>
      </c>
    </row>
    <row r="15" customFormat="false" ht="12.75" hidden="true" customHeight="false" outlineLevel="0" collapsed="false">
      <c r="A15" s="120" t="n">
        <f aca="false">A14+1</f>
        <v>36901</v>
      </c>
      <c r="B15" s="131" t="str">
        <f aca="false">INDEX('Master Data'!$A$2:$B$8,MATCH(WEEKDAY('SC Total Power'!A15,3),'Master Data'!$A$2:$A$8,0),2)</f>
        <v>W</v>
      </c>
      <c r="D15" s="124" t="n">
        <v>0</v>
      </c>
      <c r="E15" s="124" t="n">
        <v>69222</v>
      </c>
      <c r="F15" s="124" t="n">
        <v>0</v>
      </c>
      <c r="G15" s="124" t="n">
        <v>0</v>
      </c>
      <c r="I15" s="124" t="n">
        <f aca="false">IF(MONTH($A15)=MONTH($A14),IF(G15=0,I14,G15),0)</f>
        <v>0</v>
      </c>
      <c r="J15" s="124" t="n">
        <f aca="false">IF(MONTH($A15)=MONTH($A14),SUM(I15-I14),I15)</f>
        <v>0</v>
      </c>
      <c r="K15" s="124" t="n">
        <f aca="false">IF(WEEKDAY(A15,3)&gt;4,0,(IF(A15&lt;K$2,0,IF(A15&lt;=K$3,1,0))))</f>
        <v>0</v>
      </c>
      <c r="L15" s="124" t="n">
        <f aca="false">J15*K15</f>
        <v>0</v>
      </c>
      <c r="M15" s="124" t="n">
        <f aca="false">SUM(J$6:J15)</f>
        <v>0</v>
      </c>
      <c r="N15" s="124" t="n">
        <f aca="false">SUM(J$6:J15)</f>
        <v>0</v>
      </c>
      <c r="P15" s="124" t="n">
        <f aca="false">D15/P$3</f>
        <v>0</v>
      </c>
      <c r="Q15" s="143" t="n">
        <f aca="false">E15/P$3</f>
        <v>0.069222</v>
      </c>
      <c r="R15" s="124" t="n">
        <f aca="false">F15/R$3</f>
        <v>0</v>
      </c>
      <c r="S15" s="126" t="n">
        <f aca="false">J15/$R$3</f>
        <v>0</v>
      </c>
      <c r="T15" s="126" t="n">
        <f aca="false">L15/$R$3</f>
        <v>0</v>
      </c>
      <c r="U15" s="126" t="n">
        <f aca="false">I15/$R$3</f>
        <v>0</v>
      </c>
      <c r="V15" s="126" t="n">
        <f aca="false">M15/$R$3</f>
        <v>0</v>
      </c>
      <c r="W15" s="126" t="n">
        <f aca="false">N15/$R$3</f>
        <v>0</v>
      </c>
    </row>
    <row r="16" customFormat="false" ht="12.75" hidden="true" customHeight="false" outlineLevel="0" collapsed="false">
      <c r="A16" s="120" t="n">
        <f aca="false">A15+1</f>
        <v>36902</v>
      </c>
      <c r="B16" s="131" t="str">
        <f aca="false">INDEX('Master Data'!$A$2:$B$8,MATCH(WEEKDAY('SC Total Power'!A16,3),'Master Data'!$A$2:$A$8,0),2)</f>
        <v>Th</v>
      </c>
      <c r="D16" s="124" t="n">
        <v>0</v>
      </c>
      <c r="E16" s="124" t="n">
        <v>67060</v>
      </c>
      <c r="F16" s="124" t="n">
        <v>0</v>
      </c>
      <c r="G16" s="124" t="n">
        <v>0</v>
      </c>
      <c r="I16" s="124" t="n">
        <f aca="false">IF(MONTH($A16)=MONTH($A15),IF(G16=0,I15,G16),0)</f>
        <v>0</v>
      </c>
      <c r="J16" s="124" t="n">
        <f aca="false">IF(MONTH($A16)=MONTH($A15),SUM(I16-I15),I16)</f>
        <v>0</v>
      </c>
      <c r="K16" s="124" t="n">
        <f aca="false">IF(WEEKDAY(A16,3)&gt;4,0,(IF(A16&lt;K$2,0,IF(A16&lt;=K$3,1,0))))</f>
        <v>0</v>
      </c>
      <c r="L16" s="124" t="n">
        <f aca="false">J16*K16</f>
        <v>0</v>
      </c>
      <c r="M16" s="124" t="n">
        <f aca="false">SUM(J$6:J16)</f>
        <v>0</v>
      </c>
      <c r="N16" s="124" t="n">
        <f aca="false">SUM(J$6:J16)</f>
        <v>0</v>
      </c>
      <c r="P16" s="124" t="n">
        <f aca="false">D16/P$3</f>
        <v>0</v>
      </c>
      <c r="Q16" s="143" t="n">
        <f aca="false">E16/P$3</f>
        <v>0.06706</v>
      </c>
      <c r="R16" s="124" t="n">
        <f aca="false">F16/R$3</f>
        <v>0</v>
      </c>
      <c r="S16" s="126" t="n">
        <f aca="false">J16/$R$3</f>
        <v>0</v>
      </c>
      <c r="T16" s="126" t="n">
        <f aca="false">L16/$R$3</f>
        <v>0</v>
      </c>
      <c r="U16" s="126" t="n">
        <f aca="false">I16/$R$3</f>
        <v>0</v>
      </c>
      <c r="V16" s="126" t="n">
        <f aca="false">M16/$R$3</f>
        <v>0</v>
      </c>
      <c r="W16" s="126" t="n">
        <f aca="false">N16/$R$3</f>
        <v>0</v>
      </c>
    </row>
    <row r="17" customFormat="false" ht="12.75" hidden="true" customHeight="false" outlineLevel="0" collapsed="false">
      <c r="A17" s="120" t="n">
        <f aca="false">A16+1</f>
        <v>36903</v>
      </c>
      <c r="B17" s="131" t="str">
        <f aca="false">INDEX('Master Data'!$A$2:$B$8,MATCH(WEEKDAY('SC Total Power'!A17,3),'Master Data'!$A$2:$A$8,0),2)</f>
        <v>F</v>
      </c>
      <c r="D17" s="124" t="n">
        <v>0</v>
      </c>
      <c r="E17" s="124" t="n">
        <v>64902</v>
      </c>
      <c r="F17" s="124" t="n">
        <v>0</v>
      </c>
      <c r="G17" s="124" t="n">
        <v>0</v>
      </c>
      <c r="I17" s="124" t="n">
        <f aca="false">IF(MONTH($A17)=MONTH($A16),IF(G17=0,I16,G17),0)</f>
        <v>0</v>
      </c>
      <c r="J17" s="124" t="n">
        <f aca="false">IF(MONTH($A17)=MONTH($A16),SUM(I17-I16),I17)</f>
        <v>0</v>
      </c>
      <c r="K17" s="124" t="n">
        <f aca="false">IF(WEEKDAY(A17,3)&gt;4,0,(IF(A17&lt;K$2,0,IF(A17&lt;=K$3,1,0))))</f>
        <v>0</v>
      </c>
      <c r="L17" s="124" t="n">
        <f aca="false">J17*K17</f>
        <v>0</v>
      </c>
      <c r="M17" s="124" t="n">
        <f aca="false">SUM(J$6:J17)</f>
        <v>0</v>
      </c>
      <c r="N17" s="124" t="n">
        <f aca="false">SUM(J$6:J17)</f>
        <v>0</v>
      </c>
      <c r="P17" s="124" t="n">
        <f aca="false">D17/P$3</f>
        <v>0</v>
      </c>
      <c r="Q17" s="143" t="n">
        <f aca="false">E17/P$3</f>
        <v>0.064902</v>
      </c>
      <c r="R17" s="124" t="n">
        <f aca="false">F17/R$3</f>
        <v>0</v>
      </c>
      <c r="S17" s="126" t="n">
        <f aca="false">J17/$R$3</f>
        <v>0</v>
      </c>
      <c r="T17" s="126" t="n">
        <f aca="false">L17/$R$3</f>
        <v>0</v>
      </c>
      <c r="U17" s="126" t="n">
        <f aca="false">I17/$R$3</f>
        <v>0</v>
      </c>
      <c r="V17" s="126" t="n">
        <f aca="false">M17/$R$3</f>
        <v>0</v>
      </c>
      <c r="W17" s="126" t="n">
        <f aca="false">N17/$R$3</f>
        <v>0</v>
      </c>
    </row>
    <row r="18" customFormat="false" ht="12.75" hidden="true" customHeight="false" outlineLevel="0" collapsed="false">
      <c r="A18" s="120" t="n">
        <f aca="false">A17+1</f>
        <v>36904</v>
      </c>
      <c r="B18" s="131" t="str">
        <f aca="false">INDEX('Master Data'!$A$2:$B$8,MATCH(WEEKDAY('SC Total Power'!A18,3),'Master Data'!$A$2:$A$8,0),2)</f>
        <v>Sa</v>
      </c>
      <c r="D18" s="124" t="n">
        <v>0</v>
      </c>
      <c r="E18" s="124" t="n">
        <v>0</v>
      </c>
      <c r="F18" s="124" t="n">
        <v>0</v>
      </c>
      <c r="G18" s="124" t="n">
        <v>0</v>
      </c>
      <c r="I18" s="124" t="n">
        <f aca="false">IF(MONTH($A18)=MONTH($A17),IF(G18=0,I17,G18),0)</f>
        <v>0</v>
      </c>
      <c r="J18" s="124" t="n">
        <f aca="false">IF(MONTH($A18)=MONTH($A17),SUM(I18-I17),I18)</f>
        <v>0</v>
      </c>
      <c r="K18" s="124" t="n">
        <f aca="false">IF(WEEKDAY(A18,3)&gt;4,0,(IF(A18&lt;K$2,0,IF(A18&lt;=K$3,1,0))))</f>
        <v>0</v>
      </c>
      <c r="L18" s="124" t="n">
        <f aca="false">J18*K18</f>
        <v>0</v>
      </c>
      <c r="M18" s="124" t="n">
        <f aca="false">SUM(J$6:J18)</f>
        <v>0</v>
      </c>
      <c r="N18" s="124" t="n">
        <f aca="false">SUM(J$6:J18)</f>
        <v>0</v>
      </c>
      <c r="P18" s="124" t="n">
        <f aca="false">D18/P$3</f>
        <v>0</v>
      </c>
      <c r="Q18" s="143" t="n">
        <f aca="false">E18/P$3</f>
        <v>0</v>
      </c>
      <c r="R18" s="124" t="n">
        <f aca="false">F18/R$3</f>
        <v>0</v>
      </c>
      <c r="S18" s="126" t="n">
        <f aca="false">J18/$R$3</f>
        <v>0</v>
      </c>
      <c r="T18" s="126" t="n">
        <f aca="false">L18/$R$3</f>
        <v>0</v>
      </c>
      <c r="U18" s="126" t="n">
        <f aca="false">I18/$R$3</f>
        <v>0</v>
      </c>
      <c r="V18" s="126" t="n">
        <f aca="false">M18/$R$3</f>
        <v>0</v>
      </c>
      <c r="W18" s="126" t="n">
        <f aca="false">N18/$R$3</f>
        <v>0</v>
      </c>
    </row>
    <row r="19" customFormat="false" ht="12.75" hidden="true" customHeight="false" outlineLevel="0" collapsed="false">
      <c r="A19" s="120" t="n">
        <f aca="false">A18+1</f>
        <v>36905</v>
      </c>
      <c r="B19" s="131" t="str">
        <f aca="false">INDEX('Master Data'!$A$2:$B$8,MATCH(WEEKDAY('SC Total Power'!A19,3),'Master Data'!$A$2:$A$8,0),2)</f>
        <v>Su</v>
      </c>
      <c r="D19" s="124" t="n">
        <v>0</v>
      </c>
      <c r="E19" s="124" t="n">
        <v>0</v>
      </c>
      <c r="F19" s="124" t="n">
        <v>0</v>
      </c>
      <c r="G19" s="124" t="n">
        <v>0</v>
      </c>
      <c r="I19" s="124" t="n">
        <f aca="false">IF(MONTH($A19)=MONTH($A18),IF(G19=0,I18,G19),0)</f>
        <v>0</v>
      </c>
      <c r="J19" s="124" t="n">
        <f aca="false">IF(MONTH($A19)=MONTH($A18),SUM(I19-I18),I19)</f>
        <v>0</v>
      </c>
      <c r="K19" s="124" t="n">
        <f aca="false">IF(WEEKDAY(A19,3)&gt;4,0,(IF(A19&lt;K$2,0,IF(A19&lt;=K$3,1,0))))</f>
        <v>0</v>
      </c>
      <c r="L19" s="124" t="n">
        <f aca="false">J19*K19</f>
        <v>0</v>
      </c>
      <c r="M19" s="124" t="n">
        <f aca="false">SUM(J$6:J19)</f>
        <v>0</v>
      </c>
      <c r="N19" s="124" t="n">
        <f aca="false">SUM(J$6:J19)</f>
        <v>0</v>
      </c>
      <c r="P19" s="124" t="n">
        <f aca="false">D19/P$3</f>
        <v>0</v>
      </c>
      <c r="Q19" s="143" t="n">
        <f aca="false">E19/P$3</f>
        <v>0</v>
      </c>
      <c r="R19" s="124" t="n">
        <f aca="false">F19/R$3</f>
        <v>0</v>
      </c>
      <c r="S19" s="126" t="n">
        <f aca="false">J19/$R$3</f>
        <v>0</v>
      </c>
      <c r="T19" s="126" t="n">
        <f aca="false">L19/$R$3</f>
        <v>0</v>
      </c>
      <c r="U19" s="126" t="n">
        <f aca="false">I19/$R$3</f>
        <v>0</v>
      </c>
      <c r="V19" s="126" t="n">
        <f aca="false">M19/$R$3</f>
        <v>0</v>
      </c>
      <c r="W19" s="126" t="n">
        <f aca="false">N19/$R$3</f>
        <v>0</v>
      </c>
    </row>
    <row r="20" customFormat="false" ht="12.75" hidden="true" customHeight="false" outlineLevel="0" collapsed="false">
      <c r="A20" s="120" t="n">
        <f aca="false">A19+1</f>
        <v>36906</v>
      </c>
      <c r="B20" s="131" t="str">
        <f aca="false">INDEX('Master Data'!$A$2:$B$8,MATCH(WEEKDAY('SC Total Power'!A20,3),'Master Data'!$A$2:$A$8,0),2)</f>
        <v>M</v>
      </c>
      <c r="D20" s="124" t="n">
        <v>0</v>
      </c>
      <c r="E20" s="124" t="n">
        <v>0</v>
      </c>
      <c r="F20" s="124" t="n">
        <v>0</v>
      </c>
      <c r="G20" s="124" t="n">
        <v>0</v>
      </c>
      <c r="I20" s="124" t="n">
        <f aca="false">IF(MONTH($A20)=MONTH($A19),IF(G20=0,I19,G20),0)</f>
        <v>0</v>
      </c>
      <c r="J20" s="124" t="n">
        <f aca="false">IF(MONTH($A20)=MONTH($A19),SUM(I20-I19),I20)</f>
        <v>0</v>
      </c>
      <c r="K20" s="124" t="n">
        <f aca="false">IF(WEEKDAY(A20,3)&gt;4,0,(IF(A20&lt;K$2,0,IF(A20&lt;=K$3,1,0))))</f>
        <v>0</v>
      </c>
      <c r="L20" s="124" t="n">
        <f aca="false">J20*K20</f>
        <v>0</v>
      </c>
      <c r="M20" s="124" t="n">
        <f aca="false">SUM(J$6:J20)</f>
        <v>0</v>
      </c>
      <c r="N20" s="124" t="n">
        <f aca="false">SUM(J$6:J20)</f>
        <v>0</v>
      </c>
      <c r="P20" s="124" t="n">
        <f aca="false">D20/P$3</f>
        <v>0</v>
      </c>
      <c r="Q20" s="143" t="n">
        <f aca="false">E20/P$3</f>
        <v>0</v>
      </c>
      <c r="R20" s="124" t="n">
        <f aca="false">F20/R$3</f>
        <v>0</v>
      </c>
      <c r="S20" s="126" t="n">
        <f aca="false">J20/$R$3</f>
        <v>0</v>
      </c>
      <c r="T20" s="126" t="n">
        <f aca="false">L20/$R$3</f>
        <v>0</v>
      </c>
      <c r="U20" s="126" t="n">
        <f aca="false">I20/$R$3</f>
        <v>0</v>
      </c>
      <c r="V20" s="126" t="n">
        <f aca="false">M20/$R$3</f>
        <v>0</v>
      </c>
      <c r="W20" s="126" t="n">
        <f aca="false">N20/$R$3</f>
        <v>0</v>
      </c>
    </row>
    <row r="21" customFormat="false" ht="12.75" hidden="true" customHeight="false" outlineLevel="0" collapsed="false">
      <c r="A21" s="120" t="n">
        <f aca="false">A20+1</f>
        <v>36907</v>
      </c>
      <c r="B21" s="131" t="str">
        <f aca="false">INDEX('Master Data'!$A$2:$B$8,MATCH(WEEKDAY('SC Total Power'!A21,3),'Master Data'!$A$2:$A$8,0),2)</f>
        <v>T</v>
      </c>
      <c r="D21" s="124" t="n">
        <v>0</v>
      </c>
      <c r="E21" s="124" t="n">
        <v>56446</v>
      </c>
      <c r="F21" s="124" t="n">
        <v>0</v>
      </c>
      <c r="G21" s="124" t="n">
        <v>0</v>
      </c>
      <c r="I21" s="124" t="n">
        <f aca="false">IF(MONTH($A21)=MONTH($A20),IF(G21=0,I20,G21),0)</f>
        <v>0</v>
      </c>
      <c r="J21" s="124" t="n">
        <f aca="false">IF(MONTH($A21)=MONTH($A20),SUM(I21-I20),I21)</f>
        <v>0</v>
      </c>
      <c r="K21" s="124" t="n">
        <f aca="false">IF(WEEKDAY(A21,3)&gt;4,0,(IF(A21&lt;K$2,0,IF(A21&lt;=K$3,1,0))))</f>
        <v>0</v>
      </c>
      <c r="L21" s="124" t="n">
        <f aca="false">J21*K21</f>
        <v>0</v>
      </c>
      <c r="M21" s="124" t="n">
        <f aca="false">SUM(J$6:J21)</f>
        <v>0</v>
      </c>
      <c r="N21" s="124" t="n">
        <f aca="false">SUM(J$6:J21)</f>
        <v>0</v>
      </c>
      <c r="P21" s="124" t="n">
        <f aca="false">D21/P$3</f>
        <v>0</v>
      </c>
      <c r="Q21" s="143" t="n">
        <f aca="false">E21/P$3</f>
        <v>0.056446</v>
      </c>
      <c r="R21" s="124" t="n">
        <f aca="false">F21/R$3</f>
        <v>0</v>
      </c>
      <c r="S21" s="126" t="n">
        <f aca="false">J21/$R$3</f>
        <v>0</v>
      </c>
      <c r="T21" s="126" t="n">
        <f aca="false">L21/$R$3</f>
        <v>0</v>
      </c>
      <c r="U21" s="126" t="n">
        <f aca="false">I21/$R$3</f>
        <v>0</v>
      </c>
      <c r="V21" s="126" t="n">
        <f aca="false">M21/$R$3</f>
        <v>0</v>
      </c>
      <c r="W21" s="126" t="n">
        <f aca="false">N21/$R$3</f>
        <v>0</v>
      </c>
    </row>
    <row r="22" customFormat="false" ht="12.75" hidden="true" customHeight="false" outlineLevel="0" collapsed="false">
      <c r="A22" s="120" t="n">
        <f aca="false">A21+1</f>
        <v>36908</v>
      </c>
      <c r="B22" s="131" t="str">
        <f aca="false">INDEX('Master Data'!$A$2:$B$8,MATCH(WEEKDAY('SC Total Power'!A22,3),'Master Data'!$A$2:$A$8,0),2)</f>
        <v>W</v>
      </c>
      <c r="D22" s="124" t="n">
        <v>0</v>
      </c>
      <c r="E22" s="124" t="n">
        <v>54285</v>
      </c>
      <c r="F22" s="124" t="n">
        <v>0</v>
      </c>
      <c r="G22" s="124" t="n">
        <v>0</v>
      </c>
      <c r="I22" s="124" t="n">
        <f aca="false">IF(MONTH($A22)=MONTH($A21),IF(G22=0,I21,G22),0)</f>
        <v>0</v>
      </c>
      <c r="J22" s="124" t="n">
        <f aca="false">IF(MONTH($A22)=MONTH($A21),SUM(I22-I21),I22)</f>
        <v>0</v>
      </c>
      <c r="K22" s="124" t="n">
        <f aca="false">IF(WEEKDAY(A22,3)&gt;4,0,(IF(A22&lt;K$2,0,IF(A22&lt;=K$3,1,0))))</f>
        <v>0</v>
      </c>
      <c r="L22" s="124" t="n">
        <f aca="false">J22*K22</f>
        <v>0</v>
      </c>
      <c r="M22" s="124" t="n">
        <f aca="false">SUM(J$6:J22)</f>
        <v>0</v>
      </c>
      <c r="N22" s="124" t="n">
        <f aca="false">SUM(J$6:J22)</f>
        <v>0</v>
      </c>
      <c r="P22" s="124" t="n">
        <f aca="false">D22/P$3</f>
        <v>0</v>
      </c>
      <c r="Q22" s="143" t="n">
        <f aca="false">E22/P$3</f>
        <v>0.054285</v>
      </c>
      <c r="R22" s="124" t="n">
        <f aca="false">F22/R$3</f>
        <v>0</v>
      </c>
      <c r="S22" s="126" t="n">
        <f aca="false">J22/$R$3</f>
        <v>0</v>
      </c>
      <c r="T22" s="126" t="n">
        <f aca="false">L22/$R$3</f>
        <v>0</v>
      </c>
      <c r="U22" s="126" t="n">
        <f aca="false">I22/$R$3</f>
        <v>0</v>
      </c>
      <c r="V22" s="126" t="n">
        <f aca="false">M22/$R$3</f>
        <v>0</v>
      </c>
      <c r="W22" s="126" t="n">
        <f aca="false">N22/$R$3</f>
        <v>0</v>
      </c>
    </row>
    <row r="23" customFormat="false" ht="12.75" hidden="true" customHeight="false" outlineLevel="0" collapsed="false">
      <c r="A23" s="120" t="n">
        <f aca="false">A22+1</f>
        <v>36909</v>
      </c>
      <c r="B23" s="131" t="str">
        <f aca="false">INDEX('Master Data'!$A$2:$B$8,MATCH(WEEKDAY('SC Total Power'!A23,3),'Master Data'!$A$2:$A$8,0),2)</f>
        <v>Th</v>
      </c>
      <c r="D23" s="124" t="n">
        <v>0</v>
      </c>
      <c r="E23" s="124" t="n">
        <v>52126</v>
      </c>
      <c r="F23" s="124" t="n">
        <v>0</v>
      </c>
      <c r="G23" s="124" t="n">
        <v>0</v>
      </c>
      <c r="I23" s="124" t="n">
        <f aca="false">IF(MONTH($A23)=MONTH($A22),IF(G23=0,I22,G23),0)</f>
        <v>0</v>
      </c>
      <c r="J23" s="124" t="n">
        <f aca="false">IF(MONTH($A23)=MONTH($A22),SUM(I23-I22),I23)</f>
        <v>0</v>
      </c>
      <c r="K23" s="124" t="n">
        <f aca="false">IF(WEEKDAY(A23,3)&gt;4,0,(IF(A23&lt;K$2,0,IF(A23&lt;=K$3,1,0))))</f>
        <v>0</v>
      </c>
      <c r="L23" s="124" t="n">
        <f aca="false">J23*K23</f>
        <v>0</v>
      </c>
      <c r="M23" s="124" t="n">
        <f aca="false">SUM(J$6:J23)</f>
        <v>0</v>
      </c>
      <c r="N23" s="124" t="n">
        <f aca="false">SUM(J$6:J23)</f>
        <v>0</v>
      </c>
      <c r="P23" s="124" t="n">
        <f aca="false">D23/P$3</f>
        <v>0</v>
      </c>
      <c r="Q23" s="143" t="n">
        <f aca="false">E23/P$3</f>
        <v>0.052126</v>
      </c>
      <c r="R23" s="124" t="n">
        <f aca="false">F23/R$3</f>
        <v>0</v>
      </c>
      <c r="S23" s="126" t="n">
        <f aca="false">J23/$R$3</f>
        <v>0</v>
      </c>
      <c r="T23" s="126" t="n">
        <f aca="false">L23/$R$3</f>
        <v>0</v>
      </c>
      <c r="U23" s="126" t="n">
        <f aca="false">I23/$R$3</f>
        <v>0</v>
      </c>
      <c r="V23" s="126" t="n">
        <f aca="false">M23/$R$3</f>
        <v>0</v>
      </c>
      <c r="W23" s="126" t="n">
        <f aca="false">N23/$R$3</f>
        <v>0</v>
      </c>
    </row>
    <row r="24" customFormat="false" ht="12.75" hidden="true" customHeight="false" outlineLevel="0" collapsed="false">
      <c r="A24" s="120" t="n">
        <f aca="false">A23+1</f>
        <v>36910</v>
      </c>
      <c r="B24" s="131" t="str">
        <f aca="false">INDEX('Master Data'!$A$2:$B$8,MATCH(WEEKDAY('SC Total Power'!A24,3),'Master Data'!$A$2:$A$8,0),2)</f>
        <v>F</v>
      </c>
      <c r="D24" s="124" t="n">
        <v>0</v>
      </c>
      <c r="E24" s="124" t="n">
        <v>49966</v>
      </c>
      <c r="F24" s="124" t="n">
        <v>0</v>
      </c>
      <c r="G24" s="124" t="n">
        <v>0</v>
      </c>
      <c r="I24" s="124" t="n">
        <f aca="false">IF(MONTH($A24)=MONTH($A23),IF(G24=0,I23,G24),0)</f>
        <v>0</v>
      </c>
      <c r="J24" s="124" t="n">
        <f aca="false">IF(MONTH($A24)=MONTH($A23),SUM(I24-I23),I24)</f>
        <v>0</v>
      </c>
      <c r="K24" s="124" t="n">
        <f aca="false">IF(WEEKDAY(A24,3)&gt;4,0,(IF(A24&lt;K$2,0,IF(A24&lt;=K$3,1,0))))</f>
        <v>0</v>
      </c>
      <c r="L24" s="124" t="n">
        <f aca="false">J24*K24</f>
        <v>0</v>
      </c>
      <c r="M24" s="124" t="n">
        <f aca="false">SUM(J$6:J24)</f>
        <v>0</v>
      </c>
      <c r="N24" s="124" t="n">
        <f aca="false">SUM(J$6:J24)</f>
        <v>0</v>
      </c>
      <c r="P24" s="124" t="n">
        <f aca="false">D24/P$3</f>
        <v>0</v>
      </c>
      <c r="Q24" s="143" t="n">
        <f aca="false">E24/P$3</f>
        <v>0.049966</v>
      </c>
      <c r="R24" s="124" t="n">
        <f aca="false">F24/R$3</f>
        <v>0</v>
      </c>
      <c r="S24" s="126" t="n">
        <f aca="false">J24/$R$3</f>
        <v>0</v>
      </c>
      <c r="T24" s="126" t="n">
        <f aca="false">L24/$R$3</f>
        <v>0</v>
      </c>
      <c r="U24" s="126" t="n">
        <f aca="false">I24/$R$3</f>
        <v>0</v>
      </c>
      <c r="V24" s="126" t="n">
        <f aca="false">M24/$R$3</f>
        <v>0</v>
      </c>
      <c r="W24" s="126" t="n">
        <f aca="false">N24/$R$3</f>
        <v>0</v>
      </c>
    </row>
    <row r="25" customFormat="false" ht="12.75" hidden="true" customHeight="false" outlineLevel="0" collapsed="false">
      <c r="A25" s="120" t="n">
        <f aca="false">A24+1</f>
        <v>36911</v>
      </c>
      <c r="B25" s="131" t="str">
        <f aca="false">INDEX('Master Data'!$A$2:$B$8,MATCH(WEEKDAY('SC Total Power'!A25,3),'Master Data'!$A$2:$A$8,0),2)</f>
        <v>Sa</v>
      </c>
      <c r="D25" s="124" t="n">
        <v>0</v>
      </c>
      <c r="E25" s="124" t="n">
        <v>0</v>
      </c>
      <c r="F25" s="124" t="n">
        <v>0</v>
      </c>
      <c r="G25" s="124" t="n">
        <v>0</v>
      </c>
      <c r="I25" s="124" t="n">
        <f aca="false">IF(MONTH($A25)=MONTH($A24),IF(G25=0,I24,G25),0)</f>
        <v>0</v>
      </c>
      <c r="J25" s="124" t="n">
        <f aca="false">IF(MONTH($A25)=MONTH($A24),SUM(I25-I24),I25)</f>
        <v>0</v>
      </c>
      <c r="K25" s="124" t="n">
        <f aca="false">IF(WEEKDAY(A25,3)&gt;4,0,(IF(A25&lt;K$2,0,IF(A25&lt;=K$3,1,0))))</f>
        <v>0</v>
      </c>
      <c r="L25" s="124" t="n">
        <f aca="false">J25*K25</f>
        <v>0</v>
      </c>
      <c r="M25" s="124" t="n">
        <f aca="false">SUM(J$6:J25)</f>
        <v>0</v>
      </c>
      <c r="N25" s="124" t="n">
        <f aca="false">SUM(J$6:J25)</f>
        <v>0</v>
      </c>
      <c r="P25" s="124" t="n">
        <f aca="false">D25/P$3</f>
        <v>0</v>
      </c>
      <c r="Q25" s="143" t="n">
        <f aca="false">E25/P$3</f>
        <v>0</v>
      </c>
      <c r="R25" s="124" t="n">
        <f aca="false">F25/R$3</f>
        <v>0</v>
      </c>
      <c r="S25" s="126" t="n">
        <f aca="false">J25/$R$3</f>
        <v>0</v>
      </c>
      <c r="T25" s="126" t="n">
        <f aca="false">L25/$R$3</f>
        <v>0</v>
      </c>
      <c r="U25" s="126" t="n">
        <f aca="false">I25/$R$3</f>
        <v>0</v>
      </c>
      <c r="V25" s="126" t="n">
        <f aca="false">M25/$R$3</f>
        <v>0</v>
      </c>
      <c r="W25" s="126" t="n">
        <f aca="false">N25/$R$3</f>
        <v>0</v>
      </c>
    </row>
    <row r="26" customFormat="false" ht="12.75" hidden="true" customHeight="false" outlineLevel="0" collapsed="false">
      <c r="A26" s="120" t="n">
        <f aca="false">A25+1</f>
        <v>36912</v>
      </c>
      <c r="B26" s="131" t="str">
        <f aca="false">INDEX('Master Data'!$A$2:$B$8,MATCH(WEEKDAY('SC Total Power'!A26,3),'Master Data'!$A$2:$A$8,0),2)</f>
        <v>Su</v>
      </c>
      <c r="D26" s="124" t="n">
        <v>0</v>
      </c>
      <c r="E26" s="124" t="n">
        <v>0</v>
      </c>
      <c r="F26" s="124" t="n">
        <v>0</v>
      </c>
      <c r="G26" s="124" t="n">
        <v>0</v>
      </c>
      <c r="I26" s="124" t="n">
        <f aca="false">IF(MONTH($A26)=MONTH($A25),IF(G26=0,I25,G26),0)</f>
        <v>0</v>
      </c>
      <c r="J26" s="124" t="n">
        <f aca="false">IF(MONTH($A26)=MONTH($A25),SUM(I26-I25),I26)</f>
        <v>0</v>
      </c>
      <c r="K26" s="124" t="n">
        <f aca="false">IF(WEEKDAY(A26,3)&gt;4,0,(IF(A26&lt;K$2,0,IF(A26&lt;=K$3,1,0))))</f>
        <v>0</v>
      </c>
      <c r="L26" s="124" t="n">
        <f aca="false">J26*K26</f>
        <v>0</v>
      </c>
      <c r="M26" s="124" t="n">
        <f aca="false">SUM(J$6:J26)</f>
        <v>0</v>
      </c>
      <c r="N26" s="124" t="n">
        <f aca="false">SUM(J$6:J26)</f>
        <v>0</v>
      </c>
      <c r="P26" s="124" t="n">
        <f aca="false">D26/P$3</f>
        <v>0</v>
      </c>
      <c r="Q26" s="143" t="n">
        <f aca="false">E26/P$3</f>
        <v>0</v>
      </c>
      <c r="R26" s="124" t="n">
        <f aca="false">F26/R$3</f>
        <v>0</v>
      </c>
      <c r="S26" s="126" t="n">
        <f aca="false">J26/$R$3</f>
        <v>0</v>
      </c>
      <c r="T26" s="126" t="n">
        <f aca="false">L26/$R$3</f>
        <v>0</v>
      </c>
      <c r="U26" s="126" t="n">
        <f aca="false">I26/$R$3</f>
        <v>0</v>
      </c>
      <c r="V26" s="126" t="n">
        <f aca="false">M26/$R$3</f>
        <v>0</v>
      </c>
      <c r="W26" s="126" t="n">
        <f aca="false">N26/$R$3</f>
        <v>0</v>
      </c>
    </row>
    <row r="27" customFormat="false" ht="12.75" hidden="true" customHeight="false" outlineLevel="0" collapsed="false">
      <c r="A27" s="120" t="n">
        <f aca="false">A26+1</f>
        <v>36913</v>
      </c>
      <c r="B27" s="131" t="str">
        <f aca="false">INDEX('Master Data'!$A$2:$B$8,MATCH(WEEKDAY('SC Total Power'!A27,3),'Master Data'!$A$2:$A$8,0),2)</f>
        <v>M</v>
      </c>
      <c r="D27" s="124" t="n">
        <v>0</v>
      </c>
      <c r="E27" s="124" t="n">
        <v>44381</v>
      </c>
      <c r="F27" s="124" t="n">
        <v>0</v>
      </c>
      <c r="G27" s="124" t="n">
        <v>0</v>
      </c>
      <c r="I27" s="124" t="n">
        <f aca="false">IF(MONTH($A27)=MONTH($A26),IF(G27=0,I26,G27),0)</f>
        <v>0</v>
      </c>
      <c r="J27" s="124" t="n">
        <f aca="false">IF(MONTH($A27)=MONTH($A26),SUM(I27-I26),I27)</f>
        <v>0</v>
      </c>
      <c r="K27" s="124" t="n">
        <f aca="false">IF(WEEKDAY(A27,3)&gt;4,0,(IF(A27&lt;K$2,0,IF(A27&lt;=K$3,1,0))))</f>
        <v>0</v>
      </c>
      <c r="L27" s="124" t="n">
        <f aca="false">J27*K27</f>
        <v>0</v>
      </c>
      <c r="M27" s="124" t="n">
        <f aca="false">SUM(J$6:J27)</f>
        <v>0</v>
      </c>
      <c r="N27" s="124" t="n">
        <f aca="false">SUM(J$6:J27)</f>
        <v>0</v>
      </c>
      <c r="P27" s="124" t="n">
        <f aca="false">D27/P$3</f>
        <v>0</v>
      </c>
      <c r="Q27" s="143" t="n">
        <f aca="false">E27/P$3</f>
        <v>0.044381</v>
      </c>
      <c r="R27" s="124" t="n">
        <f aca="false">F27/R$3</f>
        <v>0</v>
      </c>
      <c r="S27" s="126" t="n">
        <f aca="false">J27/$R$3</f>
        <v>0</v>
      </c>
      <c r="T27" s="126" t="n">
        <f aca="false">L27/$R$3</f>
        <v>0</v>
      </c>
      <c r="U27" s="126" t="n">
        <f aca="false">I27/$R$3</f>
        <v>0</v>
      </c>
      <c r="V27" s="126" t="n">
        <f aca="false">M27/$R$3</f>
        <v>0</v>
      </c>
      <c r="W27" s="126" t="n">
        <f aca="false">N27/$R$3</f>
        <v>0</v>
      </c>
    </row>
    <row r="28" customFormat="false" ht="12.75" hidden="true" customHeight="false" outlineLevel="0" collapsed="false">
      <c r="A28" s="120" t="n">
        <f aca="false">A27+1</f>
        <v>36914</v>
      </c>
      <c r="B28" s="131" t="str">
        <f aca="false">INDEX('Master Data'!$A$2:$B$8,MATCH(WEEKDAY('SC Total Power'!A28,3),'Master Data'!$A$2:$A$8,0),2)</f>
        <v>T</v>
      </c>
      <c r="D28" s="124" t="n">
        <v>0</v>
      </c>
      <c r="E28" s="124" t="n">
        <v>41508</v>
      </c>
      <c r="F28" s="124" t="n">
        <v>0</v>
      </c>
      <c r="G28" s="124" t="n">
        <v>0</v>
      </c>
      <c r="I28" s="124" t="n">
        <f aca="false">IF(MONTH($A28)=MONTH($A27),IF(G28=0,I27,G28),0)</f>
        <v>0</v>
      </c>
      <c r="J28" s="124" t="n">
        <f aca="false">IF(MONTH($A28)=MONTH($A27),SUM(I28-I27),I28)</f>
        <v>0</v>
      </c>
      <c r="K28" s="124" t="n">
        <f aca="false">IF(WEEKDAY(A28,3)&gt;4,0,(IF(A28&lt;K$2,0,IF(A28&lt;=K$3,1,0))))</f>
        <v>0</v>
      </c>
      <c r="L28" s="124" t="n">
        <f aca="false">J28*K28</f>
        <v>0</v>
      </c>
      <c r="M28" s="124" t="n">
        <f aca="false">SUM(J$6:J28)</f>
        <v>0</v>
      </c>
      <c r="N28" s="124" t="n">
        <f aca="false">SUM(J$6:J28)</f>
        <v>0</v>
      </c>
      <c r="P28" s="124" t="n">
        <f aca="false">D28/P$3</f>
        <v>0</v>
      </c>
      <c r="Q28" s="143" t="n">
        <f aca="false">E28/P$3</f>
        <v>0.041508</v>
      </c>
      <c r="R28" s="124" t="n">
        <f aca="false">F28/R$3</f>
        <v>0</v>
      </c>
      <c r="S28" s="126" t="n">
        <f aca="false">J28/$R$3</f>
        <v>0</v>
      </c>
      <c r="T28" s="126" t="n">
        <f aca="false">L28/$R$3</f>
        <v>0</v>
      </c>
      <c r="U28" s="126" t="n">
        <f aca="false">I28/$R$3</f>
        <v>0</v>
      </c>
      <c r="V28" s="126" t="n">
        <f aca="false">M28/$R$3</f>
        <v>0</v>
      </c>
      <c r="W28" s="126" t="n">
        <f aca="false">N28/$R$3</f>
        <v>0</v>
      </c>
    </row>
    <row r="29" customFormat="false" ht="12.75" hidden="true" customHeight="false" outlineLevel="0" collapsed="false">
      <c r="A29" s="120" t="n">
        <f aca="false">A28+1</f>
        <v>36915</v>
      </c>
      <c r="B29" s="131" t="str">
        <f aca="false">INDEX('Master Data'!$A$2:$B$8,MATCH(WEEKDAY('SC Total Power'!A29,3),'Master Data'!$A$2:$A$8,0),2)</f>
        <v>W</v>
      </c>
      <c r="D29" s="124" t="n">
        <v>0</v>
      </c>
      <c r="E29" s="124" t="n">
        <v>39337</v>
      </c>
      <c r="F29" s="124" t="n">
        <v>0</v>
      </c>
      <c r="G29" s="124" t="n">
        <v>0</v>
      </c>
      <c r="I29" s="124" t="n">
        <f aca="false">IF(MONTH($A29)=MONTH($A28),IF(G29=0,I28,G29),0)</f>
        <v>0</v>
      </c>
      <c r="J29" s="124" t="n">
        <f aca="false">IF(MONTH($A29)=MONTH($A28),SUM(I29-I28),I29)</f>
        <v>0</v>
      </c>
      <c r="K29" s="124" t="n">
        <f aca="false">IF(WEEKDAY(A29,3)&gt;4,0,(IF(A29&lt;K$2,0,IF(A29&lt;=K$3,1,0))))</f>
        <v>0</v>
      </c>
      <c r="L29" s="124" t="n">
        <f aca="false">J29*K29</f>
        <v>0</v>
      </c>
      <c r="M29" s="124" t="n">
        <f aca="false">SUM(J$6:J29)</f>
        <v>0</v>
      </c>
      <c r="N29" s="124" t="n">
        <f aca="false">SUM(J$6:J29)</f>
        <v>0</v>
      </c>
      <c r="P29" s="124" t="n">
        <f aca="false">D29/P$3</f>
        <v>0</v>
      </c>
      <c r="Q29" s="143" t="n">
        <f aca="false">E29/P$3</f>
        <v>0.039337</v>
      </c>
      <c r="R29" s="124" t="n">
        <f aca="false">F29/R$3</f>
        <v>0</v>
      </c>
      <c r="S29" s="126" t="n">
        <f aca="false">J29/$R$3</f>
        <v>0</v>
      </c>
      <c r="T29" s="126" t="n">
        <f aca="false">L29/$R$3</f>
        <v>0</v>
      </c>
      <c r="U29" s="126" t="n">
        <f aca="false">I29/$R$3</f>
        <v>0</v>
      </c>
      <c r="V29" s="126" t="n">
        <f aca="false">M29/$R$3</f>
        <v>0</v>
      </c>
      <c r="W29" s="126" t="n">
        <f aca="false">N29/$R$3</f>
        <v>0</v>
      </c>
    </row>
    <row r="30" customFormat="false" ht="12.75" hidden="true" customHeight="false" outlineLevel="0" collapsed="false">
      <c r="A30" s="120" t="n">
        <f aca="false">A29+1</f>
        <v>36916</v>
      </c>
      <c r="B30" s="131" t="str">
        <f aca="false">INDEX('Master Data'!$A$2:$B$8,MATCH(WEEKDAY('SC Total Power'!A30,3),'Master Data'!$A$2:$A$8,0),2)</f>
        <v>Th</v>
      </c>
      <c r="D30" s="124" t="n">
        <v>0</v>
      </c>
      <c r="E30" s="124" t="n">
        <v>37167</v>
      </c>
      <c r="F30" s="124" t="n">
        <v>0</v>
      </c>
      <c r="G30" s="124" t="n">
        <v>0</v>
      </c>
      <c r="I30" s="124" t="n">
        <f aca="false">IF(MONTH($A30)=MONTH($A29),IF(G30=0,I29,G30),0)</f>
        <v>0</v>
      </c>
      <c r="J30" s="124" t="n">
        <f aca="false">IF(MONTH($A30)=MONTH($A29),SUM(I30-I29),I30)</f>
        <v>0</v>
      </c>
      <c r="K30" s="124" t="n">
        <f aca="false">IF(WEEKDAY(A30,3)&gt;4,0,(IF(A30&lt;K$2,0,IF(A30&lt;=K$3,1,0))))</f>
        <v>0</v>
      </c>
      <c r="L30" s="124" t="n">
        <f aca="false">J30*K30</f>
        <v>0</v>
      </c>
      <c r="M30" s="124" t="n">
        <f aca="false">SUM(J$6:J30)</f>
        <v>0</v>
      </c>
      <c r="N30" s="124" t="n">
        <f aca="false">SUM(J$6:J30)</f>
        <v>0</v>
      </c>
      <c r="P30" s="124" t="n">
        <f aca="false">D30/P$3</f>
        <v>0</v>
      </c>
      <c r="Q30" s="143" t="n">
        <f aca="false">E30/P$3</f>
        <v>0.037167</v>
      </c>
      <c r="R30" s="124" t="n">
        <f aca="false">F30/R$3</f>
        <v>0</v>
      </c>
      <c r="S30" s="126" t="n">
        <f aca="false">J30/$R$3</f>
        <v>0</v>
      </c>
      <c r="T30" s="126" t="n">
        <f aca="false">L30/$R$3</f>
        <v>0</v>
      </c>
      <c r="U30" s="126" t="n">
        <f aca="false">I30/$R$3</f>
        <v>0</v>
      </c>
      <c r="V30" s="126" t="n">
        <f aca="false">M30/$R$3</f>
        <v>0</v>
      </c>
      <c r="W30" s="126" t="n">
        <f aca="false">N30/$R$3</f>
        <v>0</v>
      </c>
    </row>
    <row r="31" customFormat="false" ht="12.75" hidden="true" customHeight="false" outlineLevel="0" collapsed="false">
      <c r="A31" s="120" t="n">
        <f aca="false">A30+1</f>
        <v>36917</v>
      </c>
      <c r="B31" s="131" t="str">
        <f aca="false">INDEX('Master Data'!$A$2:$B$8,MATCH(WEEKDAY('SC Total Power'!A31,3),'Master Data'!$A$2:$A$8,0),2)</f>
        <v>F</v>
      </c>
      <c r="D31" s="124" t="n">
        <v>0</v>
      </c>
      <c r="E31" s="124" t="n">
        <v>34999</v>
      </c>
      <c r="F31" s="124" t="n">
        <v>0</v>
      </c>
      <c r="G31" s="124" t="n">
        <v>0</v>
      </c>
      <c r="I31" s="124" t="n">
        <f aca="false">IF(MONTH($A31)=MONTH($A30),IF(G31=0,I30,G31),0)</f>
        <v>0</v>
      </c>
      <c r="J31" s="124" t="n">
        <f aca="false">IF(MONTH($A31)=MONTH($A30),SUM(I31-I30),I31)</f>
        <v>0</v>
      </c>
      <c r="K31" s="124" t="n">
        <f aca="false">IF(WEEKDAY(A31,3)&gt;4,0,(IF(A31&lt;K$2,0,IF(A31&lt;=K$3,1,0))))</f>
        <v>0</v>
      </c>
      <c r="L31" s="124" t="n">
        <f aca="false">J31*K31</f>
        <v>0</v>
      </c>
      <c r="M31" s="124" t="n">
        <f aca="false">SUM(J$6:J31)</f>
        <v>0</v>
      </c>
      <c r="N31" s="124" t="n">
        <f aca="false">SUM(J$6:J31)</f>
        <v>0</v>
      </c>
      <c r="P31" s="124" t="n">
        <f aca="false">D31/P$3</f>
        <v>0</v>
      </c>
      <c r="Q31" s="143" t="n">
        <f aca="false">E31/P$3</f>
        <v>0.034999</v>
      </c>
      <c r="R31" s="124" t="n">
        <f aca="false">F31/R$3</f>
        <v>0</v>
      </c>
      <c r="S31" s="126" t="n">
        <f aca="false">J31/$R$3</f>
        <v>0</v>
      </c>
      <c r="T31" s="126" t="n">
        <f aca="false">L31/$R$3</f>
        <v>0</v>
      </c>
      <c r="U31" s="126" t="n">
        <f aca="false">I31/$R$3</f>
        <v>0</v>
      </c>
      <c r="V31" s="126" t="n">
        <f aca="false">M31/$R$3</f>
        <v>0</v>
      </c>
      <c r="W31" s="126" t="n">
        <f aca="false">N31/$R$3</f>
        <v>0</v>
      </c>
    </row>
    <row r="32" customFormat="false" ht="12.75" hidden="true" customHeight="false" outlineLevel="0" collapsed="false">
      <c r="A32" s="120" t="n">
        <f aca="false">A31+1</f>
        <v>36918</v>
      </c>
      <c r="B32" s="131" t="str">
        <f aca="false">INDEX('Master Data'!$A$2:$B$8,MATCH(WEEKDAY('SC Total Power'!A32,3),'Master Data'!$A$2:$A$8,0),2)</f>
        <v>Sa</v>
      </c>
      <c r="D32" s="124" t="n">
        <v>0</v>
      </c>
      <c r="E32" s="124" t="n">
        <v>0</v>
      </c>
      <c r="F32" s="124" t="n">
        <v>0</v>
      </c>
      <c r="G32" s="124" t="n">
        <v>0</v>
      </c>
      <c r="I32" s="124" t="n">
        <f aca="false">IF(MONTH($A32)=MONTH($A31),IF(G32=0,I31,G32),0)</f>
        <v>0</v>
      </c>
      <c r="J32" s="124" t="n">
        <f aca="false">IF(MONTH($A32)=MONTH($A31),SUM(I32-I31),I32)</f>
        <v>0</v>
      </c>
      <c r="K32" s="124" t="n">
        <f aca="false">IF(WEEKDAY(A32,3)&gt;4,0,(IF(A32&lt;K$2,0,IF(A32&lt;=K$3,1,0))))</f>
        <v>0</v>
      </c>
      <c r="L32" s="124" t="n">
        <f aca="false">J32*K32</f>
        <v>0</v>
      </c>
      <c r="M32" s="124" t="n">
        <f aca="false">SUM(J$6:J32)</f>
        <v>0</v>
      </c>
      <c r="N32" s="124" t="n">
        <f aca="false">SUM(J$6:J32)</f>
        <v>0</v>
      </c>
      <c r="P32" s="124" t="n">
        <f aca="false">D32/P$3</f>
        <v>0</v>
      </c>
      <c r="Q32" s="143" t="n">
        <f aca="false">E32/P$3</f>
        <v>0</v>
      </c>
      <c r="R32" s="124" t="n">
        <f aca="false">F32/R$3</f>
        <v>0</v>
      </c>
      <c r="S32" s="126" t="n">
        <f aca="false">J32/$R$3</f>
        <v>0</v>
      </c>
      <c r="T32" s="126" t="n">
        <f aca="false">L32/$R$3</f>
        <v>0</v>
      </c>
      <c r="U32" s="126" t="n">
        <f aca="false">I32/$R$3</f>
        <v>0</v>
      </c>
      <c r="V32" s="126" t="n">
        <f aca="false">M32/$R$3</f>
        <v>0</v>
      </c>
      <c r="W32" s="126" t="n">
        <f aca="false">N32/$R$3</f>
        <v>0</v>
      </c>
    </row>
    <row r="33" customFormat="false" ht="12.75" hidden="true" customHeight="false" outlineLevel="0" collapsed="false">
      <c r="A33" s="120" t="n">
        <f aca="false">A32+1</f>
        <v>36919</v>
      </c>
      <c r="B33" s="131" t="str">
        <f aca="false">INDEX('Master Data'!$A$2:$B$8,MATCH(WEEKDAY('SC Total Power'!A33,3),'Master Data'!$A$2:$A$8,0),2)</f>
        <v>Su</v>
      </c>
      <c r="D33" s="124" t="n">
        <v>0</v>
      </c>
      <c r="E33" s="124" t="n">
        <v>0</v>
      </c>
      <c r="F33" s="124" t="n">
        <v>0</v>
      </c>
      <c r="G33" s="124" t="n">
        <v>0</v>
      </c>
      <c r="I33" s="124" t="n">
        <f aca="false">IF(MONTH($A33)=MONTH($A32),IF(G33=0,I32,G33),0)</f>
        <v>0</v>
      </c>
      <c r="J33" s="124" t="n">
        <f aca="false">IF(MONTH($A33)=MONTH($A32),SUM(I33-I32),I33)</f>
        <v>0</v>
      </c>
      <c r="K33" s="124" t="n">
        <f aca="false">IF(WEEKDAY(A33,3)&gt;4,0,(IF(A33&lt;K$2,0,IF(A33&lt;=K$3,1,0))))</f>
        <v>0</v>
      </c>
      <c r="L33" s="124" t="n">
        <f aca="false">J33*K33</f>
        <v>0</v>
      </c>
      <c r="M33" s="124" t="n">
        <f aca="false">SUM(J$6:J33)</f>
        <v>0</v>
      </c>
      <c r="N33" s="124" t="n">
        <f aca="false">SUM(J$6:J33)</f>
        <v>0</v>
      </c>
      <c r="P33" s="124" t="n">
        <f aca="false">D33/P$3</f>
        <v>0</v>
      </c>
      <c r="Q33" s="143" t="n">
        <f aca="false">E33/P$3</f>
        <v>0</v>
      </c>
      <c r="R33" s="124" t="n">
        <f aca="false">F33/R$3</f>
        <v>0</v>
      </c>
      <c r="S33" s="126" t="n">
        <f aca="false">J33/$R$3</f>
        <v>0</v>
      </c>
      <c r="T33" s="126" t="n">
        <f aca="false">L33/$R$3</f>
        <v>0</v>
      </c>
      <c r="U33" s="126" t="n">
        <f aca="false">I33/$R$3</f>
        <v>0</v>
      </c>
      <c r="V33" s="126" t="n">
        <f aca="false">M33/$R$3</f>
        <v>0</v>
      </c>
      <c r="W33" s="126" t="n">
        <f aca="false">N33/$R$3</f>
        <v>0</v>
      </c>
    </row>
    <row r="34" customFormat="false" ht="12.75" hidden="true" customHeight="false" outlineLevel="0" collapsed="false">
      <c r="A34" s="120" t="n">
        <f aca="false">A33+1</f>
        <v>36920</v>
      </c>
      <c r="B34" s="131" t="str">
        <f aca="false">INDEX('Master Data'!$A$2:$B$8,MATCH(WEEKDAY('SC Total Power'!A34,3),'Master Data'!$A$2:$A$8,0),2)</f>
        <v>M</v>
      </c>
      <c r="D34" s="124" t="n">
        <v>0</v>
      </c>
      <c r="E34" s="124" t="n">
        <v>28683</v>
      </c>
      <c r="F34" s="124" t="n">
        <v>0</v>
      </c>
      <c r="G34" s="124" t="n">
        <v>0</v>
      </c>
      <c r="I34" s="124" t="n">
        <f aca="false">IF(MONTH($A34)=MONTH($A33),IF(G34=0,I33,G34),0)</f>
        <v>0</v>
      </c>
      <c r="J34" s="124" t="n">
        <f aca="false">IF(MONTH($A34)=MONTH($A33),SUM(I34-I33),I34)</f>
        <v>0</v>
      </c>
      <c r="K34" s="124" t="n">
        <f aca="false">IF(WEEKDAY(A34,3)&gt;4,0,(IF(A34&lt;K$2,0,IF(A34&lt;=K$3,1,0))))</f>
        <v>0</v>
      </c>
      <c r="L34" s="124" t="n">
        <f aca="false">J34*K34</f>
        <v>0</v>
      </c>
      <c r="M34" s="124" t="n">
        <f aca="false">SUM(J$6:J34)</f>
        <v>0</v>
      </c>
      <c r="N34" s="124" t="n">
        <f aca="false">SUM(J$6:J34)</f>
        <v>0</v>
      </c>
      <c r="P34" s="124" t="n">
        <f aca="false">D34/P$3</f>
        <v>0</v>
      </c>
      <c r="Q34" s="143" t="n">
        <f aca="false">E34/P$3</f>
        <v>0.028683</v>
      </c>
      <c r="R34" s="124" t="n">
        <f aca="false">F34/R$3</f>
        <v>0</v>
      </c>
      <c r="S34" s="126" t="n">
        <f aca="false">J34/$R$3</f>
        <v>0</v>
      </c>
      <c r="T34" s="126" t="n">
        <f aca="false">L34/$R$3</f>
        <v>0</v>
      </c>
      <c r="U34" s="126" t="n">
        <f aca="false">I34/$R$3</f>
        <v>0</v>
      </c>
      <c r="V34" s="126" t="n">
        <f aca="false">M34/$R$3</f>
        <v>0</v>
      </c>
      <c r="W34" s="126" t="n">
        <f aca="false">N34/$R$3</f>
        <v>0</v>
      </c>
    </row>
    <row r="35" customFormat="false" ht="12.75" hidden="true" customHeight="false" outlineLevel="0" collapsed="false">
      <c r="A35" s="120" t="n">
        <f aca="false">A34+1</f>
        <v>36921</v>
      </c>
      <c r="B35" s="131" t="str">
        <f aca="false">INDEX('Master Data'!$A$2:$B$8,MATCH(WEEKDAY('SC Total Power'!A35,3),'Master Data'!$A$2:$A$8,0),2)</f>
        <v>T</v>
      </c>
      <c r="D35" s="124" t="n">
        <v>0</v>
      </c>
      <c r="E35" s="124" t="n">
        <v>26512</v>
      </c>
      <c r="F35" s="124" t="n">
        <v>0</v>
      </c>
      <c r="G35" s="124" t="n">
        <v>0</v>
      </c>
      <c r="I35" s="124" t="n">
        <f aca="false">IF(MONTH($A35)=MONTH($A34),IF(G35=0,I34,G35),0)</f>
        <v>0</v>
      </c>
      <c r="J35" s="124" t="n">
        <f aca="false">IF(MONTH($A35)=MONTH($A34),SUM(I35-I34),I35)</f>
        <v>0</v>
      </c>
      <c r="K35" s="124" t="n">
        <f aca="false">IF(WEEKDAY(A35,3)&gt;4,0,(IF(A35&lt;K$2,0,IF(A35&lt;=K$3,1,0))))</f>
        <v>0</v>
      </c>
      <c r="L35" s="124" t="n">
        <f aca="false">J35*K35</f>
        <v>0</v>
      </c>
      <c r="M35" s="124" t="n">
        <f aca="false">SUM(J$6:J35)</f>
        <v>0</v>
      </c>
      <c r="N35" s="124" t="n">
        <f aca="false">SUM(J$6:J35)</f>
        <v>0</v>
      </c>
      <c r="P35" s="124" t="n">
        <f aca="false">D35/P$3</f>
        <v>0</v>
      </c>
      <c r="Q35" s="143" t="n">
        <f aca="false">E35/P$3</f>
        <v>0.026512</v>
      </c>
      <c r="R35" s="124" t="n">
        <f aca="false">F35/R$3</f>
        <v>0</v>
      </c>
      <c r="S35" s="126" t="n">
        <f aca="false">J35/$R$3</f>
        <v>0</v>
      </c>
      <c r="T35" s="126" t="n">
        <f aca="false">L35/$R$3</f>
        <v>0</v>
      </c>
      <c r="U35" s="126" t="n">
        <f aca="false">I35/$R$3</f>
        <v>0</v>
      </c>
      <c r="V35" s="126" t="n">
        <f aca="false">M35/$R$3</f>
        <v>0</v>
      </c>
      <c r="W35" s="126" t="n">
        <f aca="false">N35/$R$3</f>
        <v>0</v>
      </c>
    </row>
    <row r="36" customFormat="false" ht="12.75" hidden="false" customHeight="false" outlineLevel="0" collapsed="false">
      <c r="A36" s="120" t="n">
        <f aca="false">A35+1</f>
        <v>36922</v>
      </c>
      <c r="B36" s="131" t="str">
        <f aca="false">INDEX('Master Data'!$A$2:$B$8,MATCH(WEEKDAY('SC Total Power'!A36,3),'Master Data'!$A$2:$A$8,0),2)</f>
        <v>W</v>
      </c>
      <c r="D36" s="124" t="n">
        <v>0</v>
      </c>
      <c r="E36" s="124" t="n">
        <v>24348</v>
      </c>
      <c r="F36" s="124" t="n">
        <v>0</v>
      </c>
      <c r="G36" s="124" t="n">
        <v>0</v>
      </c>
      <c r="I36" s="124" t="n">
        <f aca="false">IF(MONTH($A36)=MONTH($A35),IF(G36=0,I35,G36),0)</f>
        <v>0</v>
      </c>
      <c r="J36" s="124" t="n">
        <f aca="false">IF(MONTH($A36)=MONTH($A35),SUM(I36-I35),I36)</f>
        <v>0</v>
      </c>
      <c r="K36" s="124" t="n">
        <f aca="false">IF(WEEKDAY(A36,3)&gt;4,0,(IF(A36&lt;K$2,0,IF(A36&lt;=K$3,1,0))))</f>
        <v>0</v>
      </c>
      <c r="L36" s="124" t="n">
        <f aca="false">J36*K36</f>
        <v>0</v>
      </c>
      <c r="M36" s="124" t="n">
        <f aca="false">SUM(J$6:J36)</f>
        <v>0</v>
      </c>
      <c r="N36" s="124" t="n">
        <f aca="false">SUM(J$6:J36)</f>
        <v>0</v>
      </c>
      <c r="P36" s="124" t="n">
        <f aca="false">D36/P$3</f>
        <v>0</v>
      </c>
      <c r="Q36" s="143" t="n">
        <f aca="false">E36/P$3</f>
        <v>0.024348</v>
      </c>
      <c r="R36" s="124" t="n">
        <f aca="false">F36/R$3</f>
        <v>0</v>
      </c>
      <c r="S36" s="126" t="n">
        <f aca="false">J36/$R$3</f>
        <v>0</v>
      </c>
      <c r="T36" s="126" t="n">
        <f aca="false">L36/$R$3</f>
        <v>0</v>
      </c>
      <c r="U36" s="126" t="n">
        <f aca="false">I36/$R$3</f>
        <v>0</v>
      </c>
      <c r="V36" s="126" t="n">
        <f aca="false">M36/$R$3</f>
        <v>0</v>
      </c>
      <c r="W36" s="126" t="n">
        <f aca="false">N36/$R$3</f>
        <v>0</v>
      </c>
    </row>
    <row r="37" customFormat="false" ht="12.75" hidden="true" customHeight="false" outlineLevel="0" collapsed="false">
      <c r="A37" s="120" t="n">
        <f aca="false">A36+1</f>
        <v>36923</v>
      </c>
      <c r="B37" s="131" t="str">
        <f aca="false">INDEX('Master Data'!$A$2:$B$8,MATCH(WEEKDAY('SC Total Power'!A37,3),'Master Data'!$A$2:$A$8,0),2)</f>
        <v>Th</v>
      </c>
      <c r="D37" s="124" t="n">
        <v>0</v>
      </c>
      <c r="E37" s="124" t="n">
        <v>24202</v>
      </c>
      <c r="F37" s="124" t="n">
        <v>0</v>
      </c>
      <c r="G37" s="124" t="n">
        <v>0</v>
      </c>
      <c r="I37" s="124" t="n">
        <f aca="false">IF(MONTH($A37)=MONTH($A36),IF(G37=0,I36,G37),G37)</f>
        <v>0</v>
      </c>
      <c r="J37" s="124" t="n">
        <f aca="false">IF(MONTH($A37)=MONTH($A36),SUM(I37-I36),I37)</f>
        <v>0</v>
      </c>
      <c r="K37" s="124" t="n">
        <f aca="false">IF(WEEKDAY(A37,3)&gt;4,0,(IF(A37&lt;K$2,0,IF(A37&lt;=K$3,1,0))))</f>
        <v>0</v>
      </c>
      <c r="L37" s="124" t="n">
        <f aca="false">J37*K37</f>
        <v>0</v>
      </c>
      <c r="M37" s="124" t="n">
        <f aca="false">SUM(J$6:J37)</f>
        <v>0</v>
      </c>
      <c r="N37" s="124" t="n">
        <f aca="false">SUM(J$6:J37)</f>
        <v>0</v>
      </c>
      <c r="P37" s="124" t="n">
        <f aca="false">D37/P$3</f>
        <v>0</v>
      </c>
      <c r="Q37" s="143" t="n">
        <f aca="false">E37/P$3</f>
        <v>0.024202</v>
      </c>
      <c r="R37" s="124" t="n">
        <f aca="false">F37/R$3</f>
        <v>0</v>
      </c>
      <c r="S37" s="126" t="n">
        <f aca="false">J37/$R$3</f>
        <v>0</v>
      </c>
      <c r="T37" s="126" t="n">
        <f aca="false">L37/$R$3</f>
        <v>0</v>
      </c>
      <c r="U37" s="126" t="n">
        <f aca="false">I37/$R$3</f>
        <v>0</v>
      </c>
      <c r="V37" s="126" t="n">
        <f aca="false">M37/$R$3</f>
        <v>0</v>
      </c>
      <c r="W37" s="126" t="n">
        <f aca="false">N37/$R$3</f>
        <v>0</v>
      </c>
    </row>
    <row r="38" customFormat="false" ht="12.75" hidden="true" customHeight="false" outlineLevel="0" collapsed="false">
      <c r="A38" s="120" t="n">
        <f aca="false">A37+1</f>
        <v>36924</v>
      </c>
      <c r="B38" s="131" t="str">
        <f aca="false">INDEX('Master Data'!$A$2:$B$8,MATCH(WEEKDAY('SC Total Power'!A38,3),'Master Data'!$A$2:$A$8,0),2)</f>
        <v>F</v>
      </c>
      <c r="D38" s="124" t="n">
        <v>0</v>
      </c>
      <c r="E38" s="124" t="n">
        <v>24050</v>
      </c>
      <c r="F38" s="124" t="n">
        <v>0</v>
      </c>
      <c r="G38" s="124" t="n">
        <v>0</v>
      </c>
      <c r="I38" s="124" t="n">
        <f aca="false">IF(MONTH($A38)=MONTH($A37),IF(G38=0,I37,G38),G38)</f>
        <v>0</v>
      </c>
      <c r="J38" s="124" t="n">
        <f aca="false">IF(MONTH($A38)=MONTH($A37),SUM(I38-I37),I38)</f>
        <v>0</v>
      </c>
      <c r="K38" s="124" t="n">
        <f aca="false">IF(WEEKDAY(A38,3)&gt;4,0,(IF(A38&lt;K$2,0,IF(A38&lt;=K$3,1,0))))</f>
        <v>0</v>
      </c>
      <c r="L38" s="124" t="n">
        <f aca="false">J38*K38</f>
        <v>0</v>
      </c>
      <c r="M38" s="124" t="n">
        <f aca="false">SUM(J$6:J38)</f>
        <v>0</v>
      </c>
      <c r="N38" s="124" t="n">
        <f aca="false">SUM(J$6:J38)</f>
        <v>0</v>
      </c>
      <c r="P38" s="124" t="n">
        <f aca="false">D38/P$3</f>
        <v>0</v>
      </c>
      <c r="Q38" s="143" t="n">
        <f aca="false">E38/P$3</f>
        <v>0.02405</v>
      </c>
      <c r="R38" s="124" t="n">
        <f aca="false">F38/R$3</f>
        <v>0</v>
      </c>
      <c r="S38" s="126" t="n">
        <f aca="false">J38/$R$3</f>
        <v>0</v>
      </c>
      <c r="T38" s="126" t="n">
        <f aca="false">L38/$R$3</f>
        <v>0</v>
      </c>
      <c r="U38" s="126" t="n">
        <f aca="false">I38/$R$3</f>
        <v>0</v>
      </c>
      <c r="V38" s="126" t="n">
        <f aca="false">M38/$R$3</f>
        <v>0</v>
      </c>
      <c r="W38" s="126" t="n">
        <f aca="false">N38/$R$3</f>
        <v>0</v>
      </c>
    </row>
    <row r="39" customFormat="false" ht="12.75" hidden="true" customHeight="false" outlineLevel="0" collapsed="false">
      <c r="A39" s="120" t="n">
        <f aca="false">A38+1</f>
        <v>36925</v>
      </c>
      <c r="B39" s="131" t="str">
        <f aca="false">INDEX('Master Data'!$A$2:$B$8,MATCH(WEEKDAY('SC Total Power'!A39,3),'Master Data'!$A$2:$A$8,0),2)</f>
        <v>Sa</v>
      </c>
      <c r="D39" s="124" t="n">
        <v>0</v>
      </c>
      <c r="E39" s="124" t="n">
        <v>0</v>
      </c>
      <c r="F39" s="124" t="n">
        <v>0</v>
      </c>
      <c r="G39" s="124" t="n">
        <v>0</v>
      </c>
      <c r="I39" s="124" t="n">
        <f aca="false">IF(MONTH($A39)=MONTH($A38),IF(G39=0,I38,G39),G39)</f>
        <v>0</v>
      </c>
      <c r="J39" s="124" t="n">
        <f aca="false">IF(MONTH($A39)=MONTH($A38),SUM(I39-I38),I39)</f>
        <v>0</v>
      </c>
      <c r="K39" s="124" t="n">
        <f aca="false">IF(WEEKDAY(A39,3)&gt;4,0,(IF(A39&lt;K$2,0,IF(A39&lt;=K$3,1,0))))</f>
        <v>0</v>
      </c>
      <c r="L39" s="124" t="n">
        <f aca="false">J39*K39</f>
        <v>0</v>
      </c>
      <c r="M39" s="124" t="n">
        <f aca="false">SUM(J$6:J39)</f>
        <v>0</v>
      </c>
      <c r="N39" s="124" t="n">
        <f aca="false">SUM(J$6:J39)</f>
        <v>0</v>
      </c>
      <c r="P39" s="124" t="n">
        <f aca="false">D39/P$3</f>
        <v>0</v>
      </c>
      <c r="Q39" s="143" t="n">
        <f aca="false">E39/P$3</f>
        <v>0</v>
      </c>
      <c r="R39" s="124" t="n">
        <f aca="false">F39/R$3</f>
        <v>0</v>
      </c>
      <c r="S39" s="126" t="n">
        <f aca="false">J39/$R$3</f>
        <v>0</v>
      </c>
      <c r="T39" s="126" t="n">
        <f aca="false">L39/$R$3</f>
        <v>0</v>
      </c>
      <c r="U39" s="126" t="n">
        <f aca="false">I39/$R$3</f>
        <v>0</v>
      </c>
      <c r="V39" s="126" t="n">
        <f aca="false">M39/$R$3</f>
        <v>0</v>
      </c>
      <c r="W39" s="126" t="n">
        <f aca="false">N39/$R$3</f>
        <v>0</v>
      </c>
    </row>
    <row r="40" customFormat="false" ht="12.75" hidden="true" customHeight="false" outlineLevel="0" collapsed="false">
      <c r="A40" s="120" t="n">
        <f aca="false">A39+1</f>
        <v>36926</v>
      </c>
      <c r="B40" s="131" t="str">
        <f aca="false">INDEX('Master Data'!$A$2:$B$8,MATCH(WEEKDAY('SC Total Power'!A40,3),'Master Data'!$A$2:$A$8,0),2)</f>
        <v>Su</v>
      </c>
      <c r="D40" s="124" t="n">
        <v>0</v>
      </c>
      <c r="E40" s="124" t="n">
        <v>0</v>
      </c>
      <c r="F40" s="124" t="n">
        <v>0</v>
      </c>
      <c r="G40" s="124" t="n">
        <v>0</v>
      </c>
      <c r="I40" s="124" t="n">
        <f aca="false">IF(MONTH($A40)=MONTH($A39),IF(G40=0,I39,G40),G40)</f>
        <v>0</v>
      </c>
      <c r="J40" s="124" t="n">
        <f aca="false">IF(MONTH($A40)=MONTH($A39),SUM(I40-I39),I40)</f>
        <v>0</v>
      </c>
      <c r="K40" s="124" t="n">
        <f aca="false">IF(WEEKDAY(A40,3)&gt;4,0,(IF(A40&lt;K$2,0,IF(A40&lt;=K$3,1,0))))</f>
        <v>0</v>
      </c>
      <c r="L40" s="124" t="n">
        <f aca="false">J40*K40</f>
        <v>0</v>
      </c>
      <c r="M40" s="124" t="n">
        <f aca="false">SUM(J$6:J40)</f>
        <v>0</v>
      </c>
      <c r="N40" s="124" t="n">
        <f aca="false">SUM(J$6:J40)</f>
        <v>0</v>
      </c>
      <c r="P40" s="124" t="n">
        <f aca="false">D40/P$3</f>
        <v>0</v>
      </c>
      <c r="Q40" s="143" t="n">
        <f aca="false">E40/P$3</f>
        <v>0</v>
      </c>
      <c r="R40" s="124" t="n">
        <f aca="false">F40/R$3</f>
        <v>0</v>
      </c>
      <c r="S40" s="126" t="n">
        <f aca="false">J40/$R$3</f>
        <v>0</v>
      </c>
      <c r="T40" s="126" t="n">
        <f aca="false">L40/$R$3</f>
        <v>0</v>
      </c>
      <c r="U40" s="126" t="n">
        <f aca="false">I40/$R$3</f>
        <v>0</v>
      </c>
      <c r="V40" s="126" t="n">
        <f aca="false">M40/$R$3</f>
        <v>0</v>
      </c>
      <c r="W40" s="126" t="n">
        <f aca="false">N40/$R$3</f>
        <v>0</v>
      </c>
    </row>
    <row r="41" customFormat="false" ht="12.75" hidden="true" customHeight="false" outlineLevel="0" collapsed="false">
      <c r="A41" s="120" t="n">
        <f aca="false">A40+1</f>
        <v>36927</v>
      </c>
      <c r="B41" s="131" t="str">
        <f aca="false">INDEX('Master Data'!$A$2:$B$8,MATCH(WEEKDAY('SC Total Power'!A41,3),'Master Data'!$A$2:$A$8,0),2)</f>
        <v>M</v>
      </c>
      <c r="D41" s="124" t="n">
        <v>0</v>
      </c>
      <c r="E41" s="124" t="n">
        <v>23752</v>
      </c>
      <c r="F41" s="124" t="n">
        <v>0</v>
      </c>
      <c r="G41" s="124" t="n">
        <v>0</v>
      </c>
      <c r="I41" s="124" t="n">
        <f aca="false">IF(MONTH($A41)=MONTH($A40),IF(G41=0,I40,G41),G41)</f>
        <v>0</v>
      </c>
      <c r="J41" s="124" t="n">
        <f aca="false">IF(MONTH($A41)=MONTH($A40),SUM(I41-I40),I41)</f>
        <v>0</v>
      </c>
      <c r="K41" s="124" t="n">
        <f aca="false">IF(WEEKDAY(A41,3)&gt;4,0,(IF(A41&lt;K$2,0,IF(A41&lt;=K$3,1,0))))</f>
        <v>0</v>
      </c>
      <c r="L41" s="124" t="n">
        <f aca="false">J41*K41</f>
        <v>0</v>
      </c>
      <c r="M41" s="124" t="n">
        <f aca="false">SUM(J$6:J41)</f>
        <v>0</v>
      </c>
      <c r="N41" s="124" t="n">
        <f aca="false">SUM(J$6:J41)</f>
        <v>0</v>
      </c>
      <c r="P41" s="124" t="n">
        <f aca="false">D41/P$3</f>
        <v>0</v>
      </c>
      <c r="Q41" s="143" t="n">
        <f aca="false">E41/P$3</f>
        <v>0.023752</v>
      </c>
      <c r="R41" s="124" t="n">
        <f aca="false">F41/R$3</f>
        <v>0</v>
      </c>
      <c r="S41" s="126" t="n">
        <f aca="false">J41/$R$3</f>
        <v>0</v>
      </c>
      <c r="T41" s="126" t="n">
        <f aca="false">L41/$R$3</f>
        <v>0</v>
      </c>
      <c r="U41" s="126" t="n">
        <f aca="false">I41/$R$3</f>
        <v>0</v>
      </c>
      <c r="V41" s="126" t="n">
        <f aca="false">M41/$R$3</f>
        <v>0</v>
      </c>
      <c r="W41" s="126" t="n">
        <f aca="false">N41/$R$3</f>
        <v>0</v>
      </c>
    </row>
    <row r="42" customFormat="false" ht="12.75" hidden="true" customHeight="false" outlineLevel="0" collapsed="false">
      <c r="A42" s="120" t="n">
        <f aca="false">A41+1</f>
        <v>36928</v>
      </c>
      <c r="B42" s="131" t="str">
        <f aca="false">INDEX('Master Data'!$A$2:$B$8,MATCH(WEEKDAY('SC Total Power'!A42,3),'Master Data'!$A$2:$A$8,0),2)</f>
        <v>T</v>
      </c>
      <c r="D42" s="124" t="n">
        <v>0</v>
      </c>
      <c r="E42" s="124" t="n">
        <v>23599</v>
      </c>
      <c r="F42" s="124" t="n">
        <v>0</v>
      </c>
      <c r="G42" s="124" t="n">
        <v>0</v>
      </c>
      <c r="I42" s="124" t="n">
        <f aca="false">IF(MONTH($A42)=MONTH($A41),IF(G42=0,I41,G42),G42)</f>
        <v>0</v>
      </c>
      <c r="J42" s="124" t="n">
        <f aca="false">IF(MONTH($A42)=MONTH($A41),SUM(I42-I41),I42)</f>
        <v>0</v>
      </c>
      <c r="K42" s="124" t="n">
        <f aca="false">IF(WEEKDAY(A42,3)&gt;4,0,(IF(A42&lt;K$2,0,IF(A42&lt;=K$3,1,0))))</f>
        <v>0</v>
      </c>
      <c r="L42" s="124" t="n">
        <f aca="false">J42*K42</f>
        <v>0</v>
      </c>
      <c r="M42" s="124" t="n">
        <f aca="false">SUM(J$6:J42)</f>
        <v>0</v>
      </c>
      <c r="N42" s="124" t="n">
        <f aca="false">SUM(J$6:J42)</f>
        <v>0</v>
      </c>
      <c r="P42" s="124" t="n">
        <f aca="false">D42/P$3</f>
        <v>0</v>
      </c>
      <c r="Q42" s="143" t="n">
        <f aca="false">E42/P$3</f>
        <v>0.023599</v>
      </c>
      <c r="R42" s="124" t="n">
        <f aca="false">F42/R$3</f>
        <v>0</v>
      </c>
      <c r="S42" s="126" t="n">
        <f aca="false">J42/$R$3</f>
        <v>0</v>
      </c>
      <c r="T42" s="126" t="n">
        <f aca="false">L42/$R$3</f>
        <v>0</v>
      </c>
      <c r="U42" s="126" t="n">
        <f aca="false">I42/$R$3</f>
        <v>0</v>
      </c>
      <c r="V42" s="126" t="n">
        <f aca="false">M42/$R$3</f>
        <v>0</v>
      </c>
      <c r="W42" s="126" t="n">
        <f aca="false">N42/$R$3</f>
        <v>0</v>
      </c>
    </row>
    <row r="43" customFormat="false" ht="12.75" hidden="true" customHeight="false" outlineLevel="0" collapsed="false">
      <c r="A43" s="120" t="n">
        <f aca="false">A42+1</f>
        <v>36929</v>
      </c>
      <c r="B43" s="131" t="str">
        <f aca="false">INDEX('Master Data'!$A$2:$B$8,MATCH(WEEKDAY('SC Total Power'!A43,3),'Master Data'!$A$2:$A$8,0),2)</f>
        <v>W</v>
      </c>
      <c r="D43" s="124" t="n">
        <v>0</v>
      </c>
      <c r="E43" s="124" t="n">
        <v>23445</v>
      </c>
      <c r="F43" s="124" t="n">
        <v>0</v>
      </c>
      <c r="G43" s="124" t="n">
        <v>0</v>
      </c>
      <c r="I43" s="124" t="n">
        <f aca="false">IF(MONTH($A43)=MONTH($A42),IF(G43=0,I42,G43),G43)</f>
        <v>0</v>
      </c>
      <c r="J43" s="124" t="n">
        <f aca="false">IF(MONTH($A43)=MONTH($A42),SUM(I43-I42),I43)</f>
        <v>0</v>
      </c>
      <c r="K43" s="124" t="n">
        <f aca="false">IF(WEEKDAY(A43,3)&gt;4,0,(IF(A43&lt;K$2,0,IF(A43&lt;=K$3,1,0))))</f>
        <v>0</v>
      </c>
      <c r="L43" s="124" t="n">
        <f aca="false">J43*K43</f>
        <v>0</v>
      </c>
      <c r="M43" s="124" t="n">
        <f aca="false">SUM(J$6:J43)</f>
        <v>0</v>
      </c>
      <c r="N43" s="124" t="n">
        <f aca="false">SUM(J$6:J43)</f>
        <v>0</v>
      </c>
      <c r="P43" s="124" t="n">
        <f aca="false">D43/P$3</f>
        <v>0</v>
      </c>
      <c r="Q43" s="143" t="n">
        <f aca="false">E43/P$3</f>
        <v>0.023445</v>
      </c>
      <c r="R43" s="124" t="n">
        <f aca="false">F43/R$3</f>
        <v>0</v>
      </c>
      <c r="S43" s="126" t="n">
        <f aca="false">J43/$R$3</f>
        <v>0</v>
      </c>
      <c r="T43" s="126" t="n">
        <f aca="false">L43/$R$3</f>
        <v>0</v>
      </c>
      <c r="U43" s="126" t="n">
        <f aca="false">I43/$R$3</f>
        <v>0</v>
      </c>
      <c r="V43" s="126" t="n">
        <f aca="false">M43/$R$3</f>
        <v>0</v>
      </c>
      <c r="W43" s="126" t="n">
        <f aca="false">N43/$R$3</f>
        <v>0</v>
      </c>
    </row>
    <row r="44" customFormat="false" ht="12.75" hidden="true" customHeight="false" outlineLevel="0" collapsed="false">
      <c r="A44" s="120" t="n">
        <f aca="false">A43+1</f>
        <v>36930</v>
      </c>
      <c r="B44" s="131" t="str">
        <f aca="false">INDEX('Master Data'!$A$2:$B$8,MATCH(WEEKDAY('SC Total Power'!A44,3),'Master Data'!$A$2:$A$8,0),2)</f>
        <v>Th</v>
      </c>
      <c r="D44" s="124" t="n">
        <v>0</v>
      </c>
      <c r="E44" s="124" t="n">
        <v>23293</v>
      </c>
      <c r="F44" s="124" t="n">
        <v>0</v>
      </c>
      <c r="G44" s="124" t="n">
        <v>0</v>
      </c>
      <c r="I44" s="124" t="n">
        <f aca="false">IF(MONTH($A44)=MONTH($A43),IF(G44=0,I43,G44),G44)</f>
        <v>0</v>
      </c>
      <c r="J44" s="124" t="n">
        <f aca="false">IF(MONTH($A44)=MONTH($A43),SUM(I44-I43),I44)</f>
        <v>0</v>
      </c>
      <c r="K44" s="124" t="n">
        <f aca="false">IF(WEEKDAY(A44,3)&gt;4,0,(IF(A44&lt;K$2,0,IF(A44&lt;=K$3,1,0))))</f>
        <v>0</v>
      </c>
      <c r="L44" s="124" t="n">
        <f aca="false">J44*K44</f>
        <v>0</v>
      </c>
      <c r="M44" s="124" t="n">
        <f aca="false">SUM(J$6:J44)</f>
        <v>0</v>
      </c>
      <c r="N44" s="124" t="n">
        <f aca="false">SUM(J$6:J44)</f>
        <v>0</v>
      </c>
      <c r="P44" s="124" t="n">
        <f aca="false">D44/P$3</f>
        <v>0</v>
      </c>
      <c r="Q44" s="143" t="n">
        <f aca="false">E44/P$3</f>
        <v>0.023293</v>
      </c>
      <c r="R44" s="124" t="n">
        <f aca="false">F44/R$3</f>
        <v>0</v>
      </c>
      <c r="S44" s="126" t="n">
        <f aca="false">J44/$R$3</f>
        <v>0</v>
      </c>
      <c r="T44" s="126" t="n">
        <f aca="false">L44/$R$3</f>
        <v>0</v>
      </c>
      <c r="U44" s="126" t="n">
        <f aca="false">I44/$R$3</f>
        <v>0</v>
      </c>
      <c r="V44" s="126" t="n">
        <f aca="false">M44/$R$3</f>
        <v>0</v>
      </c>
      <c r="W44" s="126" t="n">
        <f aca="false">N44/$R$3</f>
        <v>0</v>
      </c>
    </row>
    <row r="45" customFormat="false" ht="12.75" hidden="true" customHeight="false" outlineLevel="0" collapsed="false">
      <c r="A45" s="120" t="n">
        <f aca="false">A44+1</f>
        <v>36931</v>
      </c>
      <c r="B45" s="131" t="str">
        <f aca="false">INDEX('Master Data'!$A$2:$B$8,MATCH(WEEKDAY('SC Total Power'!A45,3),'Master Data'!$A$2:$A$8,0),2)</f>
        <v>F</v>
      </c>
      <c r="D45" s="124" t="n">
        <v>0</v>
      </c>
      <c r="E45" s="124" t="n">
        <v>23139</v>
      </c>
      <c r="F45" s="124" t="n">
        <v>0</v>
      </c>
      <c r="G45" s="124" t="n">
        <v>0</v>
      </c>
      <c r="I45" s="124" t="n">
        <f aca="false">IF(MONTH($A45)=MONTH($A44),IF(G45=0,I44,G45),G45)</f>
        <v>0</v>
      </c>
      <c r="J45" s="124" t="n">
        <f aca="false">IF(MONTH($A45)=MONTH($A44),SUM(I45-I44),I45)</f>
        <v>0</v>
      </c>
      <c r="K45" s="124" t="n">
        <f aca="false">IF(WEEKDAY(A45,3)&gt;4,0,(IF(A45&lt;K$2,0,IF(A45&lt;=K$3,1,0))))</f>
        <v>0</v>
      </c>
      <c r="L45" s="124" t="n">
        <f aca="false">J45*K45</f>
        <v>0</v>
      </c>
      <c r="M45" s="124" t="n">
        <f aca="false">SUM(J$6:J45)</f>
        <v>0</v>
      </c>
      <c r="N45" s="124" t="n">
        <f aca="false">SUM(J$6:J45)</f>
        <v>0</v>
      </c>
      <c r="P45" s="124" t="n">
        <f aca="false">D45/P$3</f>
        <v>0</v>
      </c>
      <c r="Q45" s="143" t="n">
        <f aca="false">E45/P$3</f>
        <v>0.023139</v>
      </c>
      <c r="R45" s="124" t="n">
        <f aca="false">F45/R$3</f>
        <v>0</v>
      </c>
      <c r="S45" s="126" t="n">
        <f aca="false">J45/$R$3</f>
        <v>0</v>
      </c>
      <c r="T45" s="126" t="n">
        <f aca="false">L45/$R$3</f>
        <v>0</v>
      </c>
      <c r="U45" s="126" t="n">
        <f aca="false">I45/$R$3</f>
        <v>0</v>
      </c>
      <c r="V45" s="126" t="n">
        <f aca="false">M45/$R$3</f>
        <v>0</v>
      </c>
      <c r="W45" s="126" t="n">
        <f aca="false">N45/$R$3</f>
        <v>0</v>
      </c>
    </row>
    <row r="46" customFormat="false" ht="12.75" hidden="true" customHeight="false" outlineLevel="0" collapsed="false">
      <c r="A46" s="120" t="n">
        <f aca="false">A45+1</f>
        <v>36932</v>
      </c>
      <c r="B46" s="131" t="str">
        <f aca="false">INDEX('Master Data'!$A$2:$B$8,MATCH(WEEKDAY('SC Total Power'!A46,3),'Master Data'!$A$2:$A$8,0),2)</f>
        <v>Sa</v>
      </c>
      <c r="D46" s="124" t="n">
        <v>0</v>
      </c>
      <c r="E46" s="124" t="n">
        <v>0</v>
      </c>
      <c r="F46" s="124" t="n">
        <v>0</v>
      </c>
      <c r="G46" s="124" t="n">
        <v>0</v>
      </c>
      <c r="I46" s="124" t="n">
        <f aca="false">IF(MONTH($A46)=MONTH($A45),IF(G46=0,I45,G46),G46)</f>
        <v>0</v>
      </c>
      <c r="J46" s="124" t="n">
        <f aca="false">IF(MONTH($A46)=MONTH($A45),SUM(I46-I45),I46)</f>
        <v>0</v>
      </c>
      <c r="K46" s="124" t="n">
        <f aca="false">IF(WEEKDAY(A46,3)&gt;4,0,(IF(A46&lt;K$2,0,IF(A46&lt;=K$3,1,0))))</f>
        <v>0</v>
      </c>
      <c r="L46" s="124" t="n">
        <f aca="false">J46*K46</f>
        <v>0</v>
      </c>
      <c r="M46" s="124" t="n">
        <f aca="false">SUM(J$6:J46)</f>
        <v>0</v>
      </c>
      <c r="N46" s="124" t="n">
        <f aca="false">SUM(J$6:J46)</f>
        <v>0</v>
      </c>
      <c r="P46" s="124" t="n">
        <f aca="false">D46/P$3</f>
        <v>0</v>
      </c>
      <c r="Q46" s="143" t="n">
        <f aca="false">E46/P$3</f>
        <v>0</v>
      </c>
      <c r="R46" s="124" t="n">
        <f aca="false">F46/R$3</f>
        <v>0</v>
      </c>
      <c r="S46" s="126" t="n">
        <f aca="false">J46/$R$3</f>
        <v>0</v>
      </c>
      <c r="T46" s="126" t="n">
        <f aca="false">L46/$R$3</f>
        <v>0</v>
      </c>
      <c r="U46" s="126" t="n">
        <f aca="false">I46/$R$3</f>
        <v>0</v>
      </c>
      <c r="V46" s="126" t="n">
        <f aca="false">M46/$R$3</f>
        <v>0</v>
      </c>
      <c r="W46" s="126" t="n">
        <f aca="false">N46/$R$3</f>
        <v>0</v>
      </c>
    </row>
    <row r="47" customFormat="false" ht="12.75" hidden="true" customHeight="false" outlineLevel="0" collapsed="false">
      <c r="A47" s="120" t="n">
        <f aca="false">A46+1</f>
        <v>36933</v>
      </c>
      <c r="B47" s="131" t="str">
        <f aca="false">INDEX('Master Data'!$A$2:$B$8,MATCH(WEEKDAY('SC Total Power'!A47,3),'Master Data'!$A$2:$A$8,0),2)</f>
        <v>Su</v>
      </c>
      <c r="D47" s="124" t="n">
        <v>0</v>
      </c>
      <c r="E47" s="124" t="n">
        <v>0</v>
      </c>
      <c r="F47" s="124" t="n">
        <v>0</v>
      </c>
      <c r="G47" s="124" t="n">
        <v>0</v>
      </c>
      <c r="I47" s="124" t="n">
        <f aca="false">IF(MONTH($A47)=MONTH($A46),IF(G47=0,I46,G47),G47)</f>
        <v>0</v>
      </c>
      <c r="J47" s="124" t="n">
        <f aca="false">IF(MONTH($A47)=MONTH($A46),SUM(I47-I46),I47)</f>
        <v>0</v>
      </c>
      <c r="K47" s="124" t="n">
        <f aca="false">IF(WEEKDAY(A47,3)&gt;4,0,(IF(A47&lt;K$2,0,IF(A47&lt;=K$3,1,0))))</f>
        <v>0</v>
      </c>
      <c r="L47" s="124" t="n">
        <f aca="false">J47*K47</f>
        <v>0</v>
      </c>
      <c r="M47" s="124" t="n">
        <f aca="false">SUM(J$6:J47)</f>
        <v>0</v>
      </c>
      <c r="N47" s="124" t="n">
        <f aca="false">SUM(J$6:J47)</f>
        <v>0</v>
      </c>
      <c r="P47" s="124" t="n">
        <f aca="false">D47/P$3</f>
        <v>0</v>
      </c>
      <c r="Q47" s="143" t="n">
        <f aca="false">E47/P$3</f>
        <v>0</v>
      </c>
      <c r="R47" s="124" t="n">
        <f aca="false">F47/R$3</f>
        <v>0</v>
      </c>
      <c r="S47" s="126" t="n">
        <f aca="false">J47/$R$3</f>
        <v>0</v>
      </c>
      <c r="T47" s="126" t="n">
        <f aca="false">L47/$R$3</f>
        <v>0</v>
      </c>
      <c r="U47" s="126" t="n">
        <f aca="false">I47/$R$3</f>
        <v>0</v>
      </c>
      <c r="V47" s="126" t="n">
        <f aca="false">M47/$R$3</f>
        <v>0</v>
      </c>
      <c r="W47" s="126" t="n">
        <f aca="false">N47/$R$3</f>
        <v>0</v>
      </c>
    </row>
    <row r="48" customFormat="false" ht="12.75" hidden="true" customHeight="false" outlineLevel="0" collapsed="false">
      <c r="A48" s="120" t="n">
        <f aca="false">A47+1</f>
        <v>36934</v>
      </c>
      <c r="B48" s="131" t="str">
        <f aca="false">INDEX('Master Data'!$A$2:$B$8,MATCH(WEEKDAY('SC Total Power'!A48,3),'Master Data'!$A$2:$A$8,0),2)</f>
        <v>M</v>
      </c>
      <c r="D48" s="124" t="n">
        <v>0</v>
      </c>
      <c r="E48" s="124" t="n">
        <v>22848</v>
      </c>
      <c r="F48" s="124" t="n">
        <v>0</v>
      </c>
      <c r="G48" s="124" t="n">
        <v>0</v>
      </c>
      <c r="I48" s="124" t="n">
        <f aca="false">IF(MONTH($A48)=MONTH($A47),IF(G48=0,I47,G48),G48)</f>
        <v>0</v>
      </c>
      <c r="J48" s="124" t="n">
        <f aca="false">IF(MONTH($A48)=MONTH($A47),SUM(I48-I47),I48)</f>
        <v>0</v>
      </c>
      <c r="K48" s="124" t="n">
        <f aca="false">IF(WEEKDAY(A48,3)&gt;4,0,(IF(A48&lt;K$2,0,IF(A48&lt;=K$3,1,0))))</f>
        <v>0</v>
      </c>
      <c r="L48" s="124" t="n">
        <f aca="false">J48*K48</f>
        <v>0</v>
      </c>
      <c r="M48" s="124" t="n">
        <f aca="false">SUM(J$6:J48)</f>
        <v>0</v>
      </c>
      <c r="N48" s="124" t="n">
        <f aca="false">SUM(J$6:J48)</f>
        <v>0</v>
      </c>
      <c r="P48" s="124" t="n">
        <f aca="false">D48/P$3</f>
        <v>0</v>
      </c>
      <c r="Q48" s="143" t="n">
        <f aca="false">E48/P$3</f>
        <v>0.022848</v>
      </c>
      <c r="R48" s="124" t="n">
        <f aca="false">F48/R$3</f>
        <v>0</v>
      </c>
      <c r="S48" s="126" t="n">
        <f aca="false">J48/$R$3</f>
        <v>0</v>
      </c>
      <c r="T48" s="126" t="n">
        <f aca="false">L48/$R$3</f>
        <v>0</v>
      </c>
      <c r="U48" s="126" t="n">
        <f aca="false">I48/$R$3</f>
        <v>0</v>
      </c>
      <c r="V48" s="126" t="n">
        <f aca="false">M48/$R$3</f>
        <v>0</v>
      </c>
      <c r="W48" s="126" t="n">
        <f aca="false">N48/$R$3</f>
        <v>0</v>
      </c>
    </row>
    <row r="49" customFormat="false" ht="12.75" hidden="true" customHeight="false" outlineLevel="0" collapsed="false">
      <c r="A49" s="120" t="n">
        <f aca="false">A48+1</f>
        <v>36935</v>
      </c>
      <c r="B49" s="131" t="str">
        <f aca="false">INDEX('Master Data'!$A$2:$B$8,MATCH(WEEKDAY('SC Total Power'!A49,3),'Master Data'!$A$2:$A$8,0),2)</f>
        <v>T</v>
      </c>
      <c r="D49" s="124" t="n">
        <v>0</v>
      </c>
      <c r="E49" s="124" t="n">
        <v>22694</v>
      </c>
      <c r="F49" s="124" t="n">
        <v>0</v>
      </c>
      <c r="G49" s="124" t="n">
        <v>0</v>
      </c>
      <c r="I49" s="124" t="n">
        <f aca="false">IF(MONTH($A49)=MONTH($A48),IF(G49=0,I48,G49),G49)</f>
        <v>0</v>
      </c>
      <c r="J49" s="124" t="n">
        <f aca="false">IF(MONTH($A49)=MONTH($A48),SUM(I49-I48),I49)</f>
        <v>0</v>
      </c>
      <c r="K49" s="124" t="n">
        <f aca="false">IF(WEEKDAY(A49,3)&gt;4,0,(IF(A49&lt;K$2,0,IF(A49&lt;=K$3,1,0))))</f>
        <v>0</v>
      </c>
      <c r="L49" s="124" t="n">
        <f aca="false">J49*K49</f>
        <v>0</v>
      </c>
      <c r="M49" s="124" t="n">
        <f aca="false">SUM(J$6:J49)</f>
        <v>0</v>
      </c>
      <c r="N49" s="124" t="n">
        <f aca="false">SUM(J$6:J49)</f>
        <v>0</v>
      </c>
      <c r="P49" s="124" t="n">
        <f aca="false">D49/P$3</f>
        <v>0</v>
      </c>
      <c r="Q49" s="143" t="n">
        <f aca="false">E49/P$3</f>
        <v>0.022694</v>
      </c>
      <c r="R49" s="124" t="n">
        <f aca="false">F49/R$3</f>
        <v>0</v>
      </c>
      <c r="S49" s="126" t="n">
        <f aca="false">J49/$R$3</f>
        <v>0</v>
      </c>
      <c r="T49" s="126" t="n">
        <f aca="false">L49/$R$3</f>
        <v>0</v>
      </c>
      <c r="U49" s="126" t="n">
        <f aca="false">I49/$R$3</f>
        <v>0</v>
      </c>
      <c r="V49" s="126" t="n">
        <f aca="false">M49/$R$3</f>
        <v>0</v>
      </c>
      <c r="W49" s="126" t="n">
        <f aca="false">N49/$R$3</f>
        <v>0</v>
      </c>
    </row>
    <row r="50" customFormat="false" ht="12.75" hidden="true" customHeight="false" outlineLevel="0" collapsed="false">
      <c r="A50" s="120" t="n">
        <f aca="false">A49+1</f>
        <v>36936</v>
      </c>
      <c r="B50" s="131" t="str">
        <f aca="false">INDEX('Master Data'!$A$2:$B$8,MATCH(WEEKDAY('SC Total Power'!A50,3),'Master Data'!$A$2:$A$8,0),2)</f>
        <v>W</v>
      </c>
      <c r="D50" s="124" t="n">
        <v>0</v>
      </c>
      <c r="E50" s="124" t="n">
        <v>225333</v>
      </c>
      <c r="F50" s="124" t="n">
        <v>0</v>
      </c>
      <c r="G50" s="124" t="n">
        <v>0</v>
      </c>
      <c r="I50" s="124" t="n">
        <f aca="false">IF(MONTH($A50)=MONTH($A49),IF(G50=0,I49,G50),G50)</f>
        <v>0</v>
      </c>
      <c r="J50" s="124" t="n">
        <f aca="false">IF(MONTH($A50)=MONTH($A49),SUM(I50-I49),I50)</f>
        <v>0</v>
      </c>
      <c r="K50" s="124" t="n">
        <f aca="false">IF(WEEKDAY(A50,3)&gt;4,0,(IF(A50&lt;K$2,0,IF(A50&lt;=K$3,1,0))))</f>
        <v>0</v>
      </c>
      <c r="L50" s="124" t="n">
        <f aca="false">J50*K50</f>
        <v>0</v>
      </c>
      <c r="M50" s="124" t="n">
        <f aca="false">SUM(J$6:J50)</f>
        <v>0</v>
      </c>
      <c r="N50" s="124" t="n">
        <f aca="false">SUM(J$6:J50)</f>
        <v>0</v>
      </c>
      <c r="P50" s="124" t="n">
        <f aca="false">D50/P$3</f>
        <v>0</v>
      </c>
      <c r="Q50" s="143" t="n">
        <f aca="false">E50/P$3</f>
        <v>0.225333</v>
      </c>
      <c r="R50" s="124" t="n">
        <f aca="false">F50/R$3</f>
        <v>0</v>
      </c>
      <c r="S50" s="126" t="n">
        <f aca="false">J50/$R$3</f>
        <v>0</v>
      </c>
      <c r="T50" s="126" t="n">
        <f aca="false">L50/$R$3</f>
        <v>0</v>
      </c>
      <c r="U50" s="126" t="n">
        <f aca="false">I50/$R$3</f>
        <v>0</v>
      </c>
      <c r="V50" s="126" t="n">
        <f aca="false">M50/$R$3</f>
        <v>0</v>
      </c>
      <c r="W50" s="126" t="n">
        <f aca="false">N50/$R$3</f>
        <v>0</v>
      </c>
    </row>
    <row r="51" customFormat="false" ht="12.75" hidden="true" customHeight="false" outlineLevel="0" collapsed="false">
      <c r="A51" s="120" t="n">
        <f aca="false">A50+1</f>
        <v>36937</v>
      </c>
      <c r="B51" s="131" t="str">
        <f aca="false">INDEX('Master Data'!$A$2:$B$8,MATCH(WEEKDAY('SC Total Power'!A51,3),'Master Data'!$A$2:$A$8,0),2)</f>
        <v>Th</v>
      </c>
      <c r="D51" s="124" t="n">
        <v>0</v>
      </c>
      <c r="E51" s="124" t="n">
        <v>226706</v>
      </c>
      <c r="F51" s="124" t="n">
        <v>0</v>
      </c>
      <c r="G51" s="124" t="n">
        <v>0</v>
      </c>
      <c r="I51" s="124" t="n">
        <f aca="false">IF(MONTH($A51)=MONTH($A50),IF(G51=0,I50,G51),G51)</f>
        <v>0</v>
      </c>
      <c r="J51" s="124" t="n">
        <f aca="false">IF(MONTH($A51)=MONTH($A50),SUM(I51-I50),I51)</f>
        <v>0</v>
      </c>
      <c r="K51" s="124" t="n">
        <f aca="false">IF(WEEKDAY(A51,3)&gt;4,0,(IF(A51&lt;K$2,0,IF(A51&lt;=K$3,1,0))))</f>
        <v>0</v>
      </c>
      <c r="L51" s="124" t="n">
        <f aca="false">J51*K51</f>
        <v>0</v>
      </c>
      <c r="M51" s="124" t="n">
        <f aca="false">SUM(J$6:J51)</f>
        <v>0</v>
      </c>
      <c r="N51" s="124" t="n">
        <f aca="false">SUM(J$6:J51)</f>
        <v>0</v>
      </c>
      <c r="P51" s="124" t="n">
        <f aca="false">D51/P$3</f>
        <v>0</v>
      </c>
      <c r="Q51" s="143" t="n">
        <f aca="false">E51/P$3</f>
        <v>0.226706</v>
      </c>
      <c r="R51" s="124" t="n">
        <f aca="false">F51/R$3</f>
        <v>0</v>
      </c>
      <c r="S51" s="126" t="n">
        <f aca="false">J51/$R$3</f>
        <v>0</v>
      </c>
      <c r="T51" s="126" t="n">
        <f aca="false">L51/$R$3</f>
        <v>0</v>
      </c>
      <c r="U51" s="126" t="n">
        <f aca="false">I51/$R$3</f>
        <v>0</v>
      </c>
      <c r="V51" s="126" t="n">
        <f aca="false">M51/$R$3</f>
        <v>0</v>
      </c>
      <c r="W51" s="126" t="n">
        <f aca="false">N51/$R$3</f>
        <v>0</v>
      </c>
    </row>
    <row r="52" customFormat="false" ht="12.75" hidden="true" customHeight="false" outlineLevel="0" collapsed="false">
      <c r="A52" s="120" t="n">
        <f aca="false">A51+1</f>
        <v>36938</v>
      </c>
      <c r="B52" s="131" t="str">
        <f aca="false">INDEX('Master Data'!$A$2:$B$8,MATCH(WEEKDAY('SC Total Power'!A52,3),'Master Data'!$A$2:$A$8,0),2)</f>
        <v>F</v>
      </c>
      <c r="D52" s="124" t="n">
        <v>0</v>
      </c>
      <c r="E52" s="124" t="n">
        <v>225984</v>
      </c>
      <c r="F52" s="124" t="n">
        <v>0</v>
      </c>
      <c r="G52" s="124" t="n">
        <v>0</v>
      </c>
      <c r="I52" s="124" t="n">
        <f aca="false">IF(MONTH($A52)=MONTH($A51),IF(G52=0,I51,G52),G52)</f>
        <v>0</v>
      </c>
      <c r="J52" s="124" t="n">
        <f aca="false">IF(MONTH($A52)=MONTH($A51),SUM(I52-I51),I52)</f>
        <v>0</v>
      </c>
      <c r="K52" s="124" t="n">
        <f aca="false">IF(WEEKDAY(A52,3)&gt;4,0,(IF(A52&lt;K$2,0,IF(A52&lt;=K$3,1,0))))</f>
        <v>0</v>
      </c>
      <c r="L52" s="124" t="n">
        <f aca="false">J52*K52</f>
        <v>0</v>
      </c>
      <c r="M52" s="124" t="n">
        <f aca="false">SUM(J$6:J52)</f>
        <v>0</v>
      </c>
      <c r="N52" s="124" t="n">
        <f aca="false">SUM(J$6:J52)</f>
        <v>0</v>
      </c>
      <c r="P52" s="124" t="n">
        <f aca="false">D52/P$3</f>
        <v>0</v>
      </c>
      <c r="Q52" s="143" t="n">
        <f aca="false">E52/P$3</f>
        <v>0.225984</v>
      </c>
      <c r="R52" s="124" t="n">
        <f aca="false">F52/R$3</f>
        <v>0</v>
      </c>
      <c r="S52" s="126" t="n">
        <f aca="false">J52/$R$3</f>
        <v>0</v>
      </c>
      <c r="T52" s="126" t="n">
        <f aca="false">L52/$R$3</f>
        <v>0</v>
      </c>
      <c r="U52" s="126" t="n">
        <f aca="false">I52/$R$3</f>
        <v>0</v>
      </c>
      <c r="V52" s="126" t="n">
        <f aca="false">M52/$R$3</f>
        <v>0</v>
      </c>
      <c r="W52" s="126" t="n">
        <f aca="false">N52/$R$3</f>
        <v>0</v>
      </c>
    </row>
    <row r="53" customFormat="false" ht="12.75" hidden="true" customHeight="false" outlineLevel="0" collapsed="false">
      <c r="A53" s="120" t="n">
        <f aca="false">A52+1</f>
        <v>36939</v>
      </c>
      <c r="B53" s="131" t="str">
        <f aca="false">INDEX('Master Data'!$A$2:$B$8,MATCH(WEEKDAY('SC Total Power'!A53,3),'Master Data'!$A$2:$A$8,0),2)</f>
        <v>Sa</v>
      </c>
      <c r="D53" s="124" t="n">
        <v>0</v>
      </c>
      <c r="E53" s="124" t="n">
        <v>0</v>
      </c>
      <c r="F53" s="124" t="n">
        <v>0</v>
      </c>
      <c r="G53" s="124" t="n">
        <v>0</v>
      </c>
      <c r="I53" s="124" t="n">
        <f aca="false">IF(MONTH($A53)=MONTH($A52),IF(G53=0,I52,G53),G53)</f>
        <v>0</v>
      </c>
      <c r="J53" s="124" t="n">
        <f aca="false">IF(MONTH($A53)=MONTH($A52),SUM(I53-I52),I53)</f>
        <v>0</v>
      </c>
      <c r="K53" s="124" t="n">
        <f aca="false">IF(WEEKDAY(A53,3)&gt;4,0,(IF(A53&lt;K$2,0,IF(A53&lt;=K$3,1,0))))</f>
        <v>0</v>
      </c>
      <c r="L53" s="124" t="n">
        <f aca="false">J53*K53</f>
        <v>0</v>
      </c>
      <c r="M53" s="124" t="n">
        <f aca="false">SUM(J$6:J53)</f>
        <v>0</v>
      </c>
      <c r="N53" s="124" t="n">
        <f aca="false">SUM(J$6:J53)</f>
        <v>0</v>
      </c>
      <c r="P53" s="124" t="n">
        <f aca="false">D53/P$3</f>
        <v>0</v>
      </c>
      <c r="Q53" s="143" t="n">
        <f aca="false">E53/P$3</f>
        <v>0</v>
      </c>
      <c r="R53" s="124" t="n">
        <f aca="false">F53/R$3</f>
        <v>0</v>
      </c>
      <c r="S53" s="126" t="n">
        <f aca="false">J53/$R$3</f>
        <v>0</v>
      </c>
      <c r="T53" s="126" t="n">
        <f aca="false">L53/$R$3</f>
        <v>0</v>
      </c>
      <c r="U53" s="126" t="n">
        <f aca="false">I53/$R$3</f>
        <v>0</v>
      </c>
      <c r="V53" s="126" t="n">
        <f aca="false">M53/$R$3</f>
        <v>0</v>
      </c>
      <c r="W53" s="126" t="n">
        <f aca="false">N53/$R$3</f>
        <v>0</v>
      </c>
    </row>
    <row r="54" customFormat="false" ht="12.75" hidden="true" customHeight="false" outlineLevel="0" collapsed="false">
      <c r="A54" s="120" t="n">
        <f aca="false">A53+1</f>
        <v>36940</v>
      </c>
      <c r="B54" s="131" t="str">
        <f aca="false">INDEX('Master Data'!$A$2:$B$8,MATCH(WEEKDAY('SC Total Power'!A54,3),'Master Data'!$A$2:$A$8,0),2)</f>
        <v>Su</v>
      </c>
      <c r="D54" s="124" t="n">
        <v>0</v>
      </c>
      <c r="E54" s="124" t="n">
        <v>0</v>
      </c>
      <c r="F54" s="124" t="n">
        <v>0</v>
      </c>
      <c r="G54" s="124" t="n">
        <v>0</v>
      </c>
      <c r="I54" s="124" t="n">
        <f aca="false">IF(MONTH($A54)=MONTH($A53),IF(G54=0,I53,G54),G54)</f>
        <v>0</v>
      </c>
      <c r="J54" s="124" t="n">
        <f aca="false">IF(MONTH($A54)=MONTH($A53),SUM(I54-I53),I54)</f>
        <v>0</v>
      </c>
      <c r="K54" s="124" t="n">
        <f aca="false">IF(WEEKDAY(A54,3)&gt;4,0,(IF(A54&lt;K$2,0,IF(A54&lt;=K$3,1,0))))</f>
        <v>0</v>
      </c>
      <c r="L54" s="124" t="n">
        <f aca="false">J54*K54</f>
        <v>0</v>
      </c>
      <c r="M54" s="124" t="n">
        <f aca="false">SUM(J$6:J54)</f>
        <v>0</v>
      </c>
      <c r="N54" s="124" t="n">
        <f aca="false">SUM(J$6:J54)</f>
        <v>0</v>
      </c>
      <c r="P54" s="124" t="n">
        <f aca="false">D54/P$3</f>
        <v>0</v>
      </c>
      <c r="Q54" s="143" t="n">
        <f aca="false">E54/P$3</f>
        <v>0</v>
      </c>
      <c r="R54" s="124" t="n">
        <f aca="false">F54/R$3</f>
        <v>0</v>
      </c>
      <c r="S54" s="126" t="n">
        <f aca="false">J54/$R$3</f>
        <v>0</v>
      </c>
      <c r="T54" s="126" t="n">
        <f aca="false">L54/$R$3</f>
        <v>0</v>
      </c>
      <c r="U54" s="126" t="n">
        <f aca="false">I54/$R$3</f>
        <v>0</v>
      </c>
      <c r="V54" s="126" t="n">
        <f aca="false">M54/$R$3</f>
        <v>0</v>
      </c>
      <c r="W54" s="126" t="n">
        <f aca="false">N54/$R$3</f>
        <v>0</v>
      </c>
    </row>
    <row r="55" customFormat="false" ht="12.75" hidden="true" customHeight="false" outlineLevel="0" collapsed="false">
      <c r="A55" s="120" t="n">
        <f aca="false">A54+1</f>
        <v>36941</v>
      </c>
      <c r="B55" s="131" t="str">
        <f aca="false">INDEX('Master Data'!$A$2:$B$8,MATCH(WEEKDAY('SC Total Power'!A55,3),'Master Data'!$A$2:$A$8,0),2)</f>
        <v>M</v>
      </c>
      <c r="D55" s="124" t="n">
        <v>0</v>
      </c>
      <c r="E55" s="124" t="n">
        <v>0</v>
      </c>
      <c r="F55" s="124" t="n">
        <v>0</v>
      </c>
      <c r="G55" s="124" t="n">
        <v>0</v>
      </c>
      <c r="I55" s="124" t="n">
        <f aca="false">IF(MONTH($A55)=MONTH($A54),IF(G55=0,I54,G55),G55)</f>
        <v>0</v>
      </c>
      <c r="J55" s="124" t="n">
        <f aca="false">IF(MONTH($A55)=MONTH($A54),SUM(I55-I54),I55)</f>
        <v>0</v>
      </c>
      <c r="K55" s="124" t="n">
        <f aca="false">IF(WEEKDAY(A55,3)&gt;4,0,(IF(A55&lt;K$2,0,IF(A55&lt;=K$3,1,0))))</f>
        <v>0</v>
      </c>
      <c r="L55" s="124" t="n">
        <f aca="false">J55*K55</f>
        <v>0</v>
      </c>
      <c r="M55" s="124" t="n">
        <f aca="false">SUM(J$6:J55)</f>
        <v>0</v>
      </c>
      <c r="N55" s="124" t="n">
        <f aca="false">SUM(J$6:J55)</f>
        <v>0</v>
      </c>
      <c r="P55" s="124" t="n">
        <f aca="false">D55/P$3</f>
        <v>0</v>
      </c>
      <c r="Q55" s="143" t="n">
        <f aca="false">E55/P$3</f>
        <v>0</v>
      </c>
      <c r="R55" s="124" t="n">
        <f aca="false">F55/R$3</f>
        <v>0</v>
      </c>
      <c r="S55" s="126" t="n">
        <f aca="false">J55/$R$3</f>
        <v>0</v>
      </c>
      <c r="T55" s="126" t="n">
        <f aca="false">L55/$R$3</f>
        <v>0</v>
      </c>
      <c r="U55" s="126" t="n">
        <f aca="false">I55/$R$3</f>
        <v>0</v>
      </c>
      <c r="V55" s="126" t="n">
        <f aca="false">M55/$R$3</f>
        <v>0</v>
      </c>
      <c r="W55" s="126" t="n">
        <f aca="false">N55/$R$3</f>
        <v>0</v>
      </c>
    </row>
    <row r="56" customFormat="false" ht="12.75" hidden="true" customHeight="false" outlineLevel="0" collapsed="false">
      <c r="A56" s="120" t="n">
        <f aca="false">A55+1</f>
        <v>36942</v>
      </c>
      <c r="B56" s="131" t="str">
        <f aca="false">INDEX('Master Data'!$A$2:$B$8,MATCH(WEEKDAY('SC Total Power'!A56,3),'Master Data'!$A$2:$A$8,0),2)</f>
        <v>T</v>
      </c>
      <c r="D56" s="124" t="n">
        <v>0</v>
      </c>
      <c r="E56" s="124" t="n">
        <v>223277</v>
      </c>
      <c r="F56" s="124" t="n">
        <v>0</v>
      </c>
      <c r="G56" s="124" t="n">
        <v>0</v>
      </c>
      <c r="I56" s="124" t="n">
        <f aca="false">IF(MONTH($A56)=MONTH($A55),IF(G56=0,I55,G56),G56)</f>
        <v>0</v>
      </c>
      <c r="J56" s="124" t="n">
        <f aca="false">IF(MONTH($A56)=MONTH($A55),SUM(I56-I55),I56)</f>
        <v>0</v>
      </c>
      <c r="K56" s="124" t="n">
        <f aca="false">IF(WEEKDAY(A56,3)&gt;4,0,(IF(A56&lt;K$2,0,IF(A56&lt;=K$3,1,0))))</f>
        <v>0</v>
      </c>
      <c r="L56" s="124" t="n">
        <f aca="false">J56*K56</f>
        <v>0</v>
      </c>
      <c r="M56" s="124" t="n">
        <f aca="false">SUM(J$6:J56)</f>
        <v>0</v>
      </c>
      <c r="N56" s="124" t="n">
        <f aca="false">SUM(J$6:J56)</f>
        <v>0</v>
      </c>
      <c r="P56" s="124" t="n">
        <f aca="false">D56/P$3</f>
        <v>0</v>
      </c>
      <c r="Q56" s="143" t="n">
        <f aca="false">E56/P$3</f>
        <v>0.223277</v>
      </c>
      <c r="R56" s="124" t="n">
        <f aca="false">F56/R$3</f>
        <v>0</v>
      </c>
      <c r="S56" s="126" t="n">
        <f aca="false">J56/$R$3</f>
        <v>0</v>
      </c>
      <c r="T56" s="126" t="n">
        <f aca="false">L56/$R$3</f>
        <v>0</v>
      </c>
      <c r="U56" s="126" t="n">
        <f aca="false">I56/$R$3</f>
        <v>0</v>
      </c>
      <c r="V56" s="126" t="n">
        <f aca="false">M56/$R$3</f>
        <v>0</v>
      </c>
      <c r="W56" s="126" t="n">
        <f aca="false">N56/$R$3</f>
        <v>0</v>
      </c>
    </row>
    <row r="57" customFormat="false" ht="12.75" hidden="true" customHeight="false" outlineLevel="0" collapsed="false">
      <c r="A57" s="120" t="n">
        <f aca="false">A56+1</f>
        <v>36943</v>
      </c>
      <c r="B57" s="131" t="str">
        <f aca="false">INDEX('Master Data'!$A$2:$B$8,MATCH(WEEKDAY('SC Total Power'!A57,3),'Master Data'!$A$2:$A$8,0),2)</f>
        <v>W</v>
      </c>
      <c r="D57" s="124" t="n">
        <v>0</v>
      </c>
      <c r="E57" s="124" t="n">
        <v>222553</v>
      </c>
      <c r="F57" s="124" t="n">
        <v>0</v>
      </c>
      <c r="G57" s="124" t="n">
        <v>0</v>
      </c>
      <c r="I57" s="124" t="n">
        <f aca="false">IF(MONTH($A57)=MONTH($A56),IF(G57=0,I56,G57),G57)</f>
        <v>0</v>
      </c>
      <c r="J57" s="124" t="n">
        <f aca="false">IF(MONTH($A57)=MONTH($A56),SUM(I57-I56),I57)</f>
        <v>0</v>
      </c>
      <c r="K57" s="124" t="n">
        <f aca="false">IF(WEEKDAY(A57,3)&gt;4,0,(IF(A57&lt;K$2,0,IF(A57&lt;=K$3,1,0))))</f>
        <v>0</v>
      </c>
      <c r="L57" s="124" t="n">
        <f aca="false">J57*K57</f>
        <v>0</v>
      </c>
      <c r="M57" s="124" t="n">
        <f aca="false">SUM(J$6:J57)</f>
        <v>0</v>
      </c>
      <c r="N57" s="124" t="n">
        <f aca="false">SUM(J$6:J57)</f>
        <v>0</v>
      </c>
      <c r="P57" s="124" t="n">
        <f aca="false">D57/P$3</f>
        <v>0</v>
      </c>
      <c r="Q57" s="143" t="n">
        <f aca="false">E57/P$3</f>
        <v>0.222553</v>
      </c>
      <c r="R57" s="124" t="n">
        <f aca="false">F57/R$3</f>
        <v>0</v>
      </c>
      <c r="S57" s="126" t="n">
        <f aca="false">J57/$R$3</f>
        <v>0</v>
      </c>
      <c r="T57" s="126" t="n">
        <f aca="false">L57/$R$3</f>
        <v>0</v>
      </c>
      <c r="U57" s="126" t="n">
        <f aca="false">I57/$R$3</f>
        <v>0</v>
      </c>
      <c r="V57" s="126" t="n">
        <f aca="false">M57/$R$3</f>
        <v>0</v>
      </c>
      <c r="W57" s="126" t="n">
        <f aca="false">N57/$R$3</f>
        <v>0</v>
      </c>
    </row>
    <row r="58" customFormat="false" ht="12.75" hidden="true" customHeight="false" outlineLevel="0" collapsed="false">
      <c r="A58" s="120" t="n">
        <f aca="false">A57+1</f>
        <v>36944</v>
      </c>
      <c r="B58" s="131" t="str">
        <f aca="false">INDEX('Master Data'!$A$2:$B$8,MATCH(WEEKDAY('SC Total Power'!A58,3),'Master Data'!$A$2:$A$8,0),2)</f>
        <v>Th</v>
      </c>
      <c r="D58" s="124" t="n">
        <v>0</v>
      </c>
      <c r="E58" s="124" t="n">
        <v>221878</v>
      </c>
      <c r="F58" s="124" t="n">
        <v>0</v>
      </c>
      <c r="G58" s="124" t="n">
        <v>0</v>
      </c>
      <c r="I58" s="124" t="n">
        <f aca="false">IF(MONTH($A58)=MONTH($A57),IF(G58=0,I57,G58),G58)</f>
        <v>0</v>
      </c>
      <c r="J58" s="124" t="n">
        <f aca="false">IF(MONTH($A58)=MONTH($A57),SUM(I58-I57),I58)</f>
        <v>0</v>
      </c>
      <c r="K58" s="124" t="n">
        <f aca="false">IF(WEEKDAY(A58,3)&gt;4,0,(IF(A58&lt;K$2,0,IF(A58&lt;=K$3,1,0))))</f>
        <v>0</v>
      </c>
      <c r="L58" s="124" t="n">
        <f aca="false">J58*K58</f>
        <v>0</v>
      </c>
      <c r="M58" s="124" t="n">
        <f aca="false">SUM(J$6:J58)</f>
        <v>0</v>
      </c>
      <c r="N58" s="124" t="n">
        <f aca="false">SUM(J$6:J58)</f>
        <v>0</v>
      </c>
      <c r="P58" s="124" t="n">
        <f aca="false">D58/P$3</f>
        <v>0</v>
      </c>
      <c r="Q58" s="143" t="n">
        <f aca="false">E58/P$3</f>
        <v>0.221878</v>
      </c>
      <c r="R58" s="124" t="n">
        <f aca="false">F58/R$3</f>
        <v>0</v>
      </c>
      <c r="S58" s="126" t="n">
        <f aca="false">J58/$R$3</f>
        <v>0</v>
      </c>
      <c r="T58" s="126" t="n">
        <f aca="false">L58/$R$3</f>
        <v>0</v>
      </c>
      <c r="U58" s="126" t="n">
        <f aca="false">I58/$R$3</f>
        <v>0</v>
      </c>
      <c r="V58" s="126" t="n">
        <f aca="false">M58/$R$3</f>
        <v>0</v>
      </c>
      <c r="W58" s="126" t="n">
        <f aca="false">N58/$R$3</f>
        <v>0</v>
      </c>
    </row>
    <row r="59" customFormat="false" ht="12.75" hidden="true" customHeight="false" outlineLevel="0" collapsed="false">
      <c r="A59" s="120" t="n">
        <f aca="false">A58+1</f>
        <v>36945</v>
      </c>
      <c r="B59" s="131" t="str">
        <f aca="false">INDEX('Master Data'!$A$2:$B$8,MATCH(WEEKDAY('SC Total Power'!A59,3),'Master Data'!$A$2:$A$8,0),2)</f>
        <v>F</v>
      </c>
      <c r="D59" s="124" t="n">
        <v>0</v>
      </c>
      <c r="E59" s="124" t="n">
        <v>221195</v>
      </c>
      <c r="F59" s="124" t="n">
        <v>0</v>
      </c>
      <c r="G59" s="124" t="n">
        <v>0</v>
      </c>
      <c r="I59" s="124" t="n">
        <f aca="false">IF(MONTH($A59)=MONTH($A58),IF(G59=0,I58,G59),G59)</f>
        <v>0</v>
      </c>
      <c r="J59" s="124" t="n">
        <f aca="false">IF(MONTH($A59)=MONTH($A58),SUM(I59-I58),I59)</f>
        <v>0</v>
      </c>
      <c r="K59" s="124" t="n">
        <f aca="false">IF(WEEKDAY(A59,3)&gt;4,0,(IF(A59&lt;K$2,0,IF(A59&lt;=K$3,1,0))))</f>
        <v>0</v>
      </c>
      <c r="L59" s="124" t="n">
        <f aca="false">J59*K59</f>
        <v>0</v>
      </c>
      <c r="M59" s="124" t="n">
        <f aca="false">SUM(J$6:J59)</f>
        <v>0</v>
      </c>
      <c r="N59" s="124" t="n">
        <f aca="false">SUM(J$6:J59)</f>
        <v>0</v>
      </c>
      <c r="P59" s="124" t="n">
        <f aca="false">D59/P$3</f>
        <v>0</v>
      </c>
      <c r="Q59" s="143" t="n">
        <f aca="false">E59/P$3</f>
        <v>0.221195</v>
      </c>
      <c r="R59" s="124" t="n">
        <f aca="false">F59/R$3</f>
        <v>0</v>
      </c>
      <c r="S59" s="126" t="n">
        <f aca="false">J59/$R$3</f>
        <v>0</v>
      </c>
      <c r="T59" s="126" t="n">
        <f aca="false">L59/$R$3</f>
        <v>0</v>
      </c>
      <c r="U59" s="126" t="n">
        <f aca="false">I59/$R$3</f>
        <v>0</v>
      </c>
      <c r="V59" s="126" t="n">
        <f aca="false">M59/$R$3</f>
        <v>0</v>
      </c>
      <c r="W59" s="126" t="n">
        <f aca="false">N59/$R$3</f>
        <v>0</v>
      </c>
    </row>
    <row r="60" customFormat="false" ht="12.75" hidden="true" customHeight="false" outlineLevel="0" collapsed="false">
      <c r="A60" s="120" t="n">
        <f aca="false">A59+1</f>
        <v>36946</v>
      </c>
      <c r="B60" s="131" t="str">
        <f aca="false">INDEX('Master Data'!$A$2:$B$8,MATCH(WEEKDAY('SC Total Power'!A60,3),'Master Data'!$A$2:$A$8,0),2)</f>
        <v>Sa</v>
      </c>
      <c r="D60" s="124" t="n">
        <v>0</v>
      </c>
      <c r="E60" s="124" t="n">
        <v>0</v>
      </c>
      <c r="F60" s="124" t="n">
        <v>0</v>
      </c>
      <c r="G60" s="124" t="n">
        <v>0</v>
      </c>
      <c r="I60" s="124" t="n">
        <f aca="false">IF(MONTH($A60)=MONTH($A59),IF(G60=0,I59,G60),G60)</f>
        <v>0</v>
      </c>
      <c r="J60" s="124" t="n">
        <f aca="false">IF(MONTH($A60)=MONTH($A59),SUM(I60-I59),I60)</f>
        <v>0</v>
      </c>
      <c r="K60" s="124" t="n">
        <f aca="false">IF(WEEKDAY(A60,3)&gt;4,0,(IF(A60&lt;K$2,0,IF(A60&lt;=K$3,1,0))))</f>
        <v>0</v>
      </c>
      <c r="L60" s="124" t="n">
        <f aca="false">J60*K60</f>
        <v>0</v>
      </c>
      <c r="M60" s="124" t="n">
        <f aca="false">SUM(J$6:J60)</f>
        <v>0</v>
      </c>
      <c r="N60" s="124" t="n">
        <f aca="false">SUM(J$6:J60)</f>
        <v>0</v>
      </c>
      <c r="P60" s="124" t="n">
        <f aca="false">D60/P$3</f>
        <v>0</v>
      </c>
      <c r="Q60" s="143" t="n">
        <f aca="false">E60/P$3</f>
        <v>0</v>
      </c>
      <c r="R60" s="124" t="n">
        <f aca="false">F60/R$3</f>
        <v>0</v>
      </c>
      <c r="S60" s="126" t="n">
        <f aca="false">J60/$R$3</f>
        <v>0</v>
      </c>
      <c r="T60" s="126" t="n">
        <f aca="false">L60/$R$3</f>
        <v>0</v>
      </c>
      <c r="U60" s="126" t="n">
        <f aca="false">I60/$R$3</f>
        <v>0</v>
      </c>
      <c r="V60" s="126" t="n">
        <f aca="false">M60/$R$3</f>
        <v>0</v>
      </c>
      <c r="W60" s="126" t="n">
        <f aca="false">N60/$R$3</f>
        <v>0</v>
      </c>
    </row>
    <row r="61" customFormat="false" ht="12.75" hidden="true" customHeight="false" outlineLevel="0" collapsed="false">
      <c r="A61" s="120" t="n">
        <f aca="false">A60+1</f>
        <v>36947</v>
      </c>
      <c r="B61" s="131" t="str">
        <f aca="false">INDEX('Master Data'!$A$2:$B$8,MATCH(WEEKDAY('SC Total Power'!A61,3),'Master Data'!$A$2:$A$8,0),2)</f>
        <v>Su</v>
      </c>
      <c r="D61" s="124" t="n">
        <v>0</v>
      </c>
      <c r="E61" s="124" t="n">
        <v>0</v>
      </c>
      <c r="F61" s="124" t="n">
        <v>0</v>
      </c>
      <c r="G61" s="124" t="n">
        <v>0</v>
      </c>
      <c r="I61" s="124" t="n">
        <f aca="false">IF(MONTH($A61)=MONTH($A60),IF(G61=0,I60,G61),G61)</f>
        <v>0</v>
      </c>
      <c r="J61" s="124" t="n">
        <f aca="false">IF(MONTH($A61)=MONTH($A60),SUM(I61-I60),I61)</f>
        <v>0</v>
      </c>
      <c r="K61" s="124" t="n">
        <f aca="false">IF(WEEKDAY(A61,3)&gt;4,0,(IF(A61&lt;K$2,0,IF(A61&lt;=K$3,1,0))))</f>
        <v>0</v>
      </c>
      <c r="L61" s="124" t="n">
        <f aca="false">J61*K61</f>
        <v>0</v>
      </c>
      <c r="M61" s="124" t="n">
        <f aca="false">SUM(J$6:J61)</f>
        <v>0</v>
      </c>
      <c r="N61" s="124" t="n">
        <f aca="false">SUM(J$6:J61)</f>
        <v>0</v>
      </c>
      <c r="P61" s="124" t="n">
        <f aca="false">D61/P$3</f>
        <v>0</v>
      </c>
      <c r="Q61" s="143" t="n">
        <f aca="false">E61/P$3</f>
        <v>0</v>
      </c>
      <c r="R61" s="124" t="n">
        <f aca="false">F61/R$3</f>
        <v>0</v>
      </c>
      <c r="S61" s="126" t="n">
        <f aca="false">J61/$R$3</f>
        <v>0</v>
      </c>
      <c r="T61" s="126" t="n">
        <f aca="false">L61/$R$3</f>
        <v>0</v>
      </c>
      <c r="U61" s="126" t="n">
        <f aca="false">I61/$R$3</f>
        <v>0</v>
      </c>
      <c r="V61" s="126" t="n">
        <f aca="false">M61/$R$3</f>
        <v>0</v>
      </c>
      <c r="W61" s="126" t="n">
        <f aca="false">N61/$R$3</f>
        <v>0</v>
      </c>
    </row>
    <row r="62" customFormat="false" ht="12.75" hidden="true" customHeight="false" outlineLevel="0" collapsed="false">
      <c r="A62" s="120" t="n">
        <f aca="false">A61+1</f>
        <v>36948</v>
      </c>
      <c r="B62" s="131" t="str">
        <f aca="false">INDEX('Master Data'!$A$2:$B$8,MATCH(WEEKDAY('SC Total Power'!A62,3),'Master Data'!$A$2:$A$8,0),2)</f>
        <v>M</v>
      </c>
      <c r="D62" s="124" t="n">
        <v>0</v>
      </c>
      <c r="E62" s="124" t="n">
        <v>219264</v>
      </c>
      <c r="F62" s="124" t="n">
        <v>0</v>
      </c>
      <c r="G62" s="124" t="n">
        <v>0</v>
      </c>
      <c r="I62" s="124" t="n">
        <f aca="false">IF(MONTH($A62)=MONTH($A61),IF(G62=0,I61,G62),G62)</f>
        <v>0</v>
      </c>
      <c r="J62" s="124" t="n">
        <f aca="false">IF(MONTH($A62)=MONTH($A61),SUM(I62-I61),I62)</f>
        <v>0</v>
      </c>
      <c r="K62" s="124" t="n">
        <f aca="false">IF(WEEKDAY(A62,3)&gt;4,0,(IF(A62&lt;K$2,0,IF(A62&lt;=K$3,1,0))))</f>
        <v>0</v>
      </c>
      <c r="L62" s="124" t="n">
        <f aca="false">J62*K62</f>
        <v>0</v>
      </c>
      <c r="M62" s="124" t="n">
        <f aca="false">SUM(J$6:J62)</f>
        <v>0</v>
      </c>
      <c r="N62" s="124" t="n">
        <f aca="false">SUM(J$6:J62)</f>
        <v>0</v>
      </c>
      <c r="P62" s="124" t="n">
        <f aca="false">D62/P$3</f>
        <v>0</v>
      </c>
      <c r="Q62" s="143" t="n">
        <f aca="false">E62/P$3</f>
        <v>0.219264</v>
      </c>
      <c r="R62" s="124" t="n">
        <f aca="false">F62/R$3</f>
        <v>0</v>
      </c>
      <c r="S62" s="126" t="n">
        <f aca="false">J62/$R$3</f>
        <v>0</v>
      </c>
      <c r="T62" s="126" t="n">
        <f aca="false">L62/$R$3</f>
        <v>0</v>
      </c>
      <c r="U62" s="126" t="n">
        <f aca="false">I62/$R$3</f>
        <v>0</v>
      </c>
      <c r="V62" s="126" t="n">
        <f aca="false">M62/$R$3</f>
        <v>0</v>
      </c>
      <c r="W62" s="126" t="n">
        <f aca="false">N62/$R$3</f>
        <v>0</v>
      </c>
    </row>
    <row r="63" customFormat="false" ht="12.75" hidden="true" customHeight="false" outlineLevel="0" collapsed="false">
      <c r="A63" s="120" t="n">
        <f aca="false">A62+1</f>
        <v>36949</v>
      </c>
      <c r="B63" s="131" t="str">
        <f aca="false">INDEX('Master Data'!$A$2:$B$8,MATCH(WEEKDAY('SC Total Power'!A63,3),'Master Data'!$A$2:$A$8,0),2)</f>
        <v>T</v>
      </c>
      <c r="D63" s="124" t="n">
        <v>0</v>
      </c>
      <c r="E63" s="124" t="n">
        <v>218621</v>
      </c>
      <c r="F63" s="124" t="n">
        <v>0</v>
      </c>
      <c r="G63" s="124" t="n">
        <v>0</v>
      </c>
      <c r="I63" s="124" t="n">
        <f aca="false">IF(MONTH($A63)=MONTH($A62),IF(G63=0,I62,G63),G63)</f>
        <v>0</v>
      </c>
      <c r="J63" s="124" t="n">
        <f aca="false">IF(MONTH($A63)=MONTH($A62),SUM(I63-I62),I63)</f>
        <v>0</v>
      </c>
      <c r="K63" s="124" t="n">
        <f aca="false">IF(WEEKDAY(A63,3)&gt;4,0,(IF(A63&lt;K$2,0,IF(A63&lt;=K$3,1,0))))</f>
        <v>0</v>
      </c>
      <c r="L63" s="124" t="n">
        <f aca="false">J63*K63</f>
        <v>0</v>
      </c>
      <c r="M63" s="124" t="n">
        <f aca="false">SUM(J$6:J63)</f>
        <v>0</v>
      </c>
      <c r="N63" s="124" t="n">
        <f aca="false">SUM(J$6:J63)</f>
        <v>0</v>
      </c>
      <c r="P63" s="124" t="n">
        <f aca="false">D63/P$3</f>
        <v>0</v>
      </c>
      <c r="Q63" s="143" t="n">
        <f aca="false">E63/P$3</f>
        <v>0.218621</v>
      </c>
      <c r="R63" s="124" t="n">
        <f aca="false">F63/R$3</f>
        <v>0</v>
      </c>
      <c r="S63" s="126" t="n">
        <f aca="false">J63/$R$3</f>
        <v>0</v>
      </c>
      <c r="T63" s="126" t="n">
        <f aca="false">L63/$R$3</f>
        <v>0</v>
      </c>
      <c r="U63" s="126" t="n">
        <f aca="false">I63/$R$3</f>
        <v>0</v>
      </c>
      <c r="V63" s="126" t="n">
        <f aca="false">M63/$R$3</f>
        <v>0</v>
      </c>
      <c r="W63" s="126" t="n">
        <f aca="false">N63/$R$3</f>
        <v>0</v>
      </c>
    </row>
    <row r="64" customFormat="false" ht="12.75" hidden="false" customHeight="false" outlineLevel="0" collapsed="false">
      <c r="A64" s="120" t="n">
        <f aca="false">A63+1</f>
        <v>36950</v>
      </c>
      <c r="B64" s="131" t="str">
        <f aca="false">INDEX('Master Data'!$A$2:$B$8,MATCH(WEEKDAY('SC Total Power'!A64,3),'Master Data'!$A$2:$A$8,0),2)</f>
        <v>W</v>
      </c>
      <c r="D64" s="124" t="n">
        <v>0</v>
      </c>
      <c r="E64" s="124" t="n">
        <v>217918</v>
      </c>
      <c r="F64" s="124" t="n">
        <v>0</v>
      </c>
      <c r="G64" s="124" t="n">
        <v>0</v>
      </c>
      <c r="I64" s="124" t="n">
        <f aca="false">IF(MONTH($A64)=MONTH($A63),IF(G64=0,I63,G64),G64)</f>
        <v>0</v>
      </c>
      <c r="J64" s="124" t="n">
        <f aca="false">IF(MONTH($A64)=MONTH($A63),SUM(I64-I63),I64)</f>
        <v>0</v>
      </c>
      <c r="K64" s="124" t="n">
        <f aca="false">IF(WEEKDAY(A64,3)&gt;4,0,(IF(A64&lt;K$2,0,IF(A64&lt;=K$3,1,0))))</f>
        <v>0</v>
      </c>
      <c r="L64" s="124" t="n">
        <f aca="false">J64*K64</f>
        <v>0</v>
      </c>
      <c r="M64" s="124" t="n">
        <f aca="false">SUM(J$6:J64)</f>
        <v>0</v>
      </c>
      <c r="N64" s="124" t="n">
        <f aca="false">SUM(J$6:J64)</f>
        <v>0</v>
      </c>
      <c r="P64" s="124" t="n">
        <f aca="false">D64/P$3</f>
        <v>0</v>
      </c>
      <c r="Q64" s="143" t="n">
        <f aca="false">E64/P$3</f>
        <v>0.217918</v>
      </c>
      <c r="R64" s="124" t="n">
        <f aca="false">F64/R$3</f>
        <v>0</v>
      </c>
      <c r="S64" s="126" t="n">
        <f aca="false">J64/$R$3</f>
        <v>0</v>
      </c>
      <c r="T64" s="126" t="n">
        <f aca="false">L64/$R$3</f>
        <v>0</v>
      </c>
      <c r="U64" s="126" t="n">
        <f aca="false">I64/$R$3</f>
        <v>0</v>
      </c>
      <c r="V64" s="126" t="n">
        <f aca="false">M64/$R$3</f>
        <v>0</v>
      </c>
      <c r="W64" s="126" t="n">
        <f aca="false">N64/$R$3</f>
        <v>0</v>
      </c>
    </row>
    <row r="65" customFormat="false" ht="12.75" hidden="true" customHeight="false" outlineLevel="0" collapsed="false">
      <c r="A65" s="120" t="n">
        <f aca="false">A64+1</f>
        <v>36951</v>
      </c>
      <c r="B65" s="131" t="str">
        <f aca="false">INDEX('Master Data'!$A$2:$B$8,MATCH(WEEKDAY('SC Total Power'!A65,3),'Master Data'!$A$2:$A$8,0),2)</f>
        <v>Th</v>
      </c>
      <c r="D65" s="124" t="n">
        <v>0</v>
      </c>
      <c r="E65" s="124" t="n">
        <v>217195</v>
      </c>
      <c r="F65" s="124" t="n">
        <v>0</v>
      </c>
      <c r="G65" s="124" t="n">
        <v>0</v>
      </c>
      <c r="I65" s="124" t="n">
        <f aca="false">IF(MONTH($A65)=MONTH($A64),IF(G65=0,I64,G65),G65)</f>
        <v>0</v>
      </c>
      <c r="J65" s="124" t="n">
        <f aca="false">IF(MONTH($A65)=MONTH($A64),SUM(I65-I64),I65)</f>
        <v>0</v>
      </c>
      <c r="K65" s="124" t="n">
        <f aca="false">IF(WEEKDAY(A65,3)&gt;4,0,(IF(A65&lt;K$2,0,IF(A65&lt;=K$3,1,0))))</f>
        <v>0</v>
      </c>
      <c r="L65" s="124" t="n">
        <f aca="false">J65*K65</f>
        <v>0</v>
      </c>
      <c r="M65" s="124" t="n">
        <f aca="false">SUM(J$6:J65)</f>
        <v>0</v>
      </c>
      <c r="N65" s="124" t="n">
        <f aca="false">SUM(J$6:J65)</f>
        <v>0</v>
      </c>
      <c r="P65" s="124" t="n">
        <f aca="false">D65/P$3</f>
        <v>0</v>
      </c>
      <c r="Q65" s="143" t="n">
        <f aca="false">E65/P$3</f>
        <v>0.217195</v>
      </c>
      <c r="R65" s="124" t="n">
        <f aca="false">F65/R$3</f>
        <v>0</v>
      </c>
      <c r="S65" s="126" t="n">
        <f aca="false">J65/$R$3</f>
        <v>0</v>
      </c>
      <c r="T65" s="126" t="n">
        <f aca="false">L65/$R$3</f>
        <v>0</v>
      </c>
      <c r="U65" s="126" t="n">
        <f aca="false">I65/$R$3</f>
        <v>0</v>
      </c>
      <c r="V65" s="126" t="n">
        <f aca="false">M65/$R$3</f>
        <v>0</v>
      </c>
      <c r="W65" s="126" t="n">
        <f aca="false">N65/$R$3</f>
        <v>0</v>
      </c>
    </row>
    <row r="66" customFormat="false" ht="12.75" hidden="true" customHeight="false" outlineLevel="0" collapsed="false">
      <c r="A66" s="120" t="n">
        <f aca="false">A65+1</f>
        <v>36952</v>
      </c>
      <c r="B66" s="131" t="str">
        <f aca="false">INDEX('Master Data'!$A$2:$B$8,MATCH(WEEKDAY('SC Total Power'!A66,3),'Master Data'!$A$2:$A$8,0),2)</f>
        <v>F</v>
      </c>
      <c r="D66" s="124" t="n">
        <v>0</v>
      </c>
      <c r="E66" s="124" t="n">
        <v>216455</v>
      </c>
      <c r="F66" s="124" t="n">
        <v>0</v>
      </c>
      <c r="G66" s="124" t="n">
        <v>0</v>
      </c>
      <c r="I66" s="124" t="n">
        <f aca="false">IF(MONTH($A66)=MONTH($A65),IF(G66=0,I65,G66),G66)</f>
        <v>0</v>
      </c>
      <c r="J66" s="124" t="n">
        <f aca="false">IF(MONTH($A66)=MONTH($A65),SUM(I66-I65),I66)</f>
        <v>0</v>
      </c>
      <c r="K66" s="124" t="n">
        <f aca="false">IF(WEEKDAY(A66,3)&gt;4,0,(IF(A66&lt;K$2,0,IF(A66&lt;=K$3,1,0))))</f>
        <v>0</v>
      </c>
      <c r="L66" s="124" t="n">
        <f aca="false">J66*K66</f>
        <v>0</v>
      </c>
      <c r="M66" s="124" t="n">
        <f aca="false">SUM(J$6:J66)</f>
        <v>0</v>
      </c>
      <c r="N66" s="124" t="n">
        <f aca="false">SUM(J$6:J66)</f>
        <v>0</v>
      </c>
      <c r="P66" s="124" t="n">
        <f aca="false">D66/P$3</f>
        <v>0</v>
      </c>
      <c r="Q66" s="143" t="n">
        <f aca="false">E66/P$3</f>
        <v>0.216455</v>
      </c>
      <c r="R66" s="124" t="n">
        <f aca="false">F66/R$3</f>
        <v>0</v>
      </c>
      <c r="S66" s="126" t="n">
        <f aca="false">J66/$R$3</f>
        <v>0</v>
      </c>
      <c r="T66" s="126" t="n">
        <f aca="false">L66/$R$3</f>
        <v>0</v>
      </c>
      <c r="U66" s="126" t="n">
        <f aca="false">I66/$R$3</f>
        <v>0</v>
      </c>
      <c r="V66" s="126" t="n">
        <f aca="false">M66/$R$3</f>
        <v>0</v>
      </c>
      <c r="W66" s="126" t="n">
        <f aca="false">N66/$R$3</f>
        <v>0</v>
      </c>
    </row>
    <row r="67" customFormat="false" ht="12.75" hidden="true" customHeight="false" outlineLevel="0" collapsed="false">
      <c r="A67" s="120" t="n">
        <f aca="false">A66+1</f>
        <v>36953</v>
      </c>
      <c r="B67" s="131" t="str">
        <f aca="false">INDEX('Master Data'!$A$2:$B$8,MATCH(WEEKDAY('SC Total Power'!A67,3),'Master Data'!$A$2:$A$8,0),2)</f>
        <v>Sa</v>
      </c>
      <c r="D67" s="124" t="n">
        <v>0</v>
      </c>
      <c r="E67" s="124" t="n">
        <v>0</v>
      </c>
      <c r="F67" s="124" t="n">
        <v>0</v>
      </c>
      <c r="G67" s="124" t="n">
        <v>0</v>
      </c>
      <c r="I67" s="124" t="n">
        <f aca="false">IF(MONTH($A67)=MONTH($A66),IF(G67=0,I66,G67),G67)</f>
        <v>0</v>
      </c>
      <c r="J67" s="124" t="n">
        <f aca="false">IF(MONTH($A67)=MONTH($A66),SUM(I67-I66),I67)</f>
        <v>0</v>
      </c>
      <c r="K67" s="124" t="n">
        <f aca="false">IF(WEEKDAY(A67,3)&gt;4,0,(IF(A67&lt;K$2,0,IF(A67&lt;=K$3,1,0))))</f>
        <v>0</v>
      </c>
      <c r="L67" s="124" t="n">
        <f aca="false">J67*K67</f>
        <v>0</v>
      </c>
      <c r="M67" s="124" t="n">
        <f aca="false">SUM(J$6:J67)</f>
        <v>0</v>
      </c>
      <c r="N67" s="124" t="n">
        <f aca="false">SUM(J$6:J67)</f>
        <v>0</v>
      </c>
      <c r="P67" s="124" t="n">
        <f aca="false">D67/P$3</f>
        <v>0</v>
      </c>
      <c r="Q67" s="143" t="n">
        <f aca="false">E67/P$3</f>
        <v>0</v>
      </c>
      <c r="R67" s="124" t="n">
        <f aca="false">F67/R$3</f>
        <v>0</v>
      </c>
      <c r="S67" s="126" t="n">
        <f aca="false">J67/$R$3</f>
        <v>0</v>
      </c>
      <c r="T67" s="126" t="n">
        <f aca="false">L67/$R$3</f>
        <v>0</v>
      </c>
      <c r="U67" s="126" t="n">
        <f aca="false">I67/$R$3</f>
        <v>0</v>
      </c>
      <c r="V67" s="126" t="n">
        <f aca="false">M67/$R$3</f>
        <v>0</v>
      </c>
      <c r="W67" s="126" t="n">
        <f aca="false">N67/$R$3</f>
        <v>0</v>
      </c>
    </row>
    <row r="68" customFormat="false" ht="12.75" hidden="true" customHeight="false" outlineLevel="0" collapsed="false">
      <c r="A68" s="120" t="n">
        <f aca="false">A67+1</f>
        <v>36954</v>
      </c>
      <c r="B68" s="131" t="str">
        <f aca="false">INDEX('Master Data'!$A$2:$B$8,MATCH(WEEKDAY('SC Total Power'!A68,3),'Master Data'!$A$2:$A$8,0),2)</f>
        <v>Su</v>
      </c>
      <c r="D68" s="124" t="n">
        <v>0</v>
      </c>
      <c r="E68" s="124" t="n">
        <v>0</v>
      </c>
      <c r="F68" s="124" t="n">
        <v>0</v>
      </c>
      <c r="G68" s="124" t="n">
        <v>0</v>
      </c>
      <c r="I68" s="124" t="n">
        <f aca="false">IF(MONTH($A68)=MONTH($A67),IF(G68=0,I67,G68),G68)</f>
        <v>0</v>
      </c>
      <c r="J68" s="124" t="n">
        <f aca="false">IF(MONTH($A68)=MONTH($A67),SUM(I68-I67),I68)</f>
        <v>0</v>
      </c>
      <c r="K68" s="124" t="n">
        <f aca="false">IF(WEEKDAY(A68,3)&gt;4,0,(IF(A68&lt;K$2,0,IF(A68&lt;=K$3,1,0))))</f>
        <v>0</v>
      </c>
      <c r="L68" s="124" t="n">
        <f aca="false">J68*K68</f>
        <v>0</v>
      </c>
      <c r="M68" s="124" t="n">
        <f aca="false">SUM(J$6:J68)</f>
        <v>0</v>
      </c>
      <c r="N68" s="124" t="n">
        <f aca="false">SUM(J$6:J68)</f>
        <v>0</v>
      </c>
      <c r="P68" s="124" t="n">
        <f aca="false">D68/P$3</f>
        <v>0</v>
      </c>
      <c r="Q68" s="143" t="n">
        <f aca="false">E68/P$3</f>
        <v>0</v>
      </c>
      <c r="R68" s="124" t="n">
        <f aca="false">F68/R$3</f>
        <v>0</v>
      </c>
      <c r="S68" s="126" t="n">
        <f aca="false">J68/$R$3</f>
        <v>0</v>
      </c>
      <c r="T68" s="126" t="n">
        <f aca="false">L68/$R$3</f>
        <v>0</v>
      </c>
      <c r="U68" s="126" t="n">
        <f aca="false">I68/$R$3</f>
        <v>0</v>
      </c>
      <c r="V68" s="126" t="n">
        <f aca="false">M68/$R$3</f>
        <v>0</v>
      </c>
      <c r="W68" s="126" t="n">
        <f aca="false">N68/$R$3</f>
        <v>0</v>
      </c>
    </row>
    <row r="69" customFormat="false" ht="12.75" hidden="true" customHeight="false" outlineLevel="0" collapsed="false">
      <c r="A69" s="120" t="n">
        <f aca="false">A68+1</f>
        <v>36955</v>
      </c>
      <c r="B69" s="131" t="str">
        <f aca="false">INDEX('Master Data'!$A$2:$B$8,MATCH(WEEKDAY('SC Total Power'!A69,3),'Master Data'!$A$2:$A$8,0),2)</f>
        <v>M</v>
      </c>
      <c r="D69" s="124" t="n">
        <v>0</v>
      </c>
      <c r="E69" s="124" t="n">
        <v>214436</v>
      </c>
      <c r="F69" s="124" t="n">
        <v>0</v>
      </c>
      <c r="G69" s="124" t="n">
        <v>0</v>
      </c>
      <c r="I69" s="124" t="n">
        <f aca="false">IF(MONTH($A69)=MONTH($A68),IF(G69=0,I68,G69),G69)</f>
        <v>0</v>
      </c>
      <c r="J69" s="124" t="n">
        <f aca="false">IF(MONTH($A69)=MONTH($A68),SUM(I69-I68),I69)</f>
        <v>0</v>
      </c>
      <c r="K69" s="124" t="n">
        <f aca="false">IF(WEEKDAY(A69,3)&gt;4,0,(IF(A69&lt;K$2,0,IF(A69&lt;=K$3,1,0))))</f>
        <v>0</v>
      </c>
      <c r="L69" s="124" t="n">
        <f aca="false">J69*K69</f>
        <v>0</v>
      </c>
      <c r="M69" s="124" t="n">
        <f aca="false">SUM(J$6:J69)</f>
        <v>0</v>
      </c>
      <c r="N69" s="124" t="n">
        <f aca="false">SUM(J$6:J69)</f>
        <v>0</v>
      </c>
      <c r="P69" s="124" t="n">
        <f aca="false">D69/P$3</f>
        <v>0</v>
      </c>
      <c r="Q69" s="143" t="n">
        <f aca="false">E69/P$3</f>
        <v>0.214436</v>
      </c>
      <c r="R69" s="124" t="n">
        <f aca="false">F69/R$3</f>
        <v>0</v>
      </c>
      <c r="S69" s="126" t="n">
        <f aca="false">J69/$R$3</f>
        <v>0</v>
      </c>
      <c r="T69" s="126" t="n">
        <f aca="false">L69/$R$3</f>
        <v>0</v>
      </c>
      <c r="U69" s="126" t="n">
        <f aca="false">I69/$R$3</f>
        <v>0</v>
      </c>
      <c r="V69" s="126" t="n">
        <f aca="false">M69/$R$3</f>
        <v>0</v>
      </c>
      <c r="W69" s="126" t="n">
        <f aca="false">N69/$R$3</f>
        <v>0</v>
      </c>
    </row>
    <row r="70" customFormat="false" ht="12.75" hidden="true" customHeight="false" outlineLevel="0" collapsed="false">
      <c r="A70" s="120" t="n">
        <f aca="false">A69+1</f>
        <v>36956</v>
      </c>
      <c r="B70" s="131" t="str">
        <f aca="false">INDEX('Master Data'!$A$2:$B$8,MATCH(WEEKDAY('SC Total Power'!A70,3),'Master Data'!$A$2:$A$8,0),2)</f>
        <v>T</v>
      </c>
      <c r="D70" s="124" t="n">
        <v>0</v>
      </c>
      <c r="E70" s="124" t="n">
        <v>213712</v>
      </c>
      <c r="F70" s="124" t="n">
        <v>0</v>
      </c>
      <c r="G70" s="124" t="n">
        <v>0</v>
      </c>
      <c r="I70" s="124" t="n">
        <f aca="false">IF(MONTH($A70)=MONTH($A69),IF(G70=0,I69,G70),G70)</f>
        <v>0</v>
      </c>
      <c r="J70" s="124" t="n">
        <f aca="false">IF(MONTH($A70)=MONTH($A69),SUM(I70-I69),I70)</f>
        <v>0</v>
      </c>
      <c r="K70" s="124" t="n">
        <f aca="false">IF(WEEKDAY(A70,3)&gt;4,0,(IF(A70&lt;K$2,0,IF(A70&lt;=K$3,1,0))))</f>
        <v>0</v>
      </c>
      <c r="L70" s="124" t="n">
        <f aca="false">J70*K70</f>
        <v>0</v>
      </c>
      <c r="M70" s="124" t="n">
        <f aca="false">SUM(J$6:J70)</f>
        <v>0</v>
      </c>
      <c r="N70" s="124" t="n">
        <f aca="false">SUM(J$6:J70)</f>
        <v>0</v>
      </c>
      <c r="P70" s="124" t="n">
        <f aca="false">D70/P$3</f>
        <v>0</v>
      </c>
      <c r="Q70" s="143" t="n">
        <f aca="false">E70/P$3</f>
        <v>0.213712</v>
      </c>
      <c r="R70" s="124" t="n">
        <f aca="false">F70/R$3</f>
        <v>0</v>
      </c>
      <c r="S70" s="126" t="n">
        <f aca="false">J70/$R$3</f>
        <v>0</v>
      </c>
      <c r="T70" s="126" t="n">
        <f aca="false">L70/$R$3</f>
        <v>0</v>
      </c>
      <c r="U70" s="126" t="n">
        <f aca="false">I70/$R$3</f>
        <v>0</v>
      </c>
      <c r="V70" s="126" t="n">
        <f aca="false">M70/$R$3</f>
        <v>0</v>
      </c>
      <c r="W70" s="126" t="n">
        <f aca="false">N70/$R$3</f>
        <v>0</v>
      </c>
    </row>
    <row r="71" customFormat="false" ht="12.75" hidden="true" customHeight="false" outlineLevel="0" collapsed="false">
      <c r="A71" s="120" t="n">
        <f aca="false">A70+1</f>
        <v>36957</v>
      </c>
      <c r="B71" s="131" t="str">
        <f aca="false">INDEX('Master Data'!$A$2:$B$8,MATCH(WEEKDAY('SC Total Power'!A71,3),'Master Data'!$A$2:$A$8,0),2)</f>
        <v>W</v>
      </c>
      <c r="D71" s="124" t="n">
        <v>0</v>
      </c>
      <c r="E71" s="124" t="n">
        <v>213000</v>
      </c>
      <c r="F71" s="124" t="n">
        <v>0</v>
      </c>
      <c r="G71" s="124" t="n">
        <v>0</v>
      </c>
      <c r="I71" s="124" t="n">
        <f aca="false">IF(MONTH($A71)=MONTH($A70),IF(G71=0,I70,G71),G71)</f>
        <v>0</v>
      </c>
      <c r="J71" s="124" t="n">
        <f aca="false">IF(MONTH($A71)=MONTH($A70),SUM(I71-I70),I71)</f>
        <v>0</v>
      </c>
      <c r="K71" s="124" t="n">
        <f aca="false">IF(WEEKDAY(A71,3)&gt;4,0,(IF(A71&lt;K$2,0,IF(A71&lt;=K$3,1,0))))</f>
        <v>0</v>
      </c>
      <c r="L71" s="124" t="n">
        <f aca="false">J71*K71</f>
        <v>0</v>
      </c>
      <c r="M71" s="124" t="n">
        <f aca="false">SUM(J$6:J71)</f>
        <v>0</v>
      </c>
      <c r="N71" s="124" t="n">
        <f aca="false">SUM(J$6:J71)</f>
        <v>0</v>
      </c>
      <c r="P71" s="124" t="n">
        <f aca="false">D71/P$3</f>
        <v>0</v>
      </c>
      <c r="Q71" s="143" t="n">
        <f aca="false">E71/P$3</f>
        <v>0.213</v>
      </c>
      <c r="R71" s="124" t="n">
        <f aca="false">F71/R$3</f>
        <v>0</v>
      </c>
      <c r="S71" s="126" t="n">
        <f aca="false">J71/$R$3</f>
        <v>0</v>
      </c>
      <c r="T71" s="126" t="n">
        <f aca="false">L71/$R$3</f>
        <v>0</v>
      </c>
      <c r="U71" s="126" t="n">
        <f aca="false">I71/$R$3</f>
        <v>0</v>
      </c>
      <c r="V71" s="126" t="n">
        <f aca="false">M71/$R$3</f>
        <v>0</v>
      </c>
      <c r="W71" s="126" t="n">
        <f aca="false">N71/$R$3</f>
        <v>0</v>
      </c>
    </row>
    <row r="72" customFormat="false" ht="12.75" hidden="true" customHeight="false" outlineLevel="0" collapsed="false">
      <c r="A72" s="120" t="n">
        <f aca="false">A71+1</f>
        <v>36958</v>
      </c>
      <c r="B72" s="131" t="str">
        <f aca="false">INDEX('Master Data'!$A$2:$B$8,MATCH(WEEKDAY('SC Total Power'!A72,3),'Master Data'!$A$2:$A$8,0),2)</f>
        <v>Th</v>
      </c>
      <c r="D72" s="124" t="n">
        <v>0</v>
      </c>
      <c r="E72" s="124" t="n">
        <v>212299</v>
      </c>
      <c r="F72" s="124" t="n">
        <v>0</v>
      </c>
      <c r="G72" s="124" t="n">
        <v>0</v>
      </c>
      <c r="I72" s="124" t="n">
        <f aca="false">IF(MONTH($A72)=MONTH($A71),IF(G72=0,I71,G72),G72)</f>
        <v>0</v>
      </c>
      <c r="J72" s="124" t="n">
        <f aca="false">IF(MONTH($A72)=MONTH($A71),SUM(I72-I71),I72)</f>
        <v>0</v>
      </c>
      <c r="K72" s="124" t="n">
        <f aca="false">IF(WEEKDAY(A72,3)&gt;4,0,(IF(A72&lt;K$2,0,IF(A72&lt;=K$3,1,0))))</f>
        <v>0</v>
      </c>
      <c r="L72" s="124" t="n">
        <f aca="false">J72*K72</f>
        <v>0</v>
      </c>
      <c r="M72" s="124" t="n">
        <f aca="false">SUM(J$6:J72)</f>
        <v>0</v>
      </c>
      <c r="N72" s="124" t="n">
        <f aca="false">SUM(J$6:J72)</f>
        <v>0</v>
      </c>
      <c r="P72" s="124" t="n">
        <f aca="false">D72/P$3</f>
        <v>0</v>
      </c>
      <c r="Q72" s="143" t="n">
        <f aca="false">E72/P$3</f>
        <v>0.212299</v>
      </c>
      <c r="R72" s="124" t="n">
        <f aca="false">F72/R$3</f>
        <v>0</v>
      </c>
      <c r="S72" s="126" t="n">
        <f aca="false">J72/$R$3</f>
        <v>0</v>
      </c>
      <c r="T72" s="126" t="n">
        <f aca="false">L72/$R$3</f>
        <v>0</v>
      </c>
      <c r="U72" s="126" t="n">
        <f aca="false">I72/$R$3</f>
        <v>0</v>
      </c>
      <c r="V72" s="126" t="n">
        <f aca="false">M72/$R$3</f>
        <v>0</v>
      </c>
      <c r="W72" s="126" t="n">
        <f aca="false">N72/$R$3</f>
        <v>0</v>
      </c>
    </row>
    <row r="73" customFormat="false" ht="12.75" hidden="true" customHeight="false" outlineLevel="0" collapsed="false">
      <c r="A73" s="120" t="n">
        <f aca="false">A72+1</f>
        <v>36959</v>
      </c>
      <c r="B73" s="131" t="str">
        <f aca="false">INDEX('Master Data'!$A$2:$B$8,MATCH(WEEKDAY('SC Total Power'!A73,3),'Master Data'!$A$2:$A$8,0),2)</f>
        <v>F</v>
      </c>
      <c r="D73" s="124" t="n">
        <v>0</v>
      </c>
      <c r="E73" s="124" t="n">
        <v>211581</v>
      </c>
      <c r="F73" s="124" t="n">
        <v>0</v>
      </c>
      <c r="G73" s="124" t="n">
        <v>0</v>
      </c>
      <c r="I73" s="124" t="n">
        <f aca="false">IF(MONTH($A73)=MONTH($A72),IF(G73=0,I72,G73),G73)</f>
        <v>0</v>
      </c>
      <c r="J73" s="124" t="n">
        <f aca="false">IF(MONTH($A73)=MONTH($A72),SUM(I73-I72),I73)</f>
        <v>0</v>
      </c>
      <c r="K73" s="124" t="n">
        <f aca="false">IF(WEEKDAY(A73,3)&gt;4,0,(IF(A73&lt;K$2,0,IF(A73&lt;=K$3,1,0))))</f>
        <v>0</v>
      </c>
      <c r="L73" s="124" t="n">
        <f aca="false">J73*K73</f>
        <v>0</v>
      </c>
      <c r="M73" s="124" t="n">
        <f aca="false">SUM(J$6:J73)</f>
        <v>0</v>
      </c>
      <c r="N73" s="124" t="n">
        <f aca="false">SUM(J$6:J73)</f>
        <v>0</v>
      </c>
      <c r="P73" s="124" t="n">
        <f aca="false">D73/P$3</f>
        <v>0</v>
      </c>
      <c r="Q73" s="143" t="n">
        <f aca="false">E73/P$3</f>
        <v>0.211581</v>
      </c>
      <c r="R73" s="124" t="n">
        <f aca="false">F73/R$3</f>
        <v>0</v>
      </c>
      <c r="S73" s="126" t="n">
        <f aca="false">J73/$R$3</f>
        <v>0</v>
      </c>
      <c r="T73" s="126" t="n">
        <f aca="false">L73/$R$3</f>
        <v>0</v>
      </c>
      <c r="U73" s="126" t="n">
        <f aca="false">I73/$R$3</f>
        <v>0</v>
      </c>
      <c r="V73" s="126" t="n">
        <f aca="false">M73/$R$3</f>
        <v>0</v>
      </c>
      <c r="W73" s="126" t="n">
        <f aca="false">N73/$R$3</f>
        <v>0</v>
      </c>
    </row>
    <row r="74" customFormat="false" ht="12.75" hidden="true" customHeight="false" outlineLevel="0" collapsed="false">
      <c r="A74" s="120" t="n">
        <f aca="false">A73+1</f>
        <v>36960</v>
      </c>
      <c r="B74" s="131" t="str">
        <f aca="false">INDEX('Master Data'!$A$2:$B$8,MATCH(WEEKDAY('SC Total Power'!A74,3),'Master Data'!$A$2:$A$8,0),2)</f>
        <v>Sa</v>
      </c>
      <c r="D74" s="124" t="n">
        <v>0</v>
      </c>
      <c r="E74" s="124" t="n">
        <v>0</v>
      </c>
      <c r="F74" s="124" t="n">
        <v>0</v>
      </c>
      <c r="G74" s="124" t="n">
        <v>0</v>
      </c>
      <c r="I74" s="124" t="n">
        <f aca="false">IF(MONTH($A74)=MONTH($A73),IF(G74=0,I73,G74),G74)</f>
        <v>0</v>
      </c>
      <c r="J74" s="124" t="n">
        <f aca="false">IF(MONTH($A74)=MONTH($A73),SUM(I74-I73),I74)</f>
        <v>0</v>
      </c>
      <c r="K74" s="124" t="n">
        <f aca="false">IF(WEEKDAY(A74,3)&gt;4,0,(IF(A74&lt;K$2,0,IF(A74&lt;=K$3,1,0))))</f>
        <v>0</v>
      </c>
      <c r="L74" s="124" t="n">
        <f aca="false">J74*K74</f>
        <v>0</v>
      </c>
      <c r="M74" s="124" t="n">
        <f aca="false">SUM(J$6:J74)</f>
        <v>0</v>
      </c>
      <c r="N74" s="124" t="n">
        <f aca="false">SUM(J$6:J74)</f>
        <v>0</v>
      </c>
      <c r="P74" s="124" t="n">
        <f aca="false">D74/P$3</f>
        <v>0</v>
      </c>
      <c r="Q74" s="143" t="n">
        <f aca="false">E74/P$3</f>
        <v>0</v>
      </c>
      <c r="R74" s="124" t="n">
        <f aca="false">F74/R$3</f>
        <v>0</v>
      </c>
      <c r="S74" s="126" t="n">
        <f aca="false">J74/$R$3</f>
        <v>0</v>
      </c>
      <c r="T74" s="126" t="n">
        <f aca="false">L74/$R$3</f>
        <v>0</v>
      </c>
      <c r="U74" s="126" t="n">
        <f aca="false">I74/$R$3</f>
        <v>0</v>
      </c>
      <c r="V74" s="126" t="n">
        <f aca="false">M74/$R$3</f>
        <v>0</v>
      </c>
      <c r="W74" s="126" t="n">
        <f aca="false">N74/$R$3</f>
        <v>0</v>
      </c>
    </row>
    <row r="75" customFormat="false" ht="12.75" hidden="true" customHeight="false" outlineLevel="0" collapsed="false">
      <c r="A75" s="120" t="n">
        <f aca="false">A74+1</f>
        <v>36961</v>
      </c>
      <c r="B75" s="131" t="str">
        <f aca="false">INDEX('Master Data'!$A$2:$B$8,MATCH(WEEKDAY('SC Total Power'!A75,3),'Master Data'!$A$2:$A$8,0),2)</f>
        <v>Su</v>
      </c>
      <c r="D75" s="124" t="n">
        <v>0</v>
      </c>
      <c r="E75" s="124" t="n">
        <v>0</v>
      </c>
      <c r="F75" s="124" t="n">
        <v>0</v>
      </c>
      <c r="G75" s="124" t="n">
        <v>0</v>
      </c>
      <c r="I75" s="124" t="n">
        <f aca="false">IF(MONTH($A75)=MONTH($A74),IF(G75=0,I74,G75),G75)</f>
        <v>0</v>
      </c>
      <c r="J75" s="124" t="n">
        <f aca="false">IF(MONTH($A75)=MONTH($A74),SUM(I75-I74),I75)</f>
        <v>0</v>
      </c>
      <c r="K75" s="124" t="n">
        <f aca="false">IF(WEEKDAY(A75,3)&gt;4,0,(IF(A75&lt;K$2,0,IF(A75&lt;=K$3,1,0))))</f>
        <v>0</v>
      </c>
      <c r="L75" s="124" t="n">
        <f aca="false">J75*K75</f>
        <v>0</v>
      </c>
      <c r="M75" s="124" t="n">
        <f aca="false">SUM(J$6:J75)</f>
        <v>0</v>
      </c>
      <c r="N75" s="124" t="n">
        <f aca="false">SUM(J$6:J75)</f>
        <v>0</v>
      </c>
      <c r="P75" s="124" t="n">
        <f aca="false">D75/P$3</f>
        <v>0</v>
      </c>
      <c r="Q75" s="143" t="n">
        <f aca="false">E75/P$3</f>
        <v>0</v>
      </c>
      <c r="R75" s="124" t="n">
        <f aca="false">F75/R$3</f>
        <v>0</v>
      </c>
      <c r="S75" s="126" t="n">
        <f aca="false">J75/$R$3</f>
        <v>0</v>
      </c>
      <c r="T75" s="126" t="n">
        <f aca="false">L75/$R$3</f>
        <v>0</v>
      </c>
      <c r="U75" s="126" t="n">
        <f aca="false">I75/$R$3</f>
        <v>0</v>
      </c>
      <c r="V75" s="126" t="n">
        <f aca="false">M75/$R$3</f>
        <v>0</v>
      </c>
      <c r="W75" s="126" t="n">
        <f aca="false">N75/$R$3</f>
        <v>0</v>
      </c>
    </row>
    <row r="76" customFormat="false" ht="12.75" hidden="true" customHeight="false" outlineLevel="0" collapsed="false">
      <c r="A76" s="120" t="n">
        <f aca="false">A75+1</f>
        <v>36962</v>
      </c>
      <c r="B76" s="131" t="str">
        <f aca="false">INDEX('Master Data'!$A$2:$B$8,MATCH(WEEKDAY('SC Total Power'!A76,3),'Master Data'!$A$2:$A$8,0),2)</f>
        <v>M</v>
      </c>
      <c r="D76" s="124" t="n">
        <v>0</v>
      </c>
      <c r="E76" s="124" t="n">
        <v>209534</v>
      </c>
      <c r="F76" s="124" t="n">
        <v>0</v>
      </c>
      <c r="G76" s="124" t="n">
        <v>0</v>
      </c>
      <c r="I76" s="124" t="n">
        <f aca="false">IF(MONTH($A76)=MONTH($A75),IF(G76=0,I75,G76),G76)</f>
        <v>0</v>
      </c>
      <c r="J76" s="124" t="n">
        <f aca="false">IF(MONTH($A76)=MONTH($A75),SUM(I76-I75),I76)</f>
        <v>0</v>
      </c>
      <c r="K76" s="124" t="n">
        <f aca="false">IF(WEEKDAY(A76,3)&gt;4,0,(IF(A76&lt;K$2,0,IF(A76&lt;=K$3,1,0))))</f>
        <v>0</v>
      </c>
      <c r="L76" s="124" t="n">
        <f aca="false">J76*K76</f>
        <v>0</v>
      </c>
      <c r="M76" s="124" t="n">
        <f aca="false">SUM(J$6:J76)</f>
        <v>0</v>
      </c>
      <c r="N76" s="124" t="n">
        <f aca="false">SUM(J$6:J76)</f>
        <v>0</v>
      </c>
      <c r="P76" s="124" t="n">
        <f aca="false">D76/P$3</f>
        <v>0</v>
      </c>
      <c r="Q76" s="143" t="n">
        <f aca="false">E76/P$3</f>
        <v>0.209534</v>
      </c>
      <c r="R76" s="124" t="n">
        <f aca="false">F76/R$3</f>
        <v>0</v>
      </c>
      <c r="S76" s="126" t="n">
        <f aca="false">J76/$R$3</f>
        <v>0</v>
      </c>
      <c r="T76" s="126" t="n">
        <f aca="false">L76/$R$3</f>
        <v>0</v>
      </c>
      <c r="U76" s="126" t="n">
        <f aca="false">I76/$R$3</f>
        <v>0</v>
      </c>
      <c r="V76" s="126" t="n">
        <f aca="false">M76/$R$3</f>
        <v>0</v>
      </c>
      <c r="W76" s="126" t="n">
        <f aca="false">N76/$R$3</f>
        <v>0</v>
      </c>
    </row>
    <row r="77" customFormat="false" ht="12.75" hidden="true" customHeight="false" outlineLevel="0" collapsed="false">
      <c r="A77" s="120" t="n">
        <f aca="false">A76+1</f>
        <v>36963</v>
      </c>
      <c r="B77" s="131" t="str">
        <f aca="false">INDEX('Master Data'!$A$2:$B$8,MATCH(WEEKDAY('SC Total Power'!A77,3),'Master Data'!$A$2:$A$8,0),2)</f>
        <v>T</v>
      </c>
      <c r="D77" s="124" t="n">
        <v>0</v>
      </c>
      <c r="E77" s="124" t="n">
        <v>208831</v>
      </c>
      <c r="F77" s="124" t="n">
        <v>0</v>
      </c>
      <c r="G77" s="124" t="n">
        <v>0</v>
      </c>
      <c r="I77" s="124" t="n">
        <f aca="false">IF(MONTH($A77)=MONTH($A76),IF(G77=0,I76,G77),G77)</f>
        <v>0</v>
      </c>
      <c r="J77" s="124" t="n">
        <f aca="false">IF(MONTH($A77)=MONTH($A76),SUM(I77-I76),I77)</f>
        <v>0</v>
      </c>
      <c r="K77" s="124" t="n">
        <f aca="false">IF(WEEKDAY(A77,3)&gt;4,0,(IF(A77&lt;K$2,0,IF(A77&lt;=K$3,1,0))))</f>
        <v>0</v>
      </c>
      <c r="L77" s="124" t="n">
        <f aca="false">J77*K77</f>
        <v>0</v>
      </c>
      <c r="M77" s="124" t="n">
        <f aca="false">SUM(J$6:J77)</f>
        <v>0</v>
      </c>
      <c r="N77" s="124" t="n">
        <f aca="false">SUM(J$6:J77)</f>
        <v>0</v>
      </c>
      <c r="P77" s="124" t="n">
        <f aca="false">D77/P$3</f>
        <v>0</v>
      </c>
      <c r="Q77" s="143" t="n">
        <f aca="false">E77/P$3</f>
        <v>0.208831</v>
      </c>
      <c r="R77" s="124" t="n">
        <f aca="false">F77/R$3</f>
        <v>0</v>
      </c>
      <c r="S77" s="126" t="n">
        <f aca="false">J77/$R$3</f>
        <v>0</v>
      </c>
      <c r="T77" s="126" t="n">
        <f aca="false">L77/$R$3</f>
        <v>0</v>
      </c>
      <c r="U77" s="126" t="n">
        <f aca="false">I77/$R$3</f>
        <v>0</v>
      </c>
      <c r="V77" s="126" t="n">
        <f aca="false">M77/$R$3</f>
        <v>0</v>
      </c>
      <c r="W77" s="126" t="n">
        <f aca="false">N77/$R$3</f>
        <v>0</v>
      </c>
    </row>
    <row r="78" customFormat="false" ht="12.75" hidden="true" customHeight="false" outlineLevel="0" collapsed="false">
      <c r="A78" s="120" t="n">
        <f aca="false">A77+1</f>
        <v>36964</v>
      </c>
      <c r="B78" s="131" t="str">
        <f aca="false">INDEX('Master Data'!$A$2:$B$8,MATCH(WEEKDAY('SC Total Power'!A78,3),'Master Data'!$A$2:$A$8,0),2)</f>
        <v>W</v>
      </c>
      <c r="D78" s="124" t="n">
        <v>0</v>
      </c>
      <c r="E78" s="124" t="n">
        <v>208114</v>
      </c>
      <c r="F78" s="124" t="n">
        <v>0</v>
      </c>
      <c r="G78" s="124" t="n">
        <v>0</v>
      </c>
      <c r="I78" s="124" t="n">
        <f aca="false">IF(MONTH($A78)=MONTH($A77),IF(G78=0,I77,G78),G78)</f>
        <v>0</v>
      </c>
      <c r="J78" s="124" t="n">
        <f aca="false">IF(MONTH($A78)=MONTH($A77),SUM(I78-I77),I78)</f>
        <v>0</v>
      </c>
      <c r="K78" s="124" t="n">
        <f aca="false">IF(WEEKDAY(A78,3)&gt;4,0,(IF(A78&lt;K$2,0,IF(A78&lt;=K$3,1,0))))</f>
        <v>0</v>
      </c>
      <c r="L78" s="124" t="n">
        <f aca="false">J78*K78</f>
        <v>0</v>
      </c>
      <c r="M78" s="124" t="n">
        <f aca="false">SUM(J$6:J78)</f>
        <v>0</v>
      </c>
      <c r="N78" s="124" t="n">
        <f aca="false">SUM(J$6:J78)</f>
        <v>0</v>
      </c>
      <c r="P78" s="124" t="n">
        <f aca="false">D78/P$3</f>
        <v>0</v>
      </c>
      <c r="Q78" s="143" t="n">
        <f aca="false">E78/P$3</f>
        <v>0.208114</v>
      </c>
      <c r="R78" s="124" t="n">
        <f aca="false">F78/R$3</f>
        <v>0</v>
      </c>
      <c r="S78" s="126" t="n">
        <f aca="false">J78/$R$3</f>
        <v>0</v>
      </c>
      <c r="T78" s="126" t="n">
        <f aca="false">L78/$R$3</f>
        <v>0</v>
      </c>
      <c r="U78" s="126" t="n">
        <f aca="false">I78/$R$3</f>
        <v>0</v>
      </c>
      <c r="V78" s="126" t="n">
        <f aca="false">M78/$R$3</f>
        <v>0</v>
      </c>
      <c r="W78" s="126" t="n">
        <f aca="false">N78/$R$3</f>
        <v>0</v>
      </c>
    </row>
    <row r="79" customFormat="false" ht="12.75" hidden="true" customHeight="false" outlineLevel="0" collapsed="false">
      <c r="A79" s="120" t="n">
        <f aca="false">A78+1</f>
        <v>36965</v>
      </c>
      <c r="B79" s="131" t="str">
        <f aca="false">INDEX('Master Data'!$A$2:$B$8,MATCH(WEEKDAY('SC Total Power'!A79,3),'Master Data'!$A$2:$A$8,0),2)</f>
        <v>Th</v>
      </c>
      <c r="D79" s="124" t="n">
        <v>0</v>
      </c>
      <c r="E79" s="124" t="n">
        <v>207474</v>
      </c>
      <c r="F79" s="124" t="n">
        <v>0</v>
      </c>
      <c r="G79" s="124" t="n">
        <v>0</v>
      </c>
      <c r="I79" s="124" t="n">
        <f aca="false">IF(MONTH($A79)=MONTH($A78),IF(G79=0,I78,G79),G79)</f>
        <v>0</v>
      </c>
      <c r="J79" s="124" t="n">
        <f aca="false">IF(MONTH($A79)=MONTH($A78),SUM(I79-I78),I79)</f>
        <v>0</v>
      </c>
      <c r="K79" s="124" t="n">
        <f aca="false">IF(WEEKDAY(A79,3)&gt;4,0,(IF(A79&lt;K$2,0,IF(A79&lt;=K$3,1,0))))</f>
        <v>0</v>
      </c>
      <c r="L79" s="124" t="n">
        <f aca="false">J79*K79</f>
        <v>0</v>
      </c>
      <c r="M79" s="124" t="n">
        <f aca="false">SUM(J$6:J79)</f>
        <v>0</v>
      </c>
      <c r="N79" s="124" t="n">
        <f aca="false">SUM(J$6:J79)</f>
        <v>0</v>
      </c>
      <c r="P79" s="124" t="n">
        <f aca="false">D79/P$3</f>
        <v>0</v>
      </c>
      <c r="Q79" s="143" t="n">
        <f aca="false">E79/P$3</f>
        <v>0.207474</v>
      </c>
      <c r="R79" s="124" t="n">
        <f aca="false">F79/R$3</f>
        <v>0</v>
      </c>
      <c r="S79" s="126" t="n">
        <f aca="false">J79/$R$3</f>
        <v>0</v>
      </c>
      <c r="T79" s="126" t="n">
        <f aca="false">L79/$R$3</f>
        <v>0</v>
      </c>
      <c r="U79" s="126" t="n">
        <f aca="false">I79/$R$3</f>
        <v>0</v>
      </c>
      <c r="V79" s="126" t="n">
        <f aca="false">M79/$R$3</f>
        <v>0</v>
      </c>
      <c r="W79" s="126" t="n">
        <f aca="false">N79/$R$3</f>
        <v>0</v>
      </c>
    </row>
    <row r="80" customFormat="false" ht="12.75" hidden="true" customHeight="false" outlineLevel="0" collapsed="false">
      <c r="A80" s="120" t="n">
        <f aca="false">A79+1</f>
        <v>36966</v>
      </c>
      <c r="B80" s="131" t="str">
        <f aca="false">INDEX('Master Data'!$A$2:$B$8,MATCH(WEEKDAY('SC Total Power'!A80,3),'Master Data'!$A$2:$A$8,0),2)</f>
        <v>F</v>
      </c>
      <c r="D80" s="124" t="n">
        <v>0</v>
      </c>
      <c r="E80" s="124" t="n">
        <v>206821</v>
      </c>
      <c r="F80" s="124" t="n">
        <v>0</v>
      </c>
      <c r="G80" s="124" t="n">
        <v>0</v>
      </c>
      <c r="I80" s="124" t="n">
        <f aca="false">IF(MONTH($A80)=MONTH($A79),IF(G80=0,I79,G80),G80)</f>
        <v>0</v>
      </c>
      <c r="J80" s="124" t="n">
        <f aca="false">IF(MONTH($A80)=MONTH($A79),SUM(I80-I79),I80)</f>
        <v>0</v>
      </c>
      <c r="K80" s="124" t="n">
        <f aca="false">IF(WEEKDAY(A80,3)&gt;4,0,(IF(A80&lt;K$2,0,IF(A80&lt;=K$3,1,0))))</f>
        <v>0</v>
      </c>
      <c r="L80" s="124" t="n">
        <f aca="false">J80*K80</f>
        <v>0</v>
      </c>
      <c r="M80" s="124" t="n">
        <f aca="false">SUM(J$6:J80)</f>
        <v>0</v>
      </c>
      <c r="N80" s="124" t="n">
        <f aca="false">SUM(J$6:J80)</f>
        <v>0</v>
      </c>
      <c r="P80" s="124" t="n">
        <f aca="false">D80/P$3</f>
        <v>0</v>
      </c>
      <c r="Q80" s="143" t="n">
        <f aca="false">E80/P$3</f>
        <v>0.206821</v>
      </c>
      <c r="R80" s="124" t="n">
        <f aca="false">F80/R$3</f>
        <v>0</v>
      </c>
      <c r="S80" s="126" t="n">
        <f aca="false">J80/$R$3</f>
        <v>0</v>
      </c>
      <c r="T80" s="126" t="n">
        <f aca="false">L80/$R$3</f>
        <v>0</v>
      </c>
      <c r="U80" s="126" t="n">
        <f aca="false">I80/$R$3</f>
        <v>0</v>
      </c>
      <c r="V80" s="126" t="n">
        <f aca="false">M80/$R$3</f>
        <v>0</v>
      </c>
      <c r="W80" s="126" t="n">
        <f aca="false">N80/$R$3</f>
        <v>0</v>
      </c>
    </row>
    <row r="81" customFormat="false" ht="12.75" hidden="true" customHeight="false" outlineLevel="0" collapsed="false">
      <c r="A81" s="120" t="n">
        <f aca="false">A80+1</f>
        <v>36967</v>
      </c>
      <c r="B81" s="131" t="str">
        <f aca="false">INDEX('Master Data'!$A$2:$B$8,MATCH(WEEKDAY('SC Total Power'!A81,3),'Master Data'!$A$2:$A$8,0),2)</f>
        <v>Sa</v>
      </c>
      <c r="D81" s="124" t="n">
        <v>0</v>
      </c>
      <c r="E81" s="124" t="n">
        <v>0</v>
      </c>
      <c r="F81" s="124" t="n">
        <v>0</v>
      </c>
      <c r="G81" s="124" t="n">
        <v>0</v>
      </c>
      <c r="I81" s="124" t="n">
        <f aca="false">IF(MONTH($A81)=MONTH($A80),IF(G81=0,I80,G81),G81)</f>
        <v>0</v>
      </c>
      <c r="J81" s="124" t="n">
        <f aca="false">IF(MONTH($A81)=MONTH($A80),SUM(I81-I80),I81)</f>
        <v>0</v>
      </c>
      <c r="K81" s="124" t="n">
        <f aca="false">IF(WEEKDAY(A81,3)&gt;4,0,(IF(A81&lt;K$2,0,IF(A81&lt;=K$3,1,0))))</f>
        <v>0</v>
      </c>
      <c r="L81" s="124" t="n">
        <f aca="false">J81*K81</f>
        <v>0</v>
      </c>
      <c r="M81" s="124" t="n">
        <f aca="false">SUM(J$6:J81)</f>
        <v>0</v>
      </c>
      <c r="N81" s="124" t="n">
        <f aca="false">SUM(J$6:J81)</f>
        <v>0</v>
      </c>
      <c r="P81" s="124" t="n">
        <f aca="false">D81/P$3</f>
        <v>0</v>
      </c>
      <c r="Q81" s="143" t="n">
        <f aca="false">E81/P$3</f>
        <v>0</v>
      </c>
      <c r="R81" s="124" t="n">
        <f aca="false">F81/R$3</f>
        <v>0</v>
      </c>
      <c r="S81" s="126" t="n">
        <f aca="false">J81/$R$3</f>
        <v>0</v>
      </c>
      <c r="T81" s="126" t="n">
        <f aca="false">L81/$R$3</f>
        <v>0</v>
      </c>
      <c r="U81" s="126" t="n">
        <f aca="false">I81/$R$3</f>
        <v>0</v>
      </c>
      <c r="V81" s="126" t="n">
        <f aca="false">M81/$R$3</f>
        <v>0</v>
      </c>
      <c r="W81" s="126" t="n">
        <f aca="false">N81/$R$3</f>
        <v>0</v>
      </c>
    </row>
    <row r="82" customFormat="false" ht="12.75" hidden="true" customHeight="false" outlineLevel="0" collapsed="false">
      <c r="A82" s="120" t="n">
        <f aca="false">A81+1</f>
        <v>36968</v>
      </c>
      <c r="B82" s="131" t="str">
        <f aca="false">INDEX('Master Data'!$A$2:$B$8,MATCH(WEEKDAY('SC Total Power'!A82,3),'Master Data'!$A$2:$A$8,0),2)</f>
        <v>Su</v>
      </c>
      <c r="D82" s="124" t="n">
        <v>0</v>
      </c>
      <c r="E82" s="124" t="n">
        <v>0</v>
      </c>
      <c r="F82" s="124" t="n">
        <v>0</v>
      </c>
      <c r="G82" s="124" t="n">
        <v>0</v>
      </c>
      <c r="I82" s="124" t="n">
        <f aca="false">IF(MONTH($A82)=MONTH($A81),IF(G82=0,I81,G82),G82)</f>
        <v>0</v>
      </c>
      <c r="J82" s="124" t="n">
        <f aca="false">IF(MONTH($A82)=MONTH($A81),SUM(I82-I81),I82)</f>
        <v>0</v>
      </c>
      <c r="K82" s="124" t="n">
        <f aca="false">IF(WEEKDAY(A82,3)&gt;4,0,(IF(A82&lt;K$2,0,IF(A82&lt;=K$3,1,0))))</f>
        <v>0</v>
      </c>
      <c r="L82" s="124" t="n">
        <f aca="false">J82*K82</f>
        <v>0</v>
      </c>
      <c r="M82" s="124" t="n">
        <f aca="false">SUM(J$6:J82)</f>
        <v>0</v>
      </c>
      <c r="N82" s="124" t="n">
        <f aca="false">SUM(J$6:J82)</f>
        <v>0</v>
      </c>
      <c r="P82" s="124" t="n">
        <f aca="false">D82/P$3</f>
        <v>0</v>
      </c>
      <c r="Q82" s="143" t="n">
        <f aca="false">E82/P$3</f>
        <v>0</v>
      </c>
      <c r="R82" s="124" t="n">
        <f aca="false">F82/R$3</f>
        <v>0</v>
      </c>
      <c r="S82" s="126" t="n">
        <f aca="false">J82/$R$3</f>
        <v>0</v>
      </c>
      <c r="T82" s="126" t="n">
        <f aca="false">L82/$R$3</f>
        <v>0</v>
      </c>
      <c r="U82" s="126" t="n">
        <f aca="false">I82/$R$3</f>
        <v>0</v>
      </c>
      <c r="V82" s="126" t="n">
        <f aca="false">M82/$R$3</f>
        <v>0</v>
      </c>
      <c r="W82" s="126" t="n">
        <f aca="false">N82/$R$3</f>
        <v>0</v>
      </c>
    </row>
    <row r="83" customFormat="false" ht="12.75" hidden="true" customHeight="false" outlineLevel="0" collapsed="false">
      <c r="A83" s="120" t="n">
        <f aca="false">A82+1</f>
        <v>36969</v>
      </c>
      <c r="B83" s="131" t="str">
        <f aca="false">INDEX('Master Data'!$A$2:$B$8,MATCH(WEEKDAY('SC Total Power'!A83,3),'Master Data'!$A$2:$A$8,0),2)</f>
        <v>M</v>
      </c>
      <c r="D83" s="124" t="n">
        <v>0</v>
      </c>
      <c r="E83" s="124" t="n">
        <v>204813</v>
      </c>
      <c r="F83" s="124" t="n">
        <v>0</v>
      </c>
      <c r="G83" s="124" t="n">
        <v>0</v>
      </c>
      <c r="I83" s="124" t="n">
        <f aca="false">IF(MONTH($A83)=MONTH($A82),IF(G83=0,I82,G83),G83)</f>
        <v>0</v>
      </c>
      <c r="J83" s="124" t="n">
        <f aca="false">IF(MONTH($A83)=MONTH($A82),SUM(I83-I82),I83)</f>
        <v>0</v>
      </c>
      <c r="K83" s="124" t="n">
        <f aca="false">IF(WEEKDAY(A83,3)&gt;4,0,(IF(A83&lt;K$2,0,IF(A83&lt;=K$3,1,0))))</f>
        <v>0</v>
      </c>
      <c r="L83" s="124" t="n">
        <f aca="false">J83*K83</f>
        <v>0</v>
      </c>
      <c r="M83" s="124" t="n">
        <f aca="false">SUM(J$6:J83)</f>
        <v>0</v>
      </c>
      <c r="N83" s="124" t="n">
        <f aca="false">SUM(J$6:J83)</f>
        <v>0</v>
      </c>
      <c r="P83" s="124" t="n">
        <f aca="false">D83/P$3</f>
        <v>0</v>
      </c>
      <c r="Q83" s="143" t="n">
        <f aca="false">E83/P$3</f>
        <v>0.204813</v>
      </c>
      <c r="R83" s="124" t="n">
        <f aca="false">F83/R$3</f>
        <v>0</v>
      </c>
      <c r="S83" s="126" t="n">
        <f aca="false">J83/$R$3</f>
        <v>0</v>
      </c>
      <c r="T83" s="126" t="n">
        <f aca="false">L83/$R$3</f>
        <v>0</v>
      </c>
      <c r="U83" s="126" t="n">
        <f aca="false">I83/$R$3</f>
        <v>0</v>
      </c>
      <c r="V83" s="126" t="n">
        <f aca="false">M83/$R$3</f>
        <v>0</v>
      </c>
      <c r="W83" s="126" t="n">
        <f aca="false">N83/$R$3</f>
        <v>0</v>
      </c>
    </row>
    <row r="84" customFormat="false" ht="12.75" hidden="true" customHeight="false" outlineLevel="0" collapsed="false">
      <c r="A84" s="120" t="n">
        <f aca="false">A83+1</f>
        <v>36970</v>
      </c>
      <c r="B84" s="131" t="str">
        <f aca="false">INDEX('Master Data'!$A$2:$B$8,MATCH(WEEKDAY('SC Total Power'!A84,3),'Master Data'!$A$2:$A$8,0),2)</f>
        <v>T</v>
      </c>
      <c r="D84" s="124" t="n">
        <v>0</v>
      </c>
      <c r="E84" s="124" t="n">
        <v>204072</v>
      </c>
      <c r="F84" s="124" t="n">
        <v>0</v>
      </c>
      <c r="G84" s="124" t="n">
        <v>0</v>
      </c>
      <c r="I84" s="124" t="n">
        <f aca="false">IF(MONTH($A84)=MONTH($A83),IF(G84=0,I83,G84),G84)</f>
        <v>0</v>
      </c>
      <c r="J84" s="124" t="n">
        <f aca="false">IF(MONTH($A84)=MONTH($A83),SUM(I84-I83),I84)</f>
        <v>0</v>
      </c>
      <c r="K84" s="124" t="n">
        <f aca="false">IF(WEEKDAY(A84,3)&gt;4,0,(IF(A84&lt;K$2,0,IF(A84&lt;=K$3,1,0))))</f>
        <v>0</v>
      </c>
      <c r="L84" s="124" t="n">
        <f aca="false">J84*K84</f>
        <v>0</v>
      </c>
      <c r="M84" s="124" t="n">
        <f aca="false">SUM(J$6:J84)</f>
        <v>0</v>
      </c>
      <c r="N84" s="124" t="n">
        <f aca="false">SUM(J$6:J84)</f>
        <v>0</v>
      </c>
      <c r="P84" s="124" t="n">
        <f aca="false">D84/P$3</f>
        <v>0</v>
      </c>
      <c r="Q84" s="143" t="n">
        <f aca="false">E84/P$3</f>
        <v>0.204072</v>
      </c>
      <c r="R84" s="124" t="n">
        <f aca="false">F84/R$3</f>
        <v>0</v>
      </c>
      <c r="S84" s="126" t="n">
        <f aca="false">J84/$R$3</f>
        <v>0</v>
      </c>
      <c r="T84" s="126" t="n">
        <f aca="false">L84/$R$3</f>
        <v>0</v>
      </c>
      <c r="U84" s="126" t="n">
        <f aca="false">I84/$R$3</f>
        <v>0</v>
      </c>
      <c r="V84" s="126" t="n">
        <f aca="false">M84/$R$3</f>
        <v>0</v>
      </c>
      <c r="W84" s="126" t="n">
        <f aca="false">N84/$R$3</f>
        <v>0</v>
      </c>
    </row>
    <row r="85" customFormat="false" ht="12.75" hidden="true" customHeight="false" outlineLevel="0" collapsed="false">
      <c r="A85" s="120" t="n">
        <f aca="false">A84+1</f>
        <v>36971</v>
      </c>
      <c r="B85" s="131" t="str">
        <f aca="false">INDEX('Master Data'!$A$2:$B$8,MATCH(WEEKDAY('SC Total Power'!A85,3),'Master Data'!$A$2:$A$8,0),2)</f>
        <v>W</v>
      </c>
      <c r="D85" s="124" t="n">
        <v>0</v>
      </c>
      <c r="E85" s="124" t="n">
        <v>203379</v>
      </c>
      <c r="F85" s="124" t="n">
        <v>0</v>
      </c>
      <c r="G85" s="124" t="n">
        <v>0</v>
      </c>
      <c r="I85" s="124" t="n">
        <f aca="false">IF(MONTH($A85)=MONTH($A84),IF(G85=0,I84,G85),G85)</f>
        <v>0</v>
      </c>
      <c r="J85" s="124" t="n">
        <f aca="false">IF(MONTH($A85)=MONTH($A84),SUM(I85-I84),I85)</f>
        <v>0</v>
      </c>
      <c r="K85" s="124" t="n">
        <f aca="false">IF(WEEKDAY(A85,3)&gt;4,0,(IF(A85&lt;K$2,0,IF(A85&lt;=K$3,1,0))))</f>
        <v>0</v>
      </c>
      <c r="L85" s="124" t="n">
        <f aca="false">J85*K85</f>
        <v>0</v>
      </c>
      <c r="M85" s="124" t="n">
        <f aca="false">SUM(J$6:J85)</f>
        <v>0</v>
      </c>
      <c r="N85" s="124" t="n">
        <f aca="false">SUM(J$6:J85)</f>
        <v>0</v>
      </c>
      <c r="P85" s="124" t="n">
        <f aca="false">D85/P$3</f>
        <v>0</v>
      </c>
      <c r="Q85" s="143" t="n">
        <f aca="false">E85/P$3</f>
        <v>0.203379</v>
      </c>
      <c r="R85" s="124" t="n">
        <f aca="false">F85/R$3</f>
        <v>0</v>
      </c>
      <c r="S85" s="126" t="n">
        <f aca="false">J85/$R$3</f>
        <v>0</v>
      </c>
      <c r="T85" s="126" t="n">
        <f aca="false">L85/$R$3</f>
        <v>0</v>
      </c>
      <c r="U85" s="126" t="n">
        <f aca="false">I85/$R$3</f>
        <v>0</v>
      </c>
      <c r="V85" s="126" t="n">
        <f aca="false">M85/$R$3</f>
        <v>0</v>
      </c>
      <c r="W85" s="126" t="n">
        <f aca="false">N85/$R$3</f>
        <v>0</v>
      </c>
    </row>
    <row r="86" customFormat="false" ht="12.75" hidden="true" customHeight="false" outlineLevel="0" collapsed="false">
      <c r="A86" s="120" t="n">
        <f aca="false">A85+1</f>
        <v>36972</v>
      </c>
      <c r="B86" s="131" t="str">
        <f aca="false">INDEX('Master Data'!$A$2:$B$8,MATCH(WEEKDAY('SC Total Power'!A86,3),'Master Data'!$A$2:$A$8,0),2)</f>
        <v>Th</v>
      </c>
      <c r="D86" s="124" t="n">
        <v>0</v>
      </c>
      <c r="E86" s="124" t="n">
        <v>202683</v>
      </c>
      <c r="F86" s="124" t="n">
        <v>0</v>
      </c>
      <c r="G86" s="124" t="n">
        <v>0</v>
      </c>
      <c r="I86" s="124" t="n">
        <f aca="false">IF(MONTH($A86)=MONTH($A85),IF(G86=0,I85,G86),G86)</f>
        <v>0</v>
      </c>
      <c r="J86" s="124" t="n">
        <f aca="false">IF(MONTH($A86)=MONTH($A85),SUM(I86-I85),I86)</f>
        <v>0</v>
      </c>
      <c r="K86" s="124" t="n">
        <f aca="false">IF(WEEKDAY(A86,3)&gt;4,0,(IF(A86&lt;K$2,0,IF(A86&lt;=K$3,1,0))))</f>
        <v>0</v>
      </c>
      <c r="L86" s="124" t="n">
        <f aca="false">J86*K86</f>
        <v>0</v>
      </c>
      <c r="M86" s="124" t="n">
        <f aca="false">SUM(J$6:J86)</f>
        <v>0</v>
      </c>
      <c r="N86" s="124" t="n">
        <f aca="false">SUM(J$6:J86)</f>
        <v>0</v>
      </c>
      <c r="P86" s="124" t="n">
        <f aca="false">D86/P$3</f>
        <v>0</v>
      </c>
      <c r="Q86" s="143" t="n">
        <f aca="false">E86/P$3</f>
        <v>0.202683</v>
      </c>
      <c r="R86" s="124" t="n">
        <f aca="false">F86/R$3</f>
        <v>0</v>
      </c>
      <c r="S86" s="126" t="n">
        <f aca="false">J86/$R$3</f>
        <v>0</v>
      </c>
      <c r="T86" s="126" t="n">
        <f aca="false">L86/$R$3</f>
        <v>0</v>
      </c>
      <c r="U86" s="126" t="n">
        <f aca="false">I86/$R$3</f>
        <v>0</v>
      </c>
      <c r="V86" s="126" t="n">
        <f aca="false">M86/$R$3</f>
        <v>0</v>
      </c>
      <c r="W86" s="126" t="n">
        <f aca="false">N86/$R$3</f>
        <v>0</v>
      </c>
    </row>
    <row r="87" customFormat="false" ht="12.75" hidden="true" customHeight="false" outlineLevel="0" collapsed="false">
      <c r="A87" s="120" t="n">
        <f aca="false">A86+1</f>
        <v>36973</v>
      </c>
      <c r="B87" s="131" t="str">
        <f aca="false">INDEX('Master Data'!$A$2:$B$8,MATCH(WEEKDAY('SC Total Power'!A87,3),'Master Data'!$A$2:$A$8,0),2)</f>
        <v>F</v>
      </c>
      <c r="D87" s="124" t="n">
        <v>0</v>
      </c>
      <c r="E87" s="124" t="n">
        <v>201968</v>
      </c>
      <c r="F87" s="124" t="n">
        <v>0</v>
      </c>
      <c r="G87" s="124" t="n">
        <v>0</v>
      </c>
      <c r="I87" s="124" t="n">
        <f aca="false">IF(MONTH($A87)=MONTH($A86),IF(G87=0,I86,G87),G87)</f>
        <v>0</v>
      </c>
      <c r="J87" s="124" t="n">
        <f aca="false">IF(MONTH($A87)=MONTH($A86),SUM(I87-I86),I87)</f>
        <v>0</v>
      </c>
      <c r="K87" s="124" t="n">
        <f aca="false">IF(WEEKDAY(A87,3)&gt;4,0,(IF(A87&lt;K$2,0,IF(A87&lt;=K$3,1,0))))</f>
        <v>0</v>
      </c>
      <c r="L87" s="124" t="n">
        <f aca="false">J87*K87</f>
        <v>0</v>
      </c>
      <c r="M87" s="124" t="n">
        <f aca="false">SUM(J$6:J87)</f>
        <v>0</v>
      </c>
      <c r="N87" s="124" t="n">
        <f aca="false">SUM(J$6:J87)</f>
        <v>0</v>
      </c>
      <c r="P87" s="124" t="n">
        <f aca="false">D87/P$3</f>
        <v>0</v>
      </c>
      <c r="Q87" s="143" t="n">
        <f aca="false">E87/P$3</f>
        <v>0.201968</v>
      </c>
      <c r="R87" s="124" t="n">
        <f aca="false">F87/R$3</f>
        <v>0</v>
      </c>
      <c r="S87" s="126" t="n">
        <f aca="false">J87/$R$3</f>
        <v>0</v>
      </c>
      <c r="T87" s="126" t="n">
        <f aca="false">L87/$R$3</f>
        <v>0</v>
      </c>
      <c r="U87" s="126" t="n">
        <f aca="false">I87/$R$3</f>
        <v>0</v>
      </c>
      <c r="V87" s="126" t="n">
        <f aca="false">M87/$R$3</f>
        <v>0</v>
      </c>
      <c r="W87" s="126" t="n">
        <f aca="false">N87/$R$3</f>
        <v>0</v>
      </c>
    </row>
    <row r="88" customFormat="false" ht="12.75" hidden="true" customHeight="false" outlineLevel="0" collapsed="false">
      <c r="A88" s="120" t="n">
        <f aca="false">A87+1</f>
        <v>36974</v>
      </c>
      <c r="B88" s="131" t="str">
        <f aca="false">INDEX('Master Data'!$A$2:$B$8,MATCH(WEEKDAY('SC Total Power'!A88,3),'Master Data'!$A$2:$A$8,0),2)</f>
        <v>Sa</v>
      </c>
      <c r="D88" s="124" t="n">
        <v>0</v>
      </c>
      <c r="E88" s="124" t="n">
        <v>0</v>
      </c>
      <c r="F88" s="124" t="n">
        <v>0</v>
      </c>
      <c r="G88" s="124" t="n">
        <v>0</v>
      </c>
      <c r="I88" s="124" t="n">
        <f aca="false">IF(MONTH($A88)=MONTH($A87),IF(G88=0,I87,G88),G88)</f>
        <v>0</v>
      </c>
      <c r="J88" s="124" t="n">
        <f aca="false">IF(MONTH($A88)=MONTH($A87),SUM(I88-I87),I88)</f>
        <v>0</v>
      </c>
      <c r="K88" s="124" t="n">
        <f aca="false">IF(WEEKDAY(A88,3)&gt;4,0,(IF(A88&lt;K$2,0,IF(A88&lt;=K$3,1,0))))</f>
        <v>0</v>
      </c>
      <c r="L88" s="124" t="n">
        <f aca="false">J88*K88</f>
        <v>0</v>
      </c>
      <c r="M88" s="124" t="n">
        <f aca="false">SUM(J$6:J88)</f>
        <v>0</v>
      </c>
      <c r="N88" s="124" t="n">
        <f aca="false">SUM(J$6:J88)</f>
        <v>0</v>
      </c>
      <c r="P88" s="124" t="n">
        <f aca="false">D88/P$3</f>
        <v>0</v>
      </c>
      <c r="Q88" s="143" t="n">
        <f aca="false">E88/P$3</f>
        <v>0</v>
      </c>
      <c r="R88" s="124" t="n">
        <f aca="false">F88/R$3</f>
        <v>0</v>
      </c>
      <c r="S88" s="126" t="n">
        <f aca="false">J88/$R$3</f>
        <v>0</v>
      </c>
      <c r="T88" s="126" t="n">
        <f aca="false">L88/$R$3</f>
        <v>0</v>
      </c>
      <c r="U88" s="126" t="n">
        <f aca="false">I88/$R$3</f>
        <v>0</v>
      </c>
      <c r="V88" s="126" t="n">
        <f aca="false">M88/$R$3</f>
        <v>0</v>
      </c>
      <c r="W88" s="126" t="n">
        <f aca="false">N88/$R$3</f>
        <v>0</v>
      </c>
    </row>
    <row r="89" customFormat="false" ht="12.75" hidden="true" customHeight="false" outlineLevel="0" collapsed="false">
      <c r="A89" s="120" t="n">
        <f aca="false">A88+1</f>
        <v>36975</v>
      </c>
      <c r="B89" s="131" t="str">
        <f aca="false">INDEX('Master Data'!$A$2:$B$8,MATCH(WEEKDAY('SC Total Power'!A89,3),'Master Data'!$A$2:$A$8,0),2)</f>
        <v>Su</v>
      </c>
      <c r="D89" s="124" t="n">
        <v>0</v>
      </c>
      <c r="E89" s="124" t="n">
        <v>0</v>
      </c>
      <c r="F89" s="124" t="n">
        <v>0</v>
      </c>
      <c r="G89" s="124" t="n">
        <v>0</v>
      </c>
      <c r="I89" s="124" t="n">
        <f aca="false">IF(MONTH($A89)=MONTH($A88),IF(G89=0,I88,G89),G89)</f>
        <v>0</v>
      </c>
      <c r="J89" s="124" t="n">
        <f aca="false">IF(MONTH($A89)=MONTH($A88),SUM(I89-I88),I89)</f>
        <v>0</v>
      </c>
      <c r="K89" s="124" t="n">
        <f aca="false">IF(WEEKDAY(A89,3)&gt;4,0,(IF(A89&lt;K$2,0,IF(A89&lt;=K$3,1,0))))</f>
        <v>0</v>
      </c>
      <c r="L89" s="124" t="n">
        <f aca="false">J89*K89</f>
        <v>0</v>
      </c>
      <c r="M89" s="124" t="n">
        <f aca="false">SUM(J$6:J89)</f>
        <v>0</v>
      </c>
      <c r="N89" s="124" t="n">
        <f aca="false">SUM(J$6:J89)</f>
        <v>0</v>
      </c>
      <c r="P89" s="124" t="n">
        <f aca="false">D89/P$3</f>
        <v>0</v>
      </c>
      <c r="Q89" s="143" t="n">
        <f aca="false">E89/P$3</f>
        <v>0</v>
      </c>
      <c r="R89" s="124" t="n">
        <f aca="false">F89/R$3</f>
        <v>0</v>
      </c>
      <c r="S89" s="126" t="n">
        <f aca="false">J89/$R$3</f>
        <v>0</v>
      </c>
      <c r="T89" s="126" t="n">
        <f aca="false">L89/$R$3</f>
        <v>0</v>
      </c>
      <c r="U89" s="126" t="n">
        <f aca="false">I89/$R$3</f>
        <v>0</v>
      </c>
      <c r="V89" s="126" t="n">
        <f aca="false">M89/$R$3</f>
        <v>0</v>
      </c>
      <c r="W89" s="126" t="n">
        <f aca="false">N89/$R$3</f>
        <v>0</v>
      </c>
    </row>
    <row r="90" customFormat="false" ht="12.75" hidden="true" customHeight="false" outlineLevel="0" collapsed="false">
      <c r="A90" s="120" t="n">
        <f aca="false">A89+1</f>
        <v>36976</v>
      </c>
      <c r="B90" s="131" t="str">
        <f aca="false">INDEX('Master Data'!$A$2:$B$8,MATCH(WEEKDAY('SC Total Power'!A90,3),'Master Data'!$A$2:$A$8,0),2)</f>
        <v>M</v>
      </c>
      <c r="D90" s="124" t="n">
        <v>0</v>
      </c>
      <c r="E90" s="124" t="n">
        <v>199920</v>
      </c>
      <c r="F90" s="124" t="n">
        <v>0</v>
      </c>
      <c r="G90" s="124" t="n">
        <v>0</v>
      </c>
      <c r="I90" s="124" t="n">
        <f aca="false">IF(MONTH($A90)=MONTH($A89),IF(G90=0,I89,G90),G90)</f>
        <v>0</v>
      </c>
      <c r="J90" s="124" t="n">
        <f aca="false">IF(MONTH($A90)=MONTH($A89),SUM(I90-I89),I90)</f>
        <v>0</v>
      </c>
      <c r="K90" s="124" t="n">
        <f aca="false">IF(WEEKDAY(A90,3)&gt;4,0,(IF(A90&lt;K$2,0,IF(A90&lt;=K$3,1,0))))</f>
        <v>0</v>
      </c>
      <c r="L90" s="124" t="n">
        <f aca="false">J90*K90</f>
        <v>0</v>
      </c>
      <c r="M90" s="124" t="n">
        <f aca="false">SUM(J$6:J90)</f>
        <v>0</v>
      </c>
      <c r="N90" s="124" t="n">
        <f aca="false">SUM(J$6:J90)</f>
        <v>0</v>
      </c>
      <c r="P90" s="124" t="n">
        <f aca="false">D90/P$3</f>
        <v>0</v>
      </c>
      <c r="Q90" s="143" t="n">
        <f aca="false">E90/P$3</f>
        <v>0.19992</v>
      </c>
      <c r="R90" s="124" t="n">
        <f aca="false">F90/R$3</f>
        <v>0</v>
      </c>
      <c r="S90" s="126" t="n">
        <f aca="false">J90/$R$3</f>
        <v>0</v>
      </c>
      <c r="T90" s="126" t="n">
        <f aca="false">L90/$R$3</f>
        <v>0</v>
      </c>
      <c r="U90" s="126" t="n">
        <f aca="false">I90/$R$3</f>
        <v>0</v>
      </c>
      <c r="V90" s="126" t="n">
        <f aca="false">M90/$R$3</f>
        <v>0</v>
      </c>
      <c r="W90" s="126" t="n">
        <f aca="false">N90/$R$3</f>
        <v>0</v>
      </c>
    </row>
    <row r="91" customFormat="false" ht="12.75" hidden="true" customHeight="false" outlineLevel="0" collapsed="false">
      <c r="A91" s="120" t="n">
        <f aca="false">A90+1</f>
        <v>36977</v>
      </c>
      <c r="B91" s="131" t="str">
        <f aca="false">INDEX('Master Data'!$A$2:$B$8,MATCH(WEEKDAY('SC Total Power'!A91,3),'Master Data'!$A$2:$A$8,0),2)</f>
        <v>T</v>
      </c>
      <c r="D91" s="124" t="n">
        <v>0</v>
      </c>
      <c r="E91" s="124" t="n">
        <v>199188</v>
      </c>
      <c r="F91" s="124" t="n">
        <v>0</v>
      </c>
      <c r="G91" s="124" t="n">
        <v>0</v>
      </c>
      <c r="I91" s="124" t="n">
        <f aca="false">IF(MONTH($A91)=MONTH($A90),IF(G91=0,I90,G91),G91)</f>
        <v>0</v>
      </c>
      <c r="J91" s="124" t="n">
        <f aca="false">IF(MONTH($A91)=MONTH($A90),SUM(I91-I90),I91)</f>
        <v>0</v>
      </c>
      <c r="K91" s="124" t="n">
        <f aca="false">IF(WEEKDAY(A91,3)&gt;4,0,(IF(A91&lt;K$2,0,IF(A91&lt;=K$3,1,0))))</f>
        <v>0</v>
      </c>
      <c r="L91" s="124" t="n">
        <f aca="false">J91*K91</f>
        <v>0</v>
      </c>
      <c r="M91" s="124" t="n">
        <f aca="false">SUM(J$6:J91)</f>
        <v>0</v>
      </c>
      <c r="N91" s="124" t="n">
        <f aca="false">SUM(J$6:J91)</f>
        <v>0</v>
      </c>
      <c r="P91" s="124" t="n">
        <f aca="false">D91/P$3</f>
        <v>0</v>
      </c>
      <c r="Q91" s="143" t="n">
        <f aca="false">E91/P$3</f>
        <v>0.199188</v>
      </c>
      <c r="R91" s="124" t="n">
        <f aca="false">F91/R$3</f>
        <v>0</v>
      </c>
      <c r="S91" s="126" t="n">
        <f aca="false">J91/$R$3</f>
        <v>0</v>
      </c>
      <c r="T91" s="126" t="n">
        <f aca="false">L91/$R$3</f>
        <v>0</v>
      </c>
      <c r="U91" s="126" t="n">
        <f aca="false">I91/$R$3</f>
        <v>0</v>
      </c>
      <c r="V91" s="126" t="n">
        <f aca="false">M91/$R$3</f>
        <v>0</v>
      </c>
      <c r="W91" s="126" t="n">
        <f aca="false">N91/$R$3</f>
        <v>0</v>
      </c>
    </row>
    <row r="92" customFormat="false" ht="12.75" hidden="true" customHeight="false" outlineLevel="0" collapsed="false">
      <c r="A92" s="120" t="n">
        <f aca="false">A91+1</f>
        <v>36978</v>
      </c>
      <c r="B92" s="131" t="str">
        <f aca="false">INDEX('Master Data'!$A$2:$B$8,MATCH(WEEKDAY('SC Total Power'!A92,3),'Master Data'!$A$2:$A$8,0),2)</f>
        <v>W</v>
      </c>
      <c r="D92" s="124" t="n">
        <v>0</v>
      </c>
      <c r="E92" s="124" t="n">
        <v>198411</v>
      </c>
      <c r="F92" s="124" t="n">
        <v>0</v>
      </c>
      <c r="G92" s="124" t="n">
        <v>0</v>
      </c>
      <c r="I92" s="124" t="n">
        <f aca="false">IF(MONTH($A92)=MONTH($A91),IF(G92=0,I91,G92),G92)</f>
        <v>0</v>
      </c>
      <c r="J92" s="124" t="n">
        <f aca="false">IF(MONTH($A92)=MONTH($A91),SUM(I92-I91),I92)</f>
        <v>0</v>
      </c>
      <c r="K92" s="124" t="n">
        <f aca="false">IF(WEEKDAY(A92,3)&gt;4,0,(IF(A92&lt;K$2,0,IF(A92&lt;=K$3,1,0))))</f>
        <v>0</v>
      </c>
      <c r="L92" s="124" t="n">
        <f aca="false">J92*K92</f>
        <v>0</v>
      </c>
      <c r="M92" s="124" t="n">
        <f aca="false">SUM(J$6:J92)</f>
        <v>0</v>
      </c>
      <c r="N92" s="124" t="n">
        <f aca="false">SUM(J$6:J92)</f>
        <v>0</v>
      </c>
      <c r="P92" s="124" t="n">
        <f aca="false">D92/P$3</f>
        <v>0</v>
      </c>
      <c r="Q92" s="143" t="n">
        <f aca="false">E92/P$3</f>
        <v>0.198411</v>
      </c>
      <c r="R92" s="124" t="n">
        <f aca="false">F92/R$3</f>
        <v>0</v>
      </c>
      <c r="S92" s="126" t="n">
        <f aca="false">J92/$R$3</f>
        <v>0</v>
      </c>
      <c r="T92" s="126" t="n">
        <f aca="false">L92/$R$3</f>
        <v>0</v>
      </c>
      <c r="U92" s="126" t="n">
        <f aca="false">I92/$R$3</f>
        <v>0</v>
      </c>
      <c r="V92" s="126" t="n">
        <f aca="false">M92/$R$3</f>
        <v>0</v>
      </c>
      <c r="W92" s="126" t="n">
        <f aca="false">N92/$R$3</f>
        <v>0</v>
      </c>
    </row>
    <row r="93" customFormat="false" ht="12.75" hidden="true" customHeight="false" outlineLevel="0" collapsed="false">
      <c r="A93" s="120" t="n">
        <f aca="false">A92+1</f>
        <v>36979</v>
      </c>
      <c r="B93" s="131" t="str">
        <f aca="false">INDEX('Master Data'!$A$2:$B$8,MATCH(WEEKDAY('SC Total Power'!A93,3),'Master Data'!$A$2:$A$8,0),2)</f>
        <v>Th</v>
      </c>
      <c r="D93" s="124" t="n">
        <v>0</v>
      </c>
      <c r="E93" s="124" t="n">
        <v>197677</v>
      </c>
      <c r="F93" s="124" t="n">
        <v>0</v>
      </c>
      <c r="G93" s="124" t="n">
        <v>0</v>
      </c>
      <c r="I93" s="124" t="n">
        <f aca="false">IF(MONTH($A93)=MONTH($A92),IF(G93=0,I92,G93),G93)</f>
        <v>0</v>
      </c>
      <c r="J93" s="124" t="n">
        <f aca="false">IF(MONTH($A93)=MONTH($A92),SUM(I93-I92),I93)</f>
        <v>0</v>
      </c>
      <c r="K93" s="124" t="n">
        <f aca="false">IF(WEEKDAY(A93,3)&gt;4,0,(IF(A93&lt;K$2,0,IF(A93&lt;=K$3,1,0))))</f>
        <v>0</v>
      </c>
      <c r="L93" s="124" t="n">
        <f aca="false">J93*K93</f>
        <v>0</v>
      </c>
      <c r="M93" s="124" t="n">
        <f aca="false">SUM(J$6:J93)</f>
        <v>0</v>
      </c>
      <c r="N93" s="124" t="n">
        <f aca="false">SUM(J$6:J93)</f>
        <v>0</v>
      </c>
      <c r="P93" s="124" t="n">
        <f aca="false">D93/P$3</f>
        <v>0</v>
      </c>
      <c r="Q93" s="143" t="n">
        <f aca="false">E93/P$3</f>
        <v>0.197677</v>
      </c>
      <c r="R93" s="124" t="n">
        <f aca="false">F93/R$3</f>
        <v>0</v>
      </c>
      <c r="S93" s="126" t="n">
        <f aca="false">J93/$R$3</f>
        <v>0</v>
      </c>
      <c r="T93" s="126" t="n">
        <f aca="false">L93/$R$3</f>
        <v>0</v>
      </c>
      <c r="U93" s="126" t="n">
        <f aca="false">I93/$R$3</f>
        <v>0</v>
      </c>
      <c r="V93" s="126" t="n">
        <f aca="false">M93/$R$3</f>
        <v>0</v>
      </c>
      <c r="W93" s="126" t="n">
        <f aca="false">N93/$R$3</f>
        <v>0</v>
      </c>
    </row>
    <row r="94" customFormat="false" ht="12.75" hidden="false" customHeight="false" outlineLevel="0" collapsed="false">
      <c r="A94" s="120" t="n">
        <f aca="false">A93+1</f>
        <v>36980</v>
      </c>
      <c r="B94" s="131" t="str">
        <f aca="false">INDEX('Master Data'!$A$2:$B$8,MATCH(WEEKDAY('SC Total Power'!A94,3),'Master Data'!$A$2:$A$8,0),2)</f>
        <v>F</v>
      </c>
      <c r="D94" s="124" t="n">
        <v>0</v>
      </c>
      <c r="E94" s="124" t="n">
        <v>196318</v>
      </c>
      <c r="F94" s="124" t="n">
        <v>0</v>
      </c>
      <c r="G94" s="124" t="n">
        <v>0</v>
      </c>
      <c r="I94" s="124" t="n">
        <f aca="false">IF(MONTH($A94)=MONTH($A93),IF(G94=0,I93,G94),G94)</f>
        <v>0</v>
      </c>
      <c r="J94" s="124" t="n">
        <f aca="false">IF(MONTH($A94)=MONTH($A93),SUM(I94-I93),I94)</f>
        <v>0</v>
      </c>
      <c r="K94" s="124" t="n">
        <f aca="false">IF(WEEKDAY(A94,3)&gt;4,0,(IF(A94&lt;K$2,0,IF(A94&lt;=K$3,1,0))))</f>
        <v>0</v>
      </c>
      <c r="L94" s="124" t="n">
        <f aca="false">J94*K94</f>
        <v>0</v>
      </c>
      <c r="M94" s="124" t="n">
        <f aca="false">SUM(J$6:J94)</f>
        <v>0</v>
      </c>
      <c r="N94" s="124" t="n">
        <f aca="false">SUM(J$6:J94)</f>
        <v>0</v>
      </c>
      <c r="P94" s="124" t="n">
        <f aca="false">D94/P$3</f>
        <v>0</v>
      </c>
      <c r="Q94" s="143" t="n">
        <f aca="false">E94/P$3</f>
        <v>0.196318</v>
      </c>
      <c r="R94" s="124" t="n">
        <f aca="false">F94/R$3</f>
        <v>0</v>
      </c>
      <c r="S94" s="126" t="n">
        <f aca="false">J94/$R$3</f>
        <v>0</v>
      </c>
      <c r="T94" s="126" t="n">
        <f aca="false">L94/$R$3</f>
        <v>0</v>
      </c>
      <c r="U94" s="126" t="n">
        <f aca="false">I94/$R$3</f>
        <v>0</v>
      </c>
      <c r="V94" s="126" t="n">
        <f aca="false">M94/$R$3</f>
        <v>0</v>
      </c>
      <c r="W94" s="126" t="n">
        <f aca="false">N94/$R$3</f>
        <v>0</v>
      </c>
    </row>
    <row r="95" customFormat="false" ht="12.75" hidden="true" customHeight="false" outlineLevel="0" collapsed="false">
      <c r="A95" s="120" t="n">
        <f aca="false">A94+1</f>
        <v>36981</v>
      </c>
      <c r="B95" s="131" t="str">
        <f aca="false">INDEX('Master Data'!$A$2:$B$8,MATCH(WEEKDAY('SC Total Power'!A95,3),'Master Data'!$A$2:$A$8,0),2)</f>
        <v>Sa</v>
      </c>
      <c r="D95" s="124" t="n">
        <v>0</v>
      </c>
      <c r="E95" s="124" t="n">
        <v>0</v>
      </c>
      <c r="F95" s="124" t="n">
        <v>0</v>
      </c>
      <c r="G95" s="124" t="n">
        <v>0</v>
      </c>
      <c r="I95" s="124" t="n">
        <f aca="false">IF(MONTH($A95)=MONTH($A94),IF(G95=0,I94,G95),G95)</f>
        <v>0</v>
      </c>
      <c r="J95" s="124" t="n">
        <f aca="false">IF(MONTH($A95)=MONTH($A94),SUM(I95-I94),I95)</f>
        <v>0</v>
      </c>
      <c r="K95" s="124" t="n">
        <f aca="false">IF(WEEKDAY(A95,3)&gt;4,0,(IF(A95&lt;K$2,0,IF(A95&lt;=K$3,1,0))))</f>
        <v>0</v>
      </c>
      <c r="L95" s="124" t="n">
        <f aca="false">J95*K95</f>
        <v>0</v>
      </c>
      <c r="M95" s="124" t="n">
        <f aca="false">SUM(J$6:J95)</f>
        <v>0</v>
      </c>
      <c r="N95" s="124" t="n">
        <f aca="false">SUM(J$6:J95)</f>
        <v>0</v>
      </c>
      <c r="P95" s="124" t="n">
        <f aca="false">D95/P$3</f>
        <v>0</v>
      </c>
      <c r="Q95" s="143" t="n">
        <f aca="false">E95/P$3</f>
        <v>0</v>
      </c>
      <c r="R95" s="124" t="n">
        <f aca="false">F95/R$3</f>
        <v>0</v>
      </c>
      <c r="S95" s="126" t="n">
        <f aca="false">J95/$R$3</f>
        <v>0</v>
      </c>
      <c r="T95" s="126" t="n">
        <f aca="false">L95/$R$3</f>
        <v>0</v>
      </c>
      <c r="U95" s="126" t="n">
        <f aca="false">I95/$R$3</f>
        <v>0</v>
      </c>
      <c r="V95" s="126" t="n">
        <f aca="false">M95/$R$3</f>
        <v>0</v>
      </c>
      <c r="W95" s="126" t="n">
        <f aca="false">N95/$R$3</f>
        <v>0</v>
      </c>
    </row>
    <row r="96" customFormat="false" ht="12.75" hidden="true" customHeight="false" outlineLevel="0" collapsed="false">
      <c r="A96" s="120" t="n">
        <f aca="false">A95+1</f>
        <v>36982</v>
      </c>
      <c r="B96" s="131" t="str">
        <f aca="false">INDEX('Master Data'!$A$2:$B$8,MATCH(WEEKDAY('SC Total Power'!A96,3),'Master Data'!$A$2:$A$8,0),2)</f>
        <v>Su</v>
      </c>
      <c r="D96" s="124" t="n">
        <v>0</v>
      </c>
      <c r="E96" s="124" t="n">
        <v>0</v>
      </c>
      <c r="F96" s="124" t="n">
        <v>0</v>
      </c>
      <c r="G96" s="124" t="n">
        <v>0</v>
      </c>
      <c r="I96" s="124" t="n">
        <f aca="false">IF(MONTH($A96)=MONTH($A95),IF(G96=0,I95,G96),G96)</f>
        <v>0</v>
      </c>
      <c r="J96" s="124" t="n">
        <f aca="false">IF(MONTH($A96)=MONTH($A95),SUM(I96-I95),I96)</f>
        <v>0</v>
      </c>
      <c r="K96" s="124" t="n">
        <f aca="false">IF(WEEKDAY(A96,3)&gt;4,0,(IF(A96&lt;K$2,0,IF(A96&lt;=K$3,1,0))))</f>
        <v>0</v>
      </c>
      <c r="L96" s="124" t="n">
        <f aca="false">J96*K96</f>
        <v>0</v>
      </c>
      <c r="M96" s="124" t="n">
        <f aca="false">SUM(J$6:J96)</f>
        <v>0</v>
      </c>
      <c r="N96" s="124" t="n">
        <f aca="false">SUM(J$6:J96)</f>
        <v>0</v>
      </c>
      <c r="P96" s="124" t="n">
        <f aca="false">D96/P$3</f>
        <v>0</v>
      </c>
      <c r="Q96" s="143" t="n">
        <f aca="false">E96/P$3</f>
        <v>0</v>
      </c>
      <c r="R96" s="124" t="n">
        <f aca="false">F96/R$3</f>
        <v>0</v>
      </c>
      <c r="S96" s="126" t="n">
        <f aca="false">J96/$R$3</f>
        <v>0</v>
      </c>
      <c r="T96" s="126" t="n">
        <f aca="false">L96/$R$3</f>
        <v>0</v>
      </c>
      <c r="U96" s="126" t="n">
        <f aca="false">I96/$R$3</f>
        <v>0</v>
      </c>
      <c r="V96" s="126" t="n">
        <f aca="false">M96/$R$3</f>
        <v>0</v>
      </c>
      <c r="W96" s="126" t="n">
        <f aca="false">N96/$R$3</f>
        <v>0</v>
      </c>
    </row>
    <row r="97" customFormat="false" ht="12.75" hidden="true" customHeight="false" outlineLevel="0" collapsed="false">
      <c r="A97" s="120" t="n">
        <f aca="false">A96+1</f>
        <v>36983</v>
      </c>
      <c r="B97" s="131" t="str">
        <f aca="false">INDEX('Master Data'!$A$2:$B$8,MATCH(WEEKDAY('SC Total Power'!A97,3),'Master Data'!$A$2:$A$8,0),2)</f>
        <v>M</v>
      </c>
      <c r="D97" s="124" t="n">
        <v>0</v>
      </c>
      <c r="E97" s="124" t="n">
        <v>194974</v>
      </c>
      <c r="F97" s="124" t="n">
        <v>0</v>
      </c>
      <c r="G97" s="124" t="n">
        <v>0</v>
      </c>
      <c r="I97" s="124" t="n">
        <f aca="false">IF(MONTH($A97)=MONTH($A96),IF(G97=0,I96,G97),G97)</f>
        <v>0</v>
      </c>
      <c r="J97" s="124" t="n">
        <f aca="false">IF(MONTH($A97)=MONTH($A96),SUM(I97-I96),I97)</f>
        <v>0</v>
      </c>
      <c r="K97" s="124" t="n">
        <f aca="false">IF(WEEKDAY(A97,3)&gt;4,0,(IF(A97&lt;K$2,0,IF(A97&lt;=K$3,1,0))))</f>
        <v>0</v>
      </c>
      <c r="L97" s="124" t="n">
        <f aca="false">J97*K97</f>
        <v>0</v>
      </c>
      <c r="M97" s="124" t="n">
        <f aca="false">SUM(J$97:J97)</f>
        <v>0</v>
      </c>
      <c r="N97" s="124" t="n">
        <f aca="false">SUM(J$6:J97)</f>
        <v>0</v>
      </c>
      <c r="P97" s="124" t="n">
        <f aca="false">D97/P$3</f>
        <v>0</v>
      </c>
      <c r="Q97" s="143" t="n">
        <f aca="false">E97/P$3</f>
        <v>0.194974</v>
      </c>
      <c r="R97" s="124" t="n">
        <f aca="false">F97/R$3</f>
        <v>0</v>
      </c>
      <c r="S97" s="126" t="n">
        <f aca="false">J97/$R$3</f>
        <v>0</v>
      </c>
      <c r="T97" s="126" t="n">
        <f aca="false">L97/$R$3</f>
        <v>0</v>
      </c>
      <c r="U97" s="126" t="n">
        <f aca="false">I97/$R$3</f>
        <v>0</v>
      </c>
      <c r="V97" s="126" t="n">
        <f aca="false">M97/$R$3</f>
        <v>0</v>
      </c>
      <c r="W97" s="126" t="n">
        <f aca="false">N97/$R$3</f>
        <v>0</v>
      </c>
    </row>
    <row r="98" customFormat="false" ht="12.75" hidden="true" customHeight="false" outlineLevel="0" collapsed="false">
      <c r="A98" s="120" t="n">
        <f aca="false">A97+1</f>
        <v>36984</v>
      </c>
      <c r="B98" s="131" t="str">
        <f aca="false">INDEX('Master Data'!$A$2:$B$8,MATCH(WEEKDAY('SC Total Power'!A98,3),'Master Data'!$A$2:$A$8,0),2)</f>
        <v>T</v>
      </c>
      <c r="D98" s="124" t="n">
        <v>0</v>
      </c>
      <c r="E98" s="124" t="n">
        <v>194256</v>
      </c>
      <c r="F98" s="124" t="n">
        <v>0</v>
      </c>
      <c r="G98" s="124" t="n">
        <v>0</v>
      </c>
      <c r="I98" s="124" t="n">
        <f aca="false">IF(MONTH($A98)=MONTH($A97),IF(G98=0,I97,G98),G98)</f>
        <v>0</v>
      </c>
      <c r="J98" s="124" t="n">
        <f aca="false">IF(MONTH($A98)=MONTH($A97),SUM(I98-I97),I98)</f>
        <v>0</v>
      </c>
      <c r="K98" s="124" t="n">
        <f aca="false">IF(WEEKDAY(A98,3)&gt;4,0,(IF(A98&lt;K$2,0,IF(A98&lt;=K$3,1,0))))</f>
        <v>0</v>
      </c>
      <c r="L98" s="124" t="n">
        <f aca="false">J98*K98</f>
        <v>0</v>
      </c>
      <c r="M98" s="124" t="n">
        <f aca="false">SUM(J$97:J98)</f>
        <v>0</v>
      </c>
      <c r="N98" s="124" t="n">
        <f aca="false">SUM(J$6:J98)</f>
        <v>0</v>
      </c>
      <c r="P98" s="124" t="n">
        <f aca="false">D98/P$3</f>
        <v>0</v>
      </c>
      <c r="Q98" s="143" t="n">
        <f aca="false">E98/P$3</f>
        <v>0.194256</v>
      </c>
      <c r="R98" s="124" t="n">
        <f aca="false">F98/R$3</f>
        <v>0</v>
      </c>
      <c r="S98" s="126" t="n">
        <f aca="false">J98/$R$3</f>
        <v>0</v>
      </c>
      <c r="T98" s="126" t="n">
        <f aca="false">L98/$R$3</f>
        <v>0</v>
      </c>
      <c r="U98" s="126" t="n">
        <f aca="false">I98/$R$3</f>
        <v>0</v>
      </c>
      <c r="V98" s="126" t="n">
        <f aca="false">M98/$R$3</f>
        <v>0</v>
      </c>
      <c r="W98" s="126" t="n">
        <f aca="false">N98/$R$3</f>
        <v>0</v>
      </c>
    </row>
    <row r="99" customFormat="false" ht="12.75" hidden="true" customHeight="false" outlineLevel="0" collapsed="false">
      <c r="A99" s="120" t="n">
        <f aca="false">A98+1</f>
        <v>36985</v>
      </c>
      <c r="B99" s="131" t="str">
        <f aca="false">INDEX('Master Data'!$A$2:$B$8,MATCH(WEEKDAY('SC Total Power'!A99,3),'Master Data'!$A$2:$A$8,0),2)</f>
        <v>W</v>
      </c>
      <c r="D99" s="124" t="n">
        <v>0</v>
      </c>
      <c r="E99" s="124" t="n">
        <v>193547</v>
      </c>
      <c r="F99" s="124" t="n">
        <v>0</v>
      </c>
      <c r="G99" s="124" t="n">
        <v>0</v>
      </c>
      <c r="I99" s="124" t="n">
        <f aca="false">IF(MONTH($A99)=MONTH($A98),IF(G99=0,I98,G99),G99)</f>
        <v>0</v>
      </c>
      <c r="J99" s="124" t="n">
        <f aca="false">IF(MONTH($A99)=MONTH($A98),SUM(I99-I98),I99)</f>
        <v>0</v>
      </c>
      <c r="K99" s="124" t="n">
        <f aca="false">IF(WEEKDAY(A99,3)&gt;4,0,(IF(A99&lt;K$2,0,IF(A99&lt;=K$3,1,0))))</f>
        <v>0</v>
      </c>
      <c r="L99" s="124" t="n">
        <f aca="false">J99*K99</f>
        <v>0</v>
      </c>
      <c r="M99" s="124" t="n">
        <f aca="false">SUM(J$97:J99)</f>
        <v>0</v>
      </c>
      <c r="N99" s="124" t="n">
        <f aca="false">SUM(J$6:J99)</f>
        <v>0</v>
      </c>
      <c r="P99" s="124" t="n">
        <f aca="false">D99/P$3</f>
        <v>0</v>
      </c>
      <c r="Q99" s="143" t="n">
        <f aca="false">E99/P$3</f>
        <v>0.193547</v>
      </c>
      <c r="R99" s="124" t="n">
        <f aca="false">F99/R$3</f>
        <v>0</v>
      </c>
      <c r="S99" s="126" t="n">
        <f aca="false">J99/$R$3</f>
        <v>0</v>
      </c>
      <c r="T99" s="126" t="n">
        <f aca="false">L99/$R$3</f>
        <v>0</v>
      </c>
      <c r="U99" s="126" t="n">
        <f aca="false">I99/$R$3</f>
        <v>0</v>
      </c>
      <c r="V99" s="126" t="n">
        <f aca="false">M99/$R$3</f>
        <v>0</v>
      </c>
      <c r="W99" s="126" t="n">
        <f aca="false">N99/$R$3</f>
        <v>0</v>
      </c>
    </row>
    <row r="100" customFormat="false" ht="12.75" hidden="true" customHeight="false" outlineLevel="0" collapsed="false">
      <c r="A100" s="120" t="n">
        <f aca="false">A99+1</f>
        <v>36986</v>
      </c>
      <c r="B100" s="131" t="str">
        <f aca="false">INDEX('Master Data'!$A$2:$B$8,MATCH(WEEKDAY('SC Total Power'!A100,3),'Master Data'!$A$2:$A$8,0),2)</f>
        <v>Th</v>
      </c>
      <c r="D100" s="124" t="n">
        <v>0</v>
      </c>
      <c r="E100" s="124" t="n">
        <v>192857</v>
      </c>
      <c r="F100" s="124" t="n">
        <v>0</v>
      </c>
      <c r="G100" s="124" t="n">
        <v>0</v>
      </c>
      <c r="I100" s="124" t="n">
        <f aca="false">IF(MONTH($A100)=MONTH($A99),IF(G100=0,I99,G100),G100)</f>
        <v>0</v>
      </c>
      <c r="J100" s="124" t="n">
        <f aca="false">IF(MONTH($A100)=MONTH($A99),SUM(I100-I99),I100)</f>
        <v>0</v>
      </c>
      <c r="K100" s="124" t="n">
        <f aca="false">IF(WEEKDAY(A100,3)&gt;4,0,(IF(A100&lt;K$2,0,IF(A100&lt;=K$3,1,0))))</f>
        <v>0</v>
      </c>
      <c r="L100" s="124" t="n">
        <f aca="false">J100*K100</f>
        <v>0</v>
      </c>
      <c r="M100" s="124" t="n">
        <f aca="false">SUM(J$97:J100)</f>
        <v>0</v>
      </c>
      <c r="N100" s="124" t="n">
        <f aca="false">SUM(J$6:J100)</f>
        <v>0</v>
      </c>
      <c r="P100" s="124" t="n">
        <f aca="false">D100/P$3</f>
        <v>0</v>
      </c>
      <c r="Q100" s="143" t="n">
        <f aca="false">E100/P$3</f>
        <v>0.192857</v>
      </c>
      <c r="R100" s="124" t="n">
        <f aca="false">F100/R$3</f>
        <v>0</v>
      </c>
      <c r="S100" s="126" t="n">
        <f aca="false">J100/$R$3</f>
        <v>0</v>
      </c>
      <c r="T100" s="126" t="n">
        <f aca="false">L100/$R$3</f>
        <v>0</v>
      </c>
      <c r="U100" s="126" t="n">
        <f aca="false">I100/$R$3</f>
        <v>0</v>
      </c>
      <c r="V100" s="126" t="n">
        <f aca="false">M100/$R$3</f>
        <v>0</v>
      </c>
      <c r="W100" s="126" t="n">
        <f aca="false">N100/$R$3</f>
        <v>0</v>
      </c>
    </row>
    <row r="101" customFormat="false" ht="12.75" hidden="true" customHeight="false" outlineLevel="0" collapsed="false">
      <c r="A101" s="120" t="n">
        <f aca="false">A100+1</f>
        <v>36987</v>
      </c>
      <c r="B101" s="131" t="str">
        <f aca="false">INDEX('Master Data'!$A$2:$B$8,MATCH(WEEKDAY('SC Total Power'!A101,3),'Master Data'!$A$2:$A$8,0),2)</f>
        <v>F</v>
      </c>
      <c r="D101" s="124" t="n">
        <v>0</v>
      </c>
      <c r="E101" s="124" t="n">
        <v>192102</v>
      </c>
      <c r="F101" s="124" t="n">
        <v>0</v>
      </c>
      <c r="G101" s="124" t="n">
        <v>0</v>
      </c>
      <c r="I101" s="124" t="n">
        <f aca="false">IF(MONTH($A101)=MONTH($A100),IF(G101=0,I100,G101),G101)</f>
        <v>0</v>
      </c>
      <c r="J101" s="124" t="n">
        <f aca="false">IF(MONTH($A101)=MONTH($A100),SUM(I101-I100),I101)</f>
        <v>0</v>
      </c>
      <c r="K101" s="124" t="n">
        <f aca="false">IF(WEEKDAY(A101,3)&gt;4,0,(IF(A101&lt;K$2,0,IF(A101&lt;=K$3,1,0))))</f>
        <v>0</v>
      </c>
      <c r="L101" s="124" t="n">
        <f aca="false">J101*K101</f>
        <v>0</v>
      </c>
      <c r="M101" s="124" t="n">
        <f aca="false">SUM(J$97:J101)</f>
        <v>0</v>
      </c>
      <c r="N101" s="124" t="n">
        <f aca="false">SUM(J$6:J101)</f>
        <v>0</v>
      </c>
      <c r="P101" s="124" t="n">
        <f aca="false">D101/P$3</f>
        <v>0</v>
      </c>
      <c r="Q101" s="143" t="n">
        <f aca="false">E101/P$3</f>
        <v>0.192102</v>
      </c>
      <c r="R101" s="124" t="n">
        <f aca="false">F101/R$3</f>
        <v>0</v>
      </c>
      <c r="S101" s="126" t="n">
        <f aca="false">J101/$R$3</f>
        <v>0</v>
      </c>
      <c r="T101" s="126" t="n">
        <f aca="false">L101/$R$3</f>
        <v>0</v>
      </c>
      <c r="U101" s="126" t="n">
        <f aca="false">I101/$R$3</f>
        <v>0</v>
      </c>
      <c r="V101" s="126" t="n">
        <f aca="false">M101/$R$3</f>
        <v>0</v>
      </c>
      <c r="W101" s="126" t="n">
        <f aca="false">N101/$R$3</f>
        <v>0</v>
      </c>
    </row>
    <row r="102" customFormat="false" ht="12.75" hidden="true" customHeight="false" outlineLevel="0" collapsed="false">
      <c r="A102" s="120" t="n">
        <f aca="false">A101+1</f>
        <v>36988</v>
      </c>
      <c r="B102" s="131" t="str">
        <f aca="false">INDEX('Master Data'!$A$2:$B$8,MATCH(WEEKDAY('SC Total Power'!A102,3),'Master Data'!$A$2:$A$8,0),2)</f>
        <v>Sa</v>
      </c>
      <c r="D102" s="124" t="n">
        <v>0</v>
      </c>
      <c r="E102" s="124" t="n">
        <v>0</v>
      </c>
      <c r="F102" s="124" t="n">
        <v>0</v>
      </c>
      <c r="G102" s="124" t="n">
        <v>0</v>
      </c>
      <c r="I102" s="124" t="n">
        <f aca="false">IF(MONTH($A102)=MONTH($A101),IF(G102=0,I101,G102),G102)</f>
        <v>0</v>
      </c>
      <c r="J102" s="124" t="n">
        <f aca="false">IF(MONTH($A102)=MONTH($A101),SUM(I102-I101),I102)</f>
        <v>0</v>
      </c>
      <c r="K102" s="124" t="n">
        <f aca="false">IF(WEEKDAY(A102,3)&gt;4,0,(IF(A102&lt;K$2,0,IF(A102&lt;=K$3,1,0))))</f>
        <v>0</v>
      </c>
      <c r="L102" s="124" t="n">
        <f aca="false">J102*K102</f>
        <v>0</v>
      </c>
      <c r="M102" s="124" t="n">
        <f aca="false">SUM(J$97:J102)</f>
        <v>0</v>
      </c>
      <c r="N102" s="124" t="n">
        <f aca="false">SUM(J$6:J102)</f>
        <v>0</v>
      </c>
      <c r="P102" s="124" t="n">
        <f aca="false">D102/P$3</f>
        <v>0</v>
      </c>
      <c r="Q102" s="143" t="n">
        <f aca="false">E102/P$3</f>
        <v>0</v>
      </c>
      <c r="R102" s="124" t="n">
        <f aca="false">F102/R$3</f>
        <v>0</v>
      </c>
      <c r="S102" s="126" t="n">
        <f aca="false">J102/$R$3</f>
        <v>0</v>
      </c>
      <c r="T102" s="126" t="n">
        <f aca="false">L102/$R$3</f>
        <v>0</v>
      </c>
      <c r="U102" s="126" t="n">
        <f aca="false">I102/$R$3</f>
        <v>0</v>
      </c>
      <c r="V102" s="126" t="n">
        <f aca="false">M102/$R$3</f>
        <v>0</v>
      </c>
      <c r="W102" s="126" t="n">
        <f aca="false">N102/$R$3</f>
        <v>0</v>
      </c>
    </row>
    <row r="103" customFormat="false" ht="12.75" hidden="true" customHeight="false" outlineLevel="0" collapsed="false">
      <c r="A103" s="120" t="n">
        <f aca="false">A102+1</f>
        <v>36989</v>
      </c>
      <c r="B103" s="131" t="str">
        <f aca="false">INDEX('Master Data'!$A$2:$B$8,MATCH(WEEKDAY('SC Total Power'!A103,3),'Master Data'!$A$2:$A$8,0),2)</f>
        <v>Su</v>
      </c>
      <c r="D103" s="124" t="n">
        <v>0</v>
      </c>
      <c r="E103" s="124" t="n">
        <v>0</v>
      </c>
      <c r="F103" s="124" t="n">
        <v>0</v>
      </c>
      <c r="G103" s="124" t="n">
        <v>0</v>
      </c>
      <c r="I103" s="124" t="n">
        <f aca="false">IF(MONTH($A103)=MONTH($A102),IF(G103=0,I102,G103),G103)</f>
        <v>0</v>
      </c>
      <c r="J103" s="124" t="n">
        <f aca="false">IF(MONTH($A103)=MONTH($A102),SUM(I103-I102),I103)</f>
        <v>0</v>
      </c>
      <c r="K103" s="124" t="n">
        <f aca="false">IF(WEEKDAY(A103,3)&gt;4,0,(IF(A103&lt;K$2,0,IF(A103&lt;=K$3,1,0))))</f>
        <v>0</v>
      </c>
      <c r="L103" s="124" t="n">
        <f aca="false">J103*K103</f>
        <v>0</v>
      </c>
      <c r="M103" s="124" t="n">
        <f aca="false">SUM(J$97:J103)</f>
        <v>0</v>
      </c>
      <c r="N103" s="124" t="n">
        <f aca="false">SUM(J$6:J103)</f>
        <v>0</v>
      </c>
      <c r="P103" s="124" t="n">
        <f aca="false">D103/P$3</f>
        <v>0</v>
      </c>
      <c r="Q103" s="143" t="n">
        <f aca="false">E103/P$3</f>
        <v>0</v>
      </c>
      <c r="R103" s="124" t="n">
        <f aca="false">F103/R$3</f>
        <v>0</v>
      </c>
      <c r="S103" s="126" t="n">
        <f aca="false">J103/$R$3</f>
        <v>0</v>
      </c>
      <c r="T103" s="126" t="n">
        <f aca="false">L103/$R$3</f>
        <v>0</v>
      </c>
      <c r="U103" s="126" t="n">
        <f aca="false">I103/$R$3</f>
        <v>0</v>
      </c>
      <c r="V103" s="126" t="n">
        <f aca="false">M103/$R$3</f>
        <v>0</v>
      </c>
      <c r="W103" s="126" t="n">
        <f aca="false">N103/$R$3</f>
        <v>0</v>
      </c>
    </row>
    <row r="104" customFormat="false" ht="12.75" hidden="true" customHeight="false" outlineLevel="0" collapsed="false">
      <c r="A104" s="120" t="n">
        <f aca="false">A103+1</f>
        <v>36990</v>
      </c>
      <c r="B104" s="131" t="str">
        <f aca="false">INDEX('Master Data'!$A$2:$B$8,MATCH(WEEKDAY('SC Total Power'!A104,3),'Master Data'!$A$2:$A$8,0),2)</f>
        <v>M</v>
      </c>
      <c r="D104" s="124" t="n">
        <v>0</v>
      </c>
      <c r="E104" s="124" t="n">
        <v>190112</v>
      </c>
      <c r="F104" s="124" t="n">
        <v>0</v>
      </c>
      <c r="G104" s="124" t="n">
        <v>0</v>
      </c>
      <c r="I104" s="124" t="n">
        <f aca="false">IF(MONTH($A104)=MONTH($A103),IF(G104=0,I103,G104),G104)</f>
        <v>0</v>
      </c>
      <c r="J104" s="124" t="n">
        <f aca="false">IF(MONTH($A104)=MONTH($A103),SUM(I104-I103),I104)</f>
        <v>0</v>
      </c>
      <c r="K104" s="124" t="n">
        <f aca="false">IF(WEEKDAY(A104,3)&gt;4,0,(IF(A104&lt;K$2,0,IF(A104&lt;=K$3,1,0))))</f>
        <v>0</v>
      </c>
      <c r="L104" s="124" t="n">
        <f aca="false">J104*K104</f>
        <v>0</v>
      </c>
      <c r="M104" s="124" t="n">
        <f aca="false">SUM(J$97:J104)</f>
        <v>0</v>
      </c>
      <c r="N104" s="124" t="n">
        <f aca="false">SUM(J$6:J104)</f>
        <v>0</v>
      </c>
      <c r="P104" s="124" t="n">
        <f aca="false">D104/P$3</f>
        <v>0</v>
      </c>
      <c r="Q104" s="143" t="n">
        <f aca="false">E104/P$3</f>
        <v>0.190112</v>
      </c>
      <c r="R104" s="124" t="n">
        <f aca="false">F104/R$3</f>
        <v>0</v>
      </c>
      <c r="S104" s="126" t="n">
        <f aca="false">J104/$R$3</f>
        <v>0</v>
      </c>
      <c r="T104" s="126" t="n">
        <f aca="false">L104/$R$3</f>
        <v>0</v>
      </c>
      <c r="U104" s="126" t="n">
        <f aca="false">I104/$R$3</f>
        <v>0</v>
      </c>
      <c r="V104" s="126" t="n">
        <f aca="false">M104/$R$3</f>
        <v>0</v>
      </c>
      <c r="W104" s="126" t="n">
        <f aca="false">N104/$R$3</f>
        <v>0</v>
      </c>
    </row>
    <row r="105" customFormat="false" ht="12.75" hidden="true" customHeight="false" outlineLevel="0" collapsed="false">
      <c r="A105" s="120" t="n">
        <f aca="false">A104+1</f>
        <v>36991</v>
      </c>
      <c r="B105" s="131" t="str">
        <f aca="false">INDEX('Master Data'!$A$2:$B$8,MATCH(WEEKDAY('SC Total Power'!A105,3),'Master Data'!$A$2:$A$8,0),2)</f>
        <v>T</v>
      </c>
      <c r="D105" s="124" t="n">
        <v>0</v>
      </c>
      <c r="E105" s="124" t="n">
        <v>189822</v>
      </c>
      <c r="F105" s="124" t="n">
        <v>0</v>
      </c>
      <c r="G105" s="124" t="n">
        <v>0</v>
      </c>
      <c r="I105" s="124" t="n">
        <f aca="false">IF(MONTH($A105)=MONTH($A104),IF(G105=0,I104,G105),G105)</f>
        <v>0</v>
      </c>
      <c r="J105" s="124" t="n">
        <f aca="false">IF(MONTH($A105)=MONTH($A104),SUM(I105-I104),I105)</f>
        <v>0</v>
      </c>
      <c r="K105" s="124" t="n">
        <f aca="false">IF(WEEKDAY(A105,3)&gt;4,0,(IF(A105&lt;K$2,0,IF(A105&lt;=K$3,1,0))))</f>
        <v>0</v>
      </c>
      <c r="L105" s="124" t="n">
        <f aca="false">J105*K105</f>
        <v>0</v>
      </c>
      <c r="M105" s="124" t="n">
        <f aca="false">SUM(J$97:J105)</f>
        <v>0</v>
      </c>
      <c r="N105" s="124" t="n">
        <f aca="false">SUM(J$6:J105)</f>
        <v>0</v>
      </c>
      <c r="P105" s="124" t="n">
        <f aca="false">D105/P$3</f>
        <v>0</v>
      </c>
      <c r="Q105" s="143" t="n">
        <f aca="false">E105/P$3</f>
        <v>0.189822</v>
      </c>
      <c r="R105" s="124" t="n">
        <f aca="false">F105/R$3</f>
        <v>0</v>
      </c>
      <c r="S105" s="126" t="n">
        <f aca="false">J105/$R$3</f>
        <v>0</v>
      </c>
      <c r="T105" s="126" t="n">
        <f aca="false">L105/$R$3</f>
        <v>0</v>
      </c>
      <c r="U105" s="126" t="n">
        <f aca="false">I105/$R$3</f>
        <v>0</v>
      </c>
      <c r="V105" s="126" t="n">
        <f aca="false">M105/$R$3</f>
        <v>0</v>
      </c>
      <c r="W105" s="126" t="n">
        <f aca="false">N105/$R$3</f>
        <v>0</v>
      </c>
    </row>
    <row r="106" customFormat="false" ht="12.75" hidden="true" customHeight="false" outlineLevel="0" collapsed="false">
      <c r="A106" s="120" t="n">
        <f aca="false">A105+1</f>
        <v>36992</v>
      </c>
      <c r="B106" s="131" t="str">
        <f aca="false">INDEX('Master Data'!$A$2:$B$8,MATCH(WEEKDAY('SC Total Power'!A106,3),'Master Data'!$A$2:$A$8,0),2)</f>
        <v>W</v>
      </c>
      <c r="D106" s="124" t="n">
        <v>0</v>
      </c>
      <c r="E106" s="124" t="n">
        <v>188583</v>
      </c>
      <c r="F106" s="124" t="n">
        <v>0</v>
      </c>
      <c r="G106" s="124" t="n">
        <v>0</v>
      </c>
      <c r="I106" s="124" t="n">
        <f aca="false">IF(MONTH($A106)=MONTH($A105),IF(G106=0,I105,G106),G106)</f>
        <v>0</v>
      </c>
      <c r="J106" s="124" t="n">
        <f aca="false">IF(MONTH($A106)=MONTH($A105),SUM(I106-I105),I106)</f>
        <v>0</v>
      </c>
      <c r="K106" s="124" t="n">
        <f aca="false">IF(WEEKDAY(A106,3)&gt;4,0,(IF(A106&lt;K$2,0,IF(A106&lt;=K$3,1,0))))</f>
        <v>0</v>
      </c>
      <c r="L106" s="124" t="n">
        <f aca="false">J106*K106</f>
        <v>0</v>
      </c>
      <c r="M106" s="124" t="n">
        <f aca="false">SUM(J$97:J106)</f>
        <v>0</v>
      </c>
      <c r="N106" s="124" t="n">
        <f aca="false">SUM(J$6:J106)</f>
        <v>0</v>
      </c>
      <c r="P106" s="124" t="n">
        <f aca="false">D106/P$3</f>
        <v>0</v>
      </c>
      <c r="Q106" s="143" t="n">
        <f aca="false">E106/P$3</f>
        <v>0.188583</v>
      </c>
      <c r="R106" s="124" t="n">
        <f aca="false">F106/R$3</f>
        <v>0</v>
      </c>
      <c r="S106" s="126" t="n">
        <f aca="false">J106/$R$3</f>
        <v>0</v>
      </c>
      <c r="T106" s="126" t="n">
        <f aca="false">L106/$R$3</f>
        <v>0</v>
      </c>
      <c r="U106" s="126" t="n">
        <f aca="false">I106/$R$3</f>
        <v>0</v>
      </c>
      <c r="V106" s="126" t="n">
        <f aca="false">M106/$R$3</f>
        <v>0</v>
      </c>
      <c r="W106" s="126" t="n">
        <f aca="false">N106/$R$3</f>
        <v>0</v>
      </c>
    </row>
    <row r="107" customFormat="false" ht="12.75" hidden="true" customHeight="false" outlineLevel="0" collapsed="false">
      <c r="A107" s="120" t="n">
        <f aca="false">A106+1</f>
        <v>36993</v>
      </c>
      <c r="B107" s="131" t="str">
        <f aca="false">INDEX('Master Data'!$A$2:$B$8,MATCH(WEEKDAY('SC Total Power'!A107,3),'Master Data'!$A$2:$A$8,0),2)</f>
        <v>Th</v>
      </c>
      <c r="D107" s="124" t="n">
        <v>0</v>
      </c>
      <c r="E107" s="124" t="n">
        <v>187943</v>
      </c>
      <c r="F107" s="124" t="n">
        <v>0</v>
      </c>
      <c r="G107" s="124" t="n">
        <v>0</v>
      </c>
      <c r="I107" s="124" t="n">
        <f aca="false">IF(MONTH($A107)=MONTH($A106),IF(G107=0,I106,G107),G107)</f>
        <v>0</v>
      </c>
      <c r="J107" s="124" t="n">
        <f aca="false">IF(MONTH($A107)=MONTH($A106),SUM(I107-I106),I107)</f>
        <v>0</v>
      </c>
      <c r="K107" s="124" t="n">
        <f aca="false">IF(WEEKDAY(A107,3)&gt;4,0,(IF(A107&lt;K$2,0,IF(A107&lt;=K$3,1,0))))</f>
        <v>0</v>
      </c>
      <c r="L107" s="124" t="n">
        <f aca="false">J107*K107</f>
        <v>0</v>
      </c>
      <c r="M107" s="124" t="n">
        <f aca="false">SUM(J$97:J107)</f>
        <v>0</v>
      </c>
      <c r="N107" s="124" t="n">
        <f aca="false">SUM(J$6:J107)</f>
        <v>0</v>
      </c>
      <c r="P107" s="124" t="n">
        <f aca="false">D107/P$3</f>
        <v>0</v>
      </c>
      <c r="Q107" s="143" t="n">
        <f aca="false">E107/P$3</f>
        <v>0.187943</v>
      </c>
      <c r="R107" s="124" t="n">
        <f aca="false">F107/R$3</f>
        <v>0</v>
      </c>
      <c r="S107" s="126" t="n">
        <f aca="false">J107/$R$3</f>
        <v>0</v>
      </c>
      <c r="T107" s="126" t="n">
        <f aca="false">L107/$R$3</f>
        <v>0</v>
      </c>
      <c r="U107" s="126" t="n">
        <f aca="false">I107/$R$3</f>
        <v>0</v>
      </c>
      <c r="V107" s="126" t="n">
        <f aca="false">M107/$R$3</f>
        <v>0</v>
      </c>
      <c r="W107" s="126" t="n">
        <f aca="false">N107/$R$3</f>
        <v>0</v>
      </c>
    </row>
    <row r="108" customFormat="false" ht="12.75" hidden="true" customHeight="false" outlineLevel="0" collapsed="false">
      <c r="A108" s="120" t="n">
        <f aca="false">A107+1</f>
        <v>36994</v>
      </c>
      <c r="B108" s="131" t="str">
        <f aca="false">INDEX('Master Data'!$A$2:$B$8,MATCH(WEEKDAY('SC Total Power'!A108,3),'Master Data'!$A$2:$A$8,0),2)</f>
        <v>F</v>
      </c>
      <c r="D108" s="124" t="n">
        <v>0</v>
      </c>
      <c r="E108" s="124" t="n">
        <v>0</v>
      </c>
      <c r="F108" s="124" t="n">
        <v>0</v>
      </c>
      <c r="G108" s="124" t="n">
        <v>0</v>
      </c>
      <c r="I108" s="124" t="n">
        <f aca="false">IF(MONTH($A108)=MONTH($A107),IF(G108=0,I107,G108),G108)</f>
        <v>0</v>
      </c>
      <c r="J108" s="124" t="n">
        <f aca="false">IF(MONTH($A108)=MONTH($A107),SUM(I108-I107),I108)</f>
        <v>0</v>
      </c>
      <c r="K108" s="124" t="n">
        <f aca="false">IF(WEEKDAY(A108,3)&gt;4,0,(IF(A108&lt;K$2,0,IF(A108&lt;=K$3,1,0))))</f>
        <v>0</v>
      </c>
      <c r="L108" s="124" t="n">
        <f aca="false">J108*K108</f>
        <v>0</v>
      </c>
      <c r="M108" s="124" t="n">
        <f aca="false">SUM(J$97:J108)</f>
        <v>0</v>
      </c>
      <c r="N108" s="124" t="n">
        <f aca="false">SUM(J$6:J108)</f>
        <v>0</v>
      </c>
      <c r="P108" s="124" t="n">
        <f aca="false">D108/P$3</f>
        <v>0</v>
      </c>
      <c r="Q108" s="143" t="n">
        <f aca="false">E108/P$3</f>
        <v>0</v>
      </c>
      <c r="R108" s="124" t="n">
        <f aca="false">F108/R$3</f>
        <v>0</v>
      </c>
      <c r="S108" s="126" t="n">
        <f aca="false">J108/$R$3</f>
        <v>0</v>
      </c>
      <c r="T108" s="126" t="n">
        <f aca="false">L108/$R$3</f>
        <v>0</v>
      </c>
      <c r="U108" s="126" t="n">
        <f aca="false">I108/$R$3</f>
        <v>0</v>
      </c>
      <c r="V108" s="126" t="n">
        <f aca="false">M108/$R$3</f>
        <v>0</v>
      </c>
      <c r="W108" s="126" t="n">
        <f aca="false">N108/$R$3</f>
        <v>0</v>
      </c>
    </row>
    <row r="109" customFormat="false" ht="12.75" hidden="true" customHeight="false" outlineLevel="0" collapsed="false">
      <c r="A109" s="120" t="n">
        <f aca="false">A108+1</f>
        <v>36995</v>
      </c>
      <c r="B109" s="131" t="str">
        <f aca="false">INDEX('Master Data'!$A$2:$B$8,MATCH(WEEKDAY('SC Total Power'!A109,3),'Master Data'!$A$2:$A$8,0),2)</f>
        <v>Sa</v>
      </c>
      <c r="D109" s="124" t="n">
        <v>0</v>
      </c>
      <c r="E109" s="124" t="n">
        <v>0</v>
      </c>
      <c r="F109" s="124" t="n">
        <v>0</v>
      </c>
      <c r="G109" s="124" t="n">
        <v>0</v>
      </c>
      <c r="I109" s="124" t="n">
        <f aca="false">IF(MONTH($A109)=MONTH($A108),IF(G109=0,I108,G109),G109)</f>
        <v>0</v>
      </c>
      <c r="J109" s="124" t="n">
        <f aca="false">IF(MONTH($A109)=MONTH($A108),SUM(I109-I108),I109)</f>
        <v>0</v>
      </c>
      <c r="K109" s="124" t="n">
        <f aca="false">IF(WEEKDAY(A109,3)&gt;4,0,(IF(A109&lt;K$2,0,IF(A109&lt;=K$3,1,0))))</f>
        <v>0</v>
      </c>
      <c r="L109" s="124" t="n">
        <f aca="false">J109*K109</f>
        <v>0</v>
      </c>
      <c r="M109" s="124" t="n">
        <f aca="false">SUM(J$97:J109)</f>
        <v>0</v>
      </c>
      <c r="N109" s="124" t="n">
        <f aca="false">SUM(J$6:J109)</f>
        <v>0</v>
      </c>
      <c r="P109" s="124" t="n">
        <f aca="false">D109/P$3</f>
        <v>0</v>
      </c>
      <c r="Q109" s="143" t="n">
        <f aca="false">E109/P$3</f>
        <v>0</v>
      </c>
      <c r="R109" s="124" t="n">
        <f aca="false">F109/R$3</f>
        <v>0</v>
      </c>
      <c r="S109" s="126" t="n">
        <f aca="false">J109/$R$3</f>
        <v>0</v>
      </c>
      <c r="T109" s="126" t="n">
        <f aca="false">L109/$R$3</f>
        <v>0</v>
      </c>
      <c r="U109" s="126" t="n">
        <f aca="false">I109/$R$3</f>
        <v>0</v>
      </c>
      <c r="V109" s="126" t="n">
        <f aca="false">M109/$R$3</f>
        <v>0</v>
      </c>
      <c r="W109" s="126" t="n">
        <f aca="false">N109/$R$3</f>
        <v>0</v>
      </c>
    </row>
    <row r="110" customFormat="false" ht="12.75" hidden="true" customHeight="false" outlineLevel="0" collapsed="false">
      <c r="A110" s="120" t="n">
        <f aca="false">A109+1</f>
        <v>36996</v>
      </c>
      <c r="B110" s="131" t="str">
        <f aca="false">INDEX('Master Data'!$A$2:$B$8,MATCH(WEEKDAY('SC Total Power'!A110,3),'Master Data'!$A$2:$A$8,0),2)</f>
        <v>Su</v>
      </c>
      <c r="D110" s="124" t="n">
        <v>0</v>
      </c>
      <c r="E110" s="124" t="n">
        <v>0</v>
      </c>
      <c r="F110" s="124" t="n">
        <v>0</v>
      </c>
      <c r="G110" s="124" t="n">
        <v>0</v>
      </c>
      <c r="I110" s="124" t="n">
        <f aca="false">IF(MONTH($A110)=MONTH($A109),IF(G110=0,I109,G110),G110)</f>
        <v>0</v>
      </c>
      <c r="J110" s="124" t="n">
        <f aca="false">IF(MONTH($A110)=MONTH($A109),SUM(I110-I109),I110)</f>
        <v>0</v>
      </c>
      <c r="K110" s="124" t="n">
        <f aca="false">IF(WEEKDAY(A110,3)&gt;4,0,(IF(A110&lt;K$2,0,IF(A110&lt;=K$3,1,0))))</f>
        <v>0</v>
      </c>
      <c r="L110" s="124" t="n">
        <f aca="false">J110*K110</f>
        <v>0</v>
      </c>
      <c r="M110" s="124" t="n">
        <f aca="false">SUM(J$97:J110)</f>
        <v>0</v>
      </c>
      <c r="N110" s="124" t="n">
        <f aca="false">SUM(J$6:J110)</f>
        <v>0</v>
      </c>
      <c r="P110" s="124" t="n">
        <f aca="false">D110/P$3</f>
        <v>0</v>
      </c>
      <c r="Q110" s="143" t="n">
        <f aca="false">E110/P$3</f>
        <v>0</v>
      </c>
      <c r="R110" s="124" t="n">
        <f aca="false">F110/R$3</f>
        <v>0</v>
      </c>
      <c r="S110" s="126" t="n">
        <f aca="false">J110/$R$3</f>
        <v>0</v>
      </c>
      <c r="T110" s="126" t="n">
        <f aca="false">L110/$R$3</f>
        <v>0</v>
      </c>
      <c r="U110" s="126" t="n">
        <f aca="false">I110/$R$3</f>
        <v>0</v>
      </c>
      <c r="V110" s="126" t="n">
        <f aca="false">M110/$R$3</f>
        <v>0</v>
      </c>
      <c r="W110" s="126" t="n">
        <f aca="false">N110/$R$3</f>
        <v>0</v>
      </c>
    </row>
    <row r="111" customFormat="false" ht="12.75" hidden="true" customHeight="false" outlineLevel="0" collapsed="false">
      <c r="A111" s="120" t="n">
        <f aca="false">A110+1</f>
        <v>36997</v>
      </c>
      <c r="B111" s="131" t="str">
        <f aca="false">INDEX('Master Data'!$A$2:$B$8,MATCH(WEEKDAY('SC Total Power'!A111,3),'Master Data'!$A$2:$A$8,0),2)</f>
        <v>M</v>
      </c>
      <c r="D111" s="124" t="n">
        <v>0</v>
      </c>
      <c r="E111" s="124" t="n">
        <v>185252</v>
      </c>
      <c r="F111" s="124" t="n">
        <v>0</v>
      </c>
      <c r="G111" s="124" t="n">
        <v>0</v>
      </c>
      <c r="I111" s="124" t="n">
        <f aca="false">IF(MONTH($A111)=MONTH($A110),IF(G111=0,I110,G111),G111)</f>
        <v>0</v>
      </c>
      <c r="J111" s="124" t="n">
        <f aca="false">IF(MONTH($A111)=MONTH($A110),SUM(I111-I110),I111)</f>
        <v>0</v>
      </c>
      <c r="K111" s="124" t="n">
        <f aca="false">IF(WEEKDAY(A111,3)&gt;4,0,(IF(A111&lt;K$2,0,IF(A111&lt;=K$3,1,0))))</f>
        <v>0</v>
      </c>
      <c r="L111" s="124" t="n">
        <f aca="false">J111*K111</f>
        <v>0</v>
      </c>
      <c r="M111" s="124" t="n">
        <f aca="false">SUM(J$97:J111)</f>
        <v>0</v>
      </c>
      <c r="N111" s="124" t="n">
        <f aca="false">SUM(J$6:J111)</f>
        <v>0</v>
      </c>
      <c r="P111" s="124" t="n">
        <f aca="false">D111/P$3</f>
        <v>0</v>
      </c>
      <c r="Q111" s="143" t="n">
        <f aca="false">E111/P$3</f>
        <v>0.185252</v>
      </c>
      <c r="R111" s="124" t="n">
        <f aca="false">F111/R$3</f>
        <v>0</v>
      </c>
      <c r="S111" s="126" t="n">
        <f aca="false">J111/$R$3</f>
        <v>0</v>
      </c>
      <c r="T111" s="126" t="n">
        <f aca="false">L111/$R$3</f>
        <v>0</v>
      </c>
      <c r="U111" s="126" t="n">
        <f aca="false">I111/$R$3</f>
        <v>0</v>
      </c>
      <c r="V111" s="126" t="n">
        <f aca="false">M111/$R$3</f>
        <v>0</v>
      </c>
      <c r="W111" s="126" t="n">
        <f aca="false">N111/$R$3</f>
        <v>0</v>
      </c>
    </row>
    <row r="112" customFormat="false" ht="12.75" hidden="true" customHeight="false" outlineLevel="0" collapsed="false">
      <c r="A112" s="120" t="n">
        <f aca="false">A111+1</f>
        <v>36998</v>
      </c>
      <c r="B112" s="131" t="str">
        <f aca="false">INDEX('Master Data'!$A$2:$B$8,MATCH(WEEKDAY('SC Total Power'!A112,3),'Master Data'!$A$2:$A$8,0),2)</f>
        <v>T</v>
      </c>
      <c r="D112" s="124" t="n">
        <v>0</v>
      </c>
      <c r="E112" s="124" t="n">
        <v>184480</v>
      </c>
      <c r="F112" s="124" t="n">
        <v>0</v>
      </c>
      <c r="G112" s="124" t="n">
        <v>0</v>
      </c>
      <c r="I112" s="124" t="n">
        <f aca="false">IF(MONTH($A112)=MONTH($A111),IF(G112=0,I111,G112),G112)</f>
        <v>0</v>
      </c>
      <c r="J112" s="124" t="n">
        <f aca="false">IF(MONTH($A112)=MONTH($A111),SUM(I112-I111),I112)</f>
        <v>0</v>
      </c>
      <c r="K112" s="124" t="n">
        <f aca="false">IF(WEEKDAY(A112,3)&gt;4,0,(IF(A112&lt;K$2,0,IF(A112&lt;=K$3,1,0))))</f>
        <v>0</v>
      </c>
      <c r="L112" s="124" t="n">
        <f aca="false">J112*K112</f>
        <v>0</v>
      </c>
      <c r="M112" s="124" t="n">
        <f aca="false">SUM(J$97:J112)</f>
        <v>0</v>
      </c>
      <c r="N112" s="124" t="n">
        <f aca="false">SUM(J$6:J112)</f>
        <v>0</v>
      </c>
      <c r="P112" s="124" t="n">
        <f aca="false">D112/P$3</f>
        <v>0</v>
      </c>
      <c r="Q112" s="143" t="n">
        <f aca="false">E112/P$3</f>
        <v>0.18448</v>
      </c>
      <c r="R112" s="124" t="n">
        <f aca="false">F112/R$3</f>
        <v>0</v>
      </c>
      <c r="S112" s="126" t="n">
        <f aca="false">J112/$R$3</f>
        <v>0</v>
      </c>
      <c r="T112" s="126" t="n">
        <f aca="false">L112/$R$3</f>
        <v>0</v>
      </c>
      <c r="U112" s="126" t="n">
        <f aca="false">I112/$R$3</f>
        <v>0</v>
      </c>
      <c r="V112" s="126" t="n">
        <f aca="false">M112/$R$3</f>
        <v>0</v>
      </c>
      <c r="W112" s="126" t="n">
        <f aca="false">N112/$R$3</f>
        <v>0</v>
      </c>
    </row>
    <row r="113" customFormat="false" ht="12.75" hidden="true" customHeight="false" outlineLevel="0" collapsed="false">
      <c r="A113" s="120" t="n">
        <f aca="false">A112+1</f>
        <v>36999</v>
      </c>
      <c r="B113" s="131" t="str">
        <f aca="false">INDEX('Master Data'!$A$2:$B$8,MATCH(WEEKDAY('SC Total Power'!A113,3),'Master Data'!$A$2:$A$8,0),2)</f>
        <v>W</v>
      </c>
      <c r="D113" s="124" t="n">
        <v>0</v>
      </c>
      <c r="E113" s="124" t="n">
        <v>183770</v>
      </c>
      <c r="F113" s="124" t="n">
        <v>0</v>
      </c>
      <c r="G113" s="124" t="n">
        <v>0</v>
      </c>
      <c r="I113" s="124" t="n">
        <f aca="false">IF(MONTH($A113)=MONTH($A112),IF(G113=0,I112,G113),G113)</f>
        <v>0</v>
      </c>
      <c r="J113" s="124" t="n">
        <f aca="false">IF(MONTH($A113)=MONTH($A112),SUM(I113-I112),I113)</f>
        <v>0</v>
      </c>
      <c r="K113" s="124" t="n">
        <f aca="false">IF(WEEKDAY(A113,3)&gt;4,0,(IF(A113&lt;K$2,0,IF(A113&lt;=K$3,1,0))))</f>
        <v>0</v>
      </c>
      <c r="L113" s="124" t="n">
        <f aca="false">J113*K113</f>
        <v>0</v>
      </c>
      <c r="M113" s="124" t="n">
        <f aca="false">SUM(J$97:J113)</f>
        <v>0</v>
      </c>
      <c r="N113" s="124" t="n">
        <f aca="false">SUM(J$6:J113)</f>
        <v>0</v>
      </c>
      <c r="P113" s="124" t="n">
        <f aca="false">D113/P$3</f>
        <v>0</v>
      </c>
      <c r="Q113" s="143" t="n">
        <f aca="false">E113/P$3</f>
        <v>0.18377</v>
      </c>
      <c r="R113" s="124" t="n">
        <f aca="false">F113/R$3</f>
        <v>0</v>
      </c>
      <c r="S113" s="126" t="n">
        <f aca="false">J113/$R$3</f>
        <v>0</v>
      </c>
      <c r="T113" s="126" t="n">
        <f aca="false">L113/$R$3</f>
        <v>0</v>
      </c>
      <c r="U113" s="126" t="n">
        <f aca="false">I113/$R$3</f>
        <v>0</v>
      </c>
      <c r="V113" s="126" t="n">
        <f aca="false">M113/$R$3</f>
        <v>0</v>
      </c>
      <c r="W113" s="126" t="n">
        <f aca="false">N113/$R$3</f>
        <v>0</v>
      </c>
    </row>
    <row r="114" customFormat="false" ht="12.75" hidden="true" customHeight="false" outlineLevel="0" collapsed="false">
      <c r="A114" s="120" t="n">
        <f aca="false">A113+1</f>
        <v>37000</v>
      </c>
      <c r="B114" s="131" t="str">
        <f aca="false">INDEX('Master Data'!$A$2:$B$8,MATCH(WEEKDAY('SC Total Power'!A114,3),'Master Data'!$A$2:$A$8,0),2)</f>
        <v>Th</v>
      </c>
      <c r="D114" s="124" t="n">
        <v>0</v>
      </c>
      <c r="E114" s="124" t="n">
        <v>184312</v>
      </c>
      <c r="F114" s="124" t="n">
        <v>0</v>
      </c>
      <c r="G114" s="124" t="n">
        <v>0</v>
      </c>
      <c r="I114" s="124" t="n">
        <f aca="false">IF(MONTH($A114)=MONTH($A113),IF(G114=0,I113,G114),G114)</f>
        <v>0</v>
      </c>
      <c r="J114" s="124" t="n">
        <f aca="false">IF(MONTH($A114)=MONTH($A113),SUM(I114-I113),I114)</f>
        <v>0</v>
      </c>
      <c r="K114" s="124" t="n">
        <f aca="false">IF(WEEKDAY(A114,3)&gt;4,0,(IF(A114&lt;K$2,0,IF(A114&lt;=K$3,1,0))))</f>
        <v>0</v>
      </c>
      <c r="L114" s="124" t="n">
        <f aca="false">J114*K114</f>
        <v>0</v>
      </c>
      <c r="M114" s="124" t="n">
        <f aca="false">SUM(J$97:J114)</f>
        <v>0</v>
      </c>
      <c r="N114" s="124" t="n">
        <f aca="false">SUM(J$6:J114)</f>
        <v>0</v>
      </c>
      <c r="P114" s="124" t="n">
        <f aca="false">D114/P$3</f>
        <v>0</v>
      </c>
      <c r="Q114" s="143" t="n">
        <f aca="false">E114/P$3</f>
        <v>0.184312</v>
      </c>
      <c r="R114" s="124" t="n">
        <f aca="false">F114/R$3</f>
        <v>0</v>
      </c>
      <c r="S114" s="126" t="n">
        <f aca="false">J114/$R$3</f>
        <v>0</v>
      </c>
      <c r="T114" s="126" t="n">
        <f aca="false">L114/$R$3</f>
        <v>0</v>
      </c>
      <c r="U114" s="126" t="n">
        <f aca="false">I114/$R$3</f>
        <v>0</v>
      </c>
      <c r="V114" s="126" t="n">
        <f aca="false">M114/$R$3</f>
        <v>0</v>
      </c>
      <c r="W114" s="126" t="n">
        <f aca="false">N114/$R$3</f>
        <v>0</v>
      </c>
    </row>
    <row r="115" customFormat="false" ht="12.75" hidden="true" customHeight="false" outlineLevel="0" collapsed="false">
      <c r="A115" s="120" t="n">
        <f aca="false">A114+1</f>
        <v>37001</v>
      </c>
      <c r="B115" s="131" t="str">
        <f aca="false">INDEX('Master Data'!$A$2:$B$8,MATCH(WEEKDAY('SC Total Power'!A115,3),'Master Data'!$A$2:$A$8,0),2)</f>
        <v>F</v>
      </c>
      <c r="D115" s="124" t="n">
        <v>0</v>
      </c>
      <c r="E115" s="124" t="n">
        <v>182588</v>
      </c>
      <c r="F115" s="124" t="n">
        <v>0</v>
      </c>
      <c r="G115" s="124" t="n">
        <v>0</v>
      </c>
      <c r="I115" s="124" t="n">
        <f aca="false">IF(MONTH($A115)=MONTH($A114),IF(G115=0,I114,G115),G115)</f>
        <v>0</v>
      </c>
      <c r="J115" s="124" t="n">
        <f aca="false">IF(MONTH($A115)=MONTH($A114),SUM(I115-I114),I115)</f>
        <v>0</v>
      </c>
      <c r="K115" s="124" t="n">
        <f aca="false">IF(WEEKDAY(A115,3)&gt;4,0,(IF(A115&lt;K$2,0,IF(A115&lt;=K$3,1,0))))</f>
        <v>0</v>
      </c>
      <c r="L115" s="124" t="n">
        <f aca="false">J115*K115</f>
        <v>0</v>
      </c>
      <c r="M115" s="124" t="n">
        <f aca="false">SUM(J$97:J115)</f>
        <v>0</v>
      </c>
      <c r="N115" s="124" t="n">
        <f aca="false">SUM(J$6:J115)</f>
        <v>0</v>
      </c>
      <c r="P115" s="124" t="n">
        <f aca="false">D115/P$3</f>
        <v>0</v>
      </c>
      <c r="Q115" s="143" t="n">
        <f aca="false">E115/P$3</f>
        <v>0.182588</v>
      </c>
      <c r="R115" s="124" t="n">
        <f aca="false">F115/R$3</f>
        <v>0</v>
      </c>
      <c r="S115" s="126" t="n">
        <f aca="false">J115/$R$3</f>
        <v>0</v>
      </c>
      <c r="T115" s="126" t="n">
        <f aca="false">L115/$R$3</f>
        <v>0</v>
      </c>
      <c r="U115" s="126" t="n">
        <f aca="false">I115/$R$3</f>
        <v>0</v>
      </c>
      <c r="V115" s="126" t="n">
        <f aca="false">M115/$R$3</f>
        <v>0</v>
      </c>
      <c r="W115" s="126" t="n">
        <f aca="false">N115/$R$3</f>
        <v>0</v>
      </c>
    </row>
    <row r="116" customFormat="false" ht="12.75" hidden="true" customHeight="false" outlineLevel="0" collapsed="false">
      <c r="A116" s="120" t="n">
        <f aca="false">A115+1</f>
        <v>37002</v>
      </c>
      <c r="B116" s="131" t="str">
        <f aca="false">INDEX('Master Data'!$A$2:$B$8,MATCH(WEEKDAY('SC Total Power'!A116,3),'Master Data'!$A$2:$A$8,0),2)</f>
        <v>Sa</v>
      </c>
      <c r="D116" s="124" t="n">
        <v>0</v>
      </c>
      <c r="E116" s="124" t="n">
        <v>0</v>
      </c>
      <c r="F116" s="124" t="n">
        <v>0</v>
      </c>
      <c r="G116" s="124" t="n">
        <v>0</v>
      </c>
      <c r="I116" s="124" t="n">
        <f aca="false">IF(MONTH($A116)=MONTH($A115),IF(G116=0,I115,G116),G116)</f>
        <v>0</v>
      </c>
      <c r="J116" s="124" t="n">
        <f aca="false">IF(MONTH($A116)=MONTH($A115),SUM(I116-I115),I116)</f>
        <v>0</v>
      </c>
      <c r="K116" s="124" t="n">
        <f aca="false">IF(WEEKDAY(A116,3)&gt;4,0,(IF(A116&lt;K$2,0,IF(A116&lt;=K$3,1,0))))</f>
        <v>0</v>
      </c>
      <c r="L116" s="124" t="n">
        <f aca="false">J116*K116</f>
        <v>0</v>
      </c>
      <c r="M116" s="124" t="n">
        <f aca="false">SUM(J$97:J116)</f>
        <v>0</v>
      </c>
      <c r="N116" s="124" t="n">
        <f aca="false">SUM(J$6:J116)</f>
        <v>0</v>
      </c>
      <c r="P116" s="124" t="n">
        <f aca="false">D116/P$3</f>
        <v>0</v>
      </c>
      <c r="Q116" s="143" t="n">
        <f aca="false">E116/P$3</f>
        <v>0</v>
      </c>
      <c r="R116" s="124" t="n">
        <f aca="false">F116/R$3</f>
        <v>0</v>
      </c>
      <c r="S116" s="126" t="n">
        <f aca="false">J116/$R$3</f>
        <v>0</v>
      </c>
      <c r="T116" s="126" t="n">
        <f aca="false">L116/$R$3</f>
        <v>0</v>
      </c>
      <c r="U116" s="126" t="n">
        <f aca="false">I116/$R$3</f>
        <v>0</v>
      </c>
      <c r="V116" s="126" t="n">
        <f aca="false">M116/$R$3</f>
        <v>0</v>
      </c>
      <c r="W116" s="126" t="n">
        <f aca="false">N116/$R$3</f>
        <v>0</v>
      </c>
    </row>
    <row r="117" customFormat="false" ht="12.75" hidden="true" customHeight="false" outlineLevel="0" collapsed="false">
      <c r="A117" s="120" t="n">
        <f aca="false">A116+1</f>
        <v>37003</v>
      </c>
      <c r="B117" s="131" t="str">
        <f aca="false">INDEX('Master Data'!$A$2:$B$8,MATCH(WEEKDAY('SC Total Power'!A117,3),'Master Data'!$A$2:$A$8,0),2)</f>
        <v>Su</v>
      </c>
      <c r="D117" s="124" t="n">
        <v>0</v>
      </c>
      <c r="E117" s="124" t="n">
        <v>0</v>
      </c>
      <c r="F117" s="124" t="n">
        <v>0</v>
      </c>
      <c r="G117" s="124" t="n">
        <v>0</v>
      </c>
      <c r="I117" s="124" t="n">
        <f aca="false">IF(MONTH($A117)=MONTH($A116),IF(G117=0,I116,G117),G117)</f>
        <v>0</v>
      </c>
      <c r="J117" s="124" t="n">
        <f aca="false">IF(MONTH($A117)=MONTH($A116),SUM(I117-I116),I117)</f>
        <v>0</v>
      </c>
      <c r="K117" s="124" t="n">
        <f aca="false">IF(WEEKDAY(A117,3)&gt;4,0,(IF(A117&lt;K$2,0,IF(A117&lt;=K$3,1,0))))</f>
        <v>0</v>
      </c>
      <c r="L117" s="124" t="n">
        <f aca="false">J117*K117</f>
        <v>0</v>
      </c>
      <c r="M117" s="124" t="n">
        <f aca="false">SUM(J$97:J117)</f>
        <v>0</v>
      </c>
      <c r="N117" s="124" t="n">
        <f aca="false">SUM(J$6:J117)</f>
        <v>0</v>
      </c>
      <c r="P117" s="124" t="n">
        <f aca="false">D117/P$3</f>
        <v>0</v>
      </c>
      <c r="Q117" s="143" t="n">
        <f aca="false">E117/P$3</f>
        <v>0</v>
      </c>
      <c r="R117" s="124" t="n">
        <f aca="false">F117/R$3</f>
        <v>0</v>
      </c>
      <c r="S117" s="126" t="n">
        <f aca="false">J117/$R$3</f>
        <v>0</v>
      </c>
      <c r="T117" s="126" t="n">
        <f aca="false">L117/$R$3</f>
        <v>0</v>
      </c>
      <c r="U117" s="126" t="n">
        <f aca="false">I117/$R$3</f>
        <v>0</v>
      </c>
      <c r="V117" s="126" t="n">
        <f aca="false">M117/$R$3</f>
        <v>0</v>
      </c>
      <c r="W117" s="126" t="n">
        <f aca="false">N117/$R$3</f>
        <v>0</v>
      </c>
    </row>
    <row r="118" customFormat="false" ht="12.75" hidden="true" customHeight="false" outlineLevel="0" collapsed="false">
      <c r="A118" s="120" t="n">
        <f aca="false">A117+1</f>
        <v>37004</v>
      </c>
      <c r="B118" s="131" t="str">
        <f aca="false">INDEX('Master Data'!$A$2:$B$8,MATCH(WEEKDAY('SC Total Power'!A118,3),'Master Data'!$A$2:$A$8,0),2)</f>
        <v>M</v>
      </c>
      <c r="D118" s="124" t="n">
        <v>0</v>
      </c>
      <c r="E118" s="124" t="n">
        <v>180574</v>
      </c>
      <c r="F118" s="124" t="n">
        <v>0</v>
      </c>
      <c r="G118" s="124" t="n">
        <v>0</v>
      </c>
      <c r="I118" s="124" t="n">
        <f aca="false">IF(MONTH($A118)=MONTH($A117),IF(G118=0,I117,G118),G118)</f>
        <v>0</v>
      </c>
      <c r="J118" s="124" t="n">
        <f aca="false">IF(MONTH($A118)=MONTH($A117),SUM(I118-I117),I118)</f>
        <v>0</v>
      </c>
      <c r="K118" s="124" t="n">
        <f aca="false">IF(WEEKDAY(A118,3)&gt;4,0,(IF(A118&lt;K$2,0,IF(A118&lt;=K$3,1,0))))</f>
        <v>0</v>
      </c>
      <c r="L118" s="124" t="n">
        <f aca="false">J118*K118</f>
        <v>0</v>
      </c>
      <c r="M118" s="124" t="n">
        <f aca="false">SUM(J$97:J118)</f>
        <v>0</v>
      </c>
      <c r="N118" s="124" t="n">
        <f aca="false">SUM(J$6:J118)</f>
        <v>0</v>
      </c>
      <c r="P118" s="124" t="n">
        <f aca="false">D118/P$3</f>
        <v>0</v>
      </c>
      <c r="Q118" s="143" t="n">
        <f aca="false">E118/P$3</f>
        <v>0.180574</v>
      </c>
      <c r="R118" s="124" t="n">
        <f aca="false">F118/R$3</f>
        <v>0</v>
      </c>
      <c r="S118" s="126" t="n">
        <f aca="false">J118/$R$3</f>
        <v>0</v>
      </c>
      <c r="T118" s="126" t="n">
        <f aca="false">L118/$R$3</f>
        <v>0</v>
      </c>
      <c r="U118" s="126" t="n">
        <f aca="false">I118/$R$3</f>
        <v>0</v>
      </c>
      <c r="V118" s="126" t="n">
        <f aca="false">M118/$R$3</f>
        <v>0</v>
      </c>
      <c r="W118" s="126" t="n">
        <f aca="false">N118/$R$3</f>
        <v>0</v>
      </c>
    </row>
    <row r="119" customFormat="false" ht="12.75" hidden="true" customHeight="false" outlineLevel="0" collapsed="false">
      <c r="A119" s="120" t="n">
        <f aca="false">A118+1</f>
        <v>37005</v>
      </c>
      <c r="B119" s="131" t="str">
        <f aca="false">INDEX('Master Data'!$A$2:$B$8,MATCH(WEEKDAY('SC Total Power'!A119,3),'Master Data'!$A$2:$A$8,0),2)</f>
        <v>T</v>
      </c>
      <c r="D119" s="124" t="n">
        <v>0</v>
      </c>
      <c r="E119" s="124" t="n">
        <v>179875</v>
      </c>
      <c r="F119" s="124" t="n">
        <v>0</v>
      </c>
      <c r="G119" s="124" t="n">
        <v>0</v>
      </c>
      <c r="I119" s="124" t="n">
        <f aca="false">IF(MONTH($A119)=MONTH($A118),IF(G119=0,I118,G119),G119)</f>
        <v>0</v>
      </c>
      <c r="J119" s="124" t="n">
        <f aca="false">IF(MONTH($A119)=MONTH($A118),SUM(I119-I118),I119)</f>
        <v>0</v>
      </c>
      <c r="K119" s="124" t="n">
        <f aca="false">IF(WEEKDAY(A119,3)&gt;4,0,(IF(A119&lt;K$2,0,IF(A119&lt;=K$3,1,0))))</f>
        <v>0</v>
      </c>
      <c r="L119" s="124" t="n">
        <f aca="false">J119*K119</f>
        <v>0</v>
      </c>
      <c r="M119" s="124" t="n">
        <f aca="false">SUM(J$97:J119)</f>
        <v>0</v>
      </c>
      <c r="N119" s="124" t="n">
        <f aca="false">SUM(J$6:J119)</f>
        <v>0</v>
      </c>
      <c r="P119" s="124" t="n">
        <f aca="false">D119/P$3</f>
        <v>0</v>
      </c>
      <c r="Q119" s="143" t="n">
        <f aca="false">E119/P$3</f>
        <v>0.179875</v>
      </c>
      <c r="R119" s="124" t="n">
        <f aca="false">F119/R$3</f>
        <v>0</v>
      </c>
      <c r="S119" s="126" t="n">
        <f aca="false">J119/$R$3</f>
        <v>0</v>
      </c>
      <c r="T119" s="126" t="n">
        <f aca="false">L119/$R$3</f>
        <v>0</v>
      </c>
      <c r="U119" s="126" t="n">
        <f aca="false">I119/$R$3</f>
        <v>0</v>
      </c>
      <c r="V119" s="126" t="n">
        <f aca="false">M119/$R$3</f>
        <v>0</v>
      </c>
      <c r="W119" s="126" t="n">
        <f aca="false">N119/$R$3</f>
        <v>0</v>
      </c>
    </row>
    <row r="120" customFormat="false" ht="12.75" hidden="true" customHeight="false" outlineLevel="0" collapsed="false">
      <c r="A120" s="120" t="n">
        <f aca="false">A119+1</f>
        <v>37006</v>
      </c>
      <c r="B120" s="131" t="str">
        <f aca="false">INDEX('Master Data'!$A$2:$B$8,MATCH(WEEKDAY('SC Total Power'!A120,3),'Master Data'!$A$2:$A$8,0),2)</f>
        <v>W</v>
      </c>
      <c r="D120" s="124" t="n">
        <v>0</v>
      </c>
      <c r="E120" s="124" t="n">
        <v>179146</v>
      </c>
      <c r="F120" s="124" t="n">
        <v>0</v>
      </c>
      <c r="G120" s="124" t="n">
        <v>0</v>
      </c>
      <c r="I120" s="124" t="n">
        <f aca="false">IF(MONTH($A120)=MONTH($A119),IF(G120=0,I119,G120),G120)</f>
        <v>0</v>
      </c>
      <c r="J120" s="124" t="n">
        <f aca="false">IF(MONTH($A120)=MONTH($A119),SUM(I120-I119),I120)</f>
        <v>0</v>
      </c>
      <c r="K120" s="124" t="n">
        <f aca="false">IF(WEEKDAY(A120,3)&gt;4,0,(IF(A120&lt;K$2,0,IF(A120&lt;=K$3,1,0))))</f>
        <v>0</v>
      </c>
      <c r="L120" s="124" t="n">
        <f aca="false">J120*K120</f>
        <v>0</v>
      </c>
      <c r="M120" s="124" t="n">
        <f aca="false">SUM(J$97:J120)</f>
        <v>0</v>
      </c>
      <c r="N120" s="124" t="n">
        <f aca="false">SUM(J$6:J120)</f>
        <v>0</v>
      </c>
      <c r="P120" s="124" t="n">
        <f aca="false">D120/P$3</f>
        <v>0</v>
      </c>
      <c r="Q120" s="143" t="n">
        <f aca="false">E120/P$3</f>
        <v>0.179146</v>
      </c>
      <c r="R120" s="124" t="n">
        <f aca="false">F120/R$3</f>
        <v>0</v>
      </c>
      <c r="S120" s="126" t="n">
        <f aca="false">J120/$R$3</f>
        <v>0</v>
      </c>
      <c r="T120" s="126" t="n">
        <f aca="false">L120/$R$3</f>
        <v>0</v>
      </c>
      <c r="U120" s="126" t="n">
        <f aca="false">I120/$R$3</f>
        <v>0</v>
      </c>
      <c r="V120" s="126" t="n">
        <f aca="false">M120/$R$3</f>
        <v>0</v>
      </c>
      <c r="W120" s="126" t="n">
        <f aca="false">N120/$R$3</f>
        <v>0</v>
      </c>
    </row>
    <row r="121" customFormat="false" ht="12.75" hidden="true" customHeight="false" outlineLevel="0" collapsed="false">
      <c r="A121" s="120" t="n">
        <f aca="false">A120+1</f>
        <v>37007</v>
      </c>
      <c r="B121" s="131" t="str">
        <f aca="false">INDEX('Master Data'!$A$2:$B$8,MATCH(WEEKDAY('SC Total Power'!A121,3),'Master Data'!$A$2:$A$8,0),2)</f>
        <v>Th</v>
      </c>
      <c r="D121" s="124" t="n">
        <v>0</v>
      </c>
      <c r="E121" s="124" t="n">
        <v>178399</v>
      </c>
      <c r="F121" s="124" t="n">
        <v>0</v>
      </c>
      <c r="G121" s="124" t="n">
        <v>0</v>
      </c>
      <c r="I121" s="124" t="n">
        <f aca="false">IF(MONTH($A121)=MONTH($A120),IF(G121=0,I120,G121),G121)</f>
        <v>0</v>
      </c>
      <c r="J121" s="124" t="n">
        <f aca="false">IF(MONTH($A121)=MONTH($A120),SUM(I121-I120),I121)</f>
        <v>0</v>
      </c>
      <c r="K121" s="124" t="n">
        <f aca="false">IF(WEEKDAY(A121,3)&gt;4,0,(IF(A121&lt;K$2,0,IF(A121&lt;=K$3,1,0))))</f>
        <v>0</v>
      </c>
      <c r="L121" s="124" t="n">
        <f aca="false">J121*K121</f>
        <v>0</v>
      </c>
      <c r="M121" s="124" t="n">
        <f aca="false">SUM(J$97:J121)</f>
        <v>0</v>
      </c>
      <c r="N121" s="124" t="n">
        <f aca="false">SUM(J$6:J121)</f>
        <v>0</v>
      </c>
      <c r="P121" s="124" t="n">
        <f aca="false">D121/P$3</f>
        <v>0</v>
      </c>
      <c r="Q121" s="143" t="n">
        <f aca="false">E121/P$3</f>
        <v>0.178399</v>
      </c>
      <c r="R121" s="124" t="n">
        <f aca="false">F121/R$3</f>
        <v>0</v>
      </c>
      <c r="S121" s="126" t="n">
        <f aca="false">J121/$R$3</f>
        <v>0</v>
      </c>
      <c r="T121" s="126" t="n">
        <f aca="false">L121/$R$3</f>
        <v>0</v>
      </c>
      <c r="U121" s="126" t="n">
        <f aca="false">I121/$R$3</f>
        <v>0</v>
      </c>
      <c r="V121" s="126" t="n">
        <f aca="false">M121/$R$3</f>
        <v>0</v>
      </c>
      <c r="W121" s="126" t="n">
        <f aca="false">N121/$R$3</f>
        <v>0</v>
      </c>
    </row>
    <row r="122" customFormat="false" ht="12.75" hidden="true" customHeight="false" outlineLevel="0" collapsed="false">
      <c r="A122" s="120" t="n">
        <f aca="false">A121+1</f>
        <v>37008</v>
      </c>
      <c r="B122" s="131" t="str">
        <f aca="false">INDEX('Master Data'!$A$2:$B$8,MATCH(WEEKDAY('SC Total Power'!A122,3),'Master Data'!$A$2:$A$8,0),2)</f>
        <v>F</v>
      </c>
      <c r="D122" s="124" t="n">
        <v>0</v>
      </c>
      <c r="E122" s="124" t="n">
        <v>177674</v>
      </c>
      <c r="F122" s="124" t="n">
        <v>0</v>
      </c>
      <c r="G122" s="124" t="n">
        <v>0</v>
      </c>
      <c r="I122" s="124" t="n">
        <f aca="false">IF(MONTH($A122)=MONTH($A121),IF(G122=0,I121,G122),G122)</f>
        <v>0</v>
      </c>
      <c r="J122" s="124" t="n">
        <f aca="false">IF(MONTH($A122)=MONTH($A121),SUM(I122-I121),I122)</f>
        <v>0</v>
      </c>
      <c r="K122" s="124" t="n">
        <f aca="false">IF(WEEKDAY(A122,3)&gt;4,0,(IF(A122&lt;K$2,0,IF(A122&lt;=K$3,1,0))))</f>
        <v>0</v>
      </c>
      <c r="L122" s="124" t="n">
        <f aca="false">J122*K122</f>
        <v>0</v>
      </c>
      <c r="M122" s="124" t="n">
        <f aca="false">SUM(J$97:J122)</f>
        <v>0</v>
      </c>
      <c r="N122" s="124" t="n">
        <f aca="false">SUM(J$6:J122)</f>
        <v>0</v>
      </c>
      <c r="P122" s="124" t="n">
        <f aca="false">D122/P$3</f>
        <v>0</v>
      </c>
      <c r="Q122" s="143" t="n">
        <f aca="false">E122/P$3</f>
        <v>0.177674</v>
      </c>
      <c r="R122" s="124" t="n">
        <f aca="false">F122/R$3</f>
        <v>0</v>
      </c>
      <c r="S122" s="126" t="n">
        <f aca="false">J122/$R$3</f>
        <v>0</v>
      </c>
      <c r="T122" s="126" t="n">
        <f aca="false">L122/$R$3</f>
        <v>0</v>
      </c>
      <c r="U122" s="126" t="n">
        <f aca="false">I122/$R$3</f>
        <v>0</v>
      </c>
      <c r="V122" s="126" t="n">
        <f aca="false">M122/$R$3</f>
        <v>0</v>
      </c>
      <c r="W122" s="126" t="n">
        <f aca="false">N122/$R$3</f>
        <v>0</v>
      </c>
    </row>
    <row r="123" customFormat="false" ht="12.75" hidden="true" customHeight="false" outlineLevel="0" collapsed="false">
      <c r="A123" s="120" t="n">
        <f aca="false">A122+1</f>
        <v>37009</v>
      </c>
      <c r="B123" s="131" t="str">
        <f aca="false">INDEX('Master Data'!$A$2:$B$8,MATCH(WEEKDAY('SC Total Power'!A123,3),'Master Data'!$A$2:$A$8,0),2)</f>
        <v>Sa</v>
      </c>
      <c r="D123" s="124" t="n">
        <v>0</v>
      </c>
      <c r="E123" s="124" t="n">
        <v>0</v>
      </c>
      <c r="F123" s="124" t="n">
        <v>0</v>
      </c>
      <c r="G123" s="124" t="n">
        <v>0</v>
      </c>
      <c r="I123" s="124" t="n">
        <f aca="false">IF(MONTH($A123)=MONTH($A122),IF(G123=0,I122,G123),G123)</f>
        <v>0</v>
      </c>
      <c r="J123" s="124" t="n">
        <f aca="false">IF(MONTH($A123)=MONTH($A122),SUM(I123-I122),I123)</f>
        <v>0</v>
      </c>
      <c r="K123" s="124" t="n">
        <f aca="false">IF(WEEKDAY(A123,3)&gt;4,0,(IF(A123&lt;K$2,0,IF(A123&lt;=K$3,1,0))))</f>
        <v>0</v>
      </c>
      <c r="L123" s="124" t="n">
        <f aca="false">J123*K123</f>
        <v>0</v>
      </c>
      <c r="M123" s="124" t="n">
        <f aca="false">SUM(J$97:J123)</f>
        <v>0</v>
      </c>
      <c r="N123" s="124" t="n">
        <f aca="false">SUM(J$6:J123)</f>
        <v>0</v>
      </c>
      <c r="P123" s="124" t="n">
        <f aca="false">D123/P$3</f>
        <v>0</v>
      </c>
      <c r="Q123" s="143" t="n">
        <f aca="false">E123/P$3</f>
        <v>0</v>
      </c>
      <c r="R123" s="124" t="n">
        <f aca="false">F123/R$3</f>
        <v>0</v>
      </c>
      <c r="S123" s="126" t="n">
        <f aca="false">J123/$R$3</f>
        <v>0</v>
      </c>
      <c r="T123" s="126" t="n">
        <f aca="false">L123/$R$3</f>
        <v>0</v>
      </c>
      <c r="U123" s="126" t="n">
        <f aca="false">I123/$R$3</f>
        <v>0</v>
      </c>
      <c r="V123" s="126" t="n">
        <f aca="false">M123/$R$3</f>
        <v>0</v>
      </c>
      <c r="W123" s="126" t="n">
        <f aca="false">N123/$R$3</f>
        <v>0</v>
      </c>
    </row>
    <row r="124" customFormat="false" ht="12.75" hidden="true" customHeight="false" outlineLevel="0" collapsed="false">
      <c r="A124" s="120" t="n">
        <f aca="false">A123+1</f>
        <v>37010</v>
      </c>
      <c r="B124" s="131" t="str">
        <f aca="false">INDEX('Master Data'!$A$2:$B$8,MATCH(WEEKDAY('SC Total Power'!A124,3),'Master Data'!$A$2:$A$8,0),2)</f>
        <v>Su</v>
      </c>
      <c r="D124" s="124" t="n">
        <v>0</v>
      </c>
      <c r="E124" s="124" t="n">
        <v>0</v>
      </c>
      <c r="F124" s="124" t="n">
        <v>0</v>
      </c>
      <c r="G124" s="124" t="n">
        <v>0</v>
      </c>
      <c r="I124" s="124" t="n">
        <f aca="false">IF(MONTH($A124)=MONTH($A123),IF(G124=0,I123,G124),G124)</f>
        <v>0</v>
      </c>
      <c r="J124" s="124" t="n">
        <f aca="false">IF(MONTH($A124)=MONTH($A123),SUM(I124-I123),I124)</f>
        <v>0</v>
      </c>
      <c r="K124" s="124" t="n">
        <f aca="false">IF(WEEKDAY(A124,3)&gt;4,0,(IF(A124&lt;K$2,0,IF(A124&lt;=K$3,1,0))))</f>
        <v>0</v>
      </c>
      <c r="L124" s="124" t="n">
        <f aca="false">J124*K124</f>
        <v>0</v>
      </c>
      <c r="M124" s="124" t="n">
        <f aca="false">SUM(J$97:J124)</f>
        <v>0</v>
      </c>
      <c r="N124" s="124" t="n">
        <f aca="false">SUM(J$6:J124)</f>
        <v>0</v>
      </c>
      <c r="P124" s="124" t="n">
        <f aca="false">D124/P$3</f>
        <v>0</v>
      </c>
      <c r="Q124" s="143" t="n">
        <f aca="false">E124/P$3</f>
        <v>0</v>
      </c>
      <c r="R124" s="124" t="n">
        <f aca="false">F124/R$3</f>
        <v>0</v>
      </c>
      <c r="S124" s="126" t="n">
        <f aca="false">J124/$R$3</f>
        <v>0</v>
      </c>
      <c r="T124" s="126" t="n">
        <f aca="false">L124/$R$3</f>
        <v>0</v>
      </c>
      <c r="U124" s="126" t="n">
        <f aca="false">I124/$R$3</f>
        <v>0</v>
      </c>
      <c r="V124" s="126" t="n">
        <f aca="false">M124/$R$3</f>
        <v>0</v>
      </c>
      <c r="W124" s="126" t="n">
        <f aca="false">N124/$R$3</f>
        <v>0</v>
      </c>
    </row>
    <row r="125" customFormat="false" ht="12.75" hidden="false" customHeight="false" outlineLevel="0" collapsed="false">
      <c r="A125" s="120" t="n">
        <f aca="false">A124+1</f>
        <v>37011</v>
      </c>
      <c r="B125" s="131" t="str">
        <f aca="false">INDEX('Master Data'!$A$2:$B$8,MATCH(WEEKDAY('SC Total Power'!A125,3),'Master Data'!$A$2:$A$8,0),2)</f>
        <v>M</v>
      </c>
      <c r="D125" s="124" t="n">
        <v>0</v>
      </c>
      <c r="E125" s="124" t="n">
        <v>175610</v>
      </c>
      <c r="F125" s="124" t="n">
        <v>0</v>
      </c>
      <c r="G125" s="124" t="n">
        <v>0</v>
      </c>
      <c r="I125" s="124" t="n">
        <f aca="false">IF(MONTH($A125)=MONTH($A124),IF(G125=0,I124,G125),G125)</f>
        <v>0</v>
      </c>
      <c r="J125" s="124" t="n">
        <f aca="false">IF(MONTH($A125)=MONTH($A124),SUM(I125-I124),I125)</f>
        <v>0</v>
      </c>
      <c r="K125" s="124" t="n">
        <f aca="false">IF(WEEKDAY(A125,3)&gt;4,0,(IF(A125&lt;K$2,0,IF(A125&lt;=K$3,1,0))))</f>
        <v>0</v>
      </c>
      <c r="L125" s="124" t="n">
        <f aca="false">J125*K125</f>
        <v>0</v>
      </c>
      <c r="M125" s="124" t="n">
        <f aca="false">SUM(J$97:J125)</f>
        <v>0</v>
      </c>
      <c r="N125" s="124" t="n">
        <f aca="false">SUM(J$6:J125)</f>
        <v>0</v>
      </c>
      <c r="P125" s="124" t="n">
        <f aca="false">D125/P$3</f>
        <v>0</v>
      </c>
      <c r="Q125" s="143" t="n">
        <f aca="false">E125/P$3</f>
        <v>0.17561</v>
      </c>
      <c r="R125" s="124" t="n">
        <f aca="false">F125/R$3</f>
        <v>0</v>
      </c>
      <c r="S125" s="126" t="n">
        <f aca="false">J125/$R$3</f>
        <v>0</v>
      </c>
      <c r="T125" s="126" t="n">
        <f aca="false">L125/$R$3</f>
        <v>0</v>
      </c>
      <c r="U125" s="126" t="n">
        <f aca="false">I125/$R$3</f>
        <v>0</v>
      </c>
      <c r="V125" s="126" t="n">
        <f aca="false">M125/$R$3</f>
        <v>0</v>
      </c>
      <c r="W125" s="126" t="n">
        <f aca="false">N125/$R$3</f>
        <v>0</v>
      </c>
    </row>
    <row r="126" customFormat="false" ht="12.75" hidden="true" customHeight="false" outlineLevel="0" collapsed="false">
      <c r="A126" s="120" t="n">
        <f aca="false">A125+1</f>
        <v>37012</v>
      </c>
      <c r="B126" s="131" t="str">
        <f aca="false">INDEX('Master Data'!$A$2:$B$8,MATCH(WEEKDAY('SC Total Power'!A126,3),'Master Data'!$A$2:$A$8,0),2)</f>
        <v>T</v>
      </c>
      <c r="D126" s="124" t="n">
        <v>0</v>
      </c>
      <c r="E126" s="124" t="n">
        <v>174983</v>
      </c>
      <c r="F126" s="124" t="n">
        <v>0</v>
      </c>
      <c r="G126" s="124" t="n">
        <v>0</v>
      </c>
      <c r="I126" s="124" t="n">
        <f aca="false">IF(MONTH($A126)=MONTH($A125),IF(G126=0,I125,G126),G126)</f>
        <v>0</v>
      </c>
      <c r="J126" s="124" t="n">
        <f aca="false">IF(MONTH($A126)=MONTH($A125),SUM(I126-I125),I126)</f>
        <v>0</v>
      </c>
      <c r="K126" s="124" t="n">
        <f aca="false">IF(WEEKDAY(A126,3)&gt;4,0,(IF(A126&lt;K$2,0,IF(A126&lt;=K$3,1,0))))</f>
        <v>0</v>
      </c>
      <c r="L126" s="124" t="n">
        <f aca="false">J126*K126</f>
        <v>0</v>
      </c>
      <c r="M126" s="124" t="n">
        <f aca="false">SUM(J$97:J126)</f>
        <v>0</v>
      </c>
      <c r="N126" s="124" t="n">
        <f aca="false">SUM(J$6:J126)</f>
        <v>0</v>
      </c>
      <c r="P126" s="124" t="n">
        <f aca="false">D126/P$3</f>
        <v>0</v>
      </c>
      <c r="Q126" s="143" t="n">
        <f aca="false">E126/P$3</f>
        <v>0.174983</v>
      </c>
      <c r="R126" s="124" t="n">
        <f aca="false">F126/R$3</f>
        <v>0</v>
      </c>
      <c r="S126" s="126" t="n">
        <f aca="false">J126/$R$3</f>
        <v>0</v>
      </c>
      <c r="T126" s="126" t="n">
        <f aca="false">L126/$R$3</f>
        <v>0</v>
      </c>
      <c r="U126" s="126" t="n">
        <f aca="false">I126/$R$3</f>
        <v>0</v>
      </c>
      <c r="V126" s="126" t="n">
        <f aca="false">M126/$R$3</f>
        <v>0</v>
      </c>
      <c r="W126" s="126" t="n">
        <f aca="false">N126/$R$3</f>
        <v>0</v>
      </c>
    </row>
    <row r="127" customFormat="false" ht="12.75" hidden="true" customHeight="false" outlineLevel="0" collapsed="false">
      <c r="A127" s="120" t="n">
        <f aca="false">A126+1</f>
        <v>37013</v>
      </c>
      <c r="B127" s="131" t="str">
        <f aca="false">INDEX('Master Data'!$A$2:$B$8,MATCH(WEEKDAY('SC Total Power'!A127,3),'Master Data'!$A$2:$A$8,0),2)</f>
        <v>W</v>
      </c>
      <c r="D127" s="124" t="n">
        <v>0</v>
      </c>
      <c r="E127" s="124" t="n">
        <v>174382</v>
      </c>
      <c r="F127" s="124" t="n">
        <v>0</v>
      </c>
      <c r="G127" s="124" t="n">
        <v>0</v>
      </c>
      <c r="I127" s="124" t="n">
        <f aca="false">IF(MONTH($A127)=MONTH($A126),IF(G127=0,I126,G127),G127)</f>
        <v>0</v>
      </c>
      <c r="J127" s="124" t="n">
        <f aca="false">IF(MONTH($A127)=MONTH($A126),SUM(I127-I126),I127)</f>
        <v>0</v>
      </c>
      <c r="K127" s="124" t="n">
        <f aca="false">IF(WEEKDAY(A127,3)&gt;4,0,(IF(A127&lt;K$2,0,IF(A127&lt;=K$3,1,0))))</f>
        <v>0</v>
      </c>
      <c r="L127" s="124" t="n">
        <f aca="false">J127*K127</f>
        <v>0</v>
      </c>
      <c r="M127" s="124" t="n">
        <f aca="false">SUM(J$97:J127)</f>
        <v>0</v>
      </c>
      <c r="N127" s="124" t="n">
        <f aca="false">SUM(J$6:J127)</f>
        <v>0</v>
      </c>
      <c r="P127" s="124" t="n">
        <f aca="false">D127/P$3</f>
        <v>0</v>
      </c>
      <c r="Q127" s="143" t="n">
        <f aca="false">E127/P$3</f>
        <v>0.174382</v>
      </c>
      <c r="R127" s="124" t="n">
        <f aca="false">F127/R$3</f>
        <v>0</v>
      </c>
      <c r="S127" s="126" t="n">
        <f aca="false">J127/$R$3</f>
        <v>0</v>
      </c>
      <c r="T127" s="126" t="n">
        <f aca="false">L127/$R$3</f>
        <v>0</v>
      </c>
      <c r="U127" s="126" t="n">
        <f aca="false">I127/$R$3</f>
        <v>0</v>
      </c>
      <c r="V127" s="126" t="n">
        <f aca="false">M127/$R$3</f>
        <v>0</v>
      </c>
      <c r="W127" s="126" t="n">
        <f aca="false">N127/$R$3</f>
        <v>0</v>
      </c>
    </row>
    <row r="128" customFormat="false" ht="12.75" hidden="true" customHeight="false" outlineLevel="0" collapsed="false">
      <c r="A128" s="120" t="n">
        <f aca="false">A127+1</f>
        <v>37014</v>
      </c>
      <c r="B128" s="131" t="str">
        <f aca="false">INDEX('Master Data'!$A$2:$B$8,MATCH(WEEKDAY('SC Total Power'!A128,3),'Master Data'!$A$2:$A$8,0),2)</f>
        <v>Th</v>
      </c>
      <c r="D128" s="124" t="n">
        <v>0</v>
      </c>
      <c r="E128" s="124" t="n">
        <v>496398</v>
      </c>
      <c r="F128" s="124" t="n">
        <v>0</v>
      </c>
      <c r="G128" s="124" t="n">
        <v>0</v>
      </c>
      <c r="I128" s="124" t="n">
        <f aca="false">IF(MONTH($A128)=MONTH($A127),IF(G128=0,I127,G128),G128)</f>
        <v>0</v>
      </c>
      <c r="J128" s="124" t="n">
        <f aca="false">IF(MONTH($A128)=MONTH($A127),SUM(I128-I127),I128)</f>
        <v>0</v>
      </c>
      <c r="K128" s="124" t="n">
        <f aca="false">IF(WEEKDAY(A128,3)&gt;4,0,(IF(A128&lt;K$2,0,IF(A128&lt;=K$3,1,0))))</f>
        <v>0</v>
      </c>
      <c r="L128" s="124" t="n">
        <f aca="false">J128*K128</f>
        <v>0</v>
      </c>
      <c r="M128" s="124" t="n">
        <f aca="false">SUM(J$97:J128)</f>
        <v>0</v>
      </c>
      <c r="N128" s="124" t="n">
        <f aca="false">SUM(J$6:J128)</f>
        <v>0</v>
      </c>
      <c r="P128" s="124" t="n">
        <f aca="false">D128/P$3</f>
        <v>0</v>
      </c>
      <c r="Q128" s="143" t="n">
        <f aca="false">E128/P$3</f>
        <v>0.496398</v>
      </c>
      <c r="R128" s="124" t="n">
        <f aca="false">F128/R$3</f>
        <v>0</v>
      </c>
      <c r="S128" s="126" t="n">
        <f aca="false">J128/$R$3</f>
        <v>0</v>
      </c>
      <c r="T128" s="126" t="n">
        <f aca="false">L128/$R$3</f>
        <v>0</v>
      </c>
      <c r="U128" s="126" t="n">
        <f aca="false">I128/$R$3</f>
        <v>0</v>
      </c>
      <c r="V128" s="126" t="n">
        <f aca="false">M128/$R$3</f>
        <v>0</v>
      </c>
      <c r="W128" s="126" t="n">
        <f aca="false">N128/$R$3</f>
        <v>0</v>
      </c>
    </row>
    <row r="129" customFormat="false" ht="12.75" hidden="true" customHeight="false" outlineLevel="0" collapsed="false">
      <c r="A129" s="120" t="n">
        <f aca="false">A128+1</f>
        <v>37015</v>
      </c>
      <c r="B129" s="131" t="str">
        <f aca="false">INDEX('Master Data'!$A$2:$B$8,MATCH(WEEKDAY('SC Total Power'!A129,3),'Master Data'!$A$2:$A$8,0),2)</f>
        <v>F</v>
      </c>
      <c r="D129" s="124" t="n">
        <v>0</v>
      </c>
      <c r="E129" s="124" t="n">
        <v>495221</v>
      </c>
      <c r="F129" s="124" t="n">
        <v>0</v>
      </c>
      <c r="G129" s="124" t="n">
        <v>0</v>
      </c>
      <c r="I129" s="124" t="n">
        <f aca="false">IF(MONTH($A129)=MONTH($A128),IF(G129=0,I128,G129),G129)</f>
        <v>0</v>
      </c>
      <c r="J129" s="124" t="n">
        <f aca="false">IF(MONTH($A129)=MONTH($A128),SUM(I129-I128),I129)</f>
        <v>0</v>
      </c>
      <c r="K129" s="124" t="n">
        <f aca="false">IF(WEEKDAY(A129,3)&gt;4,0,(IF(A129&lt;K$2,0,IF(A129&lt;=K$3,1,0))))</f>
        <v>0</v>
      </c>
      <c r="L129" s="124" t="n">
        <f aca="false">J129*K129</f>
        <v>0</v>
      </c>
      <c r="M129" s="124" t="n">
        <f aca="false">SUM(J$97:J129)</f>
        <v>0</v>
      </c>
      <c r="N129" s="124" t="n">
        <f aca="false">SUM(J$6:J129)</f>
        <v>0</v>
      </c>
      <c r="P129" s="124" t="n">
        <f aca="false">D129/P$3</f>
        <v>0</v>
      </c>
      <c r="Q129" s="143" t="n">
        <f aca="false">E129/P$3</f>
        <v>0.495221</v>
      </c>
      <c r="R129" s="124" t="n">
        <f aca="false">F129/R$3</f>
        <v>0</v>
      </c>
      <c r="S129" s="126" t="n">
        <f aca="false">J129/$R$3</f>
        <v>0</v>
      </c>
      <c r="T129" s="126" t="n">
        <f aca="false">L129/$R$3</f>
        <v>0</v>
      </c>
      <c r="U129" s="126" t="n">
        <f aca="false">I129/$R$3</f>
        <v>0</v>
      </c>
      <c r="V129" s="126" t="n">
        <f aca="false">M129/$R$3</f>
        <v>0</v>
      </c>
      <c r="W129" s="126" t="n">
        <f aca="false">N129/$R$3</f>
        <v>0</v>
      </c>
    </row>
    <row r="130" customFormat="false" ht="12.75" hidden="true" customHeight="false" outlineLevel="0" collapsed="false">
      <c r="A130" s="120" t="n">
        <f aca="false">A129+1</f>
        <v>37016</v>
      </c>
      <c r="B130" s="131" t="str">
        <f aca="false">INDEX('Master Data'!$A$2:$B$8,MATCH(WEEKDAY('SC Total Power'!A130,3),'Master Data'!$A$2:$A$8,0),2)</f>
        <v>Sa</v>
      </c>
      <c r="D130" s="124" t="n">
        <v>0</v>
      </c>
      <c r="E130" s="124" t="n">
        <v>0</v>
      </c>
      <c r="F130" s="124" t="n">
        <v>0</v>
      </c>
      <c r="G130" s="124" t="n">
        <v>0</v>
      </c>
      <c r="I130" s="124" t="n">
        <f aca="false">IF(MONTH($A130)=MONTH($A129),IF(G130=0,I129,G130),G130)</f>
        <v>0</v>
      </c>
      <c r="J130" s="124" t="n">
        <f aca="false">IF(MONTH($A130)=MONTH($A129),SUM(I130-I129),I130)</f>
        <v>0</v>
      </c>
      <c r="K130" s="124" t="n">
        <f aca="false">IF(WEEKDAY(A130,3)&gt;4,0,(IF(A130&lt;K$2,0,IF(A130&lt;=K$3,1,0))))</f>
        <v>0</v>
      </c>
      <c r="L130" s="124" t="n">
        <f aca="false">J130*K130</f>
        <v>0</v>
      </c>
      <c r="M130" s="124" t="n">
        <f aca="false">SUM(J$97:J130)</f>
        <v>0</v>
      </c>
      <c r="N130" s="124" t="n">
        <f aca="false">SUM(J$6:J130)</f>
        <v>0</v>
      </c>
      <c r="P130" s="124" t="n">
        <f aca="false">D130/P$3</f>
        <v>0</v>
      </c>
      <c r="Q130" s="143" t="n">
        <f aca="false">E130/P$3</f>
        <v>0</v>
      </c>
      <c r="R130" s="124" t="n">
        <f aca="false">F130/R$3</f>
        <v>0</v>
      </c>
      <c r="S130" s="126" t="n">
        <f aca="false">J130/$R$3</f>
        <v>0</v>
      </c>
      <c r="T130" s="126" t="n">
        <f aca="false">L130/$R$3</f>
        <v>0</v>
      </c>
      <c r="U130" s="126" t="n">
        <f aca="false">I130/$R$3</f>
        <v>0</v>
      </c>
      <c r="V130" s="126" t="n">
        <f aca="false">M130/$R$3</f>
        <v>0</v>
      </c>
      <c r="W130" s="126" t="n">
        <f aca="false">N130/$R$3</f>
        <v>0</v>
      </c>
    </row>
    <row r="131" customFormat="false" ht="12.75" hidden="true" customHeight="false" outlineLevel="0" collapsed="false">
      <c r="A131" s="120" t="n">
        <f aca="false">A130+1</f>
        <v>37017</v>
      </c>
      <c r="B131" s="131" t="str">
        <f aca="false">INDEX('Master Data'!$A$2:$B$8,MATCH(WEEKDAY('SC Total Power'!A131,3),'Master Data'!$A$2:$A$8,0),2)</f>
        <v>Su</v>
      </c>
      <c r="D131" s="124" t="n">
        <v>0</v>
      </c>
      <c r="E131" s="124" t="n">
        <v>0</v>
      </c>
      <c r="F131" s="124" t="n">
        <v>0</v>
      </c>
      <c r="G131" s="124" t="n">
        <v>0</v>
      </c>
      <c r="I131" s="124" t="n">
        <f aca="false">IF(MONTH($A131)=MONTH($A130),IF(G131=0,I130,G131),G131)</f>
        <v>0</v>
      </c>
      <c r="J131" s="124" t="n">
        <f aca="false">IF(MONTH($A131)=MONTH($A130),SUM(I131-I130),I131)</f>
        <v>0</v>
      </c>
      <c r="K131" s="124" t="n">
        <f aca="false">IF(WEEKDAY(A131,3)&gt;4,0,(IF(A131&lt;K$2,0,IF(A131&lt;=K$3,1,0))))</f>
        <v>0</v>
      </c>
      <c r="L131" s="124" t="n">
        <f aca="false">J131*K131</f>
        <v>0</v>
      </c>
      <c r="M131" s="124" t="n">
        <f aca="false">SUM(J$97:J131)</f>
        <v>0</v>
      </c>
      <c r="N131" s="124" t="n">
        <f aca="false">SUM(J$6:J131)</f>
        <v>0</v>
      </c>
      <c r="P131" s="124" t="n">
        <f aca="false">D131/P$3</f>
        <v>0</v>
      </c>
      <c r="Q131" s="143" t="n">
        <f aca="false">E131/P$3</f>
        <v>0</v>
      </c>
      <c r="R131" s="124" t="n">
        <f aca="false">F131/R$3</f>
        <v>0</v>
      </c>
      <c r="S131" s="126" t="n">
        <f aca="false">J131/$R$3</f>
        <v>0</v>
      </c>
      <c r="T131" s="126" t="n">
        <f aca="false">L131/$R$3</f>
        <v>0</v>
      </c>
      <c r="U131" s="126" t="n">
        <f aca="false">I131/$R$3</f>
        <v>0</v>
      </c>
      <c r="V131" s="126" t="n">
        <f aca="false">M131/$R$3</f>
        <v>0</v>
      </c>
      <c r="W131" s="126" t="n">
        <f aca="false">N131/$R$3</f>
        <v>0</v>
      </c>
    </row>
    <row r="132" customFormat="false" ht="12.75" hidden="true" customHeight="false" outlineLevel="0" collapsed="false">
      <c r="A132" s="120" t="n">
        <f aca="false">A131+1</f>
        <v>37018</v>
      </c>
      <c r="B132" s="131" t="str">
        <f aca="false">INDEX('Master Data'!$A$2:$B$8,MATCH(WEEKDAY('SC Total Power'!A132,3),'Master Data'!$A$2:$A$8,0),2)</f>
        <v>M</v>
      </c>
      <c r="D132" s="124" t="n">
        <v>0</v>
      </c>
      <c r="E132" s="124" t="n">
        <v>491578</v>
      </c>
      <c r="F132" s="124" t="n">
        <v>0</v>
      </c>
      <c r="G132" s="124" t="n">
        <v>0</v>
      </c>
      <c r="I132" s="124" t="n">
        <f aca="false">IF(MONTH($A132)=MONTH($A131),IF(G132=0,I131,G132),G132)</f>
        <v>0</v>
      </c>
      <c r="J132" s="124" t="n">
        <f aca="false">IF(MONTH($A132)=MONTH($A131),SUM(I132-I131),I132)</f>
        <v>0</v>
      </c>
      <c r="K132" s="124" t="n">
        <f aca="false">IF(WEEKDAY(A132,3)&gt;4,0,(IF(A132&lt;K$2,0,IF(A132&lt;=K$3,1,0))))</f>
        <v>0</v>
      </c>
      <c r="L132" s="124" t="n">
        <f aca="false">J132*K132</f>
        <v>0</v>
      </c>
      <c r="M132" s="124" t="n">
        <f aca="false">SUM(J$97:J132)</f>
        <v>0</v>
      </c>
      <c r="N132" s="124" t="n">
        <f aca="false">SUM(J$6:J132)</f>
        <v>0</v>
      </c>
      <c r="P132" s="124" t="n">
        <f aca="false">D132/P$3</f>
        <v>0</v>
      </c>
      <c r="Q132" s="143" t="n">
        <f aca="false">E132/P$3</f>
        <v>0.491578</v>
      </c>
      <c r="R132" s="124" t="n">
        <f aca="false">F132/R$3</f>
        <v>0</v>
      </c>
      <c r="S132" s="126" t="n">
        <f aca="false">J132/$R$3</f>
        <v>0</v>
      </c>
      <c r="T132" s="126" t="n">
        <f aca="false">L132/$R$3</f>
        <v>0</v>
      </c>
      <c r="U132" s="126" t="n">
        <f aca="false">I132/$R$3</f>
        <v>0</v>
      </c>
      <c r="V132" s="126" t="n">
        <f aca="false">M132/$R$3</f>
        <v>0</v>
      </c>
      <c r="W132" s="126" t="n">
        <f aca="false">N132/$R$3</f>
        <v>0</v>
      </c>
    </row>
    <row r="133" customFormat="false" ht="12.75" hidden="true" customHeight="false" outlineLevel="0" collapsed="false">
      <c r="A133" s="120" t="n">
        <f aca="false">A132+1</f>
        <v>37019</v>
      </c>
      <c r="B133" s="131" t="str">
        <f aca="false">INDEX('Master Data'!$A$2:$B$8,MATCH(WEEKDAY('SC Total Power'!A133,3),'Master Data'!$A$2:$A$8,0),2)</f>
        <v>T</v>
      </c>
      <c r="D133" s="124" t="n">
        <v>0</v>
      </c>
      <c r="E133" s="124" t="n">
        <v>502964</v>
      </c>
      <c r="F133" s="124" t="n">
        <v>0</v>
      </c>
      <c r="G133" s="124" t="n">
        <v>0</v>
      </c>
      <c r="I133" s="124" t="n">
        <f aca="false">IF(MONTH($A133)=MONTH($A132),IF(G133=0,I132,G133),G133)</f>
        <v>0</v>
      </c>
      <c r="J133" s="124" t="n">
        <f aca="false">IF(MONTH($A133)=MONTH($A132),SUM(I133-I132),I133)</f>
        <v>0</v>
      </c>
      <c r="K133" s="124" t="n">
        <f aca="false">IF(WEEKDAY(A133,3)&gt;4,0,(IF(A133&lt;K$2,0,IF(A133&lt;=K$3,1,0))))</f>
        <v>0</v>
      </c>
      <c r="L133" s="124" t="n">
        <f aca="false">J133*K133</f>
        <v>0</v>
      </c>
      <c r="M133" s="124" t="n">
        <f aca="false">SUM(J$97:J133)</f>
        <v>0</v>
      </c>
      <c r="N133" s="124" t="n">
        <f aca="false">SUM(J$6:J133)</f>
        <v>0</v>
      </c>
      <c r="P133" s="124" t="n">
        <f aca="false">D133/P$3</f>
        <v>0</v>
      </c>
      <c r="Q133" s="143" t="n">
        <f aca="false">E133/P$3</f>
        <v>0.502964</v>
      </c>
      <c r="R133" s="124" t="n">
        <f aca="false">F133/R$3</f>
        <v>0</v>
      </c>
      <c r="S133" s="126" t="n">
        <f aca="false">J133/$R$3</f>
        <v>0</v>
      </c>
      <c r="T133" s="126" t="n">
        <f aca="false">L133/$R$3</f>
        <v>0</v>
      </c>
      <c r="U133" s="126" t="n">
        <f aca="false">I133/$R$3</f>
        <v>0</v>
      </c>
      <c r="V133" s="126" t="n">
        <f aca="false">M133/$R$3</f>
        <v>0</v>
      </c>
      <c r="W133" s="126" t="n">
        <f aca="false">N133/$R$3</f>
        <v>0</v>
      </c>
    </row>
    <row r="134" customFormat="false" ht="12.75" hidden="true" customHeight="false" outlineLevel="0" collapsed="false">
      <c r="A134" s="120" t="n">
        <f aca="false">A133+1</f>
        <v>37020</v>
      </c>
      <c r="B134" s="131" t="str">
        <f aca="false">INDEX('Master Data'!$A$2:$B$8,MATCH(WEEKDAY('SC Total Power'!A134,3),'Master Data'!$A$2:$A$8,0),2)</f>
        <v>W</v>
      </c>
      <c r="D134" s="124" t="n">
        <v>0</v>
      </c>
      <c r="E134" s="124" t="n">
        <v>315593</v>
      </c>
      <c r="F134" s="124" t="n">
        <v>0</v>
      </c>
      <c r="G134" s="124" t="n">
        <v>0</v>
      </c>
      <c r="I134" s="124" t="n">
        <f aca="false">IF(MONTH($A134)=MONTH($A133),IF(G134=0,I133,G134),G134)</f>
        <v>0</v>
      </c>
      <c r="J134" s="124" t="n">
        <f aca="false">IF(MONTH($A134)=MONTH($A133),SUM(I134-I133),I134)</f>
        <v>0</v>
      </c>
      <c r="K134" s="124" t="n">
        <f aca="false">IF(WEEKDAY(A134,3)&gt;4,0,(IF(A134&lt;K$2,0,IF(A134&lt;=K$3,1,0))))</f>
        <v>0</v>
      </c>
      <c r="L134" s="124" t="n">
        <f aca="false">J134*K134</f>
        <v>0</v>
      </c>
      <c r="M134" s="124" t="n">
        <f aca="false">SUM(J$97:J134)</f>
        <v>0</v>
      </c>
      <c r="N134" s="124" t="n">
        <f aca="false">SUM(J$6:J134)</f>
        <v>0</v>
      </c>
      <c r="P134" s="124" t="n">
        <f aca="false">D134/P$3</f>
        <v>0</v>
      </c>
      <c r="Q134" s="143" t="n">
        <f aca="false">E134/P$3</f>
        <v>0.315593</v>
      </c>
      <c r="R134" s="124" t="n">
        <f aca="false">F134/R$3</f>
        <v>0</v>
      </c>
      <c r="S134" s="126" t="n">
        <f aca="false">J134/$R$3</f>
        <v>0</v>
      </c>
      <c r="T134" s="126" t="n">
        <f aca="false">L134/$R$3</f>
        <v>0</v>
      </c>
      <c r="U134" s="126" t="n">
        <f aca="false">I134/$R$3</f>
        <v>0</v>
      </c>
      <c r="V134" s="126" t="n">
        <f aca="false">M134/$R$3</f>
        <v>0</v>
      </c>
      <c r="W134" s="126" t="n">
        <f aca="false">N134/$R$3</f>
        <v>0</v>
      </c>
    </row>
    <row r="135" customFormat="false" ht="12.75" hidden="true" customHeight="false" outlineLevel="0" collapsed="false">
      <c r="A135" s="120" t="n">
        <f aca="false">A134+1</f>
        <v>37021</v>
      </c>
      <c r="B135" s="131" t="str">
        <f aca="false">INDEX('Master Data'!$A$2:$B$8,MATCH(WEEKDAY('SC Total Power'!A135,3),'Master Data'!$A$2:$A$8,0),2)</f>
        <v>Th</v>
      </c>
      <c r="D135" s="124" t="n">
        <v>0</v>
      </c>
      <c r="E135" s="124" t="n">
        <v>501514</v>
      </c>
      <c r="F135" s="124" t="n">
        <v>0</v>
      </c>
      <c r="G135" s="124" t="n">
        <v>0</v>
      </c>
      <c r="I135" s="124" t="n">
        <f aca="false">IF(MONTH($A135)=MONTH($A134),IF(G135=0,I134,G135),G135)</f>
        <v>0</v>
      </c>
      <c r="J135" s="124" t="n">
        <f aca="false">IF(MONTH($A135)=MONTH($A134),SUM(I135-I134),I135)</f>
        <v>0</v>
      </c>
      <c r="K135" s="124" t="n">
        <f aca="false">IF(WEEKDAY(A135,3)&gt;4,0,(IF(A135&lt;K$2,0,IF(A135&lt;=K$3,1,0))))</f>
        <v>0</v>
      </c>
      <c r="L135" s="124" t="n">
        <f aca="false">J135*K135</f>
        <v>0</v>
      </c>
      <c r="M135" s="124" t="n">
        <f aca="false">SUM(J$97:J135)</f>
        <v>0</v>
      </c>
      <c r="N135" s="124" t="n">
        <f aca="false">SUM(J$6:J135)</f>
        <v>0</v>
      </c>
      <c r="P135" s="124" t="n">
        <f aca="false">D135/P$3</f>
        <v>0</v>
      </c>
      <c r="Q135" s="143" t="n">
        <f aca="false">E135/P$3</f>
        <v>0.501514</v>
      </c>
      <c r="R135" s="124" t="n">
        <f aca="false">F135/R$3</f>
        <v>0</v>
      </c>
      <c r="S135" s="126" t="n">
        <f aca="false">J135/$R$3</f>
        <v>0</v>
      </c>
      <c r="T135" s="126" t="n">
        <f aca="false">L135/$R$3</f>
        <v>0</v>
      </c>
      <c r="U135" s="126" t="n">
        <f aca="false">I135/$R$3</f>
        <v>0</v>
      </c>
      <c r="V135" s="126" t="n">
        <f aca="false">M135/$R$3</f>
        <v>0</v>
      </c>
      <c r="W135" s="126" t="n">
        <f aca="false">N135/$R$3</f>
        <v>0</v>
      </c>
    </row>
    <row r="136" customFormat="false" ht="12.75" hidden="true" customHeight="false" outlineLevel="0" collapsed="false">
      <c r="A136" s="120" t="n">
        <f aca="false">A135+1</f>
        <v>37022</v>
      </c>
      <c r="B136" s="131" t="str">
        <f aca="false">INDEX('Master Data'!$A$2:$B$8,MATCH(WEEKDAY('SC Total Power'!A136,3),'Master Data'!$A$2:$A$8,0),2)</f>
        <v>F</v>
      </c>
      <c r="D136" s="124" t="n">
        <v>0</v>
      </c>
      <c r="E136" s="124" t="n">
        <v>493707</v>
      </c>
      <c r="F136" s="124" t="n">
        <v>0</v>
      </c>
      <c r="G136" s="124" t="n">
        <v>0</v>
      </c>
      <c r="I136" s="124" t="n">
        <f aca="false">IF(MONTH($A136)=MONTH($A135),IF(G136=0,I135,G136),G136)</f>
        <v>0</v>
      </c>
      <c r="J136" s="124" t="n">
        <f aca="false">IF(MONTH($A136)=MONTH($A135),SUM(I136-I135),I136)</f>
        <v>0</v>
      </c>
      <c r="K136" s="124" t="n">
        <f aca="false">IF(WEEKDAY(A136,3)&gt;4,0,(IF(A136&lt;K$2,0,IF(A136&lt;=K$3,1,0))))</f>
        <v>0</v>
      </c>
      <c r="L136" s="124" t="n">
        <f aca="false">J136*K136</f>
        <v>0</v>
      </c>
      <c r="M136" s="124" t="n">
        <f aca="false">SUM(J$97:J136)</f>
        <v>0</v>
      </c>
      <c r="N136" s="124" t="n">
        <f aca="false">SUM(J$6:J136)</f>
        <v>0</v>
      </c>
      <c r="P136" s="124" t="n">
        <f aca="false">D136/P$3</f>
        <v>0</v>
      </c>
      <c r="Q136" s="143" t="n">
        <f aca="false">E136/P$3</f>
        <v>0.493707</v>
      </c>
      <c r="R136" s="124" t="n">
        <f aca="false">F136/R$3</f>
        <v>0</v>
      </c>
      <c r="S136" s="126" t="n">
        <f aca="false">J136/$R$3</f>
        <v>0</v>
      </c>
      <c r="T136" s="126" t="n">
        <f aca="false">L136/$R$3</f>
        <v>0</v>
      </c>
      <c r="U136" s="126" t="n">
        <f aca="false">I136/$R$3</f>
        <v>0</v>
      </c>
      <c r="V136" s="126" t="n">
        <f aca="false">M136/$R$3</f>
        <v>0</v>
      </c>
      <c r="W136" s="126" t="n">
        <f aca="false">N136/$R$3</f>
        <v>0</v>
      </c>
    </row>
    <row r="137" customFormat="false" ht="12.75" hidden="true" customHeight="false" outlineLevel="0" collapsed="false">
      <c r="A137" s="120" t="n">
        <f aca="false">A136+1</f>
        <v>37023</v>
      </c>
      <c r="B137" s="131" t="str">
        <f aca="false">INDEX('Master Data'!$A$2:$B$8,MATCH(WEEKDAY('SC Total Power'!A137,3),'Master Data'!$A$2:$A$8,0),2)</f>
        <v>Sa</v>
      </c>
      <c r="D137" s="124" t="n">
        <v>0</v>
      </c>
      <c r="E137" s="124" t="n">
        <v>0</v>
      </c>
      <c r="F137" s="124" t="n">
        <v>0</v>
      </c>
      <c r="G137" s="124" t="n">
        <v>0</v>
      </c>
      <c r="I137" s="124" t="n">
        <f aca="false">IF(MONTH($A137)=MONTH($A136),IF(G137=0,I136,G137),G137)</f>
        <v>0</v>
      </c>
      <c r="J137" s="124" t="n">
        <f aca="false">IF(MONTH($A137)=MONTH($A136),SUM(I137-I136),I137)</f>
        <v>0</v>
      </c>
      <c r="K137" s="124" t="n">
        <f aca="false">IF(WEEKDAY(A137,3)&gt;4,0,(IF(A137&lt;K$2,0,IF(A137&lt;=K$3,1,0))))</f>
        <v>0</v>
      </c>
      <c r="L137" s="124" t="n">
        <f aca="false">J137*K137</f>
        <v>0</v>
      </c>
      <c r="M137" s="124" t="n">
        <f aca="false">SUM(J$97:J137)</f>
        <v>0</v>
      </c>
      <c r="N137" s="124" t="n">
        <f aca="false">SUM(J$6:J137)</f>
        <v>0</v>
      </c>
      <c r="P137" s="124" t="n">
        <f aca="false">D137/P$3</f>
        <v>0</v>
      </c>
      <c r="Q137" s="143" t="n">
        <f aca="false">E137/P$3</f>
        <v>0</v>
      </c>
      <c r="R137" s="124" t="n">
        <f aca="false">F137/R$3</f>
        <v>0</v>
      </c>
      <c r="S137" s="126" t="n">
        <f aca="false">J137/$R$3</f>
        <v>0</v>
      </c>
      <c r="T137" s="126" t="n">
        <f aca="false">L137/$R$3</f>
        <v>0</v>
      </c>
      <c r="U137" s="126" t="n">
        <f aca="false">I137/$R$3</f>
        <v>0</v>
      </c>
      <c r="V137" s="126" t="n">
        <f aca="false">M137/$R$3</f>
        <v>0</v>
      </c>
      <c r="W137" s="126" t="n">
        <f aca="false">N137/$R$3</f>
        <v>0</v>
      </c>
    </row>
    <row r="138" customFormat="false" ht="12.75" hidden="true" customHeight="false" outlineLevel="0" collapsed="false">
      <c r="A138" s="120" t="n">
        <f aca="false">A137+1</f>
        <v>37024</v>
      </c>
      <c r="B138" s="131" t="str">
        <f aca="false">INDEX('Master Data'!$A$2:$B$8,MATCH(WEEKDAY('SC Total Power'!A138,3),'Master Data'!$A$2:$A$8,0),2)</f>
        <v>Su</v>
      </c>
      <c r="D138" s="124" t="n">
        <v>0</v>
      </c>
      <c r="E138" s="124" t="n">
        <v>0</v>
      </c>
      <c r="F138" s="124" t="n">
        <v>0</v>
      </c>
      <c r="G138" s="124" t="n">
        <v>0</v>
      </c>
      <c r="I138" s="124" t="n">
        <f aca="false">IF(MONTH($A138)=MONTH($A137),IF(G138=0,I137,G138),G138)</f>
        <v>0</v>
      </c>
      <c r="J138" s="124" t="n">
        <f aca="false">IF(MONTH($A138)=MONTH($A137),SUM(I138-I137),I138)</f>
        <v>0</v>
      </c>
      <c r="K138" s="124" t="n">
        <f aca="false">IF(WEEKDAY(A138,3)&gt;4,0,(IF(A138&lt;K$2,0,IF(A138&lt;=K$3,1,0))))</f>
        <v>0</v>
      </c>
      <c r="L138" s="124" t="n">
        <f aca="false">J138*K138</f>
        <v>0</v>
      </c>
      <c r="M138" s="124" t="n">
        <f aca="false">SUM(J$97:J138)</f>
        <v>0</v>
      </c>
      <c r="N138" s="124" t="n">
        <f aca="false">SUM(J$6:J138)</f>
        <v>0</v>
      </c>
      <c r="P138" s="124" t="n">
        <f aca="false">D138/P$3</f>
        <v>0</v>
      </c>
      <c r="Q138" s="143" t="n">
        <f aca="false">E138/P$3</f>
        <v>0</v>
      </c>
      <c r="R138" s="124" t="n">
        <f aca="false">F138/R$3</f>
        <v>0</v>
      </c>
      <c r="S138" s="126" t="n">
        <f aca="false">J138/$R$3</f>
        <v>0</v>
      </c>
      <c r="T138" s="126" t="n">
        <f aca="false">L138/$R$3</f>
        <v>0</v>
      </c>
      <c r="U138" s="126" t="n">
        <f aca="false">I138/$R$3</f>
        <v>0</v>
      </c>
      <c r="V138" s="126" t="n">
        <f aca="false">M138/$R$3</f>
        <v>0</v>
      </c>
      <c r="W138" s="126" t="n">
        <f aca="false">N138/$R$3</f>
        <v>0</v>
      </c>
    </row>
    <row r="139" customFormat="false" ht="12.75" hidden="true" customHeight="false" outlineLevel="0" collapsed="false">
      <c r="A139" s="120" t="n">
        <f aca="false">A138+1</f>
        <v>37025</v>
      </c>
      <c r="B139" s="131" t="str">
        <f aca="false">INDEX('Master Data'!$A$2:$B$8,MATCH(WEEKDAY('SC Total Power'!A139,3),'Master Data'!$A$2:$A$8,0),2)</f>
        <v>M</v>
      </c>
      <c r="D139" s="124" t="n">
        <v>0</v>
      </c>
      <c r="E139" s="124" t="n">
        <v>489161</v>
      </c>
      <c r="F139" s="124" t="n">
        <v>0</v>
      </c>
      <c r="G139" s="124" t="n">
        <v>0</v>
      </c>
      <c r="I139" s="124" t="n">
        <f aca="false">IF(MONTH($A139)=MONTH($A138),IF(G139=0,I138,G139),G139)</f>
        <v>0</v>
      </c>
      <c r="J139" s="124" t="n">
        <f aca="false">IF(MONTH($A139)=MONTH($A138),SUM(I139-I138),I139)</f>
        <v>0</v>
      </c>
      <c r="K139" s="124" t="n">
        <f aca="false">IF(WEEKDAY(A139,3)&gt;4,0,(IF(A139&lt;K$2,0,IF(A139&lt;=K$3,1,0))))</f>
        <v>0</v>
      </c>
      <c r="L139" s="124" t="n">
        <f aca="false">J139*K139</f>
        <v>0</v>
      </c>
      <c r="M139" s="124" t="n">
        <f aca="false">SUM(J$97:J139)</f>
        <v>0</v>
      </c>
      <c r="N139" s="124" t="n">
        <f aca="false">SUM(J$6:J139)</f>
        <v>0</v>
      </c>
      <c r="P139" s="124" t="n">
        <f aca="false">D139/P$3</f>
        <v>0</v>
      </c>
      <c r="Q139" s="143" t="n">
        <f aca="false">E139/P$3</f>
        <v>0.489161</v>
      </c>
      <c r="R139" s="124" t="n">
        <f aca="false">F139/R$3</f>
        <v>0</v>
      </c>
      <c r="S139" s="126" t="n">
        <f aca="false">J139/$R$3</f>
        <v>0</v>
      </c>
      <c r="T139" s="126" t="n">
        <f aca="false">L139/$R$3</f>
        <v>0</v>
      </c>
      <c r="U139" s="126" t="n">
        <f aca="false">I139/$R$3</f>
        <v>0</v>
      </c>
      <c r="V139" s="126" t="n">
        <f aca="false">M139/$R$3</f>
        <v>0</v>
      </c>
      <c r="W139" s="126" t="n">
        <f aca="false">N139/$R$3</f>
        <v>0</v>
      </c>
    </row>
    <row r="140" customFormat="false" ht="12.75" hidden="true" customHeight="false" outlineLevel="0" collapsed="false">
      <c r="A140" s="120" t="n">
        <f aca="false">A139+1</f>
        <v>37026</v>
      </c>
      <c r="B140" s="131" t="str">
        <f aca="false">INDEX('Master Data'!$A$2:$B$8,MATCH(WEEKDAY('SC Total Power'!A140,3),'Master Data'!$A$2:$A$8,0),2)</f>
        <v>T</v>
      </c>
      <c r="D140" s="124" t="n">
        <v>0</v>
      </c>
      <c r="E140" s="124" t="n">
        <v>487972</v>
      </c>
      <c r="F140" s="124" t="n">
        <v>0</v>
      </c>
      <c r="G140" s="124" t="n">
        <v>0</v>
      </c>
      <c r="I140" s="124" t="n">
        <f aca="false">IF(MONTH($A140)=MONTH($A139),IF(G140=0,I139,G140),G140)</f>
        <v>0</v>
      </c>
      <c r="J140" s="124" t="n">
        <f aca="false">IF(MONTH($A140)=MONTH($A139),SUM(I140-I139),I140)</f>
        <v>0</v>
      </c>
      <c r="K140" s="124" t="n">
        <f aca="false">IF(WEEKDAY(A140,3)&gt;4,0,(IF(A140&lt;K$2,0,IF(A140&lt;=K$3,1,0))))</f>
        <v>0</v>
      </c>
      <c r="L140" s="124" t="n">
        <f aca="false">J140*K140</f>
        <v>0</v>
      </c>
      <c r="M140" s="124" t="n">
        <f aca="false">SUM(J$97:J140)</f>
        <v>0</v>
      </c>
      <c r="N140" s="124" t="n">
        <f aca="false">SUM(J$6:J140)</f>
        <v>0</v>
      </c>
      <c r="P140" s="124" t="n">
        <f aca="false">D140/P$3</f>
        <v>0</v>
      </c>
      <c r="Q140" s="143" t="n">
        <f aca="false">E140/P$3</f>
        <v>0.487972</v>
      </c>
      <c r="R140" s="124" t="n">
        <f aca="false">F140/R$3</f>
        <v>0</v>
      </c>
      <c r="S140" s="126" t="n">
        <f aca="false">J140/$R$3</f>
        <v>0</v>
      </c>
      <c r="T140" s="126" t="n">
        <f aca="false">L140/$R$3</f>
        <v>0</v>
      </c>
      <c r="U140" s="126" t="n">
        <f aca="false">I140/$R$3</f>
        <v>0</v>
      </c>
      <c r="V140" s="126" t="n">
        <f aca="false">M140/$R$3</f>
        <v>0</v>
      </c>
      <c r="W140" s="126" t="n">
        <f aca="false">N140/$R$3</f>
        <v>0</v>
      </c>
    </row>
    <row r="141" customFormat="false" ht="12.75" hidden="true" customHeight="false" outlineLevel="0" collapsed="false">
      <c r="A141" s="120" t="n">
        <f aca="false">A140+1</f>
        <v>37027</v>
      </c>
      <c r="B141" s="131" t="str">
        <f aca="false">INDEX('Master Data'!$A$2:$B$8,MATCH(WEEKDAY('SC Total Power'!A141,3),'Master Data'!$A$2:$A$8,0),2)</f>
        <v>W</v>
      </c>
      <c r="D141" s="124" t="n">
        <v>0</v>
      </c>
      <c r="E141" s="124" t="n">
        <v>1325411</v>
      </c>
      <c r="F141" s="124" t="n">
        <v>0</v>
      </c>
      <c r="G141" s="124" t="n">
        <v>0</v>
      </c>
      <c r="I141" s="124" t="n">
        <f aca="false">IF(MONTH($A141)=MONTH($A140),IF(G141=0,I140,G141),G141)</f>
        <v>0</v>
      </c>
      <c r="J141" s="124" t="n">
        <f aca="false">IF(MONTH($A141)=MONTH($A140),SUM(I141-I140),I141)</f>
        <v>0</v>
      </c>
      <c r="K141" s="124" t="n">
        <f aca="false">IF(WEEKDAY(A141,3)&gt;4,0,(IF(A141&lt;K$2,0,IF(A141&lt;=K$3,1,0))))</f>
        <v>0</v>
      </c>
      <c r="L141" s="124" t="n">
        <f aca="false">J141*K141</f>
        <v>0</v>
      </c>
      <c r="M141" s="124" t="n">
        <f aca="false">SUM(J$97:J141)</f>
        <v>0</v>
      </c>
      <c r="N141" s="124" t="n">
        <f aca="false">SUM(J$6:J141)</f>
        <v>0</v>
      </c>
      <c r="P141" s="124" t="n">
        <f aca="false">D141/P$3</f>
        <v>0</v>
      </c>
      <c r="Q141" s="143" t="n">
        <f aca="false">E141/P$3</f>
        <v>1.325411</v>
      </c>
      <c r="R141" s="124" t="n">
        <f aca="false">F141/R$3</f>
        <v>0</v>
      </c>
      <c r="S141" s="126" t="n">
        <f aca="false">J141/$R$3</f>
        <v>0</v>
      </c>
      <c r="T141" s="126" t="n">
        <f aca="false">L141/$R$3</f>
        <v>0</v>
      </c>
      <c r="U141" s="126" t="n">
        <f aca="false">I141/$R$3</f>
        <v>0</v>
      </c>
      <c r="V141" s="126" t="n">
        <f aca="false">M141/$R$3</f>
        <v>0</v>
      </c>
      <c r="W141" s="126" t="n">
        <f aca="false">N141/$R$3</f>
        <v>0</v>
      </c>
    </row>
    <row r="142" customFormat="false" ht="12.75" hidden="true" customHeight="false" outlineLevel="0" collapsed="false">
      <c r="A142" s="120" t="n">
        <f aca="false">A141+1</f>
        <v>37028</v>
      </c>
      <c r="B142" s="131" t="str">
        <f aca="false">INDEX('Master Data'!$A$2:$B$8,MATCH(WEEKDAY('SC Total Power'!A142,3),'Master Data'!$A$2:$A$8,0),2)</f>
        <v>Th</v>
      </c>
      <c r="D142" s="124" t="n">
        <v>0</v>
      </c>
      <c r="E142" s="124" t="n">
        <v>1478380.0119661</v>
      </c>
      <c r="F142" s="124" t="n">
        <v>0</v>
      </c>
      <c r="G142" s="124" t="n">
        <v>0</v>
      </c>
      <c r="I142" s="124" t="n">
        <f aca="false">IF(MONTH($A142)=MONTH($A141),IF(G142=0,I141,G142),G142)</f>
        <v>0</v>
      </c>
      <c r="J142" s="124" t="n">
        <f aca="false">IF(MONTH($A142)=MONTH($A141),SUM(I142-I141),I142)</f>
        <v>0</v>
      </c>
      <c r="K142" s="124" t="n">
        <f aca="false">IF(WEEKDAY(A142,3)&gt;4,0,(IF(A142&lt;K$2,0,IF(A142&lt;=K$3,1,0))))</f>
        <v>0</v>
      </c>
      <c r="L142" s="124" t="n">
        <f aca="false">J142*K142</f>
        <v>0</v>
      </c>
      <c r="M142" s="124" t="n">
        <f aca="false">SUM(J$97:J142)</f>
        <v>0</v>
      </c>
      <c r="N142" s="124" t="n">
        <f aca="false">SUM(J$6:J142)</f>
        <v>0</v>
      </c>
      <c r="P142" s="124" t="n">
        <f aca="false">D142/P$3</f>
        <v>0</v>
      </c>
      <c r="Q142" s="143" t="n">
        <f aca="false">E142/P$3</f>
        <v>1.4783800119661</v>
      </c>
      <c r="R142" s="124" t="n">
        <f aca="false">F142/R$3</f>
        <v>0</v>
      </c>
      <c r="S142" s="126" t="n">
        <f aca="false">J142/$R$3</f>
        <v>0</v>
      </c>
      <c r="T142" s="126" t="n">
        <f aca="false">L142/$R$3</f>
        <v>0</v>
      </c>
      <c r="U142" s="126" t="n">
        <f aca="false">I142/$R$3</f>
        <v>0</v>
      </c>
      <c r="V142" s="126" t="n">
        <f aca="false">M142/$R$3</f>
        <v>0</v>
      </c>
      <c r="W142" s="126" t="n">
        <f aca="false">N142/$R$3</f>
        <v>0</v>
      </c>
    </row>
    <row r="143" customFormat="false" ht="12.75" hidden="true" customHeight="false" outlineLevel="0" collapsed="false">
      <c r="A143" s="120" t="n">
        <f aca="false">A142+1</f>
        <v>37029</v>
      </c>
      <c r="B143" s="131" t="str">
        <f aca="false">INDEX('Master Data'!$A$2:$B$8,MATCH(WEEKDAY('SC Total Power'!A143,3),'Master Data'!$A$2:$A$8,0),2)</f>
        <v>F</v>
      </c>
      <c r="D143" s="124" t="n">
        <v>0</v>
      </c>
      <c r="E143" s="124" t="n">
        <v>1476872.2505077</v>
      </c>
      <c r="F143" s="124" t="n">
        <v>0</v>
      </c>
      <c r="G143" s="124" t="n">
        <v>0</v>
      </c>
      <c r="I143" s="124" t="n">
        <f aca="false">IF(MONTH($A143)=MONTH($A142),IF(G143=0,I142,G143),G143)</f>
        <v>0</v>
      </c>
      <c r="J143" s="124" t="n">
        <f aca="false">IF(MONTH($A143)=MONTH($A142),SUM(I143-I142),I143)</f>
        <v>0</v>
      </c>
      <c r="K143" s="124" t="n">
        <f aca="false">IF(WEEKDAY(A143,3)&gt;4,0,(IF(A143&lt;K$2,0,IF(A143&lt;=K$3,1,0))))</f>
        <v>0</v>
      </c>
      <c r="L143" s="124" t="n">
        <f aca="false">J143*K143</f>
        <v>0</v>
      </c>
      <c r="M143" s="124" t="n">
        <f aca="false">SUM(J$97:J143)</f>
        <v>0</v>
      </c>
      <c r="N143" s="124" t="n">
        <f aca="false">SUM(J$6:J143)</f>
        <v>0</v>
      </c>
      <c r="P143" s="124" t="n">
        <f aca="false">D143/P$3</f>
        <v>0</v>
      </c>
      <c r="Q143" s="143" t="n">
        <f aca="false">E143/P$3</f>
        <v>1.4768722505077</v>
      </c>
      <c r="R143" s="124" t="n">
        <f aca="false">F143/R$3</f>
        <v>0</v>
      </c>
      <c r="S143" s="126" t="n">
        <f aca="false">J143/$R$3</f>
        <v>0</v>
      </c>
      <c r="T143" s="126" t="n">
        <f aca="false">L143/$R$3</f>
        <v>0</v>
      </c>
      <c r="U143" s="126" t="n">
        <f aca="false">I143/$R$3</f>
        <v>0</v>
      </c>
      <c r="V143" s="126" t="n">
        <f aca="false">M143/$R$3</f>
        <v>0</v>
      </c>
      <c r="W143" s="126" t="n">
        <f aca="false">N143/$R$3</f>
        <v>0</v>
      </c>
    </row>
    <row r="144" customFormat="false" ht="12.75" hidden="true" customHeight="false" outlineLevel="0" collapsed="false">
      <c r="A144" s="120" t="n">
        <f aca="false">A143+1</f>
        <v>37030</v>
      </c>
      <c r="B144" s="131" t="str">
        <f aca="false">INDEX('Master Data'!$A$2:$B$8,MATCH(WEEKDAY('SC Total Power'!A144,3),'Master Data'!$A$2:$A$8,0),2)</f>
        <v>Sa</v>
      </c>
      <c r="D144" s="124" t="n">
        <v>0</v>
      </c>
      <c r="E144" s="124" t="n">
        <v>0</v>
      </c>
      <c r="F144" s="124" t="n">
        <v>0</v>
      </c>
      <c r="G144" s="124" t="n">
        <v>0</v>
      </c>
      <c r="I144" s="124" t="n">
        <f aca="false">IF(MONTH($A144)=MONTH($A143),IF(G144=0,I143,G144),G144)</f>
        <v>0</v>
      </c>
      <c r="J144" s="124" t="n">
        <f aca="false">IF(MONTH($A144)=MONTH($A143),SUM(I144-I143),I144)</f>
        <v>0</v>
      </c>
      <c r="K144" s="124" t="n">
        <f aca="false">IF(WEEKDAY(A144,3)&gt;4,0,(IF(A144&lt;K$2,0,IF(A144&lt;=K$3,1,0))))</f>
        <v>0</v>
      </c>
      <c r="L144" s="124" t="n">
        <f aca="false">J144*K144</f>
        <v>0</v>
      </c>
      <c r="M144" s="124" t="n">
        <f aca="false">SUM(J$97:J144)</f>
        <v>0</v>
      </c>
      <c r="N144" s="124" t="n">
        <f aca="false">SUM(J$6:J144)</f>
        <v>0</v>
      </c>
      <c r="P144" s="124" t="n">
        <f aca="false">D144/P$3</f>
        <v>0</v>
      </c>
      <c r="Q144" s="143" t="n">
        <f aca="false">E144/P$3</f>
        <v>0</v>
      </c>
      <c r="R144" s="124" t="n">
        <f aca="false">F144/R$3</f>
        <v>0</v>
      </c>
      <c r="S144" s="126" t="n">
        <f aca="false">J144/$R$3</f>
        <v>0</v>
      </c>
      <c r="T144" s="126" t="n">
        <f aca="false">L144/$R$3</f>
        <v>0</v>
      </c>
      <c r="U144" s="126" t="n">
        <f aca="false">I144/$R$3</f>
        <v>0</v>
      </c>
      <c r="V144" s="126" t="n">
        <f aca="false">M144/$R$3</f>
        <v>0</v>
      </c>
      <c r="W144" s="126" t="n">
        <f aca="false">N144/$R$3</f>
        <v>0</v>
      </c>
    </row>
    <row r="145" customFormat="false" ht="12.75" hidden="true" customHeight="false" outlineLevel="0" collapsed="false">
      <c r="A145" s="120" t="n">
        <f aca="false">A144+1</f>
        <v>37031</v>
      </c>
      <c r="B145" s="131" t="str">
        <f aca="false">INDEX('Master Data'!$A$2:$B$8,MATCH(WEEKDAY('SC Total Power'!A145,3),'Master Data'!$A$2:$A$8,0),2)</f>
        <v>Su</v>
      </c>
      <c r="D145" s="124" t="n">
        <v>0</v>
      </c>
      <c r="E145" s="124" t="n">
        <v>0</v>
      </c>
      <c r="F145" s="124" t="n">
        <v>0</v>
      </c>
      <c r="G145" s="124" t="n">
        <v>0</v>
      </c>
      <c r="I145" s="124" t="n">
        <f aca="false">IF(MONTH($A145)=MONTH($A144),IF(G145=0,I144,G145),G145)</f>
        <v>0</v>
      </c>
      <c r="J145" s="124" t="n">
        <f aca="false">IF(MONTH($A145)=MONTH($A144),SUM(I145-I144),I145)</f>
        <v>0</v>
      </c>
      <c r="K145" s="124" t="n">
        <f aca="false">IF(WEEKDAY(A145,3)&gt;4,0,(IF(A145&lt;K$2,0,IF(A145&lt;=K$3,1,0))))</f>
        <v>0</v>
      </c>
      <c r="L145" s="124" t="n">
        <f aca="false">J145*K145</f>
        <v>0</v>
      </c>
      <c r="M145" s="124" t="n">
        <f aca="false">SUM(J$97:J145)</f>
        <v>0</v>
      </c>
      <c r="N145" s="124" t="n">
        <f aca="false">SUM(J$6:J145)</f>
        <v>0</v>
      </c>
      <c r="P145" s="124" t="n">
        <f aca="false">D145/P$3</f>
        <v>0</v>
      </c>
      <c r="Q145" s="143" t="n">
        <f aca="false">E145/P$3</f>
        <v>0</v>
      </c>
      <c r="R145" s="124" t="n">
        <f aca="false">F145/R$3</f>
        <v>0</v>
      </c>
      <c r="S145" s="126" t="n">
        <f aca="false">J145/$R$3</f>
        <v>0</v>
      </c>
      <c r="T145" s="126" t="n">
        <f aca="false">L145/$R$3</f>
        <v>0</v>
      </c>
      <c r="U145" s="126" t="n">
        <f aca="false">I145/$R$3</f>
        <v>0</v>
      </c>
      <c r="V145" s="126" t="n">
        <f aca="false">M145/$R$3</f>
        <v>0</v>
      </c>
      <c r="W145" s="126" t="n">
        <f aca="false">N145/$R$3</f>
        <v>0</v>
      </c>
    </row>
    <row r="146" customFormat="false" ht="12.75" hidden="true" customHeight="false" outlineLevel="0" collapsed="false">
      <c r="A146" s="120" t="n">
        <f aca="false">A145+1</f>
        <v>37032</v>
      </c>
      <c r="B146" s="131" t="str">
        <f aca="false">INDEX('Master Data'!$A$2:$B$8,MATCH(WEEKDAY('SC Total Power'!A146,3),'Master Data'!$A$2:$A$8,0),2)</f>
        <v>M</v>
      </c>
      <c r="D146" s="124" t="n">
        <v>0</v>
      </c>
      <c r="E146" s="124" t="n">
        <v>1478704.58581826</v>
      </c>
      <c r="F146" s="124" t="n">
        <v>0</v>
      </c>
      <c r="G146" s="124" t="n">
        <v>0</v>
      </c>
      <c r="I146" s="124" t="n">
        <f aca="false">IF(MONTH($A146)=MONTH($A145),IF(G148=0,I145,G148),G148)</f>
        <v>0</v>
      </c>
      <c r="J146" s="124" t="n">
        <f aca="false">IF(MONTH($A146)=MONTH($A145),SUM(I146-I145),I146)</f>
        <v>0</v>
      </c>
      <c r="K146" s="124" t="n">
        <f aca="false">IF(WEEKDAY(A146,3)&gt;4,0,(IF(A146&lt;K$2,0,IF(A146&lt;=K$3,1,0))))</f>
        <v>0</v>
      </c>
      <c r="L146" s="124" t="n">
        <f aca="false">J146*K146</f>
        <v>0</v>
      </c>
      <c r="M146" s="124" t="n">
        <f aca="false">SUM(J$97:J146)</f>
        <v>0</v>
      </c>
      <c r="N146" s="124" t="n">
        <f aca="false">SUM(J$6:J146)</f>
        <v>0</v>
      </c>
      <c r="P146" s="124" t="n">
        <f aca="false">D148/P$3</f>
        <v>0</v>
      </c>
      <c r="Q146" s="143" t="n">
        <f aca="false">E146/P$3</f>
        <v>1.47870458581826</v>
      </c>
      <c r="R146" s="124" t="n">
        <f aca="false">F148/R$3</f>
        <v>0</v>
      </c>
      <c r="S146" s="126" t="n">
        <f aca="false">J146/$R$3</f>
        <v>0</v>
      </c>
      <c r="T146" s="126" t="n">
        <f aca="false">L146/$R$3</f>
        <v>0</v>
      </c>
      <c r="U146" s="126" t="n">
        <f aca="false">I146/$R$3</f>
        <v>0</v>
      </c>
      <c r="V146" s="126" t="n">
        <f aca="false">M146/$R$3</f>
        <v>0</v>
      </c>
      <c r="W146" s="126" t="n">
        <f aca="false">N146/$R$3</f>
        <v>0</v>
      </c>
    </row>
    <row r="147" customFormat="false" ht="12.75" hidden="true" customHeight="false" outlineLevel="0" collapsed="false">
      <c r="A147" s="120" t="n">
        <f aca="false">A146+1</f>
        <v>37033</v>
      </c>
      <c r="B147" s="131" t="str">
        <f aca="false">INDEX('Master Data'!$A$2:$B$8,MATCH(WEEKDAY('SC Total Power'!A147,3),'Master Data'!$A$2:$A$8,0),2)</f>
        <v>T</v>
      </c>
      <c r="D147" s="124" t="n">
        <v>0</v>
      </c>
      <c r="E147" s="124" t="n">
        <v>1479290.28696374</v>
      </c>
      <c r="F147" s="124" t="n">
        <v>0</v>
      </c>
      <c r="G147" s="124" t="n">
        <v>0</v>
      </c>
      <c r="I147" s="124" t="n">
        <f aca="false">IF(MONTH($A147)=MONTH($A146),IF(G147=0,I146,G147),G147)</f>
        <v>0</v>
      </c>
      <c r="J147" s="124" t="n">
        <f aca="false">IF(MONTH($A147)=MONTH($A146),SUM(I147-I146),I147)</f>
        <v>0</v>
      </c>
      <c r="K147" s="124" t="n">
        <f aca="false">IF(WEEKDAY(A147,3)&gt;4,0,(IF(A147&lt;K$2,0,IF(A147&lt;=K$3,1,0))))</f>
        <v>0</v>
      </c>
      <c r="L147" s="124" t="n">
        <f aca="false">J147*K147</f>
        <v>0</v>
      </c>
      <c r="M147" s="124" t="n">
        <f aca="false">SUM(J$97:J147)</f>
        <v>0</v>
      </c>
      <c r="N147" s="124" t="n">
        <f aca="false">SUM(J$6:J147)</f>
        <v>0</v>
      </c>
      <c r="P147" s="124" t="n">
        <f aca="false">D147/P$3</f>
        <v>0</v>
      </c>
      <c r="Q147" s="143" t="n">
        <f aca="false">E147/P$3</f>
        <v>1.47929028696374</v>
      </c>
      <c r="R147" s="124" t="n">
        <f aca="false">F149/R$3</f>
        <v>0</v>
      </c>
      <c r="S147" s="126" t="n">
        <f aca="false">J147/$R$3</f>
        <v>0</v>
      </c>
      <c r="T147" s="126" t="n">
        <f aca="false">L147/$R$3</f>
        <v>0</v>
      </c>
      <c r="U147" s="126" t="n">
        <f aca="false">I147/$R$3</f>
        <v>0</v>
      </c>
      <c r="V147" s="126" t="n">
        <f aca="false">M147/$R$3</f>
        <v>0</v>
      </c>
      <c r="W147" s="126" t="n">
        <f aca="false">N147/$R$3</f>
        <v>0</v>
      </c>
    </row>
    <row r="148" customFormat="false" ht="12.75" hidden="true" customHeight="false" outlineLevel="0" collapsed="false">
      <c r="A148" s="120" t="n">
        <f aca="false">A147+1</f>
        <v>37034</v>
      </c>
      <c r="B148" s="131" t="str">
        <f aca="false">INDEX('Master Data'!$A$2:$B$8,MATCH(WEEKDAY('SC Total Power'!A148,3),'Master Data'!$A$2:$A$8,0),2)</f>
        <v>W</v>
      </c>
      <c r="D148" s="124" t="n">
        <v>0</v>
      </c>
      <c r="E148" s="124" t="n">
        <v>382786.308118524</v>
      </c>
      <c r="F148" s="124" t="n">
        <v>0</v>
      </c>
      <c r="G148" s="124" t="n">
        <v>0</v>
      </c>
      <c r="I148" s="124" t="n">
        <f aca="false">IF(MONTH($A148)=MONTH($A147),IF(G148=0,I147,G148),G148)</f>
        <v>0</v>
      </c>
      <c r="J148" s="124" t="n">
        <f aca="false">IF(MONTH($A148)=MONTH($A147),SUM(I148-I147),I148)</f>
        <v>0</v>
      </c>
      <c r="K148" s="124" t="n">
        <f aca="false">IF(WEEKDAY(A148,3)&gt;4,0,(IF(A148&lt;K$2,0,IF(A148&lt;=K$3,1,0))))</f>
        <v>0</v>
      </c>
      <c r="L148" s="124" t="n">
        <f aca="false">J148*K148</f>
        <v>0</v>
      </c>
      <c r="M148" s="124" t="n">
        <f aca="false">SUM(J$97:J148)</f>
        <v>0</v>
      </c>
      <c r="N148" s="124" t="n">
        <f aca="false">SUM(J$6:J148)</f>
        <v>0</v>
      </c>
      <c r="P148" s="124" t="n">
        <f aca="false">D148/P$3</f>
        <v>0</v>
      </c>
      <c r="Q148" s="143" t="n">
        <f aca="false">E148/P$3</f>
        <v>0.382786308118524</v>
      </c>
      <c r="R148" s="124" t="n">
        <f aca="false">F150/R$3</f>
        <v>0</v>
      </c>
      <c r="S148" s="126" t="n">
        <f aca="false">J148/$R$3</f>
        <v>0</v>
      </c>
      <c r="T148" s="126" t="n">
        <f aca="false">L148/$R$3</f>
        <v>0</v>
      </c>
      <c r="U148" s="126" t="n">
        <f aca="false">I148/$R$3</f>
        <v>0</v>
      </c>
      <c r="V148" s="126" t="n">
        <f aca="false">M148/$R$3</f>
        <v>0</v>
      </c>
      <c r="W148" s="126" t="n">
        <f aca="false">N148/$R$3</f>
        <v>0</v>
      </c>
    </row>
    <row r="149" customFormat="false" ht="12.75" hidden="true" customHeight="false" outlineLevel="0" collapsed="false">
      <c r="A149" s="120" t="n">
        <f aca="false">A148+1</f>
        <v>37035</v>
      </c>
      <c r="B149" s="131" t="str">
        <f aca="false">INDEX('Master Data'!$A$2:$B$8,MATCH(WEEKDAY('SC Total Power'!A149,3),'Master Data'!$A$2:$A$8,0),2)</f>
        <v>Th</v>
      </c>
      <c r="D149" s="124" t="n">
        <v>0</v>
      </c>
      <c r="E149" s="124" t="n">
        <v>382786.308118524</v>
      </c>
      <c r="F149" s="124" t="n">
        <v>0</v>
      </c>
      <c r="G149" s="124" t="n">
        <v>0</v>
      </c>
      <c r="I149" s="124" t="n">
        <f aca="false">IF(MONTH($A149)=MONTH($A148),IF(G149=0,I148,G149),G149)</f>
        <v>0</v>
      </c>
      <c r="J149" s="124" t="n">
        <f aca="false">IF(MONTH($A149)=MONTH($A148),SUM(I149-I148),I149)</f>
        <v>0</v>
      </c>
      <c r="K149" s="124" t="n">
        <f aca="false">IF(WEEKDAY(A149,3)&gt;4,0,(IF(A149&lt;K$2,0,IF(A149&lt;=K$3,1,0))))</f>
        <v>0</v>
      </c>
      <c r="L149" s="124" t="n">
        <f aca="false">J149*K149</f>
        <v>0</v>
      </c>
      <c r="M149" s="124" t="n">
        <f aca="false">SUM(J$97:J149)</f>
        <v>0</v>
      </c>
      <c r="N149" s="124" t="n">
        <f aca="false">SUM(J$6:J149)</f>
        <v>0</v>
      </c>
      <c r="P149" s="124" t="n">
        <f aca="false">D149/P$3</f>
        <v>0</v>
      </c>
      <c r="Q149" s="143" t="n">
        <f aca="false">E149/P$3</f>
        <v>0.382786308118524</v>
      </c>
      <c r="R149" s="124" t="n">
        <f aca="false">F151/R$3</f>
        <v>0</v>
      </c>
      <c r="S149" s="126" t="n">
        <f aca="false">J149/$R$3</f>
        <v>0</v>
      </c>
      <c r="T149" s="126" t="n">
        <f aca="false">L149/$R$3</f>
        <v>0</v>
      </c>
      <c r="U149" s="126" t="n">
        <f aca="false">I149/$R$3</f>
        <v>0</v>
      </c>
      <c r="V149" s="126" t="n">
        <f aca="false">M149/$R$3</f>
        <v>0</v>
      </c>
      <c r="W149" s="126" t="n">
        <f aca="false">N149/$R$3</f>
        <v>0</v>
      </c>
    </row>
    <row r="150" customFormat="false" ht="12.75" hidden="true" customHeight="false" outlineLevel="0" collapsed="false">
      <c r="A150" s="120" t="n">
        <f aca="false">A149+1</f>
        <v>37036</v>
      </c>
      <c r="B150" s="131" t="str">
        <f aca="false">INDEX('Master Data'!$A$2:$B$8,MATCH(WEEKDAY('SC Total Power'!A150,3),'Master Data'!$A$2:$A$8,0),2)</f>
        <v>F</v>
      </c>
      <c r="D150" s="124" t="n">
        <v>0</v>
      </c>
      <c r="E150" s="124" t="n">
        <v>352177.56696502</v>
      </c>
      <c r="F150" s="124" t="n">
        <v>0</v>
      </c>
      <c r="G150" s="124" t="n">
        <v>0</v>
      </c>
      <c r="I150" s="124" t="n">
        <f aca="false">IF(MONTH($A150)=MONTH($A149),IF(G150=0,I149,G150),G150)</f>
        <v>0</v>
      </c>
      <c r="J150" s="124" t="n">
        <f aca="false">IF(MONTH($A150)=MONTH($A149),SUM(I150-I149),I150)</f>
        <v>0</v>
      </c>
      <c r="K150" s="124" t="n">
        <f aca="false">IF(WEEKDAY(A150,3)&gt;4,0,(IF(A150&lt;K$2,0,IF(A150&lt;=K$3,1,0))))</f>
        <v>0</v>
      </c>
      <c r="L150" s="124" t="n">
        <f aca="false">J150*K150</f>
        <v>0</v>
      </c>
      <c r="M150" s="124" t="n">
        <f aca="false">SUM(J$97:J150)</f>
        <v>0</v>
      </c>
      <c r="N150" s="124" t="n">
        <f aca="false">SUM(J$6:J150)</f>
        <v>0</v>
      </c>
      <c r="P150" s="124" t="n">
        <f aca="false">D150/P$3</f>
        <v>0</v>
      </c>
      <c r="Q150" s="143" t="n">
        <f aca="false">E150/P$3</f>
        <v>0.35217756696502</v>
      </c>
      <c r="R150" s="124" t="n">
        <f aca="false">F152/R$3</f>
        <v>0</v>
      </c>
      <c r="S150" s="126" t="n">
        <f aca="false">J150/$R$3</f>
        <v>0</v>
      </c>
      <c r="T150" s="126" t="n">
        <f aca="false">L150/$R$3</f>
        <v>0</v>
      </c>
      <c r="U150" s="126" t="n">
        <f aca="false">I150/$R$3</f>
        <v>0</v>
      </c>
      <c r="V150" s="126" t="n">
        <f aca="false">M150/$R$3</f>
        <v>0</v>
      </c>
      <c r="W150" s="126" t="n">
        <f aca="false">N150/$R$3</f>
        <v>0</v>
      </c>
    </row>
    <row r="151" customFormat="false" ht="12.75" hidden="true" customHeight="false" outlineLevel="0" collapsed="false">
      <c r="A151" s="120" t="n">
        <f aca="false">A150+1</f>
        <v>37037</v>
      </c>
      <c r="B151" s="131" t="str">
        <f aca="false">INDEX('Master Data'!$A$2:$B$8,MATCH(WEEKDAY('SC Total Power'!A151,3),'Master Data'!$A$2:$A$8,0),2)</f>
        <v>Sa</v>
      </c>
      <c r="D151" s="124" t="n">
        <v>0</v>
      </c>
      <c r="E151" s="124" t="n">
        <v>0</v>
      </c>
      <c r="F151" s="124" t="n">
        <v>0</v>
      </c>
      <c r="G151" s="124" t="n">
        <v>0</v>
      </c>
      <c r="I151" s="124" t="n">
        <f aca="false">IF(MONTH($A151)=MONTH($A150),IF(G151=0,I150,G151),G151)</f>
        <v>0</v>
      </c>
      <c r="J151" s="124" t="n">
        <f aca="false">IF(MONTH($A151)=MONTH($A150),SUM(I151-I150),I151)</f>
        <v>0</v>
      </c>
      <c r="K151" s="124" t="n">
        <f aca="false">IF(WEEKDAY(A151,3)&gt;4,0,(IF(A151&lt;K$2,0,IF(A151&lt;=K$3,1,0))))</f>
        <v>0</v>
      </c>
      <c r="L151" s="124" t="n">
        <f aca="false">J151*K151</f>
        <v>0</v>
      </c>
      <c r="M151" s="124" t="n">
        <f aca="false">SUM(J$97:J151)</f>
        <v>0</v>
      </c>
      <c r="N151" s="124" t="n">
        <f aca="false">SUM(J$6:J151)</f>
        <v>0</v>
      </c>
      <c r="P151" s="124" t="n">
        <f aca="false">D151/P$3</f>
        <v>0</v>
      </c>
      <c r="Q151" s="143" t="n">
        <f aca="false">E151/P$3</f>
        <v>0</v>
      </c>
      <c r="R151" s="124" t="n">
        <f aca="false">F153/R$3</f>
        <v>0</v>
      </c>
      <c r="S151" s="126" t="n">
        <f aca="false">J151/$R$3</f>
        <v>0</v>
      </c>
      <c r="T151" s="126" t="n">
        <f aca="false">L151/$R$3</f>
        <v>0</v>
      </c>
      <c r="U151" s="126" t="n">
        <f aca="false">I151/$R$3</f>
        <v>0</v>
      </c>
      <c r="V151" s="126" t="n">
        <f aca="false">M151/$R$3</f>
        <v>0</v>
      </c>
      <c r="W151" s="126" t="n">
        <f aca="false">N151/$R$3</f>
        <v>0</v>
      </c>
    </row>
    <row r="152" customFormat="false" ht="12.75" hidden="true" customHeight="false" outlineLevel="0" collapsed="false">
      <c r="A152" s="120" t="n">
        <f aca="false">A151+1</f>
        <v>37038</v>
      </c>
      <c r="B152" s="131" t="str">
        <f aca="false">INDEX('Master Data'!$A$2:$B$8,MATCH(WEEKDAY('SC Total Power'!A152,3),'Master Data'!$A$2:$A$8,0),2)</f>
        <v>Su</v>
      </c>
      <c r="D152" s="124" t="n">
        <v>0</v>
      </c>
      <c r="E152" s="124" t="n">
        <v>0</v>
      </c>
      <c r="F152" s="124" t="n">
        <v>0</v>
      </c>
      <c r="G152" s="124" t="n">
        <v>0</v>
      </c>
      <c r="I152" s="124" t="n">
        <f aca="false">IF(MONTH($A152)=MONTH($A151),IF(G152=0,I151,G152),G152)</f>
        <v>0</v>
      </c>
      <c r="J152" s="124" t="n">
        <f aca="false">IF(MONTH($A152)=MONTH($A151),SUM(I152-I151),I152)</f>
        <v>0</v>
      </c>
      <c r="K152" s="124" t="n">
        <f aca="false">IF(WEEKDAY(A152,3)&gt;4,0,(IF(A152&lt;K$2,0,IF(A152&lt;=K$3,1,0))))</f>
        <v>0</v>
      </c>
      <c r="L152" s="124" t="n">
        <f aca="false">J152*K152</f>
        <v>0</v>
      </c>
      <c r="M152" s="124" t="n">
        <f aca="false">SUM(J$97:J152)</f>
        <v>0</v>
      </c>
      <c r="N152" s="124" t="n">
        <f aca="false">SUM(J$6:J152)</f>
        <v>0</v>
      </c>
      <c r="P152" s="124" t="n">
        <f aca="false">D152/P$3</f>
        <v>0</v>
      </c>
      <c r="Q152" s="143" t="n">
        <f aca="false">E152/P$3</f>
        <v>0</v>
      </c>
      <c r="R152" s="124" t="n">
        <f aca="false">F154/R$3</f>
        <v>0</v>
      </c>
      <c r="S152" s="126" t="n">
        <f aca="false">J152/$R$3</f>
        <v>0</v>
      </c>
      <c r="T152" s="126" t="n">
        <f aca="false">L152/$R$3</f>
        <v>0</v>
      </c>
      <c r="U152" s="126" t="n">
        <f aca="false">I152/$R$3</f>
        <v>0</v>
      </c>
      <c r="V152" s="126" t="n">
        <f aca="false">M152/$R$3</f>
        <v>0</v>
      </c>
      <c r="W152" s="126" t="n">
        <f aca="false">N152/$R$3</f>
        <v>0</v>
      </c>
    </row>
    <row r="153" customFormat="false" ht="12.75" hidden="true" customHeight="false" outlineLevel="0" collapsed="false">
      <c r="A153" s="120" t="n">
        <f aca="false">A152+1</f>
        <v>37039</v>
      </c>
      <c r="B153" s="131" t="str">
        <f aca="false">INDEX('Master Data'!$A$2:$B$8,MATCH(WEEKDAY('SC Total Power'!A153,3),'Master Data'!$A$2:$A$8,0),2)</f>
        <v>M</v>
      </c>
      <c r="D153" s="124" t="n">
        <v>0</v>
      </c>
      <c r="E153" s="124" t="n">
        <v>0</v>
      </c>
      <c r="F153" s="124" t="n">
        <v>0</v>
      </c>
      <c r="G153" s="124" t="n">
        <v>0</v>
      </c>
      <c r="I153" s="124" t="n">
        <f aca="false">IF(MONTH($A153)=MONTH($A152),IF(G153=0,I152,G153),G153)</f>
        <v>0</v>
      </c>
      <c r="J153" s="124" t="n">
        <f aca="false">IF(MONTH($A153)=MONTH($A152),SUM(I153-I152),I153)</f>
        <v>0</v>
      </c>
      <c r="K153" s="124" t="n">
        <f aca="false">IF(WEEKDAY(A153,3)&gt;4,0,(IF(A153&lt;K$2,0,IF(A153&lt;=K$3,1,0))))</f>
        <v>0</v>
      </c>
      <c r="L153" s="124" t="n">
        <f aca="false">J153*K153</f>
        <v>0</v>
      </c>
      <c r="M153" s="124" t="n">
        <f aca="false">SUM(J$97:J153)</f>
        <v>0</v>
      </c>
      <c r="N153" s="124" t="n">
        <f aca="false">SUM(J$6:J153)</f>
        <v>0</v>
      </c>
      <c r="P153" s="124" t="n">
        <f aca="false">D153/P$3</f>
        <v>0</v>
      </c>
      <c r="Q153" s="143" t="n">
        <f aca="false">E153/P$3</f>
        <v>0</v>
      </c>
      <c r="R153" s="124" t="n">
        <f aca="false">F155/R$3</f>
        <v>0</v>
      </c>
      <c r="S153" s="126" t="n">
        <f aca="false">J153/$R$3</f>
        <v>0</v>
      </c>
      <c r="T153" s="126" t="n">
        <f aca="false">L153/$R$3</f>
        <v>0</v>
      </c>
      <c r="U153" s="126" t="n">
        <f aca="false">I153/$R$3</f>
        <v>0</v>
      </c>
      <c r="V153" s="126" t="n">
        <f aca="false">M153/$R$3</f>
        <v>0</v>
      </c>
      <c r="W153" s="126" t="n">
        <f aca="false">N153/$R$3</f>
        <v>0</v>
      </c>
    </row>
    <row r="154" customFormat="false" ht="12.75" hidden="true" customHeight="false" outlineLevel="0" collapsed="false">
      <c r="A154" s="120" t="n">
        <f aca="false">A153+1</f>
        <v>37040</v>
      </c>
      <c r="B154" s="131" t="str">
        <f aca="false">INDEX('Master Data'!$A$2:$B$8,MATCH(WEEKDAY('SC Total Power'!A154,3),'Master Data'!$A$2:$A$8,0),2)</f>
        <v>T</v>
      </c>
      <c r="D154" s="124" t="n">
        <v>0</v>
      </c>
      <c r="E154" s="124" t="n">
        <v>431147.886475574</v>
      </c>
      <c r="F154" s="124" t="n">
        <v>0</v>
      </c>
      <c r="G154" s="124" t="n">
        <v>0</v>
      </c>
      <c r="I154" s="124" t="n">
        <f aca="false">IF(MONTH($A154)=MONTH($A153),IF(G154=0,I153,G154),G154)</f>
        <v>0</v>
      </c>
      <c r="J154" s="124" t="n">
        <f aca="false">IF(MONTH($A154)=MONTH($A153),SUM(I154-I153),I154)</f>
        <v>0</v>
      </c>
      <c r="K154" s="124" t="n">
        <f aca="false">IF(WEEKDAY(A154,3)&gt;4,0,(IF(A154&lt;K$2,0,IF(A154&lt;=K$3,1,0))))</f>
        <v>0</v>
      </c>
      <c r="L154" s="124" t="n">
        <f aca="false">J154*K154</f>
        <v>0</v>
      </c>
      <c r="M154" s="124" t="n">
        <f aca="false">SUM(J$97:J154)</f>
        <v>0</v>
      </c>
      <c r="N154" s="124" t="n">
        <f aca="false">SUM(J$6:J154)</f>
        <v>0</v>
      </c>
      <c r="P154" s="124" t="n">
        <f aca="false">D154/P$3</f>
        <v>0</v>
      </c>
      <c r="Q154" s="143" t="n">
        <f aca="false">E154/P$3</f>
        <v>0.431147886475574</v>
      </c>
      <c r="R154" s="124" t="n">
        <f aca="false">F156/R$3</f>
        <v>0</v>
      </c>
      <c r="S154" s="126" t="n">
        <f aca="false">J154/$R$3</f>
        <v>0</v>
      </c>
      <c r="T154" s="126" t="n">
        <f aca="false">L154/$R$3</f>
        <v>0</v>
      </c>
      <c r="U154" s="126" t="n">
        <f aca="false">I154/$R$3</f>
        <v>0</v>
      </c>
      <c r="V154" s="126" t="n">
        <f aca="false">M154/$R$3</f>
        <v>0</v>
      </c>
      <c r="W154" s="126" t="n">
        <f aca="false">N154/$R$3</f>
        <v>0</v>
      </c>
    </row>
    <row r="155" customFormat="false" ht="12.75" hidden="true" customHeight="false" outlineLevel="0" collapsed="false">
      <c r="A155" s="120" t="n">
        <f aca="false">A154+1</f>
        <v>37041</v>
      </c>
      <c r="B155" s="131" t="str">
        <f aca="false">INDEX('Master Data'!$A$2:$B$8,MATCH(WEEKDAY('SC Total Power'!A155,3),'Master Data'!$A$2:$A$8,0),2)</f>
        <v>W</v>
      </c>
      <c r="D155" s="124" t="n">
        <v>0</v>
      </c>
      <c r="E155" s="124" t="n">
        <v>431147.886475574</v>
      </c>
      <c r="F155" s="124" t="n">
        <v>0</v>
      </c>
      <c r="G155" s="124" t="n">
        <v>0</v>
      </c>
      <c r="I155" s="124" t="n">
        <f aca="false">IF(MONTH($A155)=MONTH($A154),IF(G155=0,I154,G155),G155)</f>
        <v>0</v>
      </c>
      <c r="J155" s="124" t="n">
        <f aca="false">IF(MONTH($A155)=MONTH($A154),SUM(I155-I154),I155)</f>
        <v>0</v>
      </c>
      <c r="K155" s="124" t="n">
        <f aca="false">IF(WEEKDAY(A155,3)&gt;4,0,(IF(A155&lt;K$2,0,IF(A155&lt;=K$3,1,0))))</f>
        <v>0</v>
      </c>
      <c r="L155" s="124" t="n">
        <f aca="false">J155*K155</f>
        <v>0</v>
      </c>
      <c r="M155" s="124" t="n">
        <f aca="false">SUM(J$97:J155)</f>
        <v>0</v>
      </c>
      <c r="N155" s="124" t="n">
        <f aca="false">SUM(J$6:J155)</f>
        <v>0</v>
      </c>
      <c r="P155" s="124" t="n">
        <f aca="false">D155/P$3</f>
        <v>0</v>
      </c>
      <c r="Q155" s="143" t="n">
        <f aca="false">E155/P$3</f>
        <v>0.431147886475574</v>
      </c>
      <c r="R155" s="124" t="n">
        <f aca="false">F157/R$3</f>
        <v>0</v>
      </c>
      <c r="S155" s="126" t="n">
        <f aca="false">J155/$R$3</f>
        <v>0</v>
      </c>
      <c r="T155" s="126" t="n">
        <f aca="false">L155/$R$3</f>
        <v>0</v>
      </c>
      <c r="U155" s="126" t="n">
        <f aca="false">I155/$R$3</f>
        <v>0</v>
      </c>
      <c r="V155" s="126" t="n">
        <f aca="false">M155/$R$3</f>
        <v>0</v>
      </c>
      <c r="W155" s="126" t="n">
        <f aca="false">N155/$R$3</f>
        <v>0</v>
      </c>
    </row>
    <row r="156" customFormat="false" ht="12.75" hidden="false" customHeight="false" outlineLevel="0" collapsed="false">
      <c r="A156" s="120" t="n">
        <f aca="false">A155+1</f>
        <v>37042</v>
      </c>
      <c r="B156" s="131" t="str">
        <f aca="false">INDEX('Master Data'!$A$2:$B$8,MATCH(WEEKDAY('SC Total Power'!A156,3),'Master Data'!$A$2:$A$8,0),2)</f>
        <v>Th</v>
      </c>
      <c r="D156" s="124" t="n">
        <v>0</v>
      </c>
      <c r="E156" s="124" t="n">
        <v>430736.92439457</v>
      </c>
      <c r="F156" s="124" t="n">
        <v>0</v>
      </c>
      <c r="G156" s="124" t="n">
        <v>0</v>
      </c>
      <c r="I156" s="124" t="n">
        <f aca="false">IF(MONTH($A156)=MONTH($A155),IF(G156=0,I155,G156),G156)</f>
        <v>0</v>
      </c>
      <c r="J156" s="124" t="n">
        <f aca="false">IF(MONTH($A156)=MONTH($A155),SUM(I156-I155),I156)</f>
        <v>0</v>
      </c>
      <c r="K156" s="124" t="n">
        <f aca="false">IF(WEEKDAY(A156,3)&gt;4,0,(IF(A156&lt;K$2,0,IF(A156&lt;=K$3,1,0))))</f>
        <v>0</v>
      </c>
      <c r="L156" s="124" t="n">
        <f aca="false">J156*K156</f>
        <v>0</v>
      </c>
      <c r="M156" s="124" t="n">
        <f aca="false">SUM(J$97:J156)</f>
        <v>0</v>
      </c>
      <c r="N156" s="124" t="n">
        <f aca="false">SUM(J$6:J156)</f>
        <v>0</v>
      </c>
      <c r="P156" s="124" t="n">
        <f aca="false">D156/P$3</f>
        <v>0</v>
      </c>
      <c r="Q156" s="143" t="n">
        <f aca="false">E156/P$3</f>
        <v>0.43073692439457</v>
      </c>
      <c r="R156" s="124" t="n">
        <f aca="false">F158/R$3</f>
        <v>0</v>
      </c>
      <c r="S156" s="126" t="n">
        <f aca="false">J156/$R$3</f>
        <v>0</v>
      </c>
      <c r="T156" s="126" t="n">
        <f aca="false">L156/$R$3</f>
        <v>0</v>
      </c>
      <c r="U156" s="126" t="n">
        <f aca="false">I156/$R$3</f>
        <v>0</v>
      </c>
      <c r="V156" s="126" t="n">
        <f aca="false">M156/$R$3</f>
        <v>0</v>
      </c>
      <c r="W156" s="126" t="n">
        <f aca="false">N156/$R$3</f>
        <v>0</v>
      </c>
    </row>
    <row r="157" customFormat="false" ht="12.75" hidden="true" customHeight="false" outlineLevel="0" collapsed="false">
      <c r="A157" s="120" t="n">
        <f aca="false">A156+1</f>
        <v>37043</v>
      </c>
      <c r="B157" s="131" t="str">
        <f aca="false">INDEX('Master Data'!$A$2:$B$8,MATCH(WEEKDAY('SC Total Power'!A157,3),'Master Data'!$A$2:$A$8,0),2)</f>
        <v>F</v>
      </c>
      <c r="D157" s="124" t="n">
        <v>0</v>
      </c>
      <c r="E157" s="124" t="n">
        <v>430987.052827677</v>
      </c>
      <c r="F157" s="124" t="n">
        <v>0</v>
      </c>
      <c r="G157" s="124" t="n">
        <v>0</v>
      </c>
      <c r="I157" s="124" t="n">
        <f aca="false">IF(MONTH($A157)=MONTH($A156),IF(G157=0,I156,G157),G157)</f>
        <v>0</v>
      </c>
      <c r="J157" s="124" t="n">
        <f aca="false">IF(MONTH($A157)=MONTH($A156),SUM(I157-I156),I157)</f>
        <v>0</v>
      </c>
      <c r="K157" s="124" t="n">
        <f aca="false">IF(WEEKDAY(A157,3)&gt;4,0,(IF(A157&lt;K$2,0,IF(A157&lt;=K$3,1,0))))</f>
        <v>0</v>
      </c>
      <c r="L157" s="124" t="n">
        <f aca="false">J157*K157</f>
        <v>0</v>
      </c>
      <c r="M157" s="124" t="n">
        <f aca="false">SUM(J$97:J157)</f>
        <v>0</v>
      </c>
      <c r="N157" s="124" t="n">
        <f aca="false">SUM(J$6:J157)</f>
        <v>0</v>
      </c>
      <c r="P157" s="124" t="n">
        <f aca="false">D157/P$3</f>
        <v>0</v>
      </c>
      <c r="Q157" s="143" t="n">
        <f aca="false">E157/P$3</f>
        <v>0.430987052827677</v>
      </c>
      <c r="R157" s="124" t="n">
        <f aca="false">F159/R$3</f>
        <v>0</v>
      </c>
      <c r="S157" s="126" t="n">
        <f aca="false">J157/$R$3</f>
        <v>0</v>
      </c>
      <c r="T157" s="126" t="n">
        <f aca="false">L157/$R$3</f>
        <v>0</v>
      </c>
      <c r="U157" s="126" t="n">
        <f aca="false">I157/$R$3</f>
        <v>0</v>
      </c>
      <c r="V157" s="126" t="n">
        <f aca="false">M157/$R$3</f>
        <v>0</v>
      </c>
      <c r="W157" s="126" t="n">
        <f aca="false">N157/$R$3</f>
        <v>0</v>
      </c>
    </row>
    <row r="158" customFormat="false" ht="12.75" hidden="true" customHeight="false" outlineLevel="0" collapsed="false">
      <c r="A158" s="120" t="n">
        <f aca="false">A157+1</f>
        <v>37044</v>
      </c>
      <c r="B158" s="131" t="str">
        <f aca="false">INDEX('Master Data'!$A$2:$B$8,MATCH(WEEKDAY('SC Total Power'!A158,3),'Master Data'!$A$2:$A$8,0),2)</f>
        <v>Sa</v>
      </c>
      <c r="D158" s="124" t="n">
        <v>0</v>
      </c>
      <c r="E158" s="124" t="n">
        <v>0</v>
      </c>
      <c r="F158" s="124" t="n">
        <v>0</v>
      </c>
      <c r="G158" s="124" t="n">
        <v>0</v>
      </c>
      <c r="I158" s="124" t="n">
        <f aca="false">IF(MONTH($A158)=MONTH($A157),IF(G158=0,I157,G158),G158)</f>
        <v>0</v>
      </c>
      <c r="J158" s="124" t="n">
        <f aca="false">IF(MONTH($A158)=MONTH($A157),SUM(I158-I157),I158)</f>
        <v>0</v>
      </c>
      <c r="K158" s="124" t="n">
        <f aca="false">IF(WEEKDAY(A158,3)&gt;4,0,(IF(A158&lt;K$2,0,IF(A158&lt;=K$3,1,0))))</f>
        <v>0</v>
      </c>
      <c r="L158" s="124" t="n">
        <f aca="false">J158*K158</f>
        <v>0</v>
      </c>
      <c r="M158" s="124" t="n">
        <f aca="false">SUM(J$97:J158)</f>
        <v>0</v>
      </c>
      <c r="N158" s="124" t="n">
        <f aca="false">SUM(J$6:J158)</f>
        <v>0</v>
      </c>
      <c r="P158" s="124" t="n">
        <f aca="false">D158/P$3</f>
        <v>0</v>
      </c>
      <c r="Q158" s="143" t="n">
        <f aca="false">E158/P$3</f>
        <v>0</v>
      </c>
      <c r="R158" s="124" t="n">
        <f aca="false">F158/R$3</f>
        <v>0</v>
      </c>
      <c r="S158" s="126" t="n">
        <f aca="false">J158/$R$3</f>
        <v>0</v>
      </c>
      <c r="T158" s="126" t="n">
        <f aca="false">L158/$R$3</f>
        <v>0</v>
      </c>
      <c r="U158" s="126" t="n">
        <f aca="false">I158/$R$3</f>
        <v>0</v>
      </c>
      <c r="V158" s="126" t="n">
        <f aca="false">M158/$R$3</f>
        <v>0</v>
      </c>
      <c r="W158" s="126" t="n">
        <f aca="false">N158/$R$3</f>
        <v>0</v>
      </c>
    </row>
    <row r="159" customFormat="false" ht="12.75" hidden="true" customHeight="false" outlineLevel="0" collapsed="false">
      <c r="A159" s="120" t="n">
        <f aca="false">A158+1</f>
        <v>37045</v>
      </c>
      <c r="B159" s="131" t="str">
        <f aca="false">INDEX('Master Data'!$A$2:$B$8,MATCH(WEEKDAY('SC Total Power'!A159,3),'Master Data'!$A$2:$A$8,0),2)</f>
        <v>Su</v>
      </c>
      <c r="D159" s="124" t="n">
        <v>0</v>
      </c>
      <c r="E159" s="124" t="n">
        <v>0</v>
      </c>
      <c r="F159" s="124" t="n">
        <v>0</v>
      </c>
      <c r="G159" s="124" t="n">
        <v>0</v>
      </c>
      <c r="I159" s="124" t="n">
        <f aca="false">IF(MONTH($A159)=MONTH($A158),IF(G159=0,I158,G159),G159)</f>
        <v>0</v>
      </c>
      <c r="J159" s="124" t="n">
        <f aca="false">IF(MONTH($A159)=MONTH($A158),SUM(I159-I158),I159)</f>
        <v>0</v>
      </c>
      <c r="K159" s="124" t="n">
        <f aca="false">IF(WEEKDAY(A159,3)&gt;4,0,(IF(A159&lt;K$2,0,IF(A159&lt;=K$3,1,0))))</f>
        <v>0</v>
      </c>
      <c r="L159" s="124" t="n">
        <f aca="false">J159*K159</f>
        <v>0</v>
      </c>
      <c r="M159" s="124" t="n">
        <f aca="false">SUM(J$97:J159)</f>
        <v>0</v>
      </c>
      <c r="N159" s="124" t="n">
        <f aca="false">SUM(J$6:J159)</f>
        <v>0</v>
      </c>
      <c r="P159" s="124" t="n">
        <f aca="false">D159/P$3</f>
        <v>0</v>
      </c>
      <c r="Q159" s="143" t="n">
        <f aca="false">E159/P$3</f>
        <v>0</v>
      </c>
      <c r="R159" s="124" t="n">
        <f aca="false">F159/R$3</f>
        <v>0</v>
      </c>
      <c r="S159" s="126" t="n">
        <f aca="false">J159/$R$3</f>
        <v>0</v>
      </c>
      <c r="T159" s="126" t="n">
        <f aca="false">L159/$R$3</f>
        <v>0</v>
      </c>
      <c r="U159" s="126" t="n">
        <f aca="false">I159/$R$3</f>
        <v>0</v>
      </c>
      <c r="V159" s="126" t="n">
        <f aca="false">M159/$R$3</f>
        <v>0</v>
      </c>
      <c r="W159" s="126" t="n">
        <f aca="false">N159/$R$3</f>
        <v>0</v>
      </c>
    </row>
    <row r="160" customFormat="false" ht="12.75" hidden="true" customHeight="false" outlineLevel="0" collapsed="false">
      <c r="A160" s="120" t="n">
        <f aca="false">A159+1</f>
        <v>37046</v>
      </c>
      <c r="B160" s="131" t="str">
        <f aca="false">INDEX('Master Data'!$A$2:$B$8,MATCH(WEEKDAY('SC Total Power'!A160,3),'Master Data'!$A$2:$A$8,0),2)</f>
        <v>M</v>
      </c>
      <c r="D160" s="124" t="n">
        <v>0</v>
      </c>
      <c r="E160" s="124" t="n">
        <v>431072.629893925</v>
      </c>
      <c r="F160" s="124" t="n">
        <v>0</v>
      </c>
      <c r="G160" s="124" t="n">
        <v>0</v>
      </c>
      <c r="I160" s="124" t="n">
        <f aca="false">IF(MONTH($A160)=MONTH($A159),IF(G160=0,I159,G160),G160)</f>
        <v>0</v>
      </c>
      <c r="J160" s="124" t="n">
        <f aca="false">IF(MONTH($A160)=MONTH($A159),SUM(I160-I159),I160)</f>
        <v>0</v>
      </c>
      <c r="K160" s="124" t="n">
        <f aca="false">IF(WEEKDAY(A160,3)&gt;4,0,(IF(A160&lt;K$2,0,IF(A160&lt;=K$3,1,0))))</f>
        <v>0</v>
      </c>
      <c r="L160" s="124" t="n">
        <f aca="false">J160*K160</f>
        <v>0</v>
      </c>
      <c r="M160" s="124" t="n">
        <f aca="false">SUM(J$97:J160)</f>
        <v>0</v>
      </c>
      <c r="N160" s="124" t="n">
        <f aca="false">SUM(J$6:J160)</f>
        <v>0</v>
      </c>
      <c r="P160" s="124" t="n">
        <f aca="false">D160/P$3</f>
        <v>0</v>
      </c>
      <c r="Q160" s="143" t="n">
        <f aca="false">E160/P$3</f>
        <v>0.431072629893925</v>
      </c>
      <c r="R160" s="124" t="n">
        <f aca="false">F160/R$3</f>
        <v>0</v>
      </c>
      <c r="S160" s="126" t="n">
        <f aca="false">J160/$R$3</f>
        <v>0</v>
      </c>
      <c r="T160" s="126" t="n">
        <f aca="false">L160/$R$3</f>
        <v>0</v>
      </c>
      <c r="U160" s="126" t="n">
        <f aca="false">I160/$R$3</f>
        <v>0</v>
      </c>
      <c r="V160" s="126" t="n">
        <f aca="false">M160/$R$3</f>
        <v>0</v>
      </c>
      <c r="W160" s="126" t="n">
        <f aca="false">N160/$R$3</f>
        <v>0</v>
      </c>
    </row>
    <row r="161" customFormat="false" ht="12.75" hidden="true" customHeight="false" outlineLevel="0" collapsed="false">
      <c r="A161" s="120" t="n">
        <f aca="false">A160+1</f>
        <v>37047</v>
      </c>
      <c r="B161" s="131" t="str">
        <f aca="false">INDEX('Master Data'!$A$2:$B$8,MATCH(WEEKDAY('SC Total Power'!A161,3),'Master Data'!$A$2:$A$8,0),2)</f>
        <v>T</v>
      </c>
      <c r="D161" s="124" t="n">
        <v>0</v>
      </c>
      <c r="E161" s="124" t="n">
        <v>431161.793290534</v>
      </c>
      <c r="F161" s="124" t="n">
        <v>0</v>
      </c>
      <c r="G161" s="124" t="n">
        <v>0</v>
      </c>
      <c r="I161" s="124" t="n">
        <f aca="false">IF(MONTH($A161)=MONTH($A160),IF(G161=0,I160,G161),G161)</f>
        <v>0</v>
      </c>
      <c r="J161" s="124" t="n">
        <f aca="false">IF(MONTH($A161)=MONTH($A160),SUM(I161-I160),I161)</f>
        <v>0</v>
      </c>
      <c r="K161" s="124" t="n">
        <f aca="false">IF(WEEKDAY(A161,3)&gt;4,0,(IF(A161&lt;K$2,0,IF(A161&lt;=K$3,1,0))))</f>
        <v>0</v>
      </c>
      <c r="L161" s="124" t="n">
        <f aca="false">J161*K161</f>
        <v>0</v>
      </c>
      <c r="M161" s="124" t="n">
        <f aca="false">SUM(J$97:J161)</f>
        <v>0</v>
      </c>
      <c r="N161" s="124" t="n">
        <f aca="false">SUM(J$6:J161)</f>
        <v>0</v>
      </c>
      <c r="P161" s="124" t="n">
        <f aca="false">D161/P$3</f>
        <v>0</v>
      </c>
      <c r="Q161" s="143" t="n">
        <f aca="false">E161/P$3</f>
        <v>0.431161793290534</v>
      </c>
      <c r="R161" s="124" t="n">
        <f aca="false">F161/R$3</f>
        <v>0</v>
      </c>
      <c r="S161" s="126" t="n">
        <f aca="false">J161/$R$3</f>
        <v>0</v>
      </c>
      <c r="T161" s="126" t="n">
        <f aca="false">L161/$R$3</f>
        <v>0</v>
      </c>
      <c r="U161" s="126" t="n">
        <f aca="false">I161/$R$3</f>
        <v>0</v>
      </c>
      <c r="V161" s="126" t="n">
        <f aca="false">M161/$R$3</f>
        <v>0</v>
      </c>
      <c r="W161" s="126" t="n">
        <f aca="false">N161/$R$3</f>
        <v>0</v>
      </c>
    </row>
    <row r="162" customFormat="false" ht="12.75" hidden="true" customHeight="false" outlineLevel="0" collapsed="false">
      <c r="A162" s="120" t="n">
        <f aca="false">A161+1</f>
        <v>37048</v>
      </c>
      <c r="B162" s="131" t="str">
        <f aca="false">INDEX('Master Data'!$A$2:$B$8,MATCH(WEEKDAY('SC Total Power'!A162,3),'Master Data'!$A$2:$A$8,0),2)</f>
        <v>W</v>
      </c>
      <c r="D162" s="124" t="n">
        <v>0</v>
      </c>
      <c r="E162" s="124" t="n">
        <v>431251.347149006</v>
      </c>
      <c r="F162" s="124" t="n">
        <v>0</v>
      </c>
      <c r="G162" s="124" t="n">
        <v>0</v>
      </c>
      <c r="I162" s="124" t="n">
        <f aca="false">IF(MONTH($A162)=MONTH($A161),IF(G162=0,I161,G162),G162)</f>
        <v>0</v>
      </c>
      <c r="J162" s="124" t="n">
        <f aca="false">IF(MONTH($A162)=MONTH($A161),SUM(I162-I161),I162)</f>
        <v>0</v>
      </c>
      <c r="K162" s="124" t="n">
        <f aca="false">IF(WEEKDAY(A162,3)&gt;4,0,(IF(A162&lt;K$2,0,IF(A162&lt;=K$3,1,0))))</f>
        <v>0</v>
      </c>
      <c r="L162" s="124" t="n">
        <f aca="false">J162*K162</f>
        <v>0</v>
      </c>
      <c r="M162" s="124" t="n">
        <f aca="false">SUM(J$97:J162)</f>
        <v>0</v>
      </c>
      <c r="N162" s="124" t="n">
        <f aca="false">SUM(J$6:J162)</f>
        <v>0</v>
      </c>
      <c r="P162" s="124" t="n">
        <f aca="false">D162/P$3</f>
        <v>0</v>
      </c>
      <c r="Q162" s="143" t="n">
        <f aca="false">E162/P$3</f>
        <v>0.431251347149006</v>
      </c>
      <c r="R162" s="124" t="n">
        <f aca="false">F162/R$3</f>
        <v>0</v>
      </c>
      <c r="S162" s="126" t="n">
        <f aca="false">J162/$R$3</f>
        <v>0</v>
      </c>
      <c r="T162" s="126" t="n">
        <f aca="false">L162/$R$3</f>
        <v>0</v>
      </c>
      <c r="U162" s="126" t="n">
        <f aca="false">I162/$R$3</f>
        <v>0</v>
      </c>
      <c r="V162" s="126" t="n">
        <f aca="false">M162/$R$3</f>
        <v>0</v>
      </c>
      <c r="W162" s="126" t="n">
        <f aca="false">N162/$R$3</f>
        <v>0</v>
      </c>
    </row>
    <row r="163" customFormat="false" ht="12.75" hidden="true" customHeight="false" outlineLevel="0" collapsed="false">
      <c r="A163" s="120" t="n">
        <f aca="false">A162+1</f>
        <v>37049</v>
      </c>
      <c r="B163" s="131" t="str">
        <f aca="false">INDEX('Master Data'!$A$2:$B$8,MATCH(WEEKDAY('SC Total Power'!A163,3),'Master Data'!$A$2:$A$8,0),2)</f>
        <v>Th</v>
      </c>
      <c r="D163" s="124" t="n">
        <v>0</v>
      </c>
      <c r="E163" s="124" t="n">
        <v>431340.785374836</v>
      </c>
      <c r="F163" s="124" t="n">
        <v>0</v>
      </c>
      <c r="G163" s="124" t="n">
        <v>0</v>
      </c>
      <c r="I163" s="124" t="n">
        <f aca="false">IF(MONTH($A163)=MONTH($A162),IF(G163=0,I162,G163),G163)</f>
        <v>0</v>
      </c>
      <c r="J163" s="124" t="n">
        <f aca="false">IF(MONTH($A163)=MONTH($A162),SUM(I163-I162),I163)</f>
        <v>0</v>
      </c>
      <c r="K163" s="124" t="n">
        <f aca="false">IF(WEEKDAY(A163,3)&gt;4,0,(IF(A163&lt;K$2,0,IF(A163&lt;=K$3,1,0))))</f>
        <v>0</v>
      </c>
      <c r="L163" s="124" t="n">
        <f aca="false">J163*K163</f>
        <v>0</v>
      </c>
      <c r="M163" s="124" t="n">
        <f aca="false">SUM(J$97:J163)</f>
        <v>0</v>
      </c>
      <c r="N163" s="124" t="n">
        <f aca="false">SUM(J$6:J163)</f>
        <v>0</v>
      </c>
      <c r="P163" s="124" t="n">
        <f aca="false">D163/P$3</f>
        <v>0</v>
      </c>
      <c r="Q163" s="143" t="n">
        <f aca="false">E163/P$3</f>
        <v>0.431340785374836</v>
      </c>
      <c r="R163" s="124" t="n">
        <f aca="false">F163/R$3</f>
        <v>0</v>
      </c>
      <c r="S163" s="126" t="n">
        <f aca="false">J163/$R$3</f>
        <v>0</v>
      </c>
      <c r="T163" s="126" t="n">
        <f aca="false">L163/$R$3</f>
        <v>0</v>
      </c>
      <c r="U163" s="126" t="n">
        <f aca="false">I163/$R$3</f>
        <v>0</v>
      </c>
      <c r="V163" s="126" t="n">
        <f aca="false">M163/$R$3</f>
        <v>0</v>
      </c>
      <c r="W163" s="126" t="n">
        <f aca="false">N163/$R$3</f>
        <v>0</v>
      </c>
    </row>
    <row r="164" customFormat="false" ht="12.75" hidden="true" customHeight="false" outlineLevel="0" collapsed="false">
      <c r="A164" s="120" t="n">
        <f aca="false">A163+1</f>
        <v>37050</v>
      </c>
      <c r="B164" s="131" t="str">
        <f aca="false">INDEX('Master Data'!$A$2:$B$8,MATCH(WEEKDAY('SC Total Power'!A164,3),'Master Data'!$A$2:$A$8,0),2)</f>
        <v>F</v>
      </c>
      <c r="D164" s="124" t="n">
        <v>0</v>
      </c>
      <c r="E164" s="124" t="n">
        <v>431435.878086816</v>
      </c>
      <c r="F164" s="124" t="n">
        <v>0</v>
      </c>
      <c r="G164" s="124" t="n">
        <v>0</v>
      </c>
      <c r="I164" s="124" t="n">
        <f aca="false">IF(MONTH($A164)=MONTH($A163),IF(G164=0,I163,G164),G164)</f>
        <v>0</v>
      </c>
      <c r="J164" s="124" t="n">
        <f aca="false">IF(MONTH($A164)=MONTH($A163),SUM(I164-I163),I164)</f>
        <v>0</v>
      </c>
      <c r="K164" s="124" t="n">
        <f aca="false">IF(WEEKDAY(A164,3)&gt;4,0,(IF(A164&lt;K$2,0,IF(A164&lt;=K$3,1,0))))</f>
        <v>0</v>
      </c>
      <c r="L164" s="124" t="n">
        <f aca="false">J164*K164</f>
        <v>0</v>
      </c>
      <c r="M164" s="124" t="n">
        <f aca="false">SUM(J$97:J164)</f>
        <v>0</v>
      </c>
      <c r="N164" s="124" t="n">
        <f aca="false">SUM(J$6:J164)</f>
        <v>0</v>
      </c>
      <c r="P164" s="124" t="n">
        <f aca="false">D164/P$3</f>
        <v>0</v>
      </c>
      <c r="Q164" s="143" t="n">
        <f aca="false">E164/P$3</f>
        <v>0.431435878086816</v>
      </c>
      <c r="R164" s="124" t="n">
        <f aca="false">F164/R$3</f>
        <v>0</v>
      </c>
      <c r="S164" s="126" t="n">
        <f aca="false">J164/$R$3</f>
        <v>0</v>
      </c>
      <c r="T164" s="126" t="n">
        <f aca="false">L164/$R$3</f>
        <v>0</v>
      </c>
      <c r="U164" s="126" t="n">
        <f aca="false">I164/$R$3</f>
        <v>0</v>
      </c>
      <c r="V164" s="126" t="n">
        <f aca="false">M164/$R$3</f>
        <v>0</v>
      </c>
      <c r="W164" s="126" t="n">
        <f aca="false">N164/$R$3</f>
        <v>0</v>
      </c>
    </row>
    <row r="165" customFormat="false" ht="12.75" hidden="true" customHeight="false" outlineLevel="0" collapsed="false">
      <c r="A165" s="120" t="n">
        <f aca="false">A164+1</f>
        <v>37051</v>
      </c>
      <c r="B165" s="131" t="str">
        <f aca="false">INDEX('Master Data'!$A$2:$B$8,MATCH(WEEKDAY('SC Total Power'!A165,3),'Master Data'!$A$2:$A$8,0),2)</f>
        <v>Sa</v>
      </c>
      <c r="D165" s="124" t="n">
        <v>0</v>
      </c>
      <c r="E165" s="124" t="n">
        <v>0</v>
      </c>
      <c r="F165" s="124" t="n">
        <v>0</v>
      </c>
      <c r="G165" s="124" t="n">
        <v>0</v>
      </c>
      <c r="I165" s="124" t="n">
        <f aca="false">IF(MONTH($A165)=MONTH($A164),IF(G165=0,I164,G165),G165)</f>
        <v>0</v>
      </c>
      <c r="J165" s="124" t="n">
        <f aca="false">IF(MONTH($A165)=MONTH($A164),SUM(I165-I164),I165)</f>
        <v>0</v>
      </c>
      <c r="K165" s="124" t="n">
        <f aca="false">IF(WEEKDAY(A165,3)&gt;4,0,(IF(A165&lt;K$2,0,IF(A165&lt;=K$3,1,0))))</f>
        <v>0</v>
      </c>
      <c r="L165" s="124" t="n">
        <f aca="false">J165*K165</f>
        <v>0</v>
      </c>
      <c r="M165" s="124" t="n">
        <f aca="false">SUM(J$97:J165)</f>
        <v>0</v>
      </c>
      <c r="N165" s="124" t="n">
        <f aca="false">SUM(J$6:J165)</f>
        <v>0</v>
      </c>
      <c r="P165" s="124" t="n">
        <f aca="false">D165/P$3</f>
        <v>0</v>
      </c>
      <c r="Q165" s="143" t="n">
        <f aca="false">E165/P$3</f>
        <v>0</v>
      </c>
      <c r="R165" s="124" t="n">
        <f aca="false">F165/R$3</f>
        <v>0</v>
      </c>
      <c r="S165" s="126" t="n">
        <f aca="false">J165/$R$3</f>
        <v>0</v>
      </c>
      <c r="T165" s="126" t="n">
        <f aca="false">L165/$R$3</f>
        <v>0</v>
      </c>
      <c r="U165" s="126" t="n">
        <f aca="false">I165/$R$3</f>
        <v>0</v>
      </c>
      <c r="V165" s="126" t="n">
        <f aca="false">M165/$R$3</f>
        <v>0</v>
      </c>
      <c r="W165" s="126" t="n">
        <f aca="false">N165/$R$3</f>
        <v>0</v>
      </c>
    </row>
    <row r="166" customFormat="false" ht="12.75" hidden="true" customHeight="false" outlineLevel="0" collapsed="false">
      <c r="A166" s="120" t="n">
        <f aca="false">A165+1</f>
        <v>37052</v>
      </c>
      <c r="B166" s="131" t="str">
        <f aca="false">INDEX('Master Data'!$A$2:$B$8,MATCH(WEEKDAY('SC Total Power'!A166,3),'Master Data'!$A$2:$A$8,0),2)</f>
        <v>Su</v>
      </c>
      <c r="D166" s="124" t="n">
        <v>0</v>
      </c>
      <c r="E166" s="124" t="n">
        <v>0</v>
      </c>
      <c r="F166" s="124" t="n">
        <v>0</v>
      </c>
      <c r="G166" s="124" t="n">
        <v>0</v>
      </c>
      <c r="I166" s="124" t="n">
        <f aca="false">IF(MONTH($A166)=MONTH($A165),IF(G166=0,I165,G166),G166)</f>
        <v>0</v>
      </c>
      <c r="J166" s="124" t="n">
        <f aca="false">IF(MONTH($A166)=MONTH($A165),SUM(I166-I165),I166)</f>
        <v>0</v>
      </c>
      <c r="K166" s="124" t="n">
        <f aca="false">IF(WEEKDAY(A166,3)&gt;4,0,(IF(A166&lt;K$2,0,IF(A166&lt;=K$3,1,0))))</f>
        <v>0</v>
      </c>
      <c r="L166" s="124" t="n">
        <f aca="false">J166*K166</f>
        <v>0</v>
      </c>
      <c r="M166" s="124" t="n">
        <f aca="false">SUM(J$97:J166)</f>
        <v>0</v>
      </c>
      <c r="N166" s="124" t="n">
        <f aca="false">SUM(J$6:J166)</f>
        <v>0</v>
      </c>
      <c r="P166" s="124" t="n">
        <f aca="false">D166/P$3</f>
        <v>0</v>
      </c>
      <c r="Q166" s="143" t="n">
        <f aca="false">E166/P$3</f>
        <v>0</v>
      </c>
      <c r="R166" s="124" t="n">
        <f aca="false">F166/R$3</f>
        <v>0</v>
      </c>
      <c r="S166" s="126" t="n">
        <f aca="false">J166/$R$3</f>
        <v>0</v>
      </c>
      <c r="T166" s="126" t="n">
        <f aca="false">L166/$R$3</f>
        <v>0</v>
      </c>
      <c r="U166" s="126" t="n">
        <f aca="false">I166/$R$3</f>
        <v>0</v>
      </c>
      <c r="V166" s="126" t="n">
        <f aca="false">M166/$R$3</f>
        <v>0</v>
      </c>
      <c r="W166" s="126" t="n">
        <f aca="false">N166/$R$3</f>
        <v>0</v>
      </c>
    </row>
    <row r="167" customFormat="false" ht="12.75" hidden="true" customHeight="false" outlineLevel="0" collapsed="false">
      <c r="A167" s="120" t="n">
        <f aca="false">A166+1</f>
        <v>37053</v>
      </c>
      <c r="B167" s="131" t="str">
        <f aca="false">INDEX('Master Data'!$A$2:$B$8,MATCH(WEEKDAY('SC Total Power'!A167,3),'Master Data'!$A$2:$A$8,0),2)</f>
        <v>M</v>
      </c>
      <c r="D167" s="124" t="n">
        <v>0</v>
      </c>
      <c r="E167" s="124" t="n">
        <v>431579.90802542</v>
      </c>
      <c r="F167" s="124" t="n">
        <v>0</v>
      </c>
      <c r="G167" s="124" t="n">
        <v>0</v>
      </c>
      <c r="I167" s="124" t="n">
        <f aca="false">IF(MONTH($A167)=MONTH($A166),IF(G167=0,I166,G167),G167)</f>
        <v>0</v>
      </c>
      <c r="J167" s="124" t="n">
        <f aca="false">IF(MONTH($A167)=MONTH($A166),SUM(I167-I166),I167)</f>
        <v>0</v>
      </c>
      <c r="K167" s="124" t="n">
        <f aca="false">IF(WEEKDAY(A167,3)&gt;4,0,(IF(A167&lt;K$2,0,IF(A167&lt;=K$3,1,0))))</f>
        <v>0</v>
      </c>
      <c r="L167" s="124" t="n">
        <f aca="false">J167*K167</f>
        <v>0</v>
      </c>
      <c r="M167" s="124" t="n">
        <f aca="false">SUM(J$97:J167)</f>
        <v>0</v>
      </c>
      <c r="N167" s="124" t="n">
        <f aca="false">SUM(J$6:J167)</f>
        <v>0</v>
      </c>
      <c r="P167" s="124" t="n">
        <f aca="false">D167/P$3</f>
        <v>0</v>
      </c>
      <c r="Q167" s="143" t="n">
        <f aca="false">E167/P$3</f>
        <v>0.43157990802542</v>
      </c>
      <c r="R167" s="124" t="n">
        <f aca="false">F167/R$3</f>
        <v>0</v>
      </c>
      <c r="S167" s="126" t="n">
        <f aca="false">J167/$R$3</f>
        <v>0</v>
      </c>
      <c r="T167" s="126" t="n">
        <f aca="false">L167/$R$3</f>
        <v>0</v>
      </c>
      <c r="U167" s="126" t="n">
        <f aca="false">I167/$R$3</f>
        <v>0</v>
      </c>
      <c r="V167" s="126" t="n">
        <f aca="false">M167/$R$3</f>
        <v>0</v>
      </c>
      <c r="W167" s="126" t="n">
        <f aca="false">N167/$R$3</f>
        <v>0</v>
      </c>
    </row>
    <row r="168" customFormat="false" ht="12.75" hidden="true" customHeight="false" outlineLevel="0" collapsed="false">
      <c r="A168" s="120" t="n">
        <f aca="false">A167+1</f>
        <v>37054</v>
      </c>
      <c r="B168" s="131" t="str">
        <f aca="false">INDEX('Master Data'!$A$2:$B$8,MATCH(WEEKDAY('SC Total Power'!A168,3),'Master Data'!$A$2:$A$8,0),2)</f>
        <v>T</v>
      </c>
      <c r="D168" s="124" t="n">
        <v>0</v>
      </c>
      <c r="E168" s="124" t="n">
        <v>431747.392240881</v>
      </c>
      <c r="F168" s="124" t="n">
        <v>0</v>
      </c>
      <c r="G168" s="124" t="n">
        <v>0</v>
      </c>
      <c r="I168" s="124" t="n">
        <f aca="false">IF(MONTH($A168)=MONTH($A167),IF(G168=0,I167,G168),G168)</f>
        <v>0</v>
      </c>
      <c r="J168" s="124" t="n">
        <f aca="false">IF(MONTH($A168)=MONTH($A167),SUM(I168-I167),I168)</f>
        <v>0</v>
      </c>
      <c r="K168" s="124" t="n">
        <f aca="false">IF(WEEKDAY(A168,3)&gt;4,0,(IF(A168&lt;K$2,0,IF(A168&lt;=K$3,1,0))))</f>
        <v>0</v>
      </c>
      <c r="L168" s="124" t="n">
        <f aca="false">J168*K168</f>
        <v>0</v>
      </c>
      <c r="M168" s="124" t="n">
        <f aca="false">SUM(J$97:J168)</f>
        <v>0</v>
      </c>
      <c r="N168" s="124" t="n">
        <f aca="false">SUM(J$6:J168)</f>
        <v>0</v>
      </c>
      <c r="P168" s="124" t="n">
        <f aca="false">D168/P$3</f>
        <v>0</v>
      </c>
      <c r="Q168" s="143" t="n">
        <f aca="false">E168/P$3</f>
        <v>0.431747392240881</v>
      </c>
      <c r="R168" s="124" t="n">
        <f aca="false">F168/R$3</f>
        <v>0</v>
      </c>
      <c r="S168" s="126" t="n">
        <f aca="false">J168/$R$3</f>
        <v>0</v>
      </c>
      <c r="T168" s="126" t="n">
        <f aca="false">L168/$R$3</f>
        <v>0</v>
      </c>
      <c r="U168" s="126" t="n">
        <f aca="false">I168/$R$3</f>
        <v>0</v>
      </c>
      <c r="V168" s="126" t="n">
        <f aca="false">M168/$R$3</f>
        <v>0</v>
      </c>
      <c r="W168" s="126" t="n">
        <f aca="false">N168/$R$3</f>
        <v>0</v>
      </c>
    </row>
    <row r="169" customFormat="false" ht="12.75" hidden="true" customHeight="false" outlineLevel="0" collapsed="false">
      <c r="A169" s="120" t="n">
        <f aca="false">A168+1</f>
        <v>37055</v>
      </c>
      <c r="B169" s="131" t="str">
        <f aca="false">INDEX('Master Data'!$A$2:$B$8,MATCH(WEEKDAY('SC Total Power'!A169,3),'Master Data'!$A$2:$A$8,0),2)</f>
        <v>W</v>
      </c>
      <c r="D169" s="124" t="n">
        <v>0</v>
      </c>
      <c r="E169" s="124" t="n">
        <v>431853.29814181</v>
      </c>
      <c r="F169" s="124" t="n">
        <v>0</v>
      </c>
      <c r="G169" s="124" t="n">
        <v>0</v>
      </c>
      <c r="I169" s="124" t="n">
        <f aca="false">IF(MONTH($A169)=MONTH($A168),IF(G169=0,I168,G169),G169)</f>
        <v>0</v>
      </c>
      <c r="J169" s="124" t="n">
        <f aca="false">IF(MONTH($A169)=MONTH($A168),SUM(I169-I168),I169)</f>
        <v>0</v>
      </c>
      <c r="K169" s="124" t="n">
        <f aca="false">IF(WEEKDAY(A169,3)&gt;4,0,(IF(A169&lt;K$2,0,IF(A169&lt;=K$3,1,0))))</f>
        <v>0</v>
      </c>
      <c r="L169" s="124" t="n">
        <f aca="false">J169*K169</f>
        <v>0</v>
      </c>
      <c r="M169" s="124" t="n">
        <f aca="false">SUM(J$97:J169)</f>
        <v>0</v>
      </c>
      <c r="N169" s="124" t="n">
        <f aca="false">SUM(J$6:J169)</f>
        <v>0</v>
      </c>
      <c r="P169" s="124" t="n">
        <f aca="false">D169/P$3</f>
        <v>0</v>
      </c>
      <c r="Q169" s="143" t="n">
        <f aca="false">E169/P$3</f>
        <v>0.43185329814181</v>
      </c>
      <c r="R169" s="124" t="n">
        <f aca="false">F169/R$3</f>
        <v>0</v>
      </c>
      <c r="S169" s="126" t="n">
        <f aca="false">J169/$R$3</f>
        <v>0</v>
      </c>
      <c r="T169" s="126" t="n">
        <f aca="false">L169/$R$3</f>
        <v>0</v>
      </c>
      <c r="U169" s="126" t="n">
        <f aca="false">I169/$R$3</f>
        <v>0</v>
      </c>
      <c r="V169" s="126" t="n">
        <f aca="false">M169/$R$3</f>
        <v>0</v>
      </c>
      <c r="W169" s="126" t="n">
        <f aca="false">N169/$R$3</f>
        <v>0</v>
      </c>
    </row>
    <row r="170" customFormat="false" ht="12.75" hidden="true" customHeight="false" outlineLevel="0" collapsed="false">
      <c r="A170" s="120" t="n">
        <f aca="false">A169+1</f>
        <v>37056</v>
      </c>
      <c r="B170" s="131" t="str">
        <f aca="false">INDEX('Master Data'!$A$2:$B$8,MATCH(WEEKDAY('SC Total Power'!A170,3),'Master Data'!$A$2:$A$8,0),2)</f>
        <v>Th</v>
      </c>
      <c r="D170" s="124" t="n">
        <v>0</v>
      </c>
      <c r="E170" s="124" t="n">
        <v>431939.05763128</v>
      </c>
      <c r="F170" s="124" t="n">
        <v>0</v>
      </c>
      <c r="G170" s="124" t="n">
        <v>0</v>
      </c>
      <c r="I170" s="124" t="n">
        <f aca="false">IF(MONTH($A170)=MONTH($A169),IF(G170=0,I169,G170),G170)</f>
        <v>0</v>
      </c>
      <c r="J170" s="124" t="n">
        <f aca="false">IF(MONTH($A170)=MONTH($A169),SUM(I170-I169),I170)</f>
        <v>0</v>
      </c>
      <c r="K170" s="124" t="n">
        <f aca="false">IF(WEEKDAY(A170,3)&gt;4,0,(IF(A170&lt;K$2,0,IF(A170&lt;=K$3,1,0))))</f>
        <v>0</v>
      </c>
      <c r="L170" s="124" t="n">
        <f aca="false">J170*K170</f>
        <v>0</v>
      </c>
      <c r="M170" s="124" t="n">
        <f aca="false">SUM(J$97:J170)</f>
        <v>0</v>
      </c>
      <c r="N170" s="124" t="n">
        <f aca="false">SUM(J$6:J170)</f>
        <v>0</v>
      </c>
      <c r="P170" s="124" t="n">
        <f aca="false">D170/P$3</f>
        <v>0</v>
      </c>
      <c r="Q170" s="143" t="n">
        <f aca="false">E170/P$3</f>
        <v>0.43193905763128</v>
      </c>
      <c r="R170" s="124" t="n">
        <f aca="false">F170/R$3</f>
        <v>0</v>
      </c>
      <c r="S170" s="126" t="n">
        <f aca="false">J170/$R$3</f>
        <v>0</v>
      </c>
      <c r="T170" s="126" t="n">
        <f aca="false">L170/$R$3</f>
        <v>0</v>
      </c>
      <c r="U170" s="126" t="n">
        <f aca="false">I170/$R$3</f>
        <v>0</v>
      </c>
      <c r="V170" s="126" t="n">
        <f aca="false">M170/$R$3</f>
        <v>0</v>
      </c>
      <c r="W170" s="126" t="n">
        <f aca="false">N170/$R$3</f>
        <v>0</v>
      </c>
    </row>
    <row r="171" customFormat="false" ht="12.75" hidden="true" customHeight="false" outlineLevel="0" collapsed="false">
      <c r="A171" s="120" t="n">
        <f aca="false">A170+1</f>
        <v>37057</v>
      </c>
      <c r="B171" s="131" t="str">
        <f aca="false">INDEX('Master Data'!$A$2:$B$8,MATCH(WEEKDAY('SC Total Power'!A171,3),'Master Data'!$A$2:$A$8,0),2)</f>
        <v>F</v>
      </c>
      <c r="D171" s="124" t="n">
        <v>0</v>
      </c>
      <c r="E171" s="124" t="n">
        <v>432049.860054029</v>
      </c>
      <c r="F171" s="124" t="n">
        <v>0</v>
      </c>
      <c r="G171" s="124" t="n">
        <v>0</v>
      </c>
      <c r="I171" s="124" t="n">
        <f aca="false">IF(MONTH($A171)=MONTH($A170),IF(G171=0,I170,G171),G171)</f>
        <v>0</v>
      </c>
      <c r="J171" s="124" t="n">
        <f aca="false">IF(MONTH($A171)=MONTH($A170),SUM(I171-I170),I171)</f>
        <v>0</v>
      </c>
      <c r="K171" s="124" t="n">
        <f aca="false">IF(WEEKDAY(A171,3)&gt;4,0,(IF(A171&lt;K$2,0,IF(A171&lt;=K$3,1,0))))</f>
        <v>0</v>
      </c>
      <c r="L171" s="124" t="n">
        <f aca="false">J171*K171</f>
        <v>0</v>
      </c>
      <c r="M171" s="124" t="n">
        <f aca="false">SUM(J$97:J171)</f>
        <v>0</v>
      </c>
      <c r="N171" s="124" t="n">
        <f aca="false">SUM(J$6:J171)</f>
        <v>0</v>
      </c>
      <c r="P171" s="124" t="n">
        <f aca="false">D171/P$3</f>
        <v>0</v>
      </c>
      <c r="Q171" s="143" t="n">
        <f aca="false">E171/P$3</f>
        <v>0.432049860054029</v>
      </c>
      <c r="R171" s="124" t="n">
        <f aca="false">F171/R$3</f>
        <v>0</v>
      </c>
      <c r="S171" s="126" t="n">
        <f aca="false">J171/$R$3</f>
        <v>0</v>
      </c>
      <c r="T171" s="126" t="n">
        <f aca="false">L171/$R$3</f>
        <v>0</v>
      </c>
      <c r="U171" s="126" t="n">
        <f aca="false">I171/$R$3</f>
        <v>0</v>
      </c>
      <c r="V171" s="126" t="n">
        <f aca="false">M171/$R$3</f>
        <v>0</v>
      </c>
      <c r="W171" s="126" t="n">
        <f aca="false">N171/$R$3</f>
        <v>0</v>
      </c>
    </row>
    <row r="172" customFormat="false" ht="12.75" hidden="true" customHeight="false" outlineLevel="0" collapsed="false">
      <c r="A172" s="120" t="n">
        <f aca="false">A171+1</f>
        <v>37058</v>
      </c>
      <c r="B172" s="131" t="str">
        <f aca="false">INDEX('Master Data'!$A$2:$B$8,MATCH(WEEKDAY('SC Total Power'!A172,3),'Master Data'!$A$2:$A$8,0),2)</f>
        <v>Sa</v>
      </c>
      <c r="D172" s="124" t="n">
        <v>0</v>
      </c>
      <c r="E172" s="124" t="n">
        <v>0</v>
      </c>
      <c r="F172" s="124" t="n">
        <v>0</v>
      </c>
      <c r="G172" s="124" t="n">
        <v>0</v>
      </c>
      <c r="I172" s="124" t="n">
        <f aca="false">IF(MONTH($A172)=MONTH($A171),IF(G172=0,I171,G172),G172)</f>
        <v>0</v>
      </c>
      <c r="J172" s="124" t="n">
        <f aca="false">IF(MONTH($A172)=MONTH($A171),SUM(I172-I171),I172)</f>
        <v>0</v>
      </c>
      <c r="K172" s="124" t="n">
        <f aca="false">IF(WEEKDAY(A172,3)&gt;4,0,(IF(A172&lt;K$2,0,IF(A172&lt;=K$3,1,0))))</f>
        <v>0</v>
      </c>
      <c r="L172" s="124" t="n">
        <f aca="false">J172*K172</f>
        <v>0</v>
      </c>
      <c r="M172" s="124" t="n">
        <f aca="false">SUM(J$97:J172)</f>
        <v>0</v>
      </c>
      <c r="N172" s="124" t="n">
        <f aca="false">SUM(J$6:J172)</f>
        <v>0</v>
      </c>
      <c r="P172" s="124" t="n">
        <f aca="false">D172/P$3</f>
        <v>0</v>
      </c>
      <c r="Q172" s="143" t="n">
        <f aca="false">E172/P$3</f>
        <v>0</v>
      </c>
      <c r="R172" s="124" t="n">
        <f aca="false">F172/R$3</f>
        <v>0</v>
      </c>
      <c r="S172" s="126" t="n">
        <f aca="false">J172/$R$3</f>
        <v>0</v>
      </c>
      <c r="T172" s="126" t="n">
        <f aca="false">L172/$R$3</f>
        <v>0</v>
      </c>
      <c r="U172" s="126" t="n">
        <f aca="false">I172/$R$3</f>
        <v>0</v>
      </c>
      <c r="V172" s="126" t="n">
        <f aca="false">M172/$R$3</f>
        <v>0</v>
      </c>
      <c r="W172" s="126" t="n">
        <f aca="false">N172/$R$3</f>
        <v>0</v>
      </c>
    </row>
    <row r="173" customFormat="false" ht="12.75" hidden="true" customHeight="false" outlineLevel="0" collapsed="false">
      <c r="A173" s="120" t="n">
        <f aca="false">A172+1</f>
        <v>37059</v>
      </c>
      <c r="B173" s="131" t="str">
        <f aca="false">INDEX('Master Data'!$A$2:$B$8,MATCH(WEEKDAY('SC Total Power'!A173,3),'Master Data'!$A$2:$A$8,0),2)</f>
        <v>Su</v>
      </c>
      <c r="D173" s="124" t="n">
        <v>0</v>
      </c>
      <c r="E173" s="124" t="n">
        <v>0</v>
      </c>
      <c r="F173" s="124" t="n">
        <v>0</v>
      </c>
      <c r="G173" s="124" t="n">
        <v>0</v>
      </c>
      <c r="I173" s="124" t="n">
        <f aca="false">IF(MONTH($A173)=MONTH($A172),IF(G173=0,I172,G173),G173)</f>
        <v>0</v>
      </c>
      <c r="J173" s="124" t="n">
        <f aca="false">IF(MONTH($A173)=MONTH($A172),SUM(I173-I172),I173)</f>
        <v>0</v>
      </c>
      <c r="K173" s="124" t="n">
        <f aca="false">IF(WEEKDAY(A173,3)&gt;4,0,(IF(A173&lt;K$2,0,IF(A173&lt;=K$3,1,0))))</f>
        <v>0</v>
      </c>
      <c r="L173" s="124" t="n">
        <f aca="false">J173*K173</f>
        <v>0</v>
      </c>
      <c r="M173" s="124" t="n">
        <f aca="false">SUM(J$97:J173)</f>
        <v>0</v>
      </c>
      <c r="N173" s="124" t="n">
        <f aca="false">SUM(J$6:J173)</f>
        <v>0</v>
      </c>
      <c r="P173" s="124" t="n">
        <f aca="false">D173/P$3</f>
        <v>0</v>
      </c>
      <c r="Q173" s="143" t="n">
        <f aca="false">E173/P$3</f>
        <v>0</v>
      </c>
      <c r="R173" s="124" t="n">
        <f aca="false">F173/R$3</f>
        <v>0</v>
      </c>
      <c r="S173" s="126" t="n">
        <f aca="false">J173/$R$3</f>
        <v>0</v>
      </c>
      <c r="T173" s="126" t="n">
        <f aca="false">L173/$R$3</f>
        <v>0</v>
      </c>
      <c r="U173" s="126" t="n">
        <f aca="false">I173/$R$3</f>
        <v>0</v>
      </c>
      <c r="V173" s="126" t="n">
        <f aca="false">M173/$R$3</f>
        <v>0</v>
      </c>
      <c r="W173" s="126" t="n">
        <f aca="false">N173/$R$3</f>
        <v>0</v>
      </c>
    </row>
    <row r="174" customFormat="false" ht="12.75" hidden="true" customHeight="false" outlineLevel="0" collapsed="false">
      <c r="A174" s="120" t="n">
        <f aca="false">A173+1</f>
        <v>37060</v>
      </c>
      <c r="B174" s="131" t="str">
        <f aca="false">INDEX('Master Data'!$A$2:$B$8,MATCH(WEEKDAY('SC Total Power'!A174,3),'Master Data'!$A$2:$A$8,0),2)</f>
        <v>M</v>
      </c>
      <c r="D174" s="124" t="n">
        <v>0</v>
      </c>
      <c r="E174" s="124" t="n">
        <v>432340.603218189</v>
      </c>
      <c r="F174" s="124" t="n">
        <v>0</v>
      </c>
      <c r="G174" s="124" t="n">
        <v>0</v>
      </c>
      <c r="I174" s="124" t="n">
        <f aca="false">IF(MONTH($A174)=MONTH($A173),IF(G174=0,I173,G174),G174)</f>
        <v>0</v>
      </c>
      <c r="J174" s="124" t="n">
        <f aca="false">IF(MONTH($A174)=MONTH($A173),SUM(I174-I173),I174)</f>
        <v>0</v>
      </c>
      <c r="K174" s="124" t="n">
        <f aca="false">IF(WEEKDAY(A174,3)&gt;4,0,(IF(A174&lt;K$2,0,IF(A174&lt;=K$3,1,0))))</f>
        <v>0</v>
      </c>
      <c r="L174" s="124" t="n">
        <f aca="false">J174*K174</f>
        <v>0</v>
      </c>
      <c r="M174" s="124" t="n">
        <f aca="false">SUM(J$97:J174)</f>
        <v>0</v>
      </c>
      <c r="N174" s="124" t="n">
        <f aca="false">SUM(J$6:J174)</f>
        <v>0</v>
      </c>
      <c r="P174" s="124" t="n">
        <f aca="false">D174/P$3</f>
        <v>0</v>
      </c>
      <c r="Q174" s="143" t="n">
        <f aca="false">E174/P$3</f>
        <v>0.432340603218189</v>
      </c>
      <c r="R174" s="124" t="n">
        <f aca="false">F174/R$3</f>
        <v>0</v>
      </c>
      <c r="S174" s="126" t="n">
        <f aca="false">J174/$R$3</f>
        <v>0</v>
      </c>
      <c r="T174" s="126" t="n">
        <f aca="false">L174/$R$3</f>
        <v>0</v>
      </c>
      <c r="U174" s="126" t="n">
        <f aca="false">I174/$R$3</f>
        <v>0</v>
      </c>
      <c r="V174" s="126" t="n">
        <f aca="false">M174/$R$3</f>
        <v>0</v>
      </c>
      <c r="W174" s="126" t="n">
        <f aca="false">N174/$R$3</f>
        <v>0</v>
      </c>
    </row>
    <row r="175" customFormat="false" ht="12.75" hidden="true" customHeight="false" outlineLevel="0" collapsed="false">
      <c r="A175" s="120" t="n">
        <f aca="false">A174+1</f>
        <v>37061</v>
      </c>
      <c r="B175" s="131" t="str">
        <f aca="false">INDEX('Master Data'!$A$2:$B$8,MATCH(WEEKDAY('SC Total Power'!A175,3),'Master Data'!$A$2:$A$8,0),2)</f>
        <v>T</v>
      </c>
      <c r="D175" s="124" t="n">
        <v>0</v>
      </c>
      <c r="E175" s="124" t="n">
        <v>432575.790879372</v>
      </c>
      <c r="F175" s="124" t="n">
        <v>0</v>
      </c>
      <c r="G175" s="124" t="n">
        <v>0</v>
      </c>
      <c r="I175" s="124" t="n">
        <f aca="false">IF(MONTH($A175)=MONTH($A174),IF(G175=0,I174,G175),G175)</f>
        <v>0</v>
      </c>
      <c r="J175" s="124" t="n">
        <f aca="false">IF(MONTH($A175)=MONTH($A174),SUM(I175-I174),I175)</f>
        <v>0</v>
      </c>
      <c r="K175" s="124" t="n">
        <f aca="false">IF(WEEKDAY(A175,3)&gt;4,0,(IF(A175&lt;K$2,0,IF(A175&lt;=K$3,1,0))))</f>
        <v>0</v>
      </c>
      <c r="L175" s="124" t="n">
        <f aca="false">J175*K175</f>
        <v>0</v>
      </c>
      <c r="M175" s="124" t="n">
        <f aca="false">SUM(J$97:J175)</f>
        <v>0</v>
      </c>
      <c r="N175" s="124" t="n">
        <f aca="false">SUM(J$6:J175)</f>
        <v>0</v>
      </c>
      <c r="P175" s="124" t="n">
        <f aca="false">D175/P$3</f>
        <v>0</v>
      </c>
      <c r="Q175" s="143" t="n">
        <f aca="false">E175/P$3</f>
        <v>0.432575790879372</v>
      </c>
      <c r="R175" s="124" t="n">
        <f aca="false">F175/R$3</f>
        <v>0</v>
      </c>
      <c r="S175" s="126" t="n">
        <f aca="false">J175/$R$3</f>
        <v>0</v>
      </c>
      <c r="T175" s="126" t="n">
        <f aca="false">L175/$R$3</f>
        <v>0</v>
      </c>
      <c r="U175" s="126" t="n">
        <f aca="false">I175/$R$3</f>
        <v>0</v>
      </c>
      <c r="V175" s="126" t="n">
        <f aca="false">M175/$R$3</f>
        <v>0</v>
      </c>
      <c r="W175" s="126" t="n">
        <f aca="false">N175/$R$3</f>
        <v>0</v>
      </c>
    </row>
    <row r="176" customFormat="false" ht="12.75" hidden="true" customHeight="false" outlineLevel="0" collapsed="false">
      <c r="A176" s="120" t="n">
        <f aca="false">A175+1</f>
        <v>37062</v>
      </c>
      <c r="B176" s="131" t="str">
        <f aca="false">INDEX('Master Data'!$A$2:$B$8,MATCH(WEEKDAY('SC Total Power'!A176,3),'Master Data'!$A$2:$A$8,0),2)</f>
        <v>W</v>
      </c>
      <c r="D176" s="124" t="n">
        <v>0</v>
      </c>
      <c r="E176" s="124" t="n">
        <v>432586.882866803</v>
      </c>
      <c r="F176" s="124" t="n">
        <v>0</v>
      </c>
      <c r="G176" s="124" t="n">
        <v>0</v>
      </c>
      <c r="I176" s="124" t="n">
        <f aca="false">IF(MONTH($A176)=MONTH($A175),IF(G176=0,I175,G176),G176)</f>
        <v>0</v>
      </c>
      <c r="J176" s="124" t="n">
        <f aca="false">IF(MONTH($A176)=MONTH($A175),SUM(I176-I175),I176)</f>
        <v>0</v>
      </c>
      <c r="K176" s="124" t="n">
        <f aca="false">IF(WEEKDAY(A176,3)&gt;4,0,(IF(A176&lt;K$2,0,IF(A176&lt;=K$3,1,0))))</f>
        <v>0</v>
      </c>
      <c r="L176" s="124" t="n">
        <f aca="false">J176*K176</f>
        <v>0</v>
      </c>
      <c r="M176" s="124" t="n">
        <f aca="false">SUM(J$97:J176)</f>
        <v>0</v>
      </c>
      <c r="N176" s="124" t="n">
        <f aca="false">SUM(J$6:J176)</f>
        <v>0</v>
      </c>
      <c r="P176" s="124" t="n">
        <f aca="false">D176/P$3</f>
        <v>0</v>
      </c>
      <c r="Q176" s="143" t="n">
        <f aca="false">E176/P$3</f>
        <v>0.432586882866803</v>
      </c>
      <c r="R176" s="124" t="n">
        <f aca="false">F176/R$3</f>
        <v>0</v>
      </c>
      <c r="S176" s="126" t="n">
        <f aca="false">J176/$R$3</f>
        <v>0</v>
      </c>
      <c r="T176" s="126" t="n">
        <f aca="false">L176/$R$3</f>
        <v>0</v>
      </c>
      <c r="U176" s="126" t="n">
        <f aca="false">I176/$R$3</f>
        <v>0</v>
      </c>
      <c r="V176" s="126" t="n">
        <f aca="false">M176/$R$3</f>
        <v>0</v>
      </c>
      <c r="W176" s="126" t="n">
        <f aca="false">N176/$R$3</f>
        <v>0</v>
      </c>
    </row>
    <row r="177" customFormat="false" ht="12.75" hidden="true" customHeight="false" outlineLevel="0" collapsed="false">
      <c r="A177" s="120" t="n">
        <f aca="false">A176+1</f>
        <v>37063</v>
      </c>
      <c r="B177" s="131" t="str">
        <f aca="false">INDEX('Master Data'!$A$2:$B$8,MATCH(WEEKDAY('SC Total Power'!A177,3),'Master Data'!$A$2:$A$8,0),2)</f>
        <v>Th</v>
      </c>
      <c r="D177" s="124" t="n">
        <v>0</v>
      </c>
      <c r="E177" s="124" t="n">
        <v>432858.350610869</v>
      </c>
      <c r="F177" s="124" t="n">
        <v>0</v>
      </c>
      <c r="G177" s="124" t="n">
        <v>0</v>
      </c>
      <c r="I177" s="124" t="n">
        <f aca="false">IF(MONTH($A177)=MONTH($A176),IF(G177=0,I176,G177),G177)</f>
        <v>0</v>
      </c>
      <c r="J177" s="124" t="n">
        <f aca="false">IF(MONTH($A177)=MONTH($A176),SUM(I177-I176),I177)</f>
        <v>0</v>
      </c>
      <c r="K177" s="124" t="n">
        <f aca="false">IF(WEEKDAY(A177,3)&gt;4,0,(IF(A177&lt;K$2,0,IF(A177&lt;=K$3,1,0))))</f>
        <v>0</v>
      </c>
      <c r="L177" s="124" t="n">
        <f aca="false">J177*K177</f>
        <v>0</v>
      </c>
      <c r="M177" s="124" t="n">
        <f aca="false">SUM(J$97:J177)</f>
        <v>0</v>
      </c>
      <c r="N177" s="124" t="n">
        <f aca="false">SUM(J$6:J177)</f>
        <v>0</v>
      </c>
      <c r="P177" s="124" t="n">
        <f aca="false">D177/P$3</f>
        <v>0</v>
      </c>
      <c r="Q177" s="143" t="n">
        <f aca="false">E177/P$3</f>
        <v>0.432858350610869</v>
      </c>
      <c r="R177" s="124" t="n">
        <f aca="false">F177/R$3</f>
        <v>0</v>
      </c>
      <c r="S177" s="126" t="n">
        <f aca="false">J177/$R$3</f>
        <v>0</v>
      </c>
      <c r="T177" s="126" t="n">
        <f aca="false">L177/$R$3</f>
        <v>0</v>
      </c>
      <c r="U177" s="126" t="n">
        <f aca="false">I177/$R$3</f>
        <v>0</v>
      </c>
      <c r="V177" s="126" t="n">
        <f aca="false">M177/$R$3</f>
        <v>0</v>
      </c>
      <c r="W177" s="126" t="n">
        <f aca="false">N177/$R$3</f>
        <v>0</v>
      </c>
    </row>
    <row r="178" customFormat="false" ht="12.75" hidden="true" customHeight="false" outlineLevel="0" collapsed="false">
      <c r="A178" s="120" t="n">
        <f aca="false">A177+1</f>
        <v>37064</v>
      </c>
      <c r="B178" s="131" t="str">
        <f aca="false">INDEX('Master Data'!$A$2:$B$8,MATCH(WEEKDAY('SC Total Power'!A178,3),'Master Data'!$A$2:$A$8,0),2)</f>
        <v>F</v>
      </c>
      <c r="D178" s="124" t="n">
        <v>0</v>
      </c>
      <c r="E178" s="124" t="n">
        <v>432936.127199564</v>
      </c>
      <c r="F178" s="124" t="n">
        <v>0</v>
      </c>
      <c r="G178" s="124" t="n">
        <v>0</v>
      </c>
      <c r="I178" s="124" t="n">
        <f aca="false">IF(MONTH($A178)=MONTH($A177),IF(G178=0,I177,G178),G178)</f>
        <v>0</v>
      </c>
      <c r="J178" s="124" t="n">
        <f aca="false">IF(MONTH($A178)=MONTH($A177),SUM(I178-I177),I178)</f>
        <v>0</v>
      </c>
      <c r="K178" s="124" t="n">
        <f aca="false">IF(WEEKDAY(A178,3)&gt;4,0,(IF(A178&lt;K$2,0,IF(A178&lt;=K$3,1,0))))</f>
        <v>0</v>
      </c>
      <c r="L178" s="124" t="n">
        <f aca="false">J178*K178</f>
        <v>0</v>
      </c>
      <c r="M178" s="124" t="n">
        <f aca="false">SUM(J$97:J178)</f>
        <v>0</v>
      </c>
      <c r="N178" s="124" t="n">
        <f aca="false">SUM(J$6:J178)</f>
        <v>0</v>
      </c>
      <c r="P178" s="124" t="n">
        <f aca="false">D178/P$3</f>
        <v>0</v>
      </c>
      <c r="Q178" s="143" t="n">
        <f aca="false">E178/P$3</f>
        <v>0.432936127199564</v>
      </c>
      <c r="R178" s="124" t="n">
        <f aca="false">F178/R$3</f>
        <v>0</v>
      </c>
      <c r="S178" s="126" t="n">
        <f aca="false">J178/$R$3</f>
        <v>0</v>
      </c>
      <c r="T178" s="126" t="n">
        <f aca="false">L178/$R$3</f>
        <v>0</v>
      </c>
      <c r="U178" s="126" t="n">
        <f aca="false">I178/$R$3</f>
        <v>0</v>
      </c>
      <c r="V178" s="126" t="n">
        <f aca="false">M178/$R$3</f>
        <v>0</v>
      </c>
      <c r="W178" s="126" t="n">
        <f aca="false">N178/$R$3</f>
        <v>0</v>
      </c>
      <c r="X178" s="144"/>
    </row>
    <row r="179" customFormat="false" ht="12.75" hidden="true" customHeight="false" outlineLevel="0" collapsed="false">
      <c r="A179" s="120" t="n">
        <f aca="false">A178+1</f>
        <v>37065</v>
      </c>
      <c r="B179" s="131" t="str">
        <f aca="false">INDEX('Master Data'!$A$2:$B$8,MATCH(WEEKDAY('SC Total Power'!A179,3),'Master Data'!$A$2:$A$8,0),2)</f>
        <v>Sa</v>
      </c>
      <c r="D179" s="124" t="n">
        <v>0</v>
      </c>
      <c r="E179" s="124" t="n">
        <v>0</v>
      </c>
      <c r="F179" s="124" t="n">
        <v>0</v>
      </c>
      <c r="G179" s="124" t="n">
        <v>0</v>
      </c>
      <c r="I179" s="124" t="n">
        <f aca="false">IF(MONTH($A179)=MONTH($A178),IF(G179=0,I178,G179),G179)</f>
        <v>0</v>
      </c>
      <c r="J179" s="124" t="n">
        <f aca="false">IF(MONTH($A179)=MONTH($A178),SUM(I179-I178),I179)</f>
        <v>0</v>
      </c>
      <c r="K179" s="124" t="n">
        <f aca="false">IF(WEEKDAY(A179,3)&gt;4,0,(IF(A179&lt;K$2,0,IF(A179&lt;=K$3,1,0))))</f>
        <v>0</v>
      </c>
      <c r="L179" s="124" t="n">
        <f aca="false">J179*K179</f>
        <v>0</v>
      </c>
      <c r="M179" s="124" t="n">
        <f aca="false">SUM(J$97:J179)</f>
        <v>0</v>
      </c>
      <c r="N179" s="124" t="n">
        <f aca="false">SUM(J$6:J179)</f>
        <v>0</v>
      </c>
      <c r="P179" s="124" t="n">
        <f aca="false">D179/P$3</f>
        <v>0</v>
      </c>
      <c r="Q179" s="143" t="n">
        <f aca="false">E179/P$3</f>
        <v>0</v>
      </c>
      <c r="R179" s="124" t="n">
        <f aca="false">F179/R$3</f>
        <v>0</v>
      </c>
      <c r="S179" s="126" t="n">
        <f aca="false">J179/$R$3</f>
        <v>0</v>
      </c>
      <c r="T179" s="126" t="n">
        <f aca="false">L179/$R$3</f>
        <v>0</v>
      </c>
      <c r="U179" s="126" t="n">
        <f aca="false">I179/$R$3</f>
        <v>0</v>
      </c>
      <c r="V179" s="126" t="n">
        <f aca="false">M179/$R$3</f>
        <v>0</v>
      </c>
      <c r="W179" s="126" t="n">
        <f aca="false">N179/$R$3</f>
        <v>0</v>
      </c>
    </row>
    <row r="180" customFormat="false" ht="12.75" hidden="true" customHeight="false" outlineLevel="0" collapsed="false">
      <c r="A180" s="120" t="n">
        <f aca="false">A179+1</f>
        <v>37066</v>
      </c>
      <c r="B180" s="131" t="str">
        <f aca="false">INDEX('Master Data'!$A$2:$B$8,MATCH(WEEKDAY('SC Total Power'!A180,3),'Master Data'!$A$2:$A$8,0),2)</f>
        <v>Su</v>
      </c>
      <c r="D180" s="124" t="n">
        <v>0</v>
      </c>
      <c r="E180" s="124" t="n">
        <v>0</v>
      </c>
      <c r="F180" s="124" t="n">
        <v>0</v>
      </c>
      <c r="G180" s="124" t="n">
        <v>0</v>
      </c>
      <c r="I180" s="124" t="n">
        <f aca="false">IF(MONTH($A180)=MONTH($A179),IF(G180=0,I179,G180),G180)</f>
        <v>0</v>
      </c>
      <c r="J180" s="124" t="n">
        <f aca="false">IF(MONTH($A180)=MONTH($A179),SUM(I180-I179),I180)</f>
        <v>0</v>
      </c>
      <c r="K180" s="124" t="n">
        <f aca="false">IF(WEEKDAY(A180,3)&gt;4,0,(IF(A180&lt;K$2,0,IF(A180&lt;=K$3,1,0))))</f>
        <v>0</v>
      </c>
      <c r="L180" s="124" t="n">
        <f aca="false">J180*K180</f>
        <v>0</v>
      </c>
      <c r="M180" s="124" t="n">
        <f aca="false">SUM(J$97:J180)</f>
        <v>0</v>
      </c>
      <c r="N180" s="124" t="n">
        <f aca="false">SUM(J$6:J180)</f>
        <v>0</v>
      </c>
      <c r="P180" s="124" t="n">
        <f aca="false">D180/P$3</f>
        <v>0</v>
      </c>
      <c r="Q180" s="143" t="n">
        <f aca="false">E180/P$3</f>
        <v>0</v>
      </c>
      <c r="R180" s="124" t="n">
        <f aca="false">F180/R$3</f>
        <v>0</v>
      </c>
      <c r="S180" s="126" t="n">
        <f aca="false">J180/$R$3</f>
        <v>0</v>
      </c>
      <c r="T180" s="126" t="n">
        <f aca="false">L180/$R$3</f>
        <v>0</v>
      </c>
      <c r="U180" s="126" t="n">
        <f aca="false">I180/$R$3</f>
        <v>0</v>
      </c>
      <c r="V180" s="126" t="n">
        <f aca="false">M180/$R$3</f>
        <v>0</v>
      </c>
      <c r="W180" s="126" t="n">
        <f aca="false">N180/$R$3</f>
        <v>0</v>
      </c>
    </row>
    <row r="181" customFormat="false" ht="12.75" hidden="true" customHeight="false" outlineLevel="0" collapsed="false">
      <c r="A181" s="120" t="n">
        <f aca="false">A180+1</f>
        <v>37067</v>
      </c>
      <c r="B181" s="131" t="str">
        <f aca="false">INDEX('Master Data'!$A$2:$B$8,MATCH(WEEKDAY('SC Total Power'!A181,3),'Master Data'!$A$2:$A$8,0),2)</f>
        <v>M</v>
      </c>
      <c r="D181" s="124" t="n">
        <v>0</v>
      </c>
      <c r="E181" s="124" t="n">
        <v>433173.469495179</v>
      </c>
      <c r="F181" s="124" t="n">
        <v>0</v>
      </c>
      <c r="G181" s="124" t="n">
        <v>0</v>
      </c>
      <c r="I181" s="124" t="n">
        <f aca="false">IF(MONTH($A181)=MONTH($A180),IF(G181=0,I180,G181),G181)</f>
        <v>0</v>
      </c>
      <c r="J181" s="124" t="n">
        <f aca="false">IF(MONTH($A181)=MONTH($A180),SUM(I181-I180),I181)</f>
        <v>0</v>
      </c>
      <c r="K181" s="124" t="n">
        <f aca="false">IF(WEEKDAY(A181,3)&gt;4,0,(IF(A181&lt;K$2,0,IF(A181&lt;=K$3,1,0))))</f>
        <v>0</v>
      </c>
      <c r="L181" s="124" t="n">
        <f aca="false">J181*K181</f>
        <v>0</v>
      </c>
      <c r="M181" s="124" t="n">
        <f aca="false">SUM(J$97:J181)</f>
        <v>0</v>
      </c>
      <c r="N181" s="124" t="n">
        <f aca="false">SUM(J$6:J181)</f>
        <v>0</v>
      </c>
      <c r="P181" s="124" t="n">
        <f aca="false">D181/P$3</f>
        <v>0</v>
      </c>
      <c r="Q181" s="143" t="n">
        <f aca="false">E181/P$3</f>
        <v>0.433173469495179</v>
      </c>
      <c r="R181" s="124" t="n">
        <f aca="false">F181/R$3</f>
        <v>0</v>
      </c>
      <c r="S181" s="126" t="n">
        <f aca="false">J181/$R$3</f>
        <v>0</v>
      </c>
      <c r="T181" s="126" t="n">
        <f aca="false">L181/$R$3</f>
        <v>0</v>
      </c>
      <c r="U181" s="126" t="n">
        <f aca="false">I181/$R$3</f>
        <v>0</v>
      </c>
      <c r="V181" s="126" t="n">
        <f aca="false">M181/$R$3</f>
        <v>0</v>
      </c>
      <c r="W181" s="126" t="n">
        <f aca="false">N181/$R$3</f>
        <v>0</v>
      </c>
    </row>
    <row r="182" customFormat="false" ht="12.75" hidden="true" customHeight="false" outlineLevel="0" collapsed="false">
      <c r="A182" s="120" t="n">
        <f aca="false">A181+1</f>
        <v>37068</v>
      </c>
      <c r="B182" s="131" t="str">
        <f aca="false">INDEX('Master Data'!$A$2:$B$8,MATCH(WEEKDAY('SC Total Power'!A182,3),'Master Data'!$A$2:$A$8,0),2)</f>
        <v>T</v>
      </c>
      <c r="D182" s="124" t="n">
        <v>0</v>
      </c>
      <c r="E182" s="124" t="n">
        <v>433321.047118911</v>
      </c>
      <c r="F182" s="124" t="n">
        <v>0</v>
      </c>
      <c r="G182" s="124" t="n">
        <v>0</v>
      </c>
      <c r="I182" s="124" t="n">
        <f aca="false">IF(MONTH($A182)=MONTH($A181),IF(G182=0,I181,G182),G182)</f>
        <v>0</v>
      </c>
      <c r="J182" s="124" t="n">
        <f aca="false">IF(MONTH($A182)=MONTH($A181),SUM(I182-I181),I182)</f>
        <v>0</v>
      </c>
      <c r="K182" s="124" t="n">
        <f aca="false">IF(WEEKDAY(A182,3)&gt;4,0,(IF(A182&lt;K$2,0,IF(A182&lt;=K$3,1,0))))</f>
        <v>0</v>
      </c>
      <c r="L182" s="124" t="n">
        <f aca="false">J182*K182</f>
        <v>0</v>
      </c>
      <c r="M182" s="124" t="n">
        <f aca="false">SUM(J$97:J182)</f>
        <v>0</v>
      </c>
      <c r="N182" s="124" t="n">
        <f aca="false">SUM(J$6:J182)</f>
        <v>0</v>
      </c>
      <c r="P182" s="124" t="n">
        <f aca="false">D182/P$3</f>
        <v>0</v>
      </c>
      <c r="Q182" s="143" t="n">
        <f aca="false">E182/P$3</f>
        <v>0.433321047118911</v>
      </c>
      <c r="R182" s="124" t="n">
        <f aca="false">F182/R$3</f>
        <v>0</v>
      </c>
      <c r="S182" s="126" t="n">
        <f aca="false">J182/$R$3</f>
        <v>0</v>
      </c>
      <c r="T182" s="126" t="n">
        <f aca="false">L182/$R$3</f>
        <v>0</v>
      </c>
      <c r="U182" s="126" t="n">
        <f aca="false">I182/$R$3</f>
        <v>0</v>
      </c>
      <c r="V182" s="126" t="n">
        <f aca="false">M182/$R$3</f>
        <v>0</v>
      </c>
      <c r="W182" s="126" t="n">
        <f aca="false">N182/$R$3</f>
        <v>0</v>
      </c>
    </row>
    <row r="183" customFormat="false" ht="12.75" hidden="true" customHeight="false" outlineLevel="0" collapsed="false">
      <c r="A183" s="120" t="n">
        <f aca="false">A182+1</f>
        <v>37069</v>
      </c>
      <c r="B183" s="131" t="str">
        <f aca="false">INDEX('Master Data'!$A$2:$B$8,MATCH(WEEKDAY('SC Total Power'!A183,3),'Master Data'!$A$2:$A$8,0),2)</f>
        <v>W</v>
      </c>
      <c r="D183" s="124" t="n">
        <v>0</v>
      </c>
      <c r="E183" s="124" t="n">
        <v>433314.862175534</v>
      </c>
      <c r="F183" s="124" t="n">
        <v>0</v>
      </c>
      <c r="G183" s="124" t="n">
        <v>0</v>
      </c>
      <c r="I183" s="124" t="n">
        <f aca="false">IF(MONTH($A183)=MONTH($A182),IF(G183=0,I182,G183),G183)</f>
        <v>0</v>
      </c>
      <c r="J183" s="124" t="n">
        <f aca="false">IF(MONTH($A183)=MONTH($A182),SUM(I183-I182),I183)</f>
        <v>0</v>
      </c>
      <c r="K183" s="124" t="n">
        <f aca="false">IF(WEEKDAY(A183,3)&gt;4,0,(IF(A183&lt;K$2,0,IF(A183&lt;=K$3,1,0))))</f>
        <v>0</v>
      </c>
      <c r="L183" s="124" t="n">
        <f aca="false">J183*K183</f>
        <v>0</v>
      </c>
      <c r="M183" s="124" t="n">
        <f aca="false">SUM(J$97:J183)</f>
        <v>0</v>
      </c>
      <c r="N183" s="124" t="n">
        <f aca="false">SUM(J$6:J183)</f>
        <v>0</v>
      </c>
      <c r="P183" s="124" t="n">
        <f aca="false">D183/P$3</f>
        <v>0</v>
      </c>
      <c r="Q183" s="143" t="n">
        <f aca="false">E183/P$3</f>
        <v>0.433314862175534</v>
      </c>
      <c r="R183" s="124" t="n">
        <f aca="false">F183/R$3</f>
        <v>0</v>
      </c>
      <c r="S183" s="126" t="n">
        <f aca="false">J183/$R$3</f>
        <v>0</v>
      </c>
      <c r="T183" s="126" t="n">
        <f aca="false">L183/$R$3</f>
        <v>0</v>
      </c>
      <c r="U183" s="126" t="n">
        <f aca="false">I183/$R$3</f>
        <v>0</v>
      </c>
      <c r="V183" s="126" t="n">
        <f aca="false">M183/$R$3</f>
        <v>0</v>
      </c>
      <c r="W183" s="126" t="n">
        <f aca="false">N183/$R$3</f>
        <v>0</v>
      </c>
    </row>
    <row r="184" customFormat="false" ht="12.75" hidden="true" customHeight="false" outlineLevel="0" collapsed="false">
      <c r="A184" s="120" t="n">
        <f aca="false">A183+1</f>
        <v>37070</v>
      </c>
      <c r="B184" s="131" t="str">
        <f aca="false">INDEX('Master Data'!$A$2:$B$8,MATCH(WEEKDAY('SC Total Power'!A184,3),'Master Data'!$A$2:$A$8,0),2)</f>
        <v>Th</v>
      </c>
      <c r="D184" s="124" t="n">
        <v>0</v>
      </c>
      <c r="E184" s="124" t="n">
        <v>433405.141194157</v>
      </c>
      <c r="F184" s="124" t="n">
        <v>0</v>
      </c>
      <c r="G184" s="124" t="n">
        <v>0</v>
      </c>
      <c r="I184" s="124" t="n">
        <f aca="false">IF(MONTH($A184)=MONTH($A183),IF(G184=0,I183,G184),G184)</f>
        <v>0</v>
      </c>
      <c r="J184" s="124" t="n">
        <f aca="false">IF(MONTH($A184)=MONTH($A183),SUM(I184-I183),I184)</f>
        <v>0</v>
      </c>
      <c r="K184" s="124" t="n">
        <f aca="false">IF(WEEKDAY(A184,3)&gt;4,0,(IF(A184&lt;K$2,0,IF(A184&lt;=K$3,1,0))))</f>
        <v>0</v>
      </c>
      <c r="L184" s="124" t="n">
        <f aca="false">J184*K184</f>
        <v>0</v>
      </c>
      <c r="M184" s="124" t="n">
        <f aca="false">SUM(J$97:J184)</f>
        <v>0</v>
      </c>
      <c r="N184" s="124" t="n">
        <f aca="false">SUM(J$6:J184)</f>
        <v>0</v>
      </c>
      <c r="P184" s="124" t="n">
        <f aca="false">D184/P$3</f>
        <v>0</v>
      </c>
      <c r="Q184" s="143" t="n">
        <f aca="false">E184/P$3</f>
        <v>0.433405141194157</v>
      </c>
      <c r="R184" s="124" t="n">
        <f aca="false">F184/R$3</f>
        <v>0</v>
      </c>
      <c r="S184" s="126" t="n">
        <f aca="false">J184/$R$3</f>
        <v>0</v>
      </c>
      <c r="T184" s="126" t="n">
        <f aca="false">L184/$R$3</f>
        <v>0</v>
      </c>
      <c r="U184" s="126" t="n">
        <f aca="false">I184/$R$3</f>
        <v>0</v>
      </c>
      <c r="V184" s="126" t="n">
        <f aca="false">M184/$R$3</f>
        <v>0</v>
      </c>
      <c r="W184" s="126" t="n">
        <f aca="false">N184/$R$3</f>
        <v>0</v>
      </c>
    </row>
    <row r="185" customFormat="false" ht="12.75" hidden="true" customHeight="false" outlineLevel="0" collapsed="false">
      <c r="A185" s="120" t="n">
        <f aca="false">A184+1</f>
        <v>37071</v>
      </c>
      <c r="B185" s="131" t="str">
        <f aca="false">INDEX('Master Data'!$A$2:$B$8,MATCH(WEEKDAY('SC Total Power'!A185,3),'Master Data'!$A$2:$A$8,0),2)</f>
        <v>F</v>
      </c>
      <c r="D185" s="124" t="n">
        <v>0</v>
      </c>
      <c r="E185" s="124" t="n">
        <v>399765.383848512</v>
      </c>
      <c r="F185" s="124" t="n">
        <v>0</v>
      </c>
      <c r="G185" s="124" t="n">
        <v>0</v>
      </c>
      <c r="I185" s="124" t="n">
        <f aca="false">IF(MONTH($A185)=MONTH($A184),IF(G185=0,I184,G185),G185)</f>
        <v>0</v>
      </c>
      <c r="J185" s="124" t="n">
        <f aca="false">IF(MONTH($A185)=MONTH($A184),SUM(I185-I184),I185)</f>
        <v>0</v>
      </c>
      <c r="K185" s="124" t="n">
        <f aca="false">IF(WEEKDAY(A185,3)&gt;4,0,(IF(A185&lt;K$2,0,IF(A185&lt;=K$3,1,0))))</f>
        <v>0</v>
      </c>
      <c r="L185" s="124" t="n">
        <f aca="false">J185*K185</f>
        <v>0</v>
      </c>
      <c r="M185" s="124" t="n">
        <f aca="false">SUM(J$97:J185)</f>
        <v>0</v>
      </c>
      <c r="N185" s="124" t="n">
        <f aca="false">SUM(J$6:J185)</f>
        <v>0</v>
      </c>
      <c r="P185" s="124" t="n">
        <f aca="false">D185/P$3</f>
        <v>0</v>
      </c>
      <c r="Q185" s="143" t="n">
        <f aca="false">E185/P$3</f>
        <v>0.399765383848512</v>
      </c>
      <c r="R185" s="124" t="n">
        <f aca="false">F185/R$3</f>
        <v>0</v>
      </c>
      <c r="S185" s="126" t="n">
        <f aca="false">J185/$R$3</f>
        <v>0</v>
      </c>
      <c r="T185" s="126" t="n">
        <f aca="false">L185/$R$3</f>
        <v>0</v>
      </c>
      <c r="U185" s="126" t="n">
        <f aca="false">I185/$R$3</f>
        <v>0</v>
      </c>
      <c r="V185" s="126" t="n">
        <f aca="false">M185/$R$3</f>
        <v>0</v>
      </c>
      <c r="W185" s="126" t="n">
        <f aca="false">N185/$R$3</f>
        <v>0</v>
      </c>
    </row>
    <row r="186" customFormat="false" ht="12.75" hidden="false" customHeight="false" outlineLevel="0" collapsed="false">
      <c r="A186" s="120" t="n">
        <f aca="false">A185+1</f>
        <v>37072</v>
      </c>
      <c r="B186" s="131" t="str">
        <f aca="false">INDEX('Master Data'!$A$2:$B$8,MATCH(WEEKDAY('SC Total Power'!A186,3),'Master Data'!$A$2:$A$8,0),2)</f>
        <v>Sa</v>
      </c>
      <c r="D186" s="124" t="n">
        <v>0</v>
      </c>
      <c r="E186" s="124" t="n">
        <v>0</v>
      </c>
      <c r="F186" s="124" t="n">
        <v>0</v>
      </c>
      <c r="G186" s="124" t="n">
        <v>0</v>
      </c>
      <c r="I186" s="124" t="n">
        <f aca="false">IF(MONTH($A186)=MONTH($A185),IF(G186=0,I185,G186),G186)</f>
        <v>0</v>
      </c>
      <c r="J186" s="124" t="n">
        <f aca="false">IF(MONTH($A186)=MONTH($A185),SUM(I186-I185),I186)</f>
        <v>0</v>
      </c>
      <c r="K186" s="124" t="n">
        <f aca="false">IF(WEEKDAY(A186,3)&gt;4,0,(IF(A186&lt;K$2,0,IF(A186&lt;=K$3,1,0))))</f>
        <v>0</v>
      </c>
      <c r="L186" s="124" t="n">
        <f aca="false">J186*K186</f>
        <v>0</v>
      </c>
      <c r="M186" s="124" t="n">
        <f aca="false">SUM(J$97:J186)</f>
        <v>0</v>
      </c>
      <c r="N186" s="124" t="n">
        <f aca="false">SUM(J$6:J186)</f>
        <v>0</v>
      </c>
      <c r="P186" s="124" t="n">
        <f aca="false">D186/P$3</f>
        <v>0</v>
      </c>
      <c r="Q186" s="143" t="n">
        <f aca="false">E186/P$3</f>
        <v>0</v>
      </c>
      <c r="R186" s="124" t="n">
        <f aca="false">F186/R$3</f>
        <v>0</v>
      </c>
      <c r="S186" s="126" t="n">
        <f aca="false">J186/$R$3</f>
        <v>0</v>
      </c>
      <c r="T186" s="126" t="n">
        <f aca="false">L186/$R$3</f>
        <v>0</v>
      </c>
      <c r="U186" s="126" t="n">
        <f aca="false">I186/$R$3</f>
        <v>0</v>
      </c>
      <c r="V186" s="126" t="n">
        <f aca="false">M186/$R$3</f>
        <v>0</v>
      </c>
      <c r="W186" s="126" t="n">
        <f aca="false">N186/$R$3</f>
        <v>0</v>
      </c>
    </row>
    <row r="187" customFormat="false" ht="12.75" hidden="true" customHeight="false" outlineLevel="0" collapsed="false">
      <c r="A187" s="120" t="n">
        <f aca="false">A186+1</f>
        <v>37073</v>
      </c>
      <c r="B187" s="131" t="str">
        <f aca="false">INDEX('Master Data'!$A$2:$B$8,MATCH(WEEKDAY('SC Total Power'!A187,3),'Master Data'!$A$2:$A$8,0),2)</f>
        <v>Su</v>
      </c>
      <c r="D187" s="124" t="n">
        <v>0</v>
      </c>
      <c r="E187" s="124" t="n">
        <v>0</v>
      </c>
      <c r="F187" s="124" t="n">
        <v>0</v>
      </c>
      <c r="G187" s="124" t="n">
        <v>0</v>
      </c>
      <c r="I187" s="124" t="n">
        <f aca="false">IF(MONTH($A187)=MONTH($A186),IF(G187=0,I186,G187),G187)</f>
        <v>0</v>
      </c>
      <c r="J187" s="124" t="n">
        <f aca="false">IF(MONTH($A187)=MONTH($A186),SUM(I187-I186),I187)</f>
        <v>0</v>
      </c>
      <c r="K187" s="124" t="n">
        <f aca="false">IF(WEEKDAY(A187,3)&gt;4,0,(IF(A187&lt;K$2,0,IF(A187&lt;=K$3,1,0))))</f>
        <v>0</v>
      </c>
      <c r="L187" s="124" t="n">
        <f aca="false">J187*K187</f>
        <v>0</v>
      </c>
      <c r="M187" s="124" t="n">
        <f aca="false">SUM(J$97:J187)</f>
        <v>0</v>
      </c>
      <c r="N187" s="124" t="n">
        <f aca="false">SUM(J$6:J187)</f>
        <v>0</v>
      </c>
      <c r="P187" s="124" t="n">
        <f aca="false">D187/P$3</f>
        <v>0</v>
      </c>
      <c r="Q187" s="143" t="n">
        <f aca="false">E187/P$3</f>
        <v>0</v>
      </c>
      <c r="R187" s="124" t="n">
        <f aca="false">F187/R$3</f>
        <v>0</v>
      </c>
      <c r="S187" s="126" t="n">
        <f aca="false">J187/$R$3</f>
        <v>0</v>
      </c>
      <c r="T187" s="126" t="n">
        <f aca="false">L187/$R$3</f>
        <v>0</v>
      </c>
      <c r="U187" s="126" t="n">
        <f aca="false">I187/$R$3</f>
        <v>0</v>
      </c>
      <c r="V187" s="126" t="n">
        <f aca="false">M187/$R$3</f>
        <v>0</v>
      </c>
      <c r="W187" s="126" t="n">
        <f aca="false">N187/$R$3</f>
        <v>0</v>
      </c>
    </row>
    <row r="188" customFormat="false" ht="12.75" hidden="true" customHeight="false" outlineLevel="0" collapsed="false">
      <c r="A188" s="120" t="n">
        <f aca="false">A187+1</f>
        <v>37074</v>
      </c>
      <c r="B188" s="131" t="str">
        <f aca="false">INDEX('Master Data'!$A$2:$B$8,MATCH(WEEKDAY('SC Total Power'!A188,3),'Master Data'!$A$2:$A$8,0),2)</f>
        <v>M</v>
      </c>
      <c r="D188" s="124" t="n">
        <v>0</v>
      </c>
      <c r="E188" s="124" t="n">
        <v>399421.725435219</v>
      </c>
      <c r="F188" s="124" t="n">
        <v>0</v>
      </c>
      <c r="G188" s="124" t="n">
        <v>0</v>
      </c>
      <c r="I188" s="124" t="n">
        <f aca="false">IF(MONTH($A188)=MONTH($A187),IF(G188=0,I187,G188),G188)</f>
        <v>0</v>
      </c>
      <c r="J188" s="124" t="n">
        <f aca="false">IF(MONTH($A188)=MONTH($A187),SUM(I188-I187),I188)</f>
        <v>0</v>
      </c>
      <c r="K188" s="124" t="n">
        <f aca="false">IF(WEEKDAY(A188,3)&gt;4,0,(IF(A188&lt;K$2,0,IF(A188&lt;=K$3,1,0))))</f>
        <v>0</v>
      </c>
      <c r="L188" s="124" t="n">
        <f aca="false">J188*K188</f>
        <v>0</v>
      </c>
      <c r="M188" s="124" t="n">
        <f aca="false">SUM(J$97:J188)</f>
        <v>0</v>
      </c>
      <c r="N188" s="124" t="n">
        <f aca="false">SUM(J$6:J188)</f>
        <v>0</v>
      </c>
      <c r="P188" s="124" t="n">
        <f aca="false">D188/P$3</f>
        <v>0</v>
      </c>
      <c r="Q188" s="143" t="n">
        <f aca="false">E188/P$3</f>
        <v>0.399421725435219</v>
      </c>
      <c r="R188" s="124" t="n">
        <f aca="false">F188/R$3</f>
        <v>0</v>
      </c>
      <c r="S188" s="126" t="n">
        <f aca="false">J188/$R$3</f>
        <v>0</v>
      </c>
      <c r="T188" s="126" t="n">
        <f aca="false">L188/$R$3</f>
        <v>0</v>
      </c>
      <c r="U188" s="126" t="n">
        <f aca="false">I188/$R$3</f>
        <v>0</v>
      </c>
      <c r="V188" s="126" t="n">
        <f aca="false">M188/$R$3</f>
        <v>0</v>
      </c>
      <c r="W188" s="126" t="n">
        <f aca="false">N188/$R$3</f>
        <v>0</v>
      </c>
    </row>
    <row r="189" customFormat="false" ht="12.75" hidden="true" customHeight="false" outlineLevel="0" collapsed="false">
      <c r="A189" s="120" t="n">
        <f aca="false">A188+1</f>
        <v>37075</v>
      </c>
      <c r="B189" s="131" t="str">
        <f aca="false">INDEX('Master Data'!$A$2:$B$8,MATCH(WEEKDAY('SC Total Power'!A189,3),'Master Data'!$A$2:$A$8,0),2)</f>
        <v>T</v>
      </c>
      <c r="D189" s="124" t="n">
        <v>0</v>
      </c>
      <c r="E189" s="124" t="n">
        <v>433028.174019845</v>
      </c>
      <c r="F189" s="124" t="n">
        <v>0</v>
      </c>
      <c r="G189" s="124" t="n">
        <v>0</v>
      </c>
      <c r="I189" s="124" t="n">
        <f aca="false">IF(MONTH($A189)=MONTH($A188),IF(G189=0,I188,G189),G189)</f>
        <v>0</v>
      </c>
      <c r="J189" s="124" t="n">
        <f aca="false">IF(MONTH($A189)=MONTH($A188),SUM(I189-I188),I189)</f>
        <v>0</v>
      </c>
      <c r="K189" s="124" t="n">
        <f aca="false">IF(WEEKDAY(A189,3)&gt;4,0,(IF(A189&lt;K$2,0,IF(A189&lt;=K$3,1,0))))</f>
        <v>0</v>
      </c>
      <c r="L189" s="124" t="n">
        <f aca="false">J189*K189</f>
        <v>0</v>
      </c>
      <c r="M189" s="124" t="n">
        <f aca="false">SUM(J$97:J189)</f>
        <v>0</v>
      </c>
      <c r="N189" s="124" t="n">
        <f aca="false">SUM(J$6:J189)</f>
        <v>0</v>
      </c>
      <c r="P189" s="124" t="n">
        <f aca="false">D189/P$3</f>
        <v>0</v>
      </c>
      <c r="Q189" s="143" t="n">
        <f aca="false">E189/P$3</f>
        <v>0.433028174019845</v>
      </c>
      <c r="R189" s="124" t="n">
        <f aca="false">F189/R$3</f>
        <v>0</v>
      </c>
      <c r="S189" s="126" t="n">
        <f aca="false">J189/$R$3</f>
        <v>0</v>
      </c>
      <c r="T189" s="126" t="n">
        <f aca="false">L189/$R$3</f>
        <v>0</v>
      </c>
      <c r="U189" s="126" t="n">
        <f aca="false">I189/$R$3</f>
        <v>0</v>
      </c>
      <c r="V189" s="126" t="n">
        <f aca="false">M189/$R$3</f>
        <v>0</v>
      </c>
      <c r="W189" s="126" t="n">
        <f aca="false">N189/$R$3</f>
        <v>0</v>
      </c>
    </row>
    <row r="190" customFormat="false" ht="12.75" hidden="true" customHeight="false" outlineLevel="0" collapsed="false">
      <c r="A190" s="120" t="n">
        <f aca="false">A189+1</f>
        <v>37076</v>
      </c>
      <c r="B190" s="131" t="str">
        <f aca="false">INDEX('Master Data'!$A$2:$B$8,MATCH(WEEKDAY('SC Total Power'!A190,3),'Master Data'!$A$2:$A$8,0),2)</f>
        <v>W</v>
      </c>
      <c r="D190" s="124" t="n">
        <v>0</v>
      </c>
      <c r="E190" s="124" t="n">
        <v>0</v>
      </c>
      <c r="F190" s="124" t="n">
        <v>0</v>
      </c>
      <c r="G190" s="124" t="n">
        <v>0</v>
      </c>
      <c r="I190" s="124" t="n">
        <f aca="false">IF(MONTH($A190)=MONTH($A189),IF(G190=0,I189,G190),G190)</f>
        <v>0</v>
      </c>
      <c r="J190" s="124" t="n">
        <f aca="false">IF(MONTH($A190)=MONTH($A189),SUM(I190-I189),I190)</f>
        <v>0</v>
      </c>
      <c r="K190" s="124" t="n">
        <f aca="false">IF(WEEKDAY(A190,3)&gt;4,0,(IF(A190&lt;K$2,0,IF(A190&lt;=K$3,1,0))))</f>
        <v>0</v>
      </c>
      <c r="L190" s="124" t="n">
        <f aca="false">J190*K190</f>
        <v>0</v>
      </c>
      <c r="M190" s="124" t="n">
        <f aca="false">SUM(J$97:J190)</f>
        <v>0</v>
      </c>
      <c r="N190" s="124" t="n">
        <f aca="false">SUM(J$6:J190)</f>
        <v>0</v>
      </c>
      <c r="P190" s="124" t="n">
        <f aca="false">D190/P$3</f>
        <v>0</v>
      </c>
      <c r="Q190" s="143" t="n">
        <f aca="false">E190/P$3</f>
        <v>0</v>
      </c>
      <c r="R190" s="124" t="n">
        <f aca="false">F190/R$3</f>
        <v>0</v>
      </c>
      <c r="S190" s="126" t="n">
        <f aca="false">J190/$R$3</f>
        <v>0</v>
      </c>
      <c r="T190" s="126" t="n">
        <f aca="false">L190/$R$3</f>
        <v>0</v>
      </c>
      <c r="U190" s="126" t="n">
        <f aca="false">I190/$R$3</f>
        <v>0</v>
      </c>
      <c r="V190" s="126" t="n">
        <f aca="false">M190/$R$3</f>
        <v>0</v>
      </c>
      <c r="W190" s="126" t="n">
        <f aca="false">N190/$R$3</f>
        <v>0</v>
      </c>
    </row>
    <row r="191" customFormat="false" ht="12.75" hidden="true" customHeight="false" outlineLevel="0" collapsed="false">
      <c r="A191" s="120" t="n">
        <f aca="false">A190+1</f>
        <v>37077</v>
      </c>
      <c r="B191" s="131" t="str">
        <f aca="false">INDEX('Master Data'!$A$2:$B$8,MATCH(WEEKDAY('SC Total Power'!A191,3),'Master Data'!$A$2:$A$8,0),2)</f>
        <v>Th</v>
      </c>
      <c r="D191" s="124" t="n">
        <v>0</v>
      </c>
      <c r="E191" s="124" t="n">
        <v>442234.794545074</v>
      </c>
      <c r="F191" s="124" t="n">
        <v>0</v>
      </c>
      <c r="G191" s="124" t="n">
        <v>0</v>
      </c>
      <c r="I191" s="124" t="n">
        <f aca="false">IF(MONTH($A191)=MONTH($A190),IF(G191=0,I190,G191),G191)</f>
        <v>0</v>
      </c>
      <c r="J191" s="124" t="n">
        <f aca="false">IF(MONTH($A191)=MONTH($A190),SUM(I191-I190),I191)</f>
        <v>0</v>
      </c>
      <c r="K191" s="124" t="n">
        <f aca="false">IF(WEEKDAY(A191,3)&gt;4,0,(IF(A191&lt;K$2,0,IF(A191&lt;=K$3,1,0))))</f>
        <v>0</v>
      </c>
      <c r="L191" s="124" t="n">
        <f aca="false">J191*K191</f>
        <v>0</v>
      </c>
      <c r="M191" s="124" t="n">
        <f aca="false">SUM(J$97:J191)</f>
        <v>0</v>
      </c>
      <c r="N191" s="124" t="n">
        <f aca="false">SUM(J$6:J191)</f>
        <v>0</v>
      </c>
      <c r="P191" s="124" t="n">
        <f aca="false">D191/P$3</f>
        <v>0</v>
      </c>
      <c r="Q191" s="143" t="n">
        <f aca="false">E191/P$3</f>
        <v>0.442234794545074</v>
      </c>
      <c r="R191" s="124" t="n">
        <f aca="false">F191/R$3</f>
        <v>0</v>
      </c>
      <c r="S191" s="126" t="n">
        <f aca="false">J191/$R$3</f>
        <v>0</v>
      </c>
      <c r="T191" s="126" t="n">
        <f aca="false">L191/$R$3</f>
        <v>0</v>
      </c>
      <c r="U191" s="126" t="n">
        <f aca="false">I191/$R$3</f>
        <v>0</v>
      </c>
      <c r="V191" s="126" t="n">
        <f aca="false">M191/$R$3</f>
        <v>0</v>
      </c>
      <c r="W191" s="126" t="n">
        <f aca="false">N191/$R$3</f>
        <v>0</v>
      </c>
    </row>
    <row r="192" customFormat="false" ht="12.75" hidden="true" customHeight="false" outlineLevel="0" collapsed="false">
      <c r="A192" s="120" t="n">
        <f aca="false">A191+1</f>
        <v>37078</v>
      </c>
      <c r="B192" s="131" t="str">
        <f aca="false">INDEX('Master Data'!$A$2:$B$8,MATCH(WEEKDAY('SC Total Power'!A192,3),'Master Data'!$A$2:$A$8,0),2)</f>
        <v>F</v>
      </c>
      <c r="D192" s="124" t="n">
        <v>0</v>
      </c>
      <c r="E192" s="124" t="n">
        <v>442298.092325834</v>
      </c>
      <c r="F192" s="124" t="n">
        <v>0</v>
      </c>
      <c r="G192" s="124" t="n">
        <v>0</v>
      </c>
      <c r="I192" s="124" t="n">
        <f aca="false">IF(MONTH($A192)=MONTH($A191),IF(G192=0,I191,G192),G192)</f>
        <v>0</v>
      </c>
      <c r="J192" s="124" t="n">
        <f aca="false">IF(MONTH($A192)=MONTH($A191),SUM(I192-I191),I192)</f>
        <v>0</v>
      </c>
      <c r="K192" s="124" t="n">
        <f aca="false">IF(WEEKDAY(A192,3)&gt;4,0,(IF(A192&lt;K$2,0,IF(A192&lt;=K$3,1,0))))</f>
        <v>0</v>
      </c>
      <c r="L192" s="124" t="n">
        <f aca="false">J192*K192</f>
        <v>0</v>
      </c>
      <c r="M192" s="124" t="n">
        <f aca="false">SUM(J$97:J192)</f>
        <v>0</v>
      </c>
      <c r="N192" s="124" t="n">
        <f aca="false">SUM(J$6:J192)</f>
        <v>0</v>
      </c>
      <c r="P192" s="124" t="n">
        <f aca="false">D192/P$3</f>
        <v>0</v>
      </c>
      <c r="Q192" s="143" t="n">
        <f aca="false">E192/P$3</f>
        <v>0.442298092325834</v>
      </c>
      <c r="R192" s="124" t="n">
        <f aca="false">F192/R$3</f>
        <v>0</v>
      </c>
      <c r="S192" s="126" t="n">
        <f aca="false">J192/$R$3</f>
        <v>0</v>
      </c>
      <c r="T192" s="126" t="n">
        <f aca="false">L192/$R$3</f>
        <v>0</v>
      </c>
      <c r="U192" s="126" t="n">
        <f aca="false">I192/$R$3</f>
        <v>0</v>
      </c>
      <c r="V192" s="126" t="n">
        <f aca="false">M192/$R$3</f>
        <v>0</v>
      </c>
      <c r="W192" s="126" t="n">
        <f aca="false">N192/$R$3</f>
        <v>0</v>
      </c>
    </row>
    <row r="193" customFormat="false" ht="12.75" hidden="true" customHeight="false" outlineLevel="0" collapsed="false">
      <c r="A193" s="120" t="n">
        <f aca="false">A192+1</f>
        <v>37079</v>
      </c>
      <c r="B193" s="131" t="str">
        <f aca="false">INDEX('Master Data'!$A$2:$B$8,MATCH(WEEKDAY('SC Total Power'!A193,3),'Master Data'!$A$2:$A$8,0),2)</f>
        <v>Sa</v>
      </c>
      <c r="D193" s="124" t="n">
        <v>0</v>
      </c>
      <c r="E193" s="124" t="n">
        <v>0</v>
      </c>
      <c r="F193" s="124" t="n">
        <v>0</v>
      </c>
      <c r="G193" s="124" t="n">
        <v>0</v>
      </c>
      <c r="I193" s="124" t="n">
        <f aca="false">IF(MONTH($A193)=MONTH($A192),IF(G193=0,I192,G193),G193)</f>
        <v>0</v>
      </c>
      <c r="J193" s="124" t="n">
        <f aca="false">IF(MONTH($A193)=MONTH($A192),SUM(I193-I192),I193)</f>
        <v>0</v>
      </c>
      <c r="K193" s="124" t="n">
        <f aca="false">IF(WEEKDAY(A193,3)&gt;4,0,(IF(A193&lt;K$2,0,IF(A193&lt;=K$3,1,0))))</f>
        <v>0</v>
      </c>
      <c r="L193" s="124" t="n">
        <f aca="false">J193*K193</f>
        <v>0</v>
      </c>
      <c r="M193" s="124" t="n">
        <f aca="false">SUM(J$97:J193)</f>
        <v>0</v>
      </c>
      <c r="N193" s="124" t="n">
        <f aca="false">SUM(J$6:J193)</f>
        <v>0</v>
      </c>
      <c r="P193" s="124" t="n">
        <f aca="false">D193/P$3</f>
        <v>0</v>
      </c>
      <c r="Q193" s="143" t="n">
        <f aca="false">E193/P$3</f>
        <v>0</v>
      </c>
      <c r="R193" s="124" t="n">
        <f aca="false">F193/R$3</f>
        <v>0</v>
      </c>
      <c r="S193" s="126" t="n">
        <f aca="false">J193/$R$3</f>
        <v>0</v>
      </c>
      <c r="T193" s="126" t="n">
        <f aca="false">L193/$R$3</f>
        <v>0</v>
      </c>
      <c r="U193" s="126" t="n">
        <f aca="false">I193/$R$3</f>
        <v>0</v>
      </c>
      <c r="V193" s="126" t="n">
        <f aca="false">M193/$R$3</f>
        <v>0</v>
      </c>
      <c r="W193" s="126" t="n">
        <f aca="false">N193/$R$3</f>
        <v>0</v>
      </c>
    </row>
    <row r="194" customFormat="false" ht="12.75" hidden="true" customHeight="false" outlineLevel="0" collapsed="false">
      <c r="A194" s="120" t="n">
        <f aca="false">A193+1</f>
        <v>37080</v>
      </c>
      <c r="B194" s="131" t="str">
        <f aca="false">INDEX('Master Data'!$A$2:$B$8,MATCH(WEEKDAY('SC Total Power'!A194,3),'Master Data'!$A$2:$A$8,0),2)</f>
        <v>Su</v>
      </c>
      <c r="D194" s="124" t="n">
        <v>0</v>
      </c>
      <c r="E194" s="124" t="n">
        <v>0</v>
      </c>
      <c r="F194" s="124" t="n">
        <v>0</v>
      </c>
      <c r="G194" s="124" t="n">
        <v>0</v>
      </c>
      <c r="I194" s="124" t="n">
        <f aca="false">IF(MONTH($A194)=MONTH($A193),IF(G194=0,I193,G194),G194)</f>
        <v>0</v>
      </c>
      <c r="J194" s="124" t="n">
        <f aca="false">IF(MONTH($A194)=MONTH($A193),SUM(I194-I193),I194)</f>
        <v>0</v>
      </c>
      <c r="K194" s="124" t="n">
        <f aca="false">IF(WEEKDAY(A194,3)&gt;4,0,(IF(A194&lt;K$2,0,IF(A194&lt;=K$3,1,0))))</f>
        <v>0</v>
      </c>
      <c r="L194" s="124" t="n">
        <f aca="false">J194*K194</f>
        <v>0</v>
      </c>
      <c r="M194" s="124" t="n">
        <f aca="false">SUM(J$97:J194)</f>
        <v>0</v>
      </c>
      <c r="N194" s="124" t="n">
        <f aca="false">SUM(J$6:J194)</f>
        <v>0</v>
      </c>
      <c r="P194" s="124" t="n">
        <f aca="false">D194/P$3</f>
        <v>0</v>
      </c>
      <c r="Q194" s="143" t="n">
        <f aca="false">E194/P$3</f>
        <v>0</v>
      </c>
      <c r="R194" s="124" t="n">
        <f aca="false">F194/R$3</f>
        <v>0</v>
      </c>
      <c r="S194" s="126" t="n">
        <f aca="false">J194/$R$3</f>
        <v>0</v>
      </c>
      <c r="T194" s="126" t="n">
        <f aca="false">L194/$R$3</f>
        <v>0</v>
      </c>
      <c r="U194" s="126" t="n">
        <f aca="false">I194/$R$3</f>
        <v>0</v>
      </c>
      <c r="V194" s="126" t="n">
        <f aca="false">M194/$R$3</f>
        <v>0</v>
      </c>
      <c r="W194" s="126" t="n">
        <f aca="false">N194/$R$3</f>
        <v>0</v>
      </c>
    </row>
    <row r="195" customFormat="false" ht="12.75" hidden="true" customHeight="false" outlineLevel="0" collapsed="false">
      <c r="A195" s="120" t="n">
        <f aca="false">A194+1</f>
        <v>37081</v>
      </c>
      <c r="B195" s="131" t="str">
        <f aca="false">INDEX('Master Data'!$A$2:$B$8,MATCH(WEEKDAY('SC Total Power'!A195,3),'Master Data'!$A$2:$A$8,0),2)</f>
        <v>M</v>
      </c>
      <c r="D195" s="124" t="n">
        <v>0</v>
      </c>
      <c r="E195" s="124" t="n">
        <v>442552.766931476</v>
      </c>
      <c r="F195" s="124" t="n">
        <v>0</v>
      </c>
      <c r="G195" s="124" t="n">
        <v>0</v>
      </c>
      <c r="I195" s="124" t="n">
        <f aca="false">IF(MONTH($A195)=MONTH($A194),IF(G195=0,I194,G195),G195)</f>
        <v>0</v>
      </c>
      <c r="J195" s="124" t="n">
        <f aca="false">IF(MONTH($A195)=MONTH($A194),SUM(I195-I194),I195)</f>
        <v>0</v>
      </c>
      <c r="K195" s="124" t="n">
        <f aca="false">IF(WEEKDAY(A195,3)&gt;4,0,(IF(A195&lt;K$2,0,IF(A195&lt;=K$3,1,0))))</f>
        <v>0</v>
      </c>
      <c r="L195" s="124" t="n">
        <f aca="false">J195*K195</f>
        <v>0</v>
      </c>
      <c r="M195" s="124" t="n">
        <f aca="false">SUM(J$97:J195)</f>
        <v>0</v>
      </c>
      <c r="N195" s="124" t="n">
        <f aca="false">SUM(J$6:J195)</f>
        <v>0</v>
      </c>
      <c r="P195" s="124" t="n">
        <f aca="false">D195/P$3</f>
        <v>0</v>
      </c>
      <c r="Q195" s="143" t="n">
        <f aca="false">E195/P$3</f>
        <v>0.442552766931476</v>
      </c>
      <c r="R195" s="124" t="n">
        <f aca="false">F195/R$3</f>
        <v>0</v>
      </c>
      <c r="S195" s="126" t="n">
        <f aca="false">J195/$R$3</f>
        <v>0</v>
      </c>
      <c r="T195" s="126" t="n">
        <f aca="false">L195/$R$3</f>
        <v>0</v>
      </c>
      <c r="U195" s="126" t="n">
        <f aca="false">I195/$R$3</f>
        <v>0</v>
      </c>
      <c r="V195" s="126" t="n">
        <f aca="false">M195/$R$3</f>
        <v>0</v>
      </c>
      <c r="W195" s="126" t="n">
        <f aca="false">N195/$R$3</f>
        <v>0</v>
      </c>
    </row>
    <row r="196" customFormat="false" ht="12.75" hidden="true" customHeight="false" outlineLevel="0" collapsed="false">
      <c r="A196" s="120" t="n">
        <f aca="false">A195+1</f>
        <v>37082</v>
      </c>
      <c r="B196" s="131" t="str">
        <f aca="false">INDEX('Master Data'!$A$2:$B$8,MATCH(WEEKDAY('SC Total Power'!A196,3),'Master Data'!$A$2:$A$8,0),2)</f>
        <v>T</v>
      </c>
      <c r="D196" s="124" t="n">
        <v>0</v>
      </c>
      <c r="E196" s="124" t="n">
        <v>442683.961055073</v>
      </c>
      <c r="F196" s="124" t="n">
        <v>0</v>
      </c>
      <c r="G196" s="124" t="n">
        <v>0</v>
      </c>
      <c r="I196" s="124" t="n">
        <f aca="false">IF(MONTH($A196)=MONTH($A195),IF(G196=0,I195,G196),G196)</f>
        <v>0</v>
      </c>
      <c r="J196" s="124" t="n">
        <f aca="false">IF(MONTH($A196)=MONTH($A195),SUM(I196-I195),I196)</f>
        <v>0</v>
      </c>
      <c r="K196" s="124" t="n">
        <f aca="false">IF(WEEKDAY(A196,3)&gt;4,0,(IF(A196&lt;K$2,0,IF(A196&lt;=K$3,1,0))))</f>
        <v>0</v>
      </c>
      <c r="L196" s="124" t="n">
        <f aca="false">J196*K196</f>
        <v>0</v>
      </c>
      <c r="M196" s="124" t="n">
        <f aca="false">SUM(J$97:J196)</f>
        <v>0</v>
      </c>
      <c r="N196" s="124" t="n">
        <f aca="false">SUM(J$6:J196)</f>
        <v>0</v>
      </c>
      <c r="P196" s="124" t="n">
        <f aca="false">D196/P$3</f>
        <v>0</v>
      </c>
      <c r="Q196" s="143" t="n">
        <f aca="false">E196/P$3</f>
        <v>0.442683961055073</v>
      </c>
      <c r="R196" s="124" t="n">
        <f aca="false">F196/R$3</f>
        <v>0</v>
      </c>
      <c r="S196" s="126" t="n">
        <f aca="false">J196/$R$3</f>
        <v>0</v>
      </c>
      <c r="T196" s="126" t="n">
        <f aca="false">L196/$R$3</f>
        <v>0</v>
      </c>
      <c r="U196" s="126" t="n">
        <f aca="false">I196/$R$3</f>
        <v>0</v>
      </c>
      <c r="V196" s="126" t="n">
        <f aca="false">M196/$R$3</f>
        <v>0</v>
      </c>
      <c r="W196" s="126" t="n">
        <f aca="false">N196/$R$3</f>
        <v>0</v>
      </c>
    </row>
    <row r="197" customFormat="false" ht="12.75" hidden="true" customHeight="false" outlineLevel="0" collapsed="false">
      <c r="A197" s="120" t="n">
        <f aca="false">A196+1</f>
        <v>37083</v>
      </c>
      <c r="B197" s="131" t="str">
        <f aca="false">INDEX('Master Data'!$A$2:$B$8,MATCH(WEEKDAY('SC Total Power'!A197,3),'Master Data'!$A$2:$A$8,0),2)</f>
        <v>W</v>
      </c>
      <c r="D197" s="124" t="n">
        <v>0</v>
      </c>
      <c r="E197" s="124" t="n">
        <v>442761.687598667</v>
      </c>
      <c r="F197" s="124" t="n">
        <v>0</v>
      </c>
      <c r="G197" s="124" t="n">
        <v>0</v>
      </c>
      <c r="I197" s="124" t="n">
        <f aca="false">IF(MONTH($A197)=MONTH($A196),IF(G197=0,I196,G197),G197)</f>
        <v>0</v>
      </c>
      <c r="J197" s="124" t="n">
        <f aca="false">IF(MONTH($A197)=MONTH($A196),SUM(I197-I196),I197)</f>
        <v>0</v>
      </c>
      <c r="K197" s="124" t="n">
        <f aca="false">IF(WEEKDAY(A197,3)&gt;4,0,(IF(A197&lt;K$2,0,IF(A197&lt;=K$3,1,0))))</f>
        <v>0</v>
      </c>
      <c r="L197" s="124" t="n">
        <f aca="false">J197*K197</f>
        <v>0</v>
      </c>
      <c r="M197" s="124" t="n">
        <f aca="false">SUM(J$97:J197)</f>
        <v>0</v>
      </c>
      <c r="N197" s="124" t="n">
        <f aca="false">SUM(J$6:J197)</f>
        <v>0</v>
      </c>
      <c r="P197" s="124" t="n">
        <f aca="false">D197/P$3</f>
        <v>0</v>
      </c>
      <c r="Q197" s="143" t="n">
        <f aca="false">E197/P$3</f>
        <v>0.442761687598667</v>
      </c>
      <c r="R197" s="124" t="n">
        <f aca="false">F197/R$3</f>
        <v>0</v>
      </c>
      <c r="S197" s="126" t="n">
        <f aca="false">J197/$R$3</f>
        <v>0</v>
      </c>
      <c r="T197" s="126" t="n">
        <f aca="false">L197/$R$3</f>
        <v>0</v>
      </c>
      <c r="U197" s="126" t="n">
        <f aca="false">I197/$R$3</f>
        <v>0</v>
      </c>
      <c r="V197" s="126" t="n">
        <f aca="false">M197/$R$3</f>
        <v>0</v>
      </c>
      <c r="W197" s="126" t="n">
        <f aca="false">N197/$R$3</f>
        <v>0</v>
      </c>
    </row>
    <row r="198" customFormat="false" ht="12.75" hidden="true" customHeight="false" outlineLevel="0" collapsed="false">
      <c r="A198" s="120" t="n">
        <f aca="false">A197+1</f>
        <v>37084</v>
      </c>
      <c r="B198" s="131" t="str">
        <f aca="false">INDEX('Master Data'!$A$2:$B$8,MATCH(WEEKDAY('SC Total Power'!A198,3),'Master Data'!$A$2:$A$8,0),2)</f>
        <v>Th</v>
      </c>
      <c r="D198" s="124" t="n">
        <v>0</v>
      </c>
      <c r="E198" s="124" t="n">
        <v>442893.358042379</v>
      </c>
      <c r="F198" s="124" t="n">
        <v>0</v>
      </c>
      <c r="G198" s="124" t="n">
        <v>0</v>
      </c>
      <c r="I198" s="124" t="n">
        <f aca="false">IF(MONTH($A198)=MONTH($A197),IF(G198=0,I197,G198),G198)</f>
        <v>0</v>
      </c>
      <c r="J198" s="124" t="n">
        <f aca="false">IF(MONTH($A198)=MONTH($A197),SUM(I198-I197),I198)</f>
        <v>0</v>
      </c>
      <c r="K198" s="124" t="n">
        <f aca="false">IF(WEEKDAY(A198,3)&gt;4,0,(IF(A198&lt;K$2,0,IF(A198&lt;=K$3,1,0))))</f>
        <v>0</v>
      </c>
      <c r="L198" s="124" t="n">
        <f aca="false">J198*K198</f>
        <v>0</v>
      </c>
      <c r="M198" s="124" t="n">
        <f aca="false">SUM(J$97:J198)</f>
        <v>0</v>
      </c>
      <c r="N198" s="124" t="n">
        <f aca="false">SUM(J$6:J198)</f>
        <v>0</v>
      </c>
      <c r="P198" s="124" t="n">
        <f aca="false">D198/P$3</f>
        <v>0</v>
      </c>
      <c r="Q198" s="143" t="n">
        <f aca="false">E198/P$3</f>
        <v>0.442893358042379</v>
      </c>
      <c r="R198" s="124" t="n">
        <f aca="false">F198/R$3</f>
        <v>0</v>
      </c>
      <c r="S198" s="126" t="n">
        <f aca="false">J198/$R$3</f>
        <v>0</v>
      </c>
      <c r="T198" s="126" t="n">
        <f aca="false">L198/$R$3</f>
        <v>0</v>
      </c>
      <c r="U198" s="126" t="n">
        <f aca="false">I198/$R$3</f>
        <v>0</v>
      </c>
      <c r="V198" s="126" t="n">
        <f aca="false">M198/$R$3</f>
        <v>0</v>
      </c>
      <c r="W198" s="126" t="n">
        <f aca="false">N198/$R$3</f>
        <v>0</v>
      </c>
    </row>
    <row r="199" customFormat="false" ht="12.75" hidden="true" customHeight="false" outlineLevel="0" collapsed="false">
      <c r="A199" s="120" t="n">
        <f aca="false">A198+1</f>
        <v>37085</v>
      </c>
      <c r="B199" s="131" t="str">
        <f aca="false">INDEX('Master Data'!$A$2:$B$8,MATCH(WEEKDAY('SC Total Power'!A199,3),'Master Data'!$A$2:$A$8,0),2)</f>
        <v>F</v>
      </c>
      <c r="D199" s="124" t="n">
        <v>0</v>
      </c>
      <c r="E199" s="124" t="n">
        <v>442952.968268924</v>
      </c>
      <c r="F199" s="124" t="n">
        <v>0</v>
      </c>
      <c r="G199" s="124" t="n">
        <v>0</v>
      </c>
      <c r="I199" s="124" t="n">
        <f aca="false">IF(MONTH($A199)=MONTH($A198),IF(G199=0,I198,G199),G199)</f>
        <v>0</v>
      </c>
      <c r="J199" s="124" t="n">
        <f aca="false">IF(MONTH($A199)=MONTH($A198),SUM(I199-I198),I199)</f>
        <v>0</v>
      </c>
      <c r="K199" s="124" t="n">
        <f aca="false">IF(WEEKDAY(A199,3)&gt;4,0,(IF(A199&lt;K$2,0,IF(A199&lt;=K$3,1,0))))</f>
        <v>0</v>
      </c>
      <c r="L199" s="124" t="n">
        <f aca="false">J199*K199</f>
        <v>0</v>
      </c>
      <c r="M199" s="124" t="n">
        <f aca="false">SUM(J$97:J199)</f>
        <v>0</v>
      </c>
      <c r="N199" s="124" t="n">
        <f aca="false">SUM(J$6:J199)</f>
        <v>0</v>
      </c>
      <c r="P199" s="124" t="n">
        <f aca="false">D199/P$3</f>
        <v>0</v>
      </c>
      <c r="Q199" s="143" t="n">
        <f aca="false">E199/P$3</f>
        <v>0.442952968268924</v>
      </c>
      <c r="R199" s="124" t="n">
        <f aca="false">F199/R$3</f>
        <v>0</v>
      </c>
      <c r="S199" s="126" t="n">
        <f aca="false">J199/$R$3</f>
        <v>0</v>
      </c>
      <c r="T199" s="126" t="n">
        <f aca="false">L199/$R$3</f>
        <v>0</v>
      </c>
      <c r="U199" s="126" t="n">
        <f aca="false">I199/$R$3</f>
        <v>0</v>
      </c>
      <c r="V199" s="126" t="n">
        <f aca="false">M199/$R$3</f>
        <v>0</v>
      </c>
      <c r="W199" s="126" t="n">
        <f aca="false">N199/$R$3</f>
        <v>0</v>
      </c>
    </row>
    <row r="200" customFormat="false" ht="12.75" hidden="true" customHeight="false" outlineLevel="0" collapsed="false">
      <c r="A200" s="120" t="n">
        <f aca="false">A199+1</f>
        <v>37086</v>
      </c>
      <c r="B200" s="131" t="str">
        <f aca="false">INDEX('Master Data'!$A$2:$B$8,MATCH(WEEKDAY('SC Total Power'!A200,3),'Master Data'!$A$2:$A$8,0),2)</f>
        <v>Sa</v>
      </c>
      <c r="D200" s="124" t="n">
        <v>0</v>
      </c>
      <c r="E200" s="124" t="n">
        <v>0</v>
      </c>
      <c r="F200" s="124" t="n">
        <v>0</v>
      </c>
      <c r="G200" s="124" t="n">
        <v>0</v>
      </c>
      <c r="I200" s="124" t="n">
        <f aca="false">IF(MONTH($A200)=MONTH($A199),IF(G200=0,I199,G200),G200)</f>
        <v>0</v>
      </c>
      <c r="J200" s="124" t="n">
        <f aca="false">IF(MONTH($A200)=MONTH($A199),SUM(I200-I199),I200)</f>
        <v>0</v>
      </c>
      <c r="K200" s="124" t="n">
        <f aca="false">IF(WEEKDAY(A200,3)&gt;4,0,(IF(A200&lt;K$2,0,IF(A200&lt;=K$3,1,0))))</f>
        <v>0</v>
      </c>
      <c r="L200" s="124" t="n">
        <f aca="false">J200*K200</f>
        <v>0</v>
      </c>
      <c r="M200" s="124" t="n">
        <f aca="false">SUM(J$97:J200)</f>
        <v>0</v>
      </c>
      <c r="N200" s="124" t="n">
        <f aca="false">SUM(J$6:J200)</f>
        <v>0</v>
      </c>
      <c r="P200" s="124" t="n">
        <f aca="false">D200/P$3</f>
        <v>0</v>
      </c>
      <c r="Q200" s="143" t="n">
        <f aca="false">E200/P$3</f>
        <v>0</v>
      </c>
      <c r="R200" s="124" t="n">
        <f aca="false">F200/R$3</f>
        <v>0</v>
      </c>
      <c r="S200" s="126" t="n">
        <f aca="false">J200/$R$3</f>
        <v>0</v>
      </c>
      <c r="T200" s="126" t="n">
        <f aca="false">L200/$R$3</f>
        <v>0</v>
      </c>
      <c r="U200" s="126" t="n">
        <f aca="false">I200/$R$3</f>
        <v>0</v>
      </c>
      <c r="V200" s="126" t="n">
        <f aca="false">M200/$R$3</f>
        <v>0</v>
      </c>
      <c r="W200" s="126" t="n">
        <f aca="false">N200/$R$3</f>
        <v>0</v>
      </c>
    </row>
    <row r="201" customFormat="false" ht="12.75" hidden="true" customHeight="false" outlineLevel="0" collapsed="false">
      <c r="A201" s="120" t="n">
        <f aca="false">A200+1</f>
        <v>37087</v>
      </c>
      <c r="B201" s="131" t="str">
        <f aca="false">INDEX('Master Data'!$A$2:$B$8,MATCH(WEEKDAY('SC Total Power'!A201,3),'Master Data'!$A$2:$A$8,0),2)</f>
        <v>Su</v>
      </c>
      <c r="D201" s="124" t="n">
        <v>0</v>
      </c>
      <c r="E201" s="124" t="n">
        <v>0</v>
      </c>
      <c r="F201" s="124" t="n">
        <v>0</v>
      </c>
      <c r="G201" s="124" t="n">
        <v>0</v>
      </c>
      <c r="I201" s="124" t="n">
        <f aca="false">IF(MONTH($A201)=MONTH($A200),IF(G201=0,I200,G201),G201)</f>
        <v>0</v>
      </c>
      <c r="J201" s="124" t="n">
        <f aca="false">IF(MONTH($A201)=MONTH($A200),SUM(I201-I200),I201)</f>
        <v>0</v>
      </c>
      <c r="K201" s="124" t="n">
        <f aca="false">IF(WEEKDAY(A201,3)&gt;4,0,(IF(A201&lt;K$2,0,IF(A201&lt;=K$3,1,0))))</f>
        <v>0</v>
      </c>
      <c r="L201" s="124" t="n">
        <f aca="false">J201*K201</f>
        <v>0</v>
      </c>
      <c r="M201" s="124" t="n">
        <f aca="false">SUM(J$97:J201)</f>
        <v>0</v>
      </c>
      <c r="N201" s="124" t="n">
        <f aca="false">SUM(J$6:J201)</f>
        <v>0</v>
      </c>
      <c r="P201" s="124" t="n">
        <f aca="false">D201/P$3</f>
        <v>0</v>
      </c>
      <c r="Q201" s="143" t="n">
        <f aca="false">E201/P$3</f>
        <v>0</v>
      </c>
      <c r="R201" s="124" t="n">
        <f aca="false">F201/R$3</f>
        <v>0</v>
      </c>
      <c r="S201" s="126" t="n">
        <f aca="false">J201/$R$3</f>
        <v>0</v>
      </c>
      <c r="T201" s="126" t="n">
        <f aca="false">L201/$R$3</f>
        <v>0</v>
      </c>
      <c r="U201" s="126" t="n">
        <f aca="false">I201/$R$3</f>
        <v>0</v>
      </c>
      <c r="V201" s="126" t="n">
        <f aca="false">M201/$R$3</f>
        <v>0</v>
      </c>
      <c r="W201" s="126" t="n">
        <f aca="false">N201/$R$3</f>
        <v>0</v>
      </c>
    </row>
    <row r="202" customFormat="false" ht="12.75" hidden="true" customHeight="false" outlineLevel="0" collapsed="false">
      <c r="A202" s="120" t="n">
        <f aca="false">A201+1</f>
        <v>37088</v>
      </c>
      <c r="B202" s="131" t="str">
        <f aca="false">INDEX('Master Data'!$A$2:$B$8,MATCH(WEEKDAY('SC Total Power'!A202,3),'Master Data'!$A$2:$A$8,0),2)</f>
        <v>M</v>
      </c>
      <c r="D202" s="124" t="n">
        <v>0</v>
      </c>
      <c r="E202" s="124" t="n">
        <v>439768.346501311</v>
      </c>
      <c r="F202" s="124" t="n">
        <v>0</v>
      </c>
      <c r="G202" s="124" t="n">
        <v>0</v>
      </c>
      <c r="I202" s="124" t="n">
        <f aca="false">IF(MONTH($A202)=MONTH($A201),IF(G202=0,I201,G202),G202)</f>
        <v>0</v>
      </c>
      <c r="J202" s="124" t="n">
        <f aca="false">IF(MONTH($A202)=MONTH($A201),SUM(I202-I201),I202)</f>
        <v>0</v>
      </c>
      <c r="K202" s="124" t="n">
        <f aca="false">IF(WEEKDAY(A202,3)&gt;4,0,(IF(A202&lt;K$2,0,IF(A202&lt;=K$3,1,0))))</f>
        <v>0</v>
      </c>
      <c r="L202" s="124" t="n">
        <f aca="false">J202*K202</f>
        <v>0</v>
      </c>
      <c r="M202" s="124" t="n">
        <f aca="false">SUM(J$97:J202)</f>
        <v>0</v>
      </c>
      <c r="N202" s="124" t="n">
        <f aca="false">SUM(J$6:J202)</f>
        <v>0</v>
      </c>
      <c r="P202" s="124" t="n">
        <f aca="false">D202/P$3</f>
        <v>0</v>
      </c>
      <c r="Q202" s="143" t="n">
        <f aca="false">E202/P$3</f>
        <v>0.439768346501311</v>
      </c>
      <c r="R202" s="124" t="n">
        <f aca="false">F202/R$3</f>
        <v>0</v>
      </c>
      <c r="S202" s="126" t="n">
        <f aca="false">J202/$R$3</f>
        <v>0</v>
      </c>
      <c r="T202" s="126" t="n">
        <f aca="false">L202/$R$3</f>
        <v>0</v>
      </c>
      <c r="U202" s="126" t="n">
        <f aca="false">I202/$R$3</f>
        <v>0</v>
      </c>
      <c r="V202" s="126" t="n">
        <f aca="false">M202/$R$3</f>
        <v>0</v>
      </c>
      <c r="W202" s="126" t="n">
        <f aca="false">N202/$R$3</f>
        <v>0</v>
      </c>
    </row>
    <row r="203" customFormat="false" ht="12.75" hidden="true" customHeight="false" outlineLevel="0" collapsed="false">
      <c r="A203" s="120" t="n">
        <f aca="false">A202+1</f>
        <v>37089</v>
      </c>
      <c r="B203" s="131" t="str">
        <f aca="false">INDEX('Master Data'!$A$2:$B$8,MATCH(WEEKDAY('SC Total Power'!A203,3),'Master Data'!$A$2:$A$8,0),2)</f>
        <v>T</v>
      </c>
      <c r="D203" s="124" t="n">
        <v>0</v>
      </c>
      <c r="E203" s="124" t="n">
        <v>439819.767485102</v>
      </c>
      <c r="F203" s="124" t="n">
        <v>0</v>
      </c>
      <c r="G203" s="124" t="n">
        <v>0</v>
      </c>
      <c r="I203" s="124" t="n">
        <f aca="false">IF(MONTH($A203)=MONTH($A202),IF(G203=0,I202,G203),G203)</f>
        <v>0</v>
      </c>
      <c r="J203" s="124" t="n">
        <f aca="false">IF(MONTH($A203)=MONTH($A202),SUM(I203-I202),I203)</f>
        <v>0</v>
      </c>
      <c r="K203" s="124" t="n">
        <f aca="false">IF(WEEKDAY(A203,3)&gt;4,0,(IF(A203&lt;K$2,0,IF(A203&lt;=K$3,1,0))))</f>
        <v>0</v>
      </c>
      <c r="L203" s="124" t="n">
        <f aca="false">J203*K203</f>
        <v>0</v>
      </c>
      <c r="M203" s="124" t="n">
        <f aca="false">SUM(J$97:J203)</f>
        <v>0</v>
      </c>
      <c r="N203" s="124" t="n">
        <f aca="false">SUM(J$6:J203)</f>
        <v>0</v>
      </c>
      <c r="P203" s="124" t="n">
        <f aca="false">D203/P$3</f>
        <v>0</v>
      </c>
      <c r="Q203" s="143" t="n">
        <f aca="false">E203/P$3</f>
        <v>0.439819767485102</v>
      </c>
      <c r="R203" s="124" t="n">
        <f aca="false">F203/R$3</f>
        <v>0</v>
      </c>
      <c r="S203" s="126" t="n">
        <f aca="false">J203/$R$3</f>
        <v>0</v>
      </c>
      <c r="T203" s="126" t="n">
        <f aca="false">L203/$R$3</f>
        <v>0</v>
      </c>
      <c r="U203" s="126" t="n">
        <f aca="false">I203/$R$3</f>
        <v>0</v>
      </c>
      <c r="V203" s="126" t="n">
        <f aca="false">M203/$R$3</f>
        <v>0</v>
      </c>
      <c r="W203" s="126" t="n">
        <f aca="false">N203/$R$3</f>
        <v>0</v>
      </c>
    </row>
    <row r="204" customFormat="false" ht="12.75" hidden="true" customHeight="false" outlineLevel="0" collapsed="false">
      <c r="A204" s="120" t="n">
        <f aca="false">A203+1</f>
        <v>37090</v>
      </c>
      <c r="B204" s="131" t="str">
        <f aca="false">INDEX('Master Data'!$A$2:$B$8,MATCH(WEEKDAY('SC Total Power'!A204,3),'Master Data'!$A$2:$A$8,0),2)</f>
        <v>W</v>
      </c>
      <c r="D204" s="124" t="n">
        <v>0</v>
      </c>
      <c r="E204" s="124" t="n">
        <v>439900.320230611</v>
      </c>
      <c r="F204" s="124" t="n">
        <v>0</v>
      </c>
      <c r="G204" s="124" t="n">
        <v>0</v>
      </c>
      <c r="I204" s="124" t="n">
        <f aca="false">IF(MONTH($A204)=MONTH($A203),IF(G204=0,I203,G204),G204)</f>
        <v>0</v>
      </c>
      <c r="J204" s="124" t="n">
        <f aca="false">IF(MONTH($A204)=MONTH($A203),SUM(I204-I203),I204)</f>
        <v>0</v>
      </c>
      <c r="K204" s="124" t="n">
        <f aca="false">IF(WEEKDAY(A204,3)&gt;4,0,(IF(A204&lt;K$2,0,IF(A204&lt;=K$3,1,0))))</f>
        <v>0</v>
      </c>
      <c r="L204" s="124" t="n">
        <f aca="false">J204*K204</f>
        <v>0</v>
      </c>
      <c r="M204" s="124" t="n">
        <f aca="false">SUM(J$97:J204)</f>
        <v>0</v>
      </c>
      <c r="N204" s="124" t="n">
        <f aca="false">SUM(J$6:J204)</f>
        <v>0</v>
      </c>
      <c r="P204" s="124" t="n">
        <f aca="false">D204/P$3</f>
        <v>0</v>
      </c>
      <c r="Q204" s="143" t="n">
        <f aca="false">E204/P$3</f>
        <v>0.439900320230611</v>
      </c>
      <c r="R204" s="124" t="n">
        <f aca="false">F204/R$3</f>
        <v>0</v>
      </c>
      <c r="S204" s="126" t="n">
        <f aca="false">J204/$R$3</f>
        <v>0</v>
      </c>
      <c r="T204" s="126" t="n">
        <f aca="false">L204/$R$3</f>
        <v>0</v>
      </c>
      <c r="U204" s="126" t="n">
        <f aca="false">I204/$R$3</f>
        <v>0</v>
      </c>
      <c r="V204" s="126" t="n">
        <f aca="false">M204/$R$3</f>
        <v>0</v>
      </c>
      <c r="W204" s="126" t="n">
        <f aca="false">N204/$R$3</f>
        <v>0</v>
      </c>
    </row>
    <row r="205" customFormat="false" ht="12.75" hidden="true" customHeight="false" outlineLevel="0" collapsed="false">
      <c r="A205" s="120" t="n">
        <f aca="false">A204+1</f>
        <v>37091</v>
      </c>
      <c r="B205" s="131" t="str">
        <f aca="false">INDEX('Master Data'!$A$2:$B$8,MATCH(WEEKDAY('SC Total Power'!A205,3),'Master Data'!$A$2:$A$8,0),2)</f>
        <v>Th</v>
      </c>
      <c r="D205" s="124" t="n">
        <v>0</v>
      </c>
      <c r="E205" s="124" t="n">
        <v>439974.37499873</v>
      </c>
      <c r="F205" s="124" t="n">
        <v>0</v>
      </c>
      <c r="G205" s="124" t="n">
        <v>0</v>
      </c>
      <c r="I205" s="124" t="n">
        <f aca="false">IF(MONTH($A205)=MONTH($A204),IF(G205=0,I204,G205),G205)</f>
        <v>0</v>
      </c>
      <c r="J205" s="124" t="n">
        <f aca="false">IF(MONTH($A205)=MONTH($A204),SUM(I205-I204),I205)</f>
        <v>0</v>
      </c>
      <c r="K205" s="124" t="n">
        <f aca="false">IF(WEEKDAY(A205,3)&gt;4,0,(IF(A205&lt;K$2,0,IF(A205&lt;=K$3,1,0))))</f>
        <v>0</v>
      </c>
      <c r="L205" s="124" t="n">
        <f aca="false">J205*K205</f>
        <v>0</v>
      </c>
      <c r="M205" s="124" t="n">
        <f aca="false">SUM(J$97:J205)</f>
        <v>0</v>
      </c>
      <c r="N205" s="124" t="n">
        <f aca="false">SUM(J$6:J205)</f>
        <v>0</v>
      </c>
      <c r="P205" s="124" t="n">
        <f aca="false">D205/P$3</f>
        <v>0</v>
      </c>
      <c r="Q205" s="143" t="n">
        <f aca="false">E205/P$3</f>
        <v>0.43997437499873</v>
      </c>
      <c r="R205" s="124" t="n">
        <f aca="false">F205/R$3</f>
        <v>0</v>
      </c>
      <c r="S205" s="126" t="n">
        <f aca="false">J205/$R$3</f>
        <v>0</v>
      </c>
      <c r="T205" s="126" t="n">
        <f aca="false">L205/$R$3</f>
        <v>0</v>
      </c>
      <c r="U205" s="126" t="n">
        <f aca="false">I205/$R$3</f>
        <v>0</v>
      </c>
      <c r="V205" s="126" t="n">
        <f aca="false">M205/$R$3</f>
        <v>0</v>
      </c>
      <c r="W205" s="126" t="n">
        <f aca="false">N205/$R$3</f>
        <v>0</v>
      </c>
    </row>
    <row r="206" customFormat="false" ht="12.75" hidden="true" customHeight="false" outlineLevel="0" collapsed="false">
      <c r="A206" s="120" t="n">
        <f aca="false">A205+1</f>
        <v>37092</v>
      </c>
      <c r="B206" s="131" t="str">
        <f aca="false">INDEX('Master Data'!$A$2:$B$8,MATCH(WEEKDAY('SC Total Power'!A206,3),'Master Data'!$A$2:$A$8,0),2)</f>
        <v>F</v>
      </c>
      <c r="D206" s="124" t="n">
        <v>0</v>
      </c>
      <c r="E206" s="124" t="n">
        <v>440139.669095919</v>
      </c>
      <c r="F206" s="124" t="n">
        <v>0</v>
      </c>
      <c r="G206" s="124" t="n">
        <v>0</v>
      </c>
      <c r="I206" s="124" t="n">
        <f aca="false">IF(MONTH($A206)=MONTH($A205),IF(G206=0,I205,G206),G206)</f>
        <v>0</v>
      </c>
      <c r="J206" s="124" t="n">
        <f aca="false">IF(MONTH($A206)=MONTH($A205),SUM(I206-I205),I206)</f>
        <v>0</v>
      </c>
      <c r="K206" s="124" t="n">
        <f aca="false">IF(WEEKDAY(A206,3)&gt;4,0,(IF(A206&lt;K$2,0,IF(A206&lt;=K$3,1,0))))</f>
        <v>0</v>
      </c>
      <c r="L206" s="124" t="n">
        <f aca="false">J206*K206</f>
        <v>0</v>
      </c>
      <c r="M206" s="124" t="n">
        <f aca="false">SUM(J$97:J206)</f>
        <v>0</v>
      </c>
      <c r="N206" s="124" t="n">
        <f aca="false">SUM(J$6:J206)</f>
        <v>0</v>
      </c>
      <c r="P206" s="124" t="n">
        <f aca="false">D206/P$3</f>
        <v>0</v>
      </c>
      <c r="Q206" s="143" t="n">
        <f aca="false">E206/P$3</f>
        <v>0.440139669095919</v>
      </c>
      <c r="R206" s="124" t="n">
        <f aca="false">F206/R$3</f>
        <v>0</v>
      </c>
      <c r="S206" s="126" t="n">
        <f aca="false">J206/$R$3</f>
        <v>0</v>
      </c>
      <c r="T206" s="126" t="n">
        <f aca="false">L206/$R$3</f>
        <v>0</v>
      </c>
      <c r="U206" s="126" t="n">
        <f aca="false">I206/$R$3</f>
        <v>0</v>
      </c>
      <c r="V206" s="126" t="n">
        <f aca="false">M206/$R$3</f>
        <v>0</v>
      </c>
      <c r="W206" s="126" t="n">
        <f aca="false">N206/$R$3</f>
        <v>0</v>
      </c>
    </row>
    <row r="207" customFormat="false" ht="12.75" hidden="true" customHeight="false" outlineLevel="0" collapsed="false">
      <c r="A207" s="120" t="n">
        <f aca="false">A206+1</f>
        <v>37093</v>
      </c>
      <c r="B207" s="131" t="str">
        <f aca="false">INDEX('Master Data'!$A$2:$B$8,MATCH(WEEKDAY('SC Total Power'!A207,3),'Master Data'!$A$2:$A$8,0),2)</f>
        <v>Sa</v>
      </c>
      <c r="D207" s="124" t="n">
        <v>0</v>
      </c>
      <c r="E207" s="124" t="n">
        <v>0</v>
      </c>
      <c r="F207" s="124" t="n">
        <v>0</v>
      </c>
      <c r="G207" s="124" t="n">
        <v>0</v>
      </c>
      <c r="I207" s="124" t="n">
        <f aca="false">IF(MONTH($A207)=MONTH($A206),IF(G207=0,I206,G207),G207)</f>
        <v>0</v>
      </c>
      <c r="J207" s="124" t="n">
        <f aca="false">IF(MONTH($A207)=MONTH($A206),SUM(I207-I206),I207)</f>
        <v>0</v>
      </c>
      <c r="K207" s="124" t="n">
        <f aca="false">IF(WEEKDAY(A207,3)&gt;4,0,(IF(A207&lt;K$2,0,IF(A207&lt;=K$3,1,0))))</f>
        <v>0</v>
      </c>
      <c r="L207" s="124" t="n">
        <f aca="false">J207*K207</f>
        <v>0</v>
      </c>
      <c r="M207" s="124" t="n">
        <f aca="false">SUM(J$97:J207)</f>
        <v>0</v>
      </c>
      <c r="N207" s="124" t="n">
        <f aca="false">SUM(J$6:J207)</f>
        <v>0</v>
      </c>
      <c r="P207" s="124" t="n">
        <f aca="false">D207/P$3</f>
        <v>0</v>
      </c>
      <c r="Q207" s="143" t="n">
        <f aca="false">E207/P$3</f>
        <v>0</v>
      </c>
      <c r="R207" s="124" t="n">
        <f aca="false">F207/R$3</f>
        <v>0</v>
      </c>
      <c r="S207" s="126" t="n">
        <f aca="false">J207/$R$3</f>
        <v>0</v>
      </c>
      <c r="T207" s="126" t="n">
        <f aca="false">L207/$R$3</f>
        <v>0</v>
      </c>
      <c r="U207" s="126" t="n">
        <f aca="false">I207/$R$3</f>
        <v>0</v>
      </c>
      <c r="V207" s="126" t="n">
        <f aca="false">M207/$R$3</f>
        <v>0</v>
      </c>
      <c r="W207" s="126" t="n">
        <f aca="false">N207/$R$3</f>
        <v>0</v>
      </c>
    </row>
    <row r="208" customFormat="false" ht="12.75" hidden="true" customHeight="false" outlineLevel="0" collapsed="false">
      <c r="A208" s="120" t="n">
        <f aca="false">A207+1</f>
        <v>37094</v>
      </c>
      <c r="B208" s="131" t="str">
        <f aca="false">INDEX('Master Data'!$A$2:$B$8,MATCH(WEEKDAY('SC Total Power'!A208,3),'Master Data'!$A$2:$A$8,0),2)</f>
        <v>Su</v>
      </c>
      <c r="D208" s="124" t="n">
        <v>0</v>
      </c>
      <c r="E208" s="124" t="n">
        <v>0</v>
      </c>
      <c r="F208" s="124" t="n">
        <v>0</v>
      </c>
      <c r="G208" s="124" t="n">
        <v>0</v>
      </c>
      <c r="I208" s="124" t="n">
        <f aca="false">IF(MONTH($A208)=MONTH($A207),IF(G208=0,I207,G208),G208)</f>
        <v>0</v>
      </c>
      <c r="J208" s="124" t="n">
        <f aca="false">IF(MONTH($A208)=MONTH($A207),SUM(I208-I207),I208)</f>
        <v>0</v>
      </c>
      <c r="K208" s="124" t="n">
        <f aca="false">IF(WEEKDAY(A208,3)&gt;4,0,(IF(A208&lt;K$2,0,IF(A208&lt;=K$3,1,0))))</f>
        <v>0</v>
      </c>
      <c r="L208" s="124" t="n">
        <f aca="false">J208*K208</f>
        <v>0</v>
      </c>
      <c r="M208" s="124" t="n">
        <f aca="false">SUM(J$97:J208)</f>
        <v>0</v>
      </c>
      <c r="N208" s="124" t="n">
        <f aca="false">SUM(J$6:J208)</f>
        <v>0</v>
      </c>
      <c r="P208" s="124" t="n">
        <f aca="false">D208/P$3</f>
        <v>0</v>
      </c>
      <c r="Q208" s="143" t="n">
        <f aca="false">E208/P$3</f>
        <v>0</v>
      </c>
      <c r="R208" s="124" t="n">
        <f aca="false">F208/R$3</f>
        <v>0</v>
      </c>
      <c r="S208" s="126" t="n">
        <f aca="false">J208/$R$3</f>
        <v>0</v>
      </c>
      <c r="T208" s="126" t="n">
        <f aca="false">L208/$R$3</f>
        <v>0</v>
      </c>
      <c r="U208" s="126" t="n">
        <f aca="false">I208/$R$3</f>
        <v>0</v>
      </c>
      <c r="V208" s="126" t="n">
        <f aca="false">M208/$R$3</f>
        <v>0</v>
      </c>
      <c r="W208" s="126" t="n">
        <f aca="false">N208/$R$3</f>
        <v>0</v>
      </c>
    </row>
    <row r="209" customFormat="false" ht="12.75" hidden="true" customHeight="false" outlineLevel="0" collapsed="false">
      <c r="A209" s="120" t="n">
        <f aca="false">A208+1</f>
        <v>37095</v>
      </c>
      <c r="B209" s="131" t="str">
        <f aca="false">INDEX('Master Data'!$A$2:$B$8,MATCH(WEEKDAY('SC Total Power'!A209,3),'Master Data'!$A$2:$A$8,0),2)</f>
        <v>M</v>
      </c>
      <c r="D209" s="124" t="n">
        <v>0</v>
      </c>
      <c r="E209" s="124" t="n">
        <v>440367.909342044</v>
      </c>
      <c r="F209" s="124" t="n">
        <v>0</v>
      </c>
      <c r="G209" s="124" t="n">
        <v>0</v>
      </c>
      <c r="I209" s="124" t="n">
        <f aca="false">IF(MONTH($A209)=MONTH($A208),IF(G209=0,I208,G209),G209)</f>
        <v>0</v>
      </c>
      <c r="J209" s="124" t="n">
        <f aca="false">IF(MONTH($A209)=MONTH($A208),SUM(I209-I208),I209)</f>
        <v>0</v>
      </c>
      <c r="K209" s="124" t="n">
        <f aca="false">IF(WEEKDAY(A209,3)&gt;4,0,(IF(A209&lt;K$2,0,IF(A209&lt;=K$3,1,0))))</f>
        <v>0</v>
      </c>
      <c r="L209" s="124" t="n">
        <f aca="false">J209*K209</f>
        <v>0</v>
      </c>
      <c r="M209" s="124" t="n">
        <f aca="false">SUM(J$97:J209)</f>
        <v>0</v>
      </c>
      <c r="N209" s="124" t="n">
        <f aca="false">SUM(J$6:J209)</f>
        <v>0</v>
      </c>
      <c r="P209" s="124" t="n">
        <f aca="false">D209/P$3</f>
        <v>0</v>
      </c>
      <c r="Q209" s="143" t="n">
        <f aca="false">E209/P$3</f>
        <v>0.440367909342044</v>
      </c>
      <c r="R209" s="124" t="n">
        <f aca="false">F209/R$3</f>
        <v>0</v>
      </c>
      <c r="S209" s="126" t="n">
        <f aca="false">J209/$R$3</f>
        <v>0</v>
      </c>
      <c r="T209" s="126" t="n">
        <f aca="false">L209/$R$3</f>
        <v>0</v>
      </c>
      <c r="U209" s="126" t="n">
        <f aca="false">I209/$R$3</f>
        <v>0</v>
      </c>
      <c r="V209" s="126" t="n">
        <f aca="false">M209/$R$3</f>
        <v>0</v>
      </c>
      <c r="W209" s="126" t="n">
        <f aca="false">N209/$R$3</f>
        <v>0</v>
      </c>
    </row>
    <row r="210" customFormat="false" ht="12.75" hidden="true" customHeight="false" outlineLevel="0" collapsed="false">
      <c r="A210" s="120" t="n">
        <f aca="false">A209+1</f>
        <v>37096</v>
      </c>
      <c r="B210" s="131" t="str">
        <f aca="false">INDEX('Master Data'!$A$2:$B$8,MATCH(WEEKDAY('SC Total Power'!A210,3),'Master Data'!$A$2:$A$8,0),2)</f>
        <v>T</v>
      </c>
      <c r="D210" s="124" t="n">
        <v>0</v>
      </c>
      <c r="E210" s="124" t="n">
        <v>440446.868281702</v>
      </c>
      <c r="F210" s="124" t="n">
        <v>0</v>
      </c>
      <c r="G210" s="124" t="n">
        <v>0</v>
      </c>
      <c r="I210" s="124" t="n">
        <f aca="false">IF(MONTH($A210)=MONTH($A209),IF(G210=0,I209,G210),G210)</f>
        <v>0</v>
      </c>
      <c r="J210" s="124" t="n">
        <f aca="false">IF(MONTH($A210)=MONTH($A209),SUM(I210-I209),I210)</f>
        <v>0</v>
      </c>
      <c r="K210" s="124" t="n">
        <f aca="false">IF(WEEKDAY(A210,3)&gt;4,0,(IF(A210&lt;K$2,0,IF(A210&lt;=K$3,1,0))))</f>
        <v>0</v>
      </c>
      <c r="L210" s="124" t="n">
        <f aca="false">J210*K210</f>
        <v>0</v>
      </c>
      <c r="M210" s="124" t="n">
        <f aca="false">SUM(J$97:J210)</f>
        <v>0</v>
      </c>
      <c r="N210" s="124" t="n">
        <f aca="false">SUM(J$6:J210)</f>
        <v>0</v>
      </c>
      <c r="P210" s="124" t="n">
        <f aca="false">D210/P$3</f>
        <v>0</v>
      </c>
      <c r="Q210" s="143" t="n">
        <f aca="false">E210/P$3</f>
        <v>0.440446868281702</v>
      </c>
      <c r="R210" s="124" t="n">
        <f aca="false">F210/R$3</f>
        <v>0</v>
      </c>
      <c r="S210" s="126" t="n">
        <f aca="false">J210/$R$3</f>
        <v>0</v>
      </c>
      <c r="T210" s="126" t="n">
        <f aca="false">L210/$R$3</f>
        <v>0</v>
      </c>
      <c r="U210" s="126" t="n">
        <f aca="false">I210/$R$3</f>
        <v>0</v>
      </c>
      <c r="V210" s="126" t="n">
        <f aca="false">M210/$R$3</f>
        <v>0</v>
      </c>
      <c r="W210" s="126" t="n">
        <f aca="false">N210/$R$3</f>
        <v>0</v>
      </c>
    </row>
    <row r="211" customFormat="false" ht="12.75" hidden="true" customHeight="false" outlineLevel="0" collapsed="false">
      <c r="A211" s="120" t="n">
        <f aca="false">A210+1</f>
        <v>37097</v>
      </c>
      <c r="B211" s="131" t="str">
        <f aca="false">INDEX('Master Data'!$A$2:$B$8,MATCH(WEEKDAY('SC Total Power'!A211,3),'Master Data'!$A$2:$A$8,0),2)</f>
        <v>W</v>
      </c>
      <c r="D211" s="124" t="n">
        <v>0</v>
      </c>
      <c r="E211" s="124" t="n">
        <v>440515.303203266</v>
      </c>
      <c r="F211" s="124" t="n">
        <v>0</v>
      </c>
      <c r="G211" s="124" t="n">
        <v>0</v>
      </c>
      <c r="I211" s="124" t="n">
        <f aca="false">IF(MONTH($A211)=MONTH($A210),IF(G211=0,I210,G211),G211)</f>
        <v>0</v>
      </c>
      <c r="J211" s="124" t="n">
        <f aca="false">IF(MONTH($A211)=MONTH($A210),SUM(I211-I210),I211)</f>
        <v>0</v>
      </c>
      <c r="K211" s="124" t="n">
        <f aca="false">IF(WEEKDAY(A211,3)&gt;4,0,(IF(A211&lt;K$2,0,IF(A211&lt;=K$3,1,0))))</f>
        <v>0</v>
      </c>
      <c r="L211" s="124" t="n">
        <f aca="false">J211*K211</f>
        <v>0</v>
      </c>
      <c r="M211" s="124" t="n">
        <f aca="false">SUM(J$97:J211)</f>
        <v>0</v>
      </c>
      <c r="N211" s="124" t="n">
        <f aca="false">SUM(J$6:J211)</f>
        <v>0</v>
      </c>
      <c r="P211" s="124" t="n">
        <f aca="false">D211/P$3</f>
        <v>0</v>
      </c>
      <c r="Q211" s="143" t="n">
        <f aca="false">E211/P$3</f>
        <v>0.440515303203266</v>
      </c>
      <c r="R211" s="124" t="n">
        <f aca="false">F211/R$3</f>
        <v>0</v>
      </c>
      <c r="S211" s="126" t="n">
        <f aca="false">J211/$R$3</f>
        <v>0</v>
      </c>
      <c r="T211" s="126" t="n">
        <f aca="false">L211/$R$3</f>
        <v>0</v>
      </c>
      <c r="U211" s="126" t="n">
        <f aca="false">I211/$R$3</f>
        <v>0</v>
      </c>
      <c r="V211" s="126" t="n">
        <f aca="false">M211/$R$3</f>
        <v>0</v>
      </c>
      <c r="W211" s="126" t="n">
        <f aca="false">N211/$R$3</f>
        <v>0</v>
      </c>
    </row>
    <row r="212" customFormat="false" ht="12.75" hidden="true" customHeight="false" outlineLevel="0" collapsed="false">
      <c r="A212" s="120" t="n">
        <f aca="false">A211+1</f>
        <v>37098</v>
      </c>
      <c r="B212" s="131" t="str">
        <f aca="false">INDEX('Master Data'!$A$2:$B$8,MATCH(WEEKDAY('SC Total Power'!A212,3),'Master Data'!$A$2:$A$8,0),2)</f>
        <v>Th</v>
      </c>
      <c r="D212" s="124" t="n">
        <v>0</v>
      </c>
      <c r="E212" s="124" t="n">
        <v>440593.299353817</v>
      </c>
      <c r="F212" s="124" t="n">
        <v>0</v>
      </c>
      <c r="G212" s="124" t="n">
        <v>0</v>
      </c>
      <c r="I212" s="124" t="n">
        <f aca="false">IF(MONTH($A212)=MONTH($A211),IF(G212=0,I211,G212),G212)</f>
        <v>0</v>
      </c>
      <c r="J212" s="124" t="n">
        <f aca="false">IF(MONTH($A212)=MONTH($A211),SUM(I212-I211),I212)</f>
        <v>0</v>
      </c>
      <c r="K212" s="124" t="n">
        <f aca="false">IF(WEEKDAY(A212,3)&gt;4,0,(IF(A212&lt;K$2,0,IF(A212&lt;=K$3,1,0))))</f>
        <v>0</v>
      </c>
      <c r="L212" s="124" t="n">
        <f aca="false">J212*K212</f>
        <v>0</v>
      </c>
      <c r="M212" s="124" t="n">
        <f aca="false">SUM(J$97:J212)</f>
        <v>0</v>
      </c>
      <c r="N212" s="124" t="n">
        <f aca="false">SUM(J$6:J212)</f>
        <v>0</v>
      </c>
      <c r="P212" s="124" t="n">
        <f aca="false">D212/P$3</f>
        <v>0</v>
      </c>
      <c r="Q212" s="143" t="n">
        <f aca="false">E212/P$3</f>
        <v>0.440593299353817</v>
      </c>
      <c r="R212" s="124" t="n">
        <f aca="false">F212/R$3</f>
        <v>0</v>
      </c>
      <c r="S212" s="126" t="n">
        <f aca="false">J212/$R$3</f>
        <v>0</v>
      </c>
      <c r="T212" s="126" t="n">
        <f aca="false">L212/$R$3</f>
        <v>0</v>
      </c>
      <c r="U212" s="126" t="n">
        <f aca="false">I212/$R$3</f>
        <v>0</v>
      </c>
      <c r="V212" s="126" t="n">
        <f aca="false">M212/$R$3</f>
        <v>0</v>
      </c>
      <c r="W212" s="126" t="n">
        <f aca="false">N212/$R$3</f>
        <v>0</v>
      </c>
    </row>
    <row r="213" customFormat="false" ht="12.75" hidden="true" customHeight="false" outlineLevel="0" collapsed="false">
      <c r="A213" s="120" t="n">
        <f aca="false">A212+1</f>
        <v>37099</v>
      </c>
      <c r="B213" s="131" t="str">
        <f aca="false">INDEX('Master Data'!$A$2:$B$8,MATCH(WEEKDAY('SC Total Power'!A213,3),'Master Data'!$A$2:$A$8,0),2)</f>
        <v>F</v>
      </c>
      <c r="D213" s="124" t="n">
        <v>0</v>
      </c>
      <c r="E213" s="124" t="n">
        <v>440642.723408617</v>
      </c>
      <c r="F213" s="124" t="n">
        <v>0</v>
      </c>
      <c r="G213" s="124" t="n">
        <v>0</v>
      </c>
      <c r="I213" s="124" t="n">
        <f aca="false">IF(MONTH($A213)=MONTH($A212),IF(G213=0,I212,G213),G213)</f>
        <v>0</v>
      </c>
      <c r="J213" s="124" t="n">
        <f aca="false">IF(MONTH($A213)=MONTH($A212),SUM(I213-I212),I213)</f>
        <v>0</v>
      </c>
      <c r="K213" s="124" t="n">
        <f aca="false">IF(WEEKDAY(A213,3)&gt;4,0,(IF(A213&lt;K$2,0,IF(A213&lt;=K$3,1,0))))</f>
        <v>0</v>
      </c>
      <c r="L213" s="124" t="n">
        <f aca="false">J213*K213</f>
        <v>0</v>
      </c>
      <c r="M213" s="124" t="n">
        <f aca="false">SUM(J$97:J213)</f>
        <v>0</v>
      </c>
      <c r="N213" s="124" t="n">
        <f aca="false">SUM(J$6:J213)</f>
        <v>0</v>
      </c>
      <c r="P213" s="124" t="n">
        <f aca="false">D213/P$3</f>
        <v>0</v>
      </c>
      <c r="Q213" s="143" t="n">
        <f aca="false">E213/P$3</f>
        <v>0.440642723408617</v>
      </c>
      <c r="R213" s="124" t="n">
        <f aca="false">F213/R$3</f>
        <v>0</v>
      </c>
      <c r="S213" s="126" t="n">
        <f aca="false">J213/$R$3</f>
        <v>0</v>
      </c>
      <c r="T213" s="126" t="n">
        <f aca="false">L213/$R$3</f>
        <v>0</v>
      </c>
      <c r="U213" s="126" t="n">
        <f aca="false">I213/$R$3</f>
        <v>0</v>
      </c>
      <c r="V213" s="126" t="n">
        <f aca="false">M213/$R$3</f>
        <v>0</v>
      </c>
      <c r="W213" s="126" t="n">
        <f aca="false">N213/$R$3</f>
        <v>0</v>
      </c>
    </row>
    <row r="214" customFormat="false" ht="12.75" hidden="true" customHeight="false" outlineLevel="0" collapsed="false">
      <c r="A214" s="120" t="n">
        <f aca="false">A213+1</f>
        <v>37100</v>
      </c>
      <c r="B214" s="131" t="str">
        <f aca="false">INDEX('Master Data'!$A$2:$B$8,MATCH(WEEKDAY('SC Total Power'!A214,3),'Master Data'!$A$2:$A$8,0),2)</f>
        <v>Sa</v>
      </c>
      <c r="D214" s="124" t="n">
        <v>0</v>
      </c>
      <c r="E214" s="124" t="n">
        <v>0</v>
      </c>
      <c r="F214" s="124" t="n">
        <v>0</v>
      </c>
      <c r="G214" s="124" t="n">
        <v>0</v>
      </c>
      <c r="I214" s="124" t="n">
        <f aca="false">IF(MONTH($A214)=MONTH($A213),IF(G214=0,I213,G214),G214)</f>
        <v>0</v>
      </c>
      <c r="J214" s="124" t="n">
        <f aca="false">IF(MONTH($A214)=MONTH($A213),SUM(I214-I213),I214)</f>
        <v>0</v>
      </c>
      <c r="K214" s="124" t="n">
        <f aca="false">IF(WEEKDAY(A214,3)&gt;4,0,(IF(A214&lt;K$2,0,IF(A214&lt;=K$3,1,0))))</f>
        <v>0</v>
      </c>
      <c r="L214" s="124" t="n">
        <f aca="false">J214*K214</f>
        <v>0</v>
      </c>
      <c r="M214" s="124" t="n">
        <f aca="false">SUM(J$97:J214)</f>
        <v>0</v>
      </c>
      <c r="N214" s="124" t="n">
        <f aca="false">SUM(J$6:J214)</f>
        <v>0</v>
      </c>
      <c r="P214" s="124" t="n">
        <f aca="false">D214/P$3</f>
        <v>0</v>
      </c>
      <c r="Q214" s="143" t="n">
        <f aca="false">E214/P$3</f>
        <v>0</v>
      </c>
      <c r="R214" s="124" t="n">
        <f aca="false">F214/R$3</f>
        <v>0</v>
      </c>
      <c r="S214" s="126" t="n">
        <f aca="false">J214/$R$3</f>
        <v>0</v>
      </c>
      <c r="T214" s="126" t="n">
        <f aca="false">L214/$R$3</f>
        <v>0</v>
      </c>
      <c r="U214" s="126" t="n">
        <f aca="false">I214/$R$3</f>
        <v>0</v>
      </c>
      <c r="V214" s="126" t="n">
        <f aca="false">M214/$R$3</f>
        <v>0</v>
      </c>
      <c r="W214" s="126" t="n">
        <f aca="false">N214/$R$3</f>
        <v>0</v>
      </c>
    </row>
    <row r="215" customFormat="false" ht="12.75" hidden="true" customHeight="false" outlineLevel="0" collapsed="false">
      <c r="A215" s="120" t="n">
        <f aca="false">A214+1</f>
        <v>37101</v>
      </c>
      <c r="B215" s="131" t="str">
        <f aca="false">INDEX('Master Data'!$A$2:$B$8,MATCH(WEEKDAY('SC Total Power'!A215,3),'Master Data'!$A$2:$A$8,0),2)</f>
        <v>Su</v>
      </c>
      <c r="D215" s="124" t="n">
        <v>0</v>
      </c>
      <c r="E215" s="124" t="n">
        <v>0</v>
      </c>
      <c r="F215" s="124" t="n">
        <v>0</v>
      </c>
      <c r="G215" s="124" t="n">
        <v>0</v>
      </c>
      <c r="I215" s="124" t="n">
        <f aca="false">IF(MONTH($A215)=MONTH($A214),IF(G215=0,I214,G215),G215)</f>
        <v>0</v>
      </c>
      <c r="J215" s="124" t="n">
        <f aca="false">IF(MONTH($A215)=MONTH($A214),SUM(I215-I214),I215)</f>
        <v>0</v>
      </c>
      <c r="K215" s="124" t="n">
        <f aca="false">IF(WEEKDAY(A215,3)&gt;4,0,(IF(A215&lt;K$2,0,IF(A215&lt;=K$3,1,0))))</f>
        <v>0</v>
      </c>
      <c r="L215" s="124" t="n">
        <f aca="false">J215*K215</f>
        <v>0</v>
      </c>
      <c r="M215" s="124" t="n">
        <f aca="false">SUM(J$97:J215)</f>
        <v>0</v>
      </c>
      <c r="N215" s="124" t="n">
        <f aca="false">SUM(J$6:J215)</f>
        <v>0</v>
      </c>
      <c r="P215" s="124" t="n">
        <f aca="false">D215/P$3</f>
        <v>0</v>
      </c>
      <c r="Q215" s="143" t="n">
        <f aca="false">E215/P$3</f>
        <v>0</v>
      </c>
      <c r="R215" s="124" t="n">
        <f aca="false">F215/R$3</f>
        <v>0</v>
      </c>
      <c r="S215" s="126" t="n">
        <f aca="false">J215/$R$3</f>
        <v>0</v>
      </c>
      <c r="T215" s="126" t="n">
        <f aca="false">L215/$R$3</f>
        <v>0</v>
      </c>
      <c r="U215" s="126" t="n">
        <f aca="false">I215/$R$3</f>
        <v>0</v>
      </c>
      <c r="V215" s="126" t="n">
        <f aca="false">M215/$R$3</f>
        <v>0</v>
      </c>
      <c r="W215" s="126" t="n">
        <f aca="false">N215/$R$3</f>
        <v>0</v>
      </c>
    </row>
    <row r="216" customFormat="false" ht="12.75" hidden="true" customHeight="false" outlineLevel="0" collapsed="false">
      <c r="A216" s="120" t="n">
        <f aca="false">A215+1</f>
        <v>37102</v>
      </c>
      <c r="B216" s="131" t="str">
        <f aca="false">INDEX('Master Data'!$A$2:$B$8,MATCH(WEEKDAY('SC Total Power'!A216,3),'Master Data'!$A$2:$A$8,0),2)</f>
        <v>M</v>
      </c>
      <c r="D216" s="124" t="n">
        <v>0</v>
      </c>
      <c r="E216" s="124" t="n">
        <v>440898.536025961</v>
      </c>
      <c r="F216" s="124" t="n">
        <v>0</v>
      </c>
      <c r="G216" s="124" t="n">
        <v>0</v>
      </c>
      <c r="I216" s="124" t="n">
        <f aca="false">IF(MONTH($A216)=MONTH($A215),IF(G216=0,I215,G216),G216)</f>
        <v>0</v>
      </c>
      <c r="J216" s="124" t="n">
        <f aca="false">IF(MONTH($A216)=MONTH($A215),SUM(I216-I215),I216)</f>
        <v>0</v>
      </c>
      <c r="K216" s="124" t="n">
        <f aca="false">IF(WEEKDAY(A216,3)&gt;4,0,(IF(A216&lt;K$2,0,IF(A216&lt;=K$3,1,0))))</f>
        <v>0</v>
      </c>
      <c r="L216" s="124" t="n">
        <f aca="false">J216*K216</f>
        <v>0</v>
      </c>
      <c r="M216" s="124" t="n">
        <f aca="false">SUM(J$97:J216)</f>
        <v>0</v>
      </c>
      <c r="N216" s="124" t="n">
        <f aca="false">SUM(J$6:J216)</f>
        <v>0</v>
      </c>
      <c r="P216" s="124" t="n">
        <f aca="false">D216/P$3</f>
        <v>0</v>
      </c>
      <c r="Q216" s="143" t="n">
        <f aca="false">E216/P$3</f>
        <v>0.440898536025961</v>
      </c>
      <c r="R216" s="124" t="n">
        <f aca="false">F216/R$3</f>
        <v>0</v>
      </c>
      <c r="S216" s="126" t="n">
        <f aca="false">J216/$R$3</f>
        <v>0</v>
      </c>
      <c r="T216" s="126" t="n">
        <f aca="false">L216/$R$3</f>
        <v>0</v>
      </c>
      <c r="U216" s="126" t="n">
        <f aca="false">I216/$R$3</f>
        <v>0</v>
      </c>
      <c r="V216" s="126" t="n">
        <f aca="false">M216/$R$3</f>
        <v>0</v>
      </c>
      <c r="W216" s="126" t="n">
        <f aca="false">N216/$R$3</f>
        <v>0</v>
      </c>
    </row>
    <row r="217" customFormat="false" ht="12.75" hidden="false" customHeight="false" outlineLevel="0" collapsed="false">
      <c r="A217" s="120" t="n">
        <f aca="false">A216+1</f>
        <v>37103</v>
      </c>
      <c r="B217" s="131" t="str">
        <f aca="false">INDEX('Master Data'!$A$2:$B$8,MATCH(WEEKDAY('SC Total Power'!A217,3),'Master Data'!$A$2:$A$8,0),2)</f>
        <v>T</v>
      </c>
      <c r="D217" s="124" t="n">
        <v>0</v>
      </c>
      <c r="E217" s="124" t="n">
        <v>440595.480583465</v>
      </c>
      <c r="F217" s="124" t="n">
        <v>0</v>
      </c>
      <c r="G217" s="124" t="n">
        <v>0</v>
      </c>
      <c r="I217" s="124" t="n">
        <f aca="false">IF(MONTH($A217)=MONTH($A216),IF(G217=0,I216,G217),G217)</f>
        <v>0</v>
      </c>
      <c r="J217" s="124" t="n">
        <f aca="false">IF(MONTH($A217)=MONTH($A216),SUM(I217-I216),I217)</f>
        <v>0</v>
      </c>
      <c r="K217" s="124" t="n">
        <f aca="false">IF(WEEKDAY(A217,3)&gt;4,0,(IF(A217&lt;K$2,0,IF(A217&lt;=K$3,1,0))))</f>
        <v>0</v>
      </c>
      <c r="L217" s="124" t="n">
        <f aca="false">J217*K217</f>
        <v>0</v>
      </c>
      <c r="M217" s="124" t="n">
        <f aca="false">SUM(J$97:J217)</f>
        <v>0</v>
      </c>
      <c r="N217" s="124" t="n">
        <f aca="false">SUM(J$6:J217)</f>
        <v>0</v>
      </c>
      <c r="P217" s="124" t="n">
        <f aca="false">D217/P$3</f>
        <v>0</v>
      </c>
      <c r="Q217" s="143" t="n">
        <f aca="false">E217/P$3</f>
        <v>0.440595480583465</v>
      </c>
      <c r="R217" s="124" t="n">
        <f aca="false">F217/R$3</f>
        <v>0</v>
      </c>
      <c r="S217" s="126" t="n">
        <f aca="false">J217/$R$3</f>
        <v>0</v>
      </c>
      <c r="T217" s="126" t="n">
        <f aca="false">L217/$R$3</f>
        <v>0</v>
      </c>
      <c r="U217" s="126" t="n">
        <f aca="false">I217/$R$3</f>
        <v>0</v>
      </c>
      <c r="V217" s="126" t="n">
        <f aca="false">M217/$R$3</f>
        <v>0</v>
      </c>
      <c r="W217" s="126" t="n">
        <f aca="false">N217/$R$3</f>
        <v>0</v>
      </c>
    </row>
    <row r="218" customFormat="false" ht="12.75" hidden="true" customHeight="false" outlineLevel="0" collapsed="false">
      <c r="A218" s="120" t="n">
        <f aca="false">A217+1</f>
        <v>37104</v>
      </c>
      <c r="B218" s="131" t="str">
        <f aca="false">INDEX('Master Data'!$A$2:$B$8,MATCH(WEEKDAY('SC Total Power'!A218,3),'Master Data'!$A$2:$A$8,0),2)</f>
        <v>W</v>
      </c>
      <c r="D218" s="124" t="n">
        <v>0</v>
      </c>
      <c r="E218" s="124" t="n">
        <v>440647.535069277</v>
      </c>
      <c r="F218" s="124" t="n">
        <v>0</v>
      </c>
      <c r="G218" s="124" t="n">
        <v>0</v>
      </c>
      <c r="I218" s="124" t="n">
        <f aca="false">IF(MONTH($A218)=MONTH($A217),IF(G218=0,I217,G218),G218)</f>
        <v>0</v>
      </c>
      <c r="J218" s="124" t="n">
        <f aca="false">IF(MONTH($A218)=MONTH($A217),SUM(I218-I217),I218)</f>
        <v>0</v>
      </c>
      <c r="K218" s="124" t="n">
        <f aca="false">IF(WEEKDAY(A218,3)&gt;4,0,(IF(A218&lt;K$2,0,IF(A218&lt;=K$3,1,0))))</f>
        <v>0</v>
      </c>
      <c r="L218" s="124" t="n">
        <f aca="false">J218*K218</f>
        <v>0</v>
      </c>
      <c r="M218" s="124" t="n">
        <f aca="false">SUM(J$97:J218)</f>
        <v>0</v>
      </c>
      <c r="N218" s="124" t="n">
        <f aca="false">SUM(J$6:J218)</f>
        <v>0</v>
      </c>
      <c r="P218" s="124" t="n">
        <f aca="false">D218/P$3</f>
        <v>0</v>
      </c>
      <c r="Q218" s="143" t="n">
        <f aca="false">E218/P$3</f>
        <v>0.440647535069277</v>
      </c>
      <c r="R218" s="124" t="n">
        <f aca="false">F218/R$3</f>
        <v>0</v>
      </c>
      <c r="S218" s="126" t="n">
        <f aca="false">J218/$R$3</f>
        <v>0</v>
      </c>
      <c r="T218" s="126" t="n">
        <f aca="false">L218/$R$3</f>
        <v>0</v>
      </c>
      <c r="U218" s="126" t="n">
        <f aca="false">I218/$R$3</f>
        <v>0</v>
      </c>
      <c r="V218" s="126" t="n">
        <f aca="false">M218/$R$3</f>
        <v>0</v>
      </c>
      <c r="W218" s="126" t="n">
        <f aca="false">N218/$R$3</f>
        <v>0</v>
      </c>
    </row>
    <row r="219" customFormat="false" ht="12.75" hidden="true" customHeight="false" outlineLevel="0" collapsed="false">
      <c r="A219" s="120" t="n">
        <f aca="false">A218+1</f>
        <v>37105</v>
      </c>
      <c r="B219" s="131" t="str">
        <f aca="false">INDEX('Master Data'!$A$2:$B$8,MATCH(WEEKDAY('SC Total Power'!A219,3),'Master Data'!$A$2:$A$8,0),2)</f>
        <v>Th</v>
      </c>
      <c r="D219" s="124" t="n">
        <v>0</v>
      </c>
      <c r="E219" s="124" t="n">
        <v>440760.856798793</v>
      </c>
      <c r="F219" s="124" t="n">
        <v>0</v>
      </c>
      <c r="G219" s="124" t="n">
        <v>0</v>
      </c>
      <c r="I219" s="124" t="n">
        <f aca="false">IF(MONTH($A219)=MONTH($A218),IF(G219=0,I218,G219),G219)</f>
        <v>0</v>
      </c>
      <c r="J219" s="124" t="n">
        <f aca="false">IF(MONTH($A219)=MONTH($A218),SUM(I219-I218),I219)</f>
        <v>0</v>
      </c>
      <c r="K219" s="124" t="n">
        <f aca="false">IF(WEEKDAY(A219,3)&gt;4,0,(IF(A219&lt;K$2,0,IF(A219&lt;=K$3,1,0))))</f>
        <v>0</v>
      </c>
      <c r="L219" s="124" t="n">
        <f aca="false">J219*K219</f>
        <v>0</v>
      </c>
      <c r="M219" s="124" t="n">
        <f aca="false">SUM(J$97:J219)</f>
        <v>0</v>
      </c>
      <c r="N219" s="124" t="n">
        <f aca="false">SUM(J$6:J219)</f>
        <v>0</v>
      </c>
      <c r="P219" s="124" t="n">
        <f aca="false">D219/P$3</f>
        <v>0</v>
      </c>
      <c r="Q219" s="143" t="n">
        <f aca="false">E219/P$3</f>
        <v>0.440760856798793</v>
      </c>
      <c r="R219" s="124" t="n">
        <f aca="false">F219/R$3</f>
        <v>0</v>
      </c>
      <c r="S219" s="126" t="n">
        <f aca="false">J219/$R$3</f>
        <v>0</v>
      </c>
      <c r="T219" s="126" t="n">
        <f aca="false">L219/$R$3</f>
        <v>0</v>
      </c>
      <c r="U219" s="126" t="n">
        <f aca="false">I219/$R$3</f>
        <v>0</v>
      </c>
      <c r="V219" s="126" t="n">
        <f aca="false">M219/$R$3</f>
        <v>0</v>
      </c>
      <c r="W219" s="126" t="n">
        <f aca="false">N219/$R$3</f>
        <v>0</v>
      </c>
    </row>
    <row r="220" customFormat="false" ht="12.75" hidden="true" customHeight="false" outlineLevel="0" collapsed="false">
      <c r="A220" s="120" t="n">
        <f aca="false">A219+1</f>
        <v>37106</v>
      </c>
      <c r="B220" s="131" t="str">
        <f aca="false">INDEX('Master Data'!$A$2:$B$8,MATCH(WEEKDAY('SC Total Power'!A220,3),'Master Data'!$A$2:$A$8,0),2)</f>
        <v>F</v>
      </c>
      <c r="D220" s="124" t="n">
        <v>0</v>
      </c>
      <c r="E220" s="124" t="n">
        <v>440836.829012536</v>
      </c>
      <c r="F220" s="124" t="n">
        <v>0</v>
      </c>
      <c r="G220" s="124" t="n">
        <v>0</v>
      </c>
      <c r="I220" s="124" t="n">
        <f aca="false">IF(MONTH($A220)=MONTH($A219),IF(G220=0,I219,G220),G220)</f>
        <v>0</v>
      </c>
      <c r="J220" s="124" t="n">
        <f aca="false">IF(MONTH($A220)=MONTH($A219),SUM(I220-I219),I220)</f>
        <v>0</v>
      </c>
      <c r="K220" s="124" t="n">
        <f aca="false">IF(WEEKDAY(A220,3)&gt;4,0,(IF(A220&lt;K$2,0,IF(A220&lt;=K$3,1,0))))</f>
        <v>0</v>
      </c>
      <c r="L220" s="124" t="n">
        <f aca="false">J220*K220</f>
        <v>0</v>
      </c>
      <c r="M220" s="124" t="n">
        <f aca="false">SUM(J$97:J220)</f>
        <v>0</v>
      </c>
      <c r="N220" s="124" t="n">
        <f aca="false">SUM(J$6:J220)</f>
        <v>0</v>
      </c>
      <c r="P220" s="124" t="n">
        <f aca="false">D220/P$3</f>
        <v>0</v>
      </c>
      <c r="Q220" s="143" t="n">
        <f aca="false">E220/P$3</f>
        <v>0.440836829012536</v>
      </c>
      <c r="R220" s="124" t="n">
        <f aca="false">F220/R$3</f>
        <v>0</v>
      </c>
      <c r="S220" s="126" t="n">
        <f aca="false">J220/$R$3</f>
        <v>0</v>
      </c>
      <c r="T220" s="126" t="n">
        <f aca="false">L220/$R$3</f>
        <v>0</v>
      </c>
      <c r="U220" s="126" t="n">
        <f aca="false">I220/$R$3</f>
        <v>0</v>
      </c>
      <c r="V220" s="126" t="n">
        <f aca="false">M220/$R$3</f>
        <v>0</v>
      </c>
      <c r="W220" s="126" t="n">
        <f aca="false">N220/$R$3</f>
        <v>0</v>
      </c>
    </row>
    <row r="221" customFormat="false" ht="12.75" hidden="true" customHeight="false" outlineLevel="0" collapsed="false">
      <c r="A221" s="120" t="n">
        <f aca="false">A220+1</f>
        <v>37107</v>
      </c>
      <c r="B221" s="131" t="str">
        <f aca="false">INDEX('Master Data'!$A$2:$B$8,MATCH(WEEKDAY('SC Total Power'!A221,3),'Master Data'!$A$2:$A$8,0),2)</f>
        <v>Sa</v>
      </c>
      <c r="D221" s="124" t="n">
        <v>0</v>
      </c>
      <c r="E221" s="124" t="n">
        <v>0</v>
      </c>
      <c r="F221" s="124" t="n">
        <v>0</v>
      </c>
      <c r="G221" s="124" t="n">
        <v>0</v>
      </c>
      <c r="I221" s="124" t="n">
        <f aca="false">IF(MONTH($A221)=MONTH($A220),IF(G221=0,I220,G221),G221)</f>
        <v>0</v>
      </c>
      <c r="J221" s="124" t="n">
        <f aca="false">IF(MONTH($A221)=MONTH($A220),SUM(I221-I220),I221)</f>
        <v>0</v>
      </c>
      <c r="K221" s="124" t="n">
        <f aca="false">IF(WEEKDAY(A221,3)&gt;4,0,(IF(A221&lt;K$2,0,IF(A221&lt;=K$3,1,0))))</f>
        <v>0</v>
      </c>
      <c r="L221" s="124" t="n">
        <f aca="false">J221*K221</f>
        <v>0</v>
      </c>
      <c r="M221" s="124" t="n">
        <f aca="false">SUM(J$97:J221)</f>
        <v>0</v>
      </c>
      <c r="N221" s="124" t="n">
        <f aca="false">SUM(J$6:J221)</f>
        <v>0</v>
      </c>
      <c r="P221" s="124" t="n">
        <f aca="false">D221/P$3</f>
        <v>0</v>
      </c>
      <c r="Q221" s="143" t="n">
        <f aca="false">E221/P$3</f>
        <v>0</v>
      </c>
      <c r="R221" s="124" t="n">
        <f aca="false">F221/R$3</f>
        <v>0</v>
      </c>
      <c r="S221" s="126" t="n">
        <f aca="false">J221/$R$3</f>
        <v>0</v>
      </c>
      <c r="T221" s="126" t="n">
        <f aca="false">L221/$R$3</f>
        <v>0</v>
      </c>
      <c r="U221" s="126" t="n">
        <f aca="false">I221/$R$3</f>
        <v>0</v>
      </c>
      <c r="V221" s="126" t="n">
        <f aca="false">M221/$R$3</f>
        <v>0</v>
      </c>
      <c r="W221" s="126" t="n">
        <f aca="false">N221/$R$3</f>
        <v>0</v>
      </c>
    </row>
    <row r="222" customFormat="false" ht="12.75" hidden="true" customHeight="false" outlineLevel="0" collapsed="false">
      <c r="A222" s="120" t="n">
        <f aca="false">A221+1</f>
        <v>37108</v>
      </c>
      <c r="B222" s="131" t="str">
        <f aca="false">INDEX('Master Data'!$A$2:$B$8,MATCH(WEEKDAY('SC Total Power'!A222,3),'Master Data'!$A$2:$A$8,0),2)</f>
        <v>Su</v>
      </c>
      <c r="D222" s="124" t="n">
        <v>0</v>
      </c>
      <c r="E222" s="124" t="n">
        <v>0</v>
      </c>
      <c r="F222" s="124" t="n">
        <v>0</v>
      </c>
      <c r="G222" s="124" t="n">
        <v>0</v>
      </c>
      <c r="I222" s="124" t="n">
        <f aca="false">IF(MONTH($A222)=MONTH($A221),IF(G222=0,I221,G222),G222)</f>
        <v>0</v>
      </c>
      <c r="J222" s="124" t="n">
        <f aca="false">IF(MONTH($A222)=MONTH($A221),SUM(I222-I221),I222)</f>
        <v>0</v>
      </c>
      <c r="K222" s="124" t="n">
        <f aca="false">IF(WEEKDAY(A222,3)&gt;4,0,(IF(A222&lt;K$2,0,IF(A222&lt;=K$3,1,0))))</f>
        <v>0</v>
      </c>
      <c r="L222" s="124" t="n">
        <f aca="false">J222*K222</f>
        <v>0</v>
      </c>
      <c r="M222" s="124" t="n">
        <f aca="false">SUM(J$97:J222)</f>
        <v>0</v>
      </c>
      <c r="N222" s="124" t="n">
        <f aca="false">SUM(J$6:J222)</f>
        <v>0</v>
      </c>
      <c r="P222" s="124" t="n">
        <f aca="false">D222/P$3</f>
        <v>0</v>
      </c>
      <c r="Q222" s="143" t="n">
        <f aca="false">E222/P$3</f>
        <v>0</v>
      </c>
      <c r="R222" s="124" t="n">
        <f aca="false">F222/R$3</f>
        <v>0</v>
      </c>
      <c r="S222" s="126" t="n">
        <f aca="false">J222/$R$3</f>
        <v>0</v>
      </c>
      <c r="T222" s="126" t="n">
        <f aca="false">L222/$R$3</f>
        <v>0</v>
      </c>
      <c r="U222" s="126" t="n">
        <f aca="false">I222/$R$3</f>
        <v>0</v>
      </c>
      <c r="V222" s="126" t="n">
        <f aca="false">M222/$R$3</f>
        <v>0</v>
      </c>
      <c r="W222" s="126" t="n">
        <f aca="false">N222/$R$3</f>
        <v>0</v>
      </c>
    </row>
    <row r="223" customFormat="false" ht="12.75" hidden="true" customHeight="false" outlineLevel="0" collapsed="false">
      <c r="A223" s="120" t="n">
        <f aca="false">A222+1</f>
        <v>37109</v>
      </c>
      <c r="B223" s="131" t="str">
        <f aca="false">INDEX('Master Data'!$A$2:$B$8,MATCH(WEEKDAY('SC Total Power'!A223,3),'Master Data'!$A$2:$A$8,0),2)</f>
        <v>M</v>
      </c>
      <c r="D223" s="124" t="n">
        <v>0</v>
      </c>
      <c r="E223" s="124" t="n">
        <v>441057.159481727</v>
      </c>
      <c r="F223" s="124" t="n">
        <v>0</v>
      </c>
      <c r="G223" s="124" t="n">
        <v>0</v>
      </c>
      <c r="I223" s="124" t="n">
        <f aca="false">IF(MONTH($A223)=MONTH($A222),IF(G223=0,I222,G223),G223)</f>
        <v>0</v>
      </c>
      <c r="J223" s="124" t="n">
        <f aca="false">IF(MONTH($A223)=MONTH($A222),SUM(I223-I222),I223)</f>
        <v>0</v>
      </c>
      <c r="K223" s="124" t="n">
        <f aca="false">IF(WEEKDAY(A223,3)&gt;4,0,(IF(A223&lt;K$2,0,IF(A223&lt;=K$3,1,0))))</f>
        <v>0</v>
      </c>
      <c r="L223" s="124" t="n">
        <f aca="false">J223*K223</f>
        <v>0</v>
      </c>
      <c r="M223" s="124" t="n">
        <f aca="false">SUM(J$97:J223)</f>
        <v>0</v>
      </c>
      <c r="N223" s="124" t="n">
        <f aca="false">SUM(J$6:J223)</f>
        <v>0</v>
      </c>
      <c r="P223" s="124" t="n">
        <f aca="false">D223/P$3</f>
        <v>0</v>
      </c>
      <c r="Q223" s="143" t="n">
        <f aca="false">E223/P$3</f>
        <v>0.441057159481727</v>
      </c>
      <c r="R223" s="124" t="n">
        <f aca="false">F223/R$3</f>
        <v>0</v>
      </c>
      <c r="S223" s="126" t="n">
        <f aca="false">J223/$R$3</f>
        <v>0</v>
      </c>
      <c r="T223" s="126" t="n">
        <f aca="false">L223/$R$3</f>
        <v>0</v>
      </c>
      <c r="U223" s="126" t="n">
        <f aca="false">I223/$R$3</f>
        <v>0</v>
      </c>
      <c r="V223" s="126" t="n">
        <f aca="false">M223/$R$3</f>
        <v>0</v>
      </c>
      <c r="W223" s="126" t="n">
        <f aca="false">N223/$R$3</f>
        <v>0</v>
      </c>
    </row>
    <row r="224" customFormat="false" ht="12.75" hidden="true" customHeight="false" outlineLevel="0" collapsed="false">
      <c r="A224" s="120" t="n">
        <f aca="false">A223+1</f>
        <v>37110</v>
      </c>
      <c r="B224" s="131" t="str">
        <f aca="false">INDEX('Master Data'!$A$2:$B$8,MATCH(WEEKDAY('SC Total Power'!A224,3),'Master Data'!$A$2:$A$8,0),2)</f>
        <v>T</v>
      </c>
      <c r="D224" s="124" t="n">
        <v>0</v>
      </c>
      <c r="E224" s="124" t="n">
        <v>441133.691765582</v>
      </c>
      <c r="F224" s="124" t="n">
        <v>0</v>
      </c>
      <c r="G224" s="124" t="n">
        <v>0</v>
      </c>
      <c r="I224" s="124" t="n">
        <f aca="false">IF(MONTH($A224)=MONTH($A223),IF(G224=0,I223,G224),G224)</f>
        <v>0</v>
      </c>
      <c r="J224" s="124" t="n">
        <f aca="false">IF(MONTH($A224)=MONTH($A223),SUM(I224-I223),I224)</f>
        <v>0</v>
      </c>
      <c r="K224" s="124" t="n">
        <f aca="false">IF(WEEKDAY(A224,3)&gt;4,0,(IF(A224&lt;K$2,0,IF(A224&lt;=K$3,1,0))))</f>
        <v>0</v>
      </c>
      <c r="L224" s="124" t="n">
        <f aca="false">J224*K224</f>
        <v>0</v>
      </c>
      <c r="M224" s="124" t="n">
        <f aca="false">SUM(J$97:J224)</f>
        <v>0</v>
      </c>
      <c r="N224" s="124" t="n">
        <f aca="false">SUM(J$6:J224)</f>
        <v>0</v>
      </c>
      <c r="P224" s="124" t="n">
        <f aca="false">D224/P$3</f>
        <v>0</v>
      </c>
      <c r="Q224" s="143" t="n">
        <f aca="false">E224/P$3</f>
        <v>0.441133691765582</v>
      </c>
      <c r="R224" s="124" t="n">
        <f aca="false">F224/R$3</f>
        <v>0</v>
      </c>
      <c r="S224" s="126" t="n">
        <f aca="false">J224/$R$3</f>
        <v>0</v>
      </c>
      <c r="T224" s="126" t="n">
        <f aca="false">L224/$R$3</f>
        <v>0</v>
      </c>
      <c r="U224" s="126" t="n">
        <f aca="false">I224/$R$3</f>
        <v>0</v>
      </c>
      <c r="V224" s="126" t="n">
        <f aca="false">M224/$R$3</f>
        <v>0</v>
      </c>
      <c r="W224" s="126" t="n">
        <f aca="false">N224/$R$3</f>
        <v>0</v>
      </c>
    </row>
    <row r="225" customFormat="false" ht="12.75" hidden="true" customHeight="false" outlineLevel="0" collapsed="false">
      <c r="A225" s="120" t="n">
        <f aca="false">A224+1</f>
        <v>37111</v>
      </c>
      <c r="B225" s="131" t="str">
        <f aca="false">INDEX('Master Data'!$A$2:$B$8,MATCH(WEEKDAY('SC Total Power'!A225,3),'Master Data'!$A$2:$A$8,0),2)</f>
        <v>W</v>
      </c>
      <c r="D225" s="124" t="n">
        <v>0</v>
      </c>
      <c r="E225" s="124" t="n">
        <v>441231.753577351</v>
      </c>
      <c r="F225" s="124" t="n">
        <v>0</v>
      </c>
      <c r="G225" s="124" t="n">
        <v>0</v>
      </c>
      <c r="I225" s="124" t="n">
        <f aca="false">IF(MONTH($A225)=MONTH($A224),IF(G225=0,I224,G225),G225)</f>
        <v>0</v>
      </c>
      <c r="J225" s="124" t="n">
        <f aca="false">IF(MONTH($A225)=MONTH($A224),SUM(I225-I224),I225)</f>
        <v>0</v>
      </c>
      <c r="K225" s="124" t="n">
        <f aca="false">IF(WEEKDAY(A225,3)&gt;4,0,(IF(A225&lt;K$2,0,IF(A225&lt;=K$3,1,0))))</f>
        <v>0</v>
      </c>
      <c r="L225" s="124" t="n">
        <f aca="false">J225*K225</f>
        <v>0</v>
      </c>
      <c r="M225" s="124" t="n">
        <f aca="false">SUM(J$97:J225)</f>
        <v>0</v>
      </c>
      <c r="N225" s="124" t="n">
        <f aca="false">SUM(J$6:J225)</f>
        <v>0</v>
      </c>
      <c r="P225" s="124" t="n">
        <f aca="false">D225/P$3</f>
        <v>0</v>
      </c>
      <c r="Q225" s="143" t="n">
        <f aca="false">E225/P$3</f>
        <v>0.441231753577351</v>
      </c>
      <c r="R225" s="124" t="n">
        <f aca="false">F225/R$3</f>
        <v>0</v>
      </c>
      <c r="S225" s="126" t="n">
        <f aca="false">J225/$R$3</f>
        <v>0</v>
      </c>
      <c r="T225" s="126" t="n">
        <f aca="false">L225/$R$3</f>
        <v>0</v>
      </c>
      <c r="U225" s="126" t="n">
        <f aca="false">I225/$R$3</f>
        <v>0</v>
      </c>
      <c r="V225" s="126" t="n">
        <f aca="false">M225/$R$3</f>
        <v>0</v>
      </c>
      <c r="W225" s="126" t="n">
        <f aca="false">N225/$R$3</f>
        <v>0</v>
      </c>
    </row>
    <row r="226" customFormat="false" ht="12.75" hidden="true" customHeight="false" outlineLevel="0" collapsed="false">
      <c r="A226" s="120" t="n">
        <f aca="false">A225+1</f>
        <v>37112</v>
      </c>
      <c r="B226" s="131" t="str">
        <f aca="false">INDEX('Master Data'!$A$2:$B$8,MATCH(WEEKDAY('SC Total Power'!A226,3),'Master Data'!$A$2:$A$8,0),2)</f>
        <v>Th</v>
      </c>
      <c r="D226" s="124" t="n">
        <v>0</v>
      </c>
      <c r="E226" s="124" t="n">
        <v>434664.365814007</v>
      </c>
      <c r="F226" s="124" t="n">
        <v>0</v>
      </c>
      <c r="G226" s="124" t="n">
        <v>0</v>
      </c>
      <c r="I226" s="124" t="n">
        <f aca="false">IF(MONTH($A226)=MONTH($A225),IF(G226=0,I225,G226),G226)</f>
        <v>0</v>
      </c>
      <c r="J226" s="124" t="n">
        <f aca="false">IF(MONTH($A226)=MONTH($A225),SUM(I226-I225),I226)</f>
        <v>0</v>
      </c>
      <c r="K226" s="124" t="n">
        <f aca="false">IF(WEEKDAY(A226,3)&gt;4,0,(IF(A226&lt;K$2,0,IF(A226&lt;=K$3,1,0))))</f>
        <v>0</v>
      </c>
      <c r="L226" s="124" t="n">
        <f aca="false">J226*K226</f>
        <v>0</v>
      </c>
      <c r="M226" s="124" t="n">
        <f aca="false">SUM(J$97:J226)</f>
        <v>0</v>
      </c>
      <c r="N226" s="124" t="n">
        <f aca="false">SUM(J$6:J226)</f>
        <v>0</v>
      </c>
      <c r="P226" s="124" t="n">
        <f aca="false">D226/P$3</f>
        <v>0</v>
      </c>
      <c r="Q226" s="143" t="n">
        <f aca="false">E226/P$3</f>
        <v>0.434664365814007</v>
      </c>
      <c r="R226" s="124" t="n">
        <f aca="false">F226/R$3</f>
        <v>0</v>
      </c>
      <c r="S226" s="126" t="n">
        <f aca="false">J226/$R$3</f>
        <v>0</v>
      </c>
      <c r="T226" s="126" t="n">
        <f aca="false">L226/$R$3</f>
        <v>0</v>
      </c>
      <c r="U226" s="126" t="n">
        <f aca="false">I226/$R$3</f>
        <v>0</v>
      </c>
      <c r="V226" s="126" t="n">
        <f aca="false">M226/$R$3</f>
        <v>0</v>
      </c>
      <c r="W226" s="126" t="n">
        <f aca="false">N226/$R$3</f>
        <v>0</v>
      </c>
    </row>
    <row r="227" customFormat="false" ht="12.75" hidden="true" customHeight="false" outlineLevel="0" collapsed="false">
      <c r="A227" s="120" t="n">
        <f aca="false">A226+1</f>
        <v>37113</v>
      </c>
      <c r="B227" s="131" t="str">
        <f aca="false">INDEX('Master Data'!$A$2:$B$8,MATCH(WEEKDAY('SC Total Power'!A227,3),'Master Data'!$A$2:$A$8,0),2)</f>
        <v>F</v>
      </c>
      <c r="D227" s="124" t="n">
        <v>0</v>
      </c>
      <c r="E227" s="124" t="n">
        <v>434743.339415236</v>
      </c>
      <c r="F227" s="124" t="n">
        <v>0</v>
      </c>
      <c r="G227" s="124" t="n">
        <v>0</v>
      </c>
      <c r="I227" s="124" t="n">
        <f aca="false">IF(MONTH($A227)=MONTH($A226),IF(G227=0,I226,G227),G227)</f>
        <v>0</v>
      </c>
      <c r="J227" s="124" t="n">
        <f aca="false">IF(MONTH($A227)=MONTH($A226),SUM(I227-I226),I227)</f>
        <v>0</v>
      </c>
      <c r="K227" s="124" t="n">
        <f aca="false">IF(WEEKDAY(A227,3)&gt;4,0,(IF(A227&lt;K$2,0,IF(A227&lt;=K$3,1,0))))</f>
        <v>0</v>
      </c>
      <c r="L227" s="124" t="n">
        <f aca="false">J227*K227</f>
        <v>0</v>
      </c>
      <c r="M227" s="124" t="n">
        <f aca="false">SUM(J$97:J227)</f>
        <v>0</v>
      </c>
      <c r="N227" s="124" t="n">
        <f aca="false">SUM(J$6:J227)</f>
        <v>0</v>
      </c>
      <c r="P227" s="124" t="n">
        <f aca="false">D227/P$3</f>
        <v>0</v>
      </c>
      <c r="Q227" s="143" t="n">
        <f aca="false">E227/P$3</f>
        <v>0.434743339415236</v>
      </c>
      <c r="R227" s="124" t="n">
        <f aca="false">F227/R$3</f>
        <v>0</v>
      </c>
      <c r="S227" s="126" t="n">
        <f aca="false">J227/$R$3</f>
        <v>0</v>
      </c>
      <c r="T227" s="126" t="n">
        <f aca="false">L227/$R$3</f>
        <v>0</v>
      </c>
      <c r="U227" s="126" t="n">
        <f aca="false">I227/$R$3</f>
        <v>0</v>
      </c>
      <c r="V227" s="126" t="n">
        <f aca="false">M227/$R$3</f>
        <v>0</v>
      </c>
      <c r="W227" s="126" t="n">
        <f aca="false">N227/$R$3</f>
        <v>0</v>
      </c>
    </row>
    <row r="228" customFormat="false" ht="12.75" hidden="true" customHeight="false" outlineLevel="0" collapsed="false">
      <c r="A228" s="120" t="n">
        <f aca="false">A227+1</f>
        <v>37114</v>
      </c>
      <c r="B228" s="131" t="str">
        <f aca="false">INDEX('Master Data'!$A$2:$B$8,MATCH(WEEKDAY('SC Total Power'!A228,3),'Master Data'!$A$2:$A$8,0),2)</f>
        <v>Sa</v>
      </c>
      <c r="D228" s="124" t="n">
        <v>0</v>
      </c>
      <c r="E228" s="124" t="n">
        <v>0</v>
      </c>
      <c r="F228" s="124" t="n">
        <v>0</v>
      </c>
      <c r="G228" s="124" t="n">
        <v>0</v>
      </c>
      <c r="I228" s="124" t="n">
        <f aca="false">IF(MONTH($A228)=MONTH($A227),IF(G228=0,I227,G228),G228)</f>
        <v>0</v>
      </c>
      <c r="J228" s="124" t="n">
        <f aca="false">IF(MONTH($A228)=MONTH($A227),SUM(I228-I227),I228)</f>
        <v>0</v>
      </c>
      <c r="K228" s="124" t="n">
        <f aca="false">IF(WEEKDAY(A228,3)&gt;4,0,(IF(A228&lt;K$2,0,IF(A228&lt;=K$3,1,0))))</f>
        <v>0</v>
      </c>
      <c r="L228" s="124" t="n">
        <f aca="false">J228*K228</f>
        <v>0</v>
      </c>
      <c r="M228" s="124" t="n">
        <f aca="false">SUM(J$97:J228)</f>
        <v>0</v>
      </c>
      <c r="N228" s="124" t="n">
        <f aca="false">SUM(J$6:J228)</f>
        <v>0</v>
      </c>
      <c r="P228" s="124" t="n">
        <f aca="false">D228/P$3</f>
        <v>0</v>
      </c>
      <c r="Q228" s="143" t="n">
        <f aca="false">E228/P$3</f>
        <v>0</v>
      </c>
      <c r="R228" s="124" t="n">
        <f aca="false">F228/R$3</f>
        <v>0</v>
      </c>
      <c r="S228" s="126" t="n">
        <f aca="false">J228/$R$3</f>
        <v>0</v>
      </c>
      <c r="T228" s="126" t="n">
        <f aca="false">L228/$R$3</f>
        <v>0</v>
      </c>
      <c r="U228" s="126" t="n">
        <f aca="false">I228/$R$3</f>
        <v>0</v>
      </c>
      <c r="V228" s="126" t="n">
        <f aca="false">M228/$R$3</f>
        <v>0</v>
      </c>
      <c r="W228" s="126" t="n">
        <f aca="false">N228/$R$3</f>
        <v>0</v>
      </c>
    </row>
    <row r="229" customFormat="false" ht="12.75" hidden="true" customHeight="false" outlineLevel="0" collapsed="false">
      <c r="A229" s="120" t="n">
        <f aca="false">A228+1</f>
        <v>37115</v>
      </c>
      <c r="B229" s="131" t="str">
        <f aca="false">INDEX('Master Data'!$A$2:$B$8,MATCH(WEEKDAY('SC Total Power'!A229,3),'Master Data'!$A$2:$A$8,0),2)</f>
        <v>Su</v>
      </c>
      <c r="D229" s="124" t="n">
        <v>0</v>
      </c>
      <c r="E229" s="124" t="n">
        <v>0</v>
      </c>
      <c r="F229" s="124" t="n">
        <v>0</v>
      </c>
      <c r="G229" s="124" t="n">
        <v>0</v>
      </c>
      <c r="I229" s="124" t="n">
        <f aca="false">IF(MONTH($A229)=MONTH($A228),IF(G229=0,I228,G229),G229)</f>
        <v>0</v>
      </c>
      <c r="J229" s="124" t="n">
        <f aca="false">IF(MONTH($A229)=MONTH($A228),SUM(I229-I228),I229)</f>
        <v>0</v>
      </c>
      <c r="K229" s="124" t="n">
        <f aca="false">IF(WEEKDAY(A229,3)&gt;4,0,(IF(A229&lt;K$2,0,IF(A229&lt;=K$3,1,0))))</f>
        <v>0</v>
      </c>
      <c r="L229" s="124" t="n">
        <f aca="false">J229*K229</f>
        <v>0</v>
      </c>
      <c r="M229" s="124" t="n">
        <f aca="false">SUM(J$97:J229)</f>
        <v>0</v>
      </c>
      <c r="N229" s="124" t="n">
        <f aca="false">SUM(J$6:J229)</f>
        <v>0</v>
      </c>
      <c r="P229" s="124" t="n">
        <f aca="false">D229/P$3</f>
        <v>0</v>
      </c>
      <c r="Q229" s="143" t="n">
        <f aca="false">E229/P$3</f>
        <v>0</v>
      </c>
      <c r="R229" s="124" t="n">
        <f aca="false">F229/R$3</f>
        <v>0</v>
      </c>
      <c r="S229" s="126" t="n">
        <f aca="false">J229/$R$3</f>
        <v>0</v>
      </c>
      <c r="T229" s="126" t="n">
        <f aca="false">L229/$R$3</f>
        <v>0</v>
      </c>
      <c r="U229" s="126" t="n">
        <f aca="false">I229/$R$3</f>
        <v>0</v>
      </c>
      <c r="V229" s="126" t="n">
        <f aca="false">M229/$R$3</f>
        <v>0</v>
      </c>
      <c r="W229" s="126" t="n">
        <f aca="false">N229/$R$3</f>
        <v>0</v>
      </c>
    </row>
    <row r="230" customFormat="false" ht="12.75" hidden="true" customHeight="false" outlineLevel="0" collapsed="false">
      <c r="A230" s="120" t="n">
        <f aca="false">A229+1</f>
        <v>37116</v>
      </c>
      <c r="B230" s="131" t="str">
        <f aca="false">INDEX('Master Data'!$A$2:$B$8,MATCH(WEEKDAY('SC Total Power'!A230,3),'Master Data'!$A$2:$A$8,0),2)</f>
        <v>M</v>
      </c>
      <c r="D230" s="124" t="n">
        <v>0</v>
      </c>
      <c r="E230" s="124" t="n">
        <v>432688.144406241</v>
      </c>
      <c r="F230" s="124" t="n">
        <v>0</v>
      </c>
      <c r="G230" s="124" t="n">
        <v>0</v>
      </c>
      <c r="I230" s="124" t="n">
        <f aca="false">IF(MONTH($A230)=MONTH($A229),IF(G230=0,I229,G230),G230)</f>
        <v>0</v>
      </c>
      <c r="J230" s="124" t="n">
        <f aca="false">IF(MONTH($A230)=MONTH($A229),SUM(I230-I229),I230)</f>
        <v>0</v>
      </c>
      <c r="K230" s="124" t="n">
        <f aca="false">IF(WEEKDAY(A230,3)&gt;4,0,(IF(A230&lt;K$2,0,IF(A230&lt;=K$3,1,0))))</f>
        <v>0</v>
      </c>
      <c r="L230" s="124" t="n">
        <f aca="false">J230*K230</f>
        <v>0</v>
      </c>
      <c r="M230" s="124" t="n">
        <f aca="false">SUM(J$97:J230)</f>
        <v>0</v>
      </c>
      <c r="N230" s="124" t="n">
        <f aca="false">SUM(J$6:J230)</f>
        <v>0</v>
      </c>
      <c r="P230" s="124" t="n">
        <f aca="false">D230/P$3</f>
        <v>0</v>
      </c>
      <c r="Q230" s="143" t="n">
        <f aca="false">E230/P$3</f>
        <v>0.432688144406241</v>
      </c>
      <c r="R230" s="124" t="n">
        <f aca="false">F230/R$3</f>
        <v>0</v>
      </c>
      <c r="S230" s="126" t="n">
        <f aca="false">J230/$R$3</f>
        <v>0</v>
      </c>
      <c r="T230" s="126" t="n">
        <f aca="false">L230/$R$3</f>
        <v>0</v>
      </c>
      <c r="U230" s="126" t="n">
        <f aca="false">I230/$R$3</f>
        <v>0</v>
      </c>
      <c r="V230" s="126" t="n">
        <f aca="false">M230/$R$3</f>
        <v>0</v>
      </c>
      <c r="W230" s="126" t="n">
        <f aca="false">N230/$R$3</f>
        <v>0</v>
      </c>
    </row>
    <row r="231" customFormat="false" ht="12.75" hidden="true" customHeight="false" outlineLevel="0" collapsed="false">
      <c r="A231" s="120" t="n">
        <f aca="false">A230+1</f>
        <v>37117</v>
      </c>
      <c r="B231" s="131" t="str">
        <f aca="false">INDEX('Master Data'!$A$2:$B$8,MATCH(WEEKDAY('SC Total Power'!A231,3),'Master Data'!$A$2:$A$8,0),2)</f>
        <v>T</v>
      </c>
      <c r="D231" s="124" t="n">
        <v>0</v>
      </c>
      <c r="E231" s="124" t="n">
        <v>434228.699071131</v>
      </c>
      <c r="F231" s="124" t="n">
        <v>0</v>
      </c>
      <c r="G231" s="124" t="n">
        <v>0</v>
      </c>
      <c r="I231" s="124" t="n">
        <f aca="false">IF(MONTH($A231)=MONTH($A230),IF(G231=0,I230,G231),G231)</f>
        <v>0</v>
      </c>
      <c r="J231" s="124" t="n">
        <f aca="false">IF(MONTH($A231)=MONTH($A230),SUM(I231-I230),I231)</f>
        <v>0</v>
      </c>
      <c r="K231" s="124" t="n">
        <f aca="false">IF(WEEKDAY(A231,3)&gt;4,0,(IF(A231&lt;K$2,0,IF(A231&lt;=K$3,1,0))))</f>
        <v>0</v>
      </c>
      <c r="L231" s="124" t="n">
        <f aca="false">J231*K231</f>
        <v>0</v>
      </c>
      <c r="M231" s="124" t="n">
        <f aca="false">SUM(J$97:J231)</f>
        <v>0</v>
      </c>
      <c r="N231" s="124" t="n">
        <f aca="false">SUM(J$6:J231)</f>
        <v>0</v>
      </c>
      <c r="P231" s="124" t="n">
        <f aca="false">D231/P$3</f>
        <v>0</v>
      </c>
      <c r="Q231" s="143" t="n">
        <f aca="false">E231/P$3</f>
        <v>0.434228699071131</v>
      </c>
      <c r="R231" s="124" t="n">
        <f aca="false">F231/R$3</f>
        <v>0</v>
      </c>
      <c r="S231" s="126" t="n">
        <f aca="false">J231/$R$3</f>
        <v>0</v>
      </c>
      <c r="T231" s="126" t="n">
        <f aca="false">L231/$R$3</f>
        <v>0</v>
      </c>
      <c r="U231" s="126" t="n">
        <f aca="false">I231/$R$3</f>
        <v>0</v>
      </c>
      <c r="V231" s="126" t="n">
        <f aca="false">M231/$R$3</f>
        <v>0</v>
      </c>
      <c r="W231" s="126" t="n">
        <f aca="false">N231/$R$3</f>
        <v>0</v>
      </c>
    </row>
    <row r="232" customFormat="false" ht="12.75" hidden="true" customHeight="false" outlineLevel="0" collapsed="false">
      <c r="A232" s="120" t="n">
        <f aca="false">A231+1</f>
        <v>37118</v>
      </c>
      <c r="B232" s="131" t="str">
        <f aca="false">INDEX('Master Data'!$A$2:$B$8,MATCH(WEEKDAY('SC Total Power'!A232,3),'Master Data'!$A$2:$A$8,0),2)</f>
        <v>W</v>
      </c>
      <c r="D232" s="124" t="n">
        <v>0</v>
      </c>
      <c r="E232" s="124" t="n">
        <v>433697.547616018</v>
      </c>
      <c r="F232" s="124" t="n">
        <v>0</v>
      </c>
      <c r="G232" s="124" t="n">
        <v>0</v>
      </c>
      <c r="I232" s="124" t="n">
        <f aca="false">IF(MONTH($A232)=MONTH($A231),IF(G232=0,I231,G232),G232)</f>
        <v>0</v>
      </c>
      <c r="J232" s="124" t="n">
        <f aca="false">IF(MONTH($A232)=MONTH($A231),SUM(I232-I231),I232)</f>
        <v>0</v>
      </c>
      <c r="K232" s="124" t="n">
        <f aca="false">IF(WEEKDAY(A232,3)&gt;4,0,(IF(A232&lt;K$2,0,IF(A232&lt;=K$3,1,0))))</f>
        <v>0</v>
      </c>
      <c r="L232" s="124" t="n">
        <f aca="false">J232*K232</f>
        <v>0</v>
      </c>
      <c r="M232" s="124" t="n">
        <f aca="false">SUM(J$97:J232)</f>
        <v>0</v>
      </c>
      <c r="N232" s="124" t="n">
        <f aca="false">SUM(J$6:J232)</f>
        <v>0</v>
      </c>
      <c r="P232" s="124" t="n">
        <f aca="false">D232/P$3</f>
        <v>0</v>
      </c>
      <c r="Q232" s="143" t="n">
        <f aca="false">E232/P$3</f>
        <v>0.433697547616018</v>
      </c>
      <c r="R232" s="124" t="n">
        <f aca="false">F232/R$3</f>
        <v>0</v>
      </c>
      <c r="S232" s="126" t="n">
        <f aca="false">J232/$R$3</f>
        <v>0</v>
      </c>
      <c r="T232" s="126" t="n">
        <f aca="false">L232/$R$3</f>
        <v>0</v>
      </c>
      <c r="U232" s="126" t="n">
        <f aca="false">I232/$R$3</f>
        <v>0</v>
      </c>
      <c r="V232" s="126" t="n">
        <f aca="false">M232/$R$3</f>
        <v>0</v>
      </c>
      <c r="W232" s="126" t="n">
        <f aca="false">N232/$R$3</f>
        <v>0</v>
      </c>
    </row>
    <row r="233" customFormat="false" ht="12.75" hidden="true" customHeight="false" outlineLevel="0" collapsed="false">
      <c r="A233" s="120" t="n">
        <f aca="false">A232+1</f>
        <v>37119</v>
      </c>
      <c r="B233" s="131" t="str">
        <f aca="false">INDEX('Master Data'!$A$2:$B$8,MATCH(WEEKDAY('SC Total Power'!A233,3),'Master Data'!$A$2:$A$8,0),2)</f>
        <v>Th</v>
      </c>
      <c r="D233" s="124" t="n">
        <v>0</v>
      </c>
      <c r="E233" s="124" t="n">
        <v>432775.748637635</v>
      </c>
      <c r="F233" s="124" t="n">
        <v>0</v>
      </c>
      <c r="G233" s="124" t="n">
        <v>0</v>
      </c>
      <c r="I233" s="124" t="n">
        <f aca="false">IF(MONTH($A233)=MONTH($A232),IF(G233=0,I232,G233),G233)</f>
        <v>0</v>
      </c>
      <c r="J233" s="124" t="n">
        <f aca="false">IF(MONTH($A233)=MONTH($A232),SUM(I233-I232),I233)</f>
        <v>0</v>
      </c>
      <c r="K233" s="124" t="n">
        <f aca="false">IF(WEEKDAY(A233,3)&gt;4,0,(IF(A233&lt;K$2,0,IF(A233&lt;=K$3,1,0))))</f>
        <v>0</v>
      </c>
      <c r="L233" s="124" t="n">
        <f aca="false">J233*K233</f>
        <v>0</v>
      </c>
      <c r="M233" s="124" t="n">
        <f aca="false">SUM(J$97:J233)</f>
        <v>0</v>
      </c>
      <c r="N233" s="124" t="n">
        <f aca="false">SUM(J$6:J233)</f>
        <v>0</v>
      </c>
      <c r="P233" s="124" t="n">
        <f aca="false">D233/P$3</f>
        <v>0</v>
      </c>
      <c r="Q233" s="143" t="n">
        <f aca="false">E233/P$3</f>
        <v>0.432775748637635</v>
      </c>
      <c r="R233" s="124" t="n">
        <f aca="false">F233/R$3</f>
        <v>0</v>
      </c>
      <c r="S233" s="126" t="n">
        <f aca="false">J233/$R$3</f>
        <v>0</v>
      </c>
      <c r="T233" s="126" t="n">
        <f aca="false">L233/$R$3</f>
        <v>0</v>
      </c>
      <c r="U233" s="126" t="n">
        <f aca="false">I233/$R$3</f>
        <v>0</v>
      </c>
      <c r="V233" s="126" t="n">
        <f aca="false">M233/$R$3</f>
        <v>0</v>
      </c>
      <c r="W233" s="126" t="n">
        <f aca="false">N233/$R$3</f>
        <v>0</v>
      </c>
    </row>
    <row r="234" customFormat="false" ht="12.75" hidden="true" customHeight="false" outlineLevel="0" collapsed="false">
      <c r="A234" s="120" t="n">
        <f aca="false">A233+1</f>
        <v>37120</v>
      </c>
      <c r="B234" s="131" t="str">
        <f aca="false">INDEX('Master Data'!$A$2:$B$8,MATCH(WEEKDAY('SC Total Power'!A234,3),'Master Data'!$A$2:$A$8,0),2)</f>
        <v>F</v>
      </c>
      <c r="D234" s="124" t="n">
        <v>0</v>
      </c>
      <c r="E234" s="124" t="n">
        <v>433583.250995706</v>
      </c>
      <c r="F234" s="124" t="n">
        <v>0</v>
      </c>
      <c r="G234" s="124" t="n">
        <v>0</v>
      </c>
      <c r="I234" s="124" t="n">
        <f aca="false">IF(MONTH($A234)=MONTH($A233),IF(G234=0,I233,G234),G234)</f>
        <v>0</v>
      </c>
      <c r="J234" s="124" t="n">
        <f aca="false">IF(MONTH($A234)=MONTH($A233),SUM(I234-I233),I234)</f>
        <v>0</v>
      </c>
      <c r="K234" s="124" t="n">
        <f aca="false">IF(WEEKDAY(A234,3)&gt;4,0,(IF(A234&lt;K$2,0,IF(A234&lt;=K$3,1,0))))</f>
        <v>0</v>
      </c>
      <c r="L234" s="124" t="n">
        <f aca="false">J234*K234</f>
        <v>0</v>
      </c>
      <c r="M234" s="124" t="n">
        <f aca="false">SUM(J$97:J234)</f>
        <v>0</v>
      </c>
      <c r="N234" s="124" t="n">
        <f aca="false">SUM(J$6:J234)</f>
        <v>0</v>
      </c>
      <c r="P234" s="124" t="n">
        <f aca="false">D234/P$3</f>
        <v>0</v>
      </c>
      <c r="Q234" s="143" t="n">
        <f aca="false">E234/P$3</f>
        <v>0.433583250995706</v>
      </c>
      <c r="R234" s="124" t="n">
        <f aca="false">F234/R$3</f>
        <v>0</v>
      </c>
      <c r="S234" s="126" t="n">
        <f aca="false">J234/$R$3</f>
        <v>0</v>
      </c>
      <c r="T234" s="126" t="n">
        <f aca="false">L234/$R$3</f>
        <v>0</v>
      </c>
      <c r="U234" s="126" t="n">
        <f aca="false">I234/$R$3</f>
        <v>0</v>
      </c>
      <c r="V234" s="126" t="n">
        <f aca="false">M234/$R$3</f>
        <v>0</v>
      </c>
      <c r="W234" s="126" t="n">
        <f aca="false">N234/$R$3</f>
        <v>0</v>
      </c>
    </row>
    <row r="235" customFormat="false" ht="12.75" hidden="true" customHeight="false" outlineLevel="0" collapsed="false">
      <c r="A235" s="120" t="n">
        <f aca="false">A234+1</f>
        <v>37121</v>
      </c>
      <c r="B235" s="131" t="str">
        <f aca="false">INDEX('Master Data'!$A$2:$B$8,MATCH(WEEKDAY('SC Total Power'!A235,3),'Master Data'!$A$2:$A$8,0),2)</f>
        <v>Sa</v>
      </c>
      <c r="D235" s="124" t="n">
        <v>0</v>
      </c>
      <c r="E235" s="124" t="n">
        <v>0</v>
      </c>
      <c r="F235" s="124" t="n">
        <v>0</v>
      </c>
      <c r="G235" s="124" t="n">
        <v>0</v>
      </c>
      <c r="I235" s="124" t="n">
        <f aca="false">IF(MONTH($A235)=MONTH($A234),IF(G235=0,I234,G235),G235)</f>
        <v>0</v>
      </c>
      <c r="J235" s="124" t="n">
        <f aca="false">IF(MONTH($A235)=MONTH($A234),SUM(I235-I234),I235)</f>
        <v>0</v>
      </c>
      <c r="K235" s="124" t="n">
        <f aca="false">IF(WEEKDAY(A235,3)&gt;4,0,(IF(A235&lt;K$2,0,IF(A235&lt;=K$3,1,0))))</f>
        <v>0</v>
      </c>
      <c r="L235" s="124" t="n">
        <f aca="false">J235*K235</f>
        <v>0</v>
      </c>
      <c r="M235" s="124" t="n">
        <f aca="false">SUM(J$97:J235)</f>
        <v>0</v>
      </c>
      <c r="N235" s="124" t="n">
        <f aca="false">SUM(J$6:J235)</f>
        <v>0</v>
      </c>
      <c r="P235" s="124" t="n">
        <f aca="false">D235/P$3</f>
        <v>0</v>
      </c>
      <c r="Q235" s="143" t="n">
        <f aca="false">E235/P$3</f>
        <v>0</v>
      </c>
      <c r="R235" s="124" t="n">
        <f aca="false">F235/R$3</f>
        <v>0</v>
      </c>
      <c r="S235" s="126" t="n">
        <f aca="false">J235/$R$3</f>
        <v>0</v>
      </c>
      <c r="T235" s="126" t="n">
        <f aca="false">L235/$R$3</f>
        <v>0</v>
      </c>
      <c r="U235" s="126" t="n">
        <f aca="false">I235/$R$3</f>
        <v>0</v>
      </c>
      <c r="V235" s="126" t="n">
        <f aca="false">M235/$R$3</f>
        <v>0</v>
      </c>
      <c r="W235" s="126" t="n">
        <f aca="false">N235/$R$3</f>
        <v>0</v>
      </c>
    </row>
    <row r="236" customFormat="false" ht="12.75" hidden="true" customHeight="false" outlineLevel="0" collapsed="false">
      <c r="A236" s="120" t="n">
        <f aca="false">A235+1</f>
        <v>37122</v>
      </c>
      <c r="B236" s="131" t="str">
        <f aca="false">INDEX('Master Data'!$A$2:$B$8,MATCH(WEEKDAY('SC Total Power'!A236,3),'Master Data'!$A$2:$A$8,0),2)</f>
        <v>Su</v>
      </c>
      <c r="D236" s="124" t="n">
        <v>0</v>
      </c>
      <c r="E236" s="124" t="n">
        <v>0</v>
      </c>
      <c r="F236" s="124" t="n">
        <v>0</v>
      </c>
      <c r="G236" s="124" t="n">
        <v>0</v>
      </c>
      <c r="I236" s="124" t="n">
        <f aca="false">IF(MONTH($A236)=MONTH($A235),IF(G236=0,I235,G236),G236)</f>
        <v>0</v>
      </c>
      <c r="J236" s="124" t="n">
        <f aca="false">IF(MONTH($A236)=MONTH($A235),SUM(I236-I235),I236)</f>
        <v>0</v>
      </c>
      <c r="K236" s="124" t="n">
        <f aca="false">IF(WEEKDAY(A236,3)&gt;4,0,(IF(A236&lt;K$2,0,IF(A236&lt;=K$3,1,0))))</f>
        <v>0</v>
      </c>
      <c r="L236" s="124" t="n">
        <f aca="false">J236*K236</f>
        <v>0</v>
      </c>
      <c r="M236" s="124" t="n">
        <f aca="false">SUM(J$97:J236)</f>
        <v>0</v>
      </c>
      <c r="N236" s="124" t="n">
        <f aca="false">SUM(J$6:J236)</f>
        <v>0</v>
      </c>
      <c r="P236" s="124" t="n">
        <f aca="false">D236/P$3</f>
        <v>0</v>
      </c>
      <c r="Q236" s="143" t="n">
        <f aca="false">E236/P$3</f>
        <v>0</v>
      </c>
      <c r="R236" s="124" t="n">
        <f aca="false">F236/R$3</f>
        <v>0</v>
      </c>
      <c r="S236" s="126" t="n">
        <f aca="false">J236/$R$3</f>
        <v>0</v>
      </c>
      <c r="T236" s="126" t="n">
        <f aca="false">L236/$R$3</f>
        <v>0</v>
      </c>
      <c r="U236" s="126" t="n">
        <f aca="false">I236/$R$3</f>
        <v>0</v>
      </c>
      <c r="V236" s="126" t="n">
        <f aca="false">M236/$R$3</f>
        <v>0</v>
      </c>
      <c r="W236" s="126" t="n">
        <f aca="false">N236/$R$3</f>
        <v>0</v>
      </c>
    </row>
    <row r="237" customFormat="false" ht="12.75" hidden="true" customHeight="false" outlineLevel="0" collapsed="false">
      <c r="A237" s="120" t="n">
        <f aca="false">A236+1</f>
        <v>37123</v>
      </c>
      <c r="B237" s="131" t="str">
        <f aca="false">INDEX('Master Data'!$A$2:$B$8,MATCH(WEEKDAY('SC Total Power'!A237,3),'Master Data'!$A$2:$A$8,0),2)</f>
        <v>M</v>
      </c>
      <c r="D237" s="124" t="n">
        <v>0</v>
      </c>
      <c r="E237" s="124" t="n">
        <v>434731.266379457</v>
      </c>
      <c r="F237" s="124" t="n">
        <v>0</v>
      </c>
      <c r="G237" s="124" t="n">
        <v>0</v>
      </c>
      <c r="I237" s="124" t="n">
        <f aca="false">IF(MONTH($A237)=MONTH($A236),IF(G237=0,I236,G237),G237)</f>
        <v>0</v>
      </c>
      <c r="J237" s="124" t="n">
        <f aca="false">IF(MONTH($A237)=MONTH($A236),SUM(I237-I236),I237)</f>
        <v>0</v>
      </c>
      <c r="K237" s="124" t="n">
        <f aca="false">IF(WEEKDAY(A237,3)&gt;4,0,(IF(A237&lt;K$2,0,IF(A237&lt;=K$3,1,0))))</f>
        <v>0</v>
      </c>
      <c r="L237" s="124" t="n">
        <f aca="false">J237*K237</f>
        <v>0</v>
      </c>
      <c r="M237" s="124" t="n">
        <f aca="false">SUM(J$97:J237)</f>
        <v>0</v>
      </c>
      <c r="N237" s="124" t="n">
        <f aca="false">SUM(J$6:J237)</f>
        <v>0</v>
      </c>
      <c r="P237" s="124" t="n">
        <f aca="false">D237/P$3</f>
        <v>0</v>
      </c>
      <c r="Q237" s="143" t="n">
        <f aca="false">E237/P$3</f>
        <v>0.434731266379457</v>
      </c>
      <c r="R237" s="124" t="n">
        <f aca="false">F237/R$3</f>
        <v>0</v>
      </c>
      <c r="S237" s="126" t="n">
        <f aca="false">J237/$R$3</f>
        <v>0</v>
      </c>
      <c r="T237" s="126" t="n">
        <f aca="false">L237/$R$3</f>
        <v>0</v>
      </c>
      <c r="U237" s="126" t="n">
        <f aca="false">I237/$R$3</f>
        <v>0</v>
      </c>
      <c r="V237" s="126" t="n">
        <f aca="false">M237/$R$3</f>
        <v>0</v>
      </c>
      <c r="W237" s="126" t="n">
        <f aca="false">N237/$R$3</f>
        <v>0</v>
      </c>
    </row>
    <row r="238" customFormat="false" ht="12.75" hidden="true" customHeight="false" outlineLevel="0" collapsed="false">
      <c r="A238" s="120" t="n">
        <f aca="false">A237+1</f>
        <v>37124</v>
      </c>
      <c r="B238" s="131" t="str">
        <f aca="false">INDEX('Master Data'!$A$2:$B$8,MATCH(WEEKDAY('SC Total Power'!A238,3),'Master Data'!$A$2:$A$8,0),2)</f>
        <v>T</v>
      </c>
      <c r="D238" s="124" t="n">
        <v>0</v>
      </c>
      <c r="E238" s="124" t="n">
        <v>434026.470934842</v>
      </c>
      <c r="F238" s="124" t="n">
        <v>0</v>
      </c>
      <c r="G238" s="124" t="n">
        <v>0</v>
      </c>
      <c r="I238" s="124" t="n">
        <f aca="false">IF(MONTH($A238)=MONTH($A237),IF(G238=0,I237,G238),G238)</f>
        <v>0</v>
      </c>
      <c r="J238" s="124" t="n">
        <f aca="false">IF(MONTH($A238)=MONTH($A237),SUM(I238-I237),I238)</f>
        <v>0</v>
      </c>
      <c r="K238" s="124" t="n">
        <f aca="false">IF(WEEKDAY(A238,3)&gt;4,0,(IF(A238&lt;K$2,0,IF(A238&lt;=K$3,1,0))))</f>
        <v>0</v>
      </c>
      <c r="L238" s="124" t="n">
        <f aca="false">J238*K238</f>
        <v>0</v>
      </c>
      <c r="M238" s="124" t="n">
        <f aca="false">SUM(J$97:J238)</f>
        <v>0</v>
      </c>
      <c r="N238" s="124" t="n">
        <f aca="false">SUM(J$6:J238)</f>
        <v>0</v>
      </c>
      <c r="P238" s="124" t="n">
        <f aca="false">D238/P$3</f>
        <v>0</v>
      </c>
      <c r="Q238" s="143" t="n">
        <f aca="false">E238/P$3</f>
        <v>0.434026470934842</v>
      </c>
      <c r="R238" s="124" t="n">
        <f aca="false">F238/R$3</f>
        <v>0</v>
      </c>
      <c r="S238" s="126" t="n">
        <f aca="false">J238/$R$3</f>
        <v>0</v>
      </c>
      <c r="T238" s="126" t="n">
        <f aca="false">L238/$R$3</f>
        <v>0</v>
      </c>
      <c r="U238" s="126" t="n">
        <f aca="false">I238/$R$3</f>
        <v>0</v>
      </c>
      <c r="V238" s="126" t="n">
        <f aca="false">M238/$R$3</f>
        <v>0</v>
      </c>
      <c r="W238" s="126" t="n">
        <f aca="false">N238/$R$3</f>
        <v>0</v>
      </c>
    </row>
    <row r="239" customFormat="false" ht="12.75" hidden="true" customHeight="false" outlineLevel="0" collapsed="false">
      <c r="A239" s="120" t="n">
        <f aca="false">A238+1</f>
        <v>37125</v>
      </c>
      <c r="B239" s="131" t="str">
        <f aca="false">INDEX('Master Data'!$A$2:$B$8,MATCH(WEEKDAY('SC Total Power'!A239,3),'Master Data'!$A$2:$A$8,0),2)</f>
        <v>W</v>
      </c>
      <c r="D239" s="124" t="n">
        <v>0</v>
      </c>
      <c r="E239" s="124" t="n">
        <v>434777.020769332</v>
      </c>
      <c r="F239" s="124" t="n">
        <v>0</v>
      </c>
      <c r="G239" s="124" t="n">
        <v>0</v>
      </c>
      <c r="I239" s="124" t="n">
        <f aca="false">IF(MONTH($A239)=MONTH($A238),IF(G239=0,I238,G239),G239)</f>
        <v>0</v>
      </c>
      <c r="J239" s="124" t="n">
        <f aca="false">IF(MONTH($A239)=MONTH($A238),SUM(I239-I238),I239)</f>
        <v>0</v>
      </c>
      <c r="K239" s="124" t="n">
        <f aca="false">IF(WEEKDAY(A239,3)&gt;4,0,(IF(A239&lt;K$2,0,IF(A239&lt;=K$3,1,0))))</f>
        <v>0</v>
      </c>
      <c r="L239" s="124" t="n">
        <f aca="false">J239*K239</f>
        <v>0</v>
      </c>
      <c r="M239" s="124" t="n">
        <f aca="false">SUM(J$97:J239)</f>
        <v>0</v>
      </c>
      <c r="N239" s="124" t="n">
        <f aca="false">SUM(J$6:J239)</f>
        <v>0</v>
      </c>
      <c r="P239" s="124" t="n">
        <f aca="false">D239/P$3</f>
        <v>0</v>
      </c>
      <c r="Q239" s="143" t="n">
        <f aca="false">E239/P$3</f>
        <v>0.434777020769332</v>
      </c>
      <c r="R239" s="124" t="n">
        <f aca="false">F239/R$3</f>
        <v>0</v>
      </c>
      <c r="S239" s="126" t="n">
        <f aca="false">J239/$R$3</f>
        <v>0</v>
      </c>
      <c r="T239" s="126" t="n">
        <f aca="false">L239/$R$3</f>
        <v>0</v>
      </c>
      <c r="U239" s="126" t="n">
        <f aca="false">I239/$R$3</f>
        <v>0</v>
      </c>
      <c r="V239" s="126" t="n">
        <f aca="false">M239/$R$3</f>
        <v>0</v>
      </c>
      <c r="W239" s="126" t="n">
        <f aca="false">N239/$R$3</f>
        <v>0</v>
      </c>
    </row>
    <row r="240" customFormat="false" ht="12.75" hidden="true" customHeight="false" outlineLevel="0" collapsed="false">
      <c r="A240" s="120" t="n">
        <f aca="false">A239+1</f>
        <v>37126</v>
      </c>
      <c r="B240" s="131" t="str">
        <f aca="false">INDEX('Master Data'!$A$2:$B$8,MATCH(WEEKDAY('SC Total Power'!A240,3),'Master Data'!$A$2:$A$8,0),2)</f>
        <v>Th</v>
      </c>
      <c r="D240" s="124" t="n">
        <v>0</v>
      </c>
      <c r="E240" s="124" t="n">
        <v>434486.191903379</v>
      </c>
      <c r="F240" s="124" t="n">
        <v>0</v>
      </c>
      <c r="G240" s="124" t="n">
        <v>0</v>
      </c>
      <c r="I240" s="124" t="n">
        <f aca="false">IF(MONTH($A240)=MONTH($A239),IF(G240=0,I239,G240),G240)</f>
        <v>0</v>
      </c>
      <c r="J240" s="124" t="n">
        <f aca="false">IF(MONTH($A240)=MONTH($A239),SUM(I240-I239),I240)</f>
        <v>0</v>
      </c>
      <c r="K240" s="124" t="n">
        <f aca="false">IF(WEEKDAY(A240,3)&gt;4,0,(IF(A240&lt;K$2,0,IF(A240&lt;=K$3,1,0))))</f>
        <v>0</v>
      </c>
      <c r="L240" s="124" t="n">
        <f aca="false">J240*K240</f>
        <v>0</v>
      </c>
      <c r="M240" s="124" t="n">
        <f aca="false">SUM(J$97:J240)</f>
        <v>0</v>
      </c>
      <c r="N240" s="124" t="n">
        <f aca="false">SUM(J$6:J240)</f>
        <v>0</v>
      </c>
      <c r="P240" s="124" t="n">
        <f aca="false">D240/P$3</f>
        <v>0</v>
      </c>
      <c r="Q240" s="143" t="n">
        <f aca="false">E240/P$3</f>
        <v>0.434486191903379</v>
      </c>
      <c r="R240" s="124" t="n">
        <f aca="false">F240/R$3</f>
        <v>0</v>
      </c>
      <c r="S240" s="126" t="n">
        <f aca="false">J240/$R$3</f>
        <v>0</v>
      </c>
      <c r="T240" s="126" t="n">
        <f aca="false">L240/$R$3</f>
        <v>0</v>
      </c>
      <c r="U240" s="126" t="n">
        <f aca="false">I240/$R$3</f>
        <v>0</v>
      </c>
      <c r="V240" s="126" t="n">
        <f aca="false">M240/$R$3</f>
        <v>0</v>
      </c>
      <c r="W240" s="126" t="n">
        <f aca="false">N240/$R$3</f>
        <v>0</v>
      </c>
    </row>
    <row r="241" customFormat="false" ht="12.75" hidden="true" customHeight="false" outlineLevel="0" collapsed="false">
      <c r="A241" s="120" t="n">
        <f aca="false">A240+1</f>
        <v>37127</v>
      </c>
      <c r="B241" s="131" t="str">
        <f aca="false">INDEX('Master Data'!$A$2:$B$8,MATCH(WEEKDAY('SC Total Power'!A241,3),'Master Data'!$A$2:$A$8,0),2)</f>
        <v>F</v>
      </c>
      <c r="D241" s="124" t="n">
        <v>0</v>
      </c>
      <c r="E241" s="124" t="n">
        <v>434601.906858905</v>
      </c>
      <c r="F241" s="124" t="n">
        <v>0</v>
      </c>
      <c r="G241" s="124" t="n">
        <v>0</v>
      </c>
      <c r="I241" s="124" t="n">
        <f aca="false">IF(MONTH($A241)=MONTH($A240),IF(G241=0,I240,G241),G241)</f>
        <v>0</v>
      </c>
      <c r="J241" s="124" t="n">
        <f aca="false">IF(MONTH($A241)=MONTH($A240),SUM(I241-I240),I241)</f>
        <v>0</v>
      </c>
      <c r="K241" s="124" t="n">
        <f aca="false">IF(WEEKDAY(A241,3)&gt;4,0,(IF(A241&lt;K$2,0,IF(A241&lt;=K$3,1,0))))</f>
        <v>0</v>
      </c>
      <c r="L241" s="124" t="n">
        <f aca="false">J241*K241</f>
        <v>0</v>
      </c>
      <c r="M241" s="124" t="n">
        <f aca="false">SUM(J$97:J241)</f>
        <v>0</v>
      </c>
      <c r="N241" s="124" t="n">
        <f aca="false">SUM(J$6:J241)</f>
        <v>0</v>
      </c>
      <c r="P241" s="124" t="n">
        <f aca="false">D241/P$3</f>
        <v>0</v>
      </c>
      <c r="Q241" s="143" t="n">
        <f aca="false">E241/P$3</f>
        <v>0.434601906858905</v>
      </c>
      <c r="R241" s="124" t="n">
        <f aca="false">F241/R$3</f>
        <v>0</v>
      </c>
      <c r="S241" s="126" t="n">
        <f aca="false">J241/$R$3</f>
        <v>0</v>
      </c>
      <c r="T241" s="126" t="n">
        <f aca="false">L241/$R$3</f>
        <v>0</v>
      </c>
      <c r="U241" s="126" t="n">
        <f aca="false">I241/$R$3</f>
        <v>0</v>
      </c>
      <c r="V241" s="126" t="n">
        <f aca="false">M241/$R$3</f>
        <v>0</v>
      </c>
      <c r="W241" s="126" t="n">
        <f aca="false">N241/$R$3</f>
        <v>0</v>
      </c>
    </row>
    <row r="242" customFormat="false" ht="12.75" hidden="true" customHeight="false" outlineLevel="0" collapsed="false">
      <c r="A242" s="120" t="n">
        <f aca="false">A241+1</f>
        <v>37128</v>
      </c>
      <c r="B242" s="131" t="str">
        <f aca="false">INDEX('Master Data'!$A$2:$B$8,MATCH(WEEKDAY('SC Total Power'!A242,3),'Master Data'!$A$2:$A$8,0),2)</f>
        <v>Sa</v>
      </c>
      <c r="D242" s="124" t="n">
        <v>0</v>
      </c>
      <c r="E242" s="124" t="n">
        <v>0</v>
      </c>
      <c r="F242" s="124" t="n">
        <v>0</v>
      </c>
      <c r="G242" s="124" t="n">
        <v>0</v>
      </c>
      <c r="I242" s="124" t="n">
        <f aca="false">IF(MONTH($A242)=MONTH($A241),IF(G242=0,I241,G242),G242)</f>
        <v>0</v>
      </c>
      <c r="J242" s="124" t="n">
        <f aca="false">IF(MONTH($A242)=MONTH($A241),SUM(I242-I241),I242)</f>
        <v>0</v>
      </c>
      <c r="K242" s="124" t="n">
        <f aca="false">IF(WEEKDAY(A242,3)&gt;4,0,(IF(A242&lt;K$2,0,IF(A242&lt;=K$3,1,0))))</f>
        <v>0</v>
      </c>
      <c r="L242" s="124" t="n">
        <f aca="false">J242*K242</f>
        <v>0</v>
      </c>
      <c r="M242" s="124" t="n">
        <f aca="false">SUM(J$97:J242)</f>
        <v>0</v>
      </c>
      <c r="N242" s="124" t="n">
        <f aca="false">SUM(J$6:J242)</f>
        <v>0</v>
      </c>
      <c r="P242" s="124" t="n">
        <f aca="false">D242/P$3</f>
        <v>0</v>
      </c>
      <c r="Q242" s="143" t="n">
        <f aca="false">E242/P$3</f>
        <v>0</v>
      </c>
      <c r="R242" s="124" t="n">
        <f aca="false">F242/R$3</f>
        <v>0</v>
      </c>
      <c r="S242" s="126" t="n">
        <f aca="false">J242/$R$3</f>
        <v>0</v>
      </c>
      <c r="T242" s="126" t="n">
        <f aca="false">L242/$R$3</f>
        <v>0</v>
      </c>
      <c r="U242" s="126" t="n">
        <f aca="false">I242/$R$3</f>
        <v>0</v>
      </c>
      <c r="V242" s="126" t="n">
        <f aca="false">M242/$R$3</f>
        <v>0</v>
      </c>
      <c r="W242" s="126" t="n">
        <f aca="false">N242/$R$3</f>
        <v>0</v>
      </c>
    </row>
    <row r="243" customFormat="false" ht="12.75" hidden="true" customHeight="false" outlineLevel="0" collapsed="false">
      <c r="A243" s="120" t="n">
        <f aca="false">A242+1</f>
        <v>37129</v>
      </c>
      <c r="B243" s="131" t="str">
        <f aca="false">INDEX('Master Data'!$A$2:$B$8,MATCH(WEEKDAY('SC Total Power'!A243,3),'Master Data'!$A$2:$A$8,0),2)</f>
        <v>Su</v>
      </c>
      <c r="D243" s="124" t="n">
        <v>0</v>
      </c>
      <c r="E243" s="124" t="n">
        <v>0</v>
      </c>
      <c r="F243" s="124" t="n">
        <v>0</v>
      </c>
      <c r="G243" s="124" t="n">
        <v>0</v>
      </c>
      <c r="I243" s="124" t="n">
        <f aca="false">IF(MONTH($A243)=MONTH($A242),IF(G243=0,I242,G243),G243)</f>
        <v>0</v>
      </c>
      <c r="J243" s="124" t="n">
        <f aca="false">IF(MONTH($A243)=MONTH($A242),SUM(I243-I242),I243)</f>
        <v>0</v>
      </c>
      <c r="K243" s="124" t="n">
        <f aca="false">IF(WEEKDAY(A243,3)&gt;4,0,(IF(A243&lt;K$2,0,IF(A243&lt;=K$3,1,0))))</f>
        <v>0</v>
      </c>
      <c r="L243" s="124" t="n">
        <f aca="false">J243*K243</f>
        <v>0</v>
      </c>
      <c r="M243" s="124" t="n">
        <f aca="false">SUM(J$97:J243)</f>
        <v>0</v>
      </c>
      <c r="N243" s="124" t="n">
        <f aca="false">SUM(J$6:J243)</f>
        <v>0</v>
      </c>
      <c r="P243" s="124" t="n">
        <f aca="false">D243/P$3</f>
        <v>0</v>
      </c>
      <c r="Q243" s="143" t="n">
        <f aca="false">E243/P$3</f>
        <v>0</v>
      </c>
      <c r="R243" s="124" t="n">
        <f aca="false">F243/R$3</f>
        <v>0</v>
      </c>
      <c r="S243" s="126" t="n">
        <f aca="false">J243/$R$3</f>
        <v>0</v>
      </c>
      <c r="T243" s="126" t="n">
        <f aca="false">L243/$R$3</f>
        <v>0</v>
      </c>
      <c r="U243" s="126" t="n">
        <f aca="false">I243/$R$3</f>
        <v>0</v>
      </c>
      <c r="V243" s="126" t="n">
        <f aca="false">M243/$R$3</f>
        <v>0</v>
      </c>
      <c r="W243" s="126" t="n">
        <f aca="false">N243/$R$3</f>
        <v>0</v>
      </c>
    </row>
    <row r="244" customFormat="false" ht="12.75" hidden="true" customHeight="false" outlineLevel="0" collapsed="false">
      <c r="A244" s="120" t="n">
        <f aca="false">A243+1</f>
        <v>37130</v>
      </c>
      <c r="B244" s="131" t="str">
        <f aca="false">INDEX('Master Data'!$A$2:$B$8,MATCH(WEEKDAY('SC Total Power'!A244,3),'Master Data'!$A$2:$A$8,0),2)</f>
        <v>M</v>
      </c>
      <c r="D244" s="124" t="n">
        <v>0</v>
      </c>
      <c r="E244" s="124" t="n">
        <v>434308.851194163</v>
      </c>
      <c r="F244" s="124" t="n">
        <v>0</v>
      </c>
      <c r="G244" s="124" t="n">
        <v>0</v>
      </c>
      <c r="I244" s="124" t="n">
        <f aca="false">IF(MONTH($A244)=MONTH($A243),IF(G244=0,I243,G244),G244)</f>
        <v>0</v>
      </c>
      <c r="J244" s="124" t="n">
        <f aca="false">IF(MONTH($A244)=MONTH($A243),SUM(I244-I243),I244)</f>
        <v>0</v>
      </c>
      <c r="K244" s="124" t="n">
        <f aca="false">IF(WEEKDAY(A244,3)&gt;4,0,(IF(A244&lt;K$2,0,IF(A244&lt;=K$3,1,0))))</f>
        <v>0</v>
      </c>
      <c r="L244" s="124" t="n">
        <f aca="false">J244*K244</f>
        <v>0</v>
      </c>
      <c r="M244" s="124" t="n">
        <f aca="false">SUM(J$97:J244)</f>
        <v>0</v>
      </c>
      <c r="N244" s="124" t="n">
        <f aca="false">SUM(J$6:J244)</f>
        <v>0</v>
      </c>
      <c r="P244" s="124" t="n">
        <f aca="false">D244/P$3</f>
        <v>0</v>
      </c>
      <c r="Q244" s="143" t="n">
        <f aca="false">E244/P$3</f>
        <v>0.434308851194163</v>
      </c>
      <c r="R244" s="124" t="n">
        <f aca="false">F244/R$3</f>
        <v>0</v>
      </c>
      <c r="S244" s="126" t="n">
        <f aca="false">J244/$R$3</f>
        <v>0</v>
      </c>
      <c r="T244" s="126" t="n">
        <f aca="false">L244/$R$3</f>
        <v>0</v>
      </c>
      <c r="U244" s="126" t="n">
        <f aca="false">I244/$R$3</f>
        <v>0</v>
      </c>
      <c r="V244" s="126" t="n">
        <f aca="false">M244/$R$3</f>
        <v>0</v>
      </c>
      <c r="W244" s="126" t="n">
        <f aca="false">N244/$R$3</f>
        <v>0</v>
      </c>
    </row>
    <row r="245" customFormat="false" ht="12.75" hidden="true" customHeight="false" outlineLevel="0" collapsed="false">
      <c r="A245" s="120" t="n">
        <f aca="false">A244+1</f>
        <v>37131</v>
      </c>
      <c r="B245" s="131" t="str">
        <f aca="false">INDEX('Master Data'!$A$2:$B$8,MATCH(WEEKDAY('SC Total Power'!A245,3),'Master Data'!$A$2:$A$8,0),2)</f>
        <v>T</v>
      </c>
      <c r="D245" s="124" t="n">
        <v>0</v>
      </c>
      <c r="E245" s="124" t="n">
        <v>434333.729788129</v>
      </c>
      <c r="F245" s="124" t="n">
        <v>0</v>
      </c>
      <c r="G245" s="124" t="n">
        <v>0</v>
      </c>
      <c r="I245" s="124" t="n">
        <f aca="false">IF(MONTH($A245)=MONTH($A244),IF(G245=0,I244,G245),G245)</f>
        <v>0</v>
      </c>
      <c r="J245" s="124" t="n">
        <f aca="false">IF(MONTH($A245)=MONTH($A244),SUM(I245-I244),I245)</f>
        <v>0</v>
      </c>
      <c r="K245" s="124" t="n">
        <f aca="false">IF(WEEKDAY(A245,3)&gt;4,0,(IF(A245&lt;K$2,0,IF(A245&lt;=K$3,1,0))))</f>
        <v>0</v>
      </c>
      <c r="L245" s="124" t="n">
        <f aca="false">J245*K245</f>
        <v>0</v>
      </c>
      <c r="M245" s="124" t="n">
        <f aca="false">SUM(J$97:J245)</f>
        <v>0</v>
      </c>
      <c r="N245" s="124" t="n">
        <f aca="false">SUM(J$6:J245)</f>
        <v>0</v>
      </c>
      <c r="P245" s="124" t="n">
        <f aca="false">D245/P$3</f>
        <v>0</v>
      </c>
      <c r="Q245" s="143" t="n">
        <f aca="false">E245/P$3</f>
        <v>0.434333729788129</v>
      </c>
      <c r="R245" s="124" t="n">
        <f aca="false">F245/R$3</f>
        <v>0</v>
      </c>
      <c r="S245" s="126" t="n">
        <f aca="false">J245/$R$3</f>
        <v>0</v>
      </c>
      <c r="T245" s="126" t="n">
        <f aca="false">L245/$R$3</f>
        <v>0</v>
      </c>
      <c r="U245" s="126" t="n">
        <f aca="false">I245/$R$3</f>
        <v>0</v>
      </c>
      <c r="V245" s="126" t="n">
        <f aca="false">M245/$R$3</f>
        <v>0</v>
      </c>
      <c r="W245" s="126" t="n">
        <f aca="false">N245/$R$3</f>
        <v>0</v>
      </c>
    </row>
    <row r="246" customFormat="false" ht="12.75" hidden="true" customHeight="false" outlineLevel="0" collapsed="false">
      <c r="A246" s="120" t="n">
        <f aca="false">A245+1</f>
        <v>37132</v>
      </c>
      <c r="B246" s="131" t="str">
        <f aca="false">INDEX('Master Data'!$A$2:$B$8,MATCH(WEEKDAY('SC Total Power'!A246,3),'Master Data'!$A$2:$A$8,0),2)</f>
        <v>W</v>
      </c>
      <c r="D246" s="124" t="n">
        <v>0</v>
      </c>
      <c r="E246" s="124" t="n">
        <v>435643.521450714</v>
      </c>
      <c r="F246" s="124" t="n">
        <v>0</v>
      </c>
      <c r="G246" s="124" t="n">
        <v>0</v>
      </c>
      <c r="I246" s="124" t="n">
        <f aca="false">IF(MONTH($A246)=MONTH($A245),IF(G246=0,I245,G246),G246)</f>
        <v>0</v>
      </c>
      <c r="J246" s="124" t="n">
        <f aca="false">IF(MONTH($A246)=MONTH($A245),SUM(I246-I245),I246)</f>
        <v>0</v>
      </c>
      <c r="K246" s="124" t="n">
        <f aca="false">IF(WEEKDAY(A246,3)&gt;4,0,(IF(A246&lt;K$2,0,IF(A246&lt;=K$3,1,0))))</f>
        <v>0</v>
      </c>
      <c r="L246" s="124" t="n">
        <f aca="false">J246*K246</f>
        <v>0</v>
      </c>
      <c r="M246" s="124" t="n">
        <f aca="false">SUM(J$97:J246)</f>
        <v>0</v>
      </c>
      <c r="N246" s="124" t="n">
        <f aca="false">SUM(J$6:J246)</f>
        <v>0</v>
      </c>
      <c r="P246" s="124" t="n">
        <f aca="false">D246/P$3</f>
        <v>0</v>
      </c>
      <c r="Q246" s="143" t="n">
        <f aca="false">E246/P$3</f>
        <v>0.435643521450714</v>
      </c>
      <c r="R246" s="124" t="n">
        <f aca="false">F246/R$3</f>
        <v>0</v>
      </c>
      <c r="S246" s="126" t="n">
        <f aca="false">J246/$R$3</f>
        <v>0</v>
      </c>
      <c r="T246" s="126" t="n">
        <f aca="false">L246/$R$3</f>
        <v>0</v>
      </c>
      <c r="U246" s="126" t="n">
        <f aca="false">I246/$R$3</f>
        <v>0</v>
      </c>
      <c r="V246" s="126" t="n">
        <f aca="false">M246/$R$3</f>
        <v>0</v>
      </c>
      <c r="W246" s="126" t="n">
        <f aca="false">N246/$R$3</f>
        <v>0</v>
      </c>
    </row>
    <row r="247" customFormat="false" ht="12.75" hidden="true" customHeight="false" outlineLevel="0" collapsed="false">
      <c r="A247" s="120" t="n">
        <f aca="false">A246+1</f>
        <v>37133</v>
      </c>
      <c r="B247" s="131" t="str">
        <f aca="false">INDEX('Master Data'!$A$2:$B$8,MATCH(WEEKDAY('SC Total Power'!A247,3),'Master Data'!$A$2:$A$8,0),2)</f>
        <v>Th</v>
      </c>
      <c r="D247" s="124" t="n">
        <v>0</v>
      </c>
      <c r="E247" s="124" t="n">
        <v>436230.928926426</v>
      </c>
      <c r="F247" s="124" t="n">
        <v>0</v>
      </c>
      <c r="G247" s="124" t="n">
        <v>0</v>
      </c>
      <c r="I247" s="124" t="n">
        <f aca="false">IF(MONTH($A247)=MONTH($A246),IF(G247=0,I246,G247),G247)</f>
        <v>0</v>
      </c>
      <c r="J247" s="124" t="n">
        <f aca="false">IF(MONTH($A247)=MONTH($A246),SUM(I247-I246),I247)</f>
        <v>0</v>
      </c>
      <c r="K247" s="124" t="n">
        <f aca="false">IF(WEEKDAY(A247,3)&gt;4,0,(IF(A247&lt;K$2,0,IF(A247&lt;=K$3,1,0))))</f>
        <v>0</v>
      </c>
      <c r="L247" s="124" t="n">
        <f aca="false">J247*K247</f>
        <v>0</v>
      </c>
      <c r="M247" s="124" t="n">
        <f aca="false">SUM(J$97:J247)</f>
        <v>0</v>
      </c>
      <c r="N247" s="124" t="n">
        <f aca="false">SUM(J$6:J247)</f>
        <v>0</v>
      </c>
      <c r="P247" s="124" t="n">
        <f aca="false">D247/P$3</f>
        <v>0</v>
      </c>
      <c r="Q247" s="143" t="n">
        <f aca="false">E247/P$3</f>
        <v>0.436230928926426</v>
      </c>
      <c r="R247" s="124" t="n">
        <f aca="false">F247/R$3</f>
        <v>0</v>
      </c>
      <c r="S247" s="126" t="n">
        <f aca="false">J247/$R$3</f>
        <v>0</v>
      </c>
      <c r="T247" s="126" t="n">
        <f aca="false">L247/$R$3</f>
        <v>0</v>
      </c>
      <c r="U247" s="126" t="n">
        <f aca="false">I247/$R$3</f>
        <v>0</v>
      </c>
      <c r="V247" s="126" t="n">
        <f aca="false">M247/$R$3</f>
        <v>0</v>
      </c>
      <c r="W247" s="126" t="n">
        <f aca="false">N247/$R$3</f>
        <v>0</v>
      </c>
    </row>
    <row r="248" customFormat="false" ht="12.75" hidden="false" customHeight="false" outlineLevel="0" collapsed="false">
      <c r="A248" s="120" t="n">
        <f aca="false">A247+1</f>
        <v>37134</v>
      </c>
      <c r="B248" s="131" t="str">
        <f aca="false">INDEX('Master Data'!$A$2:$B$8,MATCH(WEEKDAY('SC Total Power'!A248,3),'Master Data'!$A$2:$A$8,0),2)</f>
        <v>F</v>
      </c>
      <c r="D248" s="124" t="n">
        <v>0</v>
      </c>
      <c r="E248" s="124" t="n">
        <v>436746.563916936</v>
      </c>
      <c r="F248" s="124" t="n">
        <v>0</v>
      </c>
      <c r="G248" s="124" t="n">
        <v>0</v>
      </c>
      <c r="I248" s="124" t="n">
        <f aca="false">IF(MONTH($A248)=MONTH($A247),IF(G248=0,I247,G248),G248)</f>
        <v>0</v>
      </c>
      <c r="J248" s="124" t="n">
        <f aca="false">IF(MONTH($A248)=MONTH($A247),SUM(I248-I247),I248)</f>
        <v>0</v>
      </c>
      <c r="K248" s="124" t="n">
        <f aca="false">IF(WEEKDAY(A248,3)&gt;4,0,(IF(A248&lt;K$2,0,IF(A248&lt;=K$3,1,0))))</f>
        <v>0</v>
      </c>
      <c r="L248" s="124" t="n">
        <f aca="false">J248*K248</f>
        <v>0</v>
      </c>
      <c r="M248" s="124" t="n">
        <f aca="false">SUM(J$97:J248)</f>
        <v>0</v>
      </c>
      <c r="N248" s="124" t="n">
        <f aca="false">SUM(J$6:J248)</f>
        <v>0</v>
      </c>
      <c r="P248" s="124" t="n">
        <f aca="false">D248/P$3</f>
        <v>0</v>
      </c>
      <c r="Q248" s="143" t="n">
        <f aca="false">E248/P$3</f>
        <v>0.436746563916936</v>
      </c>
      <c r="R248" s="124" t="n">
        <f aca="false">F248/R$3</f>
        <v>0</v>
      </c>
      <c r="S248" s="126" t="n">
        <f aca="false">J248/$R$3</f>
        <v>0</v>
      </c>
      <c r="T248" s="126" t="n">
        <f aca="false">L248/$R$3</f>
        <v>0</v>
      </c>
      <c r="U248" s="126" t="n">
        <f aca="false">I248/$R$3</f>
        <v>0</v>
      </c>
      <c r="V248" s="126" t="n">
        <f aca="false">M248/$R$3</f>
        <v>0</v>
      </c>
      <c r="W248" s="126" t="n">
        <f aca="false">N248/$R$3</f>
        <v>0</v>
      </c>
    </row>
    <row r="249" customFormat="false" ht="12.75" hidden="true" customHeight="false" outlineLevel="0" collapsed="false">
      <c r="A249" s="120" t="n">
        <f aca="false">A248+1</f>
        <v>37135</v>
      </c>
      <c r="B249" s="131" t="str">
        <f aca="false">INDEX('Master Data'!$A$2:$B$8,MATCH(WEEKDAY('SC Total Power'!A249,3),'Master Data'!$A$2:$A$8,0),2)</f>
        <v>Sa</v>
      </c>
      <c r="D249" s="124" t="n">
        <v>0</v>
      </c>
      <c r="E249" s="124" t="n">
        <v>0</v>
      </c>
      <c r="F249" s="124" t="n">
        <v>0</v>
      </c>
      <c r="G249" s="124" t="n">
        <v>0</v>
      </c>
      <c r="I249" s="124" t="n">
        <f aca="false">IF(MONTH($A249)=MONTH($A248),IF(G249=0,I248,G249),G249)</f>
        <v>0</v>
      </c>
      <c r="J249" s="124" t="n">
        <f aca="false">IF(MONTH($A249)=MONTH($A248),SUM(I249-I248),I249)</f>
        <v>0</v>
      </c>
      <c r="K249" s="124" t="n">
        <f aca="false">IF(WEEKDAY(A249,3)&gt;4,0,(IF(A249&lt;K$2,0,IF(A249&lt;=K$3,1,0))))</f>
        <v>0</v>
      </c>
      <c r="L249" s="124" t="n">
        <f aca="false">J249*K249</f>
        <v>0</v>
      </c>
      <c r="M249" s="124" t="n">
        <f aca="false">SUM(J$97:J249)</f>
        <v>0</v>
      </c>
      <c r="N249" s="124" t="n">
        <f aca="false">SUM(J$6:J249)</f>
        <v>0</v>
      </c>
      <c r="P249" s="124" t="n">
        <f aca="false">D249/P$3</f>
        <v>0</v>
      </c>
      <c r="Q249" s="143" t="n">
        <f aca="false">E249/P$3</f>
        <v>0</v>
      </c>
      <c r="R249" s="124" t="n">
        <f aca="false">F249/R$3</f>
        <v>0</v>
      </c>
      <c r="S249" s="126" t="n">
        <f aca="false">J249/$R$3</f>
        <v>0</v>
      </c>
      <c r="T249" s="126" t="n">
        <f aca="false">L249/$R$3</f>
        <v>0</v>
      </c>
      <c r="U249" s="126" t="n">
        <f aca="false">I249/$R$3</f>
        <v>0</v>
      </c>
      <c r="V249" s="126" t="n">
        <f aca="false">M249/$R$3</f>
        <v>0</v>
      </c>
      <c r="W249" s="126" t="n">
        <f aca="false">N249/$R$3</f>
        <v>0</v>
      </c>
    </row>
    <row r="250" customFormat="false" ht="12.75" hidden="true" customHeight="false" outlineLevel="0" collapsed="false">
      <c r="A250" s="120" t="n">
        <f aca="false">A249+1</f>
        <v>37136</v>
      </c>
      <c r="B250" s="131" t="str">
        <f aca="false">INDEX('Master Data'!$A$2:$B$8,MATCH(WEEKDAY('SC Total Power'!A250,3),'Master Data'!$A$2:$A$8,0),2)</f>
        <v>Su</v>
      </c>
      <c r="D250" s="124" t="n">
        <v>0</v>
      </c>
      <c r="E250" s="124" t="n">
        <v>0</v>
      </c>
      <c r="F250" s="124" t="n">
        <v>0</v>
      </c>
      <c r="G250" s="124" t="n">
        <v>0</v>
      </c>
      <c r="I250" s="124" t="n">
        <f aca="false">IF(MONTH($A250)=MONTH($A249),IF(G250=0,I249,G250),G250)</f>
        <v>0</v>
      </c>
      <c r="J250" s="124" t="n">
        <f aca="false">IF(MONTH($A250)=MONTH($A249),SUM(I250-I249),I250)</f>
        <v>0</v>
      </c>
      <c r="K250" s="124" t="n">
        <f aca="false">IF(WEEKDAY(A250,3)&gt;4,0,(IF(A250&lt;K$2,0,IF(A250&lt;=K$3,1,0))))</f>
        <v>0</v>
      </c>
      <c r="L250" s="124" t="n">
        <f aca="false">J250*K250</f>
        <v>0</v>
      </c>
      <c r="M250" s="124" t="n">
        <f aca="false">SUM(J$97:J250)</f>
        <v>0</v>
      </c>
      <c r="N250" s="124" t="n">
        <f aca="false">SUM(J$6:J250)</f>
        <v>0</v>
      </c>
      <c r="P250" s="124" t="n">
        <f aca="false">D250/P$3</f>
        <v>0</v>
      </c>
      <c r="Q250" s="143" t="n">
        <f aca="false">E250/P$3</f>
        <v>0</v>
      </c>
      <c r="R250" s="124" t="n">
        <f aca="false">F250/R$3</f>
        <v>0</v>
      </c>
      <c r="S250" s="126" t="n">
        <f aca="false">J250/$R$3</f>
        <v>0</v>
      </c>
      <c r="T250" s="126" t="n">
        <f aca="false">L250/$R$3</f>
        <v>0</v>
      </c>
      <c r="U250" s="126" t="n">
        <f aca="false">I250/$R$3</f>
        <v>0</v>
      </c>
      <c r="V250" s="126" t="n">
        <f aca="false">M250/$R$3</f>
        <v>0</v>
      </c>
      <c r="W250" s="126" t="n">
        <f aca="false">N250/$R$3</f>
        <v>0</v>
      </c>
    </row>
    <row r="251" customFormat="false" ht="12.75" hidden="true" customHeight="false" outlineLevel="0" collapsed="false">
      <c r="A251" s="120" t="n">
        <f aca="false">A250+1</f>
        <v>37137</v>
      </c>
      <c r="B251" s="131" t="str">
        <f aca="false">INDEX('Master Data'!$A$2:$B$8,MATCH(WEEKDAY('SC Total Power'!A251,3),'Master Data'!$A$2:$A$8,0),2)</f>
        <v>M</v>
      </c>
      <c r="D251" s="124" t="n">
        <v>0</v>
      </c>
      <c r="E251" s="124" t="n">
        <v>0</v>
      </c>
      <c r="F251" s="124" t="n">
        <v>0</v>
      </c>
      <c r="G251" s="124" t="n">
        <v>0</v>
      </c>
      <c r="I251" s="124" t="n">
        <f aca="false">IF(MONTH($A251)=MONTH($A250),IF(G251=0,I250,G251),G251)</f>
        <v>0</v>
      </c>
      <c r="J251" s="124" t="n">
        <f aca="false">IF(MONTH($A251)=MONTH($A250),SUM(I251-I250),I251)</f>
        <v>0</v>
      </c>
      <c r="K251" s="124" t="n">
        <f aca="false">IF(WEEKDAY(A251,3)&gt;4,0,(IF(A251&lt;K$2,0,IF(A251&lt;=K$3,1,0))))</f>
        <v>0</v>
      </c>
      <c r="L251" s="124" t="n">
        <f aca="false">J251*K251</f>
        <v>0</v>
      </c>
      <c r="M251" s="124" t="n">
        <f aca="false">SUM(J$97:J251)</f>
        <v>0</v>
      </c>
      <c r="N251" s="124" t="n">
        <f aca="false">SUM(J$6:J251)</f>
        <v>0</v>
      </c>
      <c r="P251" s="124" t="n">
        <f aca="false">D251/P$3</f>
        <v>0</v>
      </c>
      <c r="Q251" s="143" t="n">
        <f aca="false">E251/P$3</f>
        <v>0</v>
      </c>
      <c r="R251" s="124" t="n">
        <f aca="false">F251/R$3</f>
        <v>0</v>
      </c>
      <c r="S251" s="126" t="n">
        <f aca="false">J251/$R$3</f>
        <v>0</v>
      </c>
      <c r="T251" s="126" t="n">
        <f aca="false">L251/$R$3</f>
        <v>0</v>
      </c>
      <c r="U251" s="126" t="n">
        <f aca="false">I251/$R$3</f>
        <v>0</v>
      </c>
      <c r="V251" s="126" t="n">
        <f aca="false">M251/$R$3</f>
        <v>0</v>
      </c>
      <c r="W251" s="126" t="n">
        <f aca="false">N251/$R$3</f>
        <v>0</v>
      </c>
    </row>
    <row r="252" customFormat="false" ht="12.75" hidden="true" customHeight="false" outlineLevel="0" collapsed="false">
      <c r="A252" s="120" t="n">
        <f aca="false">A251+1</f>
        <v>37138</v>
      </c>
      <c r="B252" s="131" t="str">
        <f aca="false">INDEX('Master Data'!$A$2:$B$8,MATCH(WEEKDAY('SC Total Power'!A252,3),'Master Data'!$A$2:$A$8,0),2)</f>
        <v>T</v>
      </c>
      <c r="D252" s="124" t="n">
        <v>0</v>
      </c>
      <c r="E252" s="124" t="n">
        <v>436709.537722142</v>
      </c>
      <c r="F252" s="124" t="n">
        <v>0</v>
      </c>
      <c r="G252" s="124" t="n">
        <v>0</v>
      </c>
      <c r="I252" s="124" t="n">
        <f aca="false">IF(MONTH($A252)=MONTH($A251),IF(G252=0,I251,G252),G252)</f>
        <v>0</v>
      </c>
      <c r="J252" s="124" t="n">
        <f aca="false">IF(MONTH($A252)=MONTH($A251),SUM(I252-I251),I252)</f>
        <v>0</v>
      </c>
      <c r="K252" s="124" t="n">
        <f aca="false">IF(WEEKDAY(A252,3)&gt;4,0,(IF(A252&lt;K$2,0,IF(A252&lt;=K$3,1,0))))</f>
        <v>0</v>
      </c>
      <c r="L252" s="124" t="n">
        <f aca="false">J252*K252</f>
        <v>0</v>
      </c>
      <c r="M252" s="124" t="n">
        <f aca="false">SUM(J$97:J252)</f>
        <v>0</v>
      </c>
      <c r="N252" s="124" t="n">
        <f aca="false">SUM(J$6:J252)</f>
        <v>0</v>
      </c>
      <c r="P252" s="124" t="n">
        <f aca="false">D252/P$3</f>
        <v>0</v>
      </c>
      <c r="Q252" s="143" t="n">
        <f aca="false">E252/P$3</f>
        <v>0.436709537722142</v>
      </c>
      <c r="R252" s="124" t="n">
        <f aca="false">F252/R$3</f>
        <v>0</v>
      </c>
      <c r="S252" s="126" t="n">
        <f aca="false">J252/$R$3</f>
        <v>0</v>
      </c>
      <c r="T252" s="126" t="n">
        <f aca="false">L252/$R$3</f>
        <v>0</v>
      </c>
      <c r="U252" s="126" t="n">
        <f aca="false">I252/$R$3</f>
        <v>0</v>
      </c>
      <c r="V252" s="126" t="n">
        <f aca="false">M252/$R$3</f>
        <v>0</v>
      </c>
      <c r="W252" s="126" t="n">
        <f aca="false">N252/$R$3</f>
        <v>0</v>
      </c>
    </row>
    <row r="253" customFormat="false" ht="12.75" hidden="true" customHeight="false" outlineLevel="0" collapsed="false">
      <c r="A253" s="120" t="n">
        <f aca="false">A252+1</f>
        <v>37139</v>
      </c>
      <c r="B253" s="131" t="str">
        <f aca="false">INDEX('Master Data'!$A$2:$B$8,MATCH(WEEKDAY('SC Total Power'!A253,3),'Master Data'!$A$2:$A$8,0),2)</f>
        <v>W</v>
      </c>
      <c r="D253" s="124" t="n">
        <v>0</v>
      </c>
      <c r="E253" s="124" t="n">
        <v>434029.484354925</v>
      </c>
      <c r="F253" s="124" t="n">
        <v>0</v>
      </c>
      <c r="G253" s="124" t="n">
        <v>0</v>
      </c>
      <c r="I253" s="124" t="n">
        <f aca="false">IF(MONTH($A253)=MONTH($A252),IF(G253=0,I252,G253),G253)</f>
        <v>0</v>
      </c>
      <c r="J253" s="124" t="n">
        <f aca="false">IF(MONTH($A253)=MONTH($A252),SUM(I253-I252),I253)</f>
        <v>0</v>
      </c>
      <c r="K253" s="124" t="n">
        <f aca="false">IF(WEEKDAY(A253,3)&gt;4,0,(IF(A253&lt;K$2,0,IF(A253&lt;=K$3,1,0))))</f>
        <v>0</v>
      </c>
      <c r="L253" s="124" t="n">
        <f aca="false">J253*K253</f>
        <v>0</v>
      </c>
      <c r="M253" s="124" t="n">
        <f aca="false">SUM(J$97:J253)</f>
        <v>0</v>
      </c>
      <c r="N253" s="124" t="n">
        <f aca="false">SUM(J$6:J253)</f>
        <v>0</v>
      </c>
      <c r="P253" s="124" t="n">
        <f aca="false">D253/P$3</f>
        <v>0</v>
      </c>
      <c r="Q253" s="143" t="n">
        <f aca="false">E253/P$3</f>
        <v>0.434029484354925</v>
      </c>
      <c r="R253" s="124" t="n">
        <f aca="false">F253/R$3</f>
        <v>0</v>
      </c>
      <c r="S253" s="126" t="n">
        <f aca="false">J253/$R$3</f>
        <v>0</v>
      </c>
      <c r="T253" s="126" t="n">
        <f aca="false">L253/$R$3</f>
        <v>0</v>
      </c>
      <c r="U253" s="126" t="n">
        <f aca="false">I253/$R$3</f>
        <v>0</v>
      </c>
      <c r="V253" s="126" t="n">
        <f aca="false">M253/$R$3</f>
        <v>0</v>
      </c>
      <c r="W253" s="126" t="n">
        <f aca="false">N253/$R$3</f>
        <v>0</v>
      </c>
    </row>
    <row r="254" customFormat="false" ht="12.75" hidden="true" customHeight="false" outlineLevel="0" collapsed="false">
      <c r="A254" s="120" t="n">
        <f aca="false">A253+1</f>
        <v>37140</v>
      </c>
      <c r="B254" s="131" t="str">
        <f aca="false">INDEX('Master Data'!$A$2:$B$8,MATCH(WEEKDAY('SC Total Power'!A254,3),'Master Data'!$A$2:$A$8,0),2)</f>
        <v>Th</v>
      </c>
      <c r="D254" s="124" t="n">
        <v>0</v>
      </c>
      <c r="E254" s="124" t="n">
        <v>434923.124299258</v>
      </c>
      <c r="F254" s="124" t="n">
        <v>0</v>
      </c>
      <c r="G254" s="124" t="n">
        <v>0</v>
      </c>
      <c r="I254" s="124" t="n">
        <f aca="false">IF(MONTH($A254)=MONTH($A253),IF(G254=0,I253,G254),G254)</f>
        <v>0</v>
      </c>
      <c r="J254" s="124" t="n">
        <f aca="false">IF(MONTH($A254)=MONTH($A253),SUM(I254-I253),I254)</f>
        <v>0</v>
      </c>
      <c r="K254" s="124" t="n">
        <f aca="false">IF(WEEKDAY(A254,3)&gt;4,0,(IF(A254&lt;K$2,0,IF(A254&lt;=K$3,1,0))))</f>
        <v>0</v>
      </c>
      <c r="L254" s="124" t="n">
        <f aca="false">J254*K254</f>
        <v>0</v>
      </c>
      <c r="M254" s="124" t="n">
        <f aca="false">SUM(J$97:J254)</f>
        <v>0</v>
      </c>
      <c r="N254" s="124" t="n">
        <f aca="false">SUM(J$6:J254)</f>
        <v>0</v>
      </c>
      <c r="P254" s="124" t="n">
        <f aca="false">D254/P$3</f>
        <v>0</v>
      </c>
      <c r="Q254" s="143" t="n">
        <f aca="false">E254/P$3</f>
        <v>0.434923124299258</v>
      </c>
      <c r="R254" s="124" t="n">
        <f aca="false">F254/R$3</f>
        <v>0</v>
      </c>
      <c r="S254" s="126" t="n">
        <f aca="false">J254/$R$3</f>
        <v>0</v>
      </c>
      <c r="T254" s="126" t="n">
        <f aca="false">L254/$R$3</f>
        <v>0</v>
      </c>
      <c r="U254" s="126" t="n">
        <f aca="false">I254/$R$3</f>
        <v>0</v>
      </c>
      <c r="V254" s="126" t="n">
        <f aca="false">M254/$R$3</f>
        <v>0</v>
      </c>
      <c r="W254" s="126" t="n">
        <f aca="false">N254/$R$3</f>
        <v>0</v>
      </c>
    </row>
    <row r="255" customFormat="false" ht="12.75" hidden="true" customHeight="false" outlineLevel="0" collapsed="false">
      <c r="A255" s="120" t="n">
        <f aca="false">A254+1</f>
        <v>37141</v>
      </c>
      <c r="B255" s="131" t="str">
        <f aca="false">INDEX('Master Data'!$A$2:$B$8,MATCH(WEEKDAY('SC Total Power'!A255,3),'Master Data'!$A$2:$A$8,0),2)</f>
        <v>F</v>
      </c>
      <c r="D255" s="124" t="n">
        <v>0</v>
      </c>
      <c r="E255" s="124" t="n">
        <v>436628.628160766</v>
      </c>
      <c r="F255" s="124" t="n">
        <v>0</v>
      </c>
      <c r="G255" s="124" t="n">
        <v>0</v>
      </c>
      <c r="I255" s="124" t="n">
        <f aca="false">IF(MONTH($A255)=MONTH($A254),IF(G255=0,I254,G255),G255)</f>
        <v>0</v>
      </c>
      <c r="J255" s="124" t="n">
        <f aca="false">IF(MONTH($A255)=MONTH($A254),SUM(I255-I254),I255)</f>
        <v>0</v>
      </c>
      <c r="K255" s="124" t="n">
        <f aca="false">IF(WEEKDAY(A255,3)&gt;4,0,(IF(A255&lt;K$2,0,IF(A255&lt;=K$3,1,0))))</f>
        <v>0</v>
      </c>
      <c r="L255" s="124" t="n">
        <f aca="false">J255*K255</f>
        <v>0</v>
      </c>
      <c r="M255" s="124" t="n">
        <f aca="false">SUM(J$97:J255)</f>
        <v>0</v>
      </c>
      <c r="N255" s="124" t="n">
        <f aca="false">SUM(J$6:J255)</f>
        <v>0</v>
      </c>
      <c r="P255" s="124" t="n">
        <f aca="false">D255/P$3</f>
        <v>0</v>
      </c>
      <c r="Q255" s="143" t="n">
        <f aca="false">E255/P$3</f>
        <v>0.436628628160766</v>
      </c>
      <c r="R255" s="124" t="n">
        <f aca="false">F255/R$3</f>
        <v>0</v>
      </c>
      <c r="S255" s="126" t="n">
        <f aca="false">J255/$R$3</f>
        <v>0</v>
      </c>
      <c r="T255" s="126" t="n">
        <f aca="false">L255/$R$3</f>
        <v>0</v>
      </c>
      <c r="U255" s="126" t="n">
        <f aca="false">I255/$R$3</f>
        <v>0</v>
      </c>
      <c r="V255" s="126" t="n">
        <f aca="false">M255/$R$3</f>
        <v>0</v>
      </c>
      <c r="W255" s="126" t="n">
        <f aca="false">N255/$R$3</f>
        <v>0</v>
      </c>
    </row>
    <row r="256" customFormat="false" ht="12.75" hidden="true" customHeight="false" outlineLevel="0" collapsed="false">
      <c r="A256" s="120" t="n">
        <f aca="false">A255+1</f>
        <v>37142</v>
      </c>
      <c r="B256" s="131" t="str">
        <f aca="false">INDEX('Master Data'!$A$2:$B$8,MATCH(WEEKDAY('SC Total Power'!A256,3),'Master Data'!$A$2:$A$8,0),2)</f>
        <v>Sa</v>
      </c>
      <c r="D256" s="124" t="n">
        <v>0</v>
      </c>
      <c r="E256" s="124" t="n">
        <v>0</v>
      </c>
      <c r="F256" s="124" t="n">
        <v>0</v>
      </c>
      <c r="G256" s="124" t="n">
        <v>0</v>
      </c>
      <c r="I256" s="124" t="n">
        <f aca="false">IF(MONTH($A256)=MONTH($A255),IF(G256=0,I255,G256),G256)</f>
        <v>0</v>
      </c>
      <c r="J256" s="124" t="n">
        <f aca="false">IF(MONTH($A256)=MONTH($A255),SUM(I256-I255),I256)</f>
        <v>0</v>
      </c>
      <c r="K256" s="124" t="n">
        <f aca="false">IF(WEEKDAY(A256,3)&gt;4,0,(IF(A256&lt;K$2,0,IF(A256&lt;=K$3,1,0))))</f>
        <v>0</v>
      </c>
      <c r="L256" s="124" t="n">
        <f aca="false">J256*K256</f>
        <v>0</v>
      </c>
      <c r="M256" s="124" t="n">
        <f aca="false">SUM(J$97:J256)</f>
        <v>0</v>
      </c>
      <c r="N256" s="124" t="n">
        <f aca="false">SUM(J$6:J256)</f>
        <v>0</v>
      </c>
      <c r="P256" s="124" t="n">
        <f aca="false">D256/P$3</f>
        <v>0</v>
      </c>
      <c r="Q256" s="143" t="n">
        <f aca="false">E256/P$3</f>
        <v>0</v>
      </c>
      <c r="R256" s="124" t="n">
        <f aca="false">F256/R$3</f>
        <v>0</v>
      </c>
      <c r="S256" s="126" t="n">
        <f aca="false">J256/$R$3</f>
        <v>0</v>
      </c>
      <c r="T256" s="126" t="n">
        <f aca="false">L256/$R$3</f>
        <v>0</v>
      </c>
      <c r="U256" s="126" t="n">
        <f aca="false">I256/$R$3</f>
        <v>0</v>
      </c>
      <c r="V256" s="126" t="n">
        <f aca="false">M256/$R$3</f>
        <v>0</v>
      </c>
      <c r="W256" s="126" t="n">
        <f aca="false">N256/$R$3</f>
        <v>0</v>
      </c>
    </row>
    <row r="257" customFormat="false" ht="12.75" hidden="true" customHeight="false" outlineLevel="0" collapsed="false">
      <c r="A257" s="120" t="n">
        <f aca="false">A256+1</f>
        <v>37143</v>
      </c>
      <c r="B257" s="131" t="str">
        <f aca="false">INDEX('Master Data'!$A$2:$B$8,MATCH(WEEKDAY('SC Total Power'!A257,3),'Master Data'!$A$2:$A$8,0),2)</f>
        <v>Su</v>
      </c>
      <c r="D257" s="124" t="n">
        <v>0</v>
      </c>
      <c r="E257" s="124" t="n">
        <v>0</v>
      </c>
      <c r="F257" s="124" t="n">
        <v>0</v>
      </c>
      <c r="G257" s="124" t="n">
        <v>0</v>
      </c>
      <c r="I257" s="124" t="n">
        <f aca="false">IF(MONTH($A257)=MONTH($A256),IF(G257=0,I256,G257),G257)</f>
        <v>0</v>
      </c>
      <c r="J257" s="124" t="n">
        <f aca="false">IF(MONTH($A257)=MONTH($A256),SUM(I257-I256),I257)</f>
        <v>0</v>
      </c>
      <c r="K257" s="124" t="n">
        <f aca="false">IF(WEEKDAY(A257,3)&gt;4,0,(IF(A257&lt;K$2,0,IF(A257&lt;=K$3,1,0))))</f>
        <v>0</v>
      </c>
      <c r="L257" s="124" t="n">
        <f aca="false">J257*K257</f>
        <v>0</v>
      </c>
      <c r="M257" s="124" t="n">
        <f aca="false">SUM(J$97:J257)</f>
        <v>0</v>
      </c>
      <c r="N257" s="124" t="n">
        <f aca="false">SUM(J$6:J257)</f>
        <v>0</v>
      </c>
      <c r="P257" s="124" t="n">
        <f aca="false">D257/P$3</f>
        <v>0</v>
      </c>
      <c r="Q257" s="143" t="n">
        <f aca="false">E257/P$3</f>
        <v>0</v>
      </c>
      <c r="R257" s="124" t="n">
        <f aca="false">F257/R$3</f>
        <v>0</v>
      </c>
      <c r="S257" s="126" t="n">
        <f aca="false">J257/$R$3</f>
        <v>0</v>
      </c>
      <c r="T257" s="126" t="n">
        <f aca="false">L257/$R$3</f>
        <v>0</v>
      </c>
      <c r="U257" s="126" t="n">
        <f aca="false">I257/$R$3</f>
        <v>0</v>
      </c>
      <c r="V257" s="126" t="n">
        <f aca="false">M257/$R$3</f>
        <v>0</v>
      </c>
      <c r="W257" s="126" t="n">
        <f aca="false">N257/$R$3</f>
        <v>0</v>
      </c>
    </row>
    <row r="258" customFormat="false" ht="12.75" hidden="true" customHeight="false" outlineLevel="0" collapsed="false">
      <c r="A258" s="120" t="n">
        <f aca="false">A257+1</f>
        <v>37144</v>
      </c>
      <c r="B258" s="131" t="str">
        <f aca="false">INDEX('Master Data'!$A$2:$B$8,MATCH(WEEKDAY('SC Total Power'!A258,3),'Master Data'!$A$2:$A$8,0),2)</f>
        <v>M</v>
      </c>
      <c r="D258" s="124" t="n">
        <v>0</v>
      </c>
      <c r="E258" s="124" t="n">
        <v>438333.616137937</v>
      </c>
      <c r="F258" s="124" t="n">
        <v>0</v>
      </c>
      <c r="G258" s="124" t="n">
        <v>0</v>
      </c>
      <c r="I258" s="124" t="n">
        <f aca="false">IF(MONTH($A258)=MONTH($A257),IF(G258=0,I257,G258),G258)</f>
        <v>0</v>
      </c>
      <c r="J258" s="124" t="n">
        <f aca="false">IF(MONTH($A258)=MONTH($A257),SUM(I258-I257),I258)</f>
        <v>0</v>
      </c>
      <c r="K258" s="124" t="n">
        <f aca="false">IF(WEEKDAY(A258,3)&gt;4,0,(IF(A258&lt;K$2,0,IF(A258&lt;=K$3,1,0))))</f>
        <v>0</v>
      </c>
      <c r="L258" s="124" t="n">
        <f aca="false">J258*K258</f>
        <v>0</v>
      </c>
      <c r="M258" s="124" t="n">
        <f aca="false">SUM(J$97:J258)</f>
        <v>0</v>
      </c>
      <c r="N258" s="124" t="n">
        <f aca="false">SUM(J$6:J258)</f>
        <v>0</v>
      </c>
      <c r="P258" s="124" t="n">
        <f aca="false">D258/P$3</f>
        <v>0</v>
      </c>
      <c r="Q258" s="143" t="n">
        <f aca="false">E258/P$3</f>
        <v>0.438333616137937</v>
      </c>
      <c r="R258" s="124" t="n">
        <f aca="false">F258/R$3</f>
        <v>0</v>
      </c>
      <c r="S258" s="126" t="n">
        <f aca="false">J258/$R$3</f>
        <v>0</v>
      </c>
      <c r="T258" s="126" t="n">
        <f aca="false">L258/$R$3</f>
        <v>0</v>
      </c>
      <c r="U258" s="126" t="n">
        <f aca="false">I258/$R$3</f>
        <v>0</v>
      </c>
      <c r="V258" s="126" t="n">
        <f aca="false">M258/$R$3</f>
        <v>0</v>
      </c>
      <c r="W258" s="126" t="n">
        <f aca="false">N258/$R$3</f>
        <v>0</v>
      </c>
    </row>
    <row r="259" customFormat="false" ht="12.75" hidden="true" customHeight="false" outlineLevel="0" collapsed="false">
      <c r="A259" s="120" t="n">
        <f aca="false">A258+1</f>
        <v>37145</v>
      </c>
      <c r="B259" s="131" t="str">
        <f aca="false">INDEX('Master Data'!$A$2:$B$8,MATCH(WEEKDAY('SC Total Power'!A259,3),'Master Data'!$A$2:$A$8,0),2)</f>
        <v>T</v>
      </c>
      <c r="D259" s="124" t="n">
        <v>0</v>
      </c>
      <c r="E259" s="124" t="n">
        <v>0</v>
      </c>
      <c r="F259" s="124" t="n">
        <v>0</v>
      </c>
      <c r="G259" s="124" t="n">
        <v>0</v>
      </c>
      <c r="I259" s="124" t="n">
        <f aca="false">IF(MONTH($A259)=MONTH($A258),IF(G259=0,I258,G259),G259)</f>
        <v>0</v>
      </c>
      <c r="J259" s="124" t="n">
        <f aca="false">IF(MONTH($A259)=MONTH($A258),SUM(I259-I258),I259)</f>
        <v>0</v>
      </c>
      <c r="K259" s="124" t="n">
        <f aca="false">IF(WEEKDAY(A259,3)&gt;4,0,(IF(A259&lt;K$2,0,IF(A259&lt;=K$3,1,0))))</f>
        <v>0</v>
      </c>
      <c r="L259" s="124" t="n">
        <f aca="false">J259*K259</f>
        <v>0</v>
      </c>
      <c r="M259" s="124" t="n">
        <f aca="false">SUM(J$97:J259)</f>
        <v>0</v>
      </c>
      <c r="N259" s="124" t="n">
        <f aca="false">SUM(J$6:J259)</f>
        <v>0</v>
      </c>
      <c r="P259" s="124" t="n">
        <f aca="false">D259/P$3</f>
        <v>0</v>
      </c>
      <c r="Q259" s="143" t="n">
        <f aca="false">E259/P$3</f>
        <v>0</v>
      </c>
      <c r="R259" s="124" t="n">
        <f aca="false">F259/R$3</f>
        <v>0</v>
      </c>
      <c r="S259" s="126" t="n">
        <f aca="false">J259/$R$3</f>
        <v>0</v>
      </c>
      <c r="T259" s="126" t="n">
        <f aca="false">L259/$R$3</f>
        <v>0</v>
      </c>
      <c r="U259" s="126" t="n">
        <f aca="false">I259/$R$3</f>
        <v>0</v>
      </c>
      <c r="V259" s="126" t="n">
        <f aca="false">M259/$R$3</f>
        <v>0</v>
      </c>
      <c r="W259" s="126" t="n">
        <f aca="false">N259/$R$3</f>
        <v>0</v>
      </c>
    </row>
    <row r="260" customFormat="false" ht="12.75" hidden="true" customHeight="false" outlineLevel="0" collapsed="false">
      <c r="A260" s="120" t="n">
        <f aca="false">A259+1</f>
        <v>37146</v>
      </c>
      <c r="B260" s="131" t="str">
        <f aca="false">INDEX('Master Data'!$A$2:$B$8,MATCH(WEEKDAY('SC Total Power'!A260,3),'Master Data'!$A$2:$A$8,0),2)</f>
        <v>W</v>
      </c>
      <c r="D260" s="124" t="n">
        <v>0</v>
      </c>
      <c r="E260" s="124" t="n">
        <v>440226.046458667</v>
      </c>
      <c r="F260" s="124" t="n">
        <v>0</v>
      </c>
      <c r="G260" s="124" t="n">
        <v>0</v>
      </c>
      <c r="I260" s="124" t="n">
        <f aca="false">IF(MONTH($A260)=MONTH($A259),IF(G260=0,I259,G260),G260)</f>
        <v>0</v>
      </c>
      <c r="J260" s="124" t="n">
        <f aca="false">IF(MONTH($A260)=MONTH($A259),SUM(I260-I259),I260)</f>
        <v>0</v>
      </c>
      <c r="K260" s="124" t="n">
        <f aca="false">IF(WEEKDAY(A260,3)&gt;4,0,(IF(A260&lt;K$2,0,IF(A260&lt;=K$3,1,0))))</f>
        <v>0</v>
      </c>
      <c r="L260" s="124" t="n">
        <f aca="false">J260*K260</f>
        <v>0</v>
      </c>
      <c r="M260" s="124" t="n">
        <f aca="false">SUM(J$97:J260)</f>
        <v>0</v>
      </c>
      <c r="N260" s="124" t="n">
        <f aca="false">SUM(J$6:J260)</f>
        <v>0</v>
      </c>
      <c r="P260" s="124" t="n">
        <f aca="false">D260/P$3</f>
        <v>0</v>
      </c>
      <c r="Q260" s="143" t="n">
        <f aca="false">E260/P$3</f>
        <v>0.440226046458667</v>
      </c>
      <c r="R260" s="124" t="n">
        <f aca="false">F260/R$3</f>
        <v>0</v>
      </c>
      <c r="S260" s="126" t="n">
        <f aca="false">J260/$R$3</f>
        <v>0</v>
      </c>
      <c r="T260" s="126" t="n">
        <f aca="false">L260/$R$3</f>
        <v>0</v>
      </c>
      <c r="U260" s="126" t="n">
        <f aca="false">I260/$R$3</f>
        <v>0</v>
      </c>
      <c r="V260" s="126" t="n">
        <f aca="false">M260/$R$3</f>
        <v>0</v>
      </c>
      <c r="W260" s="126" t="n">
        <f aca="false">N260/$R$3</f>
        <v>0</v>
      </c>
    </row>
    <row r="261" customFormat="false" ht="12.75" hidden="true" customHeight="false" outlineLevel="0" collapsed="false">
      <c r="A261" s="120" t="n">
        <f aca="false">A260+1</f>
        <v>37147</v>
      </c>
      <c r="B261" s="131" t="str">
        <f aca="false">INDEX('Master Data'!$A$2:$B$8,MATCH(WEEKDAY('SC Total Power'!A261,3),'Master Data'!$A$2:$A$8,0),2)</f>
        <v>Th</v>
      </c>
      <c r="D261" s="124" t="n">
        <v>0</v>
      </c>
      <c r="E261" s="124" t="n">
        <v>440287.752997952</v>
      </c>
      <c r="F261" s="124" t="n">
        <v>0</v>
      </c>
      <c r="G261" s="124" t="n">
        <v>0</v>
      </c>
      <c r="I261" s="124" t="n">
        <f aca="false">IF(MONTH($A261)=MONTH($A260),IF(G261=0,I260,G261),G261)</f>
        <v>0</v>
      </c>
      <c r="J261" s="124" t="n">
        <f aca="false">IF(MONTH($A261)=MONTH($A260),SUM(I261-I260),I261)</f>
        <v>0</v>
      </c>
      <c r="K261" s="124" t="n">
        <f aca="false">IF(WEEKDAY(A261,3)&gt;4,0,(IF(A261&lt;K$2,0,IF(A261&lt;=K$3,1,0))))</f>
        <v>0</v>
      </c>
      <c r="L261" s="124" t="n">
        <f aca="false">J261*K261</f>
        <v>0</v>
      </c>
      <c r="M261" s="124" t="n">
        <f aca="false">SUM(J$97:J261)</f>
        <v>0</v>
      </c>
      <c r="N261" s="124" t="n">
        <f aca="false">SUM(J$6:J261)</f>
        <v>0</v>
      </c>
      <c r="P261" s="124" t="n">
        <f aca="false">D261/P$3</f>
        <v>0</v>
      </c>
      <c r="Q261" s="143" t="n">
        <f aca="false">E261/P$3</f>
        <v>0.440287752997952</v>
      </c>
      <c r="R261" s="124" t="n">
        <f aca="false">F261/R$3</f>
        <v>0</v>
      </c>
      <c r="S261" s="126" t="n">
        <f aca="false">J261/$R$3</f>
        <v>0</v>
      </c>
      <c r="T261" s="126" t="n">
        <f aca="false">L261/$R$3</f>
        <v>0</v>
      </c>
      <c r="U261" s="126" t="n">
        <f aca="false">I261/$R$3</f>
        <v>0</v>
      </c>
      <c r="V261" s="126" t="n">
        <f aca="false">M261/$R$3</f>
        <v>0</v>
      </c>
      <c r="W261" s="126" t="n">
        <f aca="false">N261/$R$3</f>
        <v>0</v>
      </c>
    </row>
    <row r="262" customFormat="false" ht="12.75" hidden="true" customHeight="false" outlineLevel="0" collapsed="false">
      <c r="A262" s="120" t="n">
        <f aca="false">A261+1</f>
        <v>37148</v>
      </c>
      <c r="B262" s="131" t="str">
        <f aca="false">INDEX('Master Data'!$A$2:$B$8,MATCH(WEEKDAY('SC Total Power'!A262,3),'Master Data'!$A$2:$A$8,0),2)</f>
        <v>F</v>
      </c>
      <c r="D262" s="124" t="n">
        <v>0</v>
      </c>
      <c r="E262" s="124" t="n">
        <v>442823.473436906</v>
      </c>
      <c r="F262" s="124" t="n">
        <v>0</v>
      </c>
      <c r="G262" s="124" t="n">
        <v>0</v>
      </c>
      <c r="I262" s="124" t="n">
        <f aca="false">IF(MONTH($A262)=MONTH($A261),IF(G262=0,I261,G262),G262)</f>
        <v>0</v>
      </c>
      <c r="J262" s="124" t="n">
        <f aca="false">IF(MONTH($A262)=MONTH($A261),SUM(I262-I261),I262)</f>
        <v>0</v>
      </c>
      <c r="K262" s="124" t="n">
        <f aca="false">IF(WEEKDAY(A262,3)&gt;4,0,(IF(A262&lt;K$2,0,IF(A262&lt;=K$3,1,0))))</f>
        <v>0</v>
      </c>
      <c r="L262" s="124" t="n">
        <f aca="false">J262*K262</f>
        <v>0</v>
      </c>
      <c r="M262" s="124" t="n">
        <f aca="false">SUM(J$97:J262)</f>
        <v>0</v>
      </c>
      <c r="N262" s="124" t="n">
        <f aca="false">SUM(J$6:J262)</f>
        <v>0</v>
      </c>
      <c r="P262" s="124" t="n">
        <f aca="false">D262/P$3</f>
        <v>0</v>
      </c>
      <c r="Q262" s="143" t="n">
        <f aca="false">E262/P$3</f>
        <v>0.442823473436906</v>
      </c>
      <c r="R262" s="124" t="n">
        <f aca="false">F262/R$3</f>
        <v>0</v>
      </c>
      <c r="S262" s="126" t="n">
        <f aca="false">J262/$R$3</f>
        <v>0</v>
      </c>
      <c r="T262" s="126" t="n">
        <f aca="false">L262/$R$3</f>
        <v>0</v>
      </c>
      <c r="U262" s="126" t="n">
        <f aca="false">I262/$R$3</f>
        <v>0</v>
      </c>
      <c r="V262" s="126" t="n">
        <f aca="false">M262/$R$3</f>
        <v>0</v>
      </c>
      <c r="W262" s="126" t="n">
        <f aca="false">N262/$R$3</f>
        <v>0</v>
      </c>
    </row>
    <row r="263" customFormat="false" ht="12.75" hidden="true" customHeight="false" outlineLevel="0" collapsed="false">
      <c r="A263" s="120" t="n">
        <f aca="false">A262+1</f>
        <v>37149</v>
      </c>
      <c r="B263" s="131" t="str">
        <f aca="false">INDEX('Master Data'!$A$2:$B$8,MATCH(WEEKDAY('SC Total Power'!A263,3),'Master Data'!$A$2:$A$8,0),2)</f>
        <v>Sa</v>
      </c>
      <c r="D263" s="124" t="n">
        <v>0</v>
      </c>
      <c r="E263" s="124" t="n">
        <v>0</v>
      </c>
      <c r="F263" s="124" t="n">
        <v>0</v>
      </c>
      <c r="G263" s="124" t="n">
        <v>0</v>
      </c>
      <c r="I263" s="124" t="n">
        <f aca="false">IF(MONTH($A263)=MONTH($A262),IF(G263=0,I262,G263),G263)</f>
        <v>0</v>
      </c>
      <c r="J263" s="124" t="n">
        <f aca="false">IF(MONTH($A263)=MONTH($A262),SUM(I263-I262),I263)</f>
        <v>0</v>
      </c>
      <c r="K263" s="124" t="n">
        <f aca="false">IF(WEEKDAY(A263,3)&gt;4,0,(IF(A263&lt;K$2,0,IF(A263&lt;=K$3,1,0))))</f>
        <v>0</v>
      </c>
      <c r="L263" s="124" t="n">
        <f aca="false">J263*K263</f>
        <v>0</v>
      </c>
      <c r="M263" s="124" t="n">
        <f aca="false">SUM(J$97:J263)</f>
        <v>0</v>
      </c>
      <c r="N263" s="124" t="n">
        <f aca="false">SUM(J$6:J263)</f>
        <v>0</v>
      </c>
      <c r="P263" s="124" t="n">
        <f aca="false">D263/P$3</f>
        <v>0</v>
      </c>
      <c r="Q263" s="143" t="n">
        <f aca="false">E263/P$3</f>
        <v>0</v>
      </c>
      <c r="R263" s="124" t="n">
        <f aca="false">F263/R$3</f>
        <v>0</v>
      </c>
      <c r="S263" s="126" t="n">
        <f aca="false">J263/$R$3</f>
        <v>0</v>
      </c>
      <c r="T263" s="126" t="n">
        <f aca="false">L263/$R$3</f>
        <v>0</v>
      </c>
      <c r="U263" s="126" t="n">
        <f aca="false">I263/$R$3</f>
        <v>0</v>
      </c>
      <c r="V263" s="126" t="n">
        <f aca="false">M263/$R$3</f>
        <v>0</v>
      </c>
      <c r="W263" s="126" t="n">
        <f aca="false">N263/$R$3</f>
        <v>0</v>
      </c>
    </row>
    <row r="264" customFormat="false" ht="12.75" hidden="true" customHeight="false" outlineLevel="0" collapsed="false">
      <c r="A264" s="120" t="n">
        <f aca="false">A263+1</f>
        <v>37150</v>
      </c>
      <c r="B264" s="131" t="str">
        <f aca="false">INDEX('Master Data'!$A$2:$B$8,MATCH(WEEKDAY('SC Total Power'!A264,3),'Master Data'!$A$2:$A$8,0),2)</f>
        <v>Su</v>
      </c>
      <c r="D264" s="124" t="n">
        <v>0</v>
      </c>
      <c r="E264" s="124" t="n">
        <v>0</v>
      </c>
      <c r="F264" s="124" t="n">
        <v>0</v>
      </c>
      <c r="G264" s="124" t="n">
        <v>0</v>
      </c>
      <c r="I264" s="124" t="n">
        <f aca="false">IF(MONTH($A264)=MONTH($A263),IF(G264=0,I263,G264),G264)</f>
        <v>0</v>
      </c>
      <c r="J264" s="124" t="n">
        <f aca="false">IF(MONTH($A264)=MONTH($A263),SUM(I264-I263),I264)</f>
        <v>0</v>
      </c>
      <c r="K264" s="124" t="n">
        <f aca="false">IF(WEEKDAY(A264,3)&gt;4,0,(IF(A264&lt;K$2,0,IF(A264&lt;=K$3,1,0))))</f>
        <v>0</v>
      </c>
      <c r="L264" s="124" t="n">
        <f aca="false">J264*K264</f>
        <v>0</v>
      </c>
      <c r="M264" s="124" t="n">
        <f aca="false">SUM(J$97:J264)</f>
        <v>0</v>
      </c>
      <c r="N264" s="124" t="n">
        <f aca="false">SUM(J$6:J264)</f>
        <v>0</v>
      </c>
      <c r="P264" s="124" t="n">
        <f aca="false">D264/P$3</f>
        <v>0</v>
      </c>
      <c r="Q264" s="143" t="n">
        <f aca="false">E264/P$3</f>
        <v>0</v>
      </c>
      <c r="R264" s="124" t="n">
        <f aca="false">F264/R$3</f>
        <v>0</v>
      </c>
      <c r="S264" s="126" t="n">
        <f aca="false">J264/$R$3</f>
        <v>0</v>
      </c>
      <c r="T264" s="126" t="n">
        <f aca="false">L264/$R$3</f>
        <v>0</v>
      </c>
      <c r="U264" s="126" t="n">
        <f aca="false">I264/$R$3</f>
        <v>0</v>
      </c>
      <c r="V264" s="126" t="n">
        <f aca="false">M264/$R$3</f>
        <v>0</v>
      </c>
      <c r="W264" s="126" t="n">
        <f aca="false">N264/$R$3</f>
        <v>0</v>
      </c>
    </row>
    <row r="265" customFormat="false" ht="12.75" hidden="true" customHeight="false" outlineLevel="0" collapsed="false">
      <c r="A265" s="120" t="n">
        <f aca="false">A264+1</f>
        <v>37151</v>
      </c>
      <c r="B265" s="131" t="str">
        <f aca="false">INDEX('Master Data'!$A$2:$B$8,MATCH(WEEKDAY('SC Total Power'!A265,3),'Master Data'!$A$2:$A$8,0),2)</f>
        <v>M</v>
      </c>
      <c r="D265" s="124" t="n">
        <v>0</v>
      </c>
      <c r="E265" s="124" t="n">
        <v>444233.680912515</v>
      </c>
      <c r="F265" s="124" t="n">
        <v>0</v>
      </c>
      <c r="G265" s="124" t="n">
        <v>0</v>
      </c>
      <c r="I265" s="124" t="n">
        <f aca="false">IF(MONTH($A265)=MONTH($A264),IF(G265=0,I264,G265),G265)</f>
        <v>0</v>
      </c>
      <c r="J265" s="124" t="n">
        <f aca="false">IF(MONTH($A265)=MONTH($A264),SUM(I265-I264),I265)</f>
        <v>0</v>
      </c>
      <c r="K265" s="124" t="n">
        <f aca="false">IF(WEEKDAY(A265,3)&gt;4,0,(IF(A265&lt;K$2,0,IF(A265&lt;=K$3,1,0))))</f>
        <v>0</v>
      </c>
      <c r="L265" s="124" t="n">
        <f aca="false">J265*K265</f>
        <v>0</v>
      </c>
      <c r="M265" s="124" t="n">
        <f aca="false">SUM(J$97:J265)</f>
        <v>0</v>
      </c>
      <c r="N265" s="124" t="n">
        <f aca="false">SUM(J$6:J265)</f>
        <v>0</v>
      </c>
      <c r="P265" s="124" t="n">
        <f aca="false">D265/P$3</f>
        <v>0</v>
      </c>
      <c r="Q265" s="143" t="n">
        <f aca="false">E265/P$3</f>
        <v>0.444233680912515</v>
      </c>
      <c r="R265" s="124" t="n">
        <f aca="false">F265/R$3</f>
        <v>0</v>
      </c>
      <c r="S265" s="126" t="n">
        <f aca="false">J265/$R$3</f>
        <v>0</v>
      </c>
      <c r="T265" s="126" t="n">
        <f aca="false">L265/$R$3</f>
        <v>0</v>
      </c>
      <c r="U265" s="126" t="n">
        <f aca="false">I265/$R$3</f>
        <v>0</v>
      </c>
      <c r="V265" s="126" t="n">
        <f aca="false">M265/$R$3</f>
        <v>0</v>
      </c>
      <c r="W265" s="126" t="n">
        <f aca="false">N265/$R$3</f>
        <v>0</v>
      </c>
    </row>
    <row r="266" customFormat="false" ht="12.75" hidden="true" customHeight="false" outlineLevel="0" collapsed="false">
      <c r="A266" s="120" t="n">
        <f aca="false">A265+1</f>
        <v>37152</v>
      </c>
      <c r="B266" s="131" t="str">
        <f aca="false">INDEX('Master Data'!$A$2:$B$8,MATCH(WEEKDAY('SC Total Power'!A266,3),'Master Data'!$A$2:$A$8,0),2)</f>
        <v>T</v>
      </c>
      <c r="D266" s="124" t="n">
        <v>0</v>
      </c>
      <c r="E266" s="124" t="n">
        <v>444204.03761289</v>
      </c>
      <c r="F266" s="124" t="n">
        <v>0</v>
      </c>
      <c r="G266" s="124" t="n">
        <v>0</v>
      </c>
      <c r="I266" s="124" t="n">
        <f aca="false">IF(MONTH($A266)=MONTH($A265),IF(G266=0,I265,G266),G266)</f>
        <v>0</v>
      </c>
      <c r="J266" s="124" t="n">
        <f aca="false">IF(MONTH($A266)=MONTH($A265),SUM(I266-I265),I266)</f>
        <v>0</v>
      </c>
      <c r="K266" s="124" t="n">
        <f aca="false">IF(WEEKDAY(A266,3)&gt;4,0,(IF(A266&lt;K$2,0,IF(A266&lt;=K$3,1,0))))</f>
        <v>0</v>
      </c>
      <c r="L266" s="124" t="n">
        <f aca="false">J266*K266</f>
        <v>0</v>
      </c>
      <c r="M266" s="124" t="n">
        <f aca="false">SUM(J$97:J266)</f>
        <v>0</v>
      </c>
      <c r="N266" s="124" t="n">
        <f aca="false">SUM(J$6:J266)</f>
        <v>0</v>
      </c>
      <c r="P266" s="124" t="n">
        <f aca="false">D266/P$3</f>
        <v>0</v>
      </c>
      <c r="Q266" s="143" t="n">
        <f aca="false">E266/P$3</f>
        <v>0.44420403761289</v>
      </c>
      <c r="R266" s="124" t="n">
        <f aca="false">F266/R$3</f>
        <v>0</v>
      </c>
      <c r="S266" s="126" t="n">
        <f aca="false">J266/$R$3</f>
        <v>0</v>
      </c>
      <c r="T266" s="126" t="n">
        <f aca="false">L266/$R$3</f>
        <v>0</v>
      </c>
      <c r="U266" s="126" t="n">
        <f aca="false">I266/$R$3</f>
        <v>0</v>
      </c>
      <c r="V266" s="126" t="n">
        <f aca="false">M266/$R$3</f>
        <v>0</v>
      </c>
      <c r="W266" s="126" t="n">
        <f aca="false">N266/$R$3</f>
        <v>0</v>
      </c>
    </row>
    <row r="267" customFormat="false" ht="12.75" hidden="true" customHeight="false" outlineLevel="0" collapsed="false">
      <c r="A267" s="120" t="n">
        <f aca="false">A266+1</f>
        <v>37153</v>
      </c>
      <c r="B267" s="131" t="str">
        <f aca="false">INDEX('Master Data'!$A$2:$B$8,MATCH(WEEKDAY('SC Total Power'!A267,3),'Master Data'!$A$2:$A$8,0),2)</f>
        <v>W</v>
      </c>
      <c r="D267" s="124" t="n">
        <v>0</v>
      </c>
      <c r="E267" s="124" t="n">
        <v>443938.996871922</v>
      </c>
      <c r="F267" s="124" t="n">
        <v>0</v>
      </c>
      <c r="G267" s="124" t="n">
        <v>0</v>
      </c>
      <c r="I267" s="124" t="n">
        <f aca="false">IF(MONTH($A267)=MONTH($A266),IF(G267=0,I266,G267),G267)</f>
        <v>0</v>
      </c>
      <c r="J267" s="124" t="n">
        <f aca="false">IF(MONTH($A267)=MONTH($A266),SUM(I267-I266),I267)</f>
        <v>0</v>
      </c>
      <c r="K267" s="124" t="n">
        <f aca="false">IF(WEEKDAY(A267,3)&gt;4,0,(IF(A267&lt;K$2,0,IF(A267&lt;=K$3,1,0))))</f>
        <v>0</v>
      </c>
      <c r="L267" s="124" t="n">
        <f aca="false">J267*K267</f>
        <v>0</v>
      </c>
      <c r="M267" s="124" t="n">
        <f aca="false">SUM(J$97:J267)</f>
        <v>0</v>
      </c>
      <c r="N267" s="124" t="n">
        <f aca="false">SUM(J$6:J267)</f>
        <v>0</v>
      </c>
      <c r="P267" s="124" t="n">
        <f aca="false">D267/P$3</f>
        <v>0</v>
      </c>
      <c r="Q267" s="143" t="n">
        <f aca="false">E267/P$3</f>
        <v>0.443938996871922</v>
      </c>
      <c r="R267" s="124" t="n">
        <f aca="false">F267/R$3</f>
        <v>0</v>
      </c>
      <c r="S267" s="126" t="n">
        <f aca="false">J267/$R$3</f>
        <v>0</v>
      </c>
      <c r="T267" s="126" t="n">
        <f aca="false">L267/$R$3</f>
        <v>0</v>
      </c>
      <c r="U267" s="126" t="n">
        <f aca="false">I267/$R$3</f>
        <v>0</v>
      </c>
      <c r="V267" s="126" t="n">
        <f aca="false">M267/$R$3</f>
        <v>0</v>
      </c>
      <c r="W267" s="126" t="n">
        <f aca="false">N267/$R$3</f>
        <v>0</v>
      </c>
    </row>
    <row r="268" customFormat="false" ht="12.75" hidden="true" customHeight="false" outlineLevel="0" collapsed="false">
      <c r="A268" s="120" t="n">
        <f aca="false">A267+1</f>
        <v>37154</v>
      </c>
      <c r="B268" s="131" t="str">
        <f aca="false">INDEX('Master Data'!$A$2:$B$8,MATCH(WEEKDAY('SC Total Power'!A268,3),'Master Data'!$A$2:$A$8,0),2)</f>
        <v>Th</v>
      </c>
      <c r="D268" s="124" t="n">
        <v>0</v>
      </c>
      <c r="E268" s="124" t="n">
        <v>445459.848150093</v>
      </c>
      <c r="F268" s="124" t="n">
        <v>0</v>
      </c>
      <c r="G268" s="124" t="n">
        <v>0</v>
      </c>
      <c r="I268" s="124" t="n">
        <f aca="false">IF(MONTH($A268)=MONTH($A267),IF(G268=0,I267,G268),G268)</f>
        <v>0</v>
      </c>
      <c r="J268" s="124" t="n">
        <f aca="false">IF(MONTH($A268)=MONTH($A267),SUM(I268-I267),I268)</f>
        <v>0</v>
      </c>
      <c r="K268" s="124" t="n">
        <f aca="false">IF(WEEKDAY(A268,3)&gt;4,0,(IF(A268&lt;K$2,0,IF(A268&lt;=K$3,1,0))))</f>
        <v>0</v>
      </c>
      <c r="L268" s="124" t="n">
        <f aca="false">J268*K268</f>
        <v>0</v>
      </c>
      <c r="M268" s="124" t="n">
        <f aca="false">SUM(J$97:J268)</f>
        <v>0</v>
      </c>
      <c r="N268" s="124" t="n">
        <f aca="false">SUM(J$6:J268)</f>
        <v>0</v>
      </c>
      <c r="P268" s="124" t="n">
        <f aca="false">D268/P$3</f>
        <v>0</v>
      </c>
      <c r="Q268" s="143" t="n">
        <f aca="false">E268/P$3</f>
        <v>0.445459848150093</v>
      </c>
      <c r="R268" s="124" t="n">
        <f aca="false">F268/R$3</f>
        <v>0</v>
      </c>
      <c r="S268" s="126" t="n">
        <f aca="false">J268/$R$3</f>
        <v>0</v>
      </c>
      <c r="T268" s="126" t="n">
        <f aca="false">L268/$R$3</f>
        <v>0</v>
      </c>
      <c r="U268" s="126" t="n">
        <f aca="false">I268/$R$3</f>
        <v>0</v>
      </c>
      <c r="V268" s="126" t="n">
        <f aca="false">M268/$R$3</f>
        <v>0</v>
      </c>
      <c r="W268" s="126" t="n">
        <f aca="false">N268/$R$3</f>
        <v>0</v>
      </c>
    </row>
    <row r="269" customFormat="false" ht="12.75" hidden="true" customHeight="false" outlineLevel="0" collapsed="false">
      <c r="A269" s="120" t="n">
        <f aca="false">A268+1</f>
        <v>37155</v>
      </c>
      <c r="B269" s="131" t="str">
        <f aca="false">INDEX('Master Data'!$A$2:$B$8,MATCH(WEEKDAY('SC Total Power'!A269,3),'Master Data'!$A$2:$A$8,0),2)</f>
        <v>F</v>
      </c>
      <c r="D269" s="124" t="n">
        <v>0</v>
      </c>
      <c r="E269" s="124" t="n">
        <v>446150.239165703</v>
      </c>
      <c r="F269" s="124" t="n">
        <v>0</v>
      </c>
      <c r="G269" s="124" t="n">
        <v>0</v>
      </c>
      <c r="I269" s="124" t="n">
        <f aca="false">IF(MONTH($A269)=MONTH($A268),IF(G269=0,I268,G269),G269)</f>
        <v>0</v>
      </c>
      <c r="J269" s="124" t="n">
        <f aca="false">IF(MONTH($A269)=MONTH($A268),SUM(I269-I268),I269)</f>
        <v>0</v>
      </c>
      <c r="K269" s="124" t="n">
        <f aca="false">IF(WEEKDAY(A269,3)&gt;4,0,(IF(A269&lt;K$2,0,IF(A269&lt;=K$3,1,0))))</f>
        <v>0</v>
      </c>
      <c r="L269" s="124" t="n">
        <f aca="false">J269*K269</f>
        <v>0</v>
      </c>
      <c r="M269" s="124" t="n">
        <f aca="false">SUM(J$97:J269)</f>
        <v>0</v>
      </c>
      <c r="N269" s="124" t="n">
        <f aca="false">SUM(J$6:J269)</f>
        <v>0</v>
      </c>
      <c r="P269" s="124" t="n">
        <f aca="false">D269/P$3</f>
        <v>0</v>
      </c>
      <c r="Q269" s="143" t="n">
        <f aca="false">E269/P$3</f>
        <v>0.446150239165703</v>
      </c>
      <c r="R269" s="124" t="n">
        <f aca="false">F269/R$3</f>
        <v>0</v>
      </c>
      <c r="S269" s="126" t="n">
        <f aca="false">J269/$R$3</f>
        <v>0</v>
      </c>
      <c r="T269" s="126" t="n">
        <f aca="false">L269/$R$3</f>
        <v>0</v>
      </c>
      <c r="U269" s="126" t="n">
        <f aca="false">I269/$R$3</f>
        <v>0</v>
      </c>
      <c r="V269" s="126" t="n">
        <f aca="false">M269/$R$3</f>
        <v>0</v>
      </c>
      <c r="W269" s="126" t="n">
        <f aca="false">N269/$R$3</f>
        <v>0</v>
      </c>
    </row>
    <row r="270" customFormat="false" ht="12.75" hidden="true" customHeight="false" outlineLevel="0" collapsed="false">
      <c r="A270" s="120" t="n">
        <f aca="false">A269+1</f>
        <v>37156</v>
      </c>
      <c r="B270" s="131" t="str">
        <f aca="false">INDEX('Master Data'!$A$2:$B$8,MATCH(WEEKDAY('SC Total Power'!A270,3),'Master Data'!$A$2:$A$8,0),2)</f>
        <v>Sa</v>
      </c>
      <c r="D270" s="124" t="n">
        <v>0</v>
      </c>
      <c r="E270" s="124" t="n">
        <v>0</v>
      </c>
      <c r="F270" s="124" t="n">
        <v>0</v>
      </c>
      <c r="G270" s="124" t="n">
        <v>0</v>
      </c>
      <c r="I270" s="124" t="n">
        <f aca="false">IF(MONTH($A270)=MONTH($A269),IF(G270=0,I269,G270),G270)</f>
        <v>0</v>
      </c>
      <c r="J270" s="124" t="n">
        <f aca="false">IF(MONTH($A270)=MONTH($A269),SUM(I270-I269),I270)</f>
        <v>0</v>
      </c>
      <c r="K270" s="124" t="n">
        <f aca="false">IF(WEEKDAY(A270,3)&gt;4,0,(IF(A270&lt;K$2,0,IF(A270&lt;=K$3,1,0))))</f>
        <v>0</v>
      </c>
      <c r="L270" s="124" t="n">
        <f aca="false">J270*K270</f>
        <v>0</v>
      </c>
      <c r="M270" s="124" t="n">
        <f aca="false">SUM(J$97:J270)</f>
        <v>0</v>
      </c>
      <c r="N270" s="124" t="n">
        <f aca="false">SUM(J$6:J270)</f>
        <v>0</v>
      </c>
      <c r="P270" s="124" t="n">
        <f aca="false">D270/P$3</f>
        <v>0</v>
      </c>
      <c r="Q270" s="143" t="n">
        <f aca="false">E270/P$3</f>
        <v>0</v>
      </c>
      <c r="R270" s="124" t="n">
        <f aca="false">F270/R$3</f>
        <v>0</v>
      </c>
      <c r="S270" s="126" t="n">
        <f aca="false">J270/$R$3</f>
        <v>0</v>
      </c>
      <c r="T270" s="126" t="n">
        <f aca="false">L270/$R$3</f>
        <v>0</v>
      </c>
      <c r="U270" s="126" t="n">
        <f aca="false">I270/$R$3</f>
        <v>0</v>
      </c>
      <c r="V270" s="126" t="n">
        <f aca="false">M270/$R$3</f>
        <v>0</v>
      </c>
      <c r="W270" s="126" t="n">
        <f aca="false">N270/$R$3</f>
        <v>0</v>
      </c>
    </row>
    <row r="271" customFormat="false" ht="12.75" hidden="true" customHeight="false" outlineLevel="0" collapsed="false">
      <c r="A271" s="120" t="n">
        <f aca="false">A270+1</f>
        <v>37157</v>
      </c>
      <c r="B271" s="131" t="str">
        <f aca="false">INDEX('Master Data'!$A$2:$B$8,MATCH(WEEKDAY('SC Total Power'!A271,3),'Master Data'!$A$2:$A$8,0),2)</f>
        <v>Su</v>
      </c>
      <c r="D271" s="124" t="n">
        <v>0</v>
      </c>
      <c r="E271" s="124" t="n">
        <v>0</v>
      </c>
      <c r="F271" s="124" t="n">
        <v>0</v>
      </c>
      <c r="G271" s="124" t="n">
        <v>0</v>
      </c>
      <c r="I271" s="124" t="n">
        <f aca="false">IF(MONTH($A271)=MONTH($A270),IF(G271=0,I270,G271),G271)</f>
        <v>0</v>
      </c>
      <c r="J271" s="124" t="n">
        <f aca="false">IF(MONTH($A271)=MONTH($A270),SUM(I271-I270),I271)</f>
        <v>0</v>
      </c>
      <c r="K271" s="124" t="n">
        <f aca="false">IF(WEEKDAY(A271,3)&gt;4,0,(IF(A271&lt;K$2,0,IF(A271&lt;=K$3,1,0))))</f>
        <v>0</v>
      </c>
      <c r="L271" s="124" t="n">
        <f aca="false">J271*K271</f>
        <v>0</v>
      </c>
      <c r="M271" s="124" t="n">
        <f aca="false">SUM(J$97:J271)</f>
        <v>0</v>
      </c>
      <c r="N271" s="124" t="n">
        <f aca="false">SUM(J$6:J271)</f>
        <v>0</v>
      </c>
      <c r="P271" s="124" t="n">
        <f aca="false">D271/P$3</f>
        <v>0</v>
      </c>
      <c r="Q271" s="143" t="n">
        <f aca="false">E271/P$3</f>
        <v>0</v>
      </c>
      <c r="R271" s="124" t="n">
        <f aca="false">F271/R$3</f>
        <v>0</v>
      </c>
      <c r="S271" s="126" t="n">
        <f aca="false">J271/$R$3</f>
        <v>0</v>
      </c>
      <c r="T271" s="126" t="n">
        <f aca="false">L271/$R$3</f>
        <v>0</v>
      </c>
      <c r="U271" s="126" t="n">
        <f aca="false">I271/$R$3</f>
        <v>0</v>
      </c>
      <c r="V271" s="126" t="n">
        <f aca="false">M271/$R$3</f>
        <v>0</v>
      </c>
      <c r="W271" s="126" t="n">
        <f aca="false">N271/$R$3</f>
        <v>0</v>
      </c>
    </row>
    <row r="272" customFormat="false" ht="12.75" hidden="true" customHeight="false" outlineLevel="0" collapsed="false">
      <c r="A272" s="120" t="n">
        <f aca="false">A271+1</f>
        <v>37158</v>
      </c>
      <c r="B272" s="131" t="str">
        <f aca="false">INDEX('Master Data'!$A$2:$B$8,MATCH(WEEKDAY('SC Total Power'!A272,3),'Master Data'!$A$2:$A$8,0),2)</f>
        <v>M</v>
      </c>
      <c r="D272" s="124" t="n">
        <v>0</v>
      </c>
      <c r="E272" s="124" t="n">
        <v>446648.565084575</v>
      </c>
      <c r="F272" s="124" t="n">
        <v>0</v>
      </c>
      <c r="G272" s="124" t="n">
        <v>0</v>
      </c>
      <c r="I272" s="124" t="n">
        <f aca="false">IF(MONTH($A272)=MONTH($A271),IF(G272=0,I271,G272),G272)</f>
        <v>0</v>
      </c>
      <c r="J272" s="124" t="n">
        <f aca="false">IF(MONTH($A272)=MONTH($A271),SUM(I272-I271),I272)</f>
        <v>0</v>
      </c>
      <c r="K272" s="124" t="n">
        <f aca="false">IF(WEEKDAY(A272,3)&gt;4,0,(IF(A272&lt;K$2,0,IF(A272&lt;=K$3,1,0))))</f>
        <v>0</v>
      </c>
      <c r="L272" s="124" t="n">
        <f aca="false">J272*K272</f>
        <v>0</v>
      </c>
      <c r="M272" s="124" t="n">
        <f aca="false">SUM(J$97:J272)</f>
        <v>0</v>
      </c>
      <c r="N272" s="124" t="n">
        <f aca="false">SUM(J$6:J272)</f>
        <v>0</v>
      </c>
      <c r="P272" s="124" t="n">
        <f aca="false">D272/P$3</f>
        <v>0</v>
      </c>
      <c r="Q272" s="143" t="n">
        <f aca="false">E272/P$3</f>
        <v>0.446648565084575</v>
      </c>
      <c r="R272" s="124" t="n">
        <f aca="false">F272/R$3</f>
        <v>0</v>
      </c>
      <c r="S272" s="126" t="n">
        <f aca="false">J272/$R$3</f>
        <v>0</v>
      </c>
      <c r="T272" s="126" t="n">
        <f aca="false">L272/$R$3</f>
        <v>0</v>
      </c>
      <c r="U272" s="126" t="n">
        <f aca="false">I272/$R$3</f>
        <v>0</v>
      </c>
      <c r="V272" s="126" t="n">
        <f aca="false">M272/$R$3</f>
        <v>0</v>
      </c>
      <c r="W272" s="126" t="n">
        <f aca="false">N272/$R$3</f>
        <v>0</v>
      </c>
    </row>
    <row r="273" customFormat="false" ht="12.75" hidden="true" customHeight="false" outlineLevel="0" collapsed="false">
      <c r="A273" s="120" t="n">
        <f aca="false">A272+1</f>
        <v>37159</v>
      </c>
      <c r="B273" s="131" t="str">
        <f aca="false">INDEX('Master Data'!$A$2:$B$8,MATCH(WEEKDAY('SC Total Power'!A273,3),'Master Data'!$A$2:$A$8,0),2)</f>
        <v>T</v>
      </c>
      <c r="D273" s="124" t="n">
        <v>0</v>
      </c>
      <c r="E273" s="124" t="n">
        <v>446625.549299148</v>
      </c>
      <c r="F273" s="124" t="n">
        <v>0</v>
      </c>
      <c r="G273" s="124" t="n">
        <v>0</v>
      </c>
      <c r="I273" s="124" t="n">
        <f aca="false">IF(MONTH($A273)=MONTH($A272),IF(G273=0,I272,G273),G273)</f>
        <v>0</v>
      </c>
      <c r="J273" s="124" t="n">
        <f aca="false">IF(MONTH($A273)=MONTH($A272),SUM(I273-I272),I273)</f>
        <v>0</v>
      </c>
      <c r="K273" s="124" t="n">
        <f aca="false">IF(WEEKDAY(A273,3)&gt;4,0,(IF(A273&lt;K$2,0,IF(A273&lt;=K$3,1,0))))</f>
        <v>0</v>
      </c>
      <c r="L273" s="124" t="n">
        <f aca="false">J273*K273</f>
        <v>0</v>
      </c>
      <c r="M273" s="124" t="n">
        <f aca="false">SUM(J$97:J273)</f>
        <v>0</v>
      </c>
      <c r="N273" s="124" t="n">
        <f aca="false">SUM(J$6:J273)</f>
        <v>0</v>
      </c>
      <c r="P273" s="124" t="n">
        <f aca="false">D273/P$3</f>
        <v>0</v>
      </c>
      <c r="Q273" s="143" t="n">
        <f aca="false">E273/P$3</f>
        <v>0.446625549299148</v>
      </c>
      <c r="R273" s="124" t="n">
        <f aca="false">F273/R$3</f>
        <v>0</v>
      </c>
      <c r="S273" s="126" t="n">
        <f aca="false">J273/$R$3</f>
        <v>0</v>
      </c>
      <c r="T273" s="126" t="n">
        <f aca="false">L273/$R$3</f>
        <v>0</v>
      </c>
      <c r="U273" s="126" t="n">
        <f aca="false">I273/$R$3</f>
        <v>0</v>
      </c>
      <c r="V273" s="126" t="n">
        <f aca="false">M273/$R$3</f>
        <v>0</v>
      </c>
      <c r="W273" s="126" t="n">
        <f aca="false">N273/$R$3</f>
        <v>0</v>
      </c>
    </row>
    <row r="274" customFormat="false" ht="12.75" hidden="true" customHeight="false" outlineLevel="0" collapsed="false">
      <c r="A274" s="120" t="n">
        <f aca="false">A273+1</f>
        <v>37160</v>
      </c>
      <c r="B274" s="131" t="str">
        <f aca="false">INDEX('Master Data'!$A$2:$B$8,MATCH(WEEKDAY('SC Total Power'!A274,3),'Master Data'!$A$2:$A$8,0),2)</f>
        <v>W</v>
      </c>
      <c r="D274" s="124" t="n">
        <v>0</v>
      </c>
      <c r="E274" s="124" t="n">
        <v>447534.260193179</v>
      </c>
      <c r="F274" s="124" t="n">
        <v>0</v>
      </c>
      <c r="G274" s="124" t="n">
        <v>0</v>
      </c>
      <c r="I274" s="124" t="n">
        <f aca="false">IF(MONTH($A274)=MONTH($A273),IF(G274=0,I273,G274),G274)</f>
        <v>0</v>
      </c>
      <c r="J274" s="124" t="n">
        <f aca="false">IF(MONTH($A274)=MONTH($A273),SUM(I274-I273),I274)</f>
        <v>0</v>
      </c>
      <c r="K274" s="124" t="n">
        <f aca="false">IF(WEEKDAY(A274,3)&gt;4,0,(IF(A274&lt;K$2,0,IF(A274&lt;=K$3,1,0))))</f>
        <v>0</v>
      </c>
      <c r="L274" s="124" t="n">
        <f aca="false">J274*K274</f>
        <v>0</v>
      </c>
      <c r="M274" s="124" t="n">
        <f aca="false">SUM(J$97:J274)</f>
        <v>0</v>
      </c>
      <c r="N274" s="124" t="n">
        <f aca="false">SUM(J$6:J274)</f>
        <v>0</v>
      </c>
      <c r="P274" s="124" t="n">
        <f aca="false">D274/P$3</f>
        <v>0</v>
      </c>
      <c r="Q274" s="143" t="n">
        <f aca="false">E274/P$3</f>
        <v>0.447534260193179</v>
      </c>
      <c r="R274" s="124" t="n">
        <f aca="false">F274/R$3</f>
        <v>0</v>
      </c>
      <c r="S274" s="126" t="n">
        <f aca="false">J274/$R$3</f>
        <v>0</v>
      </c>
      <c r="T274" s="126" t="n">
        <f aca="false">L274/$R$3</f>
        <v>0</v>
      </c>
      <c r="U274" s="126" t="n">
        <f aca="false">I274/$R$3</f>
        <v>0</v>
      </c>
      <c r="V274" s="126" t="n">
        <f aca="false">M274/$R$3</f>
        <v>0</v>
      </c>
      <c r="W274" s="126" t="n">
        <f aca="false">N274/$R$3</f>
        <v>0</v>
      </c>
    </row>
    <row r="275" customFormat="false" ht="12.75" hidden="true" customHeight="false" outlineLevel="0" collapsed="false">
      <c r="A275" s="120" t="n">
        <f aca="false">A274+1</f>
        <v>37161</v>
      </c>
      <c r="B275" s="131" t="str">
        <f aca="false">INDEX('Master Data'!$A$2:$B$8,MATCH(WEEKDAY('SC Total Power'!A275,3),'Master Data'!$A$2:$A$8,0),2)</f>
        <v>Th</v>
      </c>
      <c r="D275" s="124" t="n">
        <v>0</v>
      </c>
      <c r="E275" s="124" t="n">
        <v>448254.624371286</v>
      </c>
      <c r="F275" s="124" t="n">
        <v>0</v>
      </c>
      <c r="G275" s="124" t="n">
        <v>0</v>
      </c>
      <c r="I275" s="124" t="n">
        <f aca="false">IF(MONTH($A275)=MONTH($A274),IF(G275=0,I274,G275),G275)</f>
        <v>0</v>
      </c>
      <c r="J275" s="124" t="n">
        <f aca="false">IF(MONTH($A275)=MONTH($A274),SUM(I275-I274),I275)</f>
        <v>0</v>
      </c>
      <c r="K275" s="124" t="n">
        <f aca="false">IF(WEEKDAY(A275,3)&gt;4,0,(IF(A275&lt;K$2,0,IF(A275&lt;=K$3,1,0))))</f>
        <v>0</v>
      </c>
      <c r="L275" s="124" t="n">
        <f aca="false">J275*K275</f>
        <v>0</v>
      </c>
      <c r="M275" s="124" t="n">
        <f aca="false">SUM(J$97:J275)</f>
        <v>0</v>
      </c>
      <c r="N275" s="124" t="n">
        <f aca="false">SUM(J$6:J275)</f>
        <v>0</v>
      </c>
      <c r="P275" s="124" t="n">
        <f aca="false">D275/P$3</f>
        <v>0</v>
      </c>
      <c r="Q275" s="143" t="n">
        <f aca="false">E275/P$3</f>
        <v>0.448254624371286</v>
      </c>
      <c r="R275" s="124" t="n">
        <f aca="false">F275/R$3</f>
        <v>0</v>
      </c>
      <c r="S275" s="126" t="n">
        <f aca="false">J275/$R$3</f>
        <v>0</v>
      </c>
      <c r="T275" s="126" t="n">
        <f aca="false">L275/$R$3</f>
        <v>0</v>
      </c>
      <c r="U275" s="126" t="n">
        <f aca="false">I275/$R$3</f>
        <v>0</v>
      </c>
      <c r="V275" s="126" t="n">
        <f aca="false">M275/$R$3</f>
        <v>0</v>
      </c>
      <c r="W275" s="126" t="n">
        <f aca="false">N275/$R$3</f>
        <v>0</v>
      </c>
    </row>
    <row r="276" customFormat="false" ht="12.75" hidden="false" customHeight="false" outlineLevel="0" collapsed="false">
      <c r="A276" s="120" t="n">
        <f aca="false">A275+1</f>
        <v>37162</v>
      </c>
      <c r="B276" s="131" t="str">
        <f aca="false">INDEX('Master Data'!$A$2:$B$8,MATCH(WEEKDAY('SC Total Power'!A276,3),'Master Data'!$A$2:$A$8,0),2)</f>
        <v>F</v>
      </c>
      <c r="D276" s="124" t="n">
        <v>0</v>
      </c>
      <c r="E276" s="124" t="n">
        <v>446917.339030696</v>
      </c>
      <c r="F276" s="124" t="n">
        <v>0</v>
      </c>
      <c r="G276" s="124" t="n">
        <v>0</v>
      </c>
      <c r="I276" s="124" t="n">
        <f aca="false">IF(MONTH($A276)=MONTH($A275),IF(G276=0,I275,G276),G276)</f>
        <v>0</v>
      </c>
      <c r="J276" s="124" t="n">
        <f aca="false">IF(MONTH($A276)=MONTH($A275),SUM(I276-I275),I276)</f>
        <v>0</v>
      </c>
      <c r="K276" s="124" t="n">
        <f aca="false">IF(WEEKDAY(A276,3)&gt;4,0,(IF(A276&lt;K$2,0,IF(A276&lt;=K$3,1,0))))</f>
        <v>0</v>
      </c>
      <c r="L276" s="124" t="n">
        <f aca="false">J276*K276</f>
        <v>0</v>
      </c>
      <c r="M276" s="124" t="n">
        <f aca="false">SUM(J$97:J276)</f>
        <v>0</v>
      </c>
      <c r="N276" s="124" t="n">
        <f aca="false">SUM(J$6:J276)</f>
        <v>0</v>
      </c>
      <c r="P276" s="124" t="n">
        <f aca="false">D276/P$3</f>
        <v>0</v>
      </c>
      <c r="Q276" s="143" t="n">
        <f aca="false">E276/P$3</f>
        <v>0.446917339030696</v>
      </c>
      <c r="R276" s="124" t="n">
        <f aca="false">F276/R$3</f>
        <v>0</v>
      </c>
      <c r="S276" s="126" t="n">
        <f aca="false">J276/$R$3</f>
        <v>0</v>
      </c>
      <c r="T276" s="126" t="n">
        <f aca="false">L276/$R$3</f>
        <v>0</v>
      </c>
      <c r="U276" s="126" t="n">
        <f aca="false">I276/$R$3</f>
        <v>0</v>
      </c>
      <c r="V276" s="126" t="n">
        <f aca="false">M276/$R$3</f>
        <v>0</v>
      </c>
      <c r="W276" s="126" t="n">
        <f aca="false">N276/$R$3</f>
        <v>0</v>
      </c>
    </row>
    <row r="277" customFormat="false" ht="12.75" hidden="false" customHeight="false" outlineLevel="0" collapsed="false">
      <c r="A277" s="120" t="n">
        <f aca="false">A276+1</f>
        <v>37163</v>
      </c>
      <c r="B277" s="131" t="str">
        <f aca="false">INDEX('Master Data'!$A$2:$B$8,MATCH(WEEKDAY('SC Total Power'!A277,3),'Master Data'!$A$2:$A$8,0),2)</f>
        <v>Sa</v>
      </c>
      <c r="D277" s="124" t="n">
        <v>0</v>
      </c>
      <c r="E277" s="124" t="n">
        <v>0</v>
      </c>
      <c r="F277" s="124" t="n">
        <v>0</v>
      </c>
      <c r="G277" s="124" t="n">
        <v>0</v>
      </c>
      <c r="I277" s="124" t="n">
        <f aca="false">IF(MONTH($A277)=MONTH($A276),IF(G277=0,I276,G277),G277)</f>
        <v>0</v>
      </c>
      <c r="J277" s="124" t="n">
        <f aca="false">IF(MONTH($A277)=MONTH($A276),SUM(I277-I276),I277)</f>
        <v>0</v>
      </c>
      <c r="K277" s="124" t="n">
        <f aca="false">IF(WEEKDAY(A277,3)&gt;4,0,(IF(A277&lt;K$2,0,IF(A277&lt;=K$3,1,0))))</f>
        <v>0</v>
      </c>
      <c r="L277" s="124" t="n">
        <f aca="false">J277*K277</f>
        <v>0</v>
      </c>
      <c r="M277" s="124" t="n">
        <f aca="false">SUM(J$97:J277)</f>
        <v>0</v>
      </c>
      <c r="N277" s="124" t="n">
        <f aca="false">SUM(J$6:J277)</f>
        <v>0</v>
      </c>
      <c r="P277" s="124" t="n">
        <f aca="false">D277/P$3</f>
        <v>0</v>
      </c>
      <c r="Q277" s="143" t="n">
        <f aca="false">E277/P$3</f>
        <v>0</v>
      </c>
      <c r="R277" s="124" t="n">
        <f aca="false">F277/R$3</f>
        <v>0</v>
      </c>
      <c r="S277" s="126" t="n">
        <f aca="false">J277/$R$3</f>
        <v>0</v>
      </c>
      <c r="T277" s="126" t="n">
        <f aca="false">L277/$R$3</f>
        <v>0</v>
      </c>
      <c r="U277" s="126" t="n">
        <f aca="false">I277/$R$3</f>
        <v>0</v>
      </c>
      <c r="V277" s="126" t="n">
        <f aca="false">M277/$R$3</f>
        <v>0</v>
      </c>
      <c r="W277" s="126" t="n">
        <f aca="false">N277/$R$3</f>
        <v>0</v>
      </c>
    </row>
    <row r="278" customFormat="false" ht="14.25" hidden="false" customHeight="true" outlineLevel="0" collapsed="false">
      <c r="A278" s="120" t="n">
        <f aca="false">A277+1</f>
        <v>37164</v>
      </c>
      <c r="B278" s="131" t="str">
        <f aca="false">INDEX('Master Data'!$A$2:$B$8,MATCH(WEEKDAY('SC Total Power'!A278,3),'Master Data'!$A$2:$A$8,0),2)</f>
        <v>Su</v>
      </c>
      <c r="D278" s="124" t="n">
        <v>0</v>
      </c>
      <c r="E278" s="124" t="n">
        <v>0</v>
      </c>
      <c r="F278" s="124" t="n">
        <v>0</v>
      </c>
      <c r="G278" s="124" t="n">
        <v>0</v>
      </c>
      <c r="I278" s="124" t="n">
        <f aca="false">IF(MONTH($A278)=MONTH($A277),IF(G278=0,I277,G278),G278)</f>
        <v>0</v>
      </c>
      <c r="J278" s="124" t="n">
        <f aca="false">IF(MONTH($A278)=MONTH($A277),SUM(I278-I277),I278)</f>
        <v>0</v>
      </c>
      <c r="K278" s="124" t="n">
        <f aca="false">IF(WEEKDAY(A278,3)&gt;4,0,(IF(A278&lt;K$2,0,IF(A278&lt;=K$3,1,0))))</f>
        <v>0</v>
      </c>
      <c r="L278" s="124" t="n">
        <f aca="false">J278*K278</f>
        <v>0</v>
      </c>
      <c r="M278" s="124" t="n">
        <f aca="false">SUM(J$97:J278)</f>
        <v>0</v>
      </c>
      <c r="N278" s="124" t="n">
        <f aca="false">SUM(J$6:J278)</f>
        <v>0</v>
      </c>
      <c r="P278" s="124" t="n">
        <f aca="false">D278/P$3</f>
        <v>0</v>
      </c>
      <c r="Q278" s="143" t="n">
        <f aca="false">E278/P$3</f>
        <v>0</v>
      </c>
      <c r="R278" s="124" t="n">
        <f aca="false">F278/R$3</f>
        <v>0</v>
      </c>
      <c r="S278" s="126" t="n">
        <f aca="false">J278/$R$3</f>
        <v>0</v>
      </c>
      <c r="T278" s="126" t="n">
        <f aca="false">L278/$R$3</f>
        <v>0</v>
      </c>
      <c r="U278" s="126" t="n">
        <f aca="false">I278/$R$3</f>
        <v>0</v>
      </c>
      <c r="V278" s="126" t="n">
        <f aca="false">M278/$R$3</f>
        <v>0</v>
      </c>
      <c r="W278" s="126" t="n">
        <f aca="false">N278/$R$3</f>
        <v>0</v>
      </c>
    </row>
    <row r="279" customFormat="false" ht="12.75" hidden="true" customHeight="false" outlineLevel="0" collapsed="false">
      <c r="A279" s="120" t="n">
        <f aca="false">A278+1</f>
        <v>37165</v>
      </c>
      <c r="B279" s="131" t="str">
        <f aca="false">INDEX('Master Data'!$A$2:$B$8,MATCH(WEEKDAY('SC Total Power'!A279,3),'Master Data'!$A$2:$A$8,0),2)</f>
        <v>M</v>
      </c>
      <c r="D279" s="124" t="n">
        <v>0</v>
      </c>
      <c r="E279" s="124" t="n">
        <v>446409.737553886</v>
      </c>
      <c r="F279" s="124" t="n">
        <v>0</v>
      </c>
      <c r="G279" s="124" t="n">
        <v>0</v>
      </c>
      <c r="I279" s="124" t="n">
        <f aca="false">IF(MONTH($A279)=MONTH($A278),IF(G279=0,I278,G279),G279)</f>
        <v>0</v>
      </c>
      <c r="J279" s="124" t="n">
        <f aca="false">IF(MONTH($A279)=MONTH($A278),SUM(I279-I278),I279)</f>
        <v>0</v>
      </c>
      <c r="K279" s="124" t="n">
        <f aca="false">IF(WEEKDAY(A279,3)&gt;4,0,(IF(A279&lt;K$2,0,IF(A279&lt;=K$3,1,0))))</f>
        <v>0</v>
      </c>
      <c r="L279" s="124" t="n">
        <f aca="false">J279*K279</f>
        <v>0</v>
      </c>
      <c r="M279" s="124" t="n">
        <f aca="false">SUM(J$188:J279)</f>
        <v>0</v>
      </c>
      <c r="N279" s="124" t="n">
        <f aca="false">SUM(J$6:J279)</f>
        <v>0</v>
      </c>
      <c r="P279" s="124" t="n">
        <f aca="false">D279/P$3</f>
        <v>0</v>
      </c>
      <c r="Q279" s="143" t="n">
        <f aca="false">E279/P$3</f>
        <v>0.446409737553886</v>
      </c>
      <c r="R279" s="124" t="n">
        <f aca="false">F279/R$3</f>
        <v>0</v>
      </c>
      <c r="S279" s="126" t="n">
        <f aca="false">J279/$R$3</f>
        <v>0</v>
      </c>
      <c r="T279" s="126" t="n">
        <f aca="false">L279/$R$3</f>
        <v>0</v>
      </c>
      <c r="U279" s="126" t="n">
        <f aca="false">I279/$R$3</f>
        <v>0</v>
      </c>
      <c r="V279" s="126" t="n">
        <f aca="false">M279/$R$3</f>
        <v>0</v>
      </c>
      <c r="W279" s="126" t="n">
        <f aca="false">N279/$R$3</f>
        <v>0</v>
      </c>
    </row>
    <row r="280" customFormat="false" ht="12.75" hidden="true" customHeight="false" outlineLevel="0" collapsed="false">
      <c r="A280" s="120" t="n">
        <f aca="false">A279+1</f>
        <v>37166</v>
      </c>
      <c r="B280" s="131" t="str">
        <f aca="false">INDEX('Master Data'!$A$2:$B$8,MATCH(WEEKDAY('SC Total Power'!A280,3),'Master Data'!$A$2:$A$8,0),2)</f>
        <v>T</v>
      </c>
      <c r="D280" s="124" t="n">
        <v>0</v>
      </c>
      <c r="E280" s="124" t="n">
        <v>446466.495053239</v>
      </c>
      <c r="F280" s="124" t="n">
        <v>0</v>
      </c>
      <c r="G280" s="124" t="n">
        <v>0</v>
      </c>
      <c r="I280" s="124" t="n">
        <f aca="false">IF(MONTH($A280)=MONTH($A279),IF(G280=0,I279,G280),G280)</f>
        <v>0</v>
      </c>
      <c r="J280" s="124" t="n">
        <f aca="false">IF(MONTH($A280)=MONTH($A279),SUM(I280-I279),I280)</f>
        <v>0</v>
      </c>
      <c r="K280" s="124" t="n">
        <f aca="false">IF(WEEKDAY(A280,3)&gt;4,0,(IF(A280&lt;K$2,0,IF(A280&lt;=K$3,1,0))))</f>
        <v>0</v>
      </c>
      <c r="L280" s="124" t="n">
        <f aca="false">J280*K280</f>
        <v>0</v>
      </c>
      <c r="M280" s="124" t="n">
        <f aca="false">SUM(J$280:J280)</f>
        <v>0</v>
      </c>
      <c r="N280" s="124" t="n">
        <f aca="false">SUM(J$6:J280)</f>
        <v>0</v>
      </c>
      <c r="P280" s="124" t="n">
        <f aca="false">D280/P$3</f>
        <v>0</v>
      </c>
      <c r="Q280" s="143" t="n">
        <f aca="false">E280/P$3</f>
        <v>0.446466495053239</v>
      </c>
      <c r="R280" s="124" t="n">
        <f aca="false">F280/R$3</f>
        <v>0</v>
      </c>
      <c r="S280" s="126" t="n">
        <f aca="false">J280/$R$3</f>
        <v>0</v>
      </c>
      <c r="T280" s="126" t="n">
        <f aca="false">L280/$R$3</f>
        <v>0</v>
      </c>
      <c r="U280" s="126" t="n">
        <f aca="false">I280/$R$3</f>
        <v>0</v>
      </c>
      <c r="V280" s="126" t="n">
        <f aca="false">M280/$R$3</f>
        <v>0</v>
      </c>
      <c r="W280" s="126" t="n">
        <f aca="false">N280/$R$3</f>
        <v>0</v>
      </c>
    </row>
    <row r="281" customFormat="false" ht="12.75" hidden="true" customHeight="false" outlineLevel="0" collapsed="false">
      <c r="A281" s="120" t="n">
        <f aca="false">A280+1</f>
        <v>37167</v>
      </c>
      <c r="B281" s="131" t="str">
        <f aca="false">INDEX('Master Data'!$A$2:$B$8,MATCH(WEEKDAY('SC Total Power'!A281,3),'Master Data'!$A$2:$A$8,0),2)</f>
        <v>W</v>
      </c>
      <c r="D281" s="124" t="n">
        <v>0</v>
      </c>
      <c r="E281" s="124" t="n">
        <v>447732.122225182</v>
      </c>
      <c r="F281" s="124" t="n">
        <v>0</v>
      </c>
      <c r="G281" s="124" t="n">
        <v>0</v>
      </c>
      <c r="I281" s="124" t="n">
        <f aca="false">IF(MONTH($A281)=MONTH($A280),IF(G281=0,I280,G281),G281)</f>
        <v>0</v>
      </c>
      <c r="J281" s="124" t="n">
        <f aca="false">IF(MONTH($A281)=MONTH($A280),SUM(I281-I280),I281)</f>
        <v>0</v>
      </c>
      <c r="K281" s="124" t="n">
        <f aca="false">IF(WEEKDAY(A281,3)&gt;4,0,(IF(A281&lt;K$2,0,IF(A281&lt;=K$3,1,0))))</f>
        <v>0</v>
      </c>
      <c r="L281" s="124" t="n">
        <f aca="false">J281*K281</f>
        <v>0</v>
      </c>
      <c r="M281" s="124" t="n">
        <f aca="false">SUM(J$280:J281)</f>
        <v>0</v>
      </c>
      <c r="N281" s="124" t="n">
        <f aca="false">SUM(J$6:J281)</f>
        <v>0</v>
      </c>
      <c r="P281" s="124" t="n">
        <f aca="false">D281/P$3</f>
        <v>0</v>
      </c>
      <c r="Q281" s="143" t="n">
        <f aca="false">E281/P$3</f>
        <v>0.447732122225182</v>
      </c>
      <c r="R281" s="124" t="n">
        <f aca="false">F281/R$3</f>
        <v>0</v>
      </c>
      <c r="S281" s="126" t="n">
        <f aca="false">J281/$R$3</f>
        <v>0</v>
      </c>
      <c r="T281" s="126" t="n">
        <f aca="false">L281/$R$3</f>
        <v>0</v>
      </c>
      <c r="U281" s="126" t="n">
        <f aca="false">I281/$R$3</f>
        <v>0</v>
      </c>
      <c r="V281" s="126" t="n">
        <f aca="false">M281/$R$3</f>
        <v>0</v>
      </c>
      <c r="W281" s="126" t="n">
        <f aca="false">N281/$R$3</f>
        <v>0</v>
      </c>
    </row>
    <row r="282" customFormat="false" ht="12.75" hidden="true" customHeight="false" outlineLevel="0" collapsed="false">
      <c r="A282" s="120" t="n">
        <f aca="false">A281+1</f>
        <v>37168</v>
      </c>
      <c r="B282" s="131" t="str">
        <f aca="false">INDEX('Master Data'!$A$2:$B$8,MATCH(WEEKDAY('SC Total Power'!A282,3),'Master Data'!$A$2:$A$8,0),2)</f>
        <v>Th</v>
      </c>
      <c r="D282" s="124" t="n">
        <v>0</v>
      </c>
      <c r="E282" s="124" t="n">
        <v>447864.838894012</v>
      </c>
      <c r="F282" s="124" t="n">
        <v>0</v>
      </c>
      <c r="G282" s="124" t="n">
        <v>0</v>
      </c>
      <c r="I282" s="124" t="n">
        <f aca="false">IF(MONTH($A282)=MONTH($A281),IF(G282=0,I281,G282),G282)</f>
        <v>0</v>
      </c>
      <c r="J282" s="124" t="n">
        <f aca="false">IF(MONTH($A282)=MONTH($A281),SUM(I282-I281),I282)</f>
        <v>0</v>
      </c>
      <c r="K282" s="124" t="n">
        <f aca="false">IF(WEEKDAY(A282,3)&gt;4,0,(IF(A282&lt;K$2,0,IF(A282&lt;=K$3,1,0))))</f>
        <v>0</v>
      </c>
      <c r="L282" s="124" t="n">
        <f aca="false">J282*K282</f>
        <v>0</v>
      </c>
      <c r="M282" s="124" t="n">
        <f aca="false">SUM(J$280:J282)</f>
        <v>0</v>
      </c>
      <c r="N282" s="124" t="n">
        <f aca="false">SUM(J$6:J282)</f>
        <v>0</v>
      </c>
      <c r="P282" s="124" t="n">
        <f aca="false">D282/P$3</f>
        <v>0</v>
      </c>
      <c r="Q282" s="143" t="n">
        <f aca="false">E282/P$3</f>
        <v>0.447864838894012</v>
      </c>
      <c r="R282" s="124" t="n">
        <f aca="false">F282/R$3</f>
        <v>0</v>
      </c>
      <c r="S282" s="126" t="n">
        <f aca="false">J282/$R$3</f>
        <v>0</v>
      </c>
      <c r="T282" s="126" t="n">
        <f aca="false">L282/$R$3</f>
        <v>0</v>
      </c>
      <c r="U282" s="126" t="n">
        <f aca="false">I282/$R$3</f>
        <v>0</v>
      </c>
      <c r="V282" s="126" t="n">
        <f aca="false">M282/$R$3</f>
        <v>0</v>
      </c>
      <c r="W282" s="126" t="n">
        <f aca="false">N282/$R$3</f>
        <v>0</v>
      </c>
    </row>
    <row r="283" customFormat="false" ht="12.75" hidden="true" customHeight="false" outlineLevel="0" collapsed="false">
      <c r="A283" s="120" t="n">
        <f aca="false">A282+1</f>
        <v>37169</v>
      </c>
      <c r="B283" s="131" t="str">
        <f aca="false">INDEX('Master Data'!$A$2:$B$8,MATCH(WEEKDAY('SC Total Power'!A283,3),'Master Data'!$A$2:$A$8,0),2)</f>
        <v>F</v>
      </c>
      <c r="D283" s="124" t="n">
        <v>0</v>
      </c>
      <c r="E283" s="124" t="n">
        <v>448271.232059424</v>
      </c>
      <c r="F283" s="124" t="n">
        <v>0</v>
      </c>
      <c r="G283" s="124" t="n">
        <v>0</v>
      </c>
      <c r="I283" s="124" t="n">
        <f aca="false">IF(MONTH($A283)=MONTH($A282),IF(G283=0,I282,G283),G283)</f>
        <v>0</v>
      </c>
      <c r="J283" s="124" t="n">
        <f aca="false">IF(MONTH($A283)=MONTH($A282),SUM(I283-I282),I283)</f>
        <v>0</v>
      </c>
      <c r="K283" s="124" t="n">
        <f aca="false">IF(WEEKDAY(A283,3)&gt;4,0,(IF(A283&lt;K$2,0,IF(A283&lt;=K$3,1,0))))</f>
        <v>0</v>
      </c>
      <c r="L283" s="124" t="n">
        <f aca="false">J283*K283</f>
        <v>0</v>
      </c>
      <c r="M283" s="124" t="n">
        <f aca="false">SUM(J$280:J283)</f>
        <v>0</v>
      </c>
      <c r="N283" s="124" t="n">
        <f aca="false">SUM(J$6:J283)</f>
        <v>0</v>
      </c>
      <c r="P283" s="124" t="n">
        <f aca="false">D283/P$3</f>
        <v>0</v>
      </c>
      <c r="Q283" s="143" t="n">
        <f aca="false">E283/P$3</f>
        <v>0.448271232059424</v>
      </c>
      <c r="R283" s="124" t="n">
        <f aca="false">F283/R$3</f>
        <v>0</v>
      </c>
      <c r="S283" s="126" t="n">
        <f aca="false">J283/$R$3</f>
        <v>0</v>
      </c>
      <c r="T283" s="126" t="n">
        <f aca="false">L283/$R$3</f>
        <v>0</v>
      </c>
      <c r="U283" s="126" t="n">
        <f aca="false">I283/$R$3</f>
        <v>0</v>
      </c>
      <c r="V283" s="126" t="n">
        <f aca="false">M283/$R$3</f>
        <v>0</v>
      </c>
      <c r="W283" s="126" t="n">
        <f aca="false">N283/$R$3</f>
        <v>0</v>
      </c>
    </row>
    <row r="284" customFormat="false" ht="12.75" hidden="true" customHeight="false" outlineLevel="0" collapsed="false">
      <c r="A284" s="120" t="n">
        <f aca="false">A283+1</f>
        <v>37170</v>
      </c>
      <c r="B284" s="131" t="str">
        <f aca="false">INDEX('Master Data'!$A$2:$B$8,MATCH(WEEKDAY('SC Total Power'!A284,3),'Master Data'!$A$2:$A$8,0),2)</f>
        <v>Sa</v>
      </c>
      <c r="D284" s="124" t="n">
        <v>0</v>
      </c>
      <c r="E284" s="124" t="n">
        <v>0</v>
      </c>
      <c r="F284" s="124" t="n">
        <v>0</v>
      </c>
      <c r="G284" s="124" t="n">
        <v>0</v>
      </c>
      <c r="I284" s="124" t="n">
        <f aca="false">IF(MONTH($A284)=MONTH($A283),IF(G284=0,I283,G284),G284)</f>
        <v>0</v>
      </c>
      <c r="J284" s="124" t="n">
        <f aca="false">IF(MONTH($A284)=MONTH($A283),SUM(I284-I283),I284)</f>
        <v>0</v>
      </c>
      <c r="K284" s="124" t="n">
        <f aca="false">IF(WEEKDAY(A284,3)&gt;4,0,(IF(A284&lt;K$2,0,IF(A284&lt;=K$3,1,0))))</f>
        <v>0</v>
      </c>
      <c r="L284" s="124" t="n">
        <f aca="false">J284*K284</f>
        <v>0</v>
      </c>
      <c r="M284" s="124" t="n">
        <f aca="false">SUM(J$280:J284)</f>
        <v>0</v>
      </c>
      <c r="N284" s="124" t="n">
        <f aca="false">SUM(J$6:J284)</f>
        <v>0</v>
      </c>
      <c r="P284" s="124" t="n">
        <f aca="false">D284/P$3</f>
        <v>0</v>
      </c>
      <c r="Q284" s="143" t="n">
        <f aca="false">E284/P$3</f>
        <v>0</v>
      </c>
      <c r="R284" s="124" t="n">
        <f aca="false">F284/R$3</f>
        <v>0</v>
      </c>
      <c r="S284" s="126" t="n">
        <f aca="false">J284/$R$3</f>
        <v>0</v>
      </c>
      <c r="T284" s="126" t="n">
        <f aca="false">L284/$R$3</f>
        <v>0</v>
      </c>
      <c r="U284" s="126" t="n">
        <f aca="false">I284/$R$3</f>
        <v>0</v>
      </c>
      <c r="V284" s="126" t="n">
        <f aca="false">M284/$R$3</f>
        <v>0</v>
      </c>
      <c r="W284" s="126" t="n">
        <f aca="false">N284/$R$3</f>
        <v>0</v>
      </c>
    </row>
    <row r="285" customFormat="false" ht="12.75" hidden="true" customHeight="false" outlineLevel="0" collapsed="false">
      <c r="A285" s="120" t="n">
        <f aca="false">A284+1</f>
        <v>37171</v>
      </c>
      <c r="B285" s="131" t="str">
        <f aca="false">INDEX('Master Data'!$A$2:$B$8,MATCH(WEEKDAY('SC Total Power'!A285,3),'Master Data'!$A$2:$A$8,0),2)</f>
        <v>Su</v>
      </c>
      <c r="D285" s="124" t="n">
        <v>0</v>
      </c>
      <c r="E285" s="124" t="n">
        <v>0</v>
      </c>
      <c r="F285" s="124" t="n">
        <v>0</v>
      </c>
      <c r="G285" s="124" t="n">
        <v>0</v>
      </c>
      <c r="I285" s="124" t="n">
        <f aca="false">IF(MONTH($A285)=MONTH($A284),IF(G285=0,I284,G285),G285)</f>
        <v>0</v>
      </c>
      <c r="J285" s="124" t="n">
        <f aca="false">IF(MONTH($A285)=MONTH($A284),SUM(I285-I284),I285)</f>
        <v>0</v>
      </c>
      <c r="K285" s="124" t="n">
        <f aca="false">IF(WEEKDAY(A285,3)&gt;4,0,(IF(A285&lt;K$2,0,IF(A285&lt;=K$3,1,0))))</f>
        <v>0</v>
      </c>
      <c r="L285" s="124" t="n">
        <f aca="false">J285*K285</f>
        <v>0</v>
      </c>
      <c r="M285" s="124" t="n">
        <f aca="false">SUM(J$280:J285)</f>
        <v>0</v>
      </c>
      <c r="N285" s="124" t="n">
        <f aca="false">SUM(J$6:J285)</f>
        <v>0</v>
      </c>
      <c r="P285" s="124" t="n">
        <f aca="false">D285/P$3</f>
        <v>0</v>
      </c>
      <c r="Q285" s="143" t="n">
        <f aca="false">E285/P$3</f>
        <v>0</v>
      </c>
      <c r="R285" s="124" t="n">
        <f aca="false">F285/R$3</f>
        <v>0</v>
      </c>
      <c r="S285" s="126" t="n">
        <f aca="false">J285/$R$3</f>
        <v>0</v>
      </c>
      <c r="T285" s="126" t="n">
        <f aca="false">L285/$R$3</f>
        <v>0</v>
      </c>
      <c r="U285" s="126" t="n">
        <f aca="false">I285/$R$3</f>
        <v>0</v>
      </c>
      <c r="V285" s="126" t="n">
        <f aca="false">M285/$R$3</f>
        <v>0</v>
      </c>
      <c r="W285" s="126" t="n">
        <f aca="false">N285/$R$3</f>
        <v>0</v>
      </c>
    </row>
    <row r="286" customFormat="false" ht="12.75" hidden="true" customHeight="false" outlineLevel="0" collapsed="false">
      <c r="A286" s="120" t="n">
        <f aca="false">A285+1</f>
        <v>37172</v>
      </c>
      <c r="B286" s="131" t="str">
        <f aca="false">INDEX('Master Data'!$A$2:$B$8,MATCH(WEEKDAY('SC Total Power'!A286,3),'Master Data'!$A$2:$A$8,0),2)</f>
        <v>M</v>
      </c>
      <c r="D286" s="124" t="n">
        <v>0</v>
      </c>
      <c r="E286" s="124" t="n">
        <v>449203.427342151</v>
      </c>
      <c r="F286" s="124" t="n">
        <v>0</v>
      </c>
      <c r="G286" s="124" t="n">
        <v>0</v>
      </c>
      <c r="I286" s="124" t="n">
        <f aca="false">IF(MONTH($A286)=MONTH($A285),IF(G286=0,I285,G286),G286)</f>
        <v>0</v>
      </c>
      <c r="J286" s="124" t="n">
        <f aca="false">IF(MONTH($A286)=MONTH($A285),SUM(I286-I285),I286)</f>
        <v>0</v>
      </c>
      <c r="K286" s="124" t="n">
        <f aca="false">IF(WEEKDAY(A286,3)&gt;4,0,(IF(A286&lt;K$2,0,IF(A286&lt;=K$3,1,0))))</f>
        <v>0</v>
      </c>
      <c r="L286" s="124" t="n">
        <f aca="false">J286*K286</f>
        <v>0</v>
      </c>
      <c r="M286" s="124" t="n">
        <f aca="false">SUM(J$280:J286)</f>
        <v>0</v>
      </c>
      <c r="N286" s="124" t="n">
        <f aca="false">SUM(J$6:J286)</f>
        <v>0</v>
      </c>
      <c r="P286" s="124" t="n">
        <f aca="false">D286/P$3</f>
        <v>0</v>
      </c>
      <c r="Q286" s="143" t="n">
        <f aca="false">E286/P$3</f>
        <v>0.449203427342151</v>
      </c>
      <c r="R286" s="124" t="n">
        <f aca="false">F286/R$3</f>
        <v>0</v>
      </c>
      <c r="S286" s="126" t="n">
        <f aca="false">J286/$R$3</f>
        <v>0</v>
      </c>
      <c r="T286" s="126" t="n">
        <f aca="false">L286/$R$3</f>
        <v>0</v>
      </c>
      <c r="U286" s="126" t="n">
        <f aca="false">I286/$R$3</f>
        <v>0</v>
      </c>
      <c r="V286" s="126" t="n">
        <f aca="false">M286/$R$3</f>
        <v>0</v>
      </c>
      <c r="W286" s="126" t="n">
        <f aca="false">N286/$R$3</f>
        <v>0</v>
      </c>
    </row>
    <row r="287" customFormat="false" ht="12.75" hidden="true" customHeight="false" outlineLevel="0" collapsed="false">
      <c r="A287" s="120" t="n">
        <f aca="false">A286+1</f>
        <v>37173</v>
      </c>
      <c r="B287" s="131" t="str">
        <f aca="false">INDEX('Master Data'!$A$2:$B$8,MATCH(WEEKDAY('SC Total Power'!A287,3),'Master Data'!$A$2:$A$8,0),2)</f>
        <v>T</v>
      </c>
      <c r="D287" s="124" t="n">
        <v>0</v>
      </c>
      <c r="E287" s="124" t="n">
        <v>449258.343262323</v>
      </c>
      <c r="F287" s="124" t="n">
        <v>0</v>
      </c>
      <c r="G287" s="124" t="n">
        <v>0</v>
      </c>
      <c r="I287" s="124" t="n">
        <f aca="false">IF(MONTH($A287)=MONTH($A286),IF(G287=0,I286,G287),G287)</f>
        <v>0</v>
      </c>
      <c r="J287" s="124" t="n">
        <f aca="false">IF(MONTH($A287)=MONTH($A286),SUM(I287-I286),I287)</f>
        <v>0</v>
      </c>
      <c r="K287" s="124" t="n">
        <f aca="false">IF(WEEKDAY(A287,3)&gt;4,0,(IF(A287&lt;K$2,0,IF(A287&lt;=K$3,1,0))))</f>
        <v>0</v>
      </c>
      <c r="L287" s="124" t="n">
        <f aca="false">J287*K287</f>
        <v>0</v>
      </c>
      <c r="M287" s="124" t="n">
        <f aca="false">SUM(J$280:J287)</f>
        <v>0</v>
      </c>
      <c r="N287" s="124" t="n">
        <f aca="false">SUM(J$6:J287)</f>
        <v>0</v>
      </c>
      <c r="P287" s="124" t="n">
        <f aca="false">D287/P$3</f>
        <v>0</v>
      </c>
      <c r="Q287" s="143" t="n">
        <f aca="false">E287/P$3</f>
        <v>0.449258343262323</v>
      </c>
      <c r="R287" s="124" t="n">
        <f aca="false">F287/R$3</f>
        <v>0</v>
      </c>
      <c r="S287" s="126" t="n">
        <f aca="false">J287/$R$3</f>
        <v>0</v>
      </c>
      <c r="T287" s="126" t="n">
        <f aca="false">L287/$R$3</f>
        <v>0</v>
      </c>
      <c r="U287" s="126" t="n">
        <f aca="false">I287/$R$3</f>
        <v>0</v>
      </c>
      <c r="V287" s="126" t="n">
        <f aca="false">M287/$R$3</f>
        <v>0</v>
      </c>
      <c r="W287" s="126" t="n">
        <f aca="false">N287/$R$3</f>
        <v>0</v>
      </c>
    </row>
    <row r="288" customFormat="false" ht="12.75" hidden="true" customHeight="false" outlineLevel="0" collapsed="false">
      <c r="A288" s="120" t="n">
        <f aca="false">A287+1</f>
        <v>37174</v>
      </c>
      <c r="B288" s="131" t="str">
        <f aca="false">INDEX('Master Data'!$A$2:$B$8,MATCH(WEEKDAY('SC Total Power'!A288,3),'Master Data'!$A$2:$A$8,0),2)</f>
        <v>W</v>
      </c>
      <c r="D288" s="124" t="n">
        <v>0</v>
      </c>
      <c r="E288" s="124" t="n">
        <v>449012.124829747</v>
      </c>
      <c r="F288" s="124" t="n">
        <v>0</v>
      </c>
      <c r="G288" s="124" t="n">
        <v>0</v>
      </c>
      <c r="I288" s="124" t="n">
        <f aca="false">IF(MONTH($A288)=MONTH($A287),IF(G288=0,I287,G288),G288)</f>
        <v>0</v>
      </c>
      <c r="J288" s="124" t="n">
        <f aca="false">IF(MONTH($A288)=MONTH($A287),SUM(I288-I287),I288)</f>
        <v>0</v>
      </c>
      <c r="K288" s="124" t="n">
        <f aca="false">IF(WEEKDAY(A288,3)&gt;4,0,(IF(A288&lt;K$2,0,IF(A288&lt;=K$3,1,0))))</f>
        <v>0</v>
      </c>
      <c r="L288" s="124" t="n">
        <f aca="false">J288*K288</f>
        <v>0</v>
      </c>
      <c r="M288" s="124" t="n">
        <f aca="false">SUM(J$280:J288)</f>
        <v>0</v>
      </c>
      <c r="N288" s="124" t="n">
        <f aca="false">SUM(J$6:J288)</f>
        <v>0</v>
      </c>
      <c r="P288" s="124" t="n">
        <f aca="false">D288/P$3</f>
        <v>0</v>
      </c>
      <c r="Q288" s="143" t="n">
        <f aca="false">E288/P$3</f>
        <v>0.449012124829747</v>
      </c>
      <c r="R288" s="124" t="n">
        <f aca="false">F288/R$3</f>
        <v>0</v>
      </c>
      <c r="S288" s="126" t="n">
        <f aca="false">J288/$R$3</f>
        <v>0</v>
      </c>
      <c r="T288" s="126" t="n">
        <f aca="false">L288/$R$3</f>
        <v>0</v>
      </c>
      <c r="U288" s="126" t="n">
        <f aca="false">I288/$R$3</f>
        <v>0</v>
      </c>
      <c r="V288" s="126" t="n">
        <f aca="false">M288/$R$3</f>
        <v>0</v>
      </c>
      <c r="W288" s="126" t="n">
        <f aca="false">N288/$R$3</f>
        <v>0</v>
      </c>
    </row>
    <row r="289" customFormat="false" ht="12.75" hidden="true" customHeight="false" outlineLevel="0" collapsed="false">
      <c r="A289" s="120" t="n">
        <f aca="false">A288+1</f>
        <v>37175</v>
      </c>
      <c r="B289" s="131" t="str">
        <f aca="false">INDEX('Master Data'!$A$2:$B$8,MATCH(WEEKDAY('SC Total Power'!A289,3),'Master Data'!$A$2:$A$8,0),2)</f>
        <v>Th</v>
      </c>
      <c r="D289" s="124" t="n">
        <v>0</v>
      </c>
      <c r="E289" s="124" t="n">
        <v>448767.736070739</v>
      </c>
      <c r="F289" s="124" t="n">
        <v>0</v>
      </c>
      <c r="G289" s="124" t="n">
        <v>0</v>
      </c>
      <c r="I289" s="124" t="n">
        <f aca="false">IF(MONTH($A289)=MONTH($A288),IF(G289=0,I288,G289),G289)</f>
        <v>0</v>
      </c>
      <c r="J289" s="124" t="n">
        <f aca="false">IF(MONTH($A289)=MONTH($A288),SUM(I289-I288),I289)</f>
        <v>0</v>
      </c>
      <c r="K289" s="124" t="n">
        <f aca="false">IF(WEEKDAY(A289,3)&gt;4,0,(IF(A289&lt;K$2,0,IF(A289&lt;=K$3,1,0))))</f>
        <v>0</v>
      </c>
      <c r="L289" s="124" t="n">
        <f aca="false">J289*K289</f>
        <v>0</v>
      </c>
      <c r="M289" s="124" t="n">
        <f aca="false">SUM(J$280:J289)</f>
        <v>0</v>
      </c>
      <c r="N289" s="124" t="n">
        <f aca="false">SUM(J$6:J289)</f>
        <v>0</v>
      </c>
      <c r="P289" s="124" t="n">
        <f aca="false">D289/P$3</f>
        <v>0</v>
      </c>
      <c r="Q289" s="143" t="n">
        <f aca="false">E289/P$3</f>
        <v>0.448767736070739</v>
      </c>
      <c r="R289" s="124" t="n">
        <f aca="false">F289/R$3</f>
        <v>0</v>
      </c>
      <c r="S289" s="126" t="n">
        <f aca="false">J289/$R$3</f>
        <v>0</v>
      </c>
      <c r="T289" s="126" t="n">
        <f aca="false">L289/$R$3</f>
        <v>0</v>
      </c>
      <c r="U289" s="126" t="n">
        <f aca="false">I289/$R$3</f>
        <v>0</v>
      </c>
      <c r="V289" s="126" t="n">
        <f aca="false">M289/$R$3</f>
        <v>0</v>
      </c>
      <c r="W289" s="126" t="n">
        <f aca="false">N289/$R$3</f>
        <v>0</v>
      </c>
    </row>
    <row r="290" customFormat="false" ht="12.75" hidden="true" customHeight="false" outlineLevel="0" collapsed="false">
      <c r="A290" s="120" t="n">
        <f aca="false">A289+1</f>
        <v>37176</v>
      </c>
      <c r="B290" s="131" t="str">
        <f aca="false">INDEX('Master Data'!$A$2:$B$8,MATCH(WEEKDAY('SC Total Power'!A290,3),'Master Data'!$A$2:$A$8,0),2)</f>
        <v>F</v>
      </c>
      <c r="D290" s="124" t="n">
        <v>0</v>
      </c>
      <c r="E290" s="124" t="n">
        <v>447452.832079986</v>
      </c>
      <c r="F290" s="124" t="n">
        <v>0</v>
      </c>
      <c r="G290" s="124" t="n">
        <v>0</v>
      </c>
      <c r="I290" s="124" t="n">
        <f aca="false">IF(MONTH($A290)=MONTH($A289),IF(G290=0,I289,G290),G290)</f>
        <v>0</v>
      </c>
      <c r="J290" s="124" t="n">
        <f aca="false">IF(MONTH($A290)=MONTH($A289),SUM(I290-I289),I290)</f>
        <v>0</v>
      </c>
      <c r="K290" s="124" t="n">
        <f aca="false">IF(WEEKDAY(A290,3)&gt;4,0,(IF(A290&lt;K$2,0,IF(A290&lt;=K$3,1,0))))</f>
        <v>0</v>
      </c>
      <c r="L290" s="124" t="n">
        <f aca="false">J290*K290</f>
        <v>0</v>
      </c>
      <c r="M290" s="124" t="n">
        <f aca="false">SUM(J$280:J290)</f>
        <v>0</v>
      </c>
      <c r="N290" s="124" t="n">
        <f aca="false">SUM(J$6:J290)</f>
        <v>0</v>
      </c>
      <c r="P290" s="124" t="n">
        <f aca="false">D290/P$3</f>
        <v>0</v>
      </c>
      <c r="Q290" s="143" t="n">
        <f aca="false">E290/P$3</f>
        <v>0.447452832079986</v>
      </c>
      <c r="R290" s="124" t="n">
        <f aca="false">F290/R$3</f>
        <v>0</v>
      </c>
      <c r="S290" s="126" t="n">
        <f aca="false">J290/$R$3</f>
        <v>0</v>
      </c>
      <c r="T290" s="126" t="n">
        <f aca="false">L290/$R$3</f>
        <v>0</v>
      </c>
      <c r="U290" s="126" t="n">
        <f aca="false">I290/$R$3</f>
        <v>0</v>
      </c>
      <c r="V290" s="126" t="n">
        <f aca="false">M290/$R$3</f>
        <v>0</v>
      </c>
      <c r="W290" s="126" t="n">
        <f aca="false">N290/$R$3</f>
        <v>0</v>
      </c>
    </row>
    <row r="291" customFormat="false" ht="12.75" hidden="true" customHeight="false" outlineLevel="0" collapsed="false">
      <c r="A291" s="120" t="n">
        <f aca="false">A290+1</f>
        <v>37177</v>
      </c>
      <c r="B291" s="131" t="str">
        <f aca="false">INDEX('Master Data'!$A$2:$B$8,MATCH(WEEKDAY('SC Total Power'!A291,3),'Master Data'!$A$2:$A$8,0),2)</f>
        <v>Sa</v>
      </c>
      <c r="D291" s="124" t="n">
        <v>0</v>
      </c>
      <c r="E291" s="124" t="n">
        <v>0</v>
      </c>
      <c r="F291" s="124" t="n">
        <v>0</v>
      </c>
      <c r="G291" s="124" t="n">
        <v>0</v>
      </c>
      <c r="I291" s="124" t="n">
        <f aca="false">IF(MONTH($A291)=MONTH($A290),IF(G291=0,I290,G291),G291)</f>
        <v>0</v>
      </c>
      <c r="J291" s="124" t="n">
        <f aca="false">IF(MONTH($A291)=MONTH($A290),SUM(I291-I290),I291)</f>
        <v>0</v>
      </c>
      <c r="K291" s="124" t="n">
        <f aca="false">IF(WEEKDAY(A291,3)&gt;4,0,(IF(A291&lt;K$2,0,IF(A291&lt;=K$3,1,0))))</f>
        <v>0</v>
      </c>
      <c r="L291" s="124" t="n">
        <f aca="false">J291*K291</f>
        <v>0</v>
      </c>
      <c r="M291" s="124" t="n">
        <f aca="false">SUM(J$280:J291)</f>
        <v>0</v>
      </c>
      <c r="N291" s="124" t="n">
        <f aca="false">SUM(J$6:J291)</f>
        <v>0</v>
      </c>
      <c r="P291" s="124" t="n">
        <f aca="false">D291/P$3</f>
        <v>0</v>
      </c>
      <c r="Q291" s="143" t="n">
        <f aca="false">E291/P$3</f>
        <v>0</v>
      </c>
      <c r="R291" s="124" t="n">
        <f aca="false">F291/R$3</f>
        <v>0</v>
      </c>
      <c r="S291" s="126" t="n">
        <f aca="false">J291/$R$3</f>
        <v>0</v>
      </c>
      <c r="T291" s="126" t="n">
        <f aca="false">L291/$R$3</f>
        <v>0</v>
      </c>
      <c r="U291" s="126" t="n">
        <f aca="false">I291/$R$3</f>
        <v>0</v>
      </c>
      <c r="V291" s="126" t="n">
        <f aca="false">M291/$R$3</f>
        <v>0</v>
      </c>
      <c r="W291" s="126" t="n">
        <f aca="false">N291/$R$3</f>
        <v>0</v>
      </c>
    </row>
    <row r="292" customFormat="false" ht="12.75" hidden="true" customHeight="false" outlineLevel="0" collapsed="false">
      <c r="A292" s="120" t="n">
        <f aca="false">A291+1</f>
        <v>37178</v>
      </c>
      <c r="B292" s="131" t="str">
        <f aca="false">INDEX('Master Data'!$A$2:$B$8,MATCH(WEEKDAY('SC Total Power'!A292,3),'Master Data'!$A$2:$A$8,0),2)</f>
        <v>Su</v>
      </c>
      <c r="D292" s="124" t="n">
        <v>0</v>
      </c>
      <c r="E292" s="124" t="n">
        <v>0</v>
      </c>
      <c r="F292" s="124" t="n">
        <v>0</v>
      </c>
      <c r="G292" s="124" t="n">
        <v>0</v>
      </c>
      <c r="I292" s="124" t="n">
        <f aca="false">IF(MONTH($A292)=MONTH($A291),IF(G292=0,I291,G292),G292)</f>
        <v>0</v>
      </c>
      <c r="J292" s="124" t="n">
        <f aca="false">IF(MONTH($A292)=MONTH($A291),SUM(I292-I291),I292)</f>
        <v>0</v>
      </c>
      <c r="K292" s="124" t="n">
        <f aca="false">IF(WEEKDAY(A292,3)&gt;4,0,(IF(A292&lt;K$2,0,IF(A292&lt;=K$3,1,0))))</f>
        <v>0</v>
      </c>
      <c r="L292" s="124" t="n">
        <f aca="false">J292*K292</f>
        <v>0</v>
      </c>
      <c r="M292" s="124" t="n">
        <f aca="false">SUM(J$280:J292)</f>
        <v>0</v>
      </c>
      <c r="N292" s="124" t="n">
        <f aca="false">SUM(J$6:J292)</f>
        <v>0</v>
      </c>
      <c r="P292" s="124" t="n">
        <f aca="false">D292/P$3</f>
        <v>0</v>
      </c>
      <c r="Q292" s="143" t="n">
        <f aca="false">E292/P$3</f>
        <v>0</v>
      </c>
      <c r="R292" s="124" t="n">
        <f aca="false">F292/R$3</f>
        <v>0</v>
      </c>
      <c r="S292" s="126" t="n">
        <f aca="false">J292/$R$3</f>
        <v>0</v>
      </c>
      <c r="T292" s="126" t="n">
        <f aca="false">L292/$R$3</f>
        <v>0</v>
      </c>
      <c r="U292" s="126" t="n">
        <f aca="false">I292/$R$3</f>
        <v>0</v>
      </c>
      <c r="V292" s="126" t="n">
        <f aca="false">M292/$R$3</f>
        <v>0</v>
      </c>
      <c r="W292" s="126" t="n">
        <f aca="false">N292/$R$3</f>
        <v>0</v>
      </c>
    </row>
    <row r="293" customFormat="false" ht="12.75" hidden="true" customHeight="false" outlineLevel="0" collapsed="false">
      <c r="A293" s="120" t="n">
        <f aca="false">A292+1</f>
        <v>37179</v>
      </c>
      <c r="B293" s="131" t="str">
        <f aca="false">INDEX('Master Data'!$A$2:$B$8,MATCH(WEEKDAY('SC Total Power'!A293,3),'Master Data'!$A$2:$A$8,0),2)</f>
        <v>M</v>
      </c>
      <c r="D293" s="124" t="n">
        <v>0</v>
      </c>
      <c r="E293" s="124" t="n">
        <v>448100.462101789</v>
      </c>
      <c r="F293" s="124" t="n">
        <v>0</v>
      </c>
      <c r="G293" s="124" t="n">
        <v>0</v>
      </c>
      <c r="I293" s="124" t="n">
        <f aca="false">IF(MONTH($A293)=MONTH($A292),IF(G293=0,I292,G293),G293)</f>
        <v>0</v>
      </c>
      <c r="J293" s="124" t="n">
        <f aca="false">IF(MONTH($A293)=MONTH($A292),SUM(I293-I292),I293)</f>
        <v>0</v>
      </c>
      <c r="K293" s="124" t="n">
        <f aca="false">IF(WEEKDAY(A293,3)&gt;4,0,(IF(A293&lt;K$2,0,IF(A293&lt;=K$3,1,0))))</f>
        <v>0</v>
      </c>
      <c r="L293" s="124" t="n">
        <f aca="false">J293*K293</f>
        <v>0</v>
      </c>
      <c r="M293" s="124" t="n">
        <f aca="false">SUM(J$280:J293)</f>
        <v>0</v>
      </c>
      <c r="N293" s="124" t="n">
        <f aca="false">SUM(J$6:J293)</f>
        <v>0</v>
      </c>
      <c r="P293" s="124" t="n">
        <f aca="false">D293/P$3</f>
        <v>0</v>
      </c>
      <c r="Q293" s="143" t="n">
        <f aca="false">E293/P$3</f>
        <v>0.448100462101789</v>
      </c>
      <c r="R293" s="124" t="n">
        <f aca="false">F293/R$3</f>
        <v>0</v>
      </c>
      <c r="S293" s="126" t="n">
        <f aca="false">J293/$R$3</f>
        <v>0</v>
      </c>
      <c r="T293" s="126" t="n">
        <f aca="false">L293/$R$3</f>
        <v>0</v>
      </c>
      <c r="U293" s="126" t="n">
        <f aca="false">I293/$R$3</f>
        <v>0</v>
      </c>
      <c r="V293" s="126" t="n">
        <f aca="false">M293/$R$3</f>
        <v>0</v>
      </c>
      <c r="W293" s="126" t="n">
        <f aca="false">N293/$R$3</f>
        <v>0</v>
      </c>
    </row>
    <row r="294" customFormat="false" ht="12.75" hidden="true" customHeight="false" outlineLevel="0" collapsed="false">
      <c r="A294" s="120" t="n">
        <f aca="false">A293+1</f>
        <v>37180</v>
      </c>
      <c r="B294" s="131" t="str">
        <f aca="false">INDEX('Master Data'!$A$2:$B$8,MATCH(WEEKDAY('SC Total Power'!A294,3),'Master Data'!$A$2:$A$8,0),2)</f>
        <v>T</v>
      </c>
      <c r="D294" s="124" t="n">
        <v>0</v>
      </c>
      <c r="E294" s="124" t="n">
        <v>448782.885989125</v>
      </c>
      <c r="F294" s="124" t="n">
        <v>0</v>
      </c>
      <c r="G294" s="124" t="n">
        <v>0</v>
      </c>
      <c r="I294" s="124" t="n">
        <f aca="false">IF(MONTH($A294)=MONTH($A293),IF(G294=0,I293,G294),G294)</f>
        <v>0</v>
      </c>
      <c r="J294" s="124" t="n">
        <f aca="false">IF(MONTH($A294)=MONTH($A293),SUM(I294-I293),I294)</f>
        <v>0</v>
      </c>
      <c r="K294" s="124" t="n">
        <f aca="false">IF(WEEKDAY(A294,3)&gt;4,0,(IF(A294&lt;K$2,0,IF(A294&lt;=K$3,1,0))))</f>
        <v>0</v>
      </c>
      <c r="L294" s="124" t="n">
        <f aca="false">J294*K294</f>
        <v>0</v>
      </c>
      <c r="M294" s="124" t="n">
        <f aca="false">SUM(J$280:J294)</f>
        <v>0</v>
      </c>
      <c r="N294" s="124" t="n">
        <f aca="false">SUM(J$6:J294)</f>
        <v>0</v>
      </c>
      <c r="P294" s="124" t="n">
        <f aca="false">D294/P$3</f>
        <v>0</v>
      </c>
      <c r="Q294" s="143" t="n">
        <f aca="false">E294/P$3</f>
        <v>0.448782885989125</v>
      </c>
      <c r="R294" s="124" t="n">
        <f aca="false">F294/R$3</f>
        <v>0</v>
      </c>
      <c r="S294" s="126" t="n">
        <f aca="false">J294/$R$3</f>
        <v>0</v>
      </c>
      <c r="T294" s="126" t="n">
        <f aca="false">L294/$R$3</f>
        <v>0</v>
      </c>
      <c r="U294" s="126" t="n">
        <f aca="false">I294/$R$3</f>
        <v>0</v>
      </c>
      <c r="V294" s="126" t="n">
        <f aca="false">M294/$R$3</f>
        <v>0</v>
      </c>
      <c r="W294" s="126" t="n">
        <f aca="false">N294/$R$3</f>
        <v>0</v>
      </c>
    </row>
    <row r="295" customFormat="false" ht="12.75" hidden="true" customHeight="false" outlineLevel="0" collapsed="false">
      <c r="A295" s="120" t="n">
        <f aca="false">A294+1</f>
        <v>37181</v>
      </c>
      <c r="B295" s="131" t="str">
        <f aca="false">INDEX('Master Data'!$A$2:$B$8,MATCH(WEEKDAY('SC Total Power'!A295,3),'Master Data'!$A$2:$A$8,0),2)</f>
        <v>W</v>
      </c>
      <c r="D295" s="124" t="n">
        <v>0</v>
      </c>
      <c r="E295" s="124" t="n">
        <v>448900.755901596</v>
      </c>
      <c r="F295" s="124" t="n">
        <v>0</v>
      </c>
      <c r="G295" s="124" t="n">
        <v>0</v>
      </c>
      <c r="I295" s="124" t="n">
        <f aca="false">IF(MONTH($A295)=MONTH($A294),IF(G295=0,I294,G295),G295)</f>
        <v>0</v>
      </c>
      <c r="J295" s="124" t="n">
        <f aca="false">IF(MONTH($A295)=MONTH($A294),SUM(I295-I294),I295)</f>
        <v>0</v>
      </c>
      <c r="K295" s="124" t="n">
        <f aca="false">IF(WEEKDAY(A295,3)&gt;4,0,(IF(A295&lt;K$2,0,IF(A295&lt;=K$3,1,0))))</f>
        <v>0</v>
      </c>
      <c r="L295" s="124" t="n">
        <f aca="false">J295*K295</f>
        <v>0</v>
      </c>
      <c r="M295" s="124" t="n">
        <f aca="false">SUM(J$280:J295)</f>
        <v>0</v>
      </c>
      <c r="N295" s="124" t="n">
        <f aca="false">SUM(J$6:J295)</f>
        <v>0</v>
      </c>
      <c r="P295" s="124" t="n">
        <f aca="false">D295/P$3</f>
        <v>0</v>
      </c>
      <c r="Q295" s="143" t="n">
        <f aca="false">E295/P$3</f>
        <v>0.448900755901596</v>
      </c>
      <c r="R295" s="124" t="n">
        <f aca="false">F295/R$3</f>
        <v>0</v>
      </c>
      <c r="S295" s="126" t="n">
        <f aca="false">J295/$R$3</f>
        <v>0</v>
      </c>
      <c r="T295" s="126" t="n">
        <f aca="false">L295/$R$3</f>
        <v>0</v>
      </c>
      <c r="U295" s="126" t="n">
        <f aca="false">I295/$R$3</f>
        <v>0</v>
      </c>
      <c r="V295" s="126" t="n">
        <f aca="false">M295/$R$3</f>
        <v>0</v>
      </c>
      <c r="W295" s="126" t="n">
        <f aca="false">N295/$R$3</f>
        <v>0</v>
      </c>
    </row>
    <row r="296" customFormat="false" ht="12.75" hidden="true" customHeight="false" outlineLevel="0" collapsed="false">
      <c r="A296" s="120" t="n">
        <f aca="false">A295+1</f>
        <v>37182</v>
      </c>
      <c r="B296" s="131" t="str">
        <f aca="false">INDEX('Master Data'!$A$2:$B$8,MATCH(WEEKDAY('SC Total Power'!A296,3),'Master Data'!$A$2:$A$8,0),2)</f>
        <v>Th</v>
      </c>
      <c r="D296" s="124" t="n">
        <v>0</v>
      </c>
      <c r="E296" s="124" t="n">
        <v>441794.779626492</v>
      </c>
      <c r="F296" s="124" t="n">
        <v>0</v>
      </c>
      <c r="G296" s="124" t="n">
        <v>0</v>
      </c>
      <c r="I296" s="124" t="n">
        <f aca="false">IF(MONTH($A296)=MONTH($A295),IF(G296=0,I295,G296),G296)</f>
        <v>0</v>
      </c>
      <c r="J296" s="124" t="n">
        <f aca="false">IF(MONTH($A296)=MONTH($A295),SUM(I296-I295),I296)</f>
        <v>0</v>
      </c>
      <c r="K296" s="124" t="n">
        <f aca="false">IF(WEEKDAY(A296,3)&gt;4,0,(IF(A296&lt;K$2,0,IF(A296&lt;=K$3,1,0))))</f>
        <v>0</v>
      </c>
      <c r="L296" s="124" t="n">
        <f aca="false">J296*K296</f>
        <v>0</v>
      </c>
      <c r="M296" s="124" t="n">
        <f aca="false">SUM(J$280:J296)</f>
        <v>0</v>
      </c>
      <c r="N296" s="124" t="n">
        <f aca="false">SUM(J$6:J296)</f>
        <v>0</v>
      </c>
      <c r="P296" s="124" t="n">
        <f aca="false">D296/P$3</f>
        <v>0</v>
      </c>
      <c r="Q296" s="143" t="n">
        <f aca="false">E296/P$3</f>
        <v>0.441794779626492</v>
      </c>
      <c r="R296" s="124" t="n">
        <f aca="false">F296/R$3</f>
        <v>0</v>
      </c>
      <c r="S296" s="126" t="n">
        <f aca="false">J296/$R$3</f>
        <v>0</v>
      </c>
      <c r="T296" s="126" t="n">
        <f aca="false">L296/$R$3</f>
        <v>0</v>
      </c>
      <c r="U296" s="126" t="n">
        <f aca="false">I296/$R$3</f>
        <v>0</v>
      </c>
      <c r="V296" s="126" t="n">
        <f aca="false">M296/$R$3</f>
        <v>0</v>
      </c>
      <c r="W296" s="126" t="n">
        <f aca="false">N296/$R$3</f>
        <v>0</v>
      </c>
    </row>
    <row r="297" customFormat="false" ht="12.75" hidden="true" customHeight="false" outlineLevel="0" collapsed="false">
      <c r="A297" s="120" t="n">
        <f aca="false">A296+1</f>
        <v>37183</v>
      </c>
      <c r="B297" s="131" t="str">
        <f aca="false">INDEX('Master Data'!$A$2:$B$8,MATCH(WEEKDAY('SC Total Power'!A297,3),'Master Data'!$A$2:$A$8,0),2)</f>
        <v>F</v>
      </c>
      <c r="D297" s="124" t="n">
        <v>0</v>
      </c>
      <c r="E297" s="124" t="n">
        <v>442501.336152303</v>
      </c>
      <c r="F297" s="124" t="n">
        <v>0</v>
      </c>
      <c r="G297" s="124" t="n">
        <v>0</v>
      </c>
      <c r="I297" s="124" t="n">
        <f aca="false">IF(MONTH($A297)=MONTH($A296),IF(G297=0,I296,G297),G297)</f>
        <v>0</v>
      </c>
      <c r="J297" s="124" t="n">
        <f aca="false">IF(MONTH($A297)=MONTH($A296),SUM(I297-I296),I297)</f>
        <v>0</v>
      </c>
      <c r="K297" s="124" t="n">
        <f aca="false">IF(WEEKDAY(A297,3)&gt;4,0,(IF(A297&lt;K$2,0,IF(A297&lt;=K$3,1,0))))</f>
        <v>0</v>
      </c>
      <c r="L297" s="124" t="n">
        <f aca="false">J297*K297</f>
        <v>0</v>
      </c>
      <c r="M297" s="124" t="n">
        <f aca="false">SUM(J$280:J297)</f>
        <v>0</v>
      </c>
      <c r="N297" s="124" t="n">
        <f aca="false">SUM(J$6:J297)</f>
        <v>0</v>
      </c>
      <c r="P297" s="124" t="n">
        <f aca="false">D297/P$3</f>
        <v>0</v>
      </c>
      <c r="Q297" s="143" t="n">
        <f aca="false">E297/P$3</f>
        <v>0.442501336152303</v>
      </c>
      <c r="R297" s="124" t="n">
        <f aca="false">F297/R$3</f>
        <v>0</v>
      </c>
      <c r="S297" s="126" t="n">
        <f aca="false">J297/$R$3</f>
        <v>0</v>
      </c>
      <c r="T297" s="126" t="n">
        <f aca="false">L297/$R$3</f>
        <v>0</v>
      </c>
      <c r="U297" s="126" t="n">
        <f aca="false">I297/$R$3</f>
        <v>0</v>
      </c>
      <c r="V297" s="126" t="n">
        <f aca="false">M297/$R$3</f>
        <v>0</v>
      </c>
      <c r="W297" s="126" t="n">
        <f aca="false">N297/$R$3</f>
        <v>0</v>
      </c>
    </row>
    <row r="298" customFormat="false" ht="12.75" hidden="true" customHeight="false" outlineLevel="0" collapsed="false">
      <c r="A298" s="120" t="n">
        <f aca="false">A297+1</f>
        <v>37184</v>
      </c>
      <c r="B298" s="131" t="str">
        <f aca="false">INDEX('Master Data'!$A$2:$B$8,MATCH(WEEKDAY('SC Total Power'!A298,3),'Master Data'!$A$2:$A$8,0),2)</f>
        <v>Sa</v>
      </c>
      <c r="D298" s="124" t="n">
        <v>0</v>
      </c>
      <c r="E298" s="124" t="n">
        <v>0</v>
      </c>
      <c r="F298" s="124" t="n">
        <v>0</v>
      </c>
      <c r="G298" s="124" t="n">
        <v>0</v>
      </c>
      <c r="I298" s="124" t="n">
        <f aca="false">IF(MONTH($A298)=MONTH($A297),IF(G298=0,I297,G298),G298)</f>
        <v>0</v>
      </c>
      <c r="J298" s="124" t="n">
        <f aca="false">IF(MONTH($A298)=MONTH($A297),SUM(I298-I297),I298)</f>
        <v>0</v>
      </c>
      <c r="K298" s="124" t="n">
        <f aca="false">IF(WEEKDAY(A298,3)&gt;4,0,(IF(A298&lt;K$2,0,IF(A298&lt;=K$3,1,0))))</f>
        <v>0</v>
      </c>
      <c r="L298" s="124" t="n">
        <f aca="false">J298*K298</f>
        <v>0</v>
      </c>
      <c r="M298" s="124" t="n">
        <f aca="false">SUM(J$280:J298)</f>
        <v>0</v>
      </c>
      <c r="N298" s="124" t="n">
        <f aca="false">SUM(J$6:J298)</f>
        <v>0</v>
      </c>
      <c r="P298" s="124" t="n">
        <f aca="false">D298/P$3</f>
        <v>0</v>
      </c>
      <c r="Q298" s="143" t="n">
        <f aca="false">E298/P$3</f>
        <v>0</v>
      </c>
      <c r="R298" s="124" t="n">
        <f aca="false">F298/R$3</f>
        <v>0</v>
      </c>
      <c r="S298" s="126" t="n">
        <f aca="false">J298/$R$3</f>
        <v>0</v>
      </c>
      <c r="T298" s="126" t="n">
        <f aca="false">L298/$R$3</f>
        <v>0</v>
      </c>
      <c r="U298" s="126" t="n">
        <f aca="false">I298/$R$3</f>
        <v>0</v>
      </c>
      <c r="V298" s="126" t="n">
        <f aca="false">M298/$R$3</f>
        <v>0</v>
      </c>
      <c r="W298" s="126" t="n">
        <f aca="false">N298/$R$3</f>
        <v>0</v>
      </c>
    </row>
    <row r="299" customFormat="false" ht="12.75" hidden="true" customHeight="false" outlineLevel="0" collapsed="false">
      <c r="A299" s="120" t="n">
        <f aca="false">A298+1</f>
        <v>37185</v>
      </c>
      <c r="B299" s="131" t="str">
        <f aca="false">INDEX('Master Data'!$A$2:$B$8,MATCH(WEEKDAY('SC Total Power'!A299,3),'Master Data'!$A$2:$A$8,0),2)</f>
        <v>Su</v>
      </c>
      <c r="D299" s="124" t="n">
        <v>0</v>
      </c>
      <c r="E299" s="124" t="n">
        <v>0</v>
      </c>
      <c r="F299" s="124" t="n">
        <v>0</v>
      </c>
      <c r="G299" s="124" t="n">
        <v>0</v>
      </c>
      <c r="I299" s="124" t="n">
        <f aca="false">IF(MONTH($A299)=MONTH($A298),IF(G299=0,I298,G299),G299)</f>
        <v>0</v>
      </c>
      <c r="J299" s="124" t="n">
        <f aca="false">IF(MONTH($A299)=MONTH($A298),SUM(I299-I298),I299)</f>
        <v>0</v>
      </c>
      <c r="K299" s="124" t="n">
        <f aca="false">IF(WEEKDAY(A299,3)&gt;4,0,(IF(A299&lt;K$2,0,IF(A299&lt;=K$3,1,0))))</f>
        <v>0</v>
      </c>
      <c r="L299" s="124" t="n">
        <f aca="false">J299*K299</f>
        <v>0</v>
      </c>
      <c r="M299" s="124" t="n">
        <f aca="false">SUM(J$280:J299)</f>
        <v>0</v>
      </c>
      <c r="N299" s="124" t="n">
        <f aca="false">SUM(J$6:J299)</f>
        <v>0</v>
      </c>
      <c r="P299" s="124" t="n">
        <f aca="false">D299/P$3</f>
        <v>0</v>
      </c>
      <c r="Q299" s="143" t="n">
        <f aca="false">E299/P$3</f>
        <v>0</v>
      </c>
      <c r="R299" s="124" t="n">
        <f aca="false">F299/R$3</f>
        <v>0</v>
      </c>
      <c r="S299" s="126" t="n">
        <f aca="false">J299/$R$3</f>
        <v>0</v>
      </c>
      <c r="T299" s="126" t="n">
        <f aca="false">L299/$R$3</f>
        <v>0</v>
      </c>
      <c r="U299" s="126" t="n">
        <f aca="false">I299/$R$3</f>
        <v>0</v>
      </c>
      <c r="V299" s="126" t="n">
        <f aca="false">M299/$R$3</f>
        <v>0</v>
      </c>
      <c r="W299" s="126" t="n">
        <f aca="false">N299/$R$3</f>
        <v>0</v>
      </c>
    </row>
    <row r="300" customFormat="false" ht="12.75" hidden="true" customHeight="false" outlineLevel="0" collapsed="false">
      <c r="A300" s="120" t="n">
        <f aca="false">A299+1</f>
        <v>37186</v>
      </c>
      <c r="B300" s="131" t="str">
        <f aca="false">INDEX('Master Data'!$A$2:$B$8,MATCH(WEEKDAY('SC Total Power'!A300,3),'Master Data'!$A$2:$A$8,0),2)</f>
        <v>M</v>
      </c>
      <c r="D300" s="124" t="n">
        <v>0</v>
      </c>
      <c r="E300" s="124" t="n">
        <v>442598.217885745</v>
      </c>
      <c r="F300" s="124" t="n">
        <v>0</v>
      </c>
      <c r="G300" s="124" t="n">
        <v>0</v>
      </c>
      <c r="I300" s="124" t="n">
        <f aca="false">IF(MONTH($A300)=MONTH($A299),IF(G300=0,I299,G300),G300)</f>
        <v>0</v>
      </c>
      <c r="J300" s="124" t="n">
        <f aca="false">IF(MONTH($A300)=MONTH($A299),SUM(I300-I299),I300)</f>
        <v>0</v>
      </c>
      <c r="K300" s="124" t="n">
        <f aca="false">IF(WEEKDAY(A300,3)&gt;4,0,(IF(A300&lt;K$2,0,IF(A300&lt;=K$3,1,0))))</f>
        <v>0</v>
      </c>
      <c r="L300" s="124" t="n">
        <f aca="false">J300*K300</f>
        <v>0</v>
      </c>
      <c r="M300" s="124" t="n">
        <f aca="false">SUM(J$280:J300)</f>
        <v>0</v>
      </c>
      <c r="N300" s="124" t="n">
        <f aca="false">SUM(J$6:J300)</f>
        <v>0</v>
      </c>
      <c r="P300" s="124" t="n">
        <f aca="false">D300/P$3</f>
        <v>0</v>
      </c>
      <c r="Q300" s="143" t="n">
        <f aca="false">E300/P$3</f>
        <v>0.442598217885745</v>
      </c>
      <c r="R300" s="124" t="n">
        <f aca="false">F300/R$3</f>
        <v>0</v>
      </c>
      <c r="S300" s="126" t="n">
        <f aca="false">J300/$R$3</f>
        <v>0</v>
      </c>
      <c r="T300" s="126" t="n">
        <f aca="false">L300/$R$3</f>
        <v>0</v>
      </c>
      <c r="U300" s="126" t="n">
        <f aca="false">I300/$R$3</f>
        <v>0</v>
      </c>
      <c r="V300" s="126" t="n">
        <f aca="false">M300/$R$3</f>
        <v>0</v>
      </c>
      <c r="W300" s="126" t="n">
        <f aca="false">N300/$R$3</f>
        <v>0</v>
      </c>
    </row>
    <row r="301" customFormat="false" ht="12.75" hidden="true" customHeight="false" outlineLevel="0" collapsed="false">
      <c r="A301" s="120" t="n">
        <f aca="false">A300+1</f>
        <v>37187</v>
      </c>
      <c r="B301" s="131" t="str">
        <f aca="false">INDEX('Master Data'!$A$2:$B$8,MATCH(WEEKDAY('SC Total Power'!A301,3),'Master Data'!$A$2:$A$8,0),2)</f>
        <v>T</v>
      </c>
      <c r="D301" s="124" t="n">
        <v>0</v>
      </c>
      <c r="E301" s="124" t="n">
        <v>442484.895906509</v>
      </c>
      <c r="F301" s="124" t="n">
        <v>0</v>
      </c>
      <c r="G301" s="124" t="n">
        <v>0</v>
      </c>
      <c r="I301" s="124" t="n">
        <f aca="false">IF(MONTH($A301)=MONTH($A300),IF(G301=0,I300,G301),G301)</f>
        <v>0</v>
      </c>
      <c r="J301" s="124" t="n">
        <f aca="false">IF(MONTH($A301)=MONTH($A300),SUM(I301-I300),I301)</f>
        <v>0</v>
      </c>
      <c r="K301" s="124" t="n">
        <f aca="false">IF(WEEKDAY(A301,3)&gt;4,0,(IF(A301&lt;K$2,0,IF(A301&lt;=K$3,1,0))))</f>
        <v>0</v>
      </c>
      <c r="L301" s="124" t="n">
        <f aca="false">J301*K301</f>
        <v>0</v>
      </c>
      <c r="M301" s="124" t="n">
        <f aca="false">SUM(J$280:J301)</f>
        <v>0</v>
      </c>
      <c r="N301" s="124" t="n">
        <f aca="false">SUM(J$6:J301)</f>
        <v>0</v>
      </c>
      <c r="P301" s="124" t="n">
        <f aca="false">D301/P$3</f>
        <v>0</v>
      </c>
      <c r="Q301" s="143" t="n">
        <f aca="false">E301/P$3</f>
        <v>0.442484895906509</v>
      </c>
      <c r="R301" s="124" t="n">
        <f aca="false">F301/R$3</f>
        <v>0</v>
      </c>
      <c r="S301" s="126" t="n">
        <f aca="false">J301/$R$3</f>
        <v>0</v>
      </c>
      <c r="T301" s="126" t="n">
        <f aca="false">L301/$R$3</f>
        <v>0</v>
      </c>
      <c r="U301" s="126" t="n">
        <f aca="false">I301/$R$3</f>
        <v>0</v>
      </c>
      <c r="V301" s="126" t="n">
        <f aca="false">M301/$R$3</f>
        <v>0</v>
      </c>
      <c r="W301" s="126" t="n">
        <f aca="false">N301/$R$3</f>
        <v>0</v>
      </c>
    </row>
    <row r="302" customFormat="false" ht="12.75" hidden="true" customHeight="false" outlineLevel="0" collapsed="false">
      <c r="A302" s="120" t="n">
        <f aca="false">A301+1</f>
        <v>37188</v>
      </c>
      <c r="B302" s="131" t="str">
        <f aca="false">INDEX('Master Data'!$A$2:$B$8,MATCH(WEEKDAY('SC Total Power'!A302,3),'Master Data'!$A$2:$A$8,0),2)</f>
        <v>W</v>
      </c>
      <c r="D302" s="124" t="n">
        <v>0</v>
      </c>
      <c r="E302" s="124" t="n">
        <v>442427.701182957</v>
      </c>
      <c r="F302" s="124" t="n">
        <v>0</v>
      </c>
      <c r="G302" s="124" t="n">
        <v>0</v>
      </c>
      <c r="I302" s="124" t="n">
        <f aca="false">IF(MONTH($A302)=MONTH($A301),IF(G302=0,I301,G302),G302)</f>
        <v>0</v>
      </c>
      <c r="J302" s="124" t="n">
        <f aca="false">IF(MONTH($A302)=MONTH($A301),SUM(I302-I301),I302)</f>
        <v>0</v>
      </c>
      <c r="K302" s="124" t="n">
        <f aca="false">IF(WEEKDAY(A302,3)&gt;4,0,(IF(A302&lt;K$2,0,IF(A302&lt;=K$3,1,0))))</f>
        <v>0</v>
      </c>
      <c r="L302" s="124" t="n">
        <f aca="false">J302*K302</f>
        <v>0</v>
      </c>
      <c r="M302" s="124" t="n">
        <f aca="false">SUM(J$280:J302)</f>
        <v>0</v>
      </c>
      <c r="N302" s="124" t="n">
        <f aca="false">SUM(J$6:J302)</f>
        <v>0</v>
      </c>
      <c r="P302" s="124" t="n">
        <f aca="false">D302/P$3</f>
        <v>0</v>
      </c>
      <c r="Q302" s="143" t="n">
        <f aca="false">E302/P$3</f>
        <v>0.442427701182957</v>
      </c>
      <c r="R302" s="124" t="n">
        <f aca="false">F302/R$3</f>
        <v>0</v>
      </c>
      <c r="S302" s="126" t="n">
        <f aca="false">J302/$R$3</f>
        <v>0</v>
      </c>
      <c r="T302" s="126" t="n">
        <f aca="false">L302/$R$3</f>
        <v>0</v>
      </c>
      <c r="U302" s="126" t="n">
        <f aca="false">I302/$R$3</f>
        <v>0</v>
      </c>
      <c r="V302" s="126" t="n">
        <f aca="false">M302/$R$3</f>
        <v>0</v>
      </c>
      <c r="W302" s="126" t="n">
        <f aca="false">N302/$R$3</f>
        <v>0</v>
      </c>
    </row>
    <row r="303" customFormat="false" ht="12.75" hidden="true" customHeight="false" outlineLevel="0" collapsed="false">
      <c r="A303" s="120" t="n">
        <f aca="false">A302+1</f>
        <v>37189</v>
      </c>
      <c r="B303" s="131" t="str">
        <f aca="false">INDEX('Master Data'!$A$2:$B$8,MATCH(WEEKDAY('SC Total Power'!A303,3),'Master Data'!$A$2:$A$8,0),2)</f>
        <v>Th</v>
      </c>
      <c r="D303" s="124" t="n">
        <v>0</v>
      </c>
      <c r="E303" s="124" t="n">
        <v>443262.049056712</v>
      </c>
      <c r="F303" s="124" t="n">
        <v>0</v>
      </c>
      <c r="G303" s="124" t="n">
        <v>0</v>
      </c>
      <c r="I303" s="124" t="n">
        <f aca="false">IF(MONTH($A303)=MONTH($A302),IF(G303=0,I302,G303),G303)</f>
        <v>0</v>
      </c>
      <c r="J303" s="124" t="n">
        <f aca="false">IF(MONTH($A303)=MONTH($A302),SUM(I303-I302),I303)</f>
        <v>0</v>
      </c>
      <c r="K303" s="124" t="n">
        <f aca="false">IF(WEEKDAY(A303,3)&gt;4,0,(IF(A303&lt;K$2,0,IF(A303&lt;=K$3,1,0))))</f>
        <v>0</v>
      </c>
      <c r="L303" s="124" t="n">
        <f aca="false">J303*K303</f>
        <v>0</v>
      </c>
      <c r="M303" s="124" t="n">
        <f aca="false">SUM(J$280:J303)</f>
        <v>0</v>
      </c>
      <c r="N303" s="124" t="n">
        <f aca="false">SUM(J$6:J303)</f>
        <v>0</v>
      </c>
      <c r="P303" s="124" t="n">
        <f aca="false">D303/P$3</f>
        <v>0</v>
      </c>
      <c r="Q303" s="143" t="n">
        <f aca="false">E303/P$3</f>
        <v>0.443262049056712</v>
      </c>
      <c r="R303" s="124" t="n">
        <f aca="false">F303/R$3</f>
        <v>0</v>
      </c>
      <c r="S303" s="126" t="n">
        <f aca="false">J303/$R$3</f>
        <v>0</v>
      </c>
      <c r="T303" s="126" t="n">
        <f aca="false">L303/$R$3</f>
        <v>0</v>
      </c>
      <c r="U303" s="126" t="n">
        <f aca="false">I303/$R$3</f>
        <v>0</v>
      </c>
      <c r="V303" s="126" t="n">
        <f aca="false">M303/$R$3</f>
        <v>0</v>
      </c>
      <c r="W303" s="126" t="n">
        <f aca="false">N303/$R$3</f>
        <v>0</v>
      </c>
    </row>
    <row r="304" customFormat="false" ht="12.75" hidden="false" customHeight="false" outlineLevel="0" collapsed="false">
      <c r="A304" s="120" t="n">
        <f aca="false">A303+1</f>
        <v>37190</v>
      </c>
      <c r="B304" s="131" t="str">
        <f aca="false">INDEX('Master Data'!$A$2:$B$8,MATCH(WEEKDAY('SC Total Power'!A304,3),'Master Data'!$A$2:$A$8,0),2)</f>
        <v>F</v>
      </c>
      <c r="D304" s="124" t="n">
        <v>0</v>
      </c>
      <c r="E304" s="124" t="n">
        <v>444415.903156255</v>
      </c>
      <c r="F304" s="124" t="n">
        <v>0</v>
      </c>
      <c r="G304" s="124" t="n">
        <v>0</v>
      </c>
      <c r="I304" s="124" t="n">
        <f aca="false">IF(MONTH($A304)=MONTH($A303),IF(G304=0,I303,G304),G304)</f>
        <v>0</v>
      </c>
      <c r="J304" s="124" t="n">
        <f aca="false">IF(MONTH($A304)=MONTH($A303),SUM(I304-I303),I304)</f>
        <v>0</v>
      </c>
      <c r="K304" s="124" t="n">
        <f aca="false">IF(WEEKDAY(A304,3)&gt;4,0,(IF(A304&lt;K$2,0,IF(A304&lt;=K$3,1,0))))</f>
        <v>1</v>
      </c>
      <c r="L304" s="124" t="n">
        <f aca="false">J304*K304</f>
        <v>0</v>
      </c>
      <c r="M304" s="124" t="n">
        <f aca="false">SUM(J$280:J304)</f>
        <v>0</v>
      </c>
      <c r="N304" s="124" t="n">
        <f aca="false">SUM(J$6:J304)</f>
        <v>0</v>
      </c>
      <c r="P304" s="124" t="n">
        <f aca="false">D304/P$3</f>
        <v>0</v>
      </c>
      <c r="Q304" s="143" t="n">
        <f aca="false">E304/P$3</f>
        <v>0.444415903156255</v>
      </c>
      <c r="R304" s="124" t="n">
        <f aca="false">F304/R$3</f>
        <v>0</v>
      </c>
      <c r="S304" s="126" t="n">
        <f aca="false">J304/$R$3</f>
        <v>0</v>
      </c>
      <c r="T304" s="126" t="n">
        <f aca="false">L304/$R$3</f>
        <v>0</v>
      </c>
      <c r="U304" s="126" t="n">
        <f aca="false">I304/$R$3</f>
        <v>0</v>
      </c>
      <c r="V304" s="126" t="n">
        <f aca="false">M304/$R$3</f>
        <v>0</v>
      </c>
      <c r="W304" s="126" t="n">
        <f aca="false">N304/$R$3</f>
        <v>0</v>
      </c>
    </row>
    <row r="305" customFormat="false" ht="12.75" hidden="false" customHeight="false" outlineLevel="0" collapsed="false">
      <c r="A305" s="120" t="n">
        <f aca="false">A304+1</f>
        <v>37191</v>
      </c>
      <c r="B305" s="131" t="str">
        <f aca="false">INDEX('Master Data'!$A$2:$B$8,MATCH(WEEKDAY('SC Total Power'!A305,3),'Master Data'!$A$2:$A$8,0),2)</f>
        <v>Sa</v>
      </c>
      <c r="D305" s="124" t="n">
        <v>0</v>
      </c>
      <c r="E305" s="124" t="n">
        <v>0</v>
      </c>
      <c r="F305" s="124" t="n">
        <v>0</v>
      </c>
      <c r="G305" s="124" t="n">
        <v>0</v>
      </c>
      <c r="I305" s="124" t="n">
        <f aca="false">IF(MONTH($A305)=MONTH($A304),IF(G305=0,I304,G305),G305)</f>
        <v>0</v>
      </c>
      <c r="J305" s="124" t="n">
        <f aca="false">IF(MONTH($A305)=MONTH($A304),SUM(I305-I304),I305)</f>
        <v>0</v>
      </c>
      <c r="K305" s="124" t="n">
        <f aca="false">IF(WEEKDAY(A305,3)&gt;4,0,(IF(A305&lt;K$2,0,IF(A305&lt;=K$3,1,0))))</f>
        <v>0</v>
      </c>
      <c r="L305" s="124" t="n">
        <f aca="false">J305*K305</f>
        <v>0</v>
      </c>
      <c r="M305" s="124" t="n">
        <f aca="false">SUM(J$280:J305)</f>
        <v>0</v>
      </c>
      <c r="N305" s="124" t="n">
        <f aca="false">SUM(J$6:J305)</f>
        <v>0</v>
      </c>
      <c r="P305" s="124" t="n">
        <f aca="false">D305/P$3</f>
        <v>0</v>
      </c>
      <c r="Q305" s="143" t="n">
        <f aca="false">E305/P$3</f>
        <v>0</v>
      </c>
      <c r="R305" s="124" t="n">
        <f aca="false">F305/R$3</f>
        <v>0</v>
      </c>
      <c r="S305" s="126" t="n">
        <f aca="false">J305/$R$3</f>
        <v>0</v>
      </c>
      <c r="T305" s="126" t="n">
        <f aca="false">L305/$R$3</f>
        <v>0</v>
      </c>
      <c r="U305" s="126" t="n">
        <f aca="false">I305/$R$3</f>
        <v>0</v>
      </c>
      <c r="V305" s="126" t="n">
        <f aca="false">M305/$R$3</f>
        <v>0</v>
      </c>
      <c r="W305" s="126" t="n">
        <f aca="false">N305/$R$3</f>
        <v>0</v>
      </c>
    </row>
    <row r="306" customFormat="false" ht="12.75" hidden="false" customHeight="false" outlineLevel="0" collapsed="false">
      <c r="A306" s="120" t="n">
        <f aca="false">A305+1</f>
        <v>37192</v>
      </c>
      <c r="B306" s="131" t="str">
        <f aca="false">INDEX('Master Data'!$A$2:$B$8,MATCH(WEEKDAY('SC Total Power'!A306,3),'Master Data'!$A$2:$A$8,0),2)</f>
        <v>Su</v>
      </c>
      <c r="D306" s="124" t="n">
        <v>0</v>
      </c>
      <c r="E306" s="124" t="n">
        <v>0</v>
      </c>
      <c r="F306" s="124" t="n">
        <v>0</v>
      </c>
      <c r="G306" s="124" t="n">
        <v>0</v>
      </c>
      <c r="I306" s="124" t="n">
        <f aca="false">IF(MONTH($A306)=MONTH($A305),IF(G306=0,I305,G306),G306)</f>
        <v>0</v>
      </c>
      <c r="J306" s="124" t="n">
        <f aca="false">IF(MONTH($A306)=MONTH($A305),SUM(I306-I305),I306)</f>
        <v>0</v>
      </c>
      <c r="K306" s="124" t="n">
        <f aca="false">IF(WEEKDAY(A306,3)&gt;4,0,(IF(A306&lt;K$2,0,IF(A306&lt;=K$3,1,0))))</f>
        <v>0</v>
      </c>
      <c r="L306" s="124" t="n">
        <f aca="false">J306*K306</f>
        <v>0</v>
      </c>
      <c r="M306" s="124" t="n">
        <f aca="false">SUM(J$280:J306)</f>
        <v>0</v>
      </c>
      <c r="N306" s="124" t="n">
        <f aca="false">SUM(J$6:J306)</f>
        <v>0</v>
      </c>
      <c r="P306" s="124" t="n">
        <f aca="false">D306/P$3</f>
        <v>0</v>
      </c>
      <c r="Q306" s="143" t="n">
        <f aca="false">E306/P$3</f>
        <v>0</v>
      </c>
      <c r="R306" s="124" t="n">
        <f aca="false">F306/R$3</f>
        <v>0</v>
      </c>
      <c r="S306" s="126" t="n">
        <f aca="false">J306/$R$3</f>
        <v>0</v>
      </c>
      <c r="T306" s="126" t="n">
        <f aca="false">L306/$R$3</f>
        <v>0</v>
      </c>
      <c r="U306" s="126" t="n">
        <f aca="false">I306/$R$3</f>
        <v>0</v>
      </c>
      <c r="V306" s="126" t="n">
        <f aca="false">M306/$R$3</f>
        <v>0</v>
      </c>
      <c r="W306" s="126" t="n">
        <f aca="false">N306/$R$3</f>
        <v>0</v>
      </c>
    </row>
    <row r="307" customFormat="false" ht="12.75" hidden="false" customHeight="false" outlineLevel="0" collapsed="false">
      <c r="A307" s="120" t="n">
        <f aca="false">A306+1</f>
        <v>37193</v>
      </c>
      <c r="B307" s="131" t="str">
        <f aca="false">INDEX('Master Data'!$A$2:$B$8,MATCH(WEEKDAY('SC Total Power'!A307,3),'Master Data'!$A$2:$A$8,0),2)</f>
        <v>M</v>
      </c>
      <c r="D307" s="124" t="n">
        <v>0</v>
      </c>
      <c r="E307" s="124" t="n">
        <v>444593.32733733</v>
      </c>
      <c r="F307" s="124" t="n">
        <v>0</v>
      </c>
      <c r="G307" s="124" t="n">
        <v>0</v>
      </c>
      <c r="I307" s="124" t="n">
        <f aca="false">IF(MONTH($A307)=MONTH($A306),IF(G307=0,I306,G307),G307)</f>
        <v>0</v>
      </c>
      <c r="J307" s="124" t="n">
        <f aca="false">IF(MONTH($A307)=MONTH($A306),SUM(I307-I306),I307)</f>
        <v>0</v>
      </c>
      <c r="K307" s="124" t="n">
        <f aca="false">IF(WEEKDAY(A307,3)&gt;4,0,(IF(A307&lt;K$2,0,IF(A307&lt;=K$3,1,0))))</f>
        <v>1</v>
      </c>
      <c r="L307" s="124" t="n">
        <f aca="false">J307*K307</f>
        <v>0</v>
      </c>
      <c r="M307" s="124" t="n">
        <f aca="false">SUM(J$280:J307)</f>
        <v>0</v>
      </c>
      <c r="N307" s="124" t="n">
        <f aca="false">SUM(J$6:J307)</f>
        <v>0</v>
      </c>
      <c r="P307" s="124" t="n">
        <f aca="false">D307/P$3</f>
        <v>0</v>
      </c>
      <c r="Q307" s="143" t="n">
        <f aca="false">E307/P$3</f>
        <v>0.44459332733733</v>
      </c>
      <c r="R307" s="124" t="n">
        <f aca="false">F307/R$3</f>
        <v>0</v>
      </c>
      <c r="S307" s="126" t="n">
        <f aca="false">J307/$R$3</f>
        <v>0</v>
      </c>
      <c r="T307" s="126" t="n">
        <f aca="false">L307/$R$3</f>
        <v>0</v>
      </c>
      <c r="U307" s="126" t="n">
        <f aca="false">I307/$R$3</f>
        <v>0</v>
      </c>
      <c r="V307" s="126" t="n">
        <f aca="false">M307/$R$3</f>
        <v>0</v>
      </c>
      <c r="W307" s="126" t="n">
        <f aca="false">N307/$R$3</f>
        <v>0</v>
      </c>
    </row>
    <row r="308" customFormat="false" ht="12.75" hidden="false" customHeight="false" outlineLevel="0" collapsed="false">
      <c r="A308" s="120" t="n">
        <f aca="false">A307+1</f>
        <v>37194</v>
      </c>
      <c r="B308" s="131" t="str">
        <f aca="false">INDEX('Master Data'!$A$2:$B$8,MATCH(WEEKDAY('SC Total Power'!A308,3),'Master Data'!$A$2:$A$8,0),2)</f>
        <v>T</v>
      </c>
      <c r="D308" s="124" t="n">
        <v>0</v>
      </c>
      <c r="E308" s="124" t="n">
        <v>468981.468753073</v>
      </c>
      <c r="F308" s="124" t="n">
        <v>0</v>
      </c>
      <c r="G308" s="124" t="n">
        <v>0</v>
      </c>
      <c r="I308" s="124" t="n">
        <f aca="false">IF(MONTH($A308)=MONTH($A307),IF(G308=0,I307,G308),G308)</f>
        <v>0</v>
      </c>
      <c r="J308" s="124" t="n">
        <f aca="false">IF(MONTH($A308)=MONTH($A307),SUM(I308-I307),I308)</f>
        <v>0</v>
      </c>
      <c r="K308" s="124" t="n">
        <f aca="false">IF(WEEKDAY(A308,3)&gt;4,0,(IF(A308&lt;K$2,0,IF(A308&lt;=K$3,1,0))))</f>
        <v>1</v>
      </c>
      <c r="L308" s="124" t="n">
        <f aca="false">J308*K308</f>
        <v>0</v>
      </c>
      <c r="M308" s="124" t="n">
        <f aca="false">SUM(J$280:J308)</f>
        <v>0</v>
      </c>
      <c r="N308" s="124" t="n">
        <f aca="false">SUM(J$6:J308)</f>
        <v>0</v>
      </c>
      <c r="P308" s="124" t="n">
        <f aca="false">D308/P$3</f>
        <v>0</v>
      </c>
      <c r="Q308" s="143" t="n">
        <f aca="false">E308/P$3</f>
        <v>0.468981468753073</v>
      </c>
      <c r="R308" s="124" t="n">
        <f aca="false">F308/R$3</f>
        <v>0</v>
      </c>
      <c r="S308" s="126" t="n">
        <f aca="false">J308/$R$3</f>
        <v>0</v>
      </c>
      <c r="T308" s="126" t="n">
        <f aca="false">L308/$R$3</f>
        <v>0</v>
      </c>
      <c r="U308" s="126" t="n">
        <f aca="false">I308/$R$3</f>
        <v>0</v>
      </c>
      <c r="V308" s="126" t="n">
        <f aca="false">M308/$R$3</f>
        <v>0</v>
      </c>
      <c r="W308" s="126" t="n">
        <f aca="false">N308/$R$3</f>
        <v>0</v>
      </c>
    </row>
    <row r="309" customFormat="false" ht="12.75" hidden="false" customHeight="false" outlineLevel="0" collapsed="false">
      <c r="A309" s="120" t="n">
        <f aca="false">A308+1</f>
        <v>37195</v>
      </c>
      <c r="B309" s="131" t="str">
        <f aca="false">INDEX('Master Data'!$A$2:$B$8,MATCH(WEEKDAY('SC Total Power'!A309,3),'Master Data'!$A$2:$A$8,0),2)</f>
        <v>W</v>
      </c>
      <c r="D309" s="124" t="n">
        <v>0</v>
      </c>
      <c r="E309" s="124" t="n">
        <v>470655.631349289</v>
      </c>
      <c r="F309" s="124" t="n">
        <v>0</v>
      </c>
      <c r="G309" s="124" t="n">
        <v>0</v>
      </c>
      <c r="I309" s="124" t="n">
        <f aca="false">IF(MONTH($A309)=MONTH($A308),IF(G309=0,I308,G309),G309)</f>
        <v>0</v>
      </c>
      <c r="J309" s="124" t="n">
        <f aca="false">IF(MONTH($A309)=MONTH($A308),SUM(I309-I308),I309)</f>
        <v>0</v>
      </c>
      <c r="K309" s="124" t="n">
        <f aca="false">IF(WEEKDAY(A309,3)&gt;4,0,(IF(A309&lt;K$2,0,IF(A309&lt;=K$3,1,0))))</f>
        <v>1</v>
      </c>
      <c r="L309" s="124" t="n">
        <f aca="false">J309*K309</f>
        <v>0</v>
      </c>
      <c r="M309" s="124" t="n">
        <f aca="false">SUM(J$280:J309)</f>
        <v>0</v>
      </c>
      <c r="N309" s="124" t="n">
        <f aca="false">SUM(J$6:J309)</f>
        <v>0</v>
      </c>
      <c r="P309" s="124" t="n">
        <f aca="false">D309/P$3</f>
        <v>0</v>
      </c>
      <c r="Q309" s="143" t="n">
        <f aca="false">E309/P$3</f>
        <v>0.470655631349289</v>
      </c>
      <c r="R309" s="124" t="n">
        <f aca="false">F309/R$3</f>
        <v>0</v>
      </c>
      <c r="S309" s="126" t="n">
        <f aca="false">J309/$R$3</f>
        <v>0</v>
      </c>
      <c r="T309" s="126" t="n">
        <f aca="false">L309/$R$3</f>
        <v>0</v>
      </c>
      <c r="U309" s="126" t="n">
        <f aca="false">I309/$R$3</f>
        <v>0</v>
      </c>
      <c r="V309" s="126" t="n">
        <f aca="false">M309/$R$3</f>
        <v>0</v>
      </c>
      <c r="W309" s="126" t="n">
        <f aca="false">N309/$R$3</f>
        <v>0</v>
      </c>
    </row>
    <row r="310" customFormat="false" ht="12.75" hidden="false" customHeight="false" outlineLevel="0" collapsed="false">
      <c r="A310" s="120" t="n">
        <f aca="false">A309+1</f>
        <v>37196</v>
      </c>
      <c r="B310" s="131" t="str">
        <f aca="false">INDEX('Master Data'!$A$2:$B$8,MATCH(WEEKDAY('SC Total Power'!A310,3),'Master Data'!$A$2:$A$8,0),2)</f>
        <v>Th</v>
      </c>
      <c r="D310" s="124" t="n">
        <v>0</v>
      </c>
      <c r="E310" s="124" t="n">
        <v>470594.157650487</v>
      </c>
      <c r="F310" s="124" t="n">
        <v>0</v>
      </c>
      <c r="G310" s="124" t="n">
        <v>0</v>
      </c>
      <c r="I310" s="124" t="n">
        <f aca="false">IF(MONTH($A310)=MONTH($A309),IF(G310=0,I309,G310),G310)</f>
        <v>0</v>
      </c>
      <c r="J310" s="124" t="n">
        <f aca="false">IF(MONTH($A310)=MONTH($A309),SUM(I310-I309),I310)</f>
        <v>0</v>
      </c>
      <c r="K310" s="124" t="n">
        <f aca="false">IF(WEEKDAY(A310,3)&gt;4,0,(IF(A310&lt;K$2,0,IF(A310&lt;=K$3,1,0))))</f>
        <v>1</v>
      </c>
      <c r="L310" s="124" t="n">
        <f aca="false">J310*K310</f>
        <v>0</v>
      </c>
      <c r="M310" s="124" t="n">
        <f aca="false">SUM(J$280:J310)</f>
        <v>0</v>
      </c>
      <c r="N310" s="124" t="n">
        <f aca="false">SUM(J$6:J310)</f>
        <v>0</v>
      </c>
      <c r="P310" s="124" t="n">
        <f aca="false">D310/P$3</f>
        <v>0</v>
      </c>
      <c r="Q310" s="143" t="n">
        <f aca="false">E310/P$3</f>
        <v>0.470594157650487</v>
      </c>
      <c r="R310" s="124" t="n">
        <f aca="false">F310/R$3</f>
        <v>0</v>
      </c>
      <c r="S310" s="126" t="n">
        <f aca="false">J310/$R$3</f>
        <v>0</v>
      </c>
      <c r="T310" s="126" t="n">
        <f aca="false">L310/$R$3</f>
        <v>0</v>
      </c>
      <c r="U310" s="126" t="n">
        <f aca="false">I310/$R$3</f>
        <v>0</v>
      </c>
      <c r="V310" s="126" t="n">
        <f aca="false">M310/$R$3</f>
        <v>0</v>
      </c>
      <c r="W310" s="126" t="n">
        <f aca="false">N310/$R$3</f>
        <v>0</v>
      </c>
    </row>
    <row r="311" customFormat="false" ht="12.75" hidden="false" customHeight="false" outlineLevel="0" collapsed="false">
      <c r="A311" s="120" t="n">
        <f aca="false">A310+1</f>
        <v>37197</v>
      </c>
      <c r="B311" s="131" t="str">
        <f aca="false">INDEX('Master Data'!$A$2:$B$8,MATCH(WEEKDAY('SC Total Power'!A311,3),'Master Data'!$A$2:$A$8,0),2)</f>
        <v>F</v>
      </c>
      <c r="D311" s="124" t="n">
        <v>0</v>
      </c>
      <c r="E311" s="124" t="n">
        <v>0</v>
      </c>
      <c r="F311" s="124" t="n">
        <v>0</v>
      </c>
      <c r="G311" s="124" t="n">
        <v>0</v>
      </c>
      <c r="I311" s="124" t="n">
        <f aca="false">IF(MONTH($A311)=MONTH($A310),IF(G311=0,I310,G311),G311)</f>
        <v>0</v>
      </c>
      <c r="J311" s="124" t="n">
        <f aca="false">IF(MONTH($A311)=MONTH($A310),SUM(I311-I310),I311)</f>
        <v>0</v>
      </c>
      <c r="K311" s="124" t="n">
        <f aca="false">IF(WEEKDAY(A311,3)&gt;4,0,(IF(A311&lt;K$2,0,IF(A311&lt;=K$3,1,0))))</f>
        <v>0</v>
      </c>
      <c r="L311" s="124" t="n">
        <f aca="false">J311*K311</f>
        <v>0</v>
      </c>
      <c r="M311" s="124" t="n">
        <f aca="false">SUM(J$280:J311)</f>
        <v>0</v>
      </c>
      <c r="N311" s="124" t="n">
        <f aca="false">SUM(J$6:J311)</f>
        <v>0</v>
      </c>
      <c r="P311" s="124" t="n">
        <f aca="false">D311/P$3</f>
        <v>0</v>
      </c>
      <c r="Q311" s="143" t="n">
        <f aca="false">E311/P$3</f>
        <v>0</v>
      </c>
      <c r="R311" s="124" t="n">
        <f aca="false">F311/R$3</f>
        <v>0</v>
      </c>
      <c r="S311" s="126" t="n">
        <f aca="false">J311/$R$3</f>
        <v>0</v>
      </c>
      <c r="T311" s="126" t="n">
        <f aca="false">L311/$R$3</f>
        <v>0</v>
      </c>
      <c r="U311" s="126" t="n">
        <f aca="false">I311/$R$3</f>
        <v>0</v>
      </c>
      <c r="V311" s="126" t="n">
        <f aca="false">M311/$R$3</f>
        <v>0</v>
      </c>
      <c r="W311" s="126" t="n">
        <f aca="false">N311/$R$3</f>
        <v>0</v>
      </c>
    </row>
    <row r="312" customFormat="false" ht="12.75" hidden="false" customHeight="false" outlineLevel="0" collapsed="false">
      <c r="A312" s="120" t="n">
        <f aca="false">A311+1</f>
        <v>37198</v>
      </c>
      <c r="B312" s="131" t="str">
        <f aca="false">INDEX('Master Data'!$A$2:$B$8,MATCH(WEEKDAY('SC Total Power'!A312,3),'Master Data'!$A$2:$A$8,0),2)</f>
        <v>Sa</v>
      </c>
      <c r="D312" s="124" t="n">
        <v>0</v>
      </c>
      <c r="E312" s="124" t="n">
        <v>0</v>
      </c>
      <c r="F312" s="124" t="n">
        <v>0</v>
      </c>
      <c r="G312" s="124" t="n">
        <v>0</v>
      </c>
      <c r="I312" s="124" t="n">
        <f aca="false">IF(MONTH($A312)=MONTH($A311),IF(G312=0,I311,G312),G312)</f>
        <v>0</v>
      </c>
      <c r="J312" s="124" t="n">
        <f aca="false">IF(MONTH($A312)=MONTH($A311),SUM(I312-I311),I312)</f>
        <v>0</v>
      </c>
      <c r="K312" s="124" t="n">
        <f aca="false">IF(WEEKDAY(A312,3)&gt;4,0,(IF(A312&lt;K$2,0,IF(A312&lt;=K$3,1,0))))</f>
        <v>0</v>
      </c>
      <c r="L312" s="124" t="n">
        <f aca="false">J312*K312</f>
        <v>0</v>
      </c>
      <c r="M312" s="124" t="n">
        <f aca="false">SUM(J$280:J312)</f>
        <v>0</v>
      </c>
      <c r="N312" s="124" t="n">
        <f aca="false">SUM(J$6:J312)</f>
        <v>0</v>
      </c>
      <c r="P312" s="124" t="n">
        <f aca="false">D312/P$3</f>
        <v>0</v>
      </c>
      <c r="Q312" s="143" t="n">
        <f aca="false">E312/P$3</f>
        <v>0</v>
      </c>
      <c r="R312" s="124" t="n">
        <f aca="false">F312/R$3</f>
        <v>0</v>
      </c>
      <c r="S312" s="126" t="n">
        <f aca="false">J312/$R$3</f>
        <v>0</v>
      </c>
      <c r="T312" s="126" t="n">
        <f aca="false">L312/$R$3</f>
        <v>0</v>
      </c>
      <c r="U312" s="126" t="n">
        <f aca="false">I312/$R$3</f>
        <v>0</v>
      </c>
      <c r="V312" s="126" t="n">
        <f aca="false">M312/$R$3</f>
        <v>0</v>
      </c>
      <c r="W312" s="126" t="n">
        <f aca="false">N312/$R$3</f>
        <v>0</v>
      </c>
    </row>
    <row r="313" customFormat="false" ht="12.75" hidden="false" customHeight="false" outlineLevel="0" collapsed="false">
      <c r="A313" s="120" t="n">
        <f aca="false">A312+1</f>
        <v>37199</v>
      </c>
      <c r="B313" s="131" t="str">
        <f aca="false">INDEX('Master Data'!$A$2:$B$8,MATCH(WEEKDAY('SC Total Power'!A313,3),'Master Data'!$A$2:$A$8,0),2)</f>
        <v>Su</v>
      </c>
      <c r="D313" s="124" t="n">
        <v>0</v>
      </c>
      <c r="E313" s="124" t="n">
        <v>0</v>
      </c>
      <c r="F313" s="124" t="n">
        <v>0</v>
      </c>
      <c r="G313" s="124" t="n">
        <v>0</v>
      </c>
      <c r="I313" s="124" t="n">
        <f aca="false">IF(MONTH($A313)=MONTH($A312),IF(G313=0,I312,G313),G313)</f>
        <v>0</v>
      </c>
      <c r="J313" s="124" t="n">
        <f aca="false">IF(MONTH($A313)=MONTH($A312),SUM(I313-I312),I313)</f>
        <v>0</v>
      </c>
      <c r="K313" s="124" t="n">
        <f aca="false">IF(WEEKDAY(A313,3)&gt;4,0,(IF(A313&lt;K$2,0,IF(A313&lt;=K$3,1,0))))</f>
        <v>0</v>
      </c>
      <c r="L313" s="124" t="n">
        <f aca="false">J313*K313</f>
        <v>0</v>
      </c>
      <c r="M313" s="124" t="n">
        <f aca="false">SUM(J$280:J313)</f>
        <v>0</v>
      </c>
      <c r="N313" s="124" t="n">
        <f aca="false">SUM(J$6:J313)</f>
        <v>0</v>
      </c>
      <c r="P313" s="124" t="n">
        <f aca="false">D313/P$3</f>
        <v>0</v>
      </c>
      <c r="Q313" s="143" t="n">
        <f aca="false">E313/P$3</f>
        <v>0</v>
      </c>
      <c r="R313" s="124" t="n">
        <f aca="false">F313/R$3</f>
        <v>0</v>
      </c>
      <c r="S313" s="126" t="n">
        <f aca="false">J313/$R$3</f>
        <v>0</v>
      </c>
      <c r="T313" s="126" t="n">
        <f aca="false">L313/$R$3</f>
        <v>0</v>
      </c>
      <c r="U313" s="126" t="n">
        <f aca="false">I313/$R$3</f>
        <v>0</v>
      </c>
      <c r="V313" s="126" t="n">
        <f aca="false">M313/$R$3</f>
        <v>0</v>
      </c>
      <c r="W313" s="126" t="n">
        <f aca="false">N313/$R$3</f>
        <v>0</v>
      </c>
    </row>
    <row r="314" customFormat="false" ht="12.75" hidden="false" customHeight="false" outlineLevel="0" collapsed="false">
      <c r="A314" s="120" t="n">
        <f aca="false">A313+1</f>
        <v>37200</v>
      </c>
      <c r="B314" s="131" t="str">
        <f aca="false">INDEX('Master Data'!$A$2:$B$8,MATCH(WEEKDAY('SC Total Power'!A314,3),'Master Data'!$A$2:$A$8,0),2)</f>
        <v>M</v>
      </c>
      <c r="D314" s="124" t="n">
        <v>0</v>
      </c>
      <c r="E314" s="124" t="n">
        <v>0</v>
      </c>
      <c r="F314" s="124" t="n">
        <v>0</v>
      </c>
      <c r="G314" s="124" t="n">
        <v>0</v>
      </c>
      <c r="I314" s="124" t="n">
        <f aca="false">IF(MONTH($A314)=MONTH($A313),IF(G314=0,I313,G314),G314)</f>
        <v>0</v>
      </c>
      <c r="J314" s="124" t="n">
        <f aca="false">IF(MONTH($A314)=MONTH($A313),SUM(I314-I313),I314)</f>
        <v>0</v>
      </c>
      <c r="K314" s="124" t="n">
        <f aca="false">IF(WEEKDAY(A314,3)&gt;4,0,(IF(A314&lt;K$2,0,IF(A314&lt;=K$3,1,0))))</f>
        <v>0</v>
      </c>
      <c r="L314" s="124" t="n">
        <f aca="false">J314*K314</f>
        <v>0</v>
      </c>
      <c r="M314" s="124" t="n">
        <f aca="false">SUM(J$280:J314)</f>
        <v>0</v>
      </c>
      <c r="N314" s="124" t="n">
        <f aca="false">SUM(J$6:J314)</f>
        <v>0</v>
      </c>
      <c r="P314" s="124" t="n">
        <f aca="false">D314/P$3</f>
        <v>0</v>
      </c>
      <c r="Q314" s="143" t="n">
        <f aca="false">E314/P$3</f>
        <v>0</v>
      </c>
      <c r="R314" s="124" t="n">
        <f aca="false">F314/R$3</f>
        <v>0</v>
      </c>
      <c r="S314" s="126" t="n">
        <f aca="false">J314/$R$3</f>
        <v>0</v>
      </c>
      <c r="T314" s="126" t="n">
        <f aca="false">L314/$R$3</f>
        <v>0</v>
      </c>
      <c r="U314" s="126" t="n">
        <f aca="false">I314/$R$3</f>
        <v>0</v>
      </c>
      <c r="V314" s="126" t="n">
        <f aca="false">M314/$R$3</f>
        <v>0</v>
      </c>
      <c r="W314" s="126" t="n">
        <f aca="false">N314/$R$3</f>
        <v>0</v>
      </c>
    </row>
    <row r="315" customFormat="false" ht="12.75" hidden="false" customHeight="false" outlineLevel="0" collapsed="false">
      <c r="A315" s="120" t="n">
        <f aca="false">A314+1</f>
        <v>37201</v>
      </c>
      <c r="B315" s="131" t="str">
        <f aca="false">INDEX('Master Data'!$A$2:$B$8,MATCH(WEEKDAY('SC Total Power'!A315,3),'Master Data'!$A$2:$A$8,0),2)</f>
        <v>T</v>
      </c>
      <c r="D315" s="124" t="n">
        <v>0</v>
      </c>
      <c r="E315" s="124" t="n">
        <v>0</v>
      </c>
      <c r="F315" s="124" t="n">
        <v>0</v>
      </c>
      <c r="G315" s="124" t="n">
        <v>0</v>
      </c>
      <c r="I315" s="124" t="n">
        <f aca="false">IF(MONTH($A315)=MONTH($A314),IF(G315=0,I314,G315),G315)</f>
        <v>0</v>
      </c>
      <c r="J315" s="124" t="n">
        <f aca="false">IF(MONTH($A315)=MONTH($A314),SUM(I315-I314),I315)</f>
        <v>0</v>
      </c>
      <c r="K315" s="124" t="n">
        <f aca="false">IF(WEEKDAY(A315,3)&gt;4,0,(IF(A315&lt;K$2,0,IF(A315&lt;=K$3,1,0))))</f>
        <v>0</v>
      </c>
      <c r="L315" s="124" t="n">
        <f aca="false">J315*K315</f>
        <v>0</v>
      </c>
      <c r="M315" s="124" t="n">
        <f aca="false">SUM(J$280:J315)</f>
        <v>0</v>
      </c>
      <c r="N315" s="124" t="n">
        <f aca="false">SUM(J$6:J315)</f>
        <v>0</v>
      </c>
      <c r="P315" s="124" t="n">
        <f aca="false">D315/P$3</f>
        <v>0</v>
      </c>
      <c r="Q315" s="143" t="n">
        <f aca="false">E315/P$3</f>
        <v>0</v>
      </c>
      <c r="R315" s="124" t="n">
        <f aca="false">F315/R$3</f>
        <v>0</v>
      </c>
      <c r="S315" s="126" t="n">
        <f aca="false">J315/$R$3</f>
        <v>0</v>
      </c>
      <c r="T315" s="126" t="n">
        <f aca="false">L315/$R$3</f>
        <v>0</v>
      </c>
      <c r="U315" s="126" t="n">
        <f aca="false">I315/$R$3</f>
        <v>0</v>
      </c>
      <c r="V315" s="126" t="n">
        <f aca="false">M315/$R$3</f>
        <v>0</v>
      </c>
      <c r="W315" s="126" t="n">
        <f aca="false">N315/$R$3</f>
        <v>0</v>
      </c>
    </row>
    <row r="316" customFormat="false" ht="12.75" hidden="false" customHeight="false" outlineLevel="0" collapsed="false">
      <c r="A316" s="120" t="n">
        <f aca="false">A315+1</f>
        <v>37202</v>
      </c>
      <c r="B316" s="131" t="str">
        <f aca="false">INDEX('Master Data'!$A$2:$B$8,MATCH(WEEKDAY('SC Total Power'!A316,3),'Master Data'!$A$2:$A$8,0),2)</f>
        <v>W</v>
      </c>
      <c r="D316" s="124" t="n">
        <v>0</v>
      </c>
      <c r="E316" s="124" t="n">
        <v>0</v>
      </c>
      <c r="F316" s="124" t="n">
        <v>0</v>
      </c>
      <c r="G316" s="124" t="n">
        <v>0</v>
      </c>
      <c r="I316" s="124" t="n">
        <f aca="false">IF(MONTH($A316)=MONTH($A315),IF(G316=0,I315,G316),G316)</f>
        <v>0</v>
      </c>
      <c r="J316" s="124" t="n">
        <f aca="false">IF(MONTH($A316)=MONTH($A315),SUM(I316-I315),I316)</f>
        <v>0</v>
      </c>
      <c r="K316" s="124" t="n">
        <f aca="false">IF(WEEKDAY(A316,3)&gt;4,0,(IF(A316&lt;K$2,0,IF(A316&lt;=K$3,1,0))))</f>
        <v>0</v>
      </c>
      <c r="L316" s="124" t="n">
        <f aca="false">J316*K316</f>
        <v>0</v>
      </c>
      <c r="M316" s="124" t="n">
        <f aca="false">SUM(J$280:J316)</f>
        <v>0</v>
      </c>
      <c r="N316" s="124" t="n">
        <f aca="false">SUM(J$6:J316)</f>
        <v>0</v>
      </c>
      <c r="P316" s="124" t="n">
        <f aca="false">D316/P$3</f>
        <v>0</v>
      </c>
      <c r="Q316" s="143" t="n">
        <f aca="false">E316/P$3</f>
        <v>0</v>
      </c>
      <c r="R316" s="124" t="n">
        <f aca="false">F316/R$3</f>
        <v>0</v>
      </c>
      <c r="S316" s="126" t="n">
        <f aca="false">J316/$R$3</f>
        <v>0</v>
      </c>
      <c r="T316" s="126" t="n">
        <f aca="false">L316/$R$3</f>
        <v>0</v>
      </c>
      <c r="U316" s="126" t="n">
        <f aca="false">I316/$R$3</f>
        <v>0</v>
      </c>
      <c r="V316" s="126" t="n">
        <f aca="false">M316/$R$3</f>
        <v>0</v>
      </c>
      <c r="W316" s="126" t="n">
        <f aca="false">N316/$R$3</f>
        <v>0</v>
      </c>
    </row>
    <row r="317" customFormat="false" ht="12.75" hidden="false" customHeight="false" outlineLevel="0" collapsed="false">
      <c r="A317" s="120" t="n">
        <f aca="false">A316+1</f>
        <v>37203</v>
      </c>
      <c r="B317" s="131" t="str">
        <f aca="false">INDEX('Master Data'!$A$2:$B$8,MATCH(WEEKDAY('SC Total Power'!A317,3),'Master Data'!$A$2:$A$8,0),2)</f>
        <v>Th</v>
      </c>
      <c r="D317" s="124" t="n">
        <v>0</v>
      </c>
      <c r="E317" s="124" t="n">
        <v>0</v>
      </c>
      <c r="F317" s="124" t="n">
        <v>0</v>
      </c>
      <c r="G317" s="124" t="n">
        <v>0</v>
      </c>
      <c r="I317" s="124" t="n">
        <f aca="false">IF(MONTH($A317)=MONTH($A316),IF(G317=0,I316,G317),G317)</f>
        <v>0</v>
      </c>
      <c r="J317" s="124" t="n">
        <f aca="false">IF(MONTH($A317)=MONTH($A316),SUM(I317-I316),I317)</f>
        <v>0</v>
      </c>
      <c r="K317" s="124" t="n">
        <f aca="false">IF(WEEKDAY(A317,3)&gt;4,0,(IF(A317&lt;K$2,0,IF(A317&lt;=K$3,1,0))))</f>
        <v>0</v>
      </c>
      <c r="L317" s="124" t="n">
        <f aca="false">J317*K317</f>
        <v>0</v>
      </c>
      <c r="M317" s="124" t="n">
        <f aca="false">SUM(J$280:J317)</f>
        <v>0</v>
      </c>
      <c r="N317" s="124" t="n">
        <f aca="false">SUM(J$6:J317)</f>
        <v>0</v>
      </c>
      <c r="P317" s="124" t="n">
        <f aca="false">D317/P$3</f>
        <v>0</v>
      </c>
      <c r="Q317" s="143" t="n">
        <f aca="false">E317/P$3</f>
        <v>0</v>
      </c>
      <c r="R317" s="124" t="n">
        <f aca="false">F317/R$3</f>
        <v>0</v>
      </c>
      <c r="S317" s="126" t="n">
        <f aca="false">J317/$R$3</f>
        <v>0</v>
      </c>
      <c r="T317" s="126" t="n">
        <f aca="false">L317/$R$3</f>
        <v>0</v>
      </c>
      <c r="U317" s="126" t="n">
        <f aca="false">I317/$R$3</f>
        <v>0</v>
      </c>
      <c r="V317" s="126" t="n">
        <f aca="false">M317/$R$3</f>
        <v>0</v>
      </c>
      <c r="W317" s="126" t="n">
        <f aca="false">N317/$R$3</f>
        <v>0</v>
      </c>
    </row>
    <row r="318" customFormat="false" ht="12.75" hidden="false" customHeight="false" outlineLevel="0" collapsed="false">
      <c r="A318" s="120" t="n">
        <f aca="false">A317+1</f>
        <v>37204</v>
      </c>
      <c r="B318" s="131" t="str">
        <f aca="false">INDEX('Master Data'!$A$2:$B$8,MATCH(WEEKDAY('SC Total Power'!A318,3),'Master Data'!$A$2:$A$8,0),2)</f>
        <v>F</v>
      </c>
      <c r="D318" s="124" t="n">
        <v>0</v>
      </c>
      <c r="E318" s="124" t="n">
        <v>0</v>
      </c>
      <c r="F318" s="124" t="n">
        <v>0</v>
      </c>
      <c r="G318" s="124" t="n">
        <v>0</v>
      </c>
      <c r="I318" s="124" t="n">
        <f aca="false">IF(MONTH($A318)=MONTH($A317),IF(G318=0,I317,G318),G318)</f>
        <v>0</v>
      </c>
      <c r="J318" s="124" t="n">
        <f aca="false">IF(MONTH($A318)=MONTH($A317),SUM(I318-I317),I318)</f>
        <v>0</v>
      </c>
      <c r="K318" s="124" t="n">
        <f aca="false">IF(WEEKDAY(A318,3)&gt;4,0,(IF(A318&lt;K$2,0,IF(A318&lt;=K$3,1,0))))</f>
        <v>0</v>
      </c>
      <c r="L318" s="124" t="n">
        <f aca="false">J318*K318</f>
        <v>0</v>
      </c>
      <c r="M318" s="124" t="n">
        <f aca="false">SUM(J$280:J318)</f>
        <v>0</v>
      </c>
      <c r="N318" s="124" t="n">
        <f aca="false">SUM(J$6:J318)</f>
        <v>0</v>
      </c>
      <c r="P318" s="124" t="n">
        <f aca="false">D318/P$3</f>
        <v>0</v>
      </c>
      <c r="Q318" s="143" t="n">
        <f aca="false">E318/P$3</f>
        <v>0</v>
      </c>
      <c r="R318" s="124" t="n">
        <f aca="false">F318/R$3</f>
        <v>0</v>
      </c>
      <c r="S318" s="126" t="n">
        <f aca="false">J318/$R$3</f>
        <v>0</v>
      </c>
      <c r="T318" s="126" t="n">
        <f aca="false">L318/$R$3</f>
        <v>0</v>
      </c>
      <c r="U318" s="126" t="n">
        <f aca="false">I318/$R$3</f>
        <v>0</v>
      </c>
      <c r="V318" s="126" t="n">
        <f aca="false">M318/$R$3</f>
        <v>0</v>
      </c>
      <c r="W318" s="126" t="n">
        <f aca="false">N318/$R$3</f>
        <v>0</v>
      </c>
    </row>
    <row r="319" customFormat="false" ht="12.75" hidden="false" customHeight="false" outlineLevel="0" collapsed="false">
      <c r="A319" s="120" t="n">
        <f aca="false">A318+1</f>
        <v>37205</v>
      </c>
      <c r="B319" s="131" t="str">
        <f aca="false">INDEX('Master Data'!$A$2:$B$8,MATCH(WEEKDAY('SC Total Power'!A319,3),'Master Data'!$A$2:$A$8,0),2)</f>
        <v>Sa</v>
      </c>
      <c r="D319" s="124" t="n">
        <v>0</v>
      </c>
      <c r="E319" s="124" t="n">
        <v>0</v>
      </c>
      <c r="F319" s="124" t="n">
        <v>0</v>
      </c>
      <c r="G319" s="124" t="n">
        <v>0</v>
      </c>
      <c r="I319" s="124" t="n">
        <f aca="false">IF(MONTH($A319)=MONTH($A318),IF(G319=0,I318,G319),G319)</f>
        <v>0</v>
      </c>
      <c r="J319" s="124" t="n">
        <f aca="false">IF(MONTH($A319)=MONTH($A318),SUM(I319-I318),I319)</f>
        <v>0</v>
      </c>
      <c r="K319" s="124" t="n">
        <f aca="false">IF(WEEKDAY(A319,3)&gt;4,0,(IF(A319&lt;K$2,0,IF(A319&lt;=K$3,1,0))))</f>
        <v>0</v>
      </c>
      <c r="L319" s="124" t="n">
        <f aca="false">J319*K319</f>
        <v>0</v>
      </c>
      <c r="M319" s="124" t="n">
        <f aca="false">SUM(J$280:J319)</f>
        <v>0</v>
      </c>
      <c r="N319" s="124" t="n">
        <f aca="false">SUM(J$6:J319)</f>
        <v>0</v>
      </c>
      <c r="P319" s="124" t="n">
        <f aca="false">D319/P$3</f>
        <v>0</v>
      </c>
      <c r="Q319" s="143" t="n">
        <f aca="false">E319/P$3</f>
        <v>0</v>
      </c>
      <c r="R319" s="124" t="n">
        <f aca="false">F319/R$3</f>
        <v>0</v>
      </c>
      <c r="S319" s="126" t="n">
        <f aca="false">J319/$R$3</f>
        <v>0</v>
      </c>
      <c r="T319" s="126" t="n">
        <f aca="false">L319/$R$3</f>
        <v>0</v>
      </c>
      <c r="U319" s="126" t="n">
        <f aca="false">I319/$R$3</f>
        <v>0</v>
      </c>
      <c r="V319" s="126" t="n">
        <f aca="false">M319/$R$3</f>
        <v>0</v>
      </c>
      <c r="W319" s="126" t="n">
        <f aca="false">N319/$R$3</f>
        <v>0</v>
      </c>
    </row>
    <row r="320" customFormat="false" ht="12.75" hidden="false" customHeight="false" outlineLevel="0" collapsed="false">
      <c r="A320" s="120" t="n">
        <f aca="false">A319+1</f>
        <v>37206</v>
      </c>
      <c r="B320" s="131" t="str">
        <f aca="false">INDEX('Master Data'!$A$2:$B$8,MATCH(WEEKDAY('SC Total Power'!A320,3),'Master Data'!$A$2:$A$8,0),2)</f>
        <v>Su</v>
      </c>
      <c r="D320" s="124" t="n">
        <v>0</v>
      </c>
      <c r="E320" s="124" t="n">
        <v>0</v>
      </c>
      <c r="F320" s="124" t="n">
        <v>0</v>
      </c>
      <c r="G320" s="124" t="n">
        <v>0</v>
      </c>
      <c r="I320" s="124" t="n">
        <f aca="false">IF(MONTH($A320)=MONTH($A319),IF(G320=0,I319,G320),G320)</f>
        <v>0</v>
      </c>
      <c r="J320" s="124" t="n">
        <f aca="false">IF(MONTH($A320)=MONTH($A319),SUM(I320-I319),I320)</f>
        <v>0</v>
      </c>
      <c r="K320" s="124" t="n">
        <f aca="false">IF(WEEKDAY(A320,3)&gt;4,0,(IF(A320&lt;K$2,0,IF(A320&lt;=K$3,1,0))))</f>
        <v>0</v>
      </c>
      <c r="L320" s="124" t="n">
        <f aca="false">J320*K320</f>
        <v>0</v>
      </c>
      <c r="M320" s="124" t="n">
        <f aca="false">SUM(J$280:J320)</f>
        <v>0</v>
      </c>
      <c r="N320" s="124" t="n">
        <f aca="false">SUM(J$6:J320)</f>
        <v>0</v>
      </c>
      <c r="P320" s="124" t="n">
        <f aca="false">D320/P$3</f>
        <v>0</v>
      </c>
      <c r="Q320" s="143" t="n">
        <f aca="false">E320/P$3</f>
        <v>0</v>
      </c>
      <c r="R320" s="124" t="n">
        <f aca="false">F320/R$3</f>
        <v>0</v>
      </c>
      <c r="S320" s="126" t="n">
        <f aca="false">J320/$R$3</f>
        <v>0</v>
      </c>
      <c r="T320" s="126" t="n">
        <f aca="false">L320/$R$3</f>
        <v>0</v>
      </c>
      <c r="U320" s="126" t="n">
        <f aca="false">I320/$R$3</f>
        <v>0</v>
      </c>
      <c r="V320" s="126" t="n">
        <f aca="false">M320/$R$3</f>
        <v>0</v>
      </c>
      <c r="W320" s="126" t="n">
        <f aca="false">N320/$R$3</f>
        <v>0</v>
      </c>
    </row>
    <row r="321" customFormat="false" ht="12.75" hidden="false" customHeight="false" outlineLevel="0" collapsed="false">
      <c r="A321" s="120" t="n">
        <f aca="false">A320+1</f>
        <v>37207</v>
      </c>
      <c r="B321" s="131" t="str">
        <f aca="false">INDEX('Master Data'!$A$2:$B$8,MATCH(WEEKDAY('SC Total Power'!A321,3),'Master Data'!$A$2:$A$8,0),2)</f>
        <v>M</v>
      </c>
      <c r="D321" s="124" t="n">
        <v>0</v>
      </c>
      <c r="E321" s="124" t="n">
        <v>0</v>
      </c>
      <c r="F321" s="124" t="n">
        <v>0</v>
      </c>
      <c r="G321" s="124" t="n">
        <v>0</v>
      </c>
      <c r="I321" s="124" t="n">
        <f aca="false">IF(MONTH($A321)=MONTH($A320),IF(G321=0,I320,G321),G321)</f>
        <v>0</v>
      </c>
      <c r="J321" s="124" t="n">
        <f aca="false">IF(MONTH($A321)=MONTH($A320),SUM(I321-I320),I321)</f>
        <v>0</v>
      </c>
      <c r="K321" s="124" t="n">
        <f aca="false">IF(WEEKDAY(A321,3)&gt;4,0,(IF(A321&lt;K$2,0,IF(A321&lt;=K$3,1,0))))</f>
        <v>0</v>
      </c>
      <c r="L321" s="124" t="n">
        <f aca="false">J321*K321</f>
        <v>0</v>
      </c>
      <c r="M321" s="124" t="n">
        <f aca="false">SUM(J$280:J321)</f>
        <v>0</v>
      </c>
      <c r="N321" s="124" t="n">
        <f aca="false">SUM(J$6:J321)</f>
        <v>0</v>
      </c>
      <c r="P321" s="124" t="n">
        <f aca="false">D321/P$3</f>
        <v>0</v>
      </c>
      <c r="Q321" s="143" t="n">
        <f aca="false">E321/P$3</f>
        <v>0</v>
      </c>
      <c r="R321" s="124" t="n">
        <f aca="false">F321/R$3</f>
        <v>0</v>
      </c>
      <c r="S321" s="126" t="n">
        <f aca="false">J321/$R$3</f>
        <v>0</v>
      </c>
      <c r="T321" s="126" t="n">
        <f aca="false">L321/$R$3</f>
        <v>0</v>
      </c>
      <c r="U321" s="126" t="n">
        <f aca="false">I321/$R$3</f>
        <v>0</v>
      </c>
      <c r="V321" s="126" t="n">
        <f aca="false">M321/$R$3</f>
        <v>0</v>
      </c>
      <c r="W321" s="126" t="n">
        <f aca="false">N321/$R$3</f>
        <v>0</v>
      </c>
    </row>
    <row r="322" customFormat="false" ht="12.75" hidden="false" customHeight="false" outlineLevel="0" collapsed="false">
      <c r="A322" s="120" t="n">
        <f aca="false">A321+1</f>
        <v>37208</v>
      </c>
      <c r="B322" s="131" t="str">
        <f aca="false">INDEX('Master Data'!$A$2:$B$8,MATCH(WEEKDAY('SC Total Power'!A322,3),'Master Data'!$A$2:$A$8,0),2)</f>
        <v>T</v>
      </c>
      <c r="D322" s="124" t="n">
        <v>0</v>
      </c>
      <c r="E322" s="124" t="n">
        <v>0</v>
      </c>
      <c r="F322" s="124" t="n">
        <v>0</v>
      </c>
      <c r="G322" s="124" t="n">
        <v>0</v>
      </c>
      <c r="I322" s="124" t="n">
        <f aca="false">IF(MONTH($A322)=MONTH($A321),IF(G322=0,I321,G322),G322)</f>
        <v>0</v>
      </c>
      <c r="J322" s="124" t="n">
        <f aca="false">IF(MONTH($A322)=MONTH($A321),SUM(I322-I321),I322)</f>
        <v>0</v>
      </c>
      <c r="K322" s="124" t="n">
        <f aca="false">IF(WEEKDAY(A322,3)&gt;4,0,(IF(A322&lt;K$2,0,IF(A322&lt;=K$3,1,0))))</f>
        <v>0</v>
      </c>
      <c r="L322" s="124" t="n">
        <f aca="false">J322*K322</f>
        <v>0</v>
      </c>
      <c r="M322" s="124" t="n">
        <f aca="false">SUM(J$280:J322)</f>
        <v>0</v>
      </c>
      <c r="N322" s="124" t="n">
        <f aca="false">SUM(J$6:J322)</f>
        <v>0</v>
      </c>
      <c r="P322" s="124" t="n">
        <f aca="false">D322/P$3</f>
        <v>0</v>
      </c>
      <c r="Q322" s="143" t="n">
        <f aca="false">E322/P$3</f>
        <v>0</v>
      </c>
      <c r="R322" s="124" t="n">
        <f aca="false">F322/R$3</f>
        <v>0</v>
      </c>
      <c r="S322" s="126" t="n">
        <f aca="false">J322/$R$3</f>
        <v>0</v>
      </c>
      <c r="T322" s="126" t="n">
        <f aca="false">L322/$R$3</f>
        <v>0</v>
      </c>
      <c r="U322" s="126" t="n">
        <f aca="false">I322/$R$3</f>
        <v>0</v>
      </c>
      <c r="V322" s="126" t="n">
        <f aca="false">M322/$R$3</f>
        <v>0</v>
      </c>
      <c r="W322" s="126" t="n">
        <f aca="false">N322/$R$3</f>
        <v>0</v>
      </c>
    </row>
    <row r="323" customFormat="false" ht="12.75" hidden="false" customHeight="false" outlineLevel="0" collapsed="false">
      <c r="A323" s="120" t="n">
        <f aca="false">A322+1</f>
        <v>37209</v>
      </c>
      <c r="B323" s="131" t="str">
        <f aca="false">INDEX('Master Data'!$A$2:$B$8,MATCH(WEEKDAY('SC Total Power'!A323,3),'Master Data'!$A$2:$A$8,0),2)</f>
        <v>W</v>
      </c>
      <c r="D323" s="124" t="n">
        <v>0</v>
      </c>
      <c r="E323" s="124" t="n">
        <v>0</v>
      </c>
      <c r="F323" s="124" t="n">
        <v>0</v>
      </c>
      <c r="G323" s="124" t="n">
        <v>0</v>
      </c>
      <c r="I323" s="124" t="n">
        <f aca="false">IF(MONTH($A323)=MONTH($A322),IF(G323=0,I322,G323),G323)</f>
        <v>0</v>
      </c>
      <c r="J323" s="124" t="n">
        <f aca="false">IF(MONTH($A323)=MONTH($A322),SUM(I323-I322),I323)</f>
        <v>0</v>
      </c>
      <c r="K323" s="124" t="n">
        <f aca="false">IF(WEEKDAY(A323,3)&gt;4,0,(IF(A323&lt;K$2,0,IF(A323&lt;=K$3,1,0))))</f>
        <v>0</v>
      </c>
      <c r="L323" s="124" t="n">
        <f aca="false">J323*K323</f>
        <v>0</v>
      </c>
      <c r="M323" s="124" t="n">
        <f aca="false">SUM(J$280:J323)</f>
        <v>0</v>
      </c>
      <c r="N323" s="124" t="n">
        <f aca="false">SUM(J$6:J323)</f>
        <v>0</v>
      </c>
      <c r="P323" s="124" t="n">
        <f aca="false">D323/P$3</f>
        <v>0</v>
      </c>
      <c r="Q323" s="143" t="n">
        <f aca="false">E323/P$3</f>
        <v>0</v>
      </c>
      <c r="R323" s="124" t="n">
        <f aca="false">F323/R$3</f>
        <v>0</v>
      </c>
      <c r="S323" s="126" t="n">
        <f aca="false">J323/$R$3</f>
        <v>0</v>
      </c>
      <c r="T323" s="126" t="n">
        <f aca="false">L323/$R$3</f>
        <v>0</v>
      </c>
      <c r="U323" s="126" t="n">
        <f aca="false">I323/$R$3</f>
        <v>0</v>
      </c>
      <c r="V323" s="126" t="n">
        <f aca="false">M323/$R$3</f>
        <v>0</v>
      </c>
      <c r="W323" s="126" t="n">
        <f aca="false">N323/$R$3</f>
        <v>0</v>
      </c>
    </row>
    <row r="324" customFormat="false" ht="12.75" hidden="false" customHeight="false" outlineLevel="0" collapsed="false">
      <c r="A324" s="120" t="n">
        <f aca="false">A323+1</f>
        <v>37210</v>
      </c>
      <c r="B324" s="131" t="str">
        <f aca="false">INDEX('Master Data'!$A$2:$B$8,MATCH(WEEKDAY('SC Total Power'!A324,3),'Master Data'!$A$2:$A$8,0),2)</f>
        <v>Th</v>
      </c>
      <c r="D324" s="124" t="n">
        <v>0</v>
      </c>
      <c r="E324" s="124" t="n">
        <v>0</v>
      </c>
      <c r="F324" s="124" t="n">
        <v>0</v>
      </c>
      <c r="G324" s="124" t="n">
        <v>0</v>
      </c>
      <c r="I324" s="124" t="n">
        <f aca="false">IF(MONTH($A324)=MONTH($A323),IF(G324=0,I323,G324),G324)</f>
        <v>0</v>
      </c>
      <c r="J324" s="124" t="n">
        <f aca="false">IF(MONTH($A324)=MONTH($A323),SUM(I324-I323),I324)</f>
        <v>0</v>
      </c>
      <c r="K324" s="124" t="n">
        <f aca="false">IF(WEEKDAY(A324,3)&gt;4,0,(IF(A324&lt;K$2,0,IF(A324&lt;=K$3,1,0))))</f>
        <v>0</v>
      </c>
      <c r="L324" s="124" t="n">
        <f aca="false">J324*K324</f>
        <v>0</v>
      </c>
      <c r="M324" s="124" t="n">
        <f aca="false">SUM(J$280:J324)</f>
        <v>0</v>
      </c>
      <c r="N324" s="124" t="n">
        <f aca="false">SUM(J$6:J324)</f>
        <v>0</v>
      </c>
      <c r="P324" s="124" t="n">
        <f aca="false">D324/P$3</f>
        <v>0</v>
      </c>
      <c r="Q324" s="143" t="n">
        <f aca="false">E324/P$3</f>
        <v>0</v>
      </c>
      <c r="R324" s="124" t="n">
        <f aca="false">F324/R$3</f>
        <v>0</v>
      </c>
      <c r="S324" s="126" t="n">
        <f aca="false">J324/$R$3</f>
        <v>0</v>
      </c>
      <c r="T324" s="126" t="n">
        <f aca="false">L324/$R$3</f>
        <v>0</v>
      </c>
      <c r="U324" s="126" t="n">
        <f aca="false">I324/$R$3</f>
        <v>0</v>
      </c>
      <c r="V324" s="126" t="n">
        <f aca="false">M324/$R$3</f>
        <v>0</v>
      </c>
      <c r="W324" s="126" t="n">
        <f aca="false">N324/$R$3</f>
        <v>0</v>
      </c>
    </row>
    <row r="325" customFormat="false" ht="12.75" hidden="false" customHeight="false" outlineLevel="0" collapsed="false">
      <c r="A325" s="120" t="n">
        <f aca="false">A324+1</f>
        <v>37211</v>
      </c>
      <c r="B325" s="131" t="str">
        <f aca="false">INDEX('Master Data'!$A$2:$B$8,MATCH(WEEKDAY('SC Total Power'!A325,3),'Master Data'!$A$2:$A$8,0),2)</f>
        <v>F</v>
      </c>
      <c r="D325" s="124" t="n">
        <v>0</v>
      </c>
      <c r="E325" s="124" t="n">
        <v>0</v>
      </c>
      <c r="F325" s="124" t="n">
        <v>0</v>
      </c>
      <c r="G325" s="124" t="n">
        <v>0</v>
      </c>
      <c r="I325" s="124" t="n">
        <f aca="false">IF(MONTH($A325)=MONTH($A324),IF(G325=0,I324,G325),G325)</f>
        <v>0</v>
      </c>
      <c r="J325" s="124" t="n">
        <f aca="false">IF(MONTH($A325)=MONTH($A324),SUM(I325-I324),I325)</f>
        <v>0</v>
      </c>
      <c r="K325" s="124" t="n">
        <f aca="false">IF(WEEKDAY(A325,3)&gt;4,0,(IF(A325&lt;K$2,0,IF(A325&lt;=K$3,1,0))))</f>
        <v>0</v>
      </c>
      <c r="L325" s="124" t="n">
        <f aca="false">J325*K325</f>
        <v>0</v>
      </c>
      <c r="M325" s="124" t="n">
        <f aca="false">SUM(J$280:J325)</f>
        <v>0</v>
      </c>
      <c r="N325" s="124" t="n">
        <f aca="false">SUM(J$6:J325)</f>
        <v>0</v>
      </c>
      <c r="P325" s="124" t="n">
        <f aca="false">D325/P$3</f>
        <v>0</v>
      </c>
      <c r="Q325" s="143" t="n">
        <f aca="false">E325/P$3</f>
        <v>0</v>
      </c>
      <c r="R325" s="124" t="n">
        <f aca="false">F325/R$3</f>
        <v>0</v>
      </c>
      <c r="S325" s="126" t="n">
        <f aca="false">J325/$R$3</f>
        <v>0</v>
      </c>
      <c r="T325" s="126" t="n">
        <f aca="false">L325/$R$3</f>
        <v>0</v>
      </c>
      <c r="U325" s="126" t="n">
        <f aca="false">I325/$R$3</f>
        <v>0</v>
      </c>
      <c r="V325" s="126" t="n">
        <f aca="false">M325/$R$3</f>
        <v>0</v>
      </c>
      <c r="W325" s="126" t="n">
        <f aca="false">N325/$R$3</f>
        <v>0</v>
      </c>
    </row>
    <row r="326" customFormat="false" ht="12.75" hidden="false" customHeight="false" outlineLevel="0" collapsed="false">
      <c r="A326" s="120" t="n">
        <f aca="false">A325+1</f>
        <v>37212</v>
      </c>
      <c r="B326" s="131" t="str">
        <f aca="false">INDEX('Master Data'!$A$2:$B$8,MATCH(WEEKDAY('SC Total Power'!A326,3),'Master Data'!$A$2:$A$8,0),2)</f>
        <v>Sa</v>
      </c>
      <c r="D326" s="124" t="n">
        <v>0</v>
      </c>
      <c r="E326" s="124" t="n">
        <v>0</v>
      </c>
      <c r="F326" s="124" t="n">
        <v>0</v>
      </c>
      <c r="G326" s="124" t="n">
        <v>0</v>
      </c>
      <c r="I326" s="124" t="n">
        <f aca="false">IF(MONTH($A326)=MONTH($A325),IF(G326=0,I325,G326),G326)</f>
        <v>0</v>
      </c>
      <c r="J326" s="124" t="n">
        <f aca="false">IF(MONTH($A326)=MONTH($A325),SUM(I326-I325),I326)</f>
        <v>0</v>
      </c>
      <c r="K326" s="124" t="n">
        <f aca="false">IF(WEEKDAY(A326,3)&gt;4,0,(IF(A326&lt;K$2,0,IF(A326&lt;=K$3,1,0))))</f>
        <v>0</v>
      </c>
      <c r="L326" s="124" t="n">
        <f aca="false">J326*K326</f>
        <v>0</v>
      </c>
      <c r="M326" s="124" t="n">
        <f aca="false">SUM(J$280:J326)</f>
        <v>0</v>
      </c>
      <c r="N326" s="124" t="n">
        <f aca="false">SUM(J$6:J326)</f>
        <v>0</v>
      </c>
      <c r="P326" s="124" t="n">
        <f aca="false">D326/P$3</f>
        <v>0</v>
      </c>
      <c r="Q326" s="143" t="n">
        <f aca="false">E326/P$3</f>
        <v>0</v>
      </c>
      <c r="R326" s="124" t="n">
        <f aca="false">F326/R$3</f>
        <v>0</v>
      </c>
      <c r="S326" s="126" t="n">
        <f aca="false">J326/$R$3</f>
        <v>0</v>
      </c>
      <c r="T326" s="126" t="n">
        <f aca="false">L326/$R$3</f>
        <v>0</v>
      </c>
      <c r="U326" s="126" t="n">
        <f aca="false">I326/$R$3</f>
        <v>0</v>
      </c>
      <c r="V326" s="126" t="n">
        <f aca="false">M326/$R$3</f>
        <v>0</v>
      </c>
      <c r="W326" s="126" t="n">
        <f aca="false">N326/$R$3</f>
        <v>0</v>
      </c>
    </row>
    <row r="327" customFormat="false" ht="12.75" hidden="false" customHeight="false" outlineLevel="0" collapsed="false">
      <c r="A327" s="120" t="n">
        <f aca="false">A326+1</f>
        <v>37213</v>
      </c>
      <c r="B327" s="131" t="str">
        <f aca="false">INDEX('Master Data'!$A$2:$B$8,MATCH(WEEKDAY('SC Total Power'!A327,3),'Master Data'!$A$2:$A$8,0),2)</f>
        <v>Su</v>
      </c>
      <c r="D327" s="124" t="n">
        <v>0</v>
      </c>
      <c r="E327" s="124" t="n">
        <v>0</v>
      </c>
      <c r="F327" s="124" t="n">
        <v>0</v>
      </c>
      <c r="G327" s="124" t="n">
        <v>0</v>
      </c>
      <c r="I327" s="124" t="n">
        <f aca="false">IF(MONTH($A327)=MONTH($A326),IF(G327=0,I326,G327),G327)</f>
        <v>0</v>
      </c>
      <c r="J327" s="124" t="n">
        <f aca="false">IF(MONTH($A327)=MONTH($A326),SUM(I327-I326),I327)</f>
        <v>0</v>
      </c>
      <c r="K327" s="124" t="n">
        <f aca="false">IF(WEEKDAY(A327,3)&gt;4,0,(IF(A327&lt;K$2,0,IF(A327&lt;=K$3,1,0))))</f>
        <v>0</v>
      </c>
      <c r="L327" s="124" t="n">
        <f aca="false">J327*K327</f>
        <v>0</v>
      </c>
      <c r="M327" s="124" t="n">
        <f aca="false">SUM(J$280:J327)</f>
        <v>0</v>
      </c>
      <c r="N327" s="124" t="n">
        <f aca="false">SUM(J$6:J327)</f>
        <v>0</v>
      </c>
      <c r="P327" s="124" t="n">
        <f aca="false">D327/P$3</f>
        <v>0</v>
      </c>
      <c r="Q327" s="143" t="n">
        <f aca="false">E327/P$3</f>
        <v>0</v>
      </c>
      <c r="R327" s="124" t="n">
        <f aca="false">F327/R$3</f>
        <v>0</v>
      </c>
      <c r="S327" s="126" t="n">
        <f aca="false">J327/$R$3</f>
        <v>0</v>
      </c>
      <c r="T327" s="126" t="n">
        <f aca="false">L327/$R$3</f>
        <v>0</v>
      </c>
      <c r="U327" s="126" t="n">
        <f aca="false">I327/$R$3</f>
        <v>0</v>
      </c>
      <c r="V327" s="126" t="n">
        <f aca="false">M327/$R$3</f>
        <v>0</v>
      </c>
      <c r="W327" s="126" t="n">
        <f aca="false">N327/$R$3</f>
        <v>0</v>
      </c>
    </row>
    <row r="328" customFormat="false" ht="12.75" hidden="false" customHeight="false" outlineLevel="0" collapsed="false">
      <c r="A328" s="120" t="n">
        <f aca="false">A327+1</f>
        <v>37214</v>
      </c>
      <c r="B328" s="131" t="str">
        <f aca="false">INDEX('Master Data'!$A$2:$B$8,MATCH(WEEKDAY('SC Total Power'!A328,3),'Master Data'!$A$2:$A$8,0),2)</f>
        <v>M</v>
      </c>
      <c r="D328" s="124" t="n">
        <v>0</v>
      </c>
      <c r="E328" s="124" t="n">
        <v>0</v>
      </c>
      <c r="F328" s="124" t="n">
        <v>0</v>
      </c>
      <c r="G328" s="124" t="n">
        <v>0</v>
      </c>
      <c r="I328" s="124" t="n">
        <f aca="false">IF(MONTH($A328)=MONTH($A327),IF(G328=0,I327,G328),G328)</f>
        <v>0</v>
      </c>
      <c r="J328" s="124" t="n">
        <f aca="false">IF(MONTH($A328)=MONTH($A327),SUM(I328-I327),I328)</f>
        <v>0</v>
      </c>
      <c r="K328" s="124" t="n">
        <f aca="false">IF(WEEKDAY(A328,3)&gt;4,0,(IF(A328&lt;K$2,0,IF(A328&lt;=K$3,1,0))))</f>
        <v>0</v>
      </c>
      <c r="L328" s="124" t="n">
        <f aca="false">J328*K328</f>
        <v>0</v>
      </c>
      <c r="M328" s="124" t="n">
        <f aca="false">SUM(J$280:J328)</f>
        <v>0</v>
      </c>
      <c r="N328" s="124" t="n">
        <f aca="false">SUM(J$6:J328)</f>
        <v>0</v>
      </c>
      <c r="P328" s="124" t="n">
        <f aca="false">D328/P$3</f>
        <v>0</v>
      </c>
      <c r="Q328" s="143" t="n">
        <f aca="false">E328/P$3</f>
        <v>0</v>
      </c>
      <c r="R328" s="124" t="n">
        <f aca="false">F328/R$3</f>
        <v>0</v>
      </c>
      <c r="S328" s="126" t="n">
        <f aca="false">J328/$R$3</f>
        <v>0</v>
      </c>
      <c r="T328" s="126" t="n">
        <f aca="false">L328/$R$3</f>
        <v>0</v>
      </c>
      <c r="U328" s="126" t="n">
        <f aca="false">I328/$R$3</f>
        <v>0</v>
      </c>
      <c r="V328" s="126" t="n">
        <f aca="false">M328/$R$3</f>
        <v>0</v>
      </c>
      <c r="W328" s="126" t="n">
        <f aca="false">N328/$R$3</f>
        <v>0</v>
      </c>
    </row>
    <row r="329" customFormat="false" ht="12.75" hidden="false" customHeight="false" outlineLevel="0" collapsed="false">
      <c r="A329" s="120" t="n">
        <f aca="false">A328+1</f>
        <v>37215</v>
      </c>
      <c r="B329" s="131" t="str">
        <f aca="false">INDEX('Master Data'!$A$2:$B$8,MATCH(WEEKDAY('SC Total Power'!A329,3),'Master Data'!$A$2:$A$8,0),2)</f>
        <v>T</v>
      </c>
      <c r="D329" s="124" t="n">
        <v>0</v>
      </c>
      <c r="E329" s="124" t="n">
        <v>0</v>
      </c>
      <c r="F329" s="124" t="n">
        <v>0</v>
      </c>
      <c r="G329" s="124" t="n">
        <v>0</v>
      </c>
      <c r="I329" s="124" t="n">
        <f aca="false">IF(MONTH($A329)=MONTH($A328),IF(G329=0,I328,G329),G329)</f>
        <v>0</v>
      </c>
      <c r="J329" s="124" t="n">
        <f aca="false">IF(MONTH($A329)=MONTH($A328),SUM(I329-I328),I329)</f>
        <v>0</v>
      </c>
      <c r="K329" s="124" t="n">
        <f aca="false">IF(WEEKDAY(A329,3)&gt;4,0,(IF(A329&lt;K$2,0,IF(A329&lt;=K$3,1,0))))</f>
        <v>0</v>
      </c>
      <c r="L329" s="124" t="n">
        <f aca="false">J329*K329</f>
        <v>0</v>
      </c>
      <c r="M329" s="124" t="n">
        <f aca="false">SUM(J$280:J329)</f>
        <v>0</v>
      </c>
      <c r="N329" s="124" t="n">
        <f aca="false">SUM(J$6:J329)</f>
        <v>0</v>
      </c>
      <c r="P329" s="124" t="n">
        <f aca="false">D329/P$3</f>
        <v>0</v>
      </c>
      <c r="Q329" s="143" t="n">
        <f aca="false">E329/P$3</f>
        <v>0</v>
      </c>
      <c r="R329" s="124" t="n">
        <f aca="false">F329/R$3</f>
        <v>0</v>
      </c>
      <c r="S329" s="126" t="n">
        <f aca="false">J329/$R$3</f>
        <v>0</v>
      </c>
      <c r="T329" s="126" t="n">
        <f aca="false">L329/$R$3</f>
        <v>0</v>
      </c>
      <c r="U329" s="126" t="n">
        <f aca="false">I329/$R$3</f>
        <v>0</v>
      </c>
      <c r="V329" s="126" t="n">
        <f aca="false">M329/$R$3</f>
        <v>0</v>
      </c>
      <c r="W329" s="126" t="n">
        <f aca="false">N329/$R$3</f>
        <v>0</v>
      </c>
    </row>
    <row r="330" customFormat="false" ht="12.75" hidden="false" customHeight="false" outlineLevel="0" collapsed="false">
      <c r="A330" s="120" t="n">
        <f aca="false">A329+1</f>
        <v>37216</v>
      </c>
      <c r="B330" s="131" t="str">
        <f aca="false">INDEX('Master Data'!$A$2:$B$8,MATCH(WEEKDAY('SC Total Power'!A330,3),'Master Data'!$A$2:$A$8,0),2)</f>
        <v>W</v>
      </c>
      <c r="D330" s="124" t="n">
        <v>0</v>
      </c>
      <c r="E330" s="124" t="n">
        <v>0</v>
      </c>
      <c r="F330" s="124" t="n">
        <v>0</v>
      </c>
      <c r="G330" s="124" t="n">
        <v>0</v>
      </c>
      <c r="I330" s="124" t="n">
        <f aca="false">IF(MONTH($A330)=MONTH($A329),IF(G330=0,I329,G330),G330)</f>
        <v>0</v>
      </c>
      <c r="J330" s="124" t="n">
        <f aca="false">IF(MONTH($A330)=MONTH($A329),SUM(I330-I329),I330)</f>
        <v>0</v>
      </c>
      <c r="K330" s="124" t="n">
        <f aca="false">IF(WEEKDAY(A330,3)&gt;4,0,(IF(A330&lt;K$2,0,IF(A330&lt;=K$3,1,0))))</f>
        <v>0</v>
      </c>
      <c r="L330" s="124" t="n">
        <f aca="false">J330*K330</f>
        <v>0</v>
      </c>
      <c r="M330" s="124" t="n">
        <f aca="false">SUM(J$280:J330)</f>
        <v>0</v>
      </c>
      <c r="N330" s="124" t="n">
        <f aca="false">SUM(J$6:J330)</f>
        <v>0</v>
      </c>
      <c r="P330" s="124" t="n">
        <f aca="false">D330/P$3</f>
        <v>0</v>
      </c>
      <c r="Q330" s="143" t="n">
        <f aca="false">E330/P$3</f>
        <v>0</v>
      </c>
      <c r="R330" s="124" t="n">
        <f aca="false">F330/R$3</f>
        <v>0</v>
      </c>
      <c r="S330" s="126" t="n">
        <f aca="false">J330/$R$3</f>
        <v>0</v>
      </c>
      <c r="T330" s="126" t="n">
        <f aca="false">L330/$R$3</f>
        <v>0</v>
      </c>
      <c r="U330" s="126" t="n">
        <f aca="false">I330/$R$3</f>
        <v>0</v>
      </c>
      <c r="V330" s="126" t="n">
        <f aca="false">M330/$R$3</f>
        <v>0</v>
      </c>
      <c r="W330" s="126" t="n">
        <f aca="false">N330/$R$3</f>
        <v>0</v>
      </c>
    </row>
    <row r="331" customFormat="false" ht="12.75" hidden="false" customHeight="false" outlineLevel="0" collapsed="false">
      <c r="A331" s="120" t="n">
        <f aca="false">A330+1</f>
        <v>37217</v>
      </c>
      <c r="B331" s="131" t="str">
        <f aca="false">INDEX('Master Data'!$A$2:$B$8,MATCH(WEEKDAY('SC Total Power'!A331,3),'Master Data'!$A$2:$A$8,0),2)</f>
        <v>Th</v>
      </c>
      <c r="D331" s="124" t="n">
        <v>0</v>
      </c>
      <c r="E331" s="124" t="n">
        <v>0</v>
      </c>
      <c r="F331" s="124" t="n">
        <v>0</v>
      </c>
      <c r="G331" s="124" t="n">
        <v>0</v>
      </c>
      <c r="I331" s="124" t="n">
        <f aca="false">IF(MONTH($A331)=MONTH($A330),IF(G331=0,I330,G331),G331)</f>
        <v>0</v>
      </c>
      <c r="J331" s="124" t="n">
        <f aca="false">IF(MONTH($A331)=MONTH($A330),SUM(I331-I330),I331)</f>
        <v>0</v>
      </c>
      <c r="K331" s="124" t="n">
        <f aca="false">IF(WEEKDAY(A331,3)&gt;4,0,(IF(A331&lt;K$2,0,IF(A331&lt;=K$3,1,0))))</f>
        <v>0</v>
      </c>
      <c r="L331" s="124" t="n">
        <f aca="false">J331*K331</f>
        <v>0</v>
      </c>
      <c r="M331" s="124" t="n">
        <f aca="false">SUM(J$280:J331)</f>
        <v>0</v>
      </c>
      <c r="N331" s="124" t="n">
        <f aca="false">SUM(J$6:J331)</f>
        <v>0</v>
      </c>
      <c r="P331" s="124" t="n">
        <f aca="false">D331/P$3</f>
        <v>0</v>
      </c>
      <c r="Q331" s="143" t="n">
        <f aca="false">E331/P$3</f>
        <v>0</v>
      </c>
      <c r="R331" s="124" t="n">
        <f aca="false">F331/R$3</f>
        <v>0</v>
      </c>
      <c r="S331" s="126" t="n">
        <f aca="false">J331/$R$3</f>
        <v>0</v>
      </c>
      <c r="T331" s="126" t="n">
        <f aca="false">L331/$R$3</f>
        <v>0</v>
      </c>
      <c r="U331" s="126" t="n">
        <f aca="false">I331/$R$3</f>
        <v>0</v>
      </c>
      <c r="V331" s="126" t="n">
        <f aca="false">M331/$R$3</f>
        <v>0</v>
      </c>
      <c r="W331" s="126" t="n">
        <f aca="false">N331/$R$3</f>
        <v>0</v>
      </c>
    </row>
    <row r="332" customFormat="false" ht="12.75" hidden="false" customHeight="false" outlineLevel="0" collapsed="false">
      <c r="A332" s="120" t="n">
        <f aca="false">A331+1</f>
        <v>37218</v>
      </c>
      <c r="B332" s="131" t="str">
        <f aca="false">INDEX('Master Data'!$A$2:$B$8,MATCH(WEEKDAY('SC Total Power'!A332,3),'Master Data'!$A$2:$A$8,0),2)</f>
        <v>F</v>
      </c>
      <c r="D332" s="124" t="n">
        <v>0</v>
      </c>
      <c r="E332" s="124" t="n">
        <v>0</v>
      </c>
      <c r="F332" s="124" t="n">
        <v>0</v>
      </c>
      <c r="G332" s="124" t="n">
        <v>0</v>
      </c>
      <c r="I332" s="124" t="n">
        <f aca="false">IF(MONTH($A332)=MONTH($A331),IF(G332=0,I331,G332),G332)</f>
        <v>0</v>
      </c>
      <c r="J332" s="124" t="n">
        <f aca="false">IF(MONTH($A332)=MONTH($A331),SUM(I332-I331),I332)</f>
        <v>0</v>
      </c>
      <c r="K332" s="124" t="n">
        <f aca="false">IF(WEEKDAY(A332,3)&gt;4,0,(IF(A332&lt;K$2,0,IF(A332&lt;=K$3,1,0))))</f>
        <v>0</v>
      </c>
      <c r="L332" s="124" t="n">
        <f aca="false">J332*K332</f>
        <v>0</v>
      </c>
      <c r="M332" s="124" t="n">
        <f aca="false">SUM(J$280:J332)</f>
        <v>0</v>
      </c>
      <c r="N332" s="124" t="n">
        <f aca="false">SUM(J$6:J332)</f>
        <v>0</v>
      </c>
      <c r="P332" s="124" t="n">
        <f aca="false">D332/P$3</f>
        <v>0</v>
      </c>
      <c r="Q332" s="143" t="n">
        <f aca="false">E332/P$3</f>
        <v>0</v>
      </c>
      <c r="R332" s="124" t="n">
        <f aca="false">F332/R$3</f>
        <v>0</v>
      </c>
      <c r="S332" s="126" t="n">
        <f aca="false">J332/$R$3</f>
        <v>0</v>
      </c>
      <c r="T332" s="126" t="n">
        <f aca="false">L332/$R$3</f>
        <v>0</v>
      </c>
      <c r="U332" s="126" t="n">
        <f aca="false">I332/$R$3</f>
        <v>0</v>
      </c>
      <c r="V332" s="126" t="n">
        <f aca="false">M332/$R$3</f>
        <v>0</v>
      </c>
      <c r="W332" s="126" t="n">
        <f aca="false">N332/$R$3</f>
        <v>0</v>
      </c>
    </row>
    <row r="333" customFormat="false" ht="12.75" hidden="false" customHeight="false" outlineLevel="0" collapsed="false">
      <c r="A333" s="120" t="n">
        <f aca="false">A332+1</f>
        <v>37219</v>
      </c>
      <c r="B333" s="131" t="str">
        <f aca="false">INDEX('Master Data'!$A$2:$B$8,MATCH(WEEKDAY('SC Total Power'!A333,3),'Master Data'!$A$2:$A$8,0),2)</f>
        <v>Sa</v>
      </c>
      <c r="D333" s="124" t="n">
        <v>0</v>
      </c>
      <c r="E333" s="124" t="n">
        <v>0</v>
      </c>
      <c r="F333" s="124" t="n">
        <v>0</v>
      </c>
      <c r="G333" s="124" t="n">
        <v>0</v>
      </c>
      <c r="I333" s="124" t="n">
        <f aca="false">IF(MONTH($A333)=MONTH($A332),IF(G333=0,I332,G333),G333)</f>
        <v>0</v>
      </c>
      <c r="J333" s="124" t="n">
        <f aca="false">IF(MONTH($A333)=MONTH($A332),SUM(I333-I332),I333)</f>
        <v>0</v>
      </c>
      <c r="K333" s="124" t="n">
        <f aca="false">IF(WEEKDAY(A333,3)&gt;4,0,(IF(A333&lt;K$2,0,IF(A333&lt;=K$3,1,0))))</f>
        <v>0</v>
      </c>
      <c r="L333" s="124" t="n">
        <f aca="false">J333*K333</f>
        <v>0</v>
      </c>
      <c r="M333" s="124" t="n">
        <f aca="false">SUM(J$280:J333)</f>
        <v>0</v>
      </c>
      <c r="N333" s="124" t="n">
        <f aca="false">SUM(J$6:J333)</f>
        <v>0</v>
      </c>
      <c r="P333" s="124" t="n">
        <f aca="false">D333/P$3</f>
        <v>0</v>
      </c>
      <c r="Q333" s="143" t="n">
        <f aca="false">E333/P$3</f>
        <v>0</v>
      </c>
      <c r="R333" s="124" t="n">
        <f aca="false">F333/R$3</f>
        <v>0</v>
      </c>
      <c r="S333" s="126" t="n">
        <f aca="false">J333/$R$3</f>
        <v>0</v>
      </c>
      <c r="T333" s="126" t="n">
        <f aca="false">L333/$R$3</f>
        <v>0</v>
      </c>
      <c r="U333" s="126" t="n">
        <f aca="false">I333/$R$3</f>
        <v>0</v>
      </c>
      <c r="V333" s="126" t="n">
        <f aca="false">M333/$R$3</f>
        <v>0</v>
      </c>
      <c r="W333" s="126" t="n">
        <f aca="false">N333/$R$3</f>
        <v>0</v>
      </c>
    </row>
    <row r="334" customFormat="false" ht="12.75" hidden="false" customHeight="false" outlineLevel="0" collapsed="false">
      <c r="A334" s="120" t="n">
        <f aca="false">A333+1</f>
        <v>37220</v>
      </c>
      <c r="B334" s="131" t="str">
        <f aca="false">INDEX('Master Data'!$A$2:$B$8,MATCH(WEEKDAY('SC Total Power'!A334,3),'Master Data'!$A$2:$A$8,0),2)</f>
        <v>Su</v>
      </c>
      <c r="D334" s="124" t="n">
        <v>0</v>
      </c>
      <c r="E334" s="124" t="n">
        <v>0</v>
      </c>
      <c r="F334" s="124" t="n">
        <v>0</v>
      </c>
      <c r="G334" s="124" t="n">
        <v>0</v>
      </c>
      <c r="I334" s="124" t="n">
        <f aca="false">IF(MONTH($A334)=MONTH($A333),IF(G334=0,I333,G334),G334)</f>
        <v>0</v>
      </c>
      <c r="J334" s="124" t="n">
        <f aca="false">IF(MONTH($A334)=MONTH($A333),SUM(I334-I333),I334)</f>
        <v>0</v>
      </c>
      <c r="K334" s="124" t="n">
        <f aca="false">IF(WEEKDAY(A334,3)&gt;4,0,(IF(A334&lt;K$2,0,IF(A334&lt;=K$3,1,0))))</f>
        <v>0</v>
      </c>
      <c r="L334" s="124" t="n">
        <f aca="false">J334*K334</f>
        <v>0</v>
      </c>
      <c r="M334" s="124" t="n">
        <f aca="false">SUM(J$280:J334)</f>
        <v>0</v>
      </c>
      <c r="N334" s="124" t="n">
        <f aca="false">SUM(J$6:J334)</f>
        <v>0</v>
      </c>
      <c r="P334" s="124" t="n">
        <f aca="false">D334/P$3</f>
        <v>0</v>
      </c>
      <c r="Q334" s="143" t="n">
        <f aca="false">E334/P$3</f>
        <v>0</v>
      </c>
      <c r="R334" s="124" t="n">
        <f aca="false">F334/R$3</f>
        <v>0</v>
      </c>
      <c r="S334" s="126" t="n">
        <f aca="false">J334/$R$3</f>
        <v>0</v>
      </c>
      <c r="T334" s="126" t="n">
        <f aca="false">L334/$R$3</f>
        <v>0</v>
      </c>
      <c r="U334" s="126" t="n">
        <f aca="false">I334/$R$3</f>
        <v>0</v>
      </c>
      <c r="V334" s="126" t="n">
        <f aca="false">M334/$R$3</f>
        <v>0</v>
      </c>
      <c r="W334" s="126" t="n">
        <f aca="false">N334/$R$3</f>
        <v>0</v>
      </c>
    </row>
    <row r="335" customFormat="false" ht="12.75" hidden="false" customHeight="false" outlineLevel="0" collapsed="false">
      <c r="A335" s="120" t="n">
        <f aca="false">A334+1</f>
        <v>37221</v>
      </c>
      <c r="B335" s="131" t="str">
        <f aca="false">INDEX('Master Data'!$A$2:$B$8,MATCH(WEEKDAY('SC Total Power'!A335,3),'Master Data'!$A$2:$A$8,0),2)</f>
        <v>M</v>
      </c>
      <c r="D335" s="124" t="n">
        <v>0</v>
      </c>
      <c r="E335" s="124" t="n">
        <v>0</v>
      </c>
      <c r="F335" s="124" t="n">
        <v>0</v>
      </c>
      <c r="G335" s="124" t="n">
        <v>0</v>
      </c>
      <c r="I335" s="124" t="n">
        <f aca="false">IF(MONTH($A335)=MONTH($A334),IF(G335=0,I334,G335),G335)</f>
        <v>0</v>
      </c>
      <c r="J335" s="124" t="n">
        <f aca="false">IF(MONTH($A335)=MONTH($A334),SUM(I335-I334),I335)</f>
        <v>0</v>
      </c>
      <c r="K335" s="124" t="n">
        <f aca="false">IF(WEEKDAY(A335,3)&gt;4,0,(IF(A335&lt;K$2,0,IF(A335&lt;=K$3,1,0))))</f>
        <v>0</v>
      </c>
      <c r="L335" s="124" t="n">
        <f aca="false">J335*K335</f>
        <v>0</v>
      </c>
      <c r="M335" s="124" t="n">
        <f aca="false">SUM(J$280:J335)</f>
        <v>0</v>
      </c>
      <c r="N335" s="124" t="n">
        <f aca="false">SUM(J$6:J335)</f>
        <v>0</v>
      </c>
      <c r="P335" s="124" t="n">
        <f aca="false">D335/P$3</f>
        <v>0</v>
      </c>
      <c r="Q335" s="143" t="n">
        <f aca="false">E335/P$3</f>
        <v>0</v>
      </c>
      <c r="R335" s="124" t="n">
        <f aca="false">F335/R$3</f>
        <v>0</v>
      </c>
      <c r="S335" s="126" t="n">
        <f aca="false">J335/$R$3</f>
        <v>0</v>
      </c>
      <c r="T335" s="126" t="n">
        <f aca="false">L335/$R$3</f>
        <v>0</v>
      </c>
      <c r="U335" s="126" t="n">
        <f aca="false">I335/$R$3</f>
        <v>0</v>
      </c>
      <c r="V335" s="126" t="n">
        <f aca="false">M335/$R$3</f>
        <v>0</v>
      </c>
      <c r="W335" s="126" t="n">
        <f aca="false">N335/$R$3</f>
        <v>0</v>
      </c>
    </row>
    <row r="336" customFormat="false" ht="12.75" hidden="false" customHeight="false" outlineLevel="0" collapsed="false">
      <c r="A336" s="120" t="n">
        <f aca="false">A335+1</f>
        <v>37222</v>
      </c>
      <c r="B336" s="131" t="str">
        <f aca="false">INDEX('Master Data'!$A$2:$B$8,MATCH(WEEKDAY('SC Total Power'!A336,3),'Master Data'!$A$2:$A$8,0),2)</f>
        <v>T</v>
      </c>
      <c r="D336" s="124" t="n">
        <v>0</v>
      </c>
      <c r="E336" s="124" t="n">
        <v>0</v>
      </c>
      <c r="F336" s="124" t="n">
        <v>0</v>
      </c>
      <c r="G336" s="124" t="n">
        <v>0</v>
      </c>
      <c r="I336" s="124" t="n">
        <f aca="false">IF(MONTH($A336)=MONTH($A335),IF(G336=0,I335,G336),G336)</f>
        <v>0</v>
      </c>
      <c r="J336" s="124" t="n">
        <f aca="false">IF(MONTH($A336)=MONTH($A335),SUM(I336-I335),I336)</f>
        <v>0</v>
      </c>
      <c r="K336" s="124" t="n">
        <f aca="false">IF(WEEKDAY(A336,3)&gt;4,0,(IF(A336&lt;K$2,0,IF(A336&lt;=K$3,1,0))))</f>
        <v>0</v>
      </c>
      <c r="L336" s="124" t="n">
        <f aca="false">J336*K336</f>
        <v>0</v>
      </c>
      <c r="M336" s="124" t="n">
        <f aca="false">SUM(J$280:J336)</f>
        <v>0</v>
      </c>
      <c r="N336" s="124" t="n">
        <f aca="false">SUM(J$6:J336)</f>
        <v>0</v>
      </c>
      <c r="P336" s="124" t="n">
        <f aca="false">D336/P$3</f>
        <v>0</v>
      </c>
      <c r="Q336" s="143" t="n">
        <f aca="false">E336/P$3</f>
        <v>0</v>
      </c>
      <c r="R336" s="124" t="n">
        <f aca="false">F336/R$3</f>
        <v>0</v>
      </c>
      <c r="S336" s="126" t="n">
        <f aca="false">J336/$R$3</f>
        <v>0</v>
      </c>
      <c r="T336" s="126" t="n">
        <f aca="false">L336/$R$3</f>
        <v>0</v>
      </c>
      <c r="U336" s="126" t="n">
        <f aca="false">I336/$R$3</f>
        <v>0</v>
      </c>
      <c r="V336" s="126" t="n">
        <f aca="false">M336/$R$3</f>
        <v>0</v>
      </c>
      <c r="W336" s="126" t="n">
        <f aca="false">N336/$R$3</f>
        <v>0</v>
      </c>
    </row>
    <row r="337" customFormat="false" ht="12.75" hidden="false" customHeight="false" outlineLevel="0" collapsed="false">
      <c r="A337" s="120" t="n">
        <f aca="false">A336+1</f>
        <v>37223</v>
      </c>
      <c r="B337" s="131" t="str">
        <f aca="false">INDEX('Master Data'!$A$2:$B$8,MATCH(WEEKDAY('SC Total Power'!A337,3),'Master Data'!$A$2:$A$8,0),2)</f>
        <v>W</v>
      </c>
      <c r="D337" s="124" t="n">
        <v>0</v>
      </c>
      <c r="E337" s="124" t="n">
        <v>0</v>
      </c>
      <c r="F337" s="124" t="n">
        <v>0</v>
      </c>
      <c r="G337" s="124" t="n">
        <v>0</v>
      </c>
      <c r="I337" s="124" t="n">
        <f aca="false">IF(MONTH($A337)=MONTH($A336),IF(G337=0,I336,G337),G337)</f>
        <v>0</v>
      </c>
      <c r="J337" s="124" t="n">
        <f aca="false">IF(MONTH($A337)=MONTH($A336),SUM(I337-I336),I337)</f>
        <v>0</v>
      </c>
      <c r="K337" s="124" t="n">
        <f aca="false">IF(WEEKDAY(A337,3)&gt;4,0,(IF(A337&lt;K$2,0,IF(A337&lt;=K$3,1,0))))</f>
        <v>0</v>
      </c>
      <c r="L337" s="124" t="n">
        <f aca="false">J337*K337</f>
        <v>0</v>
      </c>
      <c r="M337" s="124" t="n">
        <f aca="false">SUM(J$280:J337)</f>
        <v>0</v>
      </c>
      <c r="N337" s="124" t="n">
        <f aca="false">SUM(J$6:J337)</f>
        <v>0</v>
      </c>
      <c r="P337" s="124" t="n">
        <f aca="false">D337/P$3</f>
        <v>0</v>
      </c>
      <c r="Q337" s="143" t="n">
        <f aca="false">E337/P$3</f>
        <v>0</v>
      </c>
      <c r="R337" s="124" t="n">
        <f aca="false">F337/R$3</f>
        <v>0</v>
      </c>
      <c r="S337" s="126" t="n">
        <f aca="false">J337/$R$3</f>
        <v>0</v>
      </c>
      <c r="T337" s="126" t="n">
        <f aca="false">L337/$R$3</f>
        <v>0</v>
      </c>
      <c r="U337" s="126" t="n">
        <f aca="false">I337/$R$3</f>
        <v>0</v>
      </c>
      <c r="V337" s="126" t="n">
        <f aca="false">M337/$R$3</f>
        <v>0</v>
      </c>
      <c r="W337" s="126" t="n">
        <f aca="false">N337/$R$3</f>
        <v>0</v>
      </c>
    </row>
    <row r="338" customFormat="false" ht="12.75" hidden="false" customHeight="false" outlineLevel="0" collapsed="false">
      <c r="A338" s="120" t="n">
        <f aca="false">A337+1</f>
        <v>37224</v>
      </c>
      <c r="B338" s="131" t="str">
        <f aca="false">INDEX('Master Data'!$A$2:$B$8,MATCH(WEEKDAY('SC Total Power'!A338,3),'Master Data'!$A$2:$A$8,0),2)</f>
        <v>Th</v>
      </c>
      <c r="D338" s="124" t="n">
        <v>0</v>
      </c>
      <c r="E338" s="124" t="n">
        <v>0</v>
      </c>
      <c r="F338" s="124" t="n">
        <v>0</v>
      </c>
      <c r="G338" s="124" t="n">
        <v>0</v>
      </c>
      <c r="I338" s="124" t="n">
        <f aca="false">IF(MONTH($A338)=MONTH($A337),IF(G338=0,I337,G338),G338)</f>
        <v>0</v>
      </c>
      <c r="J338" s="124" t="n">
        <f aca="false">IF(MONTH($A338)=MONTH($A337),SUM(I338-I337),I338)</f>
        <v>0</v>
      </c>
      <c r="K338" s="124" t="n">
        <f aca="false">IF(WEEKDAY(A338,3)&gt;4,0,(IF(A338&lt;K$2,0,IF(A338&lt;=K$3,1,0))))</f>
        <v>0</v>
      </c>
      <c r="L338" s="124" t="n">
        <f aca="false">J338*K338</f>
        <v>0</v>
      </c>
      <c r="M338" s="124" t="n">
        <f aca="false">SUM(J$280:J338)</f>
        <v>0</v>
      </c>
      <c r="N338" s="124" t="n">
        <f aca="false">SUM(J$6:J338)</f>
        <v>0</v>
      </c>
      <c r="P338" s="124" t="n">
        <f aca="false">D338/P$3</f>
        <v>0</v>
      </c>
      <c r="Q338" s="143" t="n">
        <f aca="false">E338/P$3</f>
        <v>0</v>
      </c>
      <c r="R338" s="124" t="n">
        <f aca="false">F338/R$3</f>
        <v>0</v>
      </c>
      <c r="S338" s="126" t="n">
        <f aca="false">J338/$R$3</f>
        <v>0</v>
      </c>
      <c r="T338" s="126" t="n">
        <f aca="false">L338/$R$3</f>
        <v>0</v>
      </c>
      <c r="U338" s="126" t="n">
        <f aca="false">I338/$R$3</f>
        <v>0</v>
      </c>
      <c r="V338" s="126" t="n">
        <f aca="false">M338/$R$3</f>
        <v>0</v>
      </c>
      <c r="W338" s="126" t="n">
        <f aca="false">N338/$R$3</f>
        <v>0</v>
      </c>
    </row>
    <row r="339" customFormat="false" ht="12.75" hidden="false" customHeight="false" outlineLevel="0" collapsed="false">
      <c r="A339" s="120" t="n">
        <f aca="false">A338+1</f>
        <v>37225</v>
      </c>
      <c r="B339" s="131" t="str">
        <f aca="false">INDEX('Master Data'!$A$2:$B$8,MATCH(WEEKDAY('SC Total Power'!A339,3),'Master Data'!$A$2:$A$8,0),2)</f>
        <v>F</v>
      </c>
      <c r="D339" s="124" t="n">
        <v>0</v>
      </c>
      <c r="E339" s="124" t="n">
        <v>0</v>
      </c>
      <c r="F339" s="124" t="n">
        <v>0</v>
      </c>
      <c r="G339" s="124" t="n">
        <v>0</v>
      </c>
      <c r="I339" s="124" t="n">
        <f aca="false">IF(MONTH($A339)=MONTH($A338),IF(G339=0,I338,G339),G339)</f>
        <v>0</v>
      </c>
      <c r="J339" s="124" t="n">
        <f aca="false">IF(MONTH($A339)=MONTH($A338),SUM(I339-I338),I339)</f>
        <v>0</v>
      </c>
      <c r="K339" s="124" t="n">
        <f aca="false">IF(WEEKDAY(A339,3)&gt;4,0,(IF(A339&lt;K$2,0,IF(A339&lt;=K$3,1,0))))</f>
        <v>0</v>
      </c>
      <c r="L339" s="124" t="n">
        <f aca="false">J339*K339</f>
        <v>0</v>
      </c>
      <c r="M339" s="124" t="n">
        <f aca="false">SUM(J$280:J339)</f>
        <v>0</v>
      </c>
      <c r="N339" s="124" t="n">
        <f aca="false">SUM(J$6:J339)</f>
        <v>0</v>
      </c>
      <c r="P339" s="124" t="n">
        <f aca="false">D339/P$3</f>
        <v>0</v>
      </c>
      <c r="Q339" s="143" t="n">
        <f aca="false">E339/P$3</f>
        <v>0</v>
      </c>
      <c r="R339" s="124" t="n">
        <f aca="false">F339/R$3</f>
        <v>0</v>
      </c>
      <c r="S339" s="126" t="n">
        <f aca="false">J339/$R$3</f>
        <v>0</v>
      </c>
      <c r="T339" s="126" t="n">
        <f aca="false">L339/$R$3</f>
        <v>0</v>
      </c>
      <c r="U339" s="126" t="n">
        <f aca="false">I339/$R$3</f>
        <v>0</v>
      </c>
      <c r="V339" s="126" t="n">
        <f aca="false">M339/$R$3</f>
        <v>0</v>
      </c>
      <c r="W339" s="126" t="n">
        <f aca="false">N339/$R$3</f>
        <v>0</v>
      </c>
    </row>
    <row r="340" customFormat="false" ht="12.75" hidden="false" customHeight="false" outlineLevel="0" collapsed="false">
      <c r="A340" s="120" t="n">
        <f aca="false">A339+1</f>
        <v>37226</v>
      </c>
      <c r="B340" s="131" t="str">
        <f aca="false">INDEX('Master Data'!$A$2:$B$8,MATCH(WEEKDAY('SC Total Power'!A340,3),'Master Data'!$A$2:$A$8,0),2)</f>
        <v>Sa</v>
      </c>
      <c r="D340" s="124" t="n">
        <v>0</v>
      </c>
      <c r="E340" s="124" t="n">
        <v>0</v>
      </c>
      <c r="F340" s="124" t="n">
        <v>0</v>
      </c>
      <c r="G340" s="124" t="n">
        <v>0</v>
      </c>
      <c r="I340" s="124" t="n">
        <f aca="false">IF(MONTH($A340)=MONTH($A339),IF(G340=0,I339,G340),G340)</f>
        <v>0</v>
      </c>
      <c r="J340" s="124" t="n">
        <f aca="false">IF(MONTH($A340)=MONTH($A339),SUM(I340-I339),I340)</f>
        <v>0</v>
      </c>
      <c r="K340" s="124" t="n">
        <f aca="false">IF(WEEKDAY(A340,3)&gt;4,0,(IF(A340&lt;K$2,0,IF(A340&lt;=K$3,1,0))))</f>
        <v>0</v>
      </c>
      <c r="L340" s="124" t="n">
        <f aca="false">J340*K340</f>
        <v>0</v>
      </c>
      <c r="M340" s="124" t="n">
        <f aca="false">SUM(J$280:J340)</f>
        <v>0</v>
      </c>
      <c r="N340" s="124" t="n">
        <f aca="false">SUM(J$6:J340)</f>
        <v>0</v>
      </c>
      <c r="P340" s="124" t="n">
        <f aca="false">D340/P$3</f>
        <v>0</v>
      </c>
      <c r="Q340" s="143" t="n">
        <f aca="false">E340/P$3</f>
        <v>0</v>
      </c>
      <c r="R340" s="124" t="n">
        <f aca="false">F340/R$3</f>
        <v>0</v>
      </c>
      <c r="S340" s="126" t="n">
        <f aca="false">J340/$R$3</f>
        <v>0</v>
      </c>
      <c r="T340" s="126" t="n">
        <f aca="false">L340/$R$3</f>
        <v>0</v>
      </c>
      <c r="U340" s="126" t="n">
        <f aca="false">I340/$R$3</f>
        <v>0</v>
      </c>
      <c r="V340" s="126" t="n">
        <f aca="false">M340/$R$3</f>
        <v>0</v>
      </c>
      <c r="W340" s="126" t="n">
        <f aca="false">N340/$R$3</f>
        <v>0</v>
      </c>
    </row>
    <row r="341" customFormat="false" ht="12.75" hidden="false" customHeight="false" outlineLevel="0" collapsed="false">
      <c r="A341" s="120" t="n">
        <f aca="false">A340+1</f>
        <v>37227</v>
      </c>
      <c r="B341" s="131" t="str">
        <f aca="false">INDEX('Master Data'!$A$2:$B$8,MATCH(WEEKDAY('SC Total Power'!A341,3),'Master Data'!$A$2:$A$8,0),2)</f>
        <v>Su</v>
      </c>
      <c r="D341" s="124" t="n">
        <v>0</v>
      </c>
      <c r="E341" s="124" t="n">
        <v>0</v>
      </c>
      <c r="F341" s="124" t="n">
        <v>0</v>
      </c>
      <c r="G341" s="124" t="n">
        <v>0</v>
      </c>
      <c r="I341" s="124" t="n">
        <f aca="false">IF(MONTH($A341)=MONTH($A340),IF(G341=0,I340,G341),G341)</f>
        <v>0</v>
      </c>
      <c r="J341" s="124" t="n">
        <f aca="false">IF(MONTH($A341)=MONTH($A340),SUM(I341-I340),I341)</f>
        <v>0</v>
      </c>
      <c r="K341" s="124" t="n">
        <f aca="false">IF(WEEKDAY(A341,3)&gt;4,0,(IF(A341&lt;K$2,0,IF(A341&lt;=K$3,1,0))))</f>
        <v>0</v>
      </c>
      <c r="L341" s="124" t="n">
        <f aca="false">J341*K341</f>
        <v>0</v>
      </c>
      <c r="M341" s="124" t="n">
        <f aca="false">SUM(J$280:J341)</f>
        <v>0</v>
      </c>
      <c r="N341" s="124" t="n">
        <f aca="false">SUM(J$6:J341)</f>
        <v>0</v>
      </c>
      <c r="P341" s="124" t="n">
        <f aca="false">D341/P$3</f>
        <v>0</v>
      </c>
      <c r="Q341" s="143" t="n">
        <f aca="false">E341/P$3</f>
        <v>0</v>
      </c>
      <c r="R341" s="124" t="n">
        <f aca="false">F341/R$3</f>
        <v>0</v>
      </c>
      <c r="S341" s="126" t="n">
        <f aca="false">J341/$R$3</f>
        <v>0</v>
      </c>
      <c r="T341" s="126" t="n">
        <f aca="false">L341/$R$3</f>
        <v>0</v>
      </c>
      <c r="U341" s="126" t="n">
        <f aca="false">I341/$R$3</f>
        <v>0</v>
      </c>
      <c r="V341" s="126" t="n">
        <f aca="false">M341/$R$3</f>
        <v>0</v>
      </c>
      <c r="W341" s="126" t="n">
        <f aca="false">N341/$R$3</f>
        <v>0</v>
      </c>
    </row>
    <row r="342" customFormat="false" ht="12.75" hidden="false" customHeight="false" outlineLevel="0" collapsed="false">
      <c r="A342" s="120" t="n">
        <f aca="false">A341+1</f>
        <v>37228</v>
      </c>
      <c r="B342" s="131" t="str">
        <f aca="false">INDEX('Master Data'!$A$2:$B$8,MATCH(WEEKDAY('SC Total Power'!A342,3),'Master Data'!$A$2:$A$8,0),2)</f>
        <v>M</v>
      </c>
      <c r="D342" s="124" t="n">
        <v>0</v>
      </c>
      <c r="E342" s="124" t="n">
        <v>0</v>
      </c>
      <c r="F342" s="124" t="n">
        <v>0</v>
      </c>
      <c r="G342" s="124" t="n">
        <v>0</v>
      </c>
      <c r="I342" s="124" t="n">
        <f aca="false">IF(MONTH($A342)=MONTH($A341),IF(G342=0,I341,G342),G342)</f>
        <v>0</v>
      </c>
      <c r="J342" s="124" t="n">
        <f aca="false">IF(MONTH($A342)=MONTH($A341),SUM(I342-I341),I342)</f>
        <v>0</v>
      </c>
      <c r="K342" s="124" t="n">
        <f aca="false">IF(WEEKDAY(A342,3)&gt;4,0,(IF(A342&lt;K$2,0,IF(A342&lt;=K$3,1,0))))</f>
        <v>0</v>
      </c>
      <c r="L342" s="124" t="n">
        <f aca="false">J342*K342</f>
        <v>0</v>
      </c>
      <c r="M342" s="124" t="n">
        <f aca="false">SUM(J$280:J342)</f>
        <v>0</v>
      </c>
      <c r="N342" s="124" t="n">
        <f aca="false">SUM(J$6:J342)</f>
        <v>0</v>
      </c>
      <c r="P342" s="124" t="n">
        <f aca="false">D342/P$3</f>
        <v>0</v>
      </c>
      <c r="Q342" s="143" t="n">
        <f aca="false">E342/P$3</f>
        <v>0</v>
      </c>
      <c r="R342" s="124" t="n">
        <f aca="false">F342/R$3</f>
        <v>0</v>
      </c>
      <c r="S342" s="126" t="n">
        <f aca="false">J342/$R$3</f>
        <v>0</v>
      </c>
      <c r="T342" s="126" t="n">
        <f aca="false">L342/$R$3</f>
        <v>0</v>
      </c>
      <c r="U342" s="126" t="n">
        <f aca="false">I342/$R$3</f>
        <v>0</v>
      </c>
      <c r="V342" s="126" t="n">
        <f aca="false">M342/$R$3</f>
        <v>0</v>
      </c>
      <c r="W342" s="126" t="n">
        <f aca="false">N342/$R$3</f>
        <v>0</v>
      </c>
    </row>
    <row r="343" customFormat="false" ht="12.75" hidden="false" customHeight="false" outlineLevel="0" collapsed="false">
      <c r="A343" s="120" t="n">
        <f aca="false">A342+1</f>
        <v>37229</v>
      </c>
      <c r="B343" s="131" t="str">
        <f aca="false">INDEX('Master Data'!$A$2:$B$8,MATCH(WEEKDAY('SC Total Power'!A343,3),'Master Data'!$A$2:$A$8,0),2)</f>
        <v>T</v>
      </c>
      <c r="D343" s="124" t="n">
        <v>0</v>
      </c>
      <c r="E343" s="124" t="n">
        <v>0</v>
      </c>
      <c r="F343" s="124" t="n">
        <v>0</v>
      </c>
      <c r="G343" s="124" t="n">
        <v>0</v>
      </c>
      <c r="I343" s="124" t="n">
        <f aca="false">IF(MONTH($A343)=MONTH($A342),IF(G343=0,I342,G343),G343)</f>
        <v>0</v>
      </c>
      <c r="J343" s="124" t="n">
        <f aca="false">IF(MONTH($A343)=MONTH($A342),SUM(I343-I342),I343)</f>
        <v>0</v>
      </c>
      <c r="K343" s="124" t="n">
        <f aca="false">IF(WEEKDAY(A343,3)&gt;4,0,(IF(A343&lt;K$2,0,IF(A343&lt;=K$3,1,0))))</f>
        <v>0</v>
      </c>
      <c r="L343" s="124" t="n">
        <f aca="false">J343*K343</f>
        <v>0</v>
      </c>
      <c r="M343" s="124" t="n">
        <f aca="false">SUM(J$280:J343)</f>
        <v>0</v>
      </c>
      <c r="N343" s="124" t="n">
        <f aca="false">SUM(J$6:J343)</f>
        <v>0</v>
      </c>
      <c r="P343" s="124" t="n">
        <f aca="false">D343/P$3</f>
        <v>0</v>
      </c>
      <c r="Q343" s="143" t="n">
        <f aca="false">E343/P$3</f>
        <v>0</v>
      </c>
      <c r="R343" s="124" t="n">
        <f aca="false">F343/R$3</f>
        <v>0</v>
      </c>
      <c r="S343" s="126" t="n">
        <f aca="false">J343/$R$3</f>
        <v>0</v>
      </c>
      <c r="T343" s="126" t="n">
        <f aca="false">L343/$R$3</f>
        <v>0</v>
      </c>
      <c r="U343" s="126" t="n">
        <f aca="false">I343/$R$3</f>
        <v>0</v>
      </c>
      <c r="V343" s="126" t="n">
        <f aca="false">M343/$R$3</f>
        <v>0</v>
      </c>
      <c r="W343" s="126" t="n">
        <f aca="false">N343/$R$3</f>
        <v>0</v>
      </c>
    </row>
    <row r="344" customFormat="false" ht="12.75" hidden="false" customHeight="false" outlineLevel="0" collapsed="false">
      <c r="A344" s="120" t="n">
        <f aca="false">A343+1</f>
        <v>37230</v>
      </c>
      <c r="B344" s="131" t="str">
        <f aca="false">INDEX('Master Data'!$A$2:$B$8,MATCH(WEEKDAY('SC Total Power'!A344,3),'Master Data'!$A$2:$A$8,0),2)</f>
        <v>W</v>
      </c>
      <c r="D344" s="124" t="n">
        <v>0</v>
      </c>
      <c r="E344" s="124" t="n">
        <v>0</v>
      </c>
      <c r="F344" s="124" t="n">
        <v>0</v>
      </c>
      <c r="G344" s="124" t="n">
        <v>0</v>
      </c>
      <c r="I344" s="124" t="n">
        <f aca="false">IF(MONTH($A344)=MONTH($A343),IF(G344=0,I343,G344),G344)</f>
        <v>0</v>
      </c>
      <c r="J344" s="124" t="n">
        <f aca="false">IF(MONTH($A344)=MONTH($A343),SUM(I344-I343),I344)</f>
        <v>0</v>
      </c>
      <c r="K344" s="124" t="n">
        <f aca="false">IF(WEEKDAY(A344,3)&gt;4,0,(IF(A344&lt;K$2,0,IF(A344&lt;=K$3,1,0))))</f>
        <v>0</v>
      </c>
      <c r="L344" s="124" t="n">
        <f aca="false">J344*K344</f>
        <v>0</v>
      </c>
      <c r="M344" s="124" t="n">
        <f aca="false">SUM(J$280:J344)</f>
        <v>0</v>
      </c>
      <c r="N344" s="124" t="n">
        <f aca="false">SUM(J$6:J344)</f>
        <v>0</v>
      </c>
      <c r="P344" s="124" t="n">
        <f aca="false">D344/P$3</f>
        <v>0</v>
      </c>
      <c r="Q344" s="143" t="n">
        <f aca="false">E344/P$3</f>
        <v>0</v>
      </c>
      <c r="R344" s="124" t="n">
        <f aca="false">F344/R$3</f>
        <v>0</v>
      </c>
      <c r="S344" s="126" t="n">
        <f aca="false">J344/$R$3</f>
        <v>0</v>
      </c>
      <c r="T344" s="126" t="n">
        <f aca="false">L344/$R$3</f>
        <v>0</v>
      </c>
      <c r="U344" s="126" t="n">
        <f aca="false">I344/$R$3</f>
        <v>0</v>
      </c>
      <c r="V344" s="126" t="n">
        <f aca="false">M344/$R$3</f>
        <v>0</v>
      </c>
      <c r="W344" s="126" t="n">
        <f aca="false">N344/$R$3</f>
        <v>0</v>
      </c>
    </row>
    <row r="345" customFormat="false" ht="12.75" hidden="false" customHeight="false" outlineLevel="0" collapsed="false">
      <c r="A345" s="120" t="n">
        <f aca="false">A344+1</f>
        <v>37231</v>
      </c>
      <c r="B345" s="131" t="str">
        <f aca="false">INDEX('Master Data'!$A$2:$B$8,MATCH(WEEKDAY('SC Total Power'!A345,3),'Master Data'!$A$2:$A$8,0),2)</f>
        <v>Th</v>
      </c>
      <c r="D345" s="124" t="n">
        <v>0</v>
      </c>
      <c r="E345" s="124" t="n">
        <v>0</v>
      </c>
      <c r="F345" s="124" t="n">
        <v>0</v>
      </c>
      <c r="G345" s="124" t="n">
        <v>0</v>
      </c>
      <c r="I345" s="124" t="n">
        <f aca="false">IF(MONTH($A345)=MONTH($A344),IF(G345=0,I344,G345),G345)</f>
        <v>0</v>
      </c>
      <c r="J345" s="124" t="n">
        <f aca="false">IF(MONTH($A345)=MONTH($A344),SUM(I345-I344),I345)</f>
        <v>0</v>
      </c>
      <c r="K345" s="124" t="n">
        <f aca="false">IF(WEEKDAY(A345,3)&gt;4,0,(IF(A345&lt;K$2,0,IF(A345&lt;=K$3,1,0))))</f>
        <v>0</v>
      </c>
      <c r="L345" s="124" t="n">
        <f aca="false">J345*K345</f>
        <v>0</v>
      </c>
      <c r="M345" s="124" t="n">
        <f aca="false">SUM(J$280:J345)</f>
        <v>0</v>
      </c>
      <c r="N345" s="124" t="n">
        <f aca="false">SUM(J$6:J345)</f>
        <v>0</v>
      </c>
      <c r="P345" s="124" t="n">
        <f aca="false">D345/P$3</f>
        <v>0</v>
      </c>
      <c r="Q345" s="143" t="n">
        <f aca="false">E345/P$3</f>
        <v>0</v>
      </c>
      <c r="R345" s="124" t="n">
        <f aca="false">F345/R$3</f>
        <v>0</v>
      </c>
      <c r="S345" s="126" t="n">
        <f aca="false">J345/$R$3</f>
        <v>0</v>
      </c>
      <c r="T345" s="126" t="n">
        <f aca="false">L345/$R$3</f>
        <v>0</v>
      </c>
      <c r="U345" s="126" t="n">
        <f aca="false">I345/$R$3</f>
        <v>0</v>
      </c>
      <c r="V345" s="126" t="n">
        <f aca="false">M345/$R$3</f>
        <v>0</v>
      </c>
      <c r="W345" s="126" t="n">
        <f aca="false">N345/$R$3</f>
        <v>0</v>
      </c>
    </row>
    <row r="346" customFormat="false" ht="12.75" hidden="false" customHeight="false" outlineLevel="0" collapsed="false">
      <c r="A346" s="120" t="n">
        <f aca="false">A345+1</f>
        <v>37232</v>
      </c>
      <c r="B346" s="131" t="str">
        <f aca="false">INDEX('Master Data'!$A$2:$B$8,MATCH(WEEKDAY('SC Total Power'!A346,3),'Master Data'!$A$2:$A$8,0),2)</f>
        <v>F</v>
      </c>
      <c r="D346" s="124" t="n">
        <v>0</v>
      </c>
      <c r="E346" s="124" t="n">
        <v>0</v>
      </c>
      <c r="F346" s="124" t="n">
        <v>0</v>
      </c>
      <c r="G346" s="124" t="n">
        <v>0</v>
      </c>
      <c r="I346" s="124" t="n">
        <f aca="false">IF(MONTH($A346)=MONTH($A345),IF(G346=0,I345,G346),G346)</f>
        <v>0</v>
      </c>
      <c r="J346" s="124" t="n">
        <f aca="false">IF(MONTH($A346)=MONTH($A345),SUM(I346-I345),I346)</f>
        <v>0</v>
      </c>
      <c r="K346" s="124" t="n">
        <f aca="false">IF(WEEKDAY(A346,3)&gt;4,0,(IF(A346&lt;K$2,0,IF(A346&lt;=K$3,1,0))))</f>
        <v>0</v>
      </c>
      <c r="L346" s="124" t="n">
        <f aca="false">J346*K346</f>
        <v>0</v>
      </c>
      <c r="M346" s="124" t="n">
        <f aca="false">SUM(J$280:J346)</f>
        <v>0</v>
      </c>
      <c r="N346" s="124" t="n">
        <f aca="false">SUM(J$6:J346)</f>
        <v>0</v>
      </c>
      <c r="P346" s="124" t="n">
        <f aca="false">D346/P$3</f>
        <v>0</v>
      </c>
      <c r="Q346" s="143" t="n">
        <f aca="false">E346/P$3</f>
        <v>0</v>
      </c>
      <c r="R346" s="124" t="n">
        <f aca="false">F346/R$3</f>
        <v>0</v>
      </c>
      <c r="S346" s="126" t="n">
        <f aca="false">J346/$R$3</f>
        <v>0</v>
      </c>
      <c r="T346" s="126" t="n">
        <f aca="false">L346/$R$3</f>
        <v>0</v>
      </c>
      <c r="U346" s="126" t="n">
        <f aca="false">I346/$R$3</f>
        <v>0</v>
      </c>
      <c r="V346" s="126" t="n">
        <f aca="false">M346/$R$3</f>
        <v>0</v>
      </c>
      <c r="W346" s="126" t="n">
        <f aca="false">N346/$R$3</f>
        <v>0</v>
      </c>
    </row>
    <row r="347" customFormat="false" ht="12.75" hidden="false" customHeight="false" outlineLevel="0" collapsed="false">
      <c r="A347" s="120" t="n">
        <f aca="false">A346+1</f>
        <v>37233</v>
      </c>
      <c r="B347" s="131" t="str">
        <f aca="false">INDEX('Master Data'!$A$2:$B$8,MATCH(WEEKDAY('SC Total Power'!A347,3),'Master Data'!$A$2:$A$8,0),2)</f>
        <v>Sa</v>
      </c>
      <c r="D347" s="124" t="n">
        <v>0</v>
      </c>
      <c r="E347" s="124" t="n">
        <v>0</v>
      </c>
      <c r="F347" s="124" t="n">
        <v>0</v>
      </c>
      <c r="G347" s="124" t="n">
        <v>0</v>
      </c>
      <c r="I347" s="124" t="n">
        <f aca="false">IF(MONTH($A347)=MONTH($A346),IF(G347=0,I346,G347),G347)</f>
        <v>0</v>
      </c>
      <c r="J347" s="124" t="n">
        <f aca="false">IF(MONTH($A347)=MONTH($A346),SUM(I347-I346),I347)</f>
        <v>0</v>
      </c>
      <c r="K347" s="124" t="n">
        <f aca="false">IF(WEEKDAY(A347,3)&gt;4,0,(IF(A347&lt;K$2,0,IF(A347&lt;=K$3,1,0))))</f>
        <v>0</v>
      </c>
      <c r="L347" s="124" t="n">
        <f aca="false">J347*K347</f>
        <v>0</v>
      </c>
      <c r="M347" s="124" t="n">
        <f aca="false">SUM(J$280:J347)</f>
        <v>0</v>
      </c>
      <c r="N347" s="124" t="n">
        <f aca="false">SUM(J$6:J347)</f>
        <v>0</v>
      </c>
      <c r="P347" s="124" t="n">
        <f aca="false">D347/P$3</f>
        <v>0</v>
      </c>
      <c r="Q347" s="143" t="n">
        <f aca="false">E347/P$3</f>
        <v>0</v>
      </c>
      <c r="R347" s="124" t="n">
        <f aca="false">F347/R$3</f>
        <v>0</v>
      </c>
      <c r="S347" s="126" t="n">
        <f aca="false">J347/$R$3</f>
        <v>0</v>
      </c>
      <c r="T347" s="126" t="n">
        <f aca="false">L347/$R$3</f>
        <v>0</v>
      </c>
      <c r="U347" s="126" t="n">
        <f aca="false">I347/$R$3</f>
        <v>0</v>
      </c>
      <c r="V347" s="126" t="n">
        <f aca="false">M347/$R$3</f>
        <v>0</v>
      </c>
      <c r="W347" s="126" t="n">
        <f aca="false">N347/$R$3</f>
        <v>0</v>
      </c>
    </row>
    <row r="348" customFormat="false" ht="12.75" hidden="false" customHeight="false" outlineLevel="0" collapsed="false">
      <c r="A348" s="120" t="n">
        <f aca="false">A347+1</f>
        <v>37234</v>
      </c>
      <c r="B348" s="131" t="str">
        <f aca="false">INDEX('Master Data'!$A$2:$B$8,MATCH(WEEKDAY('SC Total Power'!A348,3),'Master Data'!$A$2:$A$8,0),2)</f>
        <v>Su</v>
      </c>
      <c r="D348" s="124" t="n">
        <v>0</v>
      </c>
      <c r="E348" s="124" t="n">
        <v>0</v>
      </c>
      <c r="F348" s="124" t="n">
        <v>0</v>
      </c>
      <c r="G348" s="124" t="n">
        <v>0</v>
      </c>
      <c r="I348" s="124" t="n">
        <f aca="false">IF(MONTH($A348)=MONTH($A347),IF(G348=0,I347,G348),G348)</f>
        <v>0</v>
      </c>
      <c r="J348" s="124" t="n">
        <f aca="false">IF(MONTH($A348)=MONTH($A347),SUM(I348-I347),I348)</f>
        <v>0</v>
      </c>
      <c r="K348" s="124" t="n">
        <f aca="false">IF(WEEKDAY(A348,3)&gt;4,0,(IF(A348&lt;K$2,0,IF(A348&lt;=K$3,1,0))))</f>
        <v>0</v>
      </c>
      <c r="L348" s="124" t="n">
        <f aca="false">J348*K348</f>
        <v>0</v>
      </c>
      <c r="M348" s="124" t="n">
        <f aca="false">SUM(J$280:J348)</f>
        <v>0</v>
      </c>
      <c r="N348" s="124" t="n">
        <f aca="false">SUM(J$6:J348)</f>
        <v>0</v>
      </c>
      <c r="P348" s="124" t="n">
        <f aca="false">D348/P$3</f>
        <v>0</v>
      </c>
      <c r="Q348" s="143" t="n">
        <f aca="false">E348/P$3</f>
        <v>0</v>
      </c>
      <c r="R348" s="124" t="n">
        <f aca="false">F348/R$3</f>
        <v>0</v>
      </c>
      <c r="S348" s="126" t="n">
        <f aca="false">J348/$R$3</f>
        <v>0</v>
      </c>
      <c r="T348" s="126" t="n">
        <f aca="false">L348/$R$3</f>
        <v>0</v>
      </c>
      <c r="U348" s="126" t="n">
        <f aca="false">I348/$R$3</f>
        <v>0</v>
      </c>
      <c r="V348" s="126" t="n">
        <f aca="false">M348/$R$3</f>
        <v>0</v>
      </c>
      <c r="W348" s="126" t="n">
        <f aca="false">N348/$R$3</f>
        <v>0</v>
      </c>
    </row>
    <row r="349" customFormat="false" ht="12.75" hidden="false" customHeight="false" outlineLevel="0" collapsed="false">
      <c r="A349" s="120" t="n">
        <f aca="false">A348+1</f>
        <v>37235</v>
      </c>
      <c r="B349" s="131" t="str">
        <f aca="false">INDEX('Master Data'!$A$2:$B$8,MATCH(WEEKDAY('SC Total Power'!A349,3),'Master Data'!$A$2:$A$8,0),2)</f>
        <v>M</v>
      </c>
      <c r="D349" s="124" t="n">
        <v>0</v>
      </c>
      <c r="E349" s="124" t="n">
        <v>0</v>
      </c>
      <c r="F349" s="124" t="n">
        <v>0</v>
      </c>
      <c r="G349" s="124" t="n">
        <v>0</v>
      </c>
      <c r="I349" s="124" t="n">
        <f aca="false">IF(MONTH($A349)=MONTH($A348),IF(G349=0,I348,G349),G349)</f>
        <v>0</v>
      </c>
      <c r="J349" s="124" t="n">
        <f aca="false">IF(MONTH($A349)=MONTH($A348),SUM(I349-I348),I349)</f>
        <v>0</v>
      </c>
      <c r="K349" s="124" t="n">
        <f aca="false">IF(WEEKDAY(A349,3)&gt;4,0,(IF(A349&lt;K$2,0,IF(A349&lt;=K$3,1,0))))</f>
        <v>0</v>
      </c>
      <c r="L349" s="124" t="n">
        <f aca="false">J349*K349</f>
        <v>0</v>
      </c>
      <c r="M349" s="124" t="n">
        <f aca="false">SUM(J$280:J349)</f>
        <v>0</v>
      </c>
      <c r="N349" s="124" t="n">
        <f aca="false">SUM(J$6:J349)</f>
        <v>0</v>
      </c>
      <c r="P349" s="124" t="n">
        <f aca="false">D349/P$3</f>
        <v>0</v>
      </c>
      <c r="Q349" s="143" t="n">
        <f aca="false">E349/P$3</f>
        <v>0</v>
      </c>
      <c r="R349" s="124" t="n">
        <f aca="false">F349/R$3</f>
        <v>0</v>
      </c>
      <c r="S349" s="126" t="n">
        <f aca="false">J349/$R$3</f>
        <v>0</v>
      </c>
      <c r="T349" s="126" t="n">
        <f aca="false">L349/$R$3</f>
        <v>0</v>
      </c>
      <c r="U349" s="126" t="n">
        <f aca="false">I349/$R$3</f>
        <v>0</v>
      </c>
      <c r="V349" s="126" t="n">
        <f aca="false">M349/$R$3</f>
        <v>0</v>
      </c>
      <c r="W349" s="126" t="n">
        <f aca="false">N349/$R$3</f>
        <v>0</v>
      </c>
    </row>
    <row r="350" customFormat="false" ht="12.75" hidden="false" customHeight="false" outlineLevel="0" collapsed="false">
      <c r="A350" s="120" t="n">
        <f aca="false">A349+1</f>
        <v>37236</v>
      </c>
      <c r="B350" s="131" t="str">
        <f aca="false">INDEX('Master Data'!$A$2:$B$8,MATCH(WEEKDAY('SC Total Power'!A350,3),'Master Data'!$A$2:$A$8,0),2)</f>
        <v>T</v>
      </c>
      <c r="D350" s="124" t="n">
        <v>0</v>
      </c>
      <c r="E350" s="124" t="n">
        <v>0</v>
      </c>
      <c r="F350" s="124" t="n">
        <v>0</v>
      </c>
      <c r="G350" s="124" t="n">
        <v>0</v>
      </c>
      <c r="I350" s="124" t="n">
        <f aca="false">IF(MONTH($A350)=MONTH($A349),IF(G350=0,I349,G350),G350)</f>
        <v>0</v>
      </c>
      <c r="J350" s="124" t="n">
        <f aca="false">IF(MONTH($A350)=MONTH($A349),SUM(I350-I349),I350)</f>
        <v>0</v>
      </c>
      <c r="K350" s="124" t="n">
        <f aca="false">IF(WEEKDAY(A350,3)&gt;4,0,(IF(A350&lt;K$2,0,IF(A350&lt;=K$3,1,0))))</f>
        <v>0</v>
      </c>
      <c r="L350" s="124" t="n">
        <f aca="false">J350*K350</f>
        <v>0</v>
      </c>
      <c r="M350" s="124" t="n">
        <f aca="false">SUM(J$280:J350)</f>
        <v>0</v>
      </c>
      <c r="N350" s="124" t="n">
        <f aca="false">SUM(J$6:J350)</f>
        <v>0</v>
      </c>
      <c r="P350" s="124" t="n">
        <f aca="false">D350/P$3</f>
        <v>0</v>
      </c>
      <c r="Q350" s="143" t="n">
        <f aca="false">E350/P$3</f>
        <v>0</v>
      </c>
      <c r="R350" s="124" t="n">
        <f aca="false">F350/R$3</f>
        <v>0</v>
      </c>
      <c r="S350" s="126" t="n">
        <f aca="false">J350/$R$3</f>
        <v>0</v>
      </c>
      <c r="T350" s="126" t="n">
        <f aca="false">L350/$R$3</f>
        <v>0</v>
      </c>
      <c r="U350" s="126" t="n">
        <f aca="false">I350/$R$3</f>
        <v>0</v>
      </c>
      <c r="V350" s="126" t="n">
        <f aca="false">M350/$R$3</f>
        <v>0</v>
      </c>
      <c r="W350" s="126" t="n">
        <f aca="false">N350/$R$3</f>
        <v>0</v>
      </c>
    </row>
    <row r="351" customFormat="false" ht="12.75" hidden="false" customHeight="false" outlineLevel="0" collapsed="false">
      <c r="A351" s="120" t="n">
        <f aca="false">A350+1</f>
        <v>37237</v>
      </c>
      <c r="B351" s="131" t="str">
        <f aca="false">INDEX('Master Data'!$A$2:$B$8,MATCH(WEEKDAY('SC Total Power'!A351,3),'Master Data'!$A$2:$A$8,0),2)</f>
        <v>W</v>
      </c>
      <c r="D351" s="124" t="n">
        <v>0</v>
      </c>
      <c r="E351" s="124" t="n">
        <v>0</v>
      </c>
      <c r="F351" s="124" t="n">
        <v>0</v>
      </c>
      <c r="G351" s="124" t="n">
        <v>0</v>
      </c>
      <c r="I351" s="124" t="n">
        <f aca="false">IF(MONTH($A351)=MONTH($A350),IF(G351=0,I350,G351),G351)</f>
        <v>0</v>
      </c>
      <c r="J351" s="124" t="n">
        <f aca="false">IF(MONTH($A351)=MONTH($A350),SUM(I351-I350),I351)</f>
        <v>0</v>
      </c>
      <c r="K351" s="124" t="n">
        <f aca="false">IF(WEEKDAY(A351,3)&gt;4,0,(IF(A351&lt;K$2,0,IF(A351&lt;=K$3,1,0))))</f>
        <v>0</v>
      </c>
      <c r="L351" s="124" t="n">
        <f aca="false">J351*K351</f>
        <v>0</v>
      </c>
      <c r="M351" s="124" t="n">
        <f aca="false">SUM(J$280:J351)</f>
        <v>0</v>
      </c>
      <c r="N351" s="124" t="n">
        <f aca="false">SUM(J$6:J351)</f>
        <v>0</v>
      </c>
      <c r="P351" s="124" t="n">
        <f aca="false">D351/P$3</f>
        <v>0</v>
      </c>
      <c r="Q351" s="143" t="n">
        <f aca="false">E351/P$3</f>
        <v>0</v>
      </c>
      <c r="R351" s="124" t="n">
        <f aca="false">F351/R$3</f>
        <v>0</v>
      </c>
      <c r="S351" s="126" t="n">
        <f aca="false">J351/$R$3</f>
        <v>0</v>
      </c>
      <c r="T351" s="126" t="n">
        <f aca="false">L351/$R$3</f>
        <v>0</v>
      </c>
      <c r="U351" s="126" t="n">
        <f aca="false">I351/$R$3</f>
        <v>0</v>
      </c>
      <c r="V351" s="126" t="n">
        <f aca="false">M351/$R$3</f>
        <v>0</v>
      </c>
      <c r="W351" s="126" t="n">
        <f aca="false">N351/$R$3</f>
        <v>0</v>
      </c>
    </row>
    <row r="352" customFormat="false" ht="12.75" hidden="false" customHeight="false" outlineLevel="0" collapsed="false">
      <c r="A352" s="120" t="n">
        <f aca="false">A351+1</f>
        <v>37238</v>
      </c>
      <c r="B352" s="131" t="str">
        <f aca="false">INDEX('Master Data'!$A$2:$B$8,MATCH(WEEKDAY('SC Total Power'!A352,3),'Master Data'!$A$2:$A$8,0),2)</f>
        <v>Th</v>
      </c>
      <c r="D352" s="124" t="n">
        <v>0</v>
      </c>
      <c r="E352" s="124" t="n">
        <v>0</v>
      </c>
      <c r="F352" s="124" t="n">
        <v>0</v>
      </c>
      <c r="G352" s="124" t="n">
        <v>0</v>
      </c>
      <c r="I352" s="124" t="n">
        <f aca="false">IF(MONTH($A352)=MONTH($A351),IF(G352=0,I351,G352),G352)</f>
        <v>0</v>
      </c>
      <c r="J352" s="124" t="n">
        <f aca="false">IF(MONTH($A352)=MONTH($A351),SUM(I352-I351),I352)</f>
        <v>0</v>
      </c>
      <c r="K352" s="124" t="n">
        <f aca="false">IF(WEEKDAY(A352,3)&gt;4,0,(IF(A352&lt;K$2,0,IF(A352&lt;=K$3,1,0))))</f>
        <v>0</v>
      </c>
      <c r="L352" s="124" t="n">
        <f aca="false">J352*K352</f>
        <v>0</v>
      </c>
      <c r="M352" s="124" t="n">
        <f aca="false">SUM(J$280:J352)</f>
        <v>0</v>
      </c>
      <c r="N352" s="124" t="n">
        <f aca="false">SUM(J$6:J352)</f>
        <v>0</v>
      </c>
      <c r="P352" s="124" t="n">
        <f aca="false">D352/P$3</f>
        <v>0</v>
      </c>
      <c r="Q352" s="143" t="n">
        <f aca="false">E352/P$3</f>
        <v>0</v>
      </c>
      <c r="R352" s="124" t="n">
        <f aca="false">F352/R$3</f>
        <v>0</v>
      </c>
      <c r="S352" s="126" t="n">
        <f aca="false">J352/$R$3</f>
        <v>0</v>
      </c>
      <c r="T352" s="126" t="n">
        <f aca="false">L352/$R$3</f>
        <v>0</v>
      </c>
      <c r="U352" s="126" t="n">
        <f aca="false">I352/$R$3</f>
        <v>0</v>
      </c>
      <c r="V352" s="126" t="n">
        <f aca="false">M352/$R$3</f>
        <v>0</v>
      </c>
      <c r="W352" s="126" t="n">
        <f aca="false">N352/$R$3</f>
        <v>0</v>
      </c>
    </row>
    <row r="353" customFormat="false" ht="12.75" hidden="false" customHeight="false" outlineLevel="0" collapsed="false">
      <c r="A353" s="120" t="n">
        <f aca="false">A352+1</f>
        <v>37239</v>
      </c>
      <c r="B353" s="131" t="str">
        <f aca="false">INDEX('Master Data'!$A$2:$B$8,MATCH(WEEKDAY('SC Total Power'!A353,3),'Master Data'!$A$2:$A$8,0),2)</f>
        <v>F</v>
      </c>
      <c r="D353" s="124" t="n">
        <v>0</v>
      </c>
      <c r="E353" s="124" t="n">
        <v>0</v>
      </c>
      <c r="F353" s="124" t="n">
        <v>0</v>
      </c>
      <c r="G353" s="124" t="n">
        <v>0</v>
      </c>
      <c r="I353" s="124" t="n">
        <f aca="false">IF(MONTH($A353)=MONTH($A352),IF(G353=0,I352,G353),G353)</f>
        <v>0</v>
      </c>
      <c r="J353" s="124" t="n">
        <f aca="false">IF(MONTH($A353)=MONTH($A352),SUM(I353-I352),I353)</f>
        <v>0</v>
      </c>
      <c r="K353" s="124" t="n">
        <f aca="false">IF(WEEKDAY(A353,3)&gt;4,0,(IF(A353&lt;K$2,0,IF(A353&lt;=K$3,1,0))))</f>
        <v>0</v>
      </c>
      <c r="L353" s="124" t="n">
        <f aca="false">J353*K353</f>
        <v>0</v>
      </c>
      <c r="M353" s="124" t="n">
        <f aca="false">SUM(J$280:J353)</f>
        <v>0</v>
      </c>
      <c r="N353" s="124" t="n">
        <f aca="false">SUM(J$6:J353)</f>
        <v>0</v>
      </c>
      <c r="P353" s="124" t="n">
        <f aca="false">D353/P$3</f>
        <v>0</v>
      </c>
      <c r="Q353" s="143" t="n">
        <f aca="false">E353/P$3</f>
        <v>0</v>
      </c>
      <c r="R353" s="124" t="n">
        <f aca="false">F353/R$3</f>
        <v>0</v>
      </c>
      <c r="S353" s="126" t="n">
        <f aca="false">J353/$R$3</f>
        <v>0</v>
      </c>
      <c r="T353" s="126" t="n">
        <f aca="false">L353/$R$3</f>
        <v>0</v>
      </c>
      <c r="U353" s="126" t="n">
        <f aca="false">I353/$R$3</f>
        <v>0</v>
      </c>
      <c r="V353" s="126" t="n">
        <f aca="false">M353/$R$3</f>
        <v>0</v>
      </c>
      <c r="W353" s="126" t="n">
        <f aca="false">N353/$R$3</f>
        <v>0</v>
      </c>
    </row>
    <row r="354" customFormat="false" ht="12.75" hidden="false" customHeight="false" outlineLevel="0" collapsed="false">
      <c r="A354" s="120" t="n">
        <f aca="false">A353+1</f>
        <v>37240</v>
      </c>
      <c r="B354" s="131" t="str">
        <f aca="false">INDEX('Master Data'!$A$2:$B$8,MATCH(WEEKDAY('SC Total Power'!A354,3),'Master Data'!$A$2:$A$8,0),2)</f>
        <v>Sa</v>
      </c>
      <c r="D354" s="124" t="n">
        <v>0</v>
      </c>
      <c r="E354" s="124" t="n">
        <v>0</v>
      </c>
      <c r="F354" s="124" t="n">
        <v>0</v>
      </c>
      <c r="G354" s="124" t="n">
        <v>0</v>
      </c>
      <c r="I354" s="124" t="n">
        <f aca="false">IF(MONTH($A354)=MONTH($A353),IF(G354=0,I353,G354),G354)</f>
        <v>0</v>
      </c>
      <c r="J354" s="124" t="n">
        <f aca="false">IF(MONTH($A354)=MONTH($A353),SUM(I354-I353),I354)</f>
        <v>0</v>
      </c>
      <c r="K354" s="124" t="n">
        <f aca="false">IF(WEEKDAY(A354,3)&gt;4,0,(IF(A354&lt;K$2,0,IF(A354&lt;=K$3,1,0))))</f>
        <v>0</v>
      </c>
      <c r="L354" s="124" t="n">
        <f aca="false">J354*K354</f>
        <v>0</v>
      </c>
      <c r="M354" s="124" t="n">
        <f aca="false">SUM(J$280:J354)</f>
        <v>0</v>
      </c>
      <c r="N354" s="124" t="n">
        <f aca="false">SUM(J$6:J354)</f>
        <v>0</v>
      </c>
      <c r="P354" s="124" t="n">
        <f aca="false">D354/P$3</f>
        <v>0</v>
      </c>
      <c r="Q354" s="143" t="n">
        <f aca="false">E354/P$3</f>
        <v>0</v>
      </c>
      <c r="R354" s="124" t="n">
        <f aca="false">F354/R$3</f>
        <v>0</v>
      </c>
      <c r="S354" s="126" t="n">
        <f aca="false">J354/$R$3</f>
        <v>0</v>
      </c>
      <c r="T354" s="126" t="n">
        <f aca="false">L354/$R$3</f>
        <v>0</v>
      </c>
      <c r="U354" s="126" t="n">
        <f aca="false">I354/$R$3</f>
        <v>0</v>
      </c>
      <c r="V354" s="126" t="n">
        <f aca="false">M354/$R$3</f>
        <v>0</v>
      </c>
      <c r="W354" s="126" t="n">
        <f aca="false">N354/$R$3</f>
        <v>0</v>
      </c>
    </row>
    <row r="355" customFormat="false" ht="12.75" hidden="false" customHeight="false" outlineLevel="0" collapsed="false">
      <c r="A355" s="120" t="n">
        <f aca="false">A354+1</f>
        <v>37241</v>
      </c>
      <c r="B355" s="131" t="str">
        <f aca="false">INDEX('Master Data'!$A$2:$B$8,MATCH(WEEKDAY('SC Total Power'!A355,3),'Master Data'!$A$2:$A$8,0),2)</f>
        <v>Su</v>
      </c>
      <c r="D355" s="124" t="n">
        <v>0</v>
      </c>
      <c r="E355" s="124" t="n">
        <v>0</v>
      </c>
      <c r="F355" s="124" t="n">
        <v>0</v>
      </c>
      <c r="G355" s="124" t="n">
        <v>0</v>
      </c>
      <c r="I355" s="124" t="n">
        <f aca="false">IF(MONTH($A355)=MONTH($A354),IF(G355=0,I354,G355),G355)</f>
        <v>0</v>
      </c>
      <c r="J355" s="124" t="n">
        <f aca="false">IF(MONTH($A355)=MONTH($A354),SUM(I355-I354),I355)</f>
        <v>0</v>
      </c>
      <c r="K355" s="124" t="n">
        <f aca="false">IF(WEEKDAY(A355,3)&gt;4,0,(IF(A355&lt;K$2,0,IF(A355&lt;=K$3,1,0))))</f>
        <v>0</v>
      </c>
      <c r="L355" s="124" t="n">
        <f aca="false">J355*K355</f>
        <v>0</v>
      </c>
      <c r="M355" s="124" t="n">
        <f aca="false">SUM(J$280:J355)</f>
        <v>0</v>
      </c>
      <c r="N355" s="124" t="n">
        <f aca="false">SUM(J$6:J355)</f>
        <v>0</v>
      </c>
      <c r="P355" s="124" t="n">
        <f aca="false">D355/P$3</f>
        <v>0</v>
      </c>
      <c r="Q355" s="143" t="n">
        <f aca="false">E355/P$3</f>
        <v>0</v>
      </c>
      <c r="R355" s="124" t="n">
        <f aca="false">F355/R$3</f>
        <v>0</v>
      </c>
      <c r="S355" s="126" t="n">
        <f aca="false">J355/$R$3</f>
        <v>0</v>
      </c>
      <c r="T355" s="126" t="n">
        <f aca="false">L355/$R$3</f>
        <v>0</v>
      </c>
      <c r="U355" s="126" t="n">
        <f aca="false">I355/$R$3</f>
        <v>0</v>
      </c>
      <c r="V355" s="126" t="n">
        <f aca="false">M355/$R$3</f>
        <v>0</v>
      </c>
      <c r="W355" s="126" t="n">
        <f aca="false">N355/$R$3</f>
        <v>0</v>
      </c>
    </row>
    <row r="356" customFormat="false" ht="12.75" hidden="false" customHeight="false" outlineLevel="0" collapsed="false">
      <c r="A356" s="120" t="n">
        <f aca="false">A355+1</f>
        <v>37242</v>
      </c>
      <c r="B356" s="131" t="str">
        <f aca="false">INDEX('Master Data'!$A$2:$B$8,MATCH(WEEKDAY('SC Total Power'!A356,3),'Master Data'!$A$2:$A$8,0),2)</f>
        <v>M</v>
      </c>
      <c r="D356" s="124" t="n">
        <v>0</v>
      </c>
      <c r="E356" s="124" t="n">
        <v>0</v>
      </c>
      <c r="F356" s="124" t="n">
        <v>0</v>
      </c>
      <c r="G356" s="124" t="n">
        <v>0</v>
      </c>
      <c r="I356" s="124" t="n">
        <f aca="false">IF(MONTH($A356)=MONTH($A355),IF(G356=0,I355,G356),G356)</f>
        <v>0</v>
      </c>
      <c r="J356" s="124" t="n">
        <f aca="false">IF(MONTH($A356)=MONTH($A355),SUM(I356-I355),I356)</f>
        <v>0</v>
      </c>
      <c r="K356" s="124" t="n">
        <f aca="false">IF(WEEKDAY(A356,3)&gt;4,0,(IF(A356&lt;K$2,0,IF(A356&lt;=K$3,1,0))))</f>
        <v>0</v>
      </c>
      <c r="L356" s="124" t="n">
        <f aca="false">J356*K356</f>
        <v>0</v>
      </c>
      <c r="M356" s="124" t="n">
        <f aca="false">SUM(J$280:J356)</f>
        <v>0</v>
      </c>
      <c r="N356" s="124" t="n">
        <f aca="false">SUM(J$6:J356)</f>
        <v>0</v>
      </c>
      <c r="P356" s="124" t="n">
        <f aca="false">D356/P$3</f>
        <v>0</v>
      </c>
      <c r="Q356" s="143" t="n">
        <f aca="false">E356/P$3</f>
        <v>0</v>
      </c>
      <c r="R356" s="124" t="n">
        <f aca="false">F356/R$3</f>
        <v>0</v>
      </c>
      <c r="S356" s="126" t="n">
        <f aca="false">J356/$R$3</f>
        <v>0</v>
      </c>
      <c r="T356" s="126" t="n">
        <f aca="false">L356/$R$3</f>
        <v>0</v>
      </c>
      <c r="U356" s="126" t="n">
        <f aca="false">I356/$R$3</f>
        <v>0</v>
      </c>
      <c r="V356" s="126" t="n">
        <f aca="false">M356/$R$3</f>
        <v>0</v>
      </c>
      <c r="W356" s="126" t="n">
        <f aca="false">N356/$R$3</f>
        <v>0</v>
      </c>
    </row>
    <row r="357" customFormat="false" ht="12.75" hidden="false" customHeight="false" outlineLevel="0" collapsed="false">
      <c r="A357" s="120" t="n">
        <f aca="false">A356+1</f>
        <v>37243</v>
      </c>
      <c r="B357" s="131" t="str">
        <f aca="false">INDEX('Master Data'!$A$2:$B$8,MATCH(WEEKDAY('SC Total Power'!A357,3),'Master Data'!$A$2:$A$8,0),2)</f>
        <v>T</v>
      </c>
      <c r="D357" s="124" t="n">
        <v>0</v>
      </c>
      <c r="E357" s="124" t="n">
        <v>0</v>
      </c>
      <c r="F357" s="124" t="n">
        <v>0</v>
      </c>
      <c r="G357" s="124" t="n">
        <v>0</v>
      </c>
      <c r="I357" s="124" t="n">
        <f aca="false">IF(MONTH($A357)=MONTH($A356),IF(G357=0,I356,G357),G357)</f>
        <v>0</v>
      </c>
      <c r="J357" s="124" t="n">
        <f aca="false">IF(MONTH($A357)=MONTH($A356),SUM(I357-I356),I357)</f>
        <v>0</v>
      </c>
      <c r="K357" s="124" t="n">
        <f aca="false">IF(WEEKDAY(A357,3)&gt;4,0,(IF(A357&lt;K$2,0,IF(A357&lt;=K$3,1,0))))</f>
        <v>0</v>
      </c>
      <c r="L357" s="124" t="n">
        <f aca="false">J357*K357</f>
        <v>0</v>
      </c>
      <c r="M357" s="124" t="n">
        <f aca="false">SUM(J$280:J357)</f>
        <v>0</v>
      </c>
      <c r="N357" s="124" t="n">
        <f aca="false">SUM(J$6:J357)</f>
        <v>0</v>
      </c>
      <c r="P357" s="124" t="n">
        <f aca="false">D357/P$3</f>
        <v>0</v>
      </c>
      <c r="Q357" s="143" t="n">
        <f aca="false">E357/P$3</f>
        <v>0</v>
      </c>
      <c r="R357" s="124" t="n">
        <f aca="false">F357/R$3</f>
        <v>0</v>
      </c>
      <c r="S357" s="126" t="n">
        <f aca="false">J357/$R$3</f>
        <v>0</v>
      </c>
      <c r="T357" s="126" t="n">
        <f aca="false">L357/$R$3</f>
        <v>0</v>
      </c>
      <c r="U357" s="126" t="n">
        <f aca="false">I357/$R$3</f>
        <v>0</v>
      </c>
      <c r="V357" s="126" t="n">
        <f aca="false">M357/$R$3</f>
        <v>0</v>
      </c>
      <c r="W357" s="126" t="n">
        <f aca="false">N357/$R$3</f>
        <v>0</v>
      </c>
    </row>
    <row r="358" customFormat="false" ht="12.75" hidden="false" customHeight="false" outlineLevel="0" collapsed="false">
      <c r="A358" s="120" t="n">
        <f aca="false">A357+1</f>
        <v>37244</v>
      </c>
      <c r="B358" s="131" t="str">
        <f aca="false">INDEX('Master Data'!$A$2:$B$8,MATCH(WEEKDAY('SC Total Power'!A358,3),'Master Data'!$A$2:$A$8,0),2)</f>
        <v>W</v>
      </c>
      <c r="D358" s="124" t="n">
        <v>0</v>
      </c>
      <c r="E358" s="124" t="n">
        <v>0</v>
      </c>
      <c r="F358" s="124" t="n">
        <v>0</v>
      </c>
      <c r="G358" s="124" t="n">
        <v>0</v>
      </c>
      <c r="I358" s="124" t="n">
        <f aca="false">IF(MONTH($A358)=MONTH($A357),IF(G358=0,I357,G358),G358)</f>
        <v>0</v>
      </c>
      <c r="J358" s="124" t="n">
        <f aca="false">IF(MONTH($A358)=MONTH($A357),SUM(I358-I357),I358)</f>
        <v>0</v>
      </c>
      <c r="K358" s="124" t="n">
        <f aca="false">IF(WEEKDAY(A358,3)&gt;4,0,(IF(A358&lt;K$2,0,IF(A358&lt;=K$3,1,0))))</f>
        <v>0</v>
      </c>
      <c r="L358" s="124" t="n">
        <f aca="false">J358*K358</f>
        <v>0</v>
      </c>
      <c r="M358" s="124" t="n">
        <f aca="false">SUM(J$280:J358)</f>
        <v>0</v>
      </c>
      <c r="N358" s="124" t="n">
        <f aca="false">SUM(J$6:J358)</f>
        <v>0</v>
      </c>
      <c r="P358" s="124" t="n">
        <f aca="false">D358/P$3</f>
        <v>0</v>
      </c>
      <c r="Q358" s="143" t="n">
        <f aca="false">E358/P$3</f>
        <v>0</v>
      </c>
      <c r="R358" s="124" t="n">
        <f aca="false">F358/R$3</f>
        <v>0</v>
      </c>
      <c r="S358" s="126" t="n">
        <f aca="false">J358/$R$3</f>
        <v>0</v>
      </c>
      <c r="T358" s="126" t="n">
        <f aca="false">L358/$R$3</f>
        <v>0</v>
      </c>
      <c r="U358" s="126" t="n">
        <f aca="false">I358/$R$3</f>
        <v>0</v>
      </c>
      <c r="V358" s="126" t="n">
        <f aca="false">M358/$R$3</f>
        <v>0</v>
      </c>
      <c r="W358" s="126" t="n">
        <f aca="false">N358/$R$3</f>
        <v>0</v>
      </c>
    </row>
    <row r="359" customFormat="false" ht="12.75" hidden="false" customHeight="false" outlineLevel="0" collapsed="false">
      <c r="A359" s="120" t="n">
        <f aca="false">A358+1</f>
        <v>37245</v>
      </c>
      <c r="B359" s="131" t="str">
        <f aca="false">INDEX('Master Data'!$A$2:$B$8,MATCH(WEEKDAY('SC Total Power'!A359,3),'Master Data'!$A$2:$A$8,0),2)</f>
        <v>Th</v>
      </c>
      <c r="D359" s="124" t="n">
        <v>0</v>
      </c>
      <c r="E359" s="124" t="n">
        <v>0</v>
      </c>
      <c r="F359" s="124" t="n">
        <v>0</v>
      </c>
      <c r="G359" s="124" t="n">
        <v>0</v>
      </c>
      <c r="I359" s="124" t="n">
        <f aca="false">IF(MONTH($A359)=MONTH($A358),IF(G359=0,I358,G359),G359)</f>
        <v>0</v>
      </c>
      <c r="J359" s="124" t="n">
        <f aca="false">IF(MONTH($A359)=MONTH($A358),SUM(I359-I358),I359)</f>
        <v>0</v>
      </c>
      <c r="K359" s="124" t="n">
        <f aca="false">IF(WEEKDAY(A359,3)&gt;4,0,(IF(A359&lt;K$2,0,IF(A359&lt;=K$3,1,0))))</f>
        <v>0</v>
      </c>
      <c r="L359" s="124" t="n">
        <f aca="false">J359*K359</f>
        <v>0</v>
      </c>
      <c r="M359" s="124" t="n">
        <f aca="false">SUM(J$280:J359)</f>
        <v>0</v>
      </c>
      <c r="N359" s="124" t="n">
        <f aca="false">SUM(J$6:J359)</f>
        <v>0</v>
      </c>
      <c r="P359" s="124" t="n">
        <f aca="false">D359/P$3</f>
        <v>0</v>
      </c>
      <c r="Q359" s="143" t="n">
        <f aca="false">E359/P$3</f>
        <v>0</v>
      </c>
      <c r="R359" s="124" t="n">
        <f aca="false">F359/R$3</f>
        <v>0</v>
      </c>
      <c r="S359" s="126" t="n">
        <f aca="false">J359/$R$3</f>
        <v>0</v>
      </c>
      <c r="T359" s="126" t="n">
        <f aca="false">L359/$R$3</f>
        <v>0</v>
      </c>
      <c r="U359" s="126" t="n">
        <f aca="false">I359/$R$3</f>
        <v>0</v>
      </c>
      <c r="V359" s="126" t="n">
        <f aca="false">M359/$R$3</f>
        <v>0</v>
      </c>
      <c r="W359" s="126" t="n">
        <f aca="false">N359/$R$3</f>
        <v>0</v>
      </c>
    </row>
    <row r="360" customFormat="false" ht="12.75" hidden="false" customHeight="false" outlineLevel="0" collapsed="false">
      <c r="A360" s="120" t="n">
        <f aca="false">A359+1</f>
        <v>37246</v>
      </c>
      <c r="B360" s="131" t="str">
        <f aca="false">INDEX('Master Data'!$A$2:$B$8,MATCH(WEEKDAY('SC Total Power'!A360,3),'Master Data'!$A$2:$A$8,0),2)</f>
        <v>F</v>
      </c>
      <c r="D360" s="124" t="n">
        <v>0</v>
      </c>
      <c r="E360" s="124" t="n">
        <v>0</v>
      </c>
      <c r="F360" s="124" t="n">
        <v>0</v>
      </c>
      <c r="G360" s="124" t="n">
        <v>0</v>
      </c>
      <c r="I360" s="124" t="n">
        <f aca="false">IF(MONTH($A360)=MONTH($A359),IF(G360=0,I359,G360),G360)</f>
        <v>0</v>
      </c>
      <c r="J360" s="124" t="n">
        <f aca="false">IF(MONTH($A360)=MONTH($A359),SUM(I360-I359),I360)</f>
        <v>0</v>
      </c>
      <c r="K360" s="124" t="n">
        <f aca="false">IF(WEEKDAY(A360,3)&gt;4,0,(IF(A360&lt;K$2,0,IF(A360&lt;=K$3,1,0))))</f>
        <v>0</v>
      </c>
      <c r="L360" s="124" t="n">
        <f aca="false">J360*K360</f>
        <v>0</v>
      </c>
      <c r="M360" s="124" t="n">
        <f aca="false">SUM(J$280:J360)</f>
        <v>0</v>
      </c>
      <c r="N360" s="124" t="n">
        <f aca="false">SUM(J$6:J360)</f>
        <v>0</v>
      </c>
      <c r="P360" s="124" t="n">
        <f aca="false">D360/P$3</f>
        <v>0</v>
      </c>
      <c r="Q360" s="143" t="n">
        <f aca="false">E360/P$3</f>
        <v>0</v>
      </c>
      <c r="R360" s="124" t="n">
        <f aca="false">F360/R$3</f>
        <v>0</v>
      </c>
      <c r="S360" s="126" t="n">
        <f aca="false">J360/$R$3</f>
        <v>0</v>
      </c>
      <c r="T360" s="126" t="n">
        <f aca="false">L360/$R$3</f>
        <v>0</v>
      </c>
      <c r="U360" s="126" t="n">
        <f aca="false">I360/$R$3</f>
        <v>0</v>
      </c>
      <c r="V360" s="126" t="n">
        <f aca="false">M360/$R$3</f>
        <v>0</v>
      </c>
      <c r="W360" s="126" t="n">
        <f aca="false">N360/$R$3</f>
        <v>0</v>
      </c>
    </row>
    <row r="361" customFormat="false" ht="12.75" hidden="false" customHeight="false" outlineLevel="0" collapsed="false">
      <c r="A361" s="120" t="n">
        <f aca="false">A360+1</f>
        <v>37247</v>
      </c>
      <c r="B361" s="131" t="str">
        <f aca="false">INDEX('Master Data'!$A$2:$B$8,MATCH(WEEKDAY('SC Total Power'!A361,3),'Master Data'!$A$2:$A$8,0),2)</f>
        <v>Sa</v>
      </c>
      <c r="D361" s="124" t="n">
        <v>0</v>
      </c>
      <c r="E361" s="124" t="n">
        <v>0</v>
      </c>
      <c r="F361" s="124" t="n">
        <v>0</v>
      </c>
      <c r="G361" s="124" t="n">
        <v>0</v>
      </c>
      <c r="I361" s="124" t="n">
        <f aca="false">IF(MONTH($A361)=MONTH($A360),IF(G361=0,I360,G361),G361)</f>
        <v>0</v>
      </c>
      <c r="J361" s="124" t="n">
        <f aca="false">IF(MONTH($A361)=MONTH($A360),SUM(I361-I360),I361)</f>
        <v>0</v>
      </c>
      <c r="K361" s="124" t="n">
        <f aca="false">IF(WEEKDAY(A361,3)&gt;4,0,(IF(A361&lt;K$2,0,IF(A361&lt;=K$3,1,0))))</f>
        <v>0</v>
      </c>
      <c r="L361" s="124" t="n">
        <f aca="false">J361*K361</f>
        <v>0</v>
      </c>
      <c r="M361" s="124" t="n">
        <f aca="false">SUM(J$280:J361)</f>
        <v>0</v>
      </c>
      <c r="N361" s="124" t="n">
        <f aca="false">SUM(J$6:J361)</f>
        <v>0</v>
      </c>
      <c r="P361" s="124" t="n">
        <f aca="false">D361/P$3</f>
        <v>0</v>
      </c>
      <c r="Q361" s="143" t="n">
        <f aca="false">E361/P$3</f>
        <v>0</v>
      </c>
      <c r="R361" s="124" t="n">
        <f aca="false">F361/R$3</f>
        <v>0</v>
      </c>
      <c r="S361" s="126" t="n">
        <f aca="false">J361/$R$3</f>
        <v>0</v>
      </c>
      <c r="T361" s="126" t="n">
        <f aca="false">L361/$R$3</f>
        <v>0</v>
      </c>
      <c r="U361" s="126" t="n">
        <f aca="false">I361/$R$3</f>
        <v>0</v>
      </c>
      <c r="V361" s="126" t="n">
        <f aca="false">M361/$R$3</f>
        <v>0</v>
      </c>
      <c r="W361" s="126" t="n">
        <f aca="false">N361/$R$3</f>
        <v>0</v>
      </c>
    </row>
    <row r="362" customFormat="false" ht="12.75" hidden="false" customHeight="false" outlineLevel="0" collapsed="false">
      <c r="A362" s="120" t="n">
        <f aca="false">A361+1</f>
        <v>37248</v>
      </c>
      <c r="B362" s="131" t="str">
        <f aca="false">INDEX('Master Data'!$A$2:$B$8,MATCH(WEEKDAY('SC Total Power'!A362,3),'Master Data'!$A$2:$A$8,0),2)</f>
        <v>Su</v>
      </c>
      <c r="D362" s="124" t="n">
        <v>0</v>
      </c>
      <c r="E362" s="124" t="n">
        <v>0</v>
      </c>
      <c r="F362" s="124" t="n">
        <v>0</v>
      </c>
      <c r="G362" s="124" t="n">
        <v>0</v>
      </c>
      <c r="I362" s="124" t="n">
        <f aca="false">IF(MONTH($A362)=MONTH($A361),IF(G362=0,I361,G362),G362)</f>
        <v>0</v>
      </c>
      <c r="J362" s="124" t="n">
        <f aca="false">IF(MONTH($A362)=MONTH($A361),SUM(I362-I361),I362)</f>
        <v>0</v>
      </c>
      <c r="K362" s="124" t="n">
        <f aca="false">IF(WEEKDAY(A362,3)&gt;4,0,(IF(A362&lt;K$2,0,IF(A362&lt;=K$3,1,0))))</f>
        <v>0</v>
      </c>
      <c r="L362" s="124" t="n">
        <f aca="false">J362*K362</f>
        <v>0</v>
      </c>
      <c r="M362" s="124" t="n">
        <f aca="false">SUM(J$280:J362)</f>
        <v>0</v>
      </c>
      <c r="N362" s="124" t="n">
        <f aca="false">SUM(J$6:J362)</f>
        <v>0</v>
      </c>
      <c r="P362" s="124" t="n">
        <f aca="false">D362/P$3</f>
        <v>0</v>
      </c>
      <c r="Q362" s="143" t="n">
        <f aca="false">E362/P$3</f>
        <v>0</v>
      </c>
      <c r="R362" s="124" t="n">
        <f aca="false">F362/R$3</f>
        <v>0</v>
      </c>
      <c r="S362" s="126" t="n">
        <f aca="false">J362/$R$3</f>
        <v>0</v>
      </c>
      <c r="T362" s="126" t="n">
        <f aca="false">L362/$R$3</f>
        <v>0</v>
      </c>
      <c r="U362" s="126" t="n">
        <f aca="false">I362/$R$3</f>
        <v>0</v>
      </c>
      <c r="V362" s="126" t="n">
        <f aca="false">M362/$R$3</f>
        <v>0</v>
      </c>
      <c r="W362" s="126" t="n">
        <f aca="false">N362/$R$3</f>
        <v>0</v>
      </c>
    </row>
    <row r="363" customFormat="false" ht="12.75" hidden="false" customHeight="false" outlineLevel="0" collapsed="false">
      <c r="A363" s="120" t="n">
        <f aca="false">A362+1</f>
        <v>37249</v>
      </c>
      <c r="B363" s="131" t="str">
        <f aca="false">INDEX('Master Data'!$A$2:$B$8,MATCH(WEEKDAY('SC Total Power'!A363,3),'Master Data'!$A$2:$A$8,0),2)</f>
        <v>M</v>
      </c>
      <c r="D363" s="124" t="n">
        <v>0</v>
      </c>
      <c r="E363" s="124" t="n">
        <v>0</v>
      </c>
      <c r="F363" s="124" t="n">
        <v>0</v>
      </c>
      <c r="G363" s="124" t="n">
        <v>0</v>
      </c>
      <c r="I363" s="124" t="n">
        <f aca="false">IF(MONTH($A363)=MONTH($A362),IF(G363=0,I362,G363),G363)</f>
        <v>0</v>
      </c>
      <c r="J363" s="124" t="n">
        <f aca="false">IF(MONTH($A363)=MONTH($A362),SUM(I363-I362),I363)</f>
        <v>0</v>
      </c>
      <c r="K363" s="124" t="n">
        <f aca="false">IF(WEEKDAY(A363,3)&gt;4,0,(IF(A363&lt;K$2,0,IF(A363&lt;=K$3,1,0))))</f>
        <v>0</v>
      </c>
      <c r="L363" s="124" t="n">
        <f aca="false">J363*K363</f>
        <v>0</v>
      </c>
      <c r="M363" s="124" t="n">
        <f aca="false">SUM(J$280:J363)</f>
        <v>0</v>
      </c>
      <c r="N363" s="124" t="n">
        <f aca="false">SUM(J$6:J363)</f>
        <v>0</v>
      </c>
      <c r="P363" s="124" t="n">
        <f aca="false">D363/P$3</f>
        <v>0</v>
      </c>
      <c r="Q363" s="143" t="n">
        <f aca="false">E363/P$3</f>
        <v>0</v>
      </c>
      <c r="R363" s="124" t="n">
        <f aca="false">F363/R$3</f>
        <v>0</v>
      </c>
      <c r="S363" s="126" t="n">
        <f aca="false">J363/$R$3</f>
        <v>0</v>
      </c>
      <c r="T363" s="126" t="n">
        <f aca="false">L363/$R$3</f>
        <v>0</v>
      </c>
      <c r="U363" s="126" t="n">
        <f aca="false">I363/$R$3</f>
        <v>0</v>
      </c>
      <c r="V363" s="126" t="n">
        <f aca="false">M363/$R$3</f>
        <v>0</v>
      </c>
      <c r="W363" s="126" t="n">
        <f aca="false">N363/$R$3</f>
        <v>0</v>
      </c>
    </row>
    <row r="364" customFormat="false" ht="12.75" hidden="false" customHeight="false" outlineLevel="0" collapsed="false">
      <c r="A364" s="120" t="n">
        <f aca="false">A363+1</f>
        <v>37250</v>
      </c>
      <c r="B364" s="131" t="str">
        <f aca="false">INDEX('Master Data'!$A$2:$B$8,MATCH(WEEKDAY('SC Total Power'!A364,3),'Master Data'!$A$2:$A$8,0),2)</f>
        <v>T</v>
      </c>
      <c r="D364" s="124" t="n">
        <v>0</v>
      </c>
      <c r="E364" s="124" t="n">
        <v>0</v>
      </c>
      <c r="F364" s="124" t="n">
        <v>0</v>
      </c>
      <c r="G364" s="124" t="n">
        <v>0</v>
      </c>
      <c r="I364" s="124" t="n">
        <f aca="false">IF(MONTH($A364)=MONTH($A363),IF(G364=0,I363,G364),G364)</f>
        <v>0</v>
      </c>
      <c r="J364" s="124" t="n">
        <f aca="false">IF(MONTH($A364)=MONTH($A363),SUM(I364-I363),I364)</f>
        <v>0</v>
      </c>
      <c r="K364" s="124" t="n">
        <f aca="false">IF(WEEKDAY(A364,3)&gt;4,0,(IF(A364&lt;K$2,0,IF(A364&lt;=K$3,1,0))))</f>
        <v>0</v>
      </c>
      <c r="L364" s="124" t="n">
        <f aca="false">J364*K364</f>
        <v>0</v>
      </c>
      <c r="M364" s="124" t="n">
        <f aca="false">SUM(J$280:J364)</f>
        <v>0</v>
      </c>
      <c r="N364" s="124" t="n">
        <f aca="false">SUM(J$6:J364)</f>
        <v>0</v>
      </c>
      <c r="P364" s="124" t="n">
        <f aca="false">D364/P$3</f>
        <v>0</v>
      </c>
      <c r="Q364" s="143" t="n">
        <f aca="false">E364/P$3</f>
        <v>0</v>
      </c>
      <c r="R364" s="124" t="n">
        <f aca="false">F364/R$3</f>
        <v>0</v>
      </c>
      <c r="S364" s="126" t="n">
        <f aca="false">J364/$R$3</f>
        <v>0</v>
      </c>
      <c r="T364" s="126" t="n">
        <f aca="false">L364/$R$3</f>
        <v>0</v>
      </c>
      <c r="U364" s="126" t="n">
        <f aca="false">I364/$R$3</f>
        <v>0</v>
      </c>
      <c r="V364" s="126" t="n">
        <f aca="false">M364/$R$3</f>
        <v>0</v>
      </c>
      <c r="W364" s="126" t="n">
        <f aca="false">N364/$R$3</f>
        <v>0</v>
      </c>
    </row>
    <row r="365" customFormat="false" ht="12.75" hidden="false" customHeight="false" outlineLevel="0" collapsed="false">
      <c r="A365" s="120" t="n">
        <f aca="false">A364+1</f>
        <v>37251</v>
      </c>
      <c r="B365" s="131" t="str">
        <f aca="false">INDEX('Master Data'!$A$2:$B$8,MATCH(WEEKDAY('SC Total Power'!A365,3),'Master Data'!$A$2:$A$8,0),2)</f>
        <v>W</v>
      </c>
      <c r="D365" s="124" t="n">
        <v>0</v>
      </c>
      <c r="E365" s="124" t="n">
        <v>0</v>
      </c>
      <c r="F365" s="124" t="n">
        <v>0</v>
      </c>
      <c r="G365" s="124" t="n">
        <v>0</v>
      </c>
      <c r="I365" s="124" t="n">
        <f aca="false">IF(MONTH($A365)=MONTH($A364),IF(G365=0,I364,G365),G365)</f>
        <v>0</v>
      </c>
      <c r="J365" s="124" t="n">
        <f aca="false">IF(MONTH($A365)=MONTH($A364),SUM(I365-I364),I365)</f>
        <v>0</v>
      </c>
      <c r="K365" s="124" t="n">
        <f aca="false">IF(WEEKDAY(A365,3)&gt;4,0,(IF(A365&lt;K$2,0,IF(A365&lt;=K$3,1,0))))</f>
        <v>0</v>
      </c>
      <c r="L365" s="124" t="n">
        <f aca="false">J365*K365</f>
        <v>0</v>
      </c>
      <c r="M365" s="124" t="n">
        <f aca="false">SUM(J$280:J365)</f>
        <v>0</v>
      </c>
      <c r="N365" s="124" t="n">
        <f aca="false">SUM(J$6:J365)</f>
        <v>0</v>
      </c>
      <c r="P365" s="124" t="n">
        <f aca="false">D365/P$3</f>
        <v>0</v>
      </c>
      <c r="Q365" s="143" t="n">
        <f aca="false">E365/P$3</f>
        <v>0</v>
      </c>
      <c r="R365" s="124" t="n">
        <f aca="false">F365/R$3</f>
        <v>0</v>
      </c>
      <c r="S365" s="126" t="n">
        <f aca="false">J365/$R$3</f>
        <v>0</v>
      </c>
      <c r="T365" s="126" t="n">
        <f aca="false">L365/$R$3</f>
        <v>0</v>
      </c>
      <c r="U365" s="126" t="n">
        <f aca="false">I365/$R$3</f>
        <v>0</v>
      </c>
      <c r="V365" s="126" t="n">
        <f aca="false">M365/$R$3</f>
        <v>0</v>
      </c>
      <c r="W365" s="126" t="n">
        <f aca="false">N365/$R$3</f>
        <v>0</v>
      </c>
    </row>
    <row r="366" customFormat="false" ht="12.75" hidden="false" customHeight="false" outlineLevel="0" collapsed="false">
      <c r="A366" s="120" t="n">
        <f aca="false">A365+1</f>
        <v>37252</v>
      </c>
      <c r="B366" s="131" t="str">
        <f aca="false">INDEX('Master Data'!$A$2:$B$8,MATCH(WEEKDAY('SC Total Power'!A366,3),'Master Data'!$A$2:$A$8,0),2)</f>
        <v>Th</v>
      </c>
      <c r="D366" s="124" t="n">
        <v>0</v>
      </c>
      <c r="E366" s="124" t="n">
        <v>0</v>
      </c>
      <c r="F366" s="124" t="n">
        <v>0</v>
      </c>
      <c r="G366" s="124" t="n">
        <v>0</v>
      </c>
      <c r="I366" s="124" t="n">
        <f aca="false">IF(MONTH($A366)=MONTH($A365),IF(G366=0,I365,G366),G366)</f>
        <v>0</v>
      </c>
      <c r="J366" s="124" t="n">
        <f aca="false">IF(MONTH($A366)=MONTH($A365),SUM(I366-I365),I366)</f>
        <v>0</v>
      </c>
      <c r="K366" s="124" t="n">
        <f aca="false">IF(WEEKDAY(A366,3)&gt;4,0,(IF(A366&lt;K$2,0,IF(A366&lt;=K$3,1,0))))</f>
        <v>0</v>
      </c>
      <c r="L366" s="124" t="n">
        <f aca="false">J366*K366</f>
        <v>0</v>
      </c>
      <c r="M366" s="124" t="n">
        <f aca="false">SUM(J$280:J366)</f>
        <v>0</v>
      </c>
      <c r="N366" s="124" t="n">
        <f aca="false">SUM(J$6:J366)</f>
        <v>0</v>
      </c>
      <c r="P366" s="124" t="n">
        <f aca="false">D366/P$3</f>
        <v>0</v>
      </c>
      <c r="Q366" s="143" t="n">
        <f aca="false">E366/P$3</f>
        <v>0</v>
      </c>
      <c r="R366" s="124" t="n">
        <f aca="false">F366/R$3</f>
        <v>0</v>
      </c>
      <c r="S366" s="126" t="n">
        <f aca="false">J366/$R$3</f>
        <v>0</v>
      </c>
      <c r="T366" s="126" t="n">
        <f aca="false">L366/$R$3</f>
        <v>0</v>
      </c>
      <c r="U366" s="126" t="n">
        <f aca="false">I366/$R$3</f>
        <v>0</v>
      </c>
      <c r="V366" s="126" t="n">
        <f aca="false">M366/$R$3</f>
        <v>0</v>
      </c>
      <c r="W366" s="126" t="n">
        <f aca="false">N366/$R$3</f>
        <v>0</v>
      </c>
    </row>
    <row r="367" customFormat="false" ht="12.75" hidden="false" customHeight="false" outlineLevel="0" collapsed="false">
      <c r="A367" s="120" t="n">
        <f aca="false">A366+1</f>
        <v>37253</v>
      </c>
      <c r="B367" s="131" t="str">
        <f aca="false">INDEX('Master Data'!$A$2:$B$8,MATCH(WEEKDAY('SC Total Power'!A367,3),'Master Data'!$A$2:$A$8,0),2)</f>
        <v>F</v>
      </c>
      <c r="D367" s="124" t="n">
        <v>0</v>
      </c>
      <c r="E367" s="124" t="n">
        <v>0</v>
      </c>
      <c r="F367" s="124" t="n">
        <v>0</v>
      </c>
      <c r="G367" s="124" t="n">
        <v>0</v>
      </c>
      <c r="I367" s="124" t="n">
        <f aca="false">IF(MONTH($A367)=MONTH($A366),IF(G367=0,I366,G367),G367)</f>
        <v>0</v>
      </c>
      <c r="J367" s="124" t="n">
        <f aca="false">IF(MONTH($A367)=MONTH($A366),SUM(I367-I366),I367)</f>
        <v>0</v>
      </c>
      <c r="K367" s="124" t="n">
        <f aca="false">IF(WEEKDAY(A367,3)&gt;4,0,(IF(A367&lt;K$2,0,IF(A367&lt;=K$3,1,0))))</f>
        <v>0</v>
      </c>
      <c r="L367" s="124" t="n">
        <f aca="false">J367*K367</f>
        <v>0</v>
      </c>
      <c r="M367" s="124" t="n">
        <f aca="false">SUM(J$280:J367)</f>
        <v>0</v>
      </c>
      <c r="N367" s="124" t="n">
        <f aca="false">SUM(J$6:J367)</f>
        <v>0</v>
      </c>
      <c r="P367" s="124" t="n">
        <f aca="false">D367/P$3</f>
        <v>0</v>
      </c>
      <c r="Q367" s="143" t="n">
        <f aca="false">E367/P$3</f>
        <v>0</v>
      </c>
      <c r="R367" s="124" t="n">
        <f aca="false">F367/R$3</f>
        <v>0</v>
      </c>
      <c r="S367" s="126" t="n">
        <f aca="false">J367/$R$3</f>
        <v>0</v>
      </c>
      <c r="T367" s="126" t="n">
        <f aca="false">L367/$R$3</f>
        <v>0</v>
      </c>
      <c r="U367" s="126" t="n">
        <f aca="false">I367/$R$3</f>
        <v>0</v>
      </c>
      <c r="V367" s="126" t="n">
        <f aca="false">M367/$R$3</f>
        <v>0</v>
      </c>
      <c r="W367" s="126" t="n">
        <f aca="false">N367/$R$3</f>
        <v>0</v>
      </c>
    </row>
    <row r="368" customFormat="false" ht="12.75" hidden="false" customHeight="false" outlineLevel="0" collapsed="false">
      <c r="A368" s="120" t="n">
        <f aca="false">A367+1</f>
        <v>37254</v>
      </c>
      <c r="B368" s="131" t="str">
        <f aca="false">INDEX('Master Data'!$A$2:$B$8,MATCH(WEEKDAY('SC Total Power'!A368,3),'Master Data'!$A$2:$A$8,0),2)</f>
        <v>Sa</v>
      </c>
      <c r="D368" s="124" t="n">
        <v>0</v>
      </c>
      <c r="E368" s="124" t="n">
        <v>0</v>
      </c>
      <c r="F368" s="124" t="n">
        <v>0</v>
      </c>
      <c r="G368" s="124" t="n">
        <v>0</v>
      </c>
      <c r="I368" s="124" t="n">
        <f aca="false">IF(MONTH($A368)=MONTH($A367),IF(G368=0,I367,G368),G368)</f>
        <v>0</v>
      </c>
      <c r="J368" s="124" t="n">
        <f aca="false">IF(MONTH($A368)=MONTH($A367),SUM(I368-I367),I368)</f>
        <v>0</v>
      </c>
      <c r="K368" s="124" t="n">
        <f aca="false">IF(WEEKDAY(A368,3)&gt;4,0,(IF(A368&lt;K$2,0,IF(A368&lt;=K$3,1,0))))</f>
        <v>0</v>
      </c>
      <c r="L368" s="124" t="n">
        <f aca="false">J368*K368</f>
        <v>0</v>
      </c>
      <c r="M368" s="124" t="n">
        <f aca="false">SUM(J$280:J368)</f>
        <v>0</v>
      </c>
      <c r="N368" s="124" t="n">
        <f aca="false">SUM(J$6:J368)</f>
        <v>0</v>
      </c>
      <c r="P368" s="124" t="n">
        <f aca="false">D368/P$3</f>
        <v>0</v>
      </c>
      <c r="Q368" s="143" t="n">
        <f aca="false">E368/P$3</f>
        <v>0</v>
      </c>
      <c r="R368" s="124" t="n">
        <f aca="false">F368/R$3</f>
        <v>0</v>
      </c>
      <c r="S368" s="126" t="n">
        <f aca="false">J368/$R$3</f>
        <v>0</v>
      </c>
      <c r="T368" s="126" t="n">
        <f aca="false">L368/$R$3</f>
        <v>0</v>
      </c>
      <c r="U368" s="126" t="n">
        <f aca="false">I368/$R$3</f>
        <v>0</v>
      </c>
      <c r="V368" s="126" t="n">
        <f aca="false">M368/$R$3</f>
        <v>0</v>
      </c>
      <c r="W368" s="126" t="n">
        <f aca="false">N368/$R$3</f>
        <v>0</v>
      </c>
    </row>
    <row r="369" customFormat="false" ht="12.75" hidden="false" customHeight="false" outlineLevel="0" collapsed="false">
      <c r="A369" s="120" t="n">
        <f aca="false">A368+1</f>
        <v>37255</v>
      </c>
      <c r="B369" s="131" t="str">
        <f aca="false">INDEX('Master Data'!$A$2:$B$8,MATCH(WEEKDAY('SC Total Power'!A369,3),'Master Data'!$A$2:$A$8,0),2)</f>
        <v>Su</v>
      </c>
      <c r="D369" s="124" t="n">
        <v>0</v>
      </c>
      <c r="E369" s="124" t="n">
        <v>0</v>
      </c>
      <c r="F369" s="124" t="n">
        <v>0</v>
      </c>
      <c r="G369" s="124" t="n">
        <v>0</v>
      </c>
      <c r="I369" s="124" t="n">
        <f aca="false">IF(MONTH($A369)=MONTH($A368),IF(G369=0,I368,G369),G369)</f>
        <v>0</v>
      </c>
      <c r="J369" s="124" t="n">
        <f aca="false">IF(MONTH($A369)=MONTH($A368),SUM(I369-I368),I369)</f>
        <v>0</v>
      </c>
      <c r="K369" s="124" t="n">
        <f aca="false">IF(WEEKDAY(A369,3)&gt;4,0,(IF(A369&lt;K$2,0,IF(A369&lt;=K$3,1,0))))</f>
        <v>0</v>
      </c>
      <c r="L369" s="124" t="n">
        <f aca="false">J369*K369</f>
        <v>0</v>
      </c>
      <c r="M369" s="124" t="n">
        <f aca="false">SUM(J$280:J369)</f>
        <v>0</v>
      </c>
      <c r="N369" s="124" t="n">
        <f aca="false">SUM(J$6:J369)</f>
        <v>0</v>
      </c>
      <c r="P369" s="124" t="n">
        <f aca="false">D369/P$3</f>
        <v>0</v>
      </c>
      <c r="Q369" s="143" t="n">
        <f aca="false">E369/P$3</f>
        <v>0</v>
      </c>
      <c r="R369" s="124" t="n">
        <f aca="false">F369/R$3</f>
        <v>0</v>
      </c>
      <c r="S369" s="126" t="n">
        <f aca="false">J369/$R$3</f>
        <v>0</v>
      </c>
      <c r="T369" s="126" t="n">
        <f aca="false">L369/$R$3</f>
        <v>0</v>
      </c>
      <c r="U369" s="126" t="n">
        <f aca="false">I369/$R$3</f>
        <v>0</v>
      </c>
      <c r="V369" s="126" t="n">
        <f aca="false">M369/$R$3</f>
        <v>0</v>
      </c>
      <c r="W369" s="126" t="n">
        <f aca="false">N369/$R$3</f>
        <v>0</v>
      </c>
    </row>
    <row r="370" customFormat="false" ht="12.75" hidden="false" customHeight="false" outlineLevel="0" collapsed="false">
      <c r="A370" s="120" t="n">
        <f aca="false">A369+1</f>
        <v>37256</v>
      </c>
      <c r="B370" s="131" t="str">
        <f aca="false">INDEX('Master Data'!$A$2:$B$8,MATCH(WEEKDAY('SC Total Power'!A370,3),'Master Data'!$A$2:$A$8,0),2)</f>
        <v>M</v>
      </c>
      <c r="D370" s="124" t="n">
        <v>0</v>
      </c>
      <c r="E370" s="124" t="n">
        <v>0</v>
      </c>
      <c r="F370" s="124" t="n">
        <v>0</v>
      </c>
      <c r="G370" s="124" t="n">
        <v>0</v>
      </c>
      <c r="I370" s="124" t="n">
        <f aca="false">IF(MONTH($A370)=MONTH($A369),IF(G370=0,I369,G370),G370)</f>
        <v>0</v>
      </c>
      <c r="J370" s="124" t="n">
        <f aca="false">IF(MONTH($A370)=MONTH($A369),SUM(I370-I369),I370)</f>
        <v>0</v>
      </c>
      <c r="K370" s="124" t="n">
        <f aca="false">IF(WEEKDAY(A370,3)&gt;4,0,(IF(A370&lt;K$2,0,IF(A370&lt;=K$3,1,0))))</f>
        <v>0</v>
      </c>
      <c r="L370" s="124" t="n">
        <f aca="false">J370*K370</f>
        <v>0</v>
      </c>
      <c r="M370" s="124" t="n">
        <f aca="false">SUM(J$280:J370)</f>
        <v>0</v>
      </c>
      <c r="N370" s="124" t="n">
        <f aca="false">SUM(J$6:J370)</f>
        <v>0</v>
      </c>
      <c r="P370" s="124" t="n">
        <f aca="false">D370/P$3</f>
        <v>0</v>
      </c>
      <c r="Q370" s="143" t="n">
        <f aca="false">E370/P$3</f>
        <v>0</v>
      </c>
      <c r="R370" s="124" t="n">
        <f aca="false">F370/R$3</f>
        <v>0</v>
      </c>
      <c r="S370" s="126" t="n">
        <f aca="false">J370/$R$3</f>
        <v>0</v>
      </c>
      <c r="T370" s="126" t="n">
        <f aca="false">L370/$R$3</f>
        <v>0</v>
      </c>
      <c r="U370" s="126" t="n">
        <f aca="false">I370/$R$3</f>
        <v>0</v>
      </c>
      <c r="V370" s="126" t="n">
        <f aca="false">M370/$R$3</f>
        <v>0</v>
      </c>
      <c r="W370" s="126" t="n">
        <f aca="false">N370/$R$3</f>
        <v>0</v>
      </c>
    </row>
    <row r="371" customFormat="false" ht="12.75" hidden="false" customHeight="false" outlineLevel="0" collapsed="false">
      <c r="A371" s="120" t="n">
        <f aca="false">A370+1</f>
        <v>37257</v>
      </c>
      <c r="B371" s="131" t="str">
        <f aca="false">INDEX('Master Data'!$A$2:$B$8,MATCH(WEEKDAY('SC Total Power'!A371,3),'Master Data'!$A$2:$A$8,0),2)</f>
        <v>T</v>
      </c>
      <c r="D371" s="124" t="n">
        <v>0</v>
      </c>
      <c r="E371" s="124" t="n">
        <v>0</v>
      </c>
      <c r="F371" s="124" t="n">
        <v>0</v>
      </c>
      <c r="G371" s="124" t="n">
        <v>0</v>
      </c>
      <c r="I371" s="124" t="n">
        <f aca="false">IF(MONTH($A371)=MONTH($A370),IF(G371=0,I370,G371),G371)</f>
        <v>0</v>
      </c>
      <c r="J371" s="124" t="n">
        <f aca="false">IF(MONTH($A371)=MONTH($A370),SUM(I371-I370),I371)</f>
        <v>0</v>
      </c>
      <c r="K371" s="124" t="n">
        <f aca="false">IF(WEEKDAY(A371,3)&gt;4,0,(IF(A371&lt;K$2,0,IF(A371&lt;=K$3,1,0))))</f>
        <v>0</v>
      </c>
      <c r="L371" s="124" t="n">
        <f aca="false">J371*K371</f>
        <v>0</v>
      </c>
      <c r="M371" s="124" t="n">
        <f aca="false">SUM(J$280:J371)</f>
        <v>0</v>
      </c>
      <c r="N371" s="124" t="n">
        <f aca="false">SUM(J$6:J371)</f>
        <v>0</v>
      </c>
      <c r="P371" s="124" t="n">
        <f aca="false">D371/P$3</f>
        <v>0</v>
      </c>
      <c r="Q371" s="143" t="n">
        <f aca="false">E371/P$3</f>
        <v>0</v>
      </c>
      <c r="R371" s="124" t="n">
        <f aca="false">F371/R$3</f>
        <v>0</v>
      </c>
      <c r="S371" s="126" t="n">
        <f aca="false">J371/$R$3</f>
        <v>0</v>
      </c>
      <c r="T371" s="126" t="n">
        <f aca="false">L371/$R$3</f>
        <v>0</v>
      </c>
      <c r="U371" s="126" t="n">
        <f aca="false">I371/$R$3</f>
        <v>0</v>
      </c>
      <c r="V371" s="126" t="n">
        <f aca="false">M371/$R$3</f>
        <v>0</v>
      </c>
      <c r="W371" s="126" t="n">
        <f aca="false">N371/$R$3</f>
        <v>0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K4" activeCellId="0" sqref="K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20" width="7.28"/>
    <col collapsed="false" customWidth="true" hidden="false" outlineLevel="0" max="2" min="2" style="121" width="4.14"/>
    <col collapsed="false" customWidth="true" hidden="false" outlineLevel="0" max="3" min="3" style="122" width="2.7"/>
    <col collapsed="false" customWidth="true" hidden="false" outlineLevel="0" max="7" min="4" style="121" width="14.99"/>
    <col collapsed="false" customWidth="true" hidden="false" outlineLevel="0" max="8" min="8" style="122" width="2.7"/>
    <col collapsed="false" customWidth="true" hidden="false" outlineLevel="0" max="9" min="9" style="123" width="13.14"/>
    <col collapsed="false" customWidth="true" hidden="false" outlineLevel="0" max="10" min="10" style="124" width="13.14"/>
    <col collapsed="false" customWidth="true" hidden="false" outlineLevel="0" max="11" min="11" style="124" width="10.99"/>
    <col collapsed="false" customWidth="true" hidden="false" outlineLevel="0" max="14" min="12" style="124" width="13.14"/>
    <col collapsed="false" customWidth="true" hidden="false" outlineLevel="0" max="15" min="15" style="125" width="2.7"/>
    <col collapsed="false" customWidth="true" hidden="false" outlineLevel="0" max="18" min="16" style="121" width="16.13"/>
    <col collapsed="false" customWidth="true" hidden="false" outlineLevel="0" max="23" min="19" style="126" width="12.7"/>
    <col collapsed="false" customWidth="false" hidden="false" outlineLevel="0" max="257" min="24" style="121" width="9.14"/>
  </cols>
  <sheetData>
    <row r="1" customFormat="false" ht="12.75" hidden="false" customHeight="false" outlineLevel="0" collapsed="false">
      <c r="A1" s="127" t="n">
        <v>1</v>
      </c>
      <c r="B1" s="121" t="n">
        <f aca="false">+A1+1</f>
        <v>2</v>
      </c>
      <c r="C1" s="122" t="n">
        <f aca="false">+B1+1</f>
        <v>3</v>
      </c>
      <c r="D1" s="121" t="n">
        <f aca="false">+C1+1</f>
        <v>4</v>
      </c>
      <c r="E1" s="121" t="n">
        <f aca="false">+D1+1</f>
        <v>5</v>
      </c>
      <c r="F1" s="121" t="n">
        <f aca="false">+E1+1</f>
        <v>6</v>
      </c>
      <c r="G1" s="121" t="n">
        <f aca="false">+F1+1</f>
        <v>7</v>
      </c>
      <c r="H1" s="122" t="n">
        <f aca="false">+G1+1</f>
        <v>8</v>
      </c>
      <c r="I1" s="123" t="n">
        <f aca="false">+H1+1</f>
        <v>9</v>
      </c>
      <c r="J1" s="124" t="n">
        <f aca="false">+I1+1</f>
        <v>10</v>
      </c>
      <c r="K1" s="124" t="n">
        <f aca="false">+J1+1</f>
        <v>11</v>
      </c>
      <c r="L1" s="124" t="n">
        <f aca="false">+K1+1</f>
        <v>12</v>
      </c>
      <c r="M1" s="124" t="n">
        <f aca="false">+L1+1</f>
        <v>13</v>
      </c>
      <c r="N1" s="124" t="n">
        <f aca="false">+M1+1</f>
        <v>14</v>
      </c>
      <c r="O1" s="125" t="n">
        <f aca="false">+N1+1</f>
        <v>15</v>
      </c>
      <c r="P1" s="121" t="n">
        <f aca="false">+O1+1</f>
        <v>16</v>
      </c>
      <c r="Q1" s="121" t="n">
        <f aca="false">+P1+1</f>
        <v>17</v>
      </c>
      <c r="R1" s="121" t="n">
        <f aca="false">+Q1+1</f>
        <v>18</v>
      </c>
      <c r="S1" s="121" t="n">
        <f aca="false">+R1+1</f>
        <v>19</v>
      </c>
      <c r="T1" s="121" t="n">
        <f aca="false">+S1+1</f>
        <v>20</v>
      </c>
      <c r="U1" s="121" t="n">
        <f aca="false">+T1+1</f>
        <v>21</v>
      </c>
      <c r="V1" s="121" t="n">
        <f aca="false">+U1+1</f>
        <v>22</v>
      </c>
      <c r="W1" s="121" t="n">
        <f aca="false">+V1+1</f>
        <v>23</v>
      </c>
    </row>
    <row r="2" customFormat="false" ht="12.75" hidden="false" customHeight="false" outlineLevel="0" collapsed="false">
      <c r="K2" s="128" t="n">
        <f aca="false">WORKDAY(K3,-4)</f>
        <v>37190</v>
      </c>
    </row>
    <row r="3" customFormat="false" ht="12.75" hidden="false" customHeight="false" outlineLevel="0" collapsed="false">
      <c r="K3" s="128" t="n">
        <f aca="false">Summary!B8</f>
        <v>37196</v>
      </c>
      <c r="L3" s="129" t="n">
        <f aca="false">SUM(L6:L371)</f>
        <v>0</v>
      </c>
      <c r="P3" s="124" t="n">
        <v>1000000</v>
      </c>
      <c r="Q3" s="124"/>
      <c r="R3" s="124" t="n">
        <v>1000</v>
      </c>
      <c r="S3" s="121"/>
      <c r="T3" s="130" t="n">
        <f aca="false">SUM(T6:T371)</f>
        <v>0</v>
      </c>
    </row>
    <row r="4" customFormat="false" ht="12.75" hidden="false" customHeight="false" outlineLevel="0" collapsed="false">
      <c r="D4" s="131" t="s">
        <v>84</v>
      </c>
      <c r="E4" s="131" t="s">
        <v>84</v>
      </c>
      <c r="F4" s="131" t="s">
        <v>58</v>
      </c>
      <c r="G4" s="155" t="s">
        <v>58</v>
      </c>
      <c r="I4" s="132" t="s">
        <v>58</v>
      </c>
      <c r="J4" s="132"/>
      <c r="K4" s="132"/>
      <c r="L4" s="132"/>
      <c r="M4" s="132"/>
      <c r="N4" s="132"/>
      <c r="O4" s="133"/>
      <c r="P4" s="134" t="s">
        <v>85</v>
      </c>
      <c r="Q4" s="134"/>
      <c r="R4" s="135" t="s">
        <v>60</v>
      </c>
      <c r="S4" s="135"/>
      <c r="T4" s="135"/>
      <c r="U4" s="135"/>
      <c r="V4" s="135"/>
      <c r="W4" s="135"/>
    </row>
    <row r="5" customFormat="false" ht="12.75" hidden="false" customHeight="false" outlineLevel="0" collapsed="false">
      <c r="A5" s="136" t="s">
        <v>61</v>
      </c>
      <c r="B5" s="131" t="s">
        <v>62</v>
      </c>
      <c r="C5" s="137"/>
      <c r="D5" s="138" t="s">
        <v>63</v>
      </c>
      <c r="E5" s="138" t="s">
        <v>64</v>
      </c>
      <c r="F5" s="138" t="s">
        <v>65</v>
      </c>
      <c r="G5" s="138" t="s">
        <v>66</v>
      </c>
      <c r="H5" s="139"/>
      <c r="I5" s="138" t="s">
        <v>67</v>
      </c>
      <c r="J5" s="140" t="s">
        <v>68</v>
      </c>
      <c r="K5" s="140" t="s">
        <v>69</v>
      </c>
      <c r="L5" s="140" t="s">
        <v>70</v>
      </c>
      <c r="M5" s="140" t="s">
        <v>71</v>
      </c>
      <c r="N5" s="140" t="s">
        <v>72</v>
      </c>
      <c r="O5" s="141"/>
      <c r="P5" s="138" t="s">
        <v>63</v>
      </c>
      <c r="Q5" s="138" t="s">
        <v>64</v>
      </c>
      <c r="R5" s="138" t="s">
        <v>65</v>
      </c>
      <c r="S5" s="142" t="s">
        <v>68</v>
      </c>
      <c r="T5" s="140" t="s">
        <v>70</v>
      </c>
      <c r="U5" s="142" t="s">
        <v>66</v>
      </c>
      <c r="V5" s="142" t="s">
        <v>71</v>
      </c>
      <c r="W5" s="142" t="s">
        <v>72</v>
      </c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1"/>
      <c r="AW5" s="131"/>
      <c r="AX5" s="131"/>
      <c r="AY5" s="131"/>
      <c r="AZ5" s="131"/>
      <c r="BA5" s="131"/>
      <c r="BB5" s="131"/>
      <c r="BC5" s="131"/>
      <c r="BD5" s="131"/>
      <c r="BE5" s="131"/>
      <c r="BF5" s="131"/>
      <c r="BG5" s="131"/>
      <c r="BH5" s="131"/>
      <c r="BI5" s="131"/>
      <c r="BJ5" s="131"/>
      <c r="BK5" s="131"/>
      <c r="BL5" s="131"/>
      <c r="BM5" s="131"/>
      <c r="BN5" s="131"/>
      <c r="BO5" s="131"/>
      <c r="BP5" s="131"/>
      <c r="BQ5" s="131"/>
      <c r="BR5" s="131"/>
      <c r="BS5" s="131"/>
      <c r="BT5" s="131"/>
      <c r="BU5" s="131"/>
      <c r="BV5" s="131"/>
      <c r="BW5" s="131"/>
      <c r="BX5" s="131"/>
      <c r="BY5" s="131"/>
      <c r="BZ5" s="131"/>
      <c r="CA5" s="131"/>
      <c r="CB5" s="131"/>
      <c r="CC5" s="131"/>
      <c r="CD5" s="131"/>
      <c r="CE5" s="131"/>
      <c r="CF5" s="131"/>
      <c r="CG5" s="131"/>
      <c r="CH5" s="131"/>
      <c r="CI5" s="131"/>
      <c r="CJ5" s="131"/>
      <c r="CK5" s="131"/>
      <c r="CL5" s="131"/>
      <c r="CM5" s="131"/>
      <c r="CN5" s="131"/>
      <c r="CO5" s="131"/>
      <c r="CP5" s="131"/>
      <c r="CQ5" s="131"/>
      <c r="CR5" s="131"/>
      <c r="CS5" s="131"/>
      <c r="CT5" s="131"/>
      <c r="CU5" s="131"/>
      <c r="CV5" s="131"/>
      <c r="CW5" s="131"/>
      <c r="CX5" s="131"/>
      <c r="CY5" s="131"/>
      <c r="CZ5" s="131"/>
      <c r="DA5" s="131"/>
      <c r="DB5" s="131"/>
      <c r="DC5" s="131"/>
      <c r="DD5" s="131"/>
      <c r="DE5" s="131"/>
      <c r="DF5" s="131"/>
      <c r="DG5" s="131"/>
      <c r="DH5" s="131"/>
      <c r="DI5" s="131"/>
      <c r="DJ5" s="131"/>
      <c r="DK5" s="131"/>
      <c r="DL5" s="131"/>
      <c r="DM5" s="131"/>
      <c r="DN5" s="131"/>
      <c r="DO5" s="131"/>
      <c r="DP5" s="131"/>
      <c r="DQ5" s="131"/>
      <c r="DR5" s="131"/>
      <c r="DS5" s="131"/>
      <c r="DT5" s="131"/>
      <c r="DU5" s="131"/>
      <c r="DV5" s="131"/>
      <c r="DW5" s="131"/>
      <c r="DX5" s="131"/>
      <c r="DY5" s="131"/>
      <c r="DZ5" s="131"/>
      <c r="EA5" s="131"/>
      <c r="EB5" s="131"/>
      <c r="EC5" s="131"/>
      <c r="ED5" s="131"/>
      <c r="EE5" s="131"/>
      <c r="EF5" s="131"/>
      <c r="EG5" s="131"/>
      <c r="EH5" s="131"/>
      <c r="EI5" s="131"/>
      <c r="EJ5" s="131"/>
      <c r="EK5" s="131"/>
      <c r="EL5" s="131"/>
      <c r="EM5" s="131"/>
      <c r="EN5" s="131"/>
      <c r="EO5" s="131"/>
      <c r="EP5" s="131"/>
      <c r="EQ5" s="131"/>
      <c r="ER5" s="131"/>
      <c r="ES5" s="131"/>
      <c r="ET5" s="131"/>
      <c r="EU5" s="131"/>
      <c r="EV5" s="131"/>
      <c r="EW5" s="131"/>
      <c r="EX5" s="131"/>
      <c r="EY5" s="131"/>
      <c r="EZ5" s="131"/>
      <c r="FA5" s="131"/>
      <c r="FB5" s="131"/>
      <c r="FC5" s="131"/>
      <c r="FD5" s="131"/>
      <c r="FE5" s="131"/>
      <c r="FF5" s="131"/>
      <c r="FG5" s="131"/>
      <c r="FH5" s="131"/>
      <c r="FI5" s="131"/>
      <c r="FJ5" s="131"/>
      <c r="FK5" s="131"/>
      <c r="FL5" s="131"/>
      <c r="FM5" s="131"/>
      <c r="FN5" s="131"/>
      <c r="FO5" s="131"/>
      <c r="FP5" s="131"/>
      <c r="FQ5" s="131"/>
      <c r="FR5" s="131"/>
      <c r="FS5" s="131"/>
      <c r="FT5" s="131"/>
      <c r="FU5" s="131"/>
      <c r="FV5" s="131"/>
      <c r="FW5" s="131"/>
      <c r="FX5" s="131"/>
      <c r="FY5" s="131"/>
      <c r="FZ5" s="131"/>
      <c r="GA5" s="131"/>
      <c r="GB5" s="131"/>
      <c r="GC5" s="131"/>
      <c r="GD5" s="131"/>
      <c r="GE5" s="131"/>
      <c r="GF5" s="131"/>
      <c r="GG5" s="131"/>
      <c r="GH5" s="131"/>
      <c r="GI5" s="131"/>
      <c r="GJ5" s="131"/>
      <c r="GK5" s="131"/>
      <c r="GL5" s="131"/>
      <c r="GM5" s="131"/>
      <c r="GN5" s="131"/>
      <c r="GO5" s="131"/>
      <c r="GP5" s="131"/>
      <c r="GQ5" s="131"/>
      <c r="GR5" s="131"/>
      <c r="GS5" s="131"/>
      <c r="GT5" s="131"/>
      <c r="GU5" s="131"/>
      <c r="GV5" s="131"/>
      <c r="GW5" s="131"/>
      <c r="GX5" s="131"/>
      <c r="GY5" s="131"/>
      <c r="GZ5" s="131"/>
      <c r="HA5" s="131"/>
      <c r="HB5" s="131"/>
      <c r="HC5" s="131"/>
      <c r="HD5" s="131"/>
      <c r="HE5" s="131"/>
      <c r="HF5" s="131"/>
      <c r="HG5" s="131"/>
      <c r="HH5" s="131"/>
      <c r="HI5" s="131"/>
      <c r="HJ5" s="131"/>
      <c r="HK5" s="131"/>
      <c r="HL5" s="131"/>
      <c r="HM5" s="131"/>
      <c r="HN5" s="131"/>
      <c r="HO5" s="131"/>
      <c r="HP5" s="131"/>
      <c r="HQ5" s="131"/>
      <c r="HR5" s="131"/>
      <c r="HS5" s="131"/>
      <c r="HT5" s="131"/>
      <c r="HU5" s="131"/>
      <c r="HV5" s="131"/>
      <c r="HW5" s="131"/>
      <c r="HX5" s="131"/>
      <c r="HY5" s="131"/>
      <c r="HZ5" s="131"/>
      <c r="IA5" s="131"/>
      <c r="IB5" s="131"/>
      <c r="IC5" s="131"/>
      <c r="ID5" s="131"/>
      <c r="IE5" s="131"/>
      <c r="IF5" s="131"/>
      <c r="IG5" s="131"/>
      <c r="IH5" s="131"/>
      <c r="II5" s="131"/>
      <c r="IJ5" s="131"/>
      <c r="IK5" s="131"/>
      <c r="IL5" s="131"/>
      <c r="IM5" s="131"/>
      <c r="IN5" s="131"/>
      <c r="IO5" s="131"/>
      <c r="IP5" s="131"/>
      <c r="IQ5" s="131"/>
      <c r="IR5" s="131"/>
      <c r="IS5" s="131"/>
      <c r="IT5" s="131"/>
      <c r="IU5" s="131"/>
      <c r="IV5" s="131"/>
      <c r="IW5" s="131"/>
    </row>
    <row r="6" customFormat="false" ht="12.75" hidden="true" customHeight="false" outlineLevel="0" collapsed="false">
      <c r="A6" s="120" t="n">
        <v>36892</v>
      </c>
      <c r="B6" s="131" t="str">
        <f aca="false">INDEX('[4]Master Data'!$A$2:$B$8,MATCH(WEEKDAY('TBS Gas MTM'!A6,3),'[4]Master Data'!$A$2:$A$8,0),2)</f>
        <v>M</v>
      </c>
      <c r="D6" s="124" t="n">
        <v>0</v>
      </c>
      <c r="E6" s="124" t="n">
        <v>0</v>
      </c>
      <c r="F6" s="124" t="n">
        <v>0</v>
      </c>
      <c r="G6" s="124" t="n">
        <v>0</v>
      </c>
      <c r="I6" s="124" t="n">
        <f aca="false">G6</f>
        <v>0</v>
      </c>
      <c r="J6" s="124" t="n">
        <f aca="false">I6</f>
        <v>0</v>
      </c>
      <c r="K6" s="124" t="n">
        <f aca="false">IF(WEEKDAY(A6,3)&gt;4,0,(IF(A6&lt;K$2,0,IF(A6&lt;=K$3,1,0))))</f>
        <v>0</v>
      </c>
      <c r="L6" s="124" t="n">
        <f aca="false">J6*K6</f>
        <v>0</v>
      </c>
      <c r="M6" s="124" t="n">
        <f aca="false">SUM(J$6:J6)</f>
        <v>0</v>
      </c>
      <c r="N6" s="124" t="n">
        <f aca="false">SUM(J$6:J6)</f>
        <v>0</v>
      </c>
      <c r="P6" s="124" t="n">
        <f aca="false">D6/P$3</f>
        <v>0</v>
      </c>
      <c r="Q6" s="124" t="n">
        <f aca="false">E6/P$3</f>
        <v>0</v>
      </c>
      <c r="R6" s="124" t="n">
        <f aca="false">F6/R$3</f>
        <v>0</v>
      </c>
      <c r="S6" s="126" t="n">
        <f aca="false">J6/$R$3</f>
        <v>0</v>
      </c>
      <c r="T6" s="126" t="n">
        <f aca="false">L6/$R$3</f>
        <v>0</v>
      </c>
      <c r="U6" s="126" t="n">
        <f aca="false">I6/$R$3</f>
        <v>0</v>
      </c>
      <c r="V6" s="126" t="n">
        <f aca="false">M6/$R$3</f>
        <v>0</v>
      </c>
      <c r="W6" s="126" t="n">
        <f aca="false">N6/$R$3</f>
        <v>0</v>
      </c>
    </row>
    <row r="7" customFormat="false" ht="12.75" hidden="true" customHeight="false" outlineLevel="0" collapsed="false">
      <c r="A7" s="120" t="n">
        <f aca="false">A6+1</f>
        <v>36893</v>
      </c>
      <c r="B7" s="131" t="str">
        <f aca="false">INDEX('[4]Master Data'!$A$2:$B$8,MATCH(WEEKDAY('TBS Gas MTM'!A7,3),'[4]Master Data'!$A$2:$A$8,0),2)</f>
        <v>T</v>
      </c>
      <c r="D7" s="124" t="n">
        <v>-150</v>
      </c>
      <c r="E7" s="124" t="n">
        <v>0</v>
      </c>
      <c r="F7" s="124" t="n">
        <v>0</v>
      </c>
      <c r="G7" s="124" t="n">
        <v>-1319</v>
      </c>
      <c r="I7" s="124" t="n">
        <f aca="false">IF(MONTH($A7)=MONTH($A6),IF(G7=0,I6,G7),0)</f>
        <v>-1319</v>
      </c>
      <c r="J7" s="124" t="n">
        <f aca="false">IF(MONTH($A7)=MONTH($A6),SUM(I7-I6),I7)</f>
        <v>-1319</v>
      </c>
      <c r="K7" s="124" t="n">
        <f aca="false">IF(WEEKDAY(A7,3)&gt;4,0,(IF(A7&lt;K$2,0,IF(A7&lt;=K$3,1,0))))</f>
        <v>0</v>
      </c>
      <c r="L7" s="124" t="n">
        <f aca="false">J7*K7</f>
        <v>-0</v>
      </c>
      <c r="M7" s="124" t="n">
        <f aca="false">SUM(J$6:J7)</f>
        <v>-1319</v>
      </c>
      <c r="N7" s="124" t="n">
        <f aca="false">SUM(J$6:J7)</f>
        <v>-1319</v>
      </c>
      <c r="P7" s="124" t="n">
        <f aca="false">D7/P$3</f>
        <v>-0.00015</v>
      </c>
      <c r="Q7" s="124" t="n">
        <f aca="false">E7/P$3</f>
        <v>0</v>
      </c>
      <c r="R7" s="124" t="n">
        <f aca="false">F7/R$3</f>
        <v>0</v>
      </c>
      <c r="S7" s="126" t="n">
        <f aca="false">J7/$R$3</f>
        <v>-1.319</v>
      </c>
      <c r="T7" s="126" t="n">
        <f aca="false">L7/$R$3</f>
        <v>-0</v>
      </c>
      <c r="U7" s="126" t="n">
        <f aca="false">I7/$R$3</f>
        <v>-1.319</v>
      </c>
      <c r="V7" s="126" t="n">
        <f aca="false">M7/$R$3</f>
        <v>-1.319</v>
      </c>
      <c r="W7" s="126" t="n">
        <f aca="false">N7/$R$3</f>
        <v>-1.319</v>
      </c>
    </row>
    <row r="8" customFormat="false" ht="12.75" hidden="true" customHeight="false" outlineLevel="0" collapsed="false">
      <c r="A8" s="120" t="n">
        <f aca="false">A7+1</f>
        <v>36894</v>
      </c>
      <c r="B8" s="131" t="str">
        <f aca="false">INDEX('[4]Master Data'!$A$2:$B$8,MATCH(WEEKDAY('TBS Gas MTM'!A8,3),'[4]Master Data'!$A$2:$A$8,0),2)</f>
        <v>W</v>
      </c>
      <c r="D8" s="124" t="n">
        <v>-150</v>
      </c>
      <c r="E8" s="124" t="n">
        <v>0</v>
      </c>
      <c r="F8" s="124" t="n">
        <v>0</v>
      </c>
      <c r="G8" s="124" t="n">
        <v>-1139</v>
      </c>
      <c r="I8" s="124" t="n">
        <f aca="false">IF(MONTH($A8)=MONTH($A7),IF(G8=0,I7,G8),0)</f>
        <v>-1139</v>
      </c>
      <c r="J8" s="124" t="n">
        <f aca="false">IF(MONTH($A8)=MONTH($A7),SUM(I8-I7),I8)</f>
        <v>180</v>
      </c>
      <c r="K8" s="124" t="n">
        <f aca="false">IF(WEEKDAY(A8,3)&gt;4,0,(IF(A8&lt;K$2,0,IF(A8&lt;=K$3,1,0))))</f>
        <v>0</v>
      </c>
      <c r="L8" s="124" t="n">
        <f aca="false">J8*K8</f>
        <v>0</v>
      </c>
      <c r="M8" s="124" t="n">
        <f aca="false">SUM(J$6:J8)</f>
        <v>-1139</v>
      </c>
      <c r="N8" s="124" t="n">
        <f aca="false">SUM(J$6:J8)</f>
        <v>-1139</v>
      </c>
      <c r="P8" s="124" t="n">
        <f aca="false">D8/P$3</f>
        <v>-0.00015</v>
      </c>
      <c r="Q8" s="124" t="n">
        <f aca="false">E8/P$3</f>
        <v>0</v>
      </c>
      <c r="R8" s="124" t="n">
        <f aca="false">F8/R$3</f>
        <v>0</v>
      </c>
      <c r="S8" s="126" t="n">
        <f aca="false">J8/$R$3</f>
        <v>0.18</v>
      </c>
      <c r="T8" s="126" t="n">
        <f aca="false">L8/$R$3</f>
        <v>0</v>
      </c>
      <c r="U8" s="126" t="n">
        <f aca="false">I8/$R$3</f>
        <v>-1.139</v>
      </c>
      <c r="V8" s="126" t="n">
        <f aca="false">M8/$R$3</f>
        <v>-1.139</v>
      </c>
      <c r="W8" s="126" t="n">
        <f aca="false">N8/$R$3</f>
        <v>-1.139</v>
      </c>
    </row>
    <row r="9" customFormat="false" ht="12.75" hidden="true" customHeight="false" outlineLevel="0" collapsed="false">
      <c r="A9" s="120" t="n">
        <f aca="false">A8+1</f>
        <v>36895</v>
      </c>
      <c r="B9" s="131" t="str">
        <f aca="false">INDEX('[4]Master Data'!$A$2:$B$8,MATCH(WEEKDAY('TBS Gas MTM'!A9,3),'[4]Master Data'!$A$2:$A$8,0),2)</f>
        <v>Th</v>
      </c>
      <c r="D9" s="124" t="n">
        <v>-150</v>
      </c>
      <c r="E9" s="124" t="n">
        <v>0</v>
      </c>
      <c r="F9" s="124" t="n">
        <v>0</v>
      </c>
      <c r="G9" s="124" t="n">
        <v>-1354</v>
      </c>
      <c r="I9" s="124" t="n">
        <f aca="false">IF(MONTH($A9)=MONTH($A8),IF(G9=0,I8,G9),0)</f>
        <v>-1354</v>
      </c>
      <c r="J9" s="124" t="n">
        <f aca="false">IF(MONTH($A9)=MONTH($A8),SUM(I9-I8),I9)</f>
        <v>-215</v>
      </c>
      <c r="K9" s="124" t="n">
        <f aca="false">IF(WEEKDAY(A9,3)&gt;4,0,(IF(A9&lt;K$2,0,IF(A9&lt;=K$3,1,0))))</f>
        <v>0</v>
      </c>
      <c r="L9" s="124" t="n">
        <f aca="false">J9*K9</f>
        <v>-0</v>
      </c>
      <c r="M9" s="124" t="n">
        <f aca="false">SUM(J$6:J9)</f>
        <v>-1354</v>
      </c>
      <c r="N9" s="124" t="n">
        <f aca="false">SUM(J$6:J9)</f>
        <v>-1354</v>
      </c>
      <c r="P9" s="124" t="n">
        <f aca="false">D9/P$3</f>
        <v>-0.00015</v>
      </c>
      <c r="Q9" s="124" t="n">
        <f aca="false">E9/P$3</f>
        <v>0</v>
      </c>
      <c r="R9" s="124" t="n">
        <f aca="false">F9/R$3</f>
        <v>0</v>
      </c>
      <c r="S9" s="126" t="n">
        <f aca="false">J9/$R$3</f>
        <v>-0.215</v>
      </c>
      <c r="T9" s="126" t="n">
        <f aca="false">L9/$R$3</f>
        <v>-0</v>
      </c>
      <c r="U9" s="126" t="n">
        <f aca="false">I9/$R$3</f>
        <v>-1.354</v>
      </c>
      <c r="V9" s="126" t="n">
        <f aca="false">M9/$R$3</f>
        <v>-1.354</v>
      </c>
      <c r="W9" s="126" t="n">
        <f aca="false">N9/$R$3</f>
        <v>-1.354</v>
      </c>
    </row>
    <row r="10" customFormat="false" ht="12.75" hidden="true" customHeight="false" outlineLevel="0" collapsed="false">
      <c r="A10" s="120" t="n">
        <f aca="false">A9+1</f>
        <v>36896</v>
      </c>
      <c r="B10" s="131" t="str">
        <f aca="false">INDEX('[4]Master Data'!$A$2:$B$8,MATCH(WEEKDAY('TBS Gas MTM'!A10,3),'[4]Master Data'!$A$2:$A$8,0),2)</f>
        <v>F</v>
      </c>
      <c r="D10" s="124" t="n">
        <v>-150</v>
      </c>
      <c r="E10" s="124" t="n">
        <v>0</v>
      </c>
      <c r="F10" s="124" t="n">
        <v>0</v>
      </c>
      <c r="G10" s="124" t="n">
        <v>-1588</v>
      </c>
      <c r="I10" s="124" t="n">
        <f aca="false">IF(MONTH($A10)=MONTH($A9),IF(G10=0,I9,G10),0)</f>
        <v>-1588</v>
      </c>
      <c r="J10" s="124" t="n">
        <f aca="false">IF(MONTH($A10)=MONTH($A9),SUM(I10-I9),I10)</f>
        <v>-234</v>
      </c>
      <c r="K10" s="124" t="n">
        <f aca="false">IF(WEEKDAY(A10,3)&gt;4,0,(IF(A10&lt;K$2,0,IF(A10&lt;=K$3,1,0))))</f>
        <v>0</v>
      </c>
      <c r="L10" s="124" t="n">
        <f aca="false">J10*K10</f>
        <v>-0</v>
      </c>
      <c r="M10" s="124" t="n">
        <f aca="false">SUM(J$6:J10)</f>
        <v>-1588</v>
      </c>
      <c r="N10" s="124" t="n">
        <f aca="false">SUM(J$6:J10)</f>
        <v>-1588</v>
      </c>
      <c r="P10" s="124" t="n">
        <f aca="false">D10/P$3</f>
        <v>-0.00015</v>
      </c>
      <c r="Q10" s="124" t="n">
        <f aca="false">E10/P$3</f>
        <v>0</v>
      </c>
      <c r="R10" s="124" t="n">
        <f aca="false">F10/R$3</f>
        <v>0</v>
      </c>
      <c r="S10" s="126" t="n">
        <f aca="false">J10/$R$3</f>
        <v>-0.234</v>
      </c>
      <c r="T10" s="126" t="n">
        <f aca="false">L10/$R$3</f>
        <v>-0</v>
      </c>
      <c r="U10" s="126" t="n">
        <f aca="false">I10/$R$3</f>
        <v>-1.588</v>
      </c>
      <c r="V10" s="126" t="n">
        <f aca="false">M10/$R$3</f>
        <v>-1.588</v>
      </c>
      <c r="W10" s="126" t="n">
        <f aca="false">N10/$R$3</f>
        <v>-1.588</v>
      </c>
    </row>
    <row r="11" customFormat="false" ht="12.75" hidden="true" customHeight="false" outlineLevel="0" collapsed="false">
      <c r="A11" s="120" t="n">
        <f aca="false">A10+1</f>
        <v>36897</v>
      </c>
      <c r="B11" s="131" t="str">
        <f aca="false">INDEX('[4]Master Data'!$A$2:$B$8,MATCH(WEEKDAY('TBS Gas MTM'!A11,3),'[4]Master Data'!$A$2:$A$8,0),2)</f>
        <v>Sa</v>
      </c>
      <c r="D11" s="124" t="n">
        <v>0</v>
      </c>
      <c r="E11" s="124" t="n">
        <v>0</v>
      </c>
      <c r="F11" s="124" t="n">
        <v>0</v>
      </c>
      <c r="G11" s="124" t="n">
        <v>0</v>
      </c>
      <c r="I11" s="124" t="n">
        <f aca="false">IF(MONTH($A11)=MONTH($A10),IF(G11=0,I10,G11),0)</f>
        <v>-1588</v>
      </c>
      <c r="J11" s="124" t="n">
        <f aca="false">IF(MONTH($A11)=MONTH($A10),SUM(I11-I10),I11)</f>
        <v>0</v>
      </c>
      <c r="K11" s="124" t="n">
        <f aca="false">IF(WEEKDAY(A11,3)&gt;4,0,(IF(A11&lt;K$2,0,IF(A11&lt;=K$3,1,0))))</f>
        <v>0</v>
      </c>
      <c r="L11" s="124" t="n">
        <f aca="false">J11*K11</f>
        <v>0</v>
      </c>
      <c r="M11" s="124" t="n">
        <f aca="false">SUM(J$6:J11)</f>
        <v>-1588</v>
      </c>
      <c r="N11" s="124" t="n">
        <f aca="false">SUM(J$6:J11)</f>
        <v>-1588</v>
      </c>
      <c r="P11" s="124" t="n">
        <f aca="false">D11/P$3</f>
        <v>0</v>
      </c>
      <c r="Q11" s="124" t="n">
        <f aca="false">E11/P$3</f>
        <v>0</v>
      </c>
      <c r="R11" s="124" t="n">
        <f aca="false">F11/R$3</f>
        <v>0</v>
      </c>
      <c r="S11" s="126" t="n">
        <f aca="false">J11/$R$3</f>
        <v>0</v>
      </c>
      <c r="T11" s="126" t="n">
        <f aca="false">L11/$R$3</f>
        <v>0</v>
      </c>
      <c r="U11" s="126" t="n">
        <f aca="false">I11/$R$3</f>
        <v>-1.588</v>
      </c>
      <c r="V11" s="126" t="n">
        <f aca="false">M11/$R$3</f>
        <v>-1.588</v>
      </c>
      <c r="W11" s="126" t="n">
        <f aca="false">N11/$R$3</f>
        <v>-1.588</v>
      </c>
    </row>
    <row r="12" customFormat="false" ht="12.75" hidden="true" customHeight="false" outlineLevel="0" collapsed="false">
      <c r="A12" s="120" t="n">
        <f aca="false">A11+1</f>
        <v>36898</v>
      </c>
      <c r="B12" s="131" t="str">
        <f aca="false">INDEX('[4]Master Data'!$A$2:$B$8,MATCH(WEEKDAY('TBS Gas MTM'!A12,3),'[4]Master Data'!$A$2:$A$8,0),2)</f>
        <v>Su</v>
      </c>
      <c r="D12" s="124" t="n">
        <v>0</v>
      </c>
      <c r="E12" s="124" t="n">
        <v>0</v>
      </c>
      <c r="F12" s="124" t="n">
        <v>0</v>
      </c>
      <c r="G12" s="124" t="n">
        <v>0</v>
      </c>
      <c r="I12" s="124" t="n">
        <f aca="false">IF(MONTH($A12)=MONTH($A11),IF(G12=0,I11,G12),0)</f>
        <v>-1588</v>
      </c>
      <c r="J12" s="124" t="n">
        <f aca="false">IF(MONTH($A12)=MONTH($A11),SUM(I12-I11),I12)</f>
        <v>0</v>
      </c>
      <c r="K12" s="124" t="n">
        <f aca="false">IF(WEEKDAY(A12,3)&gt;4,0,(IF(A12&lt;K$2,0,IF(A12&lt;=K$3,1,0))))</f>
        <v>0</v>
      </c>
      <c r="L12" s="124" t="n">
        <f aca="false">J12*K12</f>
        <v>0</v>
      </c>
      <c r="M12" s="124" t="n">
        <f aca="false">SUM(J$6:J12)</f>
        <v>-1588</v>
      </c>
      <c r="N12" s="124" t="n">
        <f aca="false">SUM(J$6:J12)</f>
        <v>-1588</v>
      </c>
      <c r="P12" s="124" t="n">
        <f aca="false">D12/P$3</f>
        <v>0</v>
      </c>
      <c r="Q12" s="124" t="n">
        <f aca="false">E12/P$3</f>
        <v>0</v>
      </c>
      <c r="R12" s="124" t="n">
        <f aca="false">F12/R$3</f>
        <v>0</v>
      </c>
      <c r="S12" s="126" t="n">
        <f aca="false">J12/$R$3</f>
        <v>0</v>
      </c>
      <c r="T12" s="126" t="n">
        <f aca="false">L12/$R$3</f>
        <v>0</v>
      </c>
      <c r="U12" s="126" t="n">
        <f aca="false">I12/$R$3</f>
        <v>-1.588</v>
      </c>
      <c r="V12" s="126" t="n">
        <f aca="false">M12/$R$3</f>
        <v>-1.588</v>
      </c>
      <c r="W12" s="126" t="n">
        <f aca="false">N12/$R$3</f>
        <v>-1.588</v>
      </c>
    </row>
    <row r="13" customFormat="false" ht="12.75" hidden="true" customHeight="false" outlineLevel="0" collapsed="false">
      <c r="A13" s="120" t="n">
        <f aca="false">A12+1</f>
        <v>36899</v>
      </c>
      <c r="B13" s="131" t="str">
        <f aca="false">INDEX('[4]Master Data'!$A$2:$B$8,MATCH(WEEKDAY('TBS Gas MTM'!A13,3),'[4]Master Data'!$A$2:$A$8,0),2)</f>
        <v>M</v>
      </c>
      <c r="D13" s="124" t="n">
        <v>-150</v>
      </c>
      <c r="E13" s="124" t="n">
        <v>0</v>
      </c>
      <c r="F13" s="124" t="n">
        <v>0</v>
      </c>
      <c r="G13" s="124" t="n">
        <v>-1850</v>
      </c>
      <c r="I13" s="124" t="n">
        <f aca="false">IF(MONTH($A13)=MONTH($A12),IF(G13=0,I12,G13),0)</f>
        <v>-1850</v>
      </c>
      <c r="J13" s="124" t="n">
        <f aca="false">IF(MONTH($A13)=MONTH($A12),SUM(I13-I12),I13)</f>
        <v>-262</v>
      </c>
      <c r="K13" s="124" t="n">
        <f aca="false">IF(WEEKDAY(A13,3)&gt;4,0,(IF(A13&lt;K$2,0,IF(A13&lt;=K$3,1,0))))</f>
        <v>0</v>
      </c>
      <c r="L13" s="124" t="n">
        <f aca="false">J13*K13</f>
        <v>-0</v>
      </c>
      <c r="M13" s="124" t="n">
        <f aca="false">SUM(J$6:J13)</f>
        <v>-1850</v>
      </c>
      <c r="N13" s="124" t="n">
        <f aca="false">SUM(J$6:J13)</f>
        <v>-1850</v>
      </c>
      <c r="P13" s="124" t="n">
        <f aca="false">D13/P$3</f>
        <v>-0.00015</v>
      </c>
      <c r="Q13" s="124" t="n">
        <f aca="false">E13/P$3</f>
        <v>0</v>
      </c>
      <c r="R13" s="124" t="n">
        <f aca="false">F13/R$3</f>
        <v>0</v>
      </c>
      <c r="S13" s="126" t="n">
        <f aca="false">J13/$R$3</f>
        <v>-0.262</v>
      </c>
      <c r="T13" s="126" t="n">
        <f aca="false">L13/$R$3</f>
        <v>-0</v>
      </c>
      <c r="U13" s="126" t="n">
        <f aca="false">I13/$R$3</f>
        <v>-1.85</v>
      </c>
      <c r="V13" s="126" t="n">
        <f aca="false">M13/$R$3</f>
        <v>-1.85</v>
      </c>
      <c r="W13" s="126" t="n">
        <f aca="false">N13/$R$3</f>
        <v>-1.85</v>
      </c>
    </row>
    <row r="14" customFormat="false" ht="12.75" hidden="true" customHeight="false" outlineLevel="0" collapsed="false">
      <c r="A14" s="120" t="n">
        <f aca="false">A13+1</f>
        <v>36900</v>
      </c>
      <c r="B14" s="131" t="str">
        <f aca="false">INDEX('[4]Master Data'!$A$2:$B$8,MATCH(WEEKDAY('TBS Gas MTM'!A14,3),'[4]Master Data'!$A$2:$A$8,0),2)</f>
        <v>T</v>
      </c>
      <c r="D14" s="124" t="n">
        <v>-150</v>
      </c>
      <c r="E14" s="124" t="n">
        <v>0</v>
      </c>
      <c r="F14" s="124" t="n">
        <v>0</v>
      </c>
      <c r="G14" s="124" t="n">
        <v>-1715</v>
      </c>
      <c r="I14" s="124" t="n">
        <f aca="false">IF(MONTH($A14)=MONTH($A13),IF(G14=0,I13,G14),0)</f>
        <v>-1715</v>
      </c>
      <c r="J14" s="124" t="n">
        <f aca="false">IF(MONTH($A14)=MONTH($A13),SUM(I14-I13),I14)</f>
        <v>135</v>
      </c>
      <c r="K14" s="124" t="n">
        <f aca="false">IF(WEEKDAY(A14,3)&gt;4,0,(IF(A14&lt;K$2,0,IF(A14&lt;=K$3,1,0))))</f>
        <v>0</v>
      </c>
      <c r="L14" s="124" t="n">
        <f aca="false">J14*K14</f>
        <v>0</v>
      </c>
      <c r="M14" s="124" t="n">
        <f aca="false">SUM(J$6:J14)</f>
        <v>-1715</v>
      </c>
      <c r="N14" s="124" t="n">
        <f aca="false">SUM(J$6:J14)</f>
        <v>-1715</v>
      </c>
      <c r="P14" s="124" t="n">
        <f aca="false">D14/P$3</f>
        <v>-0.00015</v>
      </c>
      <c r="Q14" s="124" t="n">
        <f aca="false">E14/P$3</f>
        <v>0</v>
      </c>
      <c r="R14" s="124" t="n">
        <f aca="false">F14/R$3</f>
        <v>0</v>
      </c>
      <c r="S14" s="126" t="n">
        <f aca="false">J14/$R$3</f>
        <v>0.135</v>
      </c>
      <c r="T14" s="126" t="n">
        <f aca="false">L14/$R$3</f>
        <v>0</v>
      </c>
      <c r="U14" s="126" t="n">
        <f aca="false">I14/$R$3</f>
        <v>-1.715</v>
      </c>
      <c r="V14" s="126" t="n">
        <f aca="false">M14/$R$3</f>
        <v>-1.715</v>
      </c>
      <c r="W14" s="126" t="n">
        <f aca="false">N14/$R$3</f>
        <v>-1.715</v>
      </c>
    </row>
    <row r="15" customFormat="false" ht="12.75" hidden="true" customHeight="false" outlineLevel="0" collapsed="false">
      <c r="A15" s="120" t="n">
        <f aca="false">A14+1</f>
        <v>36901</v>
      </c>
      <c r="B15" s="131" t="str">
        <f aca="false">INDEX('[4]Master Data'!$A$2:$B$8,MATCH(WEEKDAY('TBS Gas MTM'!A15,3),'[4]Master Data'!$A$2:$A$8,0),2)</f>
        <v>W</v>
      </c>
      <c r="D15" s="124" t="n">
        <v>-150</v>
      </c>
      <c r="E15" s="124" t="n">
        <v>0</v>
      </c>
      <c r="F15" s="124" t="n">
        <v>0</v>
      </c>
      <c r="G15" s="124" t="n">
        <v>-1543</v>
      </c>
      <c r="I15" s="124" t="n">
        <f aca="false">IF(MONTH($A15)=MONTH($A14),IF(G15=0,I14,G15),0)</f>
        <v>-1543</v>
      </c>
      <c r="J15" s="124" t="n">
        <f aca="false">IF(MONTH($A15)=MONTH($A14),SUM(I15-I14),I15)</f>
        <v>172</v>
      </c>
      <c r="K15" s="124" t="n">
        <f aca="false">IF(WEEKDAY(A15,3)&gt;4,0,(IF(A15&lt;K$2,0,IF(A15&lt;=K$3,1,0))))</f>
        <v>0</v>
      </c>
      <c r="L15" s="124" t="n">
        <f aca="false">J15*K15</f>
        <v>0</v>
      </c>
      <c r="M15" s="124" t="n">
        <f aca="false">SUM(J$6:J15)</f>
        <v>-1543</v>
      </c>
      <c r="N15" s="124" t="n">
        <f aca="false">SUM(J$6:J15)</f>
        <v>-1543</v>
      </c>
      <c r="P15" s="124" t="n">
        <f aca="false">D15/P$3</f>
        <v>-0.00015</v>
      </c>
      <c r="Q15" s="124" t="n">
        <f aca="false">E15/P$3</f>
        <v>0</v>
      </c>
      <c r="R15" s="124" t="n">
        <f aca="false">F15/R$3</f>
        <v>0</v>
      </c>
      <c r="S15" s="126" t="n">
        <f aca="false">J15/$R$3</f>
        <v>0.172</v>
      </c>
      <c r="T15" s="126" t="n">
        <f aca="false">L15/$R$3</f>
        <v>0</v>
      </c>
      <c r="U15" s="126" t="n">
        <f aca="false">I15/$R$3</f>
        <v>-1.543</v>
      </c>
      <c r="V15" s="126" t="n">
        <f aca="false">M15/$R$3</f>
        <v>-1.543</v>
      </c>
      <c r="W15" s="126" t="n">
        <f aca="false">N15/$R$3</f>
        <v>-1.543</v>
      </c>
    </row>
    <row r="16" customFormat="false" ht="12.75" hidden="true" customHeight="false" outlineLevel="0" collapsed="false">
      <c r="A16" s="120" t="n">
        <f aca="false">A15+1</f>
        <v>36902</v>
      </c>
      <c r="B16" s="131" t="str">
        <f aca="false">INDEX('[4]Master Data'!$A$2:$B$8,MATCH(WEEKDAY('TBS Gas MTM'!A16,3),'[4]Master Data'!$A$2:$A$8,0),2)</f>
        <v>Th</v>
      </c>
      <c r="D16" s="124" t="n">
        <v>-150</v>
      </c>
      <c r="E16" s="124" t="n">
        <v>0</v>
      </c>
      <c r="F16" s="124" t="n">
        <v>0</v>
      </c>
      <c r="G16" s="124" t="n">
        <v>-1497</v>
      </c>
      <c r="I16" s="124" t="n">
        <f aca="false">IF(MONTH($A16)=MONTH($A15),IF(G16=0,I15,G16),0)</f>
        <v>-1497</v>
      </c>
      <c r="J16" s="124" t="n">
        <f aca="false">IF(MONTH($A16)=MONTH($A15),SUM(I16-I15),I16)</f>
        <v>46</v>
      </c>
      <c r="K16" s="124" t="n">
        <f aca="false">IF(WEEKDAY(A16,3)&gt;4,0,(IF(A16&lt;K$2,0,IF(A16&lt;=K$3,1,0))))</f>
        <v>0</v>
      </c>
      <c r="L16" s="124" t="n">
        <f aca="false">J16*K16</f>
        <v>0</v>
      </c>
      <c r="M16" s="124" t="n">
        <f aca="false">SUM(J$6:J16)</f>
        <v>-1497</v>
      </c>
      <c r="N16" s="124" t="n">
        <f aca="false">SUM(J$6:J16)</f>
        <v>-1497</v>
      </c>
      <c r="P16" s="124" t="n">
        <f aca="false">D16/P$3</f>
        <v>-0.00015</v>
      </c>
      <c r="Q16" s="124" t="n">
        <f aca="false">E16/P$3</f>
        <v>0</v>
      </c>
      <c r="R16" s="124" t="n">
        <f aca="false">F16/R$3</f>
        <v>0</v>
      </c>
      <c r="S16" s="126" t="n">
        <f aca="false">J16/$R$3</f>
        <v>0.046</v>
      </c>
      <c r="T16" s="126" t="n">
        <f aca="false">L16/$R$3</f>
        <v>0</v>
      </c>
      <c r="U16" s="126" t="n">
        <f aca="false">I16/$R$3</f>
        <v>-1.497</v>
      </c>
      <c r="V16" s="126" t="n">
        <f aca="false">M16/$R$3</f>
        <v>-1.497</v>
      </c>
      <c r="W16" s="126" t="n">
        <f aca="false">N16/$R$3</f>
        <v>-1.497</v>
      </c>
    </row>
    <row r="17" customFormat="false" ht="12.75" hidden="true" customHeight="false" outlineLevel="0" collapsed="false">
      <c r="A17" s="120" t="n">
        <f aca="false">A16+1</f>
        <v>36903</v>
      </c>
      <c r="B17" s="131" t="str">
        <f aca="false">INDEX('[4]Master Data'!$A$2:$B$8,MATCH(WEEKDAY('TBS Gas MTM'!A17,3),'[4]Master Data'!$A$2:$A$8,0),2)</f>
        <v>F</v>
      </c>
      <c r="D17" s="124" t="n">
        <v>-150</v>
      </c>
      <c r="E17" s="124" t="n">
        <v>0</v>
      </c>
      <c r="F17" s="124" t="n">
        <v>0</v>
      </c>
      <c r="G17" s="124" t="n">
        <v>-1321</v>
      </c>
      <c r="I17" s="124" t="n">
        <f aca="false">IF(MONTH($A17)=MONTH($A16),IF(G17=0,I16,G17),0)</f>
        <v>-1321</v>
      </c>
      <c r="J17" s="124" t="n">
        <f aca="false">IF(MONTH($A17)=MONTH($A16),SUM(I17-I16),I17)</f>
        <v>176</v>
      </c>
      <c r="K17" s="124" t="n">
        <f aca="false">IF(WEEKDAY(A17,3)&gt;4,0,(IF(A17&lt;K$2,0,IF(A17&lt;=K$3,1,0))))</f>
        <v>0</v>
      </c>
      <c r="L17" s="124" t="n">
        <f aca="false">J17*K17</f>
        <v>0</v>
      </c>
      <c r="M17" s="124" t="n">
        <f aca="false">SUM(J$6:J17)</f>
        <v>-1321</v>
      </c>
      <c r="N17" s="124" t="n">
        <f aca="false">SUM(J$6:J17)</f>
        <v>-1321</v>
      </c>
      <c r="P17" s="124" t="n">
        <f aca="false">D17/P$3</f>
        <v>-0.00015</v>
      </c>
      <c r="Q17" s="124" t="n">
        <f aca="false">E17/P$3</f>
        <v>0</v>
      </c>
      <c r="R17" s="124" t="n">
        <f aca="false">F17/R$3</f>
        <v>0</v>
      </c>
      <c r="S17" s="126" t="n">
        <f aca="false">J17/$R$3</f>
        <v>0.176</v>
      </c>
      <c r="T17" s="126" t="n">
        <f aca="false">L17/$R$3</f>
        <v>0</v>
      </c>
      <c r="U17" s="126" t="n">
        <f aca="false">I17/$R$3</f>
        <v>-1.321</v>
      </c>
      <c r="V17" s="126" t="n">
        <f aca="false">M17/$R$3</f>
        <v>-1.321</v>
      </c>
      <c r="W17" s="126" t="n">
        <f aca="false">N17/$R$3</f>
        <v>-1.321</v>
      </c>
    </row>
    <row r="18" customFormat="false" ht="12.75" hidden="true" customHeight="false" outlineLevel="0" collapsed="false">
      <c r="A18" s="120" t="n">
        <f aca="false">A17+1</f>
        <v>36904</v>
      </c>
      <c r="B18" s="131" t="str">
        <f aca="false">INDEX('[4]Master Data'!$A$2:$B$8,MATCH(WEEKDAY('TBS Gas MTM'!A18,3),'[4]Master Data'!$A$2:$A$8,0),2)</f>
        <v>Sa</v>
      </c>
      <c r="D18" s="124" t="n">
        <v>0</v>
      </c>
      <c r="E18" s="124" t="n">
        <v>0</v>
      </c>
      <c r="F18" s="124" t="n">
        <v>0</v>
      </c>
      <c r="G18" s="124" t="n">
        <v>0</v>
      </c>
      <c r="I18" s="124" t="n">
        <f aca="false">IF(MONTH($A18)=MONTH($A17),IF(G18=0,I17,G18),0)</f>
        <v>-1321</v>
      </c>
      <c r="J18" s="124" t="n">
        <f aca="false">IF(MONTH($A18)=MONTH($A17),SUM(I18-I17),I18)</f>
        <v>0</v>
      </c>
      <c r="K18" s="124" t="n">
        <f aca="false">IF(WEEKDAY(A18,3)&gt;4,0,(IF(A18&lt;K$2,0,IF(A18&lt;=K$3,1,0))))</f>
        <v>0</v>
      </c>
      <c r="L18" s="124" t="n">
        <f aca="false">J18*K18</f>
        <v>0</v>
      </c>
      <c r="M18" s="124" t="n">
        <f aca="false">SUM(J$6:J18)</f>
        <v>-1321</v>
      </c>
      <c r="N18" s="124" t="n">
        <f aca="false">SUM(J$6:J18)</f>
        <v>-1321</v>
      </c>
      <c r="P18" s="124" t="n">
        <f aca="false">D18/P$3</f>
        <v>0</v>
      </c>
      <c r="Q18" s="124" t="n">
        <f aca="false">E18/P$3</f>
        <v>0</v>
      </c>
      <c r="R18" s="124" t="n">
        <f aca="false">F18/R$3</f>
        <v>0</v>
      </c>
      <c r="S18" s="126" t="n">
        <f aca="false">J18/$R$3</f>
        <v>0</v>
      </c>
      <c r="T18" s="126" t="n">
        <f aca="false">L18/$R$3</f>
        <v>0</v>
      </c>
      <c r="U18" s="126" t="n">
        <f aca="false">I18/$R$3</f>
        <v>-1.321</v>
      </c>
      <c r="V18" s="126" t="n">
        <f aca="false">M18/$R$3</f>
        <v>-1.321</v>
      </c>
      <c r="W18" s="126" t="n">
        <f aca="false">N18/$R$3</f>
        <v>-1.321</v>
      </c>
    </row>
    <row r="19" customFormat="false" ht="12.75" hidden="true" customHeight="false" outlineLevel="0" collapsed="false">
      <c r="A19" s="120" t="n">
        <f aca="false">A18+1</f>
        <v>36905</v>
      </c>
      <c r="B19" s="131" t="str">
        <f aca="false">INDEX('[4]Master Data'!$A$2:$B$8,MATCH(WEEKDAY('TBS Gas MTM'!A19,3),'[4]Master Data'!$A$2:$A$8,0),2)</f>
        <v>Su</v>
      </c>
      <c r="D19" s="124" t="n">
        <v>0</v>
      </c>
      <c r="E19" s="124" t="n">
        <v>0</v>
      </c>
      <c r="F19" s="124" t="n">
        <v>0</v>
      </c>
      <c r="G19" s="124" t="n">
        <v>0</v>
      </c>
      <c r="I19" s="124" t="n">
        <f aca="false">IF(MONTH($A19)=MONTH($A18),IF(G19=0,I18,G19),0)</f>
        <v>-1321</v>
      </c>
      <c r="J19" s="124" t="n">
        <f aca="false">IF(MONTH($A19)=MONTH($A18),SUM(I19-I18),I19)</f>
        <v>0</v>
      </c>
      <c r="K19" s="124" t="n">
        <f aca="false">IF(WEEKDAY(A19,3)&gt;4,0,(IF(A19&lt;K$2,0,IF(A19&lt;=K$3,1,0))))</f>
        <v>0</v>
      </c>
      <c r="L19" s="124" t="n">
        <f aca="false">J19*K19</f>
        <v>0</v>
      </c>
      <c r="M19" s="124" t="n">
        <f aca="false">SUM(J$6:J19)</f>
        <v>-1321</v>
      </c>
      <c r="N19" s="124" t="n">
        <f aca="false">SUM(J$6:J19)</f>
        <v>-1321</v>
      </c>
      <c r="P19" s="124" t="n">
        <f aca="false">D19/P$3</f>
        <v>0</v>
      </c>
      <c r="Q19" s="124" t="n">
        <f aca="false">E19/P$3</f>
        <v>0</v>
      </c>
      <c r="R19" s="124" t="n">
        <f aca="false">F19/R$3</f>
        <v>0</v>
      </c>
      <c r="S19" s="126" t="n">
        <f aca="false">J19/$R$3</f>
        <v>0</v>
      </c>
      <c r="T19" s="126" t="n">
        <f aca="false">L19/$R$3</f>
        <v>0</v>
      </c>
      <c r="U19" s="126" t="n">
        <f aca="false">I19/$R$3</f>
        <v>-1.321</v>
      </c>
      <c r="V19" s="126" t="n">
        <f aca="false">M19/$R$3</f>
        <v>-1.321</v>
      </c>
      <c r="W19" s="126" t="n">
        <f aca="false">N19/$R$3</f>
        <v>-1.321</v>
      </c>
    </row>
    <row r="20" customFormat="false" ht="12.75" hidden="true" customHeight="false" outlineLevel="0" collapsed="false">
      <c r="A20" s="120" t="n">
        <f aca="false">A19+1</f>
        <v>36906</v>
      </c>
      <c r="B20" s="131" t="str">
        <f aca="false">INDEX('[4]Master Data'!$A$2:$B$8,MATCH(WEEKDAY('TBS Gas MTM'!A20,3),'[4]Master Data'!$A$2:$A$8,0),2)</f>
        <v>M</v>
      </c>
      <c r="D20" s="124" t="n">
        <v>0</v>
      </c>
      <c r="E20" s="124" t="n">
        <v>0</v>
      </c>
      <c r="F20" s="124" t="n">
        <v>0</v>
      </c>
      <c r="G20" s="124" t="n">
        <v>0</v>
      </c>
      <c r="I20" s="124" t="n">
        <f aca="false">IF(MONTH($A20)=MONTH($A19),IF(G20=0,I19,G20),0)</f>
        <v>-1321</v>
      </c>
      <c r="J20" s="124" t="n">
        <f aca="false">IF(MONTH($A20)=MONTH($A19),SUM(I20-I19),I20)</f>
        <v>0</v>
      </c>
      <c r="K20" s="124" t="n">
        <f aca="false">IF(WEEKDAY(A20,3)&gt;4,0,(IF(A20&lt;K$2,0,IF(A20&lt;=K$3,1,0))))</f>
        <v>0</v>
      </c>
      <c r="L20" s="124" t="n">
        <f aca="false">J20*K20</f>
        <v>0</v>
      </c>
      <c r="M20" s="124" t="n">
        <f aca="false">SUM(J$6:J20)</f>
        <v>-1321</v>
      </c>
      <c r="N20" s="124" t="n">
        <f aca="false">SUM(J$6:J20)</f>
        <v>-1321</v>
      </c>
      <c r="P20" s="124" t="n">
        <f aca="false">D20/P$3</f>
        <v>0</v>
      </c>
      <c r="Q20" s="124" t="n">
        <f aca="false">E20/P$3</f>
        <v>0</v>
      </c>
      <c r="R20" s="124" t="n">
        <f aca="false">F20/R$3</f>
        <v>0</v>
      </c>
      <c r="S20" s="126" t="n">
        <f aca="false">J20/$R$3</f>
        <v>0</v>
      </c>
      <c r="T20" s="126" t="n">
        <f aca="false">L20/$R$3</f>
        <v>0</v>
      </c>
      <c r="U20" s="126" t="n">
        <f aca="false">I20/$R$3</f>
        <v>-1.321</v>
      </c>
      <c r="V20" s="126" t="n">
        <f aca="false">M20/$R$3</f>
        <v>-1.321</v>
      </c>
      <c r="W20" s="126" t="n">
        <f aca="false">N20/$R$3</f>
        <v>-1.321</v>
      </c>
    </row>
    <row r="21" customFormat="false" ht="12.75" hidden="true" customHeight="false" outlineLevel="0" collapsed="false">
      <c r="A21" s="120" t="n">
        <f aca="false">A20+1</f>
        <v>36907</v>
      </c>
      <c r="B21" s="131" t="str">
        <f aca="false">INDEX('[4]Master Data'!$A$2:$B$8,MATCH(WEEKDAY('TBS Gas MTM'!A21,3),'[4]Master Data'!$A$2:$A$8,0),2)</f>
        <v>T</v>
      </c>
      <c r="D21" s="124" t="n">
        <v>-151</v>
      </c>
      <c r="E21" s="124" t="n">
        <v>0</v>
      </c>
      <c r="F21" s="124" t="n">
        <v>0</v>
      </c>
      <c r="G21" s="124" t="n">
        <v>-1299</v>
      </c>
      <c r="I21" s="124" t="n">
        <f aca="false">IF(MONTH($A21)=MONTH($A20),IF(G21=0,I20,G21),0)</f>
        <v>-1299</v>
      </c>
      <c r="J21" s="124" t="n">
        <f aca="false">IF(MONTH($A21)=MONTH($A20),SUM(I21-I20),I21)</f>
        <v>22</v>
      </c>
      <c r="K21" s="124" t="n">
        <f aca="false">IF(WEEKDAY(A21,3)&gt;4,0,(IF(A21&lt;K$2,0,IF(A21&lt;=K$3,1,0))))</f>
        <v>0</v>
      </c>
      <c r="L21" s="124" t="n">
        <f aca="false">J21*K21</f>
        <v>0</v>
      </c>
      <c r="M21" s="124" t="n">
        <f aca="false">SUM(J$6:J21)</f>
        <v>-1299</v>
      </c>
      <c r="N21" s="124" t="n">
        <f aca="false">SUM(J$6:J21)</f>
        <v>-1299</v>
      </c>
      <c r="P21" s="124" t="n">
        <f aca="false">D21/P$3</f>
        <v>-0.000151</v>
      </c>
      <c r="Q21" s="124" t="n">
        <f aca="false">E21/P$3</f>
        <v>0</v>
      </c>
      <c r="R21" s="124" t="n">
        <f aca="false">F21/R$3</f>
        <v>0</v>
      </c>
      <c r="S21" s="126" t="n">
        <f aca="false">J21/$R$3</f>
        <v>0.022</v>
      </c>
      <c r="T21" s="126" t="n">
        <f aca="false">L21/$R$3</f>
        <v>0</v>
      </c>
      <c r="U21" s="126" t="n">
        <f aca="false">I21/$R$3</f>
        <v>-1.299</v>
      </c>
      <c r="V21" s="126" t="n">
        <f aca="false">M21/$R$3</f>
        <v>-1.299</v>
      </c>
      <c r="W21" s="126" t="n">
        <f aca="false">N21/$R$3</f>
        <v>-1.299</v>
      </c>
    </row>
    <row r="22" customFormat="false" ht="12.75" hidden="true" customHeight="false" outlineLevel="0" collapsed="false">
      <c r="A22" s="120" t="n">
        <f aca="false">A21+1</f>
        <v>36908</v>
      </c>
      <c r="B22" s="131" t="str">
        <f aca="false">INDEX('[4]Master Data'!$A$2:$B$8,MATCH(WEEKDAY('TBS Gas MTM'!A22,3),'[4]Master Data'!$A$2:$A$8,0),2)</f>
        <v>W</v>
      </c>
      <c r="D22" s="124" t="n">
        <v>-151</v>
      </c>
      <c r="E22" s="124" t="n">
        <v>0</v>
      </c>
      <c r="F22" s="124" t="n">
        <v>0</v>
      </c>
      <c r="G22" s="124" t="n">
        <v>-1403</v>
      </c>
      <c r="I22" s="124" t="n">
        <f aca="false">IF(MONTH($A22)=MONTH($A21),IF(G22=0,I21,G22),0)</f>
        <v>-1403</v>
      </c>
      <c r="J22" s="124" t="n">
        <f aca="false">IF(MONTH($A22)=MONTH($A21),SUM(I22-I21),I22)</f>
        <v>-104</v>
      </c>
      <c r="K22" s="124" t="n">
        <f aca="false">IF(WEEKDAY(A22,3)&gt;4,0,(IF(A22&lt;K$2,0,IF(A22&lt;=K$3,1,0))))</f>
        <v>0</v>
      </c>
      <c r="L22" s="124" t="n">
        <f aca="false">J22*K22</f>
        <v>-0</v>
      </c>
      <c r="M22" s="124" t="n">
        <f aca="false">SUM(J$6:J22)</f>
        <v>-1403</v>
      </c>
      <c r="N22" s="124" t="n">
        <f aca="false">SUM(J$6:J22)</f>
        <v>-1403</v>
      </c>
      <c r="P22" s="124" t="n">
        <f aca="false">D22/P$3</f>
        <v>-0.000151</v>
      </c>
      <c r="Q22" s="124" t="n">
        <f aca="false">E22/P$3</f>
        <v>0</v>
      </c>
      <c r="R22" s="124" t="n">
        <f aca="false">F22/R$3</f>
        <v>0</v>
      </c>
      <c r="S22" s="126" t="n">
        <f aca="false">J22/$R$3</f>
        <v>-0.104</v>
      </c>
      <c r="T22" s="126" t="n">
        <f aca="false">L22/$R$3</f>
        <v>-0</v>
      </c>
      <c r="U22" s="126" t="n">
        <f aca="false">I22/$R$3</f>
        <v>-1.403</v>
      </c>
      <c r="V22" s="126" t="n">
        <f aca="false">M22/$R$3</f>
        <v>-1.403</v>
      </c>
      <c r="W22" s="126" t="n">
        <f aca="false">N22/$R$3</f>
        <v>-1.403</v>
      </c>
    </row>
    <row r="23" customFormat="false" ht="12.75" hidden="true" customHeight="false" outlineLevel="0" collapsed="false">
      <c r="A23" s="120" t="n">
        <f aca="false">A22+1</f>
        <v>36909</v>
      </c>
      <c r="B23" s="131" t="str">
        <f aca="false">INDEX('[4]Master Data'!$A$2:$B$8,MATCH(WEEKDAY('TBS Gas MTM'!A23,3),'[4]Master Data'!$A$2:$A$8,0),2)</f>
        <v>Th</v>
      </c>
      <c r="D23" s="124" t="n">
        <v>-151</v>
      </c>
      <c r="E23" s="124" t="n">
        <v>0</v>
      </c>
      <c r="F23" s="124" t="n">
        <v>0</v>
      </c>
      <c r="G23" s="124" t="n">
        <v>-1408</v>
      </c>
      <c r="I23" s="124" t="n">
        <f aca="false">IF(MONTH($A23)=MONTH($A22),IF(G23=0,I22,G23),0)</f>
        <v>-1408</v>
      </c>
      <c r="J23" s="124" t="n">
        <f aca="false">IF(MONTH($A23)=MONTH($A22),SUM(I23-I22),I23)</f>
        <v>-5</v>
      </c>
      <c r="K23" s="124" t="n">
        <f aca="false">IF(WEEKDAY(A23,3)&gt;4,0,(IF(A23&lt;K$2,0,IF(A23&lt;=K$3,1,0))))</f>
        <v>0</v>
      </c>
      <c r="L23" s="124" t="n">
        <f aca="false">J23*K23</f>
        <v>-0</v>
      </c>
      <c r="M23" s="124" t="n">
        <f aca="false">SUM(J$6:J23)</f>
        <v>-1408</v>
      </c>
      <c r="N23" s="124" t="n">
        <f aca="false">SUM(J$6:J23)</f>
        <v>-1408</v>
      </c>
      <c r="P23" s="124" t="n">
        <f aca="false">D23/P$3</f>
        <v>-0.000151</v>
      </c>
      <c r="Q23" s="124" t="n">
        <f aca="false">E23/P$3</f>
        <v>0</v>
      </c>
      <c r="R23" s="124" t="n">
        <f aca="false">F23/R$3</f>
        <v>0</v>
      </c>
      <c r="S23" s="126" t="n">
        <f aca="false">J23/$R$3</f>
        <v>-0.005</v>
      </c>
      <c r="T23" s="126" t="n">
        <f aca="false">L23/$R$3</f>
        <v>-0</v>
      </c>
      <c r="U23" s="126" t="n">
        <f aca="false">I23/$R$3</f>
        <v>-1.408</v>
      </c>
      <c r="V23" s="126" t="n">
        <f aca="false">M23/$R$3</f>
        <v>-1.408</v>
      </c>
      <c r="W23" s="126" t="n">
        <f aca="false">N23/$R$3</f>
        <v>-1.408</v>
      </c>
    </row>
    <row r="24" customFormat="false" ht="12.75" hidden="true" customHeight="false" outlineLevel="0" collapsed="false">
      <c r="A24" s="120" t="n">
        <f aca="false">A23+1</f>
        <v>36910</v>
      </c>
      <c r="B24" s="131" t="str">
        <f aca="false">INDEX('[4]Master Data'!$A$2:$B$8,MATCH(WEEKDAY('TBS Gas MTM'!A24,3),'[4]Master Data'!$A$2:$A$8,0),2)</f>
        <v>F</v>
      </c>
      <c r="D24" s="124" t="n">
        <v>-151</v>
      </c>
      <c r="E24" s="124" t="n">
        <v>0</v>
      </c>
      <c r="F24" s="124" t="n">
        <v>0</v>
      </c>
      <c r="G24" s="124" t="n">
        <v>-1446</v>
      </c>
      <c r="I24" s="124" t="n">
        <f aca="false">IF(MONTH($A24)=MONTH($A23),IF(G24=0,I23,G24),0)</f>
        <v>-1446</v>
      </c>
      <c r="J24" s="124" t="n">
        <f aca="false">IF(MONTH($A24)=MONTH($A23),SUM(I24-I23),I24)</f>
        <v>-38</v>
      </c>
      <c r="K24" s="124" t="n">
        <f aca="false">IF(WEEKDAY(A24,3)&gt;4,0,(IF(A24&lt;K$2,0,IF(A24&lt;=K$3,1,0))))</f>
        <v>0</v>
      </c>
      <c r="L24" s="124" t="n">
        <f aca="false">J24*K24</f>
        <v>-0</v>
      </c>
      <c r="M24" s="124" t="n">
        <f aca="false">SUM(J$6:J24)</f>
        <v>-1446</v>
      </c>
      <c r="N24" s="124" t="n">
        <f aca="false">SUM(J$6:J24)</f>
        <v>-1446</v>
      </c>
      <c r="P24" s="124" t="n">
        <f aca="false">D24/P$3</f>
        <v>-0.000151</v>
      </c>
      <c r="Q24" s="124" t="n">
        <f aca="false">E24/P$3</f>
        <v>0</v>
      </c>
      <c r="R24" s="124" t="n">
        <f aca="false">F24/R$3</f>
        <v>0</v>
      </c>
      <c r="S24" s="126" t="n">
        <f aca="false">J24/$R$3</f>
        <v>-0.038</v>
      </c>
      <c r="T24" s="126" t="n">
        <f aca="false">L24/$R$3</f>
        <v>-0</v>
      </c>
      <c r="U24" s="126" t="n">
        <f aca="false">I24/$R$3</f>
        <v>-1.446</v>
      </c>
      <c r="V24" s="126" t="n">
        <f aca="false">M24/$R$3</f>
        <v>-1.446</v>
      </c>
      <c r="W24" s="126" t="n">
        <f aca="false">N24/$R$3</f>
        <v>-1.446</v>
      </c>
    </row>
    <row r="25" customFormat="false" ht="12.75" hidden="true" customHeight="false" outlineLevel="0" collapsed="false">
      <c r="A25" s="120" t="n">
        <f aca="false">A24+1</f>
        <v>36911</v>
      </c>
      <c r="B25" s="131" t="str">
        <f aca="false">INDEX('[4]Master Data'!$A$2:$B$8,MATCH(WEEKDAY('TBS Gas MTM'!A25,3),'[4]Master Data'!$A$2:$A$8,0),2)</f>
        <v>Sa</v>
      </c>
      <c r="D25" s="124" t="n">
        <v>0</v>
      </c>
      <c r="E25" s="124" t="n">
        <v>0</v>
      </c>
      <c r="F25" s="124" t="n">
        <v>0</v>
      </c>
      <c r="G25" s="124" t="n">
        <v>0</v>
      </c>
      <c r="I25" s="124" t="n">
        <f aca="false">IF(MONTH($A25)=MONTH($A24),IF(G25=0,I24,G25),0)</f>
        <v>-1446</v>
      </c>
      <c r="J25" s="124" t="n">
        <f aca="false">IF(MONTH($A25)=MONTH($A24),SUM(I25-I24),I25)</f>
        <v>0</v>
      </c>
      <c r="K25" s="124" t="n">
        <f aca="false">IF(WEEKDAY(A25,3)&gt;4,0,(IF(A25&lt;K$2,0,IF(A25&lt;=K$3,1,0))))</f>
        <v>0</v>
      </c>
      <c r="L25" s="124" t="n">
        <f aca="false">J25*K25</f>
        <v>0</v>
      </c>
      <c r="M25" s="124" t="n">
        <f aca="false">SUM(J$6:J25)</f>
        <v>-1446</v>
      </c>
      <c r="N25" s="124" t="n">
        <f aca="false">SUM(J$6:J25)</f>
        <v>-1446</v>
      </c>
      <c r="P25" s="124" t="n">
        <f aca="false">D25/P$3</f>
        <v>0</v>
      </c>
      <c r="Q25" s="124" t="n">
        <f aca="false">E25/P$3</f>
        <v>0</v>
      </c>
      <c r="R25" s="124" t="n">
        <f aca="false">F25/R$3</f>
        <v>0</v>
      </c>
      <c r="S25" s="126" t="n">
        <f aca="false">J25/$R$3</f>
        <v>0</v>
      </c>
      <c r="T25" s="126" t="n">
        <f aca="false">L25/$R$3</f>
        <v>0</v>
      </c>
      <c r="U25" s="126" t="n">
        <f aca="false">I25/$R$3</f>
        <v>-1.446</v>
      </c>
      <c r="V25" s="126" t="n">
        <f aca="false">M25/$R$3</f>
        <v>-1.446</v>
      </c>
      <c r="W25" s="126" t="n">
        <f aca="false">N25/$R$3</f>
        <v>-1.446</v>
      </c>
    </row>
    <row r="26" customFormat="false" ht="12.75" hidden="true" customHeight="false" outlineLevel="0" collapsed="false">
      <c r="A26" s="120" t="n">
        <f aca="false">A25+1</f>
        <v>36912</v>
      </c>
      <c r="B26" s="131" t="str">
        <f aca="false">INDEX('[4]Master Data'!$A$2:$B$8,MATCH(WEEKDAY('TBS Gas MTM'!A26,3),'[4]Master Data'!$A$2:$A$8,0),2)</f>
        <v>Su</v>
      </c>
      <c r="D26" s="124" t="n">
        <v>0</v>
      </c>
      <c r="E26" s="124" t="n">
        <v>0</v>
      </c>
      <c r="F26" s="124" t="n">
        <v>0</v>
      </c>
      <c r="G26" s="124" t="n">
        <v>0</v>
      </c>
      <c r="I26" s="124" t="n">
        <f aca="false">IF(MONTH($A26)=MONTH($A25),IF(G26=0,I25,G26),0)</f>
        <v>-1446</v>
      </c>
      <c r="J26" s="124" t="n">
        <f aca="false">IF(MONTH($A26)=MONTH($A25),SUM(I26-I25),I26)</f>
        <v>0</v>
      </c>
      <c r="K26" s="124" t="n">
        <f aca="false">IF(WEEKDAY(A26,3)&gt;4,0,(IF(A26&lt;K$2,0,IF(A26&lt;=K$3,1,0))))</f>
        <v>0</v>
      </c>
      <c r="L26" s="124" t="n">
        <f aca="false">J26*K26</f>
        <v>0</v>
      </c>
      <c r="M26" s="124" t="n">
        <f aca="false">SUM(J$6:J26)</f>
        <v>-1446</v>
      </c>
      <c r="N26" s="124" t="n">
        <f aca="false">SUM(J$6:J26)</f>
        <v>-1446</v>
      </c>
      <c r="P26" s="124" t="n">
        <f aca="false">D26/P$3</f>
        <v>0</v>
      </c>
      <c r="Q26" s="124" t="n">
        <f aca="false">E26/P$3</f>
        <v>0</v>
      </c>
      <c r="R26" s="124" t="n">
        <f aca="false">F26/R$3</f>
        <v>0</v>
      </c>
      <c r="S26" s="126" t="n">
        <f aca="false">J26/$R$3</f>
        <v>0</v>
      </c>
      <c r="T26" s="126" t="n">
        <f aca="false">L26/$R$3</f>
        <v>0</v>
      </c>
      <c r="U26" s="126" t="n">
        <f aca="false">I26/$R$3</f>
        <v>-1.446</v>
      </c>
      <c r="V26" s="126" t="n">
        <f aca="false">M26/$R$3</f>
        <v>-1.446</v>
      </c>
      <c r="W26" s="126" t="n">
        <f aca="false">N26/$R$3</f>
        <v>-1.446</v>
      </c>
    </row>
    <row r="27" customFormat="false" ht="12.75" hidden="true" customHeight="false" outlineLevel="0" collapsed="false">
      <c r="A27" s="120" t="n">
        <f aca="false">A26+1</f>
        <v>36913</v>
      </c>
      <c r="B27" s="131" t="str">
        <f aca="false">INDEX('[4]Master Data'!$A$2:$B$8,MATCH(WEEKDAY('TBS Gas MTM'!A27,3),'[4]Master Data'!$A$2:$A$8,0),2)</f>
        <v>M</v>
      </c>
      <c r="D27" s="124" t="n">
        <v>-151</v>
      </c>
      <c r="E27" s="124" t="n">
        <v>0</v>
      </c>
      <c r="F27" s="124" t="n">
        <v>0</v>
      </c>
      <c r="G27" s="124" t="n">
        <v>-1308</v>
      </c>
      <c r="I27" s="124" t="n">
        <f aca="false">IF(MONTH($A27)=MONTH($A26),IF(G27=0,I26,G27),0)</f>
        <v>-1308</v>
      </c>
      <c r="J27" s="124" t="n">
        <f aca="false">IF(MONTH($A27)=MONTH($A26),SUM(I27-I26),I27)</f>
        <v>138</v>
      </c>
      <c r="K27" s="124" t="n">
        <f aca="false">IF(WEEKDAY(A27,3)&gt;4,0,(IF(A27&lt;K$2,0,IF(A27&lt;=K$3,1,0))))</f>
        <v>0</v>
      </c>
      <c r="L27" s="124" t="n">
        <f aca="false">J27*K27</f>
        <v>0</v>
      </c>
      <c r="M27" s="124" t="n">
        <f aca="false">SUM(J$6:J27)</f>
        <v>-1308</v>
      </c>
      <c r="N27" s="124" t="n">
        <f aca="false">SUM(J$6:J27)</f>
        <v>-1308</v>
      </c>
      <c r="P27" s="124" t="n">
        <f aca="false">D27/P$3</f>
        <v>-0.000151</v>
      </c>
      <c r="Q27" s="124" t="n">
        <f aca="false">E27/P$3</f>
        <v>0</v>
      </c>
      <c r="R27" s="124" t="n">
        <f aca="false">F27/R$3</f>
        <v>0</v>
      </c>
      <c r="S27" s="126" t="n">
        <f aca="false">J27/$R$3</f>
        <v>0.138</v>
      </c>
      <c r="T27" s="126" t="n">
        <f aca="false">L27/$R$3</f>
        <v>0</v>
      </c>
      <c r="U27" s="126" t="n">
        <f aca="false">I27/$R$3</f>
        <v>-1.308</v>
      </c>
      <c r="V27" s="126" t="n">
        <f aca="false">M27/$R$3</f>
        <v>-1.308</v>
      </c>
      <c r="W27" s="126" t="n">
        <f aca="false">N27/$R$3</f>
        <v>-1.308</v>
      </c>
    </row>
    <row r="28" customFormat="false" ht="12.75" hidden="true" customHeight="false" outlineLevel="0" collapsed="false">
      <c r="A28" s="120" t="n">
        <f aca="false">A27+1</f>
        <v>36914</v>
      </c>
      <c r="B28" s="131" t="str">
        <f aca="false">INDEX('[4]Master Data'!$A$2:$B$8,MATCH(WEEKDAY('TBS Gas MTM'!A28,3),'[4]Master Data'!$A$2:$A$8,0),2)</f>
        <v>T</v>
      </c>
      <c r="D28" s="124" t="n">
        <v>-150.722499999683</v>
      </c>
      <c r="E28" s="124" t="n">
        <v>0</v>
      </c>
      <c r="F28" s="124" t="n">
        <v>0</v>
      </c>
      <c r="G28" s="124" t="n">
        <v>-1217</v>
      </c>
      <c r="I28" s="124" t="n">
        <f aca="false">IF(MONTH($A28)=MONTH($A27),IF(G28=0,I27,G28),0)</f>
        <v>-1217</v>
      </c>
      <c r="J28" s="124" t="n">
        <f aca="false">IF(MONTH($A28)=MONTH($A27),SUM(I28-I27),I28)</f>
        <v>91</v>
      </c>
      <c r="K28" s="124" t="n">
        <f aca="false">IF(WEEKDAY(A28,3)&gt;4,0,(IF(A28&lt;K$2,0,IF(A28&lt;=K$3,1,0))))</f>
        <v>0</v>
      </c>
      <c r="L28" s="124" t="n">
        <f aca="false">J28*K28</f>
        <v>0</v>
      </c>
      <c r="M28" s="124" t="n">
        <f aca="false">SUM(J$6:J28)</f>
        <v>-1217</v>
      </c>
      <c r="N28" s="124" t="n">
        <f aca="false">SUM(J$6:J28)</f>
        <v>-1217</v>
      </c>
      <c r="P28" s="124" t="n">
        <f aca="false">D28/P$3</f>
        <v>-0.000150722499999683</v>
      </c>
      <c r="Q28" s="124" t="n">
        <f aca="false">E28/P$3</f>
        <v>0</v>
      </c>
      <c r="R28" s="124" t="n">
        <f aca="false">F28/R$3</f>
        <v>0</v>
      </c>
      <c r="S28" s="126" t="n">
        <f aca="false">J28/$R$3</f>
        <v>0.091</v>
      </c>
      <c r="T28" s="126" t="n">
        <f aca="false">L28/$R$3</f>
        <v>0</v>
      </c>
      <c r="U28" s="126" t="n">
        <f aca="false">I28/$R$3</f>
        <v>-1.217</v>
      </c>
      <c r="V28" s="126" t="n">
        <f aca="false">M28/$R$3</f>
        <v>-1.217</v>
      </c>
      <c r="W28" s="126" t="n">
        <f aca="false">N28/$R$3</f>
        <v>-1.217</v>
      </c>
    </row>
    <row r="29" customFormat="false" ht="12.75" hidden="true" customHeight="false" outlineLevel="0" collapsed="false">
      <c r="A29" s="120" t="n">
        <f aca="false">A28+1</f>
        <v>36915</v>
      </c>
      <c r="B29" s="131" t="str">
        <f aca="false">INDEX('[4]Master Data'!$A$2:$B$8,MATCH(WEEKDAY('TBS Gas MTM'!A29,3),'[4]Master Data'!$A$2:$A$8,0),2)</f>
        <v>W</v>
      </c>
      <c r="D29" s="124" t="n">
        <v>-150.722499999683</v>
      </c>
      <c r="E29" s="124" t="n">
        <v>0</v>
      </c>
      <c r="F29" s="124" t="n">
        <v>0</v>
      </c>
      <c r="G29" s="124" t="n">
        <v>-1207</v>
      </c>
      <c r="I29" s="124" t="n">
        <f aca="false">IF(MONTH($A29)=MONTH($A28),IF(G29=0,I28,G29),0)</f>
        <v>-1207</v>
      </c>
      <c r="J29" s="124" t="n">
        <f aca="false">IF(MONTH($A29)=MONTH($A28),SUM(I29-I28),I29)</f>
        <v>10</v>
      </c>
      <c r="K29" s="124" t="n">
        <f aca="false">IF(WEEKDAY(A29,3)&gt;4,0,(IF(A29&lt;K$2,0,IF(A29&lt;=K$3,1,0))))</f>
        <v>0</v>
      </c>
      <c r="L29" s="124" t="n">
        <f aca="false">J29*K29</f>
        <v>0</v>
      </c>
      <c r="M29" s="124" t="n">
        <f aca="false">SUM(J$6:J29)</f>
        <v>-1207</v>
      </c>
      <c r="N29" s="124" t="n">
        <f aca="false">SUM(J$6:J29)</f>
        <v>-1207</v>
      </c>
      <c r="P29" s="124" t="n">
        <f aca="false">D29/P$3</f>
        <v>-0.000150722499999683</v>
      </c>
      <c r="Q29" s="124" t="n">
        <f aca="false">E29/P$3</f>
        <v>0</v>
      </c>
      <c r="R29" s="124" t="n">
        <f aca="false">F29/R$3</f>
        <v>0</v>
      </c>
      <c r="S29" s="126" t="n">
        <f aca="false">J29/$R$3</f>
        <v>0.01</v>
      </c>
      <c r="T29" s="126" t="n">
        <f aca="false">L29/$R$3</f>
        <v>0</v>
      </c>
      <c r="U29" s="126" t="n">
        <f aca="false">I29/$R$3</f>
        <v>-1.207</v>
      </c>
      <c r="V29" s="126" t="n">
        <f aca="false">M29/$R$3</f>
        <v>-1.207</v>
      </c>
      <c r="W29" s="126" t="n">
        <f aca="false">N29/$R$3</f>
        <v>-1.207</v>
      </c>
    </row>
    <row r="30" customFormat="false" ht="12.75" hidden="true" customHeight="false" outlineLevel="0" collapsed="false">
      <c r="A30" s="120" t="n">
        <f aca="false">A29+1</f>
        <v>36916</v>
      </c>
      <c r="B30" s="131" t="str">
        <f aca="false">INDEX('[4]Master Data'!$A$2:$B$8,MATCH(WEEKDAY('TBS Gas MTM'!A30,3),'[4]Master Data'!$A$2:$A$8,0),2)</f>
        <v>Th</v>
      </c>
      <c r="D30" s="124" t="n">
        <v>-150.722499999683</v>
      </c>
      <c r="E30" s="124" t="n">
        <v>0</v>
      </c>
      <c r="F30" s="124" t="n">
        <v>0</v>
      </c>
      <c r="G30" s="124" t="n">
        <v>-1256</v>
      </c>
      <c r="I30" s="124" t="n">
        <f aca="false">IF(MONTH($A30)=MONTH($A29),IF(G30=0,I29,G30),0)</f>
        <v>-1256</v>
      </c>
      <c r="J30" s="124" t="n">
        <f aca="false">IF(MONTH($A30)=MONTH($A29),SUM(I30-I29),I30)</f>
        <v>-49</v>
      </c>
      <c r="K30" s="124" t="n">
        <f aca="false">IF(WEEKDAY(A30,3)&gt;4,0,(IF(A30&lt;K$2,0,IF(A30&lt;=K$3,1,0))))</f>
        <v>0</v>
      </c>
      <c r="L30" s="124" t="n">
        <f aca="false">J30*K30</f>
        <v>-0</v>
      </c>
      <c r="M30" s="124" t="n">
        <f aca="false">SUM(J$6:J30)</f>
        <v>-1256</v>
      </c>
      <c r="N30" s="124" t="n">
        <f aca="false">SUM(J$6:J30)</f>
        <v>-1256</v>
      </c>
      <c r="P30" s="124" t="n">
        <f aca="false">D30/P$3</f>
        <v>-0.000150722499999683</v>
      </c>
      <c r="Q30" s="124" t="n">
        <f aca="false">E30/P$3</f>
        <v>0</v>
      </c>
      <c r="R30" s="124" t="n">
        <f aca="false">F30/R$3</f>
        <v>0</v>
      </c>
      <c r="S30" s="126" t="n">
        <f aca="false">J30/$R$3</f>
        <v>-0.049</v>
      </c>
      <c r="T30" s="126" t="n">
        <f aca="false">L30/$R$3</f>
        <v>-0</v>
      </c>
      <c r="U30" s="126" t="n">
        <f aca="false">I30/$R$3</f>
        <v>-1.256</v>
      </c>
      <c r="V30" s="126" t="n">
        <f aca="false">M30/$R$3</f>
        <v>-1.256</v>
      </c>
      <c r="W30" s="126" t="n">
        <f aca="false">N30/$R$3</f>
        <v>-1.256</v>
      </c>
    </row>
    <row r="31" customFormat="false" ht="12.75" hidden="true" customHeight="false" outlineLevel="0" collapsed="false">
      <c r="A31" s="120" t="n">
        <f aca="false">A30+1</f>
        <v>36917</v>
      </c>
      <c r="B31" s="131" t="str">
        <f aca="false">INDEX('[4]Master Data'!$A$2:$B$8,MATCH(WEEKDAY('TBS Gas MTM'!A31,3),'[4]Master Data'!$A$2:$A$8,0),2)</f>
        <v>F</v>
      </c>
      <c r="D31" s="124" t="n">
        <v>-150.722499999683</v>
      </c>
      <c r="E31" s="124" t="n">
        <v>0</v>
      </c>
      <c r="F31" s="124" t="n">
        <v>0</v>
      </c>
      <c r="G31" s="124" t="n">
        <v>-1270</v>
      </c>
      <c r="I31" s="124" t="n">
        <f aca="false">IF(MONTH($A31)=MONTH($A30),IF(G31=0,I30,G31),0)</f>
        <v>-1270</v>
      </c>
      <c r="J31" s="124" t="n">
        <f aca="false">IF(MONTH($A31)=MONTH($A30),SUM(I31-I30),I31)</f>
        <v>-14</v>
      </c>
      <c r="K31" s="124" t="n">
        <f aca="false">IF(WEEKDAY(A31,3)&gt;4,0,(IF(A31&lt;K$2,0,IF(A31&lt;=K$3,1,0))))</f>
        <v>0</v>
      </c>
      <c r="L31" s="124" t="n">
        <f aca="false">J31*K31</f>
        <v>-0</v>
      </c>
      <c r="M31" s="124" t="n">
        <f aca="false">SUM(J$6:J31)</f>
        <v>-1270</v>
      </c>
      <c r="N31" s="124" t="n">
        <f aca="false">SUM(J$6:J31)</f>
        <v>-1270</v>
      </c>
      <c r="P31" s="124" t="n">
        <f aca="false">D31/P$3</f>
        <v>-0.000150722499999683</v>
      </c>
      <c r="Q31" s="124" t="n">
        <f aca="false">E31/P$3</f>
        <v>0</v>
      </c>
      <c r="R31" s="124" t="n">
        <f aca="false">F31/R$3</f>
        <v>0</v>
      </c>
      <c r="S31" s="126" t="n">
        <f aca="false">J31/$R$3</f>
        <v>-0.014</v>
      </c>
      <c r="T31" s="126" t="n">
        <f aca="false">L31/$R$3</f>
        <v>-0</v>
      </c>
      <c r="U31" s="126" t="n">
        <f aca="false">I31/$R$3</f>
        <v>-1.27</v>
      </c>
      <c r="V31" s="126" t="n">
        <f aca="false">M31/$R$3</f>
        <v>-1.27</v>
      </c>
      <c r="W31" s="126" t="n">
        <f aca="false">N31/$R$3</f>
        <v>-1.27</v>
      </c>
    </row>
    <row r="32" customFormat="false" ht="12.75" hidden="true" customHeight="false" outlineLevel="0" collapsed="false">
      <c r="A32" s="120" t="n">
        <f aca="false">A31+1</f>
        <v>36918</v>
      </c>
      <c r="B32" s="131" t="str">
        <f aca="false">INDEX('[4]Master Data'!$A$2:$B$8,MATCH(WEEKDAY('TBS Gas MTM'!A32,3),'[4]Master Data'!$A$2:$A$8,0),2)</f>
        <v>Sa</v>
      </c>
      <c r="D32" s="124" t="n">
        <v>0</v>
      </c>
      <c r="E32" s="124" t="n">
        <v>0</v>
      </c>
      <c r="F32" s="124" t="n">
        <v>0</v>
      </c>
      <c r="G32" s="124" t="n">
        <v>0</v>
      </c>
      <c r="I32" s="124" t="n">
        <f aca="false">IF(MONTH($A32)=MONTH($A31),IF(G32=0,I31,G32),0)</f>
        <v>-1270</v>
      </c>
      <c r="J32" s="124" t="n">
        <f aca="false">IF(MONTH($A32)=MONTH($A31),SUM(I32-I31),I32)</f>
        <v>0</v>
      </c>
      <c r="K32" s="124" t="n">
        <f aca="false">IF(WEEKDAY(A32,3)&gt;4,0,(IF(A32&lt;K$2,0,IF(A32&lt;=K$3,1,0))))</f>
        <v>0</v>
      </c>
      <c r="L32" s="124" t="n">
        <f aca="false">J32*K32</f>
        <v>0</v>
      </c>
      <c r="M32" s="124" t="n">
        <f aca="false">SUM(J$6:J32)</f>
        <v>-1270</v>
      </c>
      <c r="N32" s="124" t="n">
        <f aca="false">SUM(J$6:J32)</f>
        <v>-1270</v>
      </c>
      <c r="P32" s="124" t="n">
        <f aca="false">D32/P$3</f>
        <v>0</v>
      </c>
      <c r="Q32" s="124" t="n">
        <f aca="false">E32/P$3</f>
        <v>0</v>
      </c>
      <c r="R32" s="124" t="n">
        <f aca="false">F32/R$3</f>
        <v>0</v>
      </c>
      <c r="S32" s="126" t="n">
        <f aca="false">J32/$R$3</f>
        <v>0</v>
      </c>
      <c r="T32" s="126" t="n">
        <f aca="false">L32/$R$3</f>
        <v>0</v>
      </c>
      <c r="U32" s="126" t="n">
        <f aca="false">I32/$R$3</f>
        <v>-1.27</v>
      </c>
      <c r="V32" s="126" t="n">
        <f aca="false">M32/$R$3</f>
        <v>-1.27</v>
      </c>
      <c r="W32" s="126" t="n">
        <f aca="false">N32/$R$3</f>
        <v>-1.27</v>
      </c>
    </row>
    <row r="33" customFormat="false" ht="12.75" hidden="true" customHeight="false" outlineLevel="0" collapsed="false">
      <c r="A33" s="120" t="n">
        <f aca="false">A32+1</f>
        <v>36919</v>
      </c>
      <c r="B33" s="131" t="str">
        <f aca="false">INDEX('[4]Master Data'!$A$2:$B$8,MATCH(WEEKDAY('TBS Gas MTM'!A33,3),'[4]Master Data'!$A$2:$A$8,0),2)</f>
        <v>Su</v>
      </c>
      <c r="D33" s="124" t="n">
        <v>0</v>
      </c>
      <c r="E33" s="124" t="n">
        <v>0</v>
      </c>
      <c r="F33" s="124" t="n">
        <v>0</v>
      </c>
      <c r="G33" s="124" t="n">
        <v>0</v>
      </c>
      <c r="I33" s="124" t="n">
        <f aca="false">IF(MONTH($A33)=MONTH($A32),IF(G33=0,I32,G33),0)</f>
        <v>-1270</v>
      </c>
      <c r="J33" s="124" t="n">
        <f aca="false">IF(MONTH($A33)=MONTH($A32),SUM(I33-I32),I33)</f>
        <v>0</v>
      </c>
      <c r="K33" s="124" t="n">
        <f aca="false">IF(WEEKDAY(A33,3)&gt;4,0,(IF(A33&lt;K$2,0,IF(A33&lt;=K$3,1,0))))</f>
        <v>0</v>
      </c>
      <c r="L33" s="124" t="n">
        <f aca="false">J33*K33</f>
        <v>0</v>
      </c>
      <c r="M33" s="124" t="n">
        <f aca="false">SUM(J$6:J33)</f>
        <v>-1270</v>
      </c>
      <c r="N33" s="124" t="n">
        <f aca="false">SUM(J$6:J33)</f>
        <v>-1270</v>
      </c>
      <c r="P33" s="124" t="n">
        <f aca="false">D33/P$3</f>
        <v>0</v>
      </c>
      <c r="Q33" s="124" t="n">
        <f aca="false">E33/P$3</f>
        <v>0</v>
      </c>
      <c r="R33" s="124" t="n">
        <f aca="false">F33/R$3</f>
        <v>0</v>
      </c>
      <c r="S33" s="126" t="n">
        <f aca="false">J33/$R$3</f>
        <v>0</v>
      </c>
      <c r="T33" s="126" t="n">
        <f aca="false">L33/$R$3</f>
        <v>0</v>
      </c>
      <c r="U33" s="126" t="n">
        <f aca="false">I33/$R$3</f>
        <v>-1.27</v>
      </c>
      <c r="V33" s="126" t="n">
        <f aca="false">M33/$R$3</f>
        <v>-1.27</v>
      </c>
      <c r="W33" s="126" t="n">
        <f aca="false">N33/$R$3</f>
        <v>-1.27</v>
      </c>
    </row>
    <row r="34" customFormat="false" ht="12.75" hidden="true" customHeight="false" outlineLevel="0" collapsed="false">
      <c r="A34" s="120" t="n">
        <f aca="false">A33+1</f>
        <v>36920</v>
      </c>
      <c r="B34" s="131" t="str">
        <f aca="false">INDEX('[4]Master Data'!$A$2:$B$8,MATCH(WEEKDAY('TBS Gas MTM'!A34,3),'[4]Master Data'!$A$2:$A$8,0),2)</f>
        <v>M</v>
      </c>
      <c r="D34" s="124" t="n">
        <v>-150.722499999683</v>
      </c>
      <c r="E34" s="124" t="n">
        <v>0</v>
      </c>
      <c r="F34" s="124" t="n">
        <v>0</v>
      </c>
      <c r="G34" s="124" t="n">
        <v>-1258</v>
      </c>
      <c r="I34" s="124" t="n">
        <f aca="false">IF(MONTH($A34)=MONTH($A33),IF(G34=0,I33,G34),0)</f>
        <v>-1258</v>
      </c>
      <c r="J34" s="124" t="n">
        <f aca="false">IF(MONTH($A34)=MONTH($A33),SUM(I34-I33),I34)</f>
        <v>12</v>
      </c>
      <c r="K34" s="124" t="n">
        <f aca="false">IF(WEEKDAY(A34,3)&gt;4,0,(IF(A34&lt;K$2,0,IF(A34&lt;=K$3,1,0))))</f>
        <v>0</v>
      </c>
      <c r="L34" s="124" t="n">
        <f aca="false">J34*K34</f>
        <v>0</v>
      </c>
      <c r="M34" s="124" t="n">
        <f aca="false">SUM(J$6:J34)</f>
        <v>-1258</v>
      </c>
      <c r="N34" s="124" t="n">
        <f aca="false">SUM(J$6:J34)</f>
        <v>-1258</v>
      </c>
      <c r="P34" s="124" t="n">
        <f aca="false">D34/P$3</f>
        <v>-0.000150722499999683</v>
      </c>
      <c r="Q34" s="124" t="n">
        <f aca="false">E34/P$3</f>
        <v>0</v>
      </c>
      <c r="R34" s="124" t="n">
        <f aca="false">F34/R$3</f>
        <v>0</v>
      </c>
      <c r="S34" s="126" t="n">
        <f aca="false">J34/$R$3</f>
        <v>0.012</v>
      </c>
      <c r="T34" s="126" t="n">
        <f aca="false">L34/$R$3</f>
        <v>0</v>
      </c>
      <c r="U34" s="126" t="n">
        <f aca="false">I34/$R$3</f>
        <v>-1.258</v>
      </c>
      <c r="V34" s="126" t="n">
        <f aca="false">M34/$R$3</f>
        <v>-1.258</v>
      </c>
      <c r="W34" s="126" t="n">
        <f aca="false">N34/$R$3</f>
        <v>-1.258</v>
      </c>
    </row>
    <row r="35" customFormat="false" ht="12.75" hidden="true" customHeight="false" outlineLevel="0" collapsed="false">
      <c r="A35" s="120" t="n">
        <f aca="false">A34+1</f>
        <v>36921</v>
      </c>
      <c r="B35" s="131" t="str">
        <f aca="false">INDEX('[4]Master Data'!$A$2:$B$8,MATCH(WEEKDAY('TBS Gas MTM'!A35,3),'[4]Master Data'!$A$2:$A$8,0),2)</f>
        <v>T</v>
      </c>
      <c r="D35" s="124" t="n">
        <v>-150.722499999683</v>
      </c>
      <c r="E35" s="124" t="n">
        <v>0</v>
      </c>
      <c r="F35" s="124" t="n">
        <v>0</v>
      </c>
      <c r="G35" s="124" t="n">
        <v>-1378</v>
      </c>
      <c r="I35" s="124" t="n">
        <f aca="false">IF(MONTH($A35)=MONTH($A34),IF(G35=0,I34,G35),0)</f>
        <v>-1378</v>
      </c>
      <c r="J35" s="124" t="n">
        <f aca="false">IF(MONTH($A35)=MONTH($A34),SUM(I35-I34),I35)</f>
        <v>-120</v>
      </c>
      <c r="K35" s="124" t="n">
        <f aca="false">IF(WEEKDAY(A35,3)&gt;4,0,(IF(A35&lt;K$2,0,IF(A35&lt;=K$3,1,0))))</f>
        <v>0</v>
      </c>
      <c r="L35" s="124" t="n">
        <f aca="false">J35*K35</f>
        <v>-0</v>
      </c>
      <c r="M35" s="124" t="n">
        <f aca="false">SUM(J$6:J35)</f>
        <v>-1378</v>
      </c>
      <c r="N35" s="124" t="n">
        <f aca="false">SUM(J$6:J35)</f>
        <v>-1378</v>
      </c>
      <c r="P35" s="124" t="n">
        <f aca="false">D35/P$3</f>
        <v>-0.000150722499999683</v>
      </c>
      <c r="Q35" s="124" t="n">
        <f aca="false">E35/P$3</f>
        <v>0</v>
      </c>
      <c r="R35" s="124" t="n">
        <f aca="false">F35/R$3</f>
        <v>0</v>
      </c>
      <c r="S35" s="126" t="n">
        <f aca="false">J35/$R$3</f>
        <v>-0.12</v>
      </c>
      <c r="T35" s="126" t="n">
        <f aca="false">L35/$R$3</f>
        <v>-0</v>
      </c>
      <c r="U35" s="126" t="n">
        <f aca="false">I35/$R$3</f>
        <v>-1.378</v>
      </c>
      <c r="V35" s="126" t="n">
        <f aca="false">M35/$R$3</f>
        <v>-1.378</v>
      </c>
      <c r="W35" s="126" t="n">
        <f aca="false">N35/$R$3</f>
        <v>-1.378</v>
      </c>
    </row>
    <row r="36" customFormat="false" ht="12.75" hidden="false" customHeight="false" outlineLevel="0" collapsed="false">
      <c r="A36" s="120" t="n">
        <f aca="false">A35+1</f>
        <v>36922</v>
      </c>
      <c r="B36" s="131" t="str">
        <f aca="false">INDEX('[4]Master Data'!$A$2:$B$8,MATCH(WEEKDAY('TBS Gas MTM'!A36,3),'[4]Master Data'!$A$2:$A$8,0),2)</f>
        <v>W</v>
      </c>
      <c r="D36" s="124" t="n">
        <v>-150.722499999683</v>
      </c>
      <c r="E36" s="124" t="n">
        <v>0</v>
      </c>
      <c r="F36" s="124" t="n">
        <v>0</v>
      </c>
      <c r="G36" s="124" t="n">
        <v>-1549</v>
      </c>
      <c r="I36" s="124" t="n">
        <f aca="false">IF(MONTH($A36)=MONTH($A35),IF(G36=0,I35,G36),0)</f>
        <v>-1549</v>
      </c>
      <c r="J36" s="124" t="n">
        <f aca="false">IF(MONTH($A36)=MONTH($A35),SUM(I36-I35),I36)</f>
        <v>-171</v>
      </c>
      <c r="K36" s="124" t="n">
        <f aca="false">IF(WEEKDAY(A36,3)&gt;4,0,(IF(A36&lt;K$2,0,IF(A36&lt;=K$3,1,0))))</f>
        <v>0</v>
      </c>
      <c r="L36" s="124" t="n">
        <f aca="false">J36*K36</f>
        <v>-0</v>
      </c>
      <c r="M36" s="124" t="n">
        <f aca="false">SUM(J$6:J36)</f>
        <v>-1549</v>
      </c>
      <c r="N36" s="124" t="n">
        <f aca="false">SUM(J$6:J36)</f>
        <v>-1549</v>
      </c>
      <c r="P36" s="124" t="n">
        <f aca="false">D36/P$3</f>
        <v>-0.000150722499999683</v>
      </c>
      <c r="Q36" s="124" t="n">
        <f aca="false">E36/P$3</f>
        <v>0</v>
      </c>
      <c r="R36" s="124" t="n">
        <f aca="false">F36/R$3</f>
        <v>0</v>
      </c>
      <c r="S36" s="126" t="n">
        <f aca="false">J36/$R$3</f>
        <v>-0.171</v>
      </c>
      <c r="T36" s="126" t="n">
        <f aca="false">L36/$R$3</f>
        <v>-0</v>
      </c>
      <c r="U36" s="126" t="n">
        <f aca="false">I36/$R$3</f>
        <v>-1.549</v>
      </c>
      <c r="V36" s="126" t="n">
        <f aca="false">M36/$R$3</f>
        <v>-1.549</v>
      </c>
      <c r="W36" s="126" t="n">
        <f aca="false">N36/$R$3</f>
        <v>-1.549</v>
      </c>
    </row>
    <row r="37" customFormat="false" ht="12.75" hidden="true" customHeight="false" outlineLevel="0" collapsed="false">
      <c r="A37" s="120" t="n">
        <f aca="false">A36+1</f>
        <v>36923</v>
      </c>
      <c r="B37" s="131" t="str">
        <f aca="false">INDEX('[4]Master Data'!$A$2:$B$8,MATCH(WEEKDAY('TBS Gas MTM'!A37,3),'[4]Master Data'!$A$2:$A$8,0),2)</f>
        <v>Th</v>
      </c>
      <c r="D37" s="124" t="n">
        <v>-151</v>
      </c>
      <c r="E37" s="124" t="n">
        <v>0</v>
      </c>
      <c r="F37" s="124" t="n">
        <v>0</v>
      </c>
      <c r="G37" s="124" t="n">
        <v>-65</v>
      </c>
      <c r="I37" s="124" t="n">
        <f aca="false">IF(MONTH($A37)=MONTH($A36),IF(G37=0,I36,G37),G37)</f>
        <v>-65</v>
      </c>
      <c r="J37" s="124" t="n">
        <f aca="false">IF(MONTH($A37)=MONTH($A36),SUM(I37-I36),I37)</f>
        <v>-65</v>
      </c>
      <c r="K37" s="124" t="n">
        <f aca="false">IF(WEEKDAY(A37,3)&gt;4,0,(IF(A37&lt;K$2,0,IF(A37&lt;=K$3,1,0))))</f>
        <v>0</v>
      </c>
      <c r="L37" s="124" t="n">
        <f aca="false">J37*K37</f>
        <v>-0</v>
      </c>
      <c r="M37" s="124" t="n">
        <f aca="false">SUM(J$6:J37)</f>
        <v>-1614</v>
      </c>
      <c r="N37" s="124" t="n">
        <f aca="false">SUM(J$6:J37)</f>
        <v>-1614</v>
      </c>
      <c r="P37" s="124" t="n">
        <f aca="false">D37/P$3</f>
        <v>-0.000151</v>
      </c>
      <c r="Q37" s="124" t="n">
        <f aca="false">E37/P$3</f>
        <v>0</v>
      </c>
      <c r="R37" s="124" t="n">
        <f aca="false">F37/R$3</f>
        <v>0</v>
      </c>
      <c r="S37" s="126" t="n">
        <f aca="false">J37/$R$3</f>
        <v>-0.065</v>
      </c>
      <c r="T37" s="126" t="n">
        <f aca="false">L37/$R$3</f>
        <v>-0</v>
      </c>
      <c r="U37" s="126" t="n">
        <f aca="false">I37/$R$3</f>
        <v>-0.065</v>
      </c>
      <c r="V37" s="126" t="n">
        <f aca="false">M37/$R$3</f>
        <v>-1.614</v>
      </c>
      <c r="W37" s="126" t="n">
        <f aca="false">N37/$R$3</f>
        <v>-1.614</v>
      </c>
    </row>
    <row r="38" customFormat="false" ht="12.75" hidden="true" customHeight="false" outlineLevel="0" collapsed="false">
      <c r="A38" s="120" t="n">
        <f aca="false">A37+1</f>
        <v>36924</v>
      </c>
      <c r="B38" s="131" t="str">
        <f aca="false">INDEX('[4]Master Data'!$A$2:$B$8,MATCH(WEEKDAY('TBS Gas MTM'!A38,3),'[4]Master Data'!$A$2:$A$8,0),2)</f>
        <v>F</v>
      </c>
      <c r="D38" s="124" t="n">
        <v>-151.008099999279</v>
      </c>
      <c r="E38" s="124" t="n">
        <v>0</v>
      </c>
      <c r="F38" s="124" t="n">
        <v>0</v>
      </c>
      <c r="G38" s="124" t="n">
        <v>80</v>
      </c>
      <c r="I38" s="124" t="n">
        <f aca="false">IF(MONTH($A38)=MONTH($A37),IF(G38=0,I37,G38),G38)</f>
        <v>80</v>
      </c>
      <c r="J38" s="124" t="n">
        <f aca="false">IF(MONTH($A38)=MONTH($A37),SUM(I38-I37),I38)</f>
        <v>145</v>
      </c>
      <c r="K38" s="124" t="n">
        <f aca="false">IF(WEEKDAY(A38,3)&gt;4,0,(IF(A38&lt;K$2,0,IF(A38&lt;=K$3,1,0))))</f>
        <v>0</v>
      </c>
      <c r="L38" s="124" t="n">
        <f aca="false">J38*K38</f>
        <v>0</v>
      </c>
      <c r="M38" s="124" t="n">
        <f aca="false">SUM(J$6:J38)</f>
        <v>-1469</v>
      </c>
      <c r="N38" s="124" t="n">
        <f aca="false">SUM(J$6:J38)</f>
        <v>-1469</v>
      </c>
      <c r="P38" s="124" t="n">
        <f aca="false">D38/P$3</f>
        <v>-0.000151008099999279</v>
      </c>
      <c r="Q38" s="124" t="n">
        <f aca="false">E38/P$3</f>
        <v>0</v>
      </c>
      <c r="R38" s="124" t="n">
        <f aca="false">F38/R$3</f>
        <v>0</v>
      </c>
      <c r="S38" s="126" t="n">
        <f aca="false">J38/$R$3</f>
        <v>0.145</v>
      </c>
      <c r="T38" s="126" t="n">
        <f aca="false">L38/$R$3</f>
        <v>0</v>
      </c>
      <c r="U38" s="126" t="n">
        <f aca="false">I38/$R$3</f>
        <v>0.08</v>
      </c>
      <c r="V38" s="126" t="n">
        <f aca="false">M38/$R$3</f>
        <v>-1.469</v>
      </c>
      <c r="W38" s="126" t="n">
        <f aca="false">N38/$R$3</f>
        <v>-1.469</v>
      </c>
    </row>
    <row r="39" customFormat="false" ht="12.75" hidden="true" customHeight="false" outlineLevel="0" collapsed="false">
      <c r="A39" s="120" t="n">
        <f aca="false">A38+1</f>
        <v>36925</v>
      </c>
      <c r="B39" s="131" t="str">
        <f aca="false">INDEX('[4]Master Data'!$A$2:$B$8,MATCH(WEEKDAY('TBS Gas MTM'!A39,3),'[4]Master Data'!$A$2:$A$8,0),2)</f>
        <v>Sa</v>
      </c>
      <c r="D39" s="124" t="n">
        <v>0</v>
      </c>
      <c r="E39" s="124" t="n">
        <v>0</v>
      </c>
      <c r="F39" s="124" t="n">
        <v>0</v>
      </c>
      <c r="G39" s="124" t="n">
        <v>0</v>
      </c>
      <c r="I39" s="124" t="n">
        <f aca="false">IF(MONTH($A39)=MONTH($A38),IF(G39=0,I38,G39),G39)</f>
        <v>80</v>
      </c>
      <c r="J39" s="124" t="n">
        <f aca="false">IF(MONTH($A39)=MONTH($A38),SUM(I39-I38),I39)</f>
        <v>0</v>
      </c>
      <c r="K39" s="124" t="n">
        <f aca="false">IF(WEEKDAY(A39,3)&gt;4,0,(IF(A39&lt;K$2,0,IF(A39&lt;=K$3,1,0))))</f>
        <v>0</v>
      </c>
      <c r="L39" s="124" t="n">
        <f aca="false">J39*K39</f>
        <v>0</v>
      </c>
      <c r="M39" s="124" t="n">
        <f aca="false">SUM(J$6:J39)</f>
        <v>-1469</v>
      </c>
      <c r="N39" s="124" t="n">
        <f aca="false">SUM(J$6:J39)</f>
        <v>-1469</v>
      </c>
      <c r="P39" s="124" t="n">
        <f aca="false">D39/P$3</f>
        <v>0</v>
      </c>
      <c r="Q39" s="124" t="n">
        <f aca="false">E39/P$3</f>
        <v>0</v>
      </c>
      <c r="R39" s="124" t="n">
        <f aca="false">F39/R$3</f>
        <v>0</v>
      </c>
      <c r="S39" s="126" t="n">
        <f aca="false">J39/$R$3</f>
        <v>0</v>
      </c>
      <c r="T39" s="126" t="n">
        <f aca="false">L39/$R$3</f>
        <v>0</v>
      </c>
      <c r="U39" s="126" t="n">
        <f aca="false">I39/$R$3</f>
        <v>0.08</v>
      </c>
      <c r="V39" s="126" t="n">
        <f aca="false">M39/$R$3</f>
        <v>-1.469</v>
      </c>
      <c r="W39" s="126" t="n">
        <f aca="false">N39/$R$3</f>
        <v>-1.469</v>
      </c>
    </row>
    <row r="40" customFormat="false" ht="12.75" hidden="true" customHeight="false" outlineLevel="0" collapsed="false">
      <c r="A40" s="120" t="n">
        <f aca="false">A39+1</f>
        <v>36926</v>
      </c>
      <c r="B40" s="131" t="str">
        <f aca="false">INDEX('[4]Master Data'!$A$2:$B$8,MATCH(WEEKDAY('TBS Gas MTM'!A40,3),'[4]Master Data'!$A$2:$A$8,0),2)</f>
        <v>Su</v>
      </c>
      <c r="D40" s="124" t="n">
        <v>0</v>
      </c>
      <c r="E40" s="124" t="n">
        <v>0</v>
      </c>
      <c r="F40" s="124" t="n">
        <v>0</v>
      </c>
      <c r="G40" s="124" t="n">
        <v>0</v>
      </c>
      <c r="I40" s="124" t="n">
        <f aca="false">IF(MONTH($A40)=MONTH($A39),IF(G40=0,I39,G40),G40)</f>
        <v>80</v>
      </c>
      <c r="J40" s="124" t="n">
        <f aca="false">IF(MONTH($A40)=MONTH($A39),SUM(I40-I39),I40)</f>
        <v>0</v>
      </c>
      <c r="K40" s="124" t="n">
        <f aca="false">IF(WEEKDAY(A40,3)&gt;4,0,(IF(A40&lt;K$2,0,IF(A40&lt;=K$3,1,0))))</f>
        <v>0</v>
      </c>
      <c r="L40" s="124" t="n">
        <f aca="false">J40*K40</f>
        <v>0</v>
      </c>
      <c r="M40" s="124" t="n">
        <f aca="false">SUM(J$6:J40)</f>
        <v>-1469</v>
      </c>
      <c r="N40" s="124" t="n">
        <f aca="false">SUM(J$6:J40)</f>
        <v>-1469</v>
      </c>
      <c r="P40" s="124" t="n">
        <f aca="false">D40/P$3</f>
        <v>0</v>
      </c>
      <c r="Q40" s="124" t="n">
        <f aca="false">E40/P$3</f>
        <v>0</v>
      </c>
      <c r="R40" s="124" t="n">
        <f aca="false">F40/R$3</f>
        <v>0</v>
      </c>
      <c r="S40" s="126" t="n">
        <f aca="false">J40/$R$3</f>
        <v>0</v>
      </c>
      <c r="T40" s="126" t="n">
        <f aca="false">L40/$R$3</f>
        <v>0</v>
      </c>
      <c r="U40" s="126" t="n">
        <f aca="false">I40/$R$3</f>
        <v>0.08</v>
      </c>
      <c r="V40" s="126" t="n">
        <f aca="false">M40/$R$3</f>
        <v>-1.469</v>
      </c>
      <c r="W40" s="126" t="n">
        <f aca="false">N40/$R$3</f>
        <v>-1.469</v>
      </c>
    </row>
    <row r="41" customFormat="false" ht="12.75" hidden="true" customHeight="false" outlineLevel="0" collapsed="false">
      <c r="A41" s="120" t="n">
        <f aca="false">A40+1</f>
        <v>36927</v>
      </c>
      <c r="B41" s="131" t="str">
        <f aca="false">INDEX('[4]Master Data'!$A$2:$B$8,MATCH(WEEKDAY('TBS Gas MTM'!A41,3),'[4]Master Data'!$A$2:$A$8,0),2)</f>
        <v>M</v>
      </c>
      <c r="D41" s="124" t="n">
        <v>-151.008099999279</v>
      </c>
      <c r="E41" s="124" t="n">
        <v>0</v>
      </c>
      <c r="F41" s="124" t="n">
        <v>0</v>
      </c>
      <c r="G41" s="124" t="n">
        <v>152</v>
      </c>
      <c r="I41" s="124" t="n">
        <f aca="false">IF(MONTH($A41)=MONTH($A40),IF(G41=0,I40,G41),G41)</f>
        <v>152</v>
      </c>
      <c r="J41" s="124" t="n">
        <f aca="false">IF(MONTH($A41)=MONTH($A40),SUM(I41-I40),I41)</f>
        <v>72</v>
      </c>
      <c r="K41" s="124" t="n">
        <f aca="false">IF(WEEKDAY(A41,3)&gt;4,0,(IF(A41&lt;K$2,0,IF(A41&lt;=K$3,1,0))))</f>
        <v>0</v>
      </c>
      <c r="L41" s="124" t="n">
        <f aca="false">J41*K41</f>
        <v>0</v>
      </c>
      <c r="M41" s="124" t="n">
        <f aca="false">SUM(J$6:J41)</f>
        <v>-1397</v>
      </c>
      <c r="N41" s="124" t="n">
        <f aca="false">SUM(J$6:J41)</f>
        <v>-1397</v>
      </c>
      <c r="P41" s="124" t="n">
        <f aca="false">D41/P$3</f>
        <v>-0.000151008099999279</v>
      </c>
      <c r="Q41" s="124" t="n">
        <f aca="false">E41/P$3</f>
        <v>0</v>
      </c>
      <c r="R41" s="124" t="n">
        <f aca="false">F41/R$3</f>
        <v>0</v>
      </c>
      <c r="S41" s="126" t="n">
        <f aca="false">J41/$R$3</f>
        <v>0.072</v>
      </c>
      <c r="T41" s="126" t="n">
        <f aca="false">L41/$R$3</f>
        <v>0</v>
      </c>
      <c r="U41" s="126" t="n">
        <f aca="false">I41/$R$3</f>
        <v>0.152</v>
      </c>
      <c r="V41" s="126" t="n">
        <f aca="false">M41/$R$3</f>
        <v>-1.397</v>
      </c>
      <c r="W41" s="126" t="n">
        <f aca="false">N41/$R$3</f>
        <v>-1.397</v>
      </c>
    </row>
    <row r="42" customFormat="false" ht="12.75" hidden="true" customHeight="false" outlineLevel="0" collapsed="false">
      <c r="A42" s="120" t="n">
        <f aca="false">A41+1</f>
        <v>36928</v>
      </c>
      <c r="B42" s="131" t="str">
        <f aca="false">INDEX('[4]Master Data'!$A$2:$B$8,MATCH(WEEKDAY('TBS Gas MTM'!A42,3),'[4]Master Data'!$A$2:$A$8,0),2)</f>
        <v>T</v>
      </c>
      <c r="D42" s="124" t="n">
        <v>-151.008099999279</v>
      </c>
      <c r="E42" s="124" t="n">
        <v>0</v>
      </c>
      <c r="F42" s="124" t="n">
        <v>0</v>
      </c>
      <c r="G42" s="124" t="n">
        <v>219</v>
      </c>
      <c r="I42" s="124" t="n">
        <f aca="false">IF(MONTH($A42)=MONTH($A41),IF(G42=0,I41,G42),G42)</f>
        <v>219</v>
      </c>
      <c r="J42" s="124" t="n">
        <f aca="false">IF(MONTH($A42)=MONTH($A41),SUM(I42-I41),I42)</f>
        <v>67</v>
      </c>
      <c r="K42" s="124" t="n">
        <f aca="false">IF(WEEKDAY(A42,3)&gt;4,0,(IF(A42&lt;K$2,0,IF(A42&lt;=K$3,1,0))))</f>
        <v>0</v>
      </c>
      <c r="L42" s="124" t="n">
        <f aca="false">J42*K42</f>
        <v>0</v>
      </c>
      <c r="M42" s="124" t="n">
        <f aca="false">SUM(J$6:J42)</f>
        <v>-1330</v>
      </c>
      <c r="N42" s="124" t="n">
        <f aca="false">SUM(J$6:J42)</f>
        <v>-1330</v>
      </c>
      <c r="P42" s="124" t="n">
        <f aca="false">D42/P$3</f>
        <v>-0.000151008099999279</v>
      </c>
      <c r="Q42" s="124" t="n">
        <f aca="false">E42/P$3</f>
        <v>0</v>
      </c>
      <c r="R42" s="124" t="n">
        <f aca="false">F42/R$3</f>
        <v>0</v>
      </c>
      <c r="S42" s="126" t="n">
        <f aca="false">J42/$R$3</f>
        <v>0.067</v>
      </c>
      <c r="T42" s="126" t="n">
        <f aca="false">L42/$R$3</f>
        <v>0</v>
      </c>
      <c r="U42" s="126" t="n">
        <f aca="false">I42/$R$3</f>
        <v>0.219</v>
      </c>
      <c r="V42" s="126" t="n">
        <f aca="false">M42/$R$3</f>
        <v>-1.33</v>
      </c>
      <c r="W42" s="126" t="n">
        <f aca="false">N42/$R$3</f>
        <v>-1.33</v>
      </c>
    </row>
    <row r="43" customFormat="false" ht="12.75" hidden="true" customHeight="false" outlineLevel="0" collapsed="false">
      <c r="A43" s="120" t="n">
        <f aca="false">A42+1</f>
        <v>36929</v>
      </c>
      <c r="B43" s="131" t="str">
        <f aca="false">INDEX('[4]Master Data'!$A$2:$B$8,MATCH(WEEKDAY('TBS Gas MTM'!A43,3),'[4]Master Data'!$A$2:$A$8,0),2)</f>
        <v>W</v>
      </c>
      <c r="D43" s="124" t="n">
        <v>-151.008099999279</v>
      </c>
      <c r="E43" s="124" t="n">
        <v>0</v>
      </c>
      <c r="F43" s="124" t="n">
        <v>0</v>
      </c>
      <c r="G43" s="124" t="n">
        <v>169</v>
      </c>
      <c r="I43" s="124" t="n">
        <f aca="false">IF(MONTH($A43)=MONTH($A42),IF(G43=0,I42,G43),G43)</f>
        <v>169</v>
      </c>
      <c r="J43" s="124" t="n">
        <f aca="false">IF(MONTH($A43)=MONTH($A42),SUM(I43-I42),I43)</f>
        <v>-50</v>
      </c>
      <c r="K43" s="124" t="n">
        <f aca="false">IF(WEEKDAY(A43,3)&gt;4,0,(IF(A43&lt;K$2,0,IF(A43&lt;=K$3,1,0))))</f>
        <v>0</v>
      </c>
      <c r="L43" s="124" t="n">
        <f aca="false">J43*K43</f>
        <v>-0</v>
      </c>
      <c r="M43" s="124" t="n">
        <f aca="false">SUM(J$6:J43)</f>
        <v>-1380</v>
      </c>
      <c r="N43" s="124" t="n">
        <f aca="false">SUM(J$6:J43)</f>
        <v>-1380</v>
      </c>
      <c r="P43" s="124" t="n">
        <f aca="false">D43/P$3</f>
        <v>-0.000151008099999279</v>
      </c>
      <c r="Q43" s="124" t="n">
        <f aca="false">E43/P$3</f>
        <v>0</v>
      </c>
      <c r="R43" s="124" t="n">
        <f aca="false">F43/R$3</f>
        <v>0</v>
      </c>
      <c r="S43" s="126" t="n">
        <f aca="false">J43/$R$3</f>
        <v>-0.05</v>
      </c>
      <c r="T43" s="126" t="n">
        <f aca="false">L43/$R$3</f>
        <v>-0</v>
      </c>
      <c r="U43" s="126" t="n">
        <f aca="false">I43/$R$3</f>
        <v>0.169</v>
      </c>
      <c r="V43" s="126" t="n">
        <f aca="false">M43/$R$3</f>
        <v>-1.38</v>
      </c>
      <c r="W43" s="126" t="n">
        <f aca="false">N43/$R$3</f>
        <v>-1.38</v>
      </c>
    </row>
    <row r="44" customFormat="false" ht="12.75" hidden="true" customHeight="false" outlineLevel="0" collapsed="false">
      <c r="A44" s="120" t="n">
        <f aca="false">A43+1</f>
        <v>36930</v>
      </c>
      <c r="B44" s="131" t="str">
        <f aca="false">INDEX('[4]Master Data'!$A$2:$B$8,MATCH(WEEKDAY('TBS Gas MTM'!A44,3),'[4]Master Data'!$A$2:$A$8,0),2)</f>
        <v>Th</v>
      </c>
      <c r="D44" s="124" t="n">
        <v>-151.008099999279</v>
      </c>
      <c r="E44" s="124" t="n">
        <v>0</v>
      </c>
      <c r="F44" s="124" t="n">
        <v>0</v>
      </c>
      <c r="G44" s="124" t="n">
        <v>179</v>
      </c>
      <c r="I44" s="124" t="n">
        <f aca="false">IF(MONTH($A44)=MONTH($A43),IF(G44=0,I43,G44),G44)</f>
        <v>179</v>
      </c>
      <c r="J44" s="124" t="n">
        <f aca="false">IF(MONTH($A44)=MONTH($A43),SUM(I44-I43),I44)</f>
        <v>10</v>
      </c>
      <c r="K44" s="124" t="n">
        <f aca="false">IF(WEEKDAY(A44,3)&gt;4,0,(IF(A44&lt;K$2,0,IF(A44&lt;=K$3,1,0))))</f>
        <v>0</v>
      </c>
      <c r="L44" s="124" t="n">
        <f aca="false">J44*K44</f>
        <v>0</v>
      </c>
      <c r="M44" s="124" t="n">
        <f aca="false">SUM(J$6:J44)</f>
        <v>-1370</v>
      </c>
      <c r="N44" s="124" t="n">
        <f aca="false">SUM(J$6:J44)</f>
        <v>-1370</v>
      </c>
      <c r="P44" s="124" t="n">
        <f aca="false">D44/P$3</f>
        <v>-0.000151008099999279</v>
      </c>
      <c r="Q44" s="124" t="n">
        <f aca="false">E44/P$3</f>
        <v>0</v>
      </c>
      <c r="R44" s="124" t="n">
        <f aca="false">F44/R$3</f>
        <v>0</v>
      </c>
      <c r="S44" s="126" t="n">
        <f aca="false">J44/$R$3</f>
        <v>0.01</v>
      </c>
      <c r="T44" s="126" t="n">
        <f aca="false">L44/$R$3</f>
        <v>0</v>
      </c>
      <c r="U44" s="126" t="n">
        <f aca="false">I44/$R$3</f>
        <v>0.179</v>
      </c>
      <c r="V44" s="126" t="n">
        <f aca="false">M44/$R$3</f>
        <v>-1.37</v>
      </c>
      <c r="W44" s="126" t="n">
        <f aca="false">N44/$R$3</f>
        <v>-1.37</v>
      </c>
    </row>
    <row r="45" customFormat="false" ht="12.75" hidden="true" customHeight="false" outlineLevel="0" collapsed="false">
      <c r="A45" s="120" t="n">
        <f aca="false">A44+1</f>
        <v>36931</v>
      </c>
      <c r="B45" s="131" t="str">
        <f aca="false">INDEX('[4]Master Data'!$A$2:$B$8,MATCH(WEEKDAY('TBS Gas MTM'!A45,3),'[4]Master Data'!$A$2:$A$8,0),2)</f>
        <v>F</v>
      </c>
      <c r="D45" s="124" t="n">
        <v>-151.008099999279</v>
      </c>
      <c r="E45" s="124" t="n">
        <v>0</v>
      </c>
      <c r="F45" s="124" t="n">
        <v>0</v>
      </c>
      <c r="G45" s="124" t="n">
        <v>-1463</v>
      </c>
      <c r="I45" s="124" t="n">
        <f aca="false">IF(MONTH($A45)=MONTH($A44),IF(G45=0,I44,G45),G45)</f>
        <v>-1463</v>
      </c>
      <c r="J45" s="124" t="n">
        <f aca="false">IF(MONTH($A45)=MONTH($A44),SUM(I45-I44),I45)</f>
        <v>-1642</v>
      </c>
      <c r="K45" s="124" t="n">
        <f aca="false">IF(WEEKDAY(A45,3)&gt;4,0,(IF(A45&lt;K$2,0,IF(A45&lt;=K$3,1,0))))</f>
        <v>0</v>
      </c>
      <c r="L45" s="124" t="n">
        <f aca="false">J45*K45</f>
        <v>-0</v>
      </c>
      <c r="M45" s="124" t="n">
        <f aca="false">SUM(J$6:J45)</f>
        <v>-3012</v>
      </c>
      <c r="N45" s="124" t="n">
        <f aca="false">SUM(J$6:J45)</f>
        <v>-3012</v>
      </c>
      <c r="P45" s="124" t="n">
        <f aca="false">D45/P$3</f>
        <v>-0.000151008099999279</v>
      </c>
      <c r="Q45" s="124" t="n">
        <f aca="false">E45/P$3</f>
        <v>0</v>
      </c>
      <c r="R45" s="124" t="n">
        <f aca="false">F45/R$3</f>
        <v>0</v>
      </c>
      <c r="S45" s="126" t="n">
        <f aca="false">J45/$R$3</f>
        <v>-1.642</v>
      </c>
      <c r="T45" s="126" t="n">
        <f aca="false">L45/$R$3</f>
        <v>-0</v>
      </c>
      <c r="U45" s="126" t="n">
        <f aca="false">I45/$R$3</f>
        <v>-1.463</v>
      </c>
      <c r="V45" s="126" t="n">
        <f aca="false">M45/$R$3</f>
        <v>-3.012</v>
      </c>
      <c r="W45" s="126" t="n">
        <f aca="false">N45/$R$3</f>
        <v>-3.012</v>
      </c>
    </row>
    <row r="46" customFormat="false" ht="12.75" hidden="true" customHeight="false" outlineLevel="0" collapsed="false">
      <c r="A46" s="120" t="n">
        <f aca="false">A45+1</f>
        <v>36932</v>
      </c>
      <c r="B46" s="131" t="str">
        <f aca="false">INDEX('[4]Master Data'!$A$2:$B$8,MATCH(WEEKDAY('TBS Gas MTM'!A46,3),'[4]Master Data'!$A$2:$A$8,0),2)</f>
        <v>Sa</v>
      </c>
      <c r="D46" s="124" t="n">
        <v>0</v>
      </c>
      <c r="E46" s="124" t="n">
        <v>0</v>
      </c>
      <c r="F46" s="124" t="n">
        <v>0</v>
      </c>
      <c r="G46" s="124" t="n">
        <v>0</v>
      </c>
      <c r="I46" s="124" t="n">
        <f aca="false">IF(MONTH($A46)=MONTH($A45),IF(G46=0,I45,G46),G46)</f>
        <v>-1463</v>
      </c>
      <c r="J46" s="124" t="n">
        <f aca="false">IF(MONTH($A46)=MONTH($A45),SUM(I46-I45),I46)</f>
        <v>0</v>
      </c>
      <c r="K46" s="124" t="n">
        <f aca="false">IF(WEEKDAY(A46,3)&gt;4,0,(IF(A46&lt;K$2,0,IF(A46&lt;=K$3,1,0))))</f>
        <v>0</v>
      </c>
      <c r="L46" s="124" t="n">
        <f aca="false">J46*K46</f>
        <v>0</v>
      </c>
      <c r="M46" s="124" t="n">
        <f aca="false">SUM(J$6:J46)</f>
        <v>-3012</v>
      </c>
      <c r="N46" s="124" t="n">
        <f aca="false">SUM(J$6:J46)</f>
        <v>-3012</v>
      </c>
      <c r="P46" s="124" t="n">
        <f aca="false">D46/P$3</f>
        <v>0</v>
      </c>
      <c r="Q46" s="124" t="n">
        <f aca="false">E46/P$3</f>
        <v>0</v>
      </c>
      <c r="R46" s="124" t="n">
        <f aca="false">F46/R$3</f>
        <v>0</v>
      </c>
      <c r="S46" s="126" t="n">
        <f aca="false">J46/$R$3</f>
        <v>0</v>
      </c>
      <c r="T46" s="126" t="n">
        <f aca="false">L46/$R$3</f>
        <v>0</v>
      </c>
      <c r="U46" s="126" t="n">
        <f aca="false">I46/$R$3</f>
        <v>-1.463</v>
      </c>
      <c r="V46" s="126" t="n">
        <f aca="false">M46/$R$3</f>
        <v>-3.012</v>
      </c>
      <c r="W46" s="126" t="n">
        <f aca="false">N46/$R$3</f>
        <v>-3.012</v>
      </c>
    </row>
    <row r="47" customFormat="false" ht="12.75" hidden="true" customHeight="false" outlineLevel="0" collapsed="false">
      <c r="A47" s="120" t="n">
        <f aca="false">A46+1</f>
        <v>36933</v>
      </c>
      <c r="B47" s="131" t="str">
        <f aca="false">INDEX('[4]Master Data'!$A$2:$B$8,MATCH(WEEKDAY('TBS Gas MTM'!A47,3),'[4]Master Data'!$A$2:$A$8,0),2)</f>
        <v>Su</v>
      </c>
      <c r="D47" s="124" t="n">
        <v>0</v>
      </c>
      <c r="E47" s="124" t="n">
        <v>0</v>
      </c>
      <c r="F47" s="124" t="n">
        <v>0</v>
      </c>
      <c r="G47" s="124" t="n">
        <v>0</v>
      </c>
      <c r="I47" s="124" t="n">
        <f aca="false">IF(MONTH($A47)=MONTH($A46),IF(G47=0,I46,G47),G47)</f>
        <v>-1463</v>
      </c>
      <c r="J47" s="124" t="n">
        <f aca="false">IF(MONTH($A47)=MONTH($A46),SUM(I47-I46),I47)</f>
        <v>0</v>
      </c>
      <c r="K47" s="124" t="n">
        <f aca="false">IF(WEEKDAY(A47,3)&gt;4,0,(IF(A47&lt;K$2,0,IF(A47&lt;=K$3,1,0))))</f>
        <v>0</v>
      </c>
      <c r="L47" s="124" t="n">
        <f aca="false">J47*K47</f>
        <v>0</v>
      </c>
      <c r="M47" s="124" t="n">
        <f aca="false">SUM(J$6:J47)</f>
        <v>-3012</v>
      </c>
      <c r="N47" s="124" t="n">
        <f aca="false">SUM(J$6:J47)</f>
        <v>-3012</v>
      </c>
      <c r="P47" s="124" t="n">
        <f aca="false">D47/P$3</f>
        <v>0</v>
      </c>
      <c r="Q47" s="124" t="n">
        <f aca="false">E47/P$3</f>
        <v>0</v>
      </c>
      <c r="R47" s="124" t="n">
        <f aca="false">F47/R$3</f>
        <v>0</v>
      </c>
      <c r="S47" s="126" t="n">
        <f aca="false">J47/$R$3</f>
        <v>0</v>
      </c>
      <c r="T47" s="126" t="n">
        <f aca="false">L47/$R$3</f>
        <v>0</v>
      </c>
      <c r="U47" s="126" t="n">
        <f aca="false">I47/$R$3</f>
        <v>-1.463</v>
      </c>
      <c r="V47" s="126" t="n">
        <f aca="false">M47/$R$3</f>
        <v>-3.012</v>
      </c>
      <c r="W47" s="126" t="n">
        <f aca="false">N47/$R$3</f>
        <v>-3.012</v>
      </c>
    </row>
    <row r="48" customFormat="false" ht="12.75" hidden="true" customHeight="false" outlineLevel="0" collapsed="false">
      <c r="A48" s="120" t="n">
        <f aca="false">A47+1</f>
        <v>36934</v>
      </c>
      <c r="B48" s="131" t="str">
        <f aca="false">INDEX('[4]Master Data'!$A$2:$B$8,MATCH(WEEKDAY('TBS Gas MTM'!A48,3),'[4]Master Data'!$A$2:$A$8,0),2)</f>
        <v>M</v>
      </c>
      <c r="D48" s="124" t="n">
        <v>-151.008099999279</v>
      </c>
      <c r="E48" s="124" t="n">
        <v>0</v>
      </c>
      <c r="F48" s="124" t="n">
        <v>0</v>
      </c>
      <c r="G48" s="124" t="n">
        <v>-1418</v>
      </c>
      <c r="I48" s="124" t="n">
        <f aca="false">IF(MONTH($A48)=MONTH($A47),IF(G48=0,I47,G48),G48)</f>
        <v>-1418</v>
      </c>
      <c r="J48" s="124" t="n">
        <f aca="false">IF(MONTH($A48)=MONTH($A47),SUM(I48-I47),I48)</f>
        <v>45</v>
      </c>
      <c r="K48" s="124" t="n">
        <f aca="false">IF(WEEKDAY(A48,3)&gt;4,0,(IF(A48&lt;K$2,0,IF(A48&lt;=K$3,1,0))))</f>
        <v>0</v>
      </c>
      <c r="L48" s="124" t="n">
        <f aca="false">J48*K48</f>
        <v>0</v>
      </c>
      <c r="M48" s="124" t="n">
        <f aca="false">SUM(J$6:J48)</f>
        <v>-2967</v>
      </c>
      <c r="N48" s="124" t="n">
        <f aca="false">SUM(J$6:J48)</f>
        <v>-2967</v>
      </c>
      <c r="P48" s="124" t="n">
        <f aca="false">D48/P$3</f>
        <v>-0.000151008099999279</v>
      </c>
      <c r="Q48" s="124" t="n">
        <f aca="false">E48/P$3</f>
        <v>0</v>
      </c>
      <c r="R48" s="124" t="n">
        <f aca="false">F48/R$3</f>
        <v>0</v>
      </c>
      <c r="S48" s="126" t="n">
        <f aca="false">J48/$R$3</f>
        <v>0.045</v>
      </c>
      <c r="T48" s="126" t="n">
        <f aca="false">L48/$R$3</f>
        <v>0</v>
      </c>
      <c r="U48" s="126" t="n">
        <f aca="false">I48/$R$3</f>
        <v>-1.418</v>
      </c>
      <c r="V48" s="126" t="n">
        <f aca="false">M48/$R$3</f>
        <v>-2.967</v>
      </c>
      <c r="W48" s="126" t="n">
        <f aca="false">N48/$R$3</f>
        <v>-2.967</v>
      </c>
    </row>
    <row r="49" customFormat="false" ht="12.75" hidden="true" customHeight="false" outlineLevel="0" collapsed="false">
      <c r="A49" s="120" t="n">
        <f aca="false">A48+1</f>
        <v>36935</v>
      </c>
      <c r="B49" s="131" t="str">
        <f aca="false">INDEX('[4]Master Data'!$A$2:$B$8,MATCH(WEEKDAY('TBS Gas MTM'!A49,3),'[4]Master Data'!$A$2:$A$8,0),2)</f>
        <v>T</v>
      </c>
      <c r="D49" s="124" t="n">
        <v>-151.008099999279</v>
      </c>
      <c r="E49" s="124" t="n">
        <v>0</v>
      </c>
      <c r="F49" s="124" t="n">
        <v>0</v>
      </c>
      <c r="G49" s="124" t="n">
        <v>-1371</v>
      </c>
      <c r="I49" s="124" t="n">
        <f aca="false">IF(MONTH($A49)=MONTH($A48),IF(G49=0,I48,G49),G49)</f>
        <v>-1371</v>
      </c>
      <c r="J49" s="124" t="n">
        <f aca="false">IF(MONTH($A49)=MONTH($A48),SUM(I49-I48),I49)</f>
        <v>47</v>
      </c>
      <c r="K49" s="124" t="n">
        <f aca="false">IF(WEEKDAY(A49,3)&gt;4,0,(IF(A49&lt;K$2,0,IF(A49&lt;=K$3,1,0))))</f>
        <v>0</v>
      </c>
      <c r="L49" s="124" t="n">
        <f aca="false">J49*K49</f>
        <v>0</v>
      </c>
      <c r="M49" s="124" t="n">
        <f aca="false">SUM(J$6:J49)</f>
        <v>-2920</v>
      </c>
      <c r="N49" s="124" t="n">
        <f aca="false">SUM(J$6:J49)</f>
        <v>-2920</v>
      </c>
      <c r="P49" s="124" t="n">
        <f aca="false">D49/P$3</f>
        <v>-0.000151008099999279</v>
      </c>
      <c r="Q49" s="124" t="n">
        <f aca="false">E49/P$3</f>
        <v>0</v>
      </c>
      <c r="R49" s="124" t="n">
        <f aca="false">F49/R$3</f>
        <v>0</v>
      </c>
      <c r="S49" s="126" t="n">
        <f aca="false">J49/$R$3</f>
        <v>0.047</v>
      </c>
      <c r="T49" s="126" t="n">
        <f aca="false">L49/$R$3</f>
        <v>0</v>
      </c>
      <c r="U49" s="126" t="n">
        <f aca="false">I49/$R$3</f>
        <v>-1.371</v>
      </c>
      <c r="V49" s="126" t="n">
        <f aca="false">M49/$R$3</f>
        <v>-2.92</v>
      </c>
      <c r="W49" s="126" t="n">
        <f aca="false">N49/$R$3</f>
        <v>-2.92</v>
      </c>
    </row>
    <row r="50" customFormat="false" ht="12.75" hidden="true" customHeight="false" outlineLevel="0" collapsed="false">
      <c r="A50" s="120" t="n">
        <f aca="false">A49+1</f>
        <v>36936</v>
      </c>
      <c r="B50" s="131" t="str">
        <f aca="false">INDEX('[4]Master Data'!$A$2:$B$8,MATCH(WEEKDAY('TBS Gas MTM'!A50,3),'[4]Master Data'!$A$2:$A$8,0),2)</f>
        <v>W</v>
      </c>
      <c r="D50" s="124" t="n">
        <v>-151.008099999279</v>
      </c>
      <c r="E50" s="124" t="n">
        <v>0</v>
      </c>
      <c r="F50" s="124" t="n">
        <v>0</v>
      </c>
      <c r="G50" s="124" t="n">
        <v>-1241</v>
      </c>
      <c r="I50" s="124" t="n">
        <f aca="false">IF(MONTH($A50)=MONTH($A49),IF(G50=0,I49,G50),G50)</f>
        <v>-1241</v>
      </c>
      <c r="J50" s="124" t="n">
        <f aca="false">IF(MONTH($A50)=MONTH($A49),SUM(I50-I49),I50)</f>
        <v>130</v>
      </c>
      <c r="K50" s="124" t="n">
        <f aca="false">IF(WEEKDAY(A50,3)&gt;4,0,(IF(A50&lt;K$2,0,IF(A50&lt;=K$3,1,0))))</f>
        <v>0</v>
      </c>
      <c r="L50" s="124" t="n">
        <f aca="false">J50*K50</f>
        <v>0</v>
      </c>
      <c r="M50" s="124" t="n">
        <f aca="false">SUM(J$6:J50)</f>
        <v>-2790</v>
      </c>
      <c r="N50" s="124" t="n">
        <f aca="false">SUM(J$6:J50)</f>
        <v>-2790</v>
      </c>
      <c r="P50" s="124" t="n">
        <f aca="false">D50/P$3</f>
        <v>-0.000151008099999279</v>
      </c>
      <c r="Q50" s="124" t="n">
        <f aca="false">E50/P$3</f>
        <v>0</v>
      </c>
      <c r="R50" s="124" t="n">
        <f aca="false">F50/R$3</f>
        <v>0</v>
      </c>
      <c r="S50" s="126" t="n">
        <f aca="false">J50/$R$3</f>
        <v>0.13</v>
      </c>
      <c r="T50" s="126" t="n">
        <f aca="false">L50/$R$3</f>
        <v>0</v>
      </c>
      <c r="U50" s="126" t="n">
        <f aca="false">I50/$R$3</f>
        <v>-1.241</v>
      </c>
      <c r="V50" s="126" t="n">
        <f aca="false">M50/$R$3</f>
        <v>-2.79</v>
      </c>
      <c r="W50" s="126" t="n">
        <f aca="false">N50/$R$3</f>
        <v>-2.79</v>
      </c>
    </row>
    <row r="51" customFormat="false" ht="12.75" hidden="true" customHeight="false" outlineLevel="0" collapsed="false">
      <c r="A51" s="120" t="n">
        <f aca="false">A50+1</f>
        <v>36937</v>
      </c>
      <c r="B51" s="131" t="str">
        <f aca="false">INDEX('[4]Master Data'!$A$2:$B$8,MATCH(WEEKDAY('TBS Gas MTM'!A51,3),'[4]Master Data'!$A$2:$A$8,0),2)</f>
        <v>Th</v>
      </c>
      <c r="D51" s="124" t="n">
        <v>-151.008099999279</v>
      </c>
      <c r="E51" s="124" t="n">
        <v>0</v>
      </c>
      <c r="F51" s="124" t="n">
        <v>0</v>
      </c>
      <c r="G51" s="124" t="n">
        <v>-1171</v>
      </c>
      <c r="I51" s="124" t="n">
        <f aca="false">IF(MONTH($A51)=MONTH($A50),IF(G51=0,I50,G51),G51)</f>
        <v>-1171</v>
      </c>
      <c r="J51" s="124" t="n">
        <f aca="false">IF(MONTH($A51)=MONTH($A50),SUM(I51-I50),I51)</f>
        <v>70</v>
      </c>
      <c r="K51" s="124" t="n">
        <f aca="false">IF(WEEKDAY(A51,3)&gt;4,0,(IF(A51&lt;K$2,0,IF(A51&lt;=K$3,1,0))))</f>
        <v>0</v>
      </c>
      <c r="L51" s="124" t="n">
        <f aca="false">J51*K51</f>
        <v>0</v>
      </c>
      <c r="M51" s="124" t="n">
        <f aca="false">SUM(J$6:J51)</f>
        <v>-2720</v>
      </c>
      <c r="N51" s="124" t="n">
        <f aca="false">SUM(J$6:J51)</f>
        <v>-2720</v>
      </c>
      <c r="P51" s="124" t="n">
        <f aca="false">D51/P$3</f>
        <v>-0.000151008099999279</v>
      </c>
      <c r="Q51" s="124" t="n">
        <f aca="false">E51/P$3</f>
        <v>0</v>
      </c>
      <c r="R51" s="124" t="n">
        <f aca="false">F51/R$3</f>
        <v>0</v>
      </c>
      <c r="S51" s="126" t="n">
        <f aca="false">J51/$R$3</f>
        <v>0.07</v>
      </c>
      <c r="T51" s="126" t="n">
        <f aca="false">L51/$R$3</f>
        <v>0</v>
      </c>
      <c r="U51" s="126" t="n">
        <f aca="false">I51/$R$3</f>
        <v>-1.171</v>
      </c>
      <c r="V51" s="126" t="n">
        <f aca="false">M51/$R$3</f>
        <v>-2.72</v>
      </c>
      <c r="W51" s="126" t="n">
        <f aca="false">N51/$R$3</f>
        <v>-2.72</v>
      </c>
    </row>
    <row r="52" customFormat="false" ht="12.75" hidden="true" customHeight="false" outlineLevel="0" collapsed="false">
      <c r="A52" s="120" t="n">
        <f aca="false">A51+1</f>
        <v>36938</v>
      </c>
      <c r="B52" s="131" t="str">
        <f aca="false">INDEX('[4]Master Data'!$A$2:$B$8,MATCH(WEEKDAY('TBS Gas MTM'!A52,3),'[4]Master Data'!$A$2:$A$8,0),2)</f>
        <v>F</v>
      </c>
      <c r="D52" s="124" t="n">
        <v>-151.008099999279</v>
      </c>
      <c r="E52" s="124" t="n">
        <v>0</v>
      </c>
      <c r="F52" s="124" t="n">
        <v>0</v>
      </c>
      <c r="G52" s="124" t="n">
        <v>-1325</v>
      </c>
      <c r="I52" s="124" t="n">
        <f aca="false">IF(MONTH($A52)=MONTH($A51),IF(G52=0,I51,G52),G52)</f>
        <v>-1325</v>
      </c>
      <c r="J52" s="124" t="n">
        <f aca="false">IF(MONTH($A52)=MONTH($A51),SUM(I52-I51),I52)</f>
        <v>-154</v>
      </c>
      <c r="K52" s="124" t="n">
        <f aca="false">IF(WEEKDAY(A52,3)&gt;4,0,(IF(A52&lt;K$2,0,IF(A52&lt;=K$3,1,0))))</f>
        <v>0</v>
      </c>
      <c r="L52" s="124" t="n">
        <f aca="false">J52*K52</f>
        <v>-0</v>
      </c>
      <c r="M52" s="124" t="n">
        <f aca="false">SUM(J$6:J52)</f>
        <v>-2874</v>
      </c>
      <c r="N52" s="124" t="n">
        <f aca="false">SUM(J$6:J52)</f>
        <v>-2874</v>
      </c>
      <c r="P52" s="124" t="n">
        <f aca="false">D52/P$3</f>
        <v>-0.000151008099999279</v>
      </c>
      <c r="Q52" s="124" t="n">
        <f aca="false">E52/P$3</f>
        <v>0</v>
      </c>
      <c r="R52" s="124" t="n">
        <f aca="false">F52/R$3</f>
        <v>0</v>
      </c>
      <c r="S52" s="126" t="n">
        <f aca="false">J52/$R$3</f>
        <v>-0.154</v>
      </c>
      <c r="T52" s="126" t="n">
        <f aca="false">L52/$R$3</f>
        <v>-0</v>
      </c>
      <c r="U52" s="126" t="n">
        <f aca="false">I52/$R$3</f>
        <v>-1.325</v>
      </c>
      <c r="V52" s="126" t="n">
        <f aca="false">M52/$R$3</f>
        <v>-2.874</v>
      </c>
      <c r="W52" s="126" t="n">
        <f aca="false">N52/$R$3</f>
        <v>-2.874</v>
      </c>
    </row>
    <row r="53" customFormat="false" ht="12.75" hidden="true" customHeight="false" outlineLevel="0" collapsed="false">
      <c r="A53" s="120" t="n">
        <f aca="false">A52+1</f>
        <v>36939</v>
      </c>
      <c r="B53" s="131" t="str">
        <f aca="false">INDEX('[4]Master Data'!$A$2:$B$8,MATCH(WEEKDAY('TBS Gas MTM'!A53,3),'[4]Master Data'!$A$2:$A$8,0),2)</f>
        <v>Sa</v>
      </c>
      <c r="D53" s="124" t="n">
        <v>0</v>
      </c>
      <c r="E53" s="124" t="n">
        <v>0</v>
      </c>
      <c r="F53" s="124" t="n">
        <v>0</v>
      </c>
      <c r="G53" s="124" t="n">
        <v>0</v>
      </c>
      <c r="I53" s="124" t="n">
        <f aca="false">IF(MONTH($A53)=MONTH($A52),IF(G53=0,I52,G53),G53)</f>
        <v>-1325</v>
      </c>
      <c r="J53" s="124" t="n">
        <f aca="false">IF(MONTH($A53)=MONTH($A52),SUM(I53-I52),I53)</f>
        <v>0</v>
      </c>
      <c r="K53" s="124" t="n">
        <f aca="false">IF(WEEKDAY(A53,3)&gt;4,0,(IF(A53&lt;K$2,0,IF(A53&lt;=K$3,1,0))))</f>
        <v>0</v>
      </c>
      <c r="L53" s="124" t="n">
        <f aca="false">J53*K53</f>
        <v>0</v>
      </c>
      <c r="M53" s="124" t="n">
        <f aca="false">SUM(J$6:J53)</f>
        <v>-2874</v>
      </c>
      <c r="N53" s="124" t="n">
        <f aca="false">SUM(J$6:J53)</f>
        <v>-2874</v>
      </c>
      <c r="P53" s="124" t="n">
        <f aca="false">D53/P$3</f>
        <v>0</v>
      </c>
      <c r="Q53" s="124" t="n">
        <f aca="false">E53/P$3</f>
        <v>0</v>
      </c>
      <c r="R53" s="124" t="n">
        <f aca="false">F53/R$3</f>
        <v>0</v>
      </c>
      <c r="S53" s="126" t="n">
        <f aca="false">J53/$R$3</f>
        <v>0</v>
      </c>
      <c r="T53" s="126" t="n">
        <f aca="false">L53/$R$3</f>
        <v>0</v>
      </c>
      <c r="U53" s="126" t="n">
        <f aca="false">I53/$R$3</f>
        <v>-1.325</v>
      </c>
      <c r="V53" s="126" t="n">
        <f aca="false">M53/$R$3</f>
        <v>-2.874</v>
      </c>
      <c r="W53" s="126" t="n">
        <f aca="false">N53/$R$3</f>
        <v>-2.874</v>
      </c>
    </row>
    <row r="54" customFormat="false" ht="12.75" hidden="true" customHeight="false" outlineLevel="0" collapsed="false">
      <c r="A54" s="120" t="n">
        <f aca="false">A53+1</f>
        <v>36940</v>
      </c>
      <c r="B54" s="131" t="str">
        <f aca="false">INDEX('[4]Master Data'!$A$2:$B$8,MATCH(WEEKDAY('TBS Gas MTM'!A54,3),'[4]Master Data'!$A$2:$A$8,0),2)</f>
        <v>Su</v>
      </c>
      <c r="D54" s="124" t="n">
        <v>0</v>
      </c>
      <c r="E54" s="124" t="n">
        <v>0</v>
      </c>
      <c r="F54" s="124" t="n">
        <v>0</v>
      </c>
      <c r="G54" s="124" t="n">
        <v>0</v>
      </c>
      <c r="I54" s="124" t="n">
        <f aca="false">IF(MONTH($A54)=MONTH($A53),IF(G54=0,I53,G54),G54)</f>
        <v>-1325</v>
      </c>
      <c r="J54" s="124" t="n">
        <f aca="false">IF(MONTH($A54)=MONTH($A53),SUM(I54-I53),I54)</f>
        <v>0</v>
      </c>
      <c r="K54" s="124" t="n">
        <f aca="false">IF(WEEKDAY(A54,3)&gt;4,0,(IF(A54&lt;K$2,0,IF(A54&lt;=K$3,1,0))))</f>
        <v>0</v>
      </c>
      <c r="L54" s="124" t="n">
        <f aca="false">J54*K54</f>
        <v>0</v>
      </c>
      <c r="M54" s="124" t="n">
        <f aca="false">SUM(J$6:J54)</f>
        <v>-2874</v>
      </c>
      <c r="N54" s="124" t="n">
        <f aca="false">SUM(J$6:J54)</f>
        <v>-2874</v>
      </c>
      <c r="P54" s="124" t="n">
        <f aca="false">D54/P$3</f>
        <v>0</v>
      </c>
      <c r="Q54" s="124" t="n">
        <f aca="false">E54/P$3</f>
        <v>0</v>
      </c>
      <c r="R54" s="124" t="n">
        <f aca="false">F54/R$3</f>
        <v>0</v>
      </c>
      <c r="S54" s="126" t="n">
        <f aca="false">J54/$R$3</f>
        <v>0</v>
      </c>
      <c r="T54" s="126" t="n">
        <f aca="false">L54/$R$3</f>
        <v>0</v>
      </c>
      <c r="U54" s="126" t="n">
        <f aca="false">I54/$R$3</f>
        <v>-1.325</v>
      </c>
      <c r="V54" s="126" t="n">
        <f aca="false">M54/$R$3</f>
        <v>-2.874</v>
      </c>
      <c r="W54" s="126" t="n">
        <f aca="false">N54/$R$3</f>
        <v>-2.874</v>
      </c>
    </row>
    <row r="55" customFormat="false" ht="12.75" hidden="true" customHeight="false" outlineLevel="0" collapsed="false">
      <c r="A55" s="120" t="n">
        <f aca="false">A54+1</f>
        <v>36941</v>
      </c>
      <c r="B55" s="131" t="str">
        <f aca="false">INDEX('[4]Master Data'!$A$2:$B$8,MATCH(WEEKDAY('TBS Gas MTM'!A55,3),'[4]Master Data'!$A$2:$A$8,0),2)</f>
        <v>M</v>
      </c>
      <c r="D55" s="124" t="n">
        <v>0</v>
      </c>
      <c r="E55" s="124" t="n">
        <v>0</v>
      </c>
      <c r="F55" s="124" t="n">
        <v>0</v>
      </c>
      <c r="G55" s="124" t="n">
        <v>0</v>
      </c>
      <c r="I55" s="124" t="n">
        <f aca="false">IF(MONTH($A55)=MONTH($A54),IF(G55=0,I54,G55),G55)</f>
        <v>-1325</v>
      </c>
      <c r="J55" s="124" t="n">
        <f aca="false">IF(MONTH($A55)=MONTH($A54),SUM(I55-I54),I55)</f>
        <v>0</v>
      </c>
      <c r="K55" s="124" t="n">
        <f aca="false">IF(WEEKDAY(A55,3)&gt;4,0,(IF(A55&lt;K$2,0,IF(A55&lt;=K$3,1,0))))</f>
        <v>0</v>
      </c>
      <c r="L55" s="124" t="n">
        <f aca="false">J55*K55</f>
        <v>0</v>
      </c>
      <c r="M55" s="124" t="n">
        <f aca="false">SUM(J$6:J55)</f>
        <v>-2874</v>
      </c>
      <c r="N55" s="124" t="n">
        <f aca="false">SUM(J$6:J55)</f>
        <v>-2874</v>
      </c>
      <c r="P55" s="124" t="n">
        <f aca="false">D55/P$3</f>
        <v>0</v>
      </c>
      <c r="Q55" s="124" t="n">
        <f aca="false">E55/P$3</f>
        <v>0</v>
      </c>
      <c r="R55" s="124" t="n">
        <f aca="false">F55/R$3</f>
        <v>0</v>
      </c>
      <c r="S55" s="126" t="n">
        <f aca="false">J55/$R$3</f>
        <v>0</v>
      </c>
      <c r="T55" s="126" t="n">
        <f aca="false">L55/$R$3</f>
        <v>0</v>
      </c>
      <c r="U55" s="126" t="n">
        <f aca="false">I55/$R$3</f>
        <v>-1.325</v>
      </c>
      <c r="V55" s="126" t="n">
        <f aca="false">M55/$R$3</f>
        <v>-2.874</v>
      </c>
      <c r="W55" s="126" t="n">
        <f aca="false">N55/$R$3</f>
        <v>-2.874</v>
      </c>
    </row>
    <row r="56" customFormat="false" ht="12.75" hidden="true" customHeight="false" outlineLevel="0" collapsed="false">
      <c r="A56" s="120" t="n">
        <f aca="false">A55+1</f>
        <v>36942</v>
      </c>
      <c r="B56" s="131" t="str">
        <f aca="false">INDEX('[4]Master Data'!$A$2:$B$8,MATCH(WEEKDAY('TBS Gas MTM'!A56,3),'[4]Master Data'!$A$2:$A$8,0),2)</f>
        <v>T</v>
      </c>
      <c r="D56" s="124" t="n">
        <v>-543.735300000291</v>
      </c>
      <c r="E56" s="124" t="n">
        <v>0</v>
      </c>
      <c r="F56" s="124" t="n">
        <v>0</v>
      </c>
      <c r="G56" s="124" t="n">
        <v>-1832</v>
      </c>
      <c r="I56" s="124" t="n">
        <f aca="false">IF(MONTH($A56)=MONTH($A55),IF(G56=0,I55,G56),G56)</f>
        <v>-1832</v>
      </c>
      <c r="J56" s="124" t="n">
        <f aca="false">IF(MONTH($A56)=MONTH($A55),SUM(I56-I55),I56)</f>
        <v>-507</v>
      </c>
      <c r="K56" s="124" t="n">
        <f aca="false">IF(WEEKDAY(A56,3)&gt;4,0,(IF(A56&lt;K$2,0,IF(A56&lt;=K$3,1,0))))</f>
        <v>0</v>
      </c>
      <c r="L56" s="124" t="n">
        <f aca="false">J56*K56</f>
        <v>-0</v>
      </c>
      <c r="M56" s="124" t="n">
        <f aca="false">SUM(J$6:J56)</f>
        <v>-3381</v>
      </c>
      <c r="N56" s="124" t="n">
        <f aca="false">SUM(J$6:J56)</f>
        <v>-3381</v>
      </c>
      <c r="P56" s="124" t="n">
        <f aca="false">D56/P$3</f>
        <v>-0.000543735300000291</v>
      </c>
      <c r="Q56" s="124" t="n">
        <f aca="false">E56/P$3</f>
        <v>0</v>
      </c>
      <c r="R56" s="124" t="n">
        <f aca="false">F56/R$3</f>
        <v>0</v>
      </c>
      <c r="S56" s="126" t="n">
        <f aca="false">J56/$R$3</f>
        <v>-0.507</v>
      </c>
      <c r="T56" s="126" t="n">
        <f aca="false">L56/$R$3</f>
        <v>-0</v>
      </c>
      <c r="U56" s="126" t="n">
        <f aca="false">I56/$R$3</f>
        <v>-1.832</v>
      </c>
      <c r="V56" s="126" t="n">
        <f aca="false">M56/$R$3</f>
        <v>-3.381</v>
      </c>
      <c r="W56" s="126" t="n">
        <f aca="false">N56/$R$3</f>
        <v>-3.381</v>
      </c>
    </row>
    <row r="57" customFormat="false" ht="12.75" hidden="true" customHeight="false" outlineLevel="0" collapsed="false">
      <c r="A57" s="120" t="n">
        <f aca="false">A56+1</f>
        <v>36943</v>
      </c>
      <c r="B57" s="131" t="str">
        <f aca="false">INDEX('[4]Master Data'!$A$2:$B$8,MATCH(WEEKDAY('TBS Gas MTM'!A57,3),'[4]Master Data'!$A$2:$A$8,0),2)</f>
        <v>W</v>
      </c>
      <c r="D57" s="124" t="n">
        <v>-151</v>
      </c>
      <c r="E57" s="124" t="n">
        <v>0</v>
      </c>
      <c r="F57" s="124" t="n">
        <v>0</v>
      </c>
      <c r="G57" s="124" t="n">
        <v>-5198</v>
      </c>
      <c r="I57" s="124" t="n">
        <f aca="false">IF(MONTH($A57)=MONTH($A56),IF(G57=0,I56,G57),G57)</f>
        <v>-5198</v>
      </c>
      <c r="J57" s="124" t="n">
        <f aca="false">IF(MONTH($A57)=MONTH($A56),SUM(I57-I56),I57)</f>
        <v>-3366</v>
      </c>
      <c r="K57" s="124" t="n">
        <f aca="false">IF(WEEKDAY(A57,3)&gt;4,0,(IF(A57&lt;K$2,0,IF(A57&lt;=K$3,1,0))))</f>
        <v>0</v>
      </c>
      <c r="L57" s="124" t="n">
        <f aca="false">J57*K57</f>
        <v>-0</v>
      </c>
      <c r="M57" s="124" t="n">
        <f aca="false">SUM(J$6:J57)</f>
        <v>-6747</v>
      </c>
      <c r="N57" s="124" t="n">
        <f aca="false">SUM(J$6:J57)</f>
        <v>-6747</v>
      </c>
      <c r="P57" s="124" t="n">
        <f aca="false">D57/P$3</f>
        <v>-0.000151</v>
      </c>
      <c r="Q57" s="124" t="n">
        <f aca="false">E57/P$3</f>
        <v>0</v>
      </c>
      <c r="R57" s="124" t="n">
        <f aca="false">F57/R$3</f>
        <v>0</v>
      </c>
      <c r="S57" s="126" t="n">
        <f aca="false">J57/$R$3</f>
        <v>-3.366</v>
      </c>
      <c r="T57" s="126" t="n">
        <f aca="false">L57/$R$3</f>
        <v>-0</v>
      </c>
      <c r="U57" s="126" t="n">
        <f aca="false">I57/$R$3</f>
        <v>-5.198</v>
      </c>
      <c r="V57" s="126" t="n">
        <f aca="false">M57/$R$3</f>
        <v>-6.747</v>
      </c>
      <c r="W57" s="126" t="n">
        <f aca="false">N57/$R$3</f>
        <v>-6.747</v>
      </c>
    </row>
    <row r="58" customFormat="false" ht="12.75" hidden="true" customHeight="false" outlineLevel="0" collapsed="false">
      <c r="A58" s="120" t="n">
        <f aca="false">A57+1</f>
        <v>36944</v>
      </c>
      <c r="B58" s="131" t="str">
        <f aca="false">INDEX('[4]Master Data'!$A$2:$B$8,MATCH(WEEKDAY('TBS Gas MTM'!A58,3),'[4]Master Data'!$A$2:$A$8,0),2)</f>
        <v>Th</v>
      </c>
      <c r="D58" s="124" t="n">
        <v>-151</v>
      </c>
      <c r="E58" s="124" t="n">
        <v>0</v>
      </c>
      <c r="F58" s="124" t="n">
        <v>0</v>
      </c>
      <c r="G58" s="124" t="n">
        <v>-5190</v>
      </c>
      <c r="I58" s="124" t="n">
        <f aca="false">IF(MONTH($A58)=MONTH($A57),IF(G58=0,I57,G58),G58)</f>
        <v>-5190</v>
      </c>
      <c r="J58" s="124" t="n">
        <f aca="false">IF(MONTH($A58)=MONTH($A57),SUM(I58-I57),I58)</f>
        <v>8</v>
      </c>
      <c r="K58" s="124" t="n">
        <f aca="false">IF(WEEKDAY(A58,3)&gt;4,0,(IF(A58&lt;K$2,0,IF(A58&lt;=K$3,1,0))))</f>
        <v>0</v>
      </c>
      <c r="L58" s="124" t="n">
        <f aca="false">J58*K58</f>
        <v>0</v>
      </c>
      <c r="M58" s="124" t="n">
        <f aca="false">SUM(J$6:J58)</f>
        <v>-6739</v>
      </c>
      <c r="N58" s="124" t="n">
        <f aca="false">SUM(J$6:J58)</f>
        <v>-6739</v>
      </c>
      <c r="P58" s="124" t="n">
        <f aca="false">D58/P$3</f>
        <v>-0.000151</v>
      </c>
      <c r="Q58" s="124" t="n">
        <f aca="false">E58/P$3</f>
        <v>0</v>
      </c>
      <c r="R58" s="124" t="n">
        <f aca="false">F58/R$3</f>
        <v>0</v>
      </c>
      <c r="S58" s="126" t="n">
        <f aca="false">J58/$R$3</f>
        <v>0.008</v>
      </c>
      <c r="T58" s="126" t="n">
        <f aca="false">L58/$R$3</f>
        <v>0</v>
      </c>
      <c r="U58" s="126" t="n">
        <f aca="false">I58/$R$3</f>
        <v>-5.19</v>
      </c>
      <c r="V58" s="126" t="n">
        <f aca="false">M58/$R$3</f>
        <v>-6.739</v>
      </c>
      <c r="W58" s="126" t="n">
        <f aca="false">N58/$R$3</f>
        <v>-6.739</v>
      </c>
    </row>
    <row r="59" customFormat="false" ht="12.75" hidden="true" customHeight="false" outlineLevel="0" collapsed="false">
      <c r="A59" s="120" t="n">
        <f aca="false">A58+1</f>
        <v>36945</v>
      </c>
      <c r="B59" s="131" t="str">
        <f aca="false">INDEX('[4]Master Data'!$A$2:$B$8,MATCH(WEEKDAY('TBS Gas MTM'!A59,3),'[4]Master Data'!$A$2:$A$8,0),2)</f>
        <v>F</v>
      </c>
      <c r="D59" s="124" t="n">
        <v>-151.513400001917</v>
      </c>
      <c r="E59" s="124" t="n">
        <v>0</v>
      </c>
      <c r="F59" s="124" t="n">
        <v>0</v>
      </c>
      <c r="G59" s="124" t="n">
        <v>-5276</v>
      </c>
      <c r="I59" s="124" t="n">
        <f aca="false">IF(MONTH($A59)=MONTH($A58),IF(G59=0,I58,G59),G59)</f>
        <v>-5276</v>
      </c>
      <c r="J59" s="124" t="n">
        <f aca="false">IF(MONTH($A59)=MONTH($A58),SUM(I59-I58),I59)</f>
        <v>-86</v>
      </c>
      <c r="K59" s="124" t="n">
        <f aca="false">IF(WEEKDAY(A59,3)&gt;4,0,(IF(A59&lt;K$2,0,IF(A59&lt;=K$3,1,0))))</f>
        <v>0</v>
      </c>
      <c r="L59" s="124" t="n">
        <f aca="false">J59*K59</f>
        <v>-0</v>
      </c>
      <c r="M59" s="124" t="n">
        <f aca="false">SUM(J$6:J59)</f>
        <v>-6825</v>
      </c>
      <c r="N59" s="124" t="n">
        <f aca="false">SUM(J$6:J59)</f>
        <v>-6825</v>
      </c>
      <c r="P59" s="124" t="n">
        <f aca="false">D59/P$3</f>
        <v>-0.000151513400001917</v>
      </c>
      <c r="Q59" s="124" t="n">
        <f aca="false">E59/P$3</f>
        <v>0</v>
      </c>
      <c r="R59" s="124" t="n">
        <f aca="false">F59/R$3</f>
        <v>0</v>
      </c>
      <c r="S59" s="126" t="n">
        <f aca="false">J59/$R$3</f>
        <v>-0.086</v>
      </c>
      <c r="T59" s="126" t="n">
        <f aca="false">L59/$R$3</f>
        <v>-0</v>
      </c>
      <c r="U59" s="126" t="n">
        <f aca="false">I59/$R$3</f>
        <v>-5.276</v>
      </c>
      <c r="V59" s="126" t="n">
        <f aca="false">M59/$R$3</f>
        <v>-6.825</v>
      </c>
      <c r="W59" s="126" t="n">
        <f aca="false">N59/$R$3</f>
        <v>-6.825</v>
      </c>
    </row>
    <row r="60" customFormat="false" ht="12.75" hidden="true" customHeight="false" outlineLevel="0" collapsed="false">
      <c r="A60" s="120" t="n">
        <f aca="false">A59+1</f>
        <v>36946</v>
      </c>
      <c r="B60" s="131" t="str">
        <f aca="false">INDEX('[4]Master Data'!$A$2:$B$8,MATCH(WEEKDAY('TBS Gas MTM'!A60,3),'[4]Master Data'!$A$2:$A$8,0),2)</f>
        <v>Sa</v>
      </c>
      <c r="D60" s="124" t="n">
        <v>0</v>
      </c>
      <c r="E60" s="124" t="n">
        <v>0</v>
      </c>
      <c r="F60" s="124" t="n">
        <v>0</v>
      </c>
      <c r="G60" s="124" t="n">
        <v>0</v>
      </c>
      <c r="I60" s="124" t="n">
        <f aca="false">IF(MONTH($A60)=MONTH($A59),IF(G60=0,I59,G60),G60)</f>
        <v>-5276</v>
      </c>
      <c r="J60" s="124" t="n">
        <f aca="false">IF(MONTH($A60)=MONTH($A59),SUM(I60-I59),I60)</f>
        <v>0</v>
      </c>
      <c r="K60" s="124" t="n">
        <f aca="false">IF(WEEKDAY(A60,3)&gt;4,0,(IF(A60&lt;K$2,0,IF(A60&lt;=K$3,1,0))))</f>
        <v>0</v>
      </c>
      <c r="L60" s="124" t="n">
        <f aca="false">J60*K60</f>
        <v>0</v>
      </c>
      <c r="M60" s="124" t="n">
        <f aca="false">SUM(J$6:J60)</f>
        <v>-6825</v>
      </c>
      <c r="N60" s="124" t="n">
        <f aca="false">SUM(J$6:J60)</f>
        <v>-6825</v>
      </c>
      <c r="P60" s="124" t="n">
        <f aca="false">D60/P$3</f>
        <v>0</v>
      </c>
      <c r="Q60" s="124" t="n">
        <f aca="false">E60/P$3</f>
        <v>0</v>
      </c>
      <c r="R60" s="124" t="n">
        <f aca="false">F60/R$3</f>
        <v>0</v>
      </c>
      <c r="S60" s="126" t="n">
        <f aca="false">J60/$R$3</f>
        <v>0</v>
      </c>
      <c r="T60" s="126" t="n">
        <f aca="false">L60/$R$3</f>
        <v>0</v>
      </c>
      <c r="U60" s="126" t="n">
        <f aca="false">I60/$R$3</f>
        <v>-5.276</v>
      </c>
      <c r="V60" s="126" t="n">
        <f aca="false">M60/$R$3</f>
        <v>-6.825</v>
      </c>
      <c r="W60" s="126" t="n">
        <f aca="false">N60/$R$3</f>
        <v>-6.825</v>
      </c>
    </row>
    <row r="61" customFormat="false" ht="12.75" hidden="true" customHeight="false" outlineLevel="0" collapsed="false">
      <c r="A61" s="120" t="n">
        <f aca="false">A60+1</f>
        <v>36947</v>
      </c>
      <c r="B61" s="131" t="str">
        <f aca="false">INDEX('[4]Master Data'!$A$2:$B$8,MATCH(WEEKDAY('TBS Gas MTM'!A61,3),'[4]Master Data'!$A$2:$A$8,0),2)</f>
        <v>Su</v>
      </c>
      <c r="D61" s="124" t="n">
        <v>0</v>
      </c>
      <c r="E61" s="124" t="n">
        <v>0</v>
      </c>
      <c r="F61" s="124" t="n">
        <v>0</v>
      </c>
      <c r="G61" s="124" t="n">
        <v>0</v>
      </c>
      <c r="I61" s="124" t="n">
        <f aca="false">IF(MONTH($A61)=MONTH($A60),IF(G61=0,I60,G61),G61)</f>
        <v>-5276</v>
      </c>
      <c r="J61" s="124" t="n">
        <f aca="false">IF(MONTH($A61)=MONTH($A60),SUM(I61-I60),I61)</f>
        <v>0</v>
      </c>
      <c r="K61" s="124" t="n">
        <f aca="false">IF(WEEKDAY(A61,3)&gt;4,0,(IF(A61&lt;K$2,0,IF(A61&lt;=K$3,1,0))))</f>
        <v>0</v>
      </c>
      <c r="L61" s="124" t="n">
        <f aca="false">J61*K61</f>
        <v>0</v>
      </c>
      <c r="M61" s="124" t="n">
        <f aca="false">SUM(J$6:J61)</f>
        <v>-6825</v>
      </c>
      <c r="N61" s="124" t="n">
        <f aca="false">SUM(J$6:J61)</f>
        <v>-6825</v>
      </c>
      <c r="P61" s="124" t="n">
        <f aca="false">D61/P$3</f>
        <v>0</v>
      </c>
      <c r="Q61" s="124" t="n">
        <f aca="false">E61/P$3</f>
        <v>0</v>
      </c>
      <c r="R61" s="124" t="n">
        <f aca="false">F61/R$3</f>
        <v>0</v>
      </c>
      <c r="S61" s="126" t="n">
        <f aca="false">J61/$R$3</f>
        <v>0</v>
      </c>
      <c r="T61" s="126" t="n">
        <f aca="false">L61/$R$3</f>
        <v>0</v>
      </c>
      <c r="U61" s="126" t="n">
        <f aca="false">I61/$R$3</f>
        <v>-5.276</v>
      </c>
      <c r="V61" s="126" t="n">
        <f aca="false">M61/$R$3</f>
        <v>-6.825</v>
      </c>
      <c r="W61" s="126" t="n">
        <f aca="false">N61/$R$3</f>
        <v>-6.825</v>
      </c>
    </row>
    <row r="62" customFormat="false" ht="12.75" hidden="true" customHeight="false" outlineLevel="0" collapsed="false">
      <c r="A62" s="120" t="n">
        <f aca="false">A61+1</f>
        <v>36948</v>
      </c>
      <c r="B62" s="131" t="str">
        <f aca="false">INDEX('[4]Master Data'!$A$2:$B$8,MATCH(WEEKDAY('TBS Gas MTM'!A62,3),'[4]Master Data'!$A$2:$A$8,0),2)</f>
        <v>M</v>
      </c>
      <c r="D62" s="124" t="n">
        <v>-151.60660000192</v>
      </c>
      <c r="E62" s="124" t="n">
        <v>0</v>
      </c>
      <c r="F62" s="124" t="n">
        <v>0</v>
      </c>
      <c r="G62" s="124" t="n">
        <v>-5483</v>
      </c>
      <c r="I62" s="124" t="n">
        <f aca="false">IF(MONTH($A62)=MONTH($A61),IF(G62=0,I61,G62),G62)</f>
        <v>-5483</v>
      </c>
      <c r="J62" s="124" t="n">
        <f aca="false">IF(MONTH($A62)=MONTH($A61),SUM(I62-I61),I62)</f>
        <v>-207</v>
      </c>
      <c r="K62" s="124" t="n">
        <f aca="false">IF(WEEKDAY(A62,3)&gt;4,0,(IF(A62&lt;K$2,0,IF(A62&lt;=K$3,1,0))))</f>
        <v>0</v>
      </c>
      <c r="L62" s="124" t="n">
        <f aca="false">J62*K62</f>
        <v>-0</v>
      </c>
      <c r="M62" s="124" t="n">
        <f aca="false">SUM(J$6:J62)</f>
        <v>-7032</v>
      </c>
      <c r="N62" s="124" t="n">
        <f aca="false">SUM(J$6:J62)</f>
        <v>-7032</v>
      </c>
      <c r="P62" s="124" t="n">
        <f aca="false">D62/P$3</f>
        <v>-0.00015160660000192</v>
      </c>
      <c r="Q62" s="124" t="n">
        <f aca="false">E62/P$3</f>
        <v>0</v>
      </c>
      <c r="R62" s="124" t="n">
        <f aca="false">F62/R$3</f>
        <v>0</v>
      </c>
      <c r="S62" s="126" t="n">
        <f aca="false">J62/$R$3</f>
        <v>-0.207</v>
      </c>
      <c r="T62" s="126" t="n">
        <f aca="false">L62/$R$3</f>
        <v>-0</v>
      </c>
      <c r="U62" s="126" t="n">
        <f aca="false">I62/$R$3</f>
        <v>-5.483</v>
      </c>
      <c r="V62" s="126" t="n">
        <f aca="false">M62/$R$3</f>
        <v>-7.032</v>
      </c>
      <c r="W62" s="126" t="n">
        <f aca="false">N62/$R$3</f>
        <v>-7.032</v>
      </c>
    </row>
    <row r="63" customFormat="false" ht="12.75" hidden="true" customHeight="false" outlineLevel="0" collapsed="false">
      <c r="A63" s="120" t="n">
        <f aca="false">A62+1</f>
        <v>36949</v>
      </c>
      <c r="B63" s="131" t="str">
        <f aca="false">INDEX('[4]Master Data'!$A$2:$B$8,MATCH(WEEKDAY('TBS Gas MTM'!A63,3),'[4]Master Data'!$A$2:$A$8,0),2)</f>
        <v>T</v>
      </c>
      <c r="D63" s="124" t="n">
        <v>-151.60660000192</v>
      </c>
      <c r="E63" s="124" t="n">
        <v>0</v>
      </c>
      <c r="F63" s="124" t="n">
        <v>0</v>
      </c>
      <c r="G63" s="124" t="n">
        <v>-5593</v>
      </c>
      <c r="I63" s="124" t="n">
        <f aca="false">IF(MONTH($A63)=MONTH($A62),IF(G63=0,I62,G63),G63)</f>
        <v>-5593</v>
      </c>
      <c r="J63" s="124" t="n">
        <f aca="false">IF(MONTH($A63)=MONTH($A62),SUM(I63-I62),I63)</f>
        <v>-110</v>
      </c>
      <c r="K63" s="124" t="n">
        <f aca="false">IF(WEEKDAY(A63,3)&gt;4,0,(IF(A63&lt;K$2,0,IF(A63&lt;=K$3,1,0))))</f>
        <v>0</v>
      </c>
      <c r="L63" s="124" t="n">
        <f aca="false">J63*K63</f>
        <v>-0</v>
      </c>
      <c r="M63" s="124" t="n">
        <f aca="false">SUM(J$6:J63)</f>
        <v>-7142</v>
      </c>
      <c r="N63" s="124" t="n">
        <f aca="false">SUM(J$6:J63)</f>
        <v>-7142</v>
      </c>
      <c r="P63" s="124" t="n">
        <f aca="false">D63/P$3</f>
        <v>-0.00015160660000192</v>
      </c>
      <c r="Q63" s="124" t="n">
        <f aca="false">E63/P$3</f>
        <v>0</v>
      </c>
      <c r="R63" s="124" t="n">
        <f aca="false">F63/R$3</f>
        <v>0</v>
      </c>
      <c r="S63" s="126" t="n">
        <f aca="false">J63/$R$3</f>
        <v>-0.11</v>
      </c>
      <c r="T63" s="126" t="n">
        <f aca="false">L63/$R$3</f>
        <v>-0</v>
      </c>
      <c r="U63" s="126" t="n">
        <f aca="false">I63/$R$3</f>
        <v>-5.593</v>
      </c>
      <c r="V63" s="126" t="n">
        <f aca="false">M63/$R$3</f>
        <v>-7.142</v>
      </c>
      <c r="W63" s="126" t="n">
        <f aca="false">N63/$R$3</f>
        <v>-7.142</v>
      </c>
    </row>
    <row r="64" customFormat="false" ht="12.75" hidden="false" customHeight="false" outlineLevel="0" collapsed="false">
      <c r="A64" s="120" t="n">
        <f aca="false">A63+1</f>
        <v>36950</v>
      </c>
      <c r="B64" s="131" t="str">
        <f aca="false">INDEX('[4]Master Data'!$A$2:$B$8,MATCH(WEEKDAY('TBS Gas MTM'!A64,3),'[4]Master Data'!$A$2:$A$8,0),2)</f>
        <v>W</v>
      </c>
      <c r="D64" s="124" t="n">
        <v>-151.60660000192</v>
      </c>
      <c r="E64" s="124" t="n">
        <v>0</v>
      </c>
      <c r="F64" s="124" t="n">
        <v>0</v>
      </c>
      <c r="G64" s="124" t="n">
        <v>-5685</v>
      </c>
      <c r="I64" s="124" t="n">
        <f aca="false">IF(MONTH($A64)=MONTH($A63),IF(G64=0,I63,G64),G64)</f>
        <v>-5685</v>
      </c>
      <c r="J64" s="124" t="n">
        <f aca="false">IF(MONTH($A64)=MONTH($A63),SUM(I64-I63),I64)</f>
        <v>-92</v>
      </c>
      <c r="K64" s="124" t="n">
        <f aca="false">IF(WEEKDAY(A64,3)&gt;4,0,(IF(A64&lt;K$2,0,IF(A64&lt;=K$3,1,0))))</f>
        <v>0</v>
      </c>
      <c r="L64" s="124" t="n">
        <f aca="false">J64*K64</f>
        <v>-0</v>
      </c>
      <c r="M64" s="124" t="n">
        <f aca="false">SUM(J$6:J64)</f>
        <v>-7234</v>
      </c>
      <c r="N64" s="124" t="n">
        <f aca="false">SUM(J$6:J64)</f>
        <v>-7234</v>
      </c>
      <c r="P64" s="124" t="n">
        <f aca="false">D64/P$3</f>
        <v>-0.00015160660000192</v>
      </c>
      <c r="Q64" s="124" t="n">
        <f aca="false">E64/P$3</f>
        <v>0</v>
      </c>
      <c r="R64" s="124" t="n">
        <f aca="false">F64/R$3</f>
        <v>0</v>
      </c>
      <c r="S64" s="126" t="n">
        <f aca="false">J64/$R$3</f>
        <v>-0.092</v>
      </c>
      <c r="T64" s="126" t="n">
        <f aca="false">L64/$R$3</f>
        <v>-0</v>
      </c>
      <c r="U64" s="126" t="n">
        <f aca="false">I64/$R$3</f>
        <v>-5.685</v>
      </c>
      <c r="V64" s="126" t="n">
        <f aca="false">M64/$R$3</f>
        <v>-7.234</v>
      </c>
      <c r="W64" s="126" t="n">
        <f aca="false">N64/$R$3</f>
        <v>-7.234</v>
      </c>
    </row>
    <row r="65" customFormat="false" ht="12.75" hidden="false" customHeight="false" outlineLevel="0" collapsed="false">
      <c r="A65" s="120" t="n">
        <f aca="false">A64+1</f>
        <v>36951</v>
      </c>
      <c r="B65" s="131" t="str">
        <f aca="false">INDEX('[4]Master Data'!$A$2:$B$8,MATCH(WEEKDAY('TBS Gas MTM'!A65,3),'[4]Master Data'!$A$2:$A$8,0),2)</f>
        <v>Th</v>
      </c>
      <c r="D65" s="124" t="n">
        <v>-151.681000000332</v>
      </c>
      <c r="E65" s="124" t="n">
        <v>0</v>
      </c>
      <c r="F65" s="124" t="n">
        <v>0</v>
      </c>
      <c r="G65" s="124" t="n">
        <v>-31</v>
      </c>
      <c r="I65" s="124" t="n">
        <f aca="false">IF(MONTH($A65)=MONTH($A64),IF(G65=0,I64,G65),G65)</f>
        <v>-31</v>
      </c>
      <c r="J65" s="124" t="n">
        <f aca="false">IF(MONTH($A65)=MONTH($A64),SUM(I65-I64),I65)</f>
        <v>-31</v>
      </c>
      <c r="K65" s="124" t="n">
        <f aca="false">IF(WEEKDAY(A65,3)&gt;4,0,(IF(A65&lt;K$2,0,IF(A65&lt;=K$3,1,0))))</f>
        <v>0</v>
      </c>
      <c r="L65" s="124" t="n">
        <f aca="false">J65*K65</f>
        <v>-0</v>
      </c>
      <c r="M65" s="124" t="n">
        <f aca="false">SUM(J$6:J65)</f>
        <v>-7265</v>
      </c>
      <c r="N65" s="124" t="n">
        <f aca="false">SUM(J$6:J65)</f>
        <v>-7265</v>
      </c>
      <c r="P65" s="124" t="n">
        <f aca="false">D65/P$3</f>
        <v>-0.000151681000000332</v>
      </c>
      <c r="Q65" s="124" t="n">
        <f aca="false">E65/P$3</f>
        <v>0</v>
      </c>
      <c r="R65" s="124" t="n">
        <f aca="false">F65/R$3</f>
        <v>0</v>
      </c>
      <c r="S65" s="126" t="n">
        <f aca="false">J65/$R$3</f>
        <v>-0.031</v>
      </c>
      <c r="T65" s="126" t="n">
        <f aca="false">L65/$R$3</f>
        <v>-0</v>
      </c>
      <c r="U65" s="126" t="n">
        <f aca="false">I65/$R$3</f>
        <v>-0.031</v>
      </c>
      <c r="V65" s="126" t="n">
        <f aca="false">M65/$R$3</f>
        <v>-7.265</v>
      </c>
      <c r="W65" s="126" t="n">
        <f aca="false">N65/$R$3</f>
        <v>-7.265</v>
      </c>
    </row>
    <row r="66" customFormat="false" ht="12.75" hidden="false" customHeight="false" outlineLevel="0" collapsed="false">
      <c r="A66" s="120" t="n">
        <f aca="false">A65+1</f>
        <v>36952</v>
      </c>
      <c r="B66" s="131" t="str">
        <f aca="false">INDEX('[4]Master Data'!$A$2:$B$8,MATCH(WEEKDAY('TBS Gas MTM'!A66,3),'[4]Master Data'!$A$2:$A$8,0),2)</f>
        <v>F</v>
      </c>
      <c r="D66" s="124" t="n">
        <v>-151.681000000332</v>
      </c>
      <c r="E66" s="124" t="n">
        <v>0</v>
      </c>
      <c r="F66" s="124" t="n">
        <v>0</v>
      </c>
      <c r="G66" s="124" t="n">
        <v>55</v>
      </c>
      <c r="I66" s="124" t="n">
        <f aca="false">IF(MONTH($A66)=MONTH($A65),IF(G66=0,I65,G66),G66)</f>
        <v>55</v>
      </c>
      <c r="J66" s="124" t="n">
        <f aca="false">IF(MONTH($A66)=MONTH($A65),SUM(I66-I65),I66)</f>
        <v>86</v>
      </c>
      <c r="K66" s="124" t="n">
        <f aca="false">IF(WEEKDAY(A66,3)&gt;4,0,(IF(A66&lt;K$2,0,IF(A66&lt;=K$3,1,0))))</f>
        <v>0</v>
      </c>
      <c r="L66" s="124" t="n">
        <f aca="false">J66*K66</f>
        <v>0</v>
      </c>
      <c r="M66" s="124" t="n">
        <f aca="false">SUM(J$6:J66)</f>
        <v>-7179</v>
      </c>
      <c r="N66" s="124" t="n">
        <f aca="false">SUM(J$6:J66)</f>
        <v>-7179</v>
      </c>
      <c r="P66" s="124" t="n">
        <f aca="false">D66/P$3</f>
        <v>-0.000151681000000332</v>
      </c>
      <c r="Q66" s="124" t="n">
        <f aca="false">E66/P$3</f>
        <v>0</v>
      </c>
      <c r="R66" s="124" t="n">
        <f aca="false">F66/R$3</f>
        <v>0</v>
      </c>
      <c r="S66" s="126" t="n">
        <f aca="false">J66/$R$3</f>
        <v>0.086</v>
      </c>
      <c r="T66" s="126" t="n">
        <f aca="false">L66/$R$3</f>
        <v>0</v>
      </c>
      <c r="U66" s="126" t="n">
        <f aca="false">I66/$R$3</f>
        <v>0.055</v>
      </c>
      <c r="V66" s="126" t="n">
        <f aca="false">M66/$R$3</f>
        <v>-7.179</v>
      </c>
      <c r="W66" s="126" t="n">
        <f aca="false">N66/$R$3</f>
        <v>-7.179</v>
      </c>
    </row>
    <row r="67" customFormat="false" ht="12.75" hidden="false" customHeight="false" outlineLevel="0" collapsed="false">
      <c r="A67" s="120" t="n">
        <f aca="false">A66+1</f>
        <v>36953</v>
      </c>
      <c r="B67" s="131" t="str">
        <f aca="false">INDEX('[4]Master Data'!$A$2:$B$8,MATCH(WEEKDAY('TBS Gas MTM'!A67,3),'[4]Master Data'!$A$2:$A$8,0),2)</f>
        <v>Sa</v>
      </c>
      <c r="D67" s="124" t="n">
        <v>0</v>
      </c>
      <c r="E67" s="124" t="n">
        <v>0</v>
      </c>
      <c r="F67" s="124" t="n">
        <v>0</v>
      </c>
      <c r="G67" s="124" t="n">
        <v>0</v>
      </c>
      <c r="I67" s="124" t="n">
        <f aca="false">IF(MONTH($A67)=MONTH($A66),IF(G67=0,I66,G67),G67)</f>
        <v>55</v>
      </c>
      <c r="J67" s="124" t="n">
        <f aca="false">IF(MONTH($A67)=MONTH($A66),SUM(I67-I66),I67)</f>
        <v>0</v>
      </c>
      <c r="K67" s="124" t="n">
        <f aca="false">IF(WEEKDAY(A67,3)&gt;4,0,(IF(A67&lt;K$2,0,IF(A67&lt;=K$3,1,0))))</f>
        <v>0</v>
      </c>
      <c r="L67" s="124" t="n">
        <f aca="false">J67*K67</f>
        <v>0</v>
      </c>
      <c r="M67" s="124" t="n">
        <f aca="false">SUM(J$6:J67)</f>
        <v>-7179</v>
      </c>
      <c r="N67" s="124" t="n">
        <f aca="false">SUM(J$6:J67)</f>
        <v>-7179</v>
      </c>
      <c r="P67" s="124" t="n">
        <f aca="false">D67/P$3</f>
        <v>0</v>
      </c>
      <c r="Q67" s="124" t="n">
        <f aca="false">E67/P$3</f>
        <v>0</v>
      </c>
      <c r="R67" s="124" t="n">
        <f aca="false">F67/R$3</f>
        <v>0</v>
      </c>
      <c r="S67" s="126" t="n">
        <f aca="false">J67/$R$3</f>
        <v>0</v>
      </c>
      <c r="T67" s="126" t="n">
        <f aca="false">L67/$R$3</f>
        <v>0</v>
      </c>
      <c r="U67" s="126" t="n">
        <f aca="false">I67/$R$3</f>
        <v>0.055</v>
      </c>
      <c r="V67" s="126" t="n">
        <f aca="false">M67/$R$3</f>
        <v>-7.179</v>
      </c>
      <c r="W67" s="126" t="n">
        <f aca="false">N67/$R$3</f>
        <v>-7.179</v>
      </c>
    </row>
    <row r="68" customFormat="false" ht="12.75" hidden="false" customHeight="false" outlineLevel="0" collapsed="false">
      <c r="A68" s="120" t="n">
        <f aca="false">A67+1</f>
        <v>36954</v>
      </c>
      <c r="B68" s="131" t="str">
        <f aca="false">INDEX('[4]Master Data'!$A$2:$B$8,MATCH(WEEKDAY('TBS Gas MTM'!A68,3),'[4]Master Data'!$A$2:$A$8,0),2)</f>
        <v>Su</v>
      </c>
      <c r="D68" s="124" t="n">
        <v>0</v>
      </c>
      <c r="E68" s="124" t="n">
        <v>0</v>
      </c>
      <c r="F68" s="124" t="n">
        <v>0</v>
      </c>
      <c r="G68" s="124" t="n">
        <v>0</v>
      </c>
      <c r="I68" s="124" t="n">
        <f aca="false">IF(MONTH($A68)=MONTH($A67),IF(G68=0,I67,G68),G68)</f>
        <v>55</v>
      </c>
      <c r="J68" s="124" t="n">
        <f aca="false">IF(MONTH($A68)=MONTH($A67),SUM(I68-I67),I68)</f>
        <v>0</v>
      </c>
      <c r="K68" s="124" t="n">
        <f aca="false">IF(WEEKDAY(A68,3)&gt;4,0,(IF(A68&lt;K$2,0,IF(A68&lt;=K$3,1,0))))</f>
        <v>0</v>
      </c>
      <c r="L68" s="124" t="n">
        <f aca="false">J68*K68</f>
        <v>0</v>
      </c>
      <c r="M68" s="124" t="n">
        <f aca="false">SUM(J$6:J68)</f>
        <v>-7179</v>
      </c>
      <c r="N68" s="124" t="n">
        <f aca="false">SUM(J$6:J68)</f>
        <v>-7179</v>
      </c>
      <c r="P68" s="124" t="n">
        <f aca="false">D68/P$3</f>
        <v>0</v>
      </c>
      <c r="Q68" s="124" t="n">
        <f aca="false">E68/P$3</f>
        <v>0</v>
      </c>
      <c r="R68" s="124" t="n">
        <f aca="false">F68/R$3</f>
        <v>0</v>
      </c>
      <c r="S68" s="126" t="n">
        <f aca="false">J68/$R$3</f>
        <v>0</v>
      </c>
      <c r="T68" s="126" t="n">
        <f aca="false">L68/$R$3</f>
        <v>0</v>
      </c>
      <c r="U68" s="126" t="n">
        <f aca="false">I68/$R$3</f>
        <v>0.055</v>
      </c>
      <c r="V68" s="126" t="n">
        <f aca="false">M68/$R$3</f>
        <v>-7.179</v>
      </c>
      <c r="W68" s="126" t="n">
        <f aca="false">N68/$R$3</f>
        <v>-7.179</v>
      </c>
    </row>
    <row r="69" customFormat="false" ht="12.75" hidden="false" customHeight="false" outlineLevel="0" collapsed="false">
      <c r="A69" s="120" t="n">
        <f aca="false">A68+1</f>
        <v>36955</v>
      </c>
      <c r="B69" s="131" t="str">
        <f aca="false">INDEX('[4]Master Data'!$A$2:$B$8,MATCH(WEEKDAY('TBS Gas MTM'!A69,3),'[4]Master Data'!$A$2:$A$8,0),2)</f>
        <v>M</v>
      </c>
      <c r="D69" s="124" t="n">
        <v>-151.681000000332</v>
      </c>
      <c r="E69" s="124" t="n">
        <v>0</v>
      </c>
      <c r="F69" s="124" t="n">
        <v>0</v>
      </c>
      <c r="G69" s="124" t="n">
        <v>57</v>
      </c>
      <c r="I69" s="124" t="n">
        <f aca="false">IF(MONTH($A69)=MONTH($A68),IF(G69=0,I68,G69),G69)</f>
        <v>57</v>
      </c>
      <c r="J69" s="124" t="n">
        <f aca="false">IF(MONTH($A69)=MONTH($A68),SUM(I69-I68),I69)</f>
        <v>2</v>
      </c>
      <c r="K69" s="124" t="n">
        <f aca="false">IF(WEEKDAY(A69,3)&gt;4,0,(IF(A69&lt;K$2,0,IF(A69&lt;=K$3,1,0))))</f>
        <v>0</v>
      </c>
      <c r="L69" s="124" t="n">
        <f aca="false">J69*K69</f>
        <v>0</v>
      </c>
      <c r="M69" s="124" t="n">
        <f aca="false">SUM(J$6:J69)</f>
        <v>-7177</v>
      </c>
      <c r="N69" s="124" t="n">
        <f aca="false">SUM(J$6:J69)</f>
        <v>-7177</v>
      </c>
      <c r="P69" s="124" t="n">
        <f aca="false">D69/P$3</f>
        <v>-0.000151681000000332</v>
      </c>
      <c r="Q69" s="124" t="n">
        <f aca="false">E69/P$3</f>
        <v>0</v>
      </c>
      <c r="R69" s="124" t="n">
        <f aca="false">F69/R$3</f>
        <v>0</v>
      </c>
      <c r="S69" s="126" t="n">
        <f aca="false">J69/$R$3</f>
        <v>0.002</v>
      </c>
      <c r="T69" s="126" t="n">
        <f aca="false">L69/$R$3</f>
        <v>0</v>
      </c>
      <c r="U69" s="126" t="n">
        <f aca="false">I69/$R$3</f>
        <v>0.057</v>
      </c>
      <c r="V69" s="126" t="n">
        <f aca="false">M69/$R$3</f>
        <v>-7.177</v>
      </c>
      <c r="W69" s="126" t="n">
        <f aca="false">N69/$R$3</f>
        <v>-7.177</v>
      </c>
    </row>
    <row r="70" customFormat="false" ht="12.75" hidden="false" customHeight="false" outlineLevel="0" collapsed="false">
      <c r="A70" s="120" t="n">
        <f aca="false">A69+1</f>
        <v>36956</v>
      </c>
      <c r="B70" s="131" t="str">
        <f aca="false">INDEX('[4]Master Data'!$A$2:$B$8,MATCH(WEEKDAY('TBS Gas MTM'!A70,3),'[4]Master Data'!$A$2:$A$8,0),2)</f>
        <v>T</v>
      </c>
      <c r="D70" s="124" t="n">
        <v>-151.681000000332</v>
      </c>
      <c r="E70" s="124" t="n">
        <v>0</v>
      </c>
      <c r="F70" s="124" t="n">
        <v>0</v>
      </c>
      <c r="G70" s="124" t="n">
        <v>96</v>
      </c>
      <c r="I70" s="124" t="n">
        <f aca="false">IF(MONTH($A70)=MONTH($A69),IF(G70=0,I69,G70),G70)</f>
        <v>96</v>
      </c>
      <c r="J70" s="124" t="n">
        <f aca="false">IF(MONTH($A70)=MONTH($A69),SUM(I70-I69),I70)</f>
        <v>39</v>
      </c>
      <c r="K70" s="124" t="n">
        <f aca="false">IF(WEEKDAY(A70,3)&gt;4,0,(IF(A70&lt;K$2,0,IF(A70&lt;=K$3,1,0))))</f>
        <v>0</v>
      </c>
      <c r="L70" s="124" t="n">
        <f aca="false">J70*K70</f>
        <v>0</v>
      </c>
      <c r="M70" s="124" t="n">
        <f aca="false">SUM(J$6:J70)</f>
        <v>-7138</v>
      </c>
      <c r="N70" s="124" t="n">
        <f aca="false">SUM(J$6:J70)</f>
        <v>-7138</v>
      </c>
      <c r="P70" s="124" t="n">
        <f aca="false">D70/P$3</f>
        <v>-0.000151681000000332</v>
      </c>
      <c r="Q70" s="124" t="n">
        <f aca="false">E70/P$3</f>
        <v>0</v>
      </c>
      <c r="R70" s="124" t="n">
        <f aca="false">F70/R$3</f>
        <v>0</v>
      </c>
      <c r="S70" s="126" t="n">
        <f aca="false">J70/$R$3</f>
        <v>0.039</v>
      </c>
      <c r="T70" s="126" t="n">
        <f aca="false">L70/$R$3</f>
        <v>0</v>
      </c>
      <c r="U70" s="126" t="n">
        <f aca="false">I70/$R$3</f>
        <v>0.096</v>
      </c>
      <c r="V70" s="126" t="n">
        <f aca="false">M70/$R$3</f>
        <v>-7.138</v>
      </c>
      <c r="W70" s="126" t="n">
        <f aca="false">N70/$R$3</f>
        <v>-7.138</v>
      </c>
    </row>
    <row r="71" customFormat="false" ht="12.75" hidden="false" customHeight="false" outlineLevel="0" collapsed="false">
      <c r="A71" s="120" t="n">
        <f aca="false">A70+1</f>
        <v>36957</v>
      </c>
      <c r="B71" s="131" t="str">
        <f aca="false">INDEX('[4]Master Data'!$A$2:$B$8,MATCH(WEEKDAY('TBS Gas MTM'!A71,3),'[4]Master Data'!$A$2:$A$8,0),2)</f>
        <v>W</v>
      </c>
      <c r="D71" s="124" t="n">
        <v>-151.681000000332</v>
      </c>
      <c r="E71" s="124" t="n">
        <v>0</v>
      </c>
      <c r="F71" s="124" t="n">
        <v>0</v>
      </c>
      <c r="G71" s="124" t="n">
        <v>31</v>
      </c>
      <c r="I71" s="124" t="n">
        <f aca="false">IF(MONTH($A71)=MONTH($A70),IF(G71=0,I70,G71),G71)</f>
        <v>31</v>
      </c>
      <c r="J71" s="124" t="n">
        <f aca="false">IF(MONTH($A71)=MONTH($A70),SUM(I71-I70),I71)</f>
        <v>-65</v>
      </c>
      <c r="K71" s="124" t="n">
        <f aca="false">IF(WEEKDAY(A71,3)&gt;4,0,(IF(A71&lt;K$2,0,IF(A71&lt;=K$3,1,0))))</f>
        <v>0</v>
      </c>
      <c r="L71" s="124" t="n">
        <f aca="false">J71*K71</f>
        <v>-0</v>
      </c>
      <c r="M71" s="124" t="n">
        <f aca="false">SUM(J$6:J71)</f>
        <v>-7203</v>
      </c>
      <c r="N71" s="124" t="n">
        <f aca="false">SUM(J$6:J71)</f>
        <v>-7203</v>
      </c>
      <c r="P71" s="124" t="n">
        <f aca="false">D71/P$3</f>
        <v>-0.000151681000000332</v>
      </c>
      <c r="Q71" s="124" t="n">
        <f aca="false">E71/P$3</f>
        <v>0</v>
      </c>
      <c r="R71" s="124" t="n">
        <f aca="false">F71/R$3</f>
        <v>0</v>
      </c>
      <c r="S71" s="126" t="n">
        <f aca="false">J71/$R$3</f>
        <v>-0.065</v>
      </c>
      <c r="T71" s="126" t="n">
        <f aca="false">L71/$R$3</f>
        <v>-0</v>
      </c>
      <c r="U71" s="126" t="n">
        <f aca="false">I71/$R$3</f>
        <v>0.031</v>
      </c>
      <c r="V71" s="126" t="n">
        <f aca="false">M71/$R$3</f>
        <v>-7.203</v>
      </c>
      <c r="W71" s="126" t="n">
        <f aca="false">N71/$R$3</f>
        <v>-7.203</v>
      </c>
    </row>
    <row r="72" customFormat="false" ht="12.75" hidden="false" customHeight="false" outlineLevel="0" collapsed="false">
      <c r="A72" s="120" t="n">
        <f aca="false">A71+1</f>
        <v>36958</v>
      </c>
      <c r="B72" s="131" t="str">
        <f aca="false">INDEX('[4]Master Data'!$A$2:$B$8,MATCH(WEEKDAY('TBS Gas MTM'!A72,3),'[4]Master Data'!$A$2:$A$8,0),2)</f>
        <v>Th</v>
      </c>
      <c r="D72" s="124" t="n">
        <v>-151.804299999494</v>
      </c>
      <c r="E72" s="124" t="n">
        <v>0</v>
      </c>
      <c r="F72" s="124" t="n">
        <v>0</v>
      </c>
      <c r="G72" s="124" t="n">
        <v>15</v>
      </c>
      <c r="I72" s="124" t="n">
        <f aca="false">IF(MONTH($A72)=MONTH($A71),IF(G72=0,I71,G72),G72)</f>
        <v>15</v>
      </c>
      <c r="J72" s="124" t="n">
        <f aca="false">IF(MONTH($A72)=MONTH($A71),SUM(I72-I71),I72)</f>
        <v>-16</v>
      </c>
      <c r="K72" s="124" t="n">
        <f aca="false">IF(WEEKDAY(A72,3)&gt;4,0,(IF(A72&lt;K$2,0,IF(A72&lt;=K$3,1,0))))</f>
        <v>0</v>
      </c>
      <c r="L72" s="124" t="n">
        <f aca="false">J72*K72</f>
        <v>-0</v>
      </c>
      <c r="M72" s="124" t="n">
        <f aca="false">SUM(J$6:J72)</f>
        <v>-7219</v>
      </c>
      <c r="N72" s="124" t="n">
        <f aca="false">SUM(J$6:J72)</f>
        <v>-7219</v>
      </c>
      <c r="P72" s="124" t="n">
        <f aca="false">D72/P$3</f>
        <v>-0.000151804299999494</v>
      </c>
      <c r="Q72" s="124" t="n">
        <f aca="false">E72/P$3</f>
        <v>0</v>
      </c>
      <c r="R72" s="124" t="n">
        <f aca="false">F72/R$3</f>
        <v>0</v>
      </c>
      <c r="S72" s="126" t="n">
        <f aca="false">J72/$R$3</f>
        <v>-0.016</v>
      </c>
      <c r="T72" s="126" t="n">
        <f aca="false">L72/$R$3</f>
        <v>-0</v>
      </c>
      <c r="U72" s="126" t="n">
        <f aca="false">I72/$R$3</f>
        <v>0.015</v>
      </c>
      <c r="V72" s="126" t="n">
        <f aca="false">M72/$R$3</f>
        <v>-7.219</v>
      </c>
      <c r="W72" s="126" t="n">
        <f aca="false">N72/$R$3</f>
        <v>-7.219</v>
      </c>
    </row>
    <row r="73" customFormat="false" ht="12.75" hidden="false" customHeight="false" outlineLevel="0" collapsed="false">
      <c r="A73" s="120" t="n">
        <f aca="false">A72+1</f>
        <v>36959</v>
      </c>
      <c r="B73" s="131" t="str">
        <f aca="false">INDEX('[4]Master Data'!$A$2:$B$8,MATCH(WEEKDAY('TBS Gas MTM'!A73,3),'[4]Master Data'!$A$2:$A$8,0),2)</f>
        <v>F</v>
      </c>
      <c r="D73" s="124" t="n">
        <v>-152</v>
      </c>
      <c r="E73" s="124" t="n">
        <v>0</v>
      </c>
      <c r="F73" s="124" t="n">
        <v>0</v>
      </c>
      <c r="G73" s="124" t="n">
        <v>-25</v>
      </c>
      <c r="I73" s="124" t="n">
        <f aca="false">IF(MONTH($A73)=MONTH($A72),IF(G73=0,I72,G73),G73)</f>
        <v>-25</v>
      </c>
      <c r="J73" s="124" t="n">
        <f aca="false">IF(MONTH($A73)=MONTH($A72),SUM(I73-I72),I73)</f>
        <v>-40</v>
      </c>
      <c r="K73" s="124" t="n">
        <f aca="false">IF(WEEKDAY(A73,3)&gt;4,0,(IF(A73&lt;K$2,0,IF(A73&lt;=K$3,1,0))))</f>
        <v>0</v>
      </c>
      <c r="L73" s="124" t="n">
        <f aca="false">J73*K73</f>
        <v>-0</v>
      </c>
      <c r="M73" s="124" t="n">
        <f aca="false">SUM(J$6:J73)</f>
        <v>-7259</v>
      </c>
      <c r="N73" s="124" t="n">
        <f aca="false">SUM(J$6:J73)</f>
        <v>-7259</v>
      </c>
      <c r="P73" s="124" t="n">
        <f aca="false">D73/P$3</f>
        <v>-0.000152</v>
      </c>
      <c r="Q73" s="124" t="n">
        <f aca="false">E73/P$3</f>
        <v>0</v>
      </c>
      <c r="R73" s="124" t="n">
        <f aca="false">F73/R$3</f>
        <v>0</v>
      </c>
      <c r="S73" s="126" t="n">
        <f aca="false">J73/$R$3</f>
        <v>-0.04</v>
      </c>
      <c r="T73" s="126" t="n">
        <f aca="false">L73/$R$3</f>
        <v>-0</v>
      </c>
      <c r="U73" s="126" t="n">
        <f aca="false">I73/$R$3</f>
        <v>-0.025</v>
      </c>
      <c r="V73" s="126" t="n">
        <f aca="false">M73/$R$3</f>
        <v>-7.259</v>
      </c>
      <c r="W73" s="126" t="n">
        <f aca="false">N73/$R$3</f>
        <v>-7.259</v>
      </c>
    </row>
    <row r="74" customFormat="false" ht="12.75" hidden="false" customHeight="false" outlineLevel="0" collapsed="false">
      <c r="A74" s="120" t="n">
        <f aca="false">A73+1</f>
        <v>36960</v>
      </c>
      <c r="B74" s="131" t="str">
        <f aca="false">INDEX('[4]Master Data'!$A$2:$B$8,MATCH(WEEKDAY('TBS Gas MTM'!A74,3),'[4]Master Data'!$A$2:$A$8,0),2)</f>
        <v>Sa</v>
      </c>
      <c r="D74" s="124" t="n">
        <v>0</v>
      </c>
      <c r="E74" s="124" t="n">
        <v>0</v>
      </c>
      <c r="F74" s="124" t="n">
        <v>0</v>
      </c>
      <c r="G74" s="124" t="n">
        <v>0</v>
      </c>
      <c r="I74" s="124" t="n">
        <f aca="false">IF(MONTH($A74)=MONTH($A73),IF(G74=0,I73,G74),G74)</f>
        <v>-25</v>
      </c>
      <c r="J74" s="124" t="n">
        <f aca="false">IF(MONTH($A74)=MONTH($A73),SUM(I74-I73),I74)</f>
        <v>0</v>
      </c>
      <c r="K74" s="124" t="n">
        <f aca="false">IF(WEEKDAY(A74,3)&gt;4,0,(IF(A74&lt;K$2,0,IF(A74&lt;=K$3,1,0))))</f>
        <v>0</v>
      </c>
      <c r="L74" s="124" t="n">
        <f aca="false">J74*K74</f>
        <v>0</v>
      </c>
      <c r="M74" s="124" t="n">
        <f aca="false">SUM(J$6:J74)</f>
        <v>-7259</v>
      </c>
      <c r="N74" s="124" t="n">
        <f aca="false">SUM(J$6:J74)</f>
        <v>-7259</v>
      </c>
      <c r="P74" s="124" t="n">
        <f aca="false">D74/P$3</f>
        <v>0</v>
      </c>
      <c r="Q74" s="124" t="n">
        <f aca="false">E74/P$3</f>
        <v>0</v>
      </c>
      <c r="R74" s="124" t="n">
        <f aca="false">F74/R$3</f>
        <v>0</v>
      </c>
      <c r="S74" s="126" t="n">
        <f aca="false">J74/$R$3</f>
        <v>0</v>
      </c>
      <c r="T74" s="126" t="n">
        <f aca="false">L74/$R$3</f>
        <v>0</v>
      </c>
      <c r="U74" s="126" t="n">
        <f aca="false">I74/$R$3</f>
        <v>-0.025</v>
      </c>
      <c r="V74" s="126" t="n">
        <f aca="false">M74/$R$3</f>
        <v>-7.259</v>
      </c>
      <c r="W74" s="126" t="n">
        <f aca="false">N74/$R$3</f>
        <v>-7.259</v>
      </c>
    </row>
    <row r="75" customFormat="false" ht="12.75" hidden="false" customHeight="false" outlineLevel="0" collapsed="false">
      <c r="A75" s="120" t="n">
        <f aca="false">A74+1</f>
        <v>36961</v>
      </c>
      <c r="B75" s="131" t="str">
        <f aca="false">INDEX('[4]Master Data'!$A$2:$B$8,MATCH(WEEKDAY('TBS Gas MTM'!A75,3),'[4]Master Data'!$A$2:$A$8,0),2)</f>
        <v>Su</v>
      </c>
      <c r="D75" s="124" t="n">
        <v>0</v>
      </c>
      <c r="E75" s="124" t="n">
        <v>0</v>
      </c>
      <c r="F75" s="124" t="n">
        <v>0</v>
      </c>
      <c r="G75" s="124" t="n">
        <v>0</v>
      </c>
      <c r="I75" s="124" t="n">
        <f aca="false">IF(MONTH($A75)=MONTH($A74),IF(G75=0,I74,G75),G75)</f>
        <v>-25</v>
      </c>
      <c r="J75" s="124" t="n">
        <f aca="false">IF(MONTH($A75)=MONTH($A74),SUM(I75-I74),I75)</f>
        <v>0</v>
      </c>
      <c r="K75" s="124" t="n">
        <f aca="false">IF(WEEKDAY(A75,3)&gt;4,0,(IF(A75&lt;K$2,0,IF(A75&lt;=K$3,1,0))))</f>
        <v>0</v>
      </c>
      <c r="L75" s="124" t="n">
        <f aca="false">J75*K75</f>
        <v>0</v>
      </c>
      <c r="M75" s="124" t="n">
        <f aca="false">SUM(J$6:J75)</f>
        <v>-7259</v>
      </c>
      <c r="N75" s="124" t="n">
        <f aca="false">SUM(J$6:J75)</f>
        <v>-7259</v>
      </c>
      <c r="P75" s="124" t="n">
        <f aca="false">D75/P$3</f>
        <v>0</v>
      </c>
      <c r="Q75" s="124" t="n">
        <f aca="false">E75/P$3</f>
        <v>0</v>
      </c>
      <c r="R75" s="124" t="n">
        <f aca="false">F75/R$3</f>
        <v>0</v>
      </c>
      <c r="S75" s="126" t="n">
        <f aca="false">J75/$R$3</f>
        <v>0</v>
      </c>
      <c r="T75" s="126" t="n">
        <f aca="false">L75/$R$3</f>
        <v>0</v>
      </c>
      <c r="U75" s="126" t="n">
        <f aca="false">I75/$R$3</f>
        <v>-0.025</v>
      </c>
      <c r="V75" s="126" t="n">
        <f aca="false">M75/$R$3</f>
        <v>-7.259</v>
      </c>
      <c r="W75" s="126" t="n">
        <f aca="false">N75/$R$3</f>
        <v>-7.259</v>
      </c>
    </row>
    <row r="76" customFormat="false" ht="12.75" hidden="false" customHeight="false" outlineLevel="0" collapsed="false">
      <c r="A76" s="120" t="n">
        <f aca="false">A75+1</f>
        <v>36962</v>
      </c>
      <c r="B76" s="131" t="str">
        <f aca="false">INDEX('[4]Master Data'!$A$2:$B$8,MATCH(WEEKDAY('TBS Gas MTM'!A76,3),'[4]Master Data'!$A$2:$A$8,0),2)</f>
        <v>M</v>
      </c>
      <c r="D76" s="124" t="n">
        <v>-152</v>
      </c>
      <c r="E76" s="124" t="n">
        <v>0</v>
      </c>
      <c r="F76" s="124" t="n">
        <v>0</v>
      </c>
      <c r="G76" s="124" t="n">
        <v>-86</v>
      </c>
      <c r="I76" s="124" t="n">
        <f aca="false">IF(MONTH($A76)=MONTH($A75),IF(G76=0,I75,G76),G76)</f>
        <v>-86</v>
      </c>
      <c r="J76" s="124" t="n">
        <f aca="false">IF(MONTH($A76)=MONTH($A75),SUM(I76-I75),I76)</f>
        <v>-61</v>
      </c>
      <c r="K76" s="124" t="n">
        <f aca="false">IF(WEEKDAY(A76,3)&gt;4,0,(IF(A76&lt;K$2,0,IF(A76&lt;=K$3,1,0))))</f>
        <v>0</v>
      </c>
      <c r="L76" s="124" t="n">
        <f aca="false">J76*K76</f>
        <v>-0</v>
      </c>
      <c r="M76" s="124" t="n">
        <f aca="false">SUM(J$6:J76)</f>
        <v>-7320</v>
      </c>
      <c r="N76" s="124" t="n">
        <f aca="false">SUM(J$6:J76)</f>
        <v>-7320</v>
      </c>
      <c r="P76" s="124" t="n">
        <f aca="false">D76/P$3</f>
        <v>-0.000152</v>
      </c>
      <c r="Q76" s="124" t="n">
        <f aca="false">E76/P$3</f>
        <v>0</v>
      </c>
      <c r="R76" s="124" t="n">
        <f aca="false">F76/R$3</f>
        <v>0</v>
      </c>
      <c r="S76" s="126" t="n">
        <f aca="false">J76/$R$3</f>
        <v>-0.061</v>
      </c>
      <c r="T76" s="126" t="n">
        <f aca="false">L76/$R$3</f>
        <v>-0</v>
      </c>
      <c r="U76" s="126" t="n">
        <f aca="false">I76/$R$3</f>
        <v>-0.086</v>
      </c>
      <c r="V76" s="126" t="n">
        <f aca="false">M76/$R$3</f>
        <v>-7.32</v>
      </c>
      <c r="W76" s="126" t="n">
        <f aca="false">N76/$R$3</f>
        <v>-7.32</v>
      </c>
    </row>
    <row r="77" customFormat="false" ht="12.75" hidden="false" customHeight="false" outlineLevel="0" collapsed="false">
      <c r="A77" s="120" t="n">
        <f aca="false">A76+1</f>
        <v>36963</v>
      </c>
      <c r="B77" s="131" t="str">
        <f aca="false">INDEX('[4]Master Data'!$A$2:$B$8,MATCH(WEEKDAY('TBS Gas MTM'!A77,3),'[4]Master Data'!$A$2:$A$8,0),2)</f>
        <v>T</v>
      </c>
      <c r="D77" s="124" t="n">
        <v>-152</v>
      </c>
      <c r="E77" s="124" t="n">
        <v>0</v>
      </c>
      <c r="F77" s="124" t="n">
        <v>0</v>
      </c>
      <c r="G77" s="124" t="n">
        <v>-34</v>
      </c>
      <c r="I77" s="124" t="n">
        <f aca="false">IF(MONTH($A77)=MONTH($A76),IF(G77=0,I76,G77),G77)</f>
        <v>-34</v>
      </c>
      <c r="J77" s="124" t="n">
        <f aca="false">IF(MONTH($A77)=MONTH($A76),SUM(I77-I76),I77)</f>
        <v>52</v>
      </c>
      <c r="K77" s="124" t="n">
        <f aca="false">IF(WEEKDAY(A77,3)&gt;4,0,(IF(A77&lt;K$2,0,IF(A77&lt;=K$3,1,0))))</f>
        <v>0</v>
      </c>
      <c r="L77" s="124" t="n">
        <f aca="false">J77*K77</f>
        <v>0</v>
      </c>
      <c r="M77" s="124" t="n">
        <f aca="false">SUM(J$6:J77)</f>
        <v>-7268</v>
      </c>
      <c r="N77" s="124" t="n">
        <f aca="false">SUM(J$6:J77)</f>
        <v>-7268</v>
      </c>
      <c r="P77" s="124" t="n">
        <f aca="false">D77/P$3</f>
        <v>-0.000152</v>
      </c>
      <c r="Q77" s="124" t="n">
        <f aca="false">E77/P$3</f>
        <v>0</v>
      </c>
      <c r="R77" s="124" t="n">
        <f aca="false">F77/R$3</f>
        <v>0</v>
      </c>
      <c r="S77" s="126" t="n">
        <f aca="false">J77/$R$3</f>
        <v>0.052</v>
      </c>
      <c r="T77" s="126" t="n">
        <f aca="false">L77/$R$3</f>
        <v>0</v>
      </c>
      <c r="U77" s="126" t="n">
        <f aca="false">I77/$R$3</f>
        <v>-0.034</v>
      </c>
      <c r="V77" s="126" t="n">
        <f aca="false">M77/$R$3</f>
        <v>-7.268</v>
      </c>
      <c r="W77" s="126" t="n">
        <f aca="false">N77/$R$3</f>
        <v>-7.268</v>
      </c>
    </row>
    <row r="78" customFormat="false" ht="12.75" hidden="false" customHeight="false" outlineLevel="0" collapsed="false">
      <c r="A78" s="120" t="n">
        <f aca="false">A77+1</f>
        <v>36964</v>
      </c>
      <c r="B78" s="131" t="str">
        <f aca="false">INDEX('[4]Master Data'!$A$2:$B$8,MATCH(WEEKDAY('TBS Gas MTM'!A78,3),'[4]Master Data'!$A$2:$A$8,0),2)</f>
        <v>W</v>
      </c>
      <c r="D78" s="124" t="n">
        <v>-152</v>
      </c>
      <c r="E78" s="124" t="n">
        <v>0</v>
      </c>
      <c r="F78" s="124" t="n">
        <v>0</v>
      </c>
      <c r="G78" s="124" t="n">
        <v>-189</v>
      </c>
      <c r="I78" s="124" t="n">
        <f aca="false">IF(MONTH($A78)=MONTH($A77),IF(G78=0,I77,G78),G78)</f>
        <v>-189</v>
      </c>
      <c r="J78" s="124" t="n">
        <f aca="false">IF(MONTH($A78)=MONTH($A77),SUM(I78-I77),I78)</f>
        <v>-155</v>
      </c>
      <c r="K78" s="124" t="n">
        <f aca="false">IF(WEEKDAY(A78,3)&gt;4,0,(IF(A78&lt;K$2,0,IF(A78&lt;=K$3,1,0))))</f>
        <v>0</v>
      </c>
      <c r="L78" s="124" t="n">
        <f aca="false">J78*K78</f>
        <v>-0</v>
      </c>
      <c r="M78" s="124" t="n">
        <f aca="false">SUM(J$6:J78)</f>
        <v>-7423</v>
      </c>
      <c r="N78" s="124" t="n">
        <f aca="false">SUM(J$6:J78)</f>
        <v>-7423</v>
      </c>
      <c r="P78" s="124" t="n">
        <f aca="false">D78/P$3</f>
        <v>-0.000152</v>
      </c>
      <c r="Q78" s="124" t="n">
        <f aca="false">E78/P$3</f>
        <v>0</v>
      </c>
      <c r="R78" s="124" t="n">
        <f aca="false">F78/R$3</f>
        <v>0</v>
      </c>
      <c r="S78" s="126" t="n">
        <f aca="false">J78/$R$3</f>
        <v>-0.155</v>
      </c>
      <c r="T78" s="126" t="n">
        <f aca="false">L78/$R$3</f>
        <v>-0</v>
      </c>
      <c r="U78" s="126" t="n">
        <f aca="false">I78/$R$3</f>
        <v>-0.189</v>
      </c>
      <c r="V78" s="126" t="n">
        <f aca="false">M78/$R$3</f>
        <v>-7.423</v>
      </c>
      <c r="W78" s="126" t="n">
        <f aca="false">N78/$R$3</f>
        <v>-7.423</v>
      </c>
    </row>
    <row r="79" customFormat="false" ht="12.75" hidden="false" customHeight="false" outlineLevel="0" collapsed="false">
      <c r="A79" s="120" t="n">
        <f aca="false">A78+1</f>
        <v>36965</v>
      </c>
      <c r="B79" s="131" t="str">
        <f aca="false">INDEX('[4]Master Data'!$A$2:$B$8,MATCH(WEEKDAY('TBS Gas MTM'!A79,3),'[4]Master Data'!$A$2:$A$8,0),2)</f>
        <v>Th</v>
      </c>
      <c r="D79" s="124" t="n">
        <v>-152</v>
      </c>
      <c r="E79" s="124" t="n">
        <v>0</v>
      </c>
      <c r="F79" s="124" t="n">
        <v>0</v>
      </c>
      <c r="G79" s="124" t="n">
        <v>-309</v>
      </c>
      <c r="I79" s="124" t="n">
        <f aca="false">IF(MONTH($A79)=MONTH($A78),IF(G79=0,I78,G79),G79)</f>
        <v>-309</v>
      </c>
      <c r="J79" s="124" t="n">
        <f aca="false">IF(MONTH($A79)=MONTH($A78),SUM(I79-I78),I79)</f>
        <v>-120</v>
      </c>
      <c r="K79" s="124" t="n">
        <f aca="false">IF(WEEKDAY(A79,3)&gt;4,0,(IF(A79&lt;K$2,0,IF(A79&lt;=K$3,1,0))))</f>
        <v>0</v>
      </c>
      <c r="L79" s="124" t="n">
        <f aca="false">J79*K79</f>
        <v>-0</v>
      </c>
      <c r="M79" s="124" t="n">
        <f aca="false">SUM(J$6:J79)</f>
        <v>-7543</v>
      </c>
      <c r="N79" s="124" t="n">
        <f aca="false">SUM(J$6:J79)</f>
        <v>-7543</v>
      </c>
      <c r="P79" s="124" t="n">
        <f aca="false">D79/P$3</f>
        <v>-0.000152</v>
      </c>
      <c r="Q79" s="124" t="n">
        <f aca="false">E79/P$3</f>
        <v>0</v>
      </c>
      <c r="R79" s="124" t="n">
        <f aca="false">F79/R$3</f>
        <v>0</v>
      </c>
      <c r="S79" s="126" t="n">
        <f aca="false">J79/$R$3</f>
        <v>-0.12</v>
      </c>
      <c r="T79" s="126" t="n">
        <f aca="false">L79/$R$3</f>
        <v>-0</v>
      </c>
      <c r="U79" s="126" t="n">
        <f aca="false">I79/$R$3</f>
        <v>-0.309</v>
      </c>
      <c r="V79" s="126" t="n">
        <f aca="false">M79/$R$3</f>
        <v>-7.543</v>
      </c>
      <c r="W79" s="126" t="n">
        <f aca="false">N79/$R$3</f>
        <v>-7.543</v>
      </c>
    </row>
    <row r="80" customFormat="false" ht="12.75" hidden="false" customHeight="false" outlineLevel="0" collapsed="false">
      <c r="A80" s="120" t="n">
        <f aca="false">A79+1</f>
        <v>36966</v>
      </c>
      <c r="B80" s="131" t="str">
        <f aca="false">INDEX('[4]Master Data'!$A$2:$B$8,MATCH(WEEKDAY('TBS Gas MTM'!A80,3),'[4]Master Data'!$A$2:$A$8,0),2)</f>
        <v>F</v>
      </c>
      <c r="D80" s="124" t="n">
        <v>-152</v>
      </c>
      <c r="E80" s="124" t="n">
        <v>0</v>
      </c>
      <c r="F80" s="124" t="n">
        <v>0</v>
      </c>
      <c r="G80" s="124" t="n">
        <v>-336</v>
      </c>
      <c r="I80" s="124" t="n">
        <f aca="false">IF(MONTH($A80)=MONTH($A79),IF(G80=0,I79,G80),G80)</f>
        <v>-336</v>
      </c>
      <c r="J80" s="124" t="n">
        <f aca="false">IF(MONTH($A80)=MONTH($A79),SUM(I80-I79),I80)</f>
        <v>-27</v>
      </c>
      <c r="K80" s="124" t="n">
        <f aca="false">IF(WEEKDAY(A80,3)&gt;4,0,(IF(A80&lt;K$2,0,IF(A80&lt;=K$3,1,0))))</f>
        <v>0</v>
      </c>
      <c r="L80" s="124" t="n">
        <f aca="false">J80*K80</f>
        <v>-0</v>
      </c>
      <c r="M80" s="124" t="n">
        <f aca="false">SUM(J$6:J80)</f>
        <v>-7570</v>
      </c>
      <c r="N80" s="124" t="n">
        <f aca="false">SUM(J$6:J80)</f>
        <v>-7570</v>
      </c>
      <c r="P80" s="124" t="n">
        <f aca="false">D80/P$3</f>
        <v>-0.000152</v>
      </c>
      <c r="Q80" s="124" t="n">
        <f aca="false">E80/P$3</f>
        <v>0</v>
      </c>
      <c r="R80" s="124" t="n">
        <f aca="false">F80/R$3</f>
        <v>0</v>
      </c>
      <c r="S80" s="126" t="n">
        <f aca="false">J80/$R$3</f>
        <v>-0.027</v>
      </c>
      <c r="T80" s="126" t="n">
        <f aca="false">L80/$R$3</f>
        <v>-0</v>
      </c>
      <c r="U80" s="126" t="n">
        <f aca="false">I80/$R$3</f>
        <v>-0.336</v>
      </c>
      <c r="V80" s="126" t="n">
        <f aca="false">M80/$R$3</f>
        <v>-7.57</v>
      </c>
      <c r="W80" s="126" t="n">
        <f aca="false">N80/$R$3</f>
        <v>-7.57</v>
      </c>
    </row>
    <row r="81" customFormat="false" ht="12.75" hidden="false" customHeight="false" outlineLevel="0" collapsed="false">
      <c r="A81" s="120" t="n">
        <f aca="false">A80+1</f>
        <v>36967</v>
      </c>
      <c r="B81" s="131" t="str">
        <f aca="false">INDEX('[4]Master Data'!$A$2:$B$8,MATCH(WEEKDAY('TBS Gas MTM'!A81,3),'[4]Master Data'!$A$2:$A$8,0),2)</f>
        <v>Sa</v>
      </c>
      <c r="D81" s="124" t="n">
        <v>0</v>
      </c>
      <c r="E81" s="124" t="n">
        <v>0</v>
      </c>
      <c r="F81" s="124" t="n">
        <v>0</v>
      </c>
      <c r="G81" s="124" t="n">
        <v>0</v>
      </c>
      <c r="I81" s="124" t="n">
        <f aca="false">IF(MONTH($A81)=MONTH($A80),IF(G81=0,I80,G81),G81)</f>
        <v>-336</v>
      </c>
      <c r="J81" s="124" t="n">
        <f aca="false">IF(MONTH($A81)=MONTH($A80),SUM(I81-I80),I81)</f>
        <v>0</v>
      </c>
      <c r="K81" s="124" t="n">
        <f aca="false">IF(WEEKDAY(A81,3)&gt;4,0,(IF(A81&lt;K$2,0,IF(A81&lt;=K$3,1,0))))</f>
        <v>0</v>
      </c>
      <c r="L81" s="124" t="n">
        <f aca="false">J81*K81</f>
        <v>0</v>
      </c>
      <c r="M81" s="124" t="n">
        <f aca="false">SUM(J$6:J81)</f>
        <v>-7570</v>
      </c>
      <c r="N81" s="124" t="n">
        <f aca="false">SUM(J$6:J81)</f>
        <v>-7570</v>
      </c>
      <c r="P81" s="124" t="n">
        <f aca="false">D81/P$3</f>
        <v>0</v>
      </c>
      <c r="Q81" s="124" t="n">
        <f aca="false">E81/P$3</f>
        <v>0</v>
      </c>
      <c r="R81" s="124" t="n">
        <f aca="false">F81/R$3</f>
        <v>0</v>
      </c>
      <c r="S81" s="126" t="n">
        <f aca="false">J81/$R$3</f>
        <v>0</v>
      </c>
      <c r="T81" s="126" t="n">
        <f aca="false">L81/$R$3</f>
        <v>0</v>
      </c>
      <c r="U81" s="126" t="n">
        <f aca="false">I81/$R$3</f>
        <v>-0.336</v>
      </c>
      <c r="V81" s="126" t="n">
        <f aca="false">M81/$R$3</f>
        <v>-7.57</v>
      </c>
      <c r="W81" s="126" t="n">
        <f aca="false">N81/$R$3</f>
        <v>-7.57</v>
      </c>
    </row>
    <row r="82" customFormat="false" ht="12.75" hidden="false" customHeight="false" outlineLevel="0" collapsed="false">
      <c r="A82" s="120" t="n">
        <f aca="false">A81+1</f>
        <v>36968</v>
      </c>
      <c r="B82" s="131" t="str">
        <f aca="false">INDEX('[4]Master Data'!$A$2:$B$8,MATCH(WEEKDAY('TBS Gas MTM'!A82,3),'[4]Master Data'!$A$2:$A$8,0),2)</f>
        <v>Su</v>
      </c>
      <c r="D82" s="124" t="n">
        <v>0</v>
      </c>
      <c r="E82" s="124" t="n">
        <v>0</v>
      </c>
      <c r="F82" s="124" t="n">
        <v>0</v>
      </c>
      <c r="G82" s="124" t="n">
        <v>0</v>
      </c>
      <c r="I82" s="124" t="n">
        <f aca="false">IF(MONTH($A82)=MONTH($A81),IF(G82=0,I81,G82),G82)</f>
        <v>-336</v>
      </c>
      <c r="J82" s="124" t="n">
        <f aca="false">IF(MONTH($A82)=MONTH($A81),SUM(I82-I81),I82)</f>
        <v>0</v>
      </c>
      <c r="K82" s="124" t="n">
        <f aca="false">IF(WEEKDAY(A82,3)&gt;4,0,(IF(A82&lt;K$2,0,IF(A82&lt;=K$3,1,0))))</f>
        <v>0</v>
      </c>
      <c r="L82" s="124" t="n">
        <f aca="false">J82*K82</f>
        <v>0</v>
      </c>
      <c r="M82" s="124" t="n">
        <f aca="false">SUM(J$6:J82)</f>
        <v>-7570</v>
      </c>
      <c r="N82" s="124" t="n">
        <f aca="false">SUM(J$6:J82)</f>
        <v>-7570</v>
      </c>
      <c r="P82" s="124" t="n">
        <f aca="false">D82/P$3</f>
        <v>0</v>
      </c>
      <c r="Q82" s="124" t="n">
        <f aca="false">E82/P$3</f>
        <v>0</v>
      </c>
      <c r="R82" s="124" t="n">
        <f aca="false">F82/R$3</f>
        <v>0</v>
      </c>
      <c r="S82" s="126" t="n">
        <f aca="false">J82/$R$3</f>
        <v>0</v>
      </c>
      <c r="T82" s="126" t="n">
        <f aca="false">L82/$R$3</f>
        <v>0</v>
      </c>
      <c r="U82" s="126" t="n">
        <f aca="false">I82/$R$3</f>
        <v>-0.336</v>
      </c>
      <c r="V82" s="126" t="n">
        <f aca="false">M82/$R$3</f>
        <v>-7.57</v>
      </c>
      <c r="W82" s="126" t="n">
        <f aca="false">N82/$R$3</f>
        <v>-7.57</v>
      </c>
    </row>
    <row r="83" customFormat="false" ht="12.75" hidden="false" customHeight="false" outlineLevel="0" collapsed="false">
      <c r="A83" s="120" t="n">
        <f aca="false">A82+1</f>
        <v>36969</v>
      </c>
      <c r="B83" s="131" t="str">
        <f aca="false">INDEX('[4]Master Data'!$A$2:$B$8,MATCH(WEEKDAY('TBS Gas MTM'!A83,3),'[4]Master Data'!$A$2:$A$8,0),2)</f>
        <v>M</v>
      </c>
      <c r="D83" s="124" t="n">
        <v>115812.353200002</v>
      </c>
      <c r="E83" s="124" t="n">
        <v>0</v>
      </c>
      <c r="F83" s="124" t="n">
        <v>0</v>
      </c>
      <c r="G83" s="124" t="n">
        <v>-512615</v>
      </c>
      <c r="I83" s="124" t="n">
        <f aca="false">IF(MONTH($A83)=MONTH($A82),IF(G83=0,I82,G83),G83)</f>
        <v>-512615</v>
      </c>
      <c r="J83" s="124" t="n">
        <f aca="false">IF(MONTH($A83)=MONTH($A82),SUM(I83-I82),I83)</f>
        <v>-512279</v>
      </c>
      <c r="K83" s="124" t="n">
        <f aca="false">IF(WEEKDAY(A83,3)&gt;4,0,(IF(A83&lt;K$2,0,IF(A83&lt;=K$3,1,0))))</f>
        <v>0</v>
      </c>
      <c r="L83" s="124" t="n">
        <f aca="false">J83*K83</f>
        <v>-0</v>
      </c>
      <c r="M83" s="124" t="n">
        <f aca="false">SUM(J$6:J83)</f>
        <v>-519849</v>
      </c>
      <c r="N83" s="124" t="n">
        <f aca="false">SUM(J$6:J83)</f>
        <v>-519849</v>
      </c>
      <c r="P83" s="124" t="n">
        <f aca="false">D83/P$3</f>
        <v>0.115812353200002</v>
      </c>
      <c r="Q83" s="124" t="n">
        <f aca="false">E83/P$3</f>
        <v>0</v>
      </c>
      <c r="R83" s="124" t="n">
        <f aca="false">F83/R$3</f>
        <v>0</v>
      </c>
      <c r="S83" s="126" t="n">
        <f aca="false">J83/$R$3</f>
        <v>-512.279</v>
      </c>
      <c r="T83" s="126" t="n">
        <f aca="false">L83/$R$3</f>
        <v>-0</v>
      </c>
      <c r="U83" s="126" t="n">
        <f aca="false">I83/$R$3</f>
        <v>-512.615</v>
      </c>
      <c r="V83" s="126" t="n">
        <f aca="false">M83/$R$3</f>
        <v>-519.849</v>
      </c>
      <c r="W83" s="126" t="n">
        <f aca="false">N83/$R$3</f>
        <v>-519.849</v>
      </c>
    </row>
    <row r="84" customFormat="false" ht="12.75" hidden="false" customHeight="false" outlineLevel="0" collapsed="false">
      <c r="A84" s="120" t="n">
        <f aca="false">A83+1</f>
        <v>36970</v>
      </c>
      <c r="B84" s="131" t="str">
        <f aca="false">INDEX('[4]Master Data'!$A$2:$B$8,MATCH(WEEKDAY('TBS Gas MTM'!A84,3),'[4]Master Data'!$A$2:$A$8,0),2)</f>
        <v>T</v>
      </c>
      <c r="D84" s="124" t="n">
        <v>-812.21099999873</v>
      </c>
      <c r="E84" s="124" t="n">
        <v>0</v>
      </c>
      <c r="F84" s="124" t="n">
        <v>0</v>
      </c>
      <c r="G84" s="124" t="n">
        <v>-214613</v>
      </c>
      <c r="I84" s="124" t="n">
        <f aca="false">IF(MONTH($A84)=MONTH($A83),IF(G84=0,I83,G84),G84)</f>
        <v>-214613</v>
      </c>
      <c r="J84" s="124" t="n">
        <f aca="false">IF(MONTH($A84)=MONTH($A83),SUM(I84-I83),I84)</f>
        <v>298002</v>
      </c>
      <c r="K84" s="124" t="n">
        <f aca="false">IF(WEEKDAY(A84,3)&gt;4,0,(IF(A84&lt;K$2,0,IF(A84&lt;=K$3,1,0))))</f>
        <v>0</v>
      </c>
      <c r="L84" s="124" t="n">
        <f aca="false">J84*K84</f>
        <v>0</v>
      </c>
      <c r="M84" s="124" t="n">
        <f aca="false">SUM(J$6:J84)</f>
        <v>-221847</v>
      </c>
      <c r="N84" s="124" t="n">
        <f aca="false">SUM(J$6:J84)</f>
        <v>-221847</v>
      </c>
      <c r="P84" s="124" t="n">
        <f aca="false">D84/P$3</f>
        <v>-0.00081221099999873</v>
      </c>
      <c r="Q84" s="124" t="n">
        <f aca="false">E84/P$3</f>
        <v>0</v>
      </c>
      <c r="R84" s="124" t="n">
        <f aca="false">F84/R$3</f>
        <v>0</v>
      </c>
      <c r="S84" s="126" t="n">
        <f aca="false">J84/$R$3</f>
        <v>298.002</v>
      </c>
      <c r="T84" s="126" t="n">
        <f aca="false">L84/$R$3</f>
        <v>0</v>
      </c>
      <c r="U84" s="126" t="n">
        <f aca="false">I84/$R$3</f>
        <v>-214.613</v>
      </c>
      <c r="V84" s="126" t="n">
        <f aca="false">M84/$R$3</f>
        <v>-221.847</v>
      </c>
      <c r="W84" s="126" t="n">
        <f aca="false">N84/$R$3</f>
        <v>-221.847</v>
      </c>
    </row>
    <row r="85" customFormat="false" ht="12.75" hidden="false" customHeight="false" outlineLevel="0" collapsed="false">
      <c r="A85" s="120" t="n">
        <f aca="false">A84+1</f>
        <v>36971</v>
      </c>
      <c r="B85" s="131" t="str">
        <f aca="false">INDEX('[4]Master Data'!$A$2:$B$8,MATCH(WEEKDAY('TBS Gas MTM'!A85,3),'[4]Master Data'!$A$2:$A$8,0),2)</f>
        <v>W</v>
      </c>
      <c r="D85" s="153" t="n">
        <v>-814.971400000621</v>
      </c>
      <c r="E85" s="124" t="n">
        <v>0</v>
      </c>
      <c r="F85" s="124" t="n">
        <v>0</v>
      </c>
      <c r="G85" s="153" t="n">
        <v>-214682</v>
      </c>
      <c r="I85" s="124" t="n">
        <f aca="false">IF(MONTH($A85)=MONTH($A84),IF(G85=0,I84,G85),G85)</f>
        <v>-214682</v>
      </c>
      <c r="J85" s="124" t="n">
        <f aca="false">IF(MONTH($A85)=MONTH($A84),SUM(I85-I84),I85)</f>
        <v>-69</v>
      </c>
      <c r="K85" s="124" t="n">
        <f aca="false">IF(WEEKDAY(A85,3)&gt;4,0,(IF(A85&lt;K$2,0,IF(A85&lt;=K$3,1,0))))</f>
        <v>0</v>
      </c>
      <c r="L85" s="124" t="n">
        <f aca="false">J85*K85</f>
        <v>-0</v>
      </c>
      <c r="M85" s="124" t="n">
        <f aca="false">SUM(J$6:J85)</f>
        <v>-221916</v>
      </c>
      <c r="N85" s="124" t="n">
        <f aca="false">SUM(J$6:J85)</f>
        <v>-221916</v>
      </c>
      <c r="P85" s="124" t="n">
        <f aca="false">D85/P$3</f>
        <v>-0.000814971400000621</v>
      </c>
      <c r="Q85" s="124" t="n">
        <f aca="false">E85/P$3</f>
        <v>0</v>
      </c>
      <c r="R85" s="124" t="n">
        <f aca="false">F85/R$3</f>
        <v>0</v>
      </c>
      <c r="S85" s="126" t="n">
        <f aca="false">J85/$R$3</f>
        <v>-0.069</v>
      </c>
      <c r="T85" s="126" t="n">
        <f aca="false">L85/$R$3</f>
        <v>-0</v>
      </c>
      <c r="U85" s="126" t="n">
        <f aca="false">I85/$R$3</f>
        <v>-214.682</v>
      </c>
      <c r="V85" s="126" t="n">
        <f aca="false">M85/$R$3</f>
        <v>-221.916</v>
      </c>
      <c r="W85" s="126" t="n">
        <f aca="false">N85/$R$3</f>
        <v>-221.916</v>
      </c>
    </row>
    <row r="86" customFormat="false" ht="12.75" hidden="false" customHeight="false" outlineLevel="0" collapsed="false">
      <c r="A86" s="120" t="n">
        <f aca="false">A85+1</f>
        <v>36972</v>
      </c>
      <c r="B86" s="131" t="str">
        <f aca="false">INDEX('[4]Master Data'!$A$2:$B$8,MATCH(WEEKDAY('TBS Gas MTM'!A86,3),'[4]Master Data'!$A$2:$A$8,0),2)</f>
        <v>Th</v>
      </c>
      <c r="D86" s="153" t="n">
        <v>0</v>
      </c>
      <c r="E86" s="124" t="n">
        <v>0</v>
      </c>
      <c r="F86" s="124" t="n">
        <v>0</v>
      </c>
      <c r="G86" s="124" t="n">
        <v>-214682</v>
      </c>
      <c r="I86" s="124" t="n">
        <f aca="false">IF(MONTH($A86)=MONTH($A85),IF(G86=0,I85,G86),G86)</f>
        <v>-214682</v>
      </c>
      <c r="J86" s="124" t="n">
        <f aca="false">IF(MONTH($A86)=MONTH($A85),SUM(I86-I85),I86)</f>
        <v>0</v>
      </c>
      <c r="K86" s="124" t="n">
        <f aca="false">IF(WEEKDAY(A86,3)&gt;4,0,(IF(A86&lt;K$2,0,IF(A86&lt;=K$3,1,0))))</f>
        <v>0</v>
      </c>
      <c r="L86" s="124" t="n">
        <f aca="false">J86*K86</f>
        <v>0</v>
      </c>
      <c r="M86" s="124" t="n">
        <f aca="false">SUM(J$6:J86)</f>
        <v>-221916</v>
      </c>
      <c r="N86" s="124" t="n">
        <f aca="false">SUM(J$6:J86)</f>
        <v>-221916</v>
      </c>
      <c r="P86" s="124" t="n">
        <f aca="false">D86/P$3</f>
        <v>0</v>
      </c>
      <c r="Q86" s="124" t="n">
        <f aca="false">E86/P$3</f>
        <v>0</v>
      </c>
      <c r="R86" s="124" t="n">
        <f aca="false">F86/R$3</f>
        <v>0</v>
      </c>
      <c r="S86" s="126" t="n">
        <f aca="false">J86/$R$3</f>
        <v>0</v>
      </c>
      <c r="T86" s="126" t="n">
        <f aca="false">L86/$R$3</f>
        <v>0</v>
      </c>
      <c r="U86" s="126" t="n">
        <f aca="false">I86/$R$3</f>
        <v>-214.682</v>
      </c>
      <c r="V86" s="126" t="n">
        <f aca="false">M86/$R$3</f>
        <v>-221.916</v>
      </c>
      <c r="W86" s="126" t="n">
        <f aca="false">N86/$R$3</f>
        <v>-221.916</v>
      </c>
    </row>
    <row r="87" customFormat="false" ht="12.75" hidden="false" customHeight="false" outlineLevel="0" collapsed="false">
      <c r="A87" s="120" t="n">
        <f aca="false">A86+1</f>
        <v>36973</v>
      </c>
      <c r="B87" s="131" t="str">
        <f aca="false">INDEX('[4]Master Data'!$A$2:$B$8,MATCH(WEEKDAY('TBS Gas MTM'!A87,3),'[4]Master Data'!$A$2:$A$8,0),2)</f>
        <v>F</v>
      </c>
      <c r="D87" s="124" t="n">
        <v>0</v>
      </c>
      <c r="E87" s="124" t="n">
        <v>0</v>
      </c>
      <c r="F87" s="124" t="n">
        <v>0</v>
      </c>
      <c r="G87" s="124" t="n">
        <v>0</v>
      </c>
      <c r="I87" s="124" t="n">
        <f aca="false">IF(MONTH($A87)=MONTH($A86),IF(G87=0,I86,G87),G87)</f>
        <v>-214682</v>
      </c>
      <c r="J87" s="124" t="n">
        <f aca="false">IF(MONTH($A87)=MONTH($A86),SUM(I87-I86),I87)</f>
        <v>0</v>
      </c>
      <c r="K87" s="124" t="n">
        <f aca="false">IF(WEEKDAY(A87,3)&gt;4,0,(IF(A87&lt;K$2,0,IF(A87&lt;=K$3,1,0))))</f>
        <v>0</v>
      </c>
      <c r="L87" s="124" t="n">
        <f aca="false">J87*K87</f>
        <v>0</v>
      </c>
      <c r="M87" s="124" t="n">
        <f aca="false">SUM(J$6:J87)</f>
        <v>-221916</v>
      </c>
      <c r="N87" s="124" t="n">
        <f aca="false">SUM(J$6:J87)</f>
        <v>-221916</v>
      </c>
      <c r="P87" s="124" t="n">
        <f aca="false">D87/P$3</f>
        <v>0</v>
      </c>
      <c r="Q87" s="124" t="n">
        <f aca="false">E87/P$3</f>
        <v>0</v>
      </c>
      <c r="R87" s="124" t="n">
        <f aca="false">F87/R$3</f>
        <v>0</v>
      </c>
      <c r="S87" s="126" t="n">
        <f aca="false">J87/$R$3</f>
        <v>0</v>
      </c>
      <c r="T87" s="126" t="n">
        <f aca="false">L87/$R$3</f>
        <v>0</v>
      </c>
      <c r="U87" s="126" t="n">
        <f aca="false">I87/$R$3</f>
        <v>-214.682</v>
      </c>
      <c r="V87" s="126" t="n">
        <f aca="false">M87/$R$3</f>
        <v>-221.916</v>
      </c>
      <c r="W87" s="126" t="n">
        <f aca="false">N87/$R$3</f>
        <v>-221.916</v>
      </c>
    </row>
    <row r="88" customFormat="false" ht="12.75" hidden="false" customHeight="false" outlineLevel="0" collapsed="false">
      <c r="A88" s="120" t="n">
        <f aca="false">A87+1</f>
        <v>36974</v>
      </c>
      <c r="B88" s="131" t="str">
        <f aca="false">INDEX('[4]Master Data'!$A$2:$B$8,MATCH(WEEKDAY('TBS Gas MTM'!A88,3),'[4]Master Data'!$A$2:$A$8,0),2)</f>
        <v>Sa</v>
      </c>
      <c r="D88" s="124" t="n">
        <v>0</v>
      </c>
      <c r="E88" s="124" t="n">
        <v>0</v>
      </c>
      <c r="F88" s="124" t="n">
        <v>0</v>
      </c>
      <c r="G88" s="124" t="n">
        <v>0</v>
      </c>
      <c r="I88" s="124" t="n">
        <f aca="false">IF(MONTH($A88)=MONTH($A87),IF(G88=0,I87,G88),G88)</f>
        <v>-214682</v>
      </c>
      <c r="J88" s="124" t="n">
        <f aca="false">IF(MONTH($A88)=MONTH($A87),SUM(I88-I87),I88)</f>
        <v>0</v>
      </c>
      <c r="K88" s="124" t="n">
        <f aca="false">IF(WEEKDAY(A88,3)&gt;4,0,(IF(A88&lt;K$2,0,IF(A88&lt;=K$3,1,0))))</f>
        <v>0</v>
      </c>
      <c r="L88" s="124" t="n">
        <f aca="false">J88*K88</f>
        <v>0</v>
      </c>
      <c r="M88" s="124" t="n">
        <f aca="false">SUM(J$6:J88)</f>
        <v>-221916</v>
      </c>
      <c r="N88" s="124" t="n">
        <f aca="false">SUM(J$6:J88)</f>
        <v>-221916</v>
      </c>
      <c r="P88" s="124" t="n">
        <f aca="false">D88/P$3</f>
        <v>0</v>
      </c>
      <c r="Q88" s="124" t="n">
        <f aca="false">E88/P$3</f>
        <v>0</v>
      </c>
      <c r="R88" s="124" t="n">
        <f aca="false">F88/R$3</f>
        <v>0</v>
      </c>
      <c r="S88" s="126" t="n">
        <f aca="false">J88/$R$3</f>
        <v>0</v>
      </c>
      <c r="T88" s="126" t="n">
        <f aca="false">L88/$R$3</f>
        <v>0</v>
      </c>
      <c r="U88" s="126" t="n">
        <f aca="false">I88/$R$3</f>
        <v>-214.682</v>
      </c>
      <c r="V88" s="126" t="n">
        <f aca="false">M88/$R$3</f>
        <v>-221.916</v>
      </c>
      <c r="W88" s="126" t="n">
        <f aca="false">N88/$R$3</f>
        <v>-221.916</v>
      </c>
    </row>
    <row r="89" customFormat="false" ht="12.75" hidden="false" customHeight="false" outlineLevel="0" collapsed="false">
      <c r="A89" s="120" t="n">
        <f aca="false">A88+1</f>
        <v>36975</v>
      </c>
      <c r="B89" s="131" t="str">
        <f aca="false">INDEX('[4]Master Data'!$A$2:$B$8,MATCH(WEEKDAY('TBS Gas MTM'!A89,3),'[4]Master Data'!$A$2:$A$8,0),2)</f>
        <v>Su</v>
      </c>
      <c r="D89" s="124" t="n">
        <v>0</v>
      </c>
      <c r="E89" s="124" t="n">
        <v>0</v>
      </c>
      <c r="F89" s="124" t="n">
        <v>0</v>
      </c>
      <c r="G89" s="124" t="n">
        <v>0</v>
      </c>
      <c r="I89" s="124" t="n">
        <f aca="false">IF(MONTH($A89)=MONTH($A88),IF(G89=0,I88,G89),G89)</f>
        <v>-214682</v>
      </c>
      <c r="J89" s="124" t="n">
        <f aca="false">IF(MONTH($A89)=MONTH($A88),SUM(I89-I88),I89)</f>
        <v>0</v>
      </c>
      <c r="K89" s="124" t="n">
        <f aca="false">IF(WEEKDAY(A89,3)&gt;4,0,(IF(A89&lt;K$2,0,IF(A89&lt;=K$3,1,0))))</f>
        <v>0</v>
      </c>
      <c r="L89" s="124" t="n">
        <f aca="false">J89*K89</f>
        <v>0</v>
      </c>
      <c r="M89" s="124" t="n">
        <f aca="false">SUM(J$6:J89)</f>
        <v>-221916</v>
      </c>
      <c r="N89" s="124" t="n">
        <f aca="false">SUM(J$6:J89)</f>
        <v>-221916</v>
      </c>
      <c r="P89" s="124" t="n">
        <f aca="false">D89/P$3</f>
        <v>0</v>
      </c>
      <c r="Q89" s="124" t="n">
        <f aca="false">E89/P$3</f>
        <v>0</v>
      </c>
      <c r="R89" s="124" t="n">
        <f aca="false">F89/R$3</f>
        <v>0</v>
      </c>
      <c r="S89" s="126" t="n">
        <f aca="false">J89/$R$3</f>
        <v>0</v>
      </c>
      <c r="T89" s="126" t="n">
        <f aca="false">L89/$R$3</f>
        <v>0</v>
      </c>
      <c r="U89" s="126" t="n">
        <f aca="false">I89/$R$3</f>
        <v>-214.682</v>
      </c>
      <c r="V89" s="126" t="n">
        <f aca="false">M89/$R$3</f>
        <v>-221.916</v>
      </c>
      <c r="W89" s="126" t="n">
        <f aca="false">N89/$R$3</f>
        <v>-221.916</v>
      </c>
    </row>
    <row r="90" customFormat="false" ht="12.75" hidden="false" customHeight="false" outlineLevel="0" collapsed="false">
      <c r="A90" s="120" t="n">
        <f aca="false">A89+1</f>
        <v>36976</v>
      </c>
      <c r="B90" s="131" t="str">
        <f aca="false">INDEX('[4]Master Data'!$A$2:$B$8,MATCH(WEEKDAY('TBS Gas MTM'!A90,3),'[4]Master Data'!$A$2:$A$8,0),2)</f>
        <v>M</v>
      </c>
      <c r="D90" s="124" t="n">
        <v>0</v>
      </c>
      <c r="E90" s="124" t="n">
        <v>0</v>
      </c>
      <c r="F90" s="124" t="n">
        <v>0</v>
      </c>
      <c r="G90" s="124" t="n">
        <v>0</v>
      </c>
      <c r="I90" s="124" t="n">
        <f aca="false">IF(MONTH($A90)=MONTH($A89),IF(G90=0,I89,G90),G90)</f>
        <v>-214682</v>
      </c>
      <c r="J90" s="124" t="n">
        <f aca="false">IF(MONTH($A90)=MONTH($A89),SUM(I90-I89),I90)</f>
        <v>0</v>
      </c>
      <c r="K90" s="124" t="n">
        <f aca="false">IF(WEEKDAY(A90,3)&gt;4,0,(IF(A90&lt;K$2,0,IF(A90&lt;=K$3,1,0))))</f>
        <v>0</v>
      </c>
      <c r="L90" s="124" t="n">
        <f aca="false">J90*K90</f>
        <v>0</v>
      </c>
      <c r="M90" s="124" t="n">
        <f aca="false">SUM(J$6:J90)</f>
        <v>-221916</v>
      </c>
      <c r="N90" s="124" t="n">
        <f aca="false">SUM(J$6:J90)</f>
        <v>-221916</v>
      </c>
      <c r="P90" s="124" t="n">
        <f aca="false">D90/P$3</f>
        <v>0</v>
      </c>
      <c r="Q90" s="124" t="n">
        <f aca="false">E90/P$3</f>
        <v>0</v>
      </c>
      <c r="R90" s="124" t="n">
        <f aca="false">F90/R$3</f>
        <v>0</v>
      </c>
      <c r="S90" s="126" t="n">
        <f aca="false">J90/$R$3</f>
        <v>0</v>
      </c>
      <c r="T90" s="126" t="n">
        <f aca="false">L90/$R$3</f>
        <v>0</v>
      </c>
      <c r="U90" s="126" t="n">
        <f aca="false">I90/$R$3</f>
        <v>-214.682</v>
      </c>
      <c r="V90" s="126" t="n">
        <f aca="false">M90/$R$3</f>
        <v>-221.916</v>
      </c>
      <c r="W90" s="126" t="n">
        <f aca="false">N90/$R$3</f>
        <v>-221.916</v>
      </c>
    </row>
    <row r="91" customFormat="false" ht="12.75" hidden="false" customHeight="false" outlineLevel="0" collapsed="false">
      <c r="A91" s="120" t="n">
        <f aca="false">A90+1</f>
        <v>36977</v>
      </c>
      <c r="B91" s="131" t="str">
        <f aca="false">INDEX('[4]Master Data'!$A$2:$B$8,MATCH(WEEKDAY('TBS Gas MTM'!A91,3),'[4]Master Data'!$A$2:$A$8,0),2)</f>
        <v>T</v>
      </c>
      <c r="D91" s="124" t="n">
        <v>0</v>
      </c>
      <c r="E91" s="124" t="n">
        <v>0</v>
      </c>
      <c r="F91" s="124" t="n">
        <v>0</v>
      </c>
      <c r="G91" s="124" t="n">
        <v>0</v>
      </c>
      <c r="I91" s="124" t="n">
        <f aca="false">IF(MONTH($A91)=MONTH($A90),IF(G91=0,I90,G91),G91)</f>
        <v>-214682</v>
      </c>
      <c r="J91" s="124" t="n">
        <f aca="false">IF(MONTH($A91)=MONTH($A90),SUM(I91-I90),I91)</f>
        <v>0</v>
      </c>
      <c r="K91" s="124" t="n">
        <f aca="false">IF(WEEKDAY(A91,3)&gt;4,0,(IF(A91&lt;K$2,0,IF(A91&lt;=K$3,1,0))))</f>
        <v>0</v>
      </c>
      <c r="L91" s="124" t="n">
        <f aca="false">J91*K91</f>
        <v>0</v>
      </c>
      <c r="M91" s="124" t="n">
        <f aca="false">SUM(J$6:J91)</f>
        <v>-221916</v>
      </c>
      <c r="N91" s="124" t="n">
        <f aca="false">SUM(J$6:J91)</f>
        <v>-221916</v>
      </c>
      <c r="P91" s="124" t="n">
        <f aca="false">D91/P$3</f>
        <v>0</v>
      </c>
      <c r="Q91" s="124" t="n">
        <f aca="false">E91/P$3</f>
        <v>0</v>
      </c>
      <c r="R91" s="124" t="n">
        <f aca="false">F91/R$3</f>
        <v>0</v>
      </c>
      <c r="S91" s="126" t="n">
        <f aca="false">J91/$R$3</f>
        <v>0</v>
      </c>
      <c r="T91" s="126" t="n">
        <f aca="false">L91/$R$3</f>
        <v>0</v>
      </c>
      <c r="U91" s="126" t="n">
        <f aca="false">I91/$R$3</f>
        <v>-214.682</v>
      </c>
      <c r="V91" s="126" t="n">
        <f aca="false">M91/$R$3</f>
        <v>-221.916</v>
      </c>
      <c r="W91" s="126" t="n">
        <f aca="false">N91/$R$3</f>
        <v>-221.916</v>
      </c>
    </row>
    <row r="92" customFormat="false" ht="12.75" hidden="false" customHeight="false" outlineLevel="0" collapsed="false">
      <c r="A92" s="120" t="n">
        <f aca="false">A91+1</f>
        <v>36978</v>
      </c>
      <c r="B92" s="131" t="str">
        <f aca="false">INDEX('[4]Master Data'!$A$2:$B$8,MATCH(WEEKDAY('TBS Gas MTM'!A92,3),'[4]Master Data'!$A$2:$A$8,0),2)</f>
        <v>W</v>
      </c>
      <c r="D92" s="124" t="n">
        <v>0</v>
      </c>
      <c r="E92" s="124" t="n">
        <v>0</v>
      </c>
      <c r="F92" s="124" t="n">
        <v>0</v>
      </c>
      <c r="G92" s="124" t="n">
        <v>0</v>
      </c>
      <c r="I92" s="124" t="n">
        <f aca="false">IF(MONTH($A92)=MONTH($A91),IF(G92=0,I91,G92),G92)</f>
        <v>-214682</v>
      </c>
      <c r="J92" s="124" t="n">
        <f aca="false">IF(MONTH($A92)=MONTH($A91),SUM(I92-I91),I92)</f>
        <v>0</v>
      </c>
      <c r="K92" s="124" t="n">
        <f aca="false">IF(WEEKDAY(A92,3)&gt;4,0,(IF(A92&lt;K$2,0,IF(A92&lt;=K$3,1,0))))</f>
        <v>0</v>
      </c>
      <c r="L92" s="124" t="n">
        <f aca="false">J92*K92</f>
        <v>0</v>
      </c>
      <c r="M92" s="124" t="n">
        <f aca="false">SUM(J$6:J92)</f>
        <v>-221916</v>
      </c>
      <c r="N92" s="124" t="n">
        <f aca="false">SUM(J$6:J92)</f>
        <v>-221916</v>
      </c>
      <c r="P92" s="124" t="n">
        <f aca="false">D92/P$3</f>
        <v>0</v>
      </c>
      <c r="Q92" s="124" t="n">
        <f aca="false">E92/P$3</f>
        <v>0</v>
      </c>
      <c r="R92" s="124" t="n">
        <f aca="false">F92/R$3</f>
        <v>0</v>
      </c>
      <c r="S92" s="126" t="n">
        <f aca="false">J92/$R$3</f>
        <v>0</v>
      </c>
      <c r="T92" s="126" t="n">
        <f aca="false">L92/$R$3</f>
        <v>0</v>
      </c>
      <c r="U92" s="126" t="n">
        <f aca="false">I92/$R$3</f>
        <v>-214.682</v>
      </c>
      <c r="V92" s="126" t="n">
        <f aca="false">M92/$R$3</f>
        <v>-221.916</v>
      </c>
      <c r="W92" s="126" t="n">
        <f aca="false">N92/$R$3</f>
        <v>-221.916</v>
      </c>
    </row>
    <row r="93" customFormat="false" ht="12.75" hidden="false" customHeight="false" outlineLevel="0" collapsed="false">
      <c r="A93" s="120" t="n">
        <f aca="false">A92+1</f>
        <v>36979</v>
      </c>
      <c r="B93" s="131" t="str">
        <f aca="false">INDEX('[4]Master Data'!$A$2:$B$8,MATCH(WEEKDAY('TBS Gas MTM'!A93,3),'[4]Master Data'!$A$2:$A$8,0),2)</f>
        <v>Th</v>
      </c>
      <c r="D93" s="124" t="n">
        <v>0</v>
      </c>
      <c r="E93" s="124" t="n">
        <v>0</v>
      </c>
      <c r="F93" s="124" t="n">
        <v>0</v>
      </c>
      <c r="G93" s="124" t="n">
        <v>0</v>
      </c>
      <c r="I93" s="124" t="n">
        <f aca="false">IF(MONTH($A93)=MONTH($A92),IF(G93=0,I92,G93),G93)</f>
        <v>-214682</v>
      </c>
      <c r="J93" s="124" t="n">
        <f aca="false">IF(MONTH($A93)=MONTH($A92),SUM(I93-I92),I93)</f>
        <v>0</v>
      </c>
      <c r="K93" s="124" t="n">
        <f aca="false">IF(WEEKDAY(A93,3)&gt;4,0,(IF(A93&lt;K$2,0,IF(A93&lt;=K$3,1,0))))</f>
        <v>0</v>
      </c>
      <c r="L93" s="124" t="n">
        <f aca="false">J93*K93</f>
        <v>0</v>
      </c>
      <c r="M93" s="124" t="n">
        <f aca="false">SUM(J$6:J93)</f>
        <v>-221916</v>
      </c>
      <c r="N93" s="124" t="n">
        <f aca="false">SUM(J$6:J93)</f>
        <v>-221916</v>
      </c>
      <c r="P93" s="124" t="n">
        <f aca="false">D93/P$3</f>
        <v>0</v>
      </c>
      <c r="Q93" s="124" t="n">
        <f aca="false">E93/P$3</f>
        <v>0</v>
      </c>
      <c r="R93" s="124" t="n">
        <f aca="false">F93/R$3</f>
        <v>0</v>
      </c>
      <c r="S93" s="126" t="n">
        <f aca="false">J93/$R$3</f>
        <v>0</v>
      </c>
      <c r="T93" s="126" t="n">
        <f aca="false">L93/$R$3</f>
        <v>0</v>
      </c>
      <c r="U93" s="126" t="n">
        <f aca="false">I93/$R$3</f>
        <v>-214.682</v>
      </c>
      <c r="V93" s="126" t="n">
        <f aca="false">M93/$R$3</f>
        <v>-221.916</v>
      </c>
      <c r="W93" s="126" t="n">
        <f aca="false">N93/$R$3</f>
        <v>-221.916</v>
      </c>
    </row>
    <row r="94" customFormat="false" ht="12.75" hidden="false" customHeight="false" outlineLevel="0" collapsed="false">
      <c r="A94" s="120" t="n">
        <f aca="false">A93+1</f>
        <v>36980</v>
      </c>
      <c r="B94" s="131" t="str">
        <f aca="false">INDEX('[4]Master Data'!$A$2:$B$8,MATCH(WEEKDAY('TBS Gas MTM'!A94,3),'[4]Master Data'!$A$2:$A$8,0),2)</f>
        <v>F</v>
      </c>
      <c r="D94" s="124" t="n">
        <v>0</v>
      </c>
      <c r="E94" s="124" t="n">
        <v>0</v>
      </c>
      <c r="F94" s="124" t="n">
        <v>0</v>
      </c>
      <c r="G94" s="124" t="n">
        <v>0</v>
      </c>
      <c r="I94" s="124" t="n">
        <f aca="false">IF(MONTH($A94)=MONTH($A93),IF(G94=0,I93,G94),G94)</f>
        <v>-214682</v>
      </c>
      <c r="J94" s="124" t="n">
        <f aca="false">IF(MONTH($A94)=MONTH($A93),SUM(I94-I93),I94)</f>
        <v>0</v>
      </c>
      <c r="K94" s="124" t="n">
        <f aca="false">IF(WEEKDAY(A94,3)&gt;4,0,(IF(A94&lt;K$2,0,IF(A94&lt;=K$3,1,0))))</f>
        <v>0</v>
      </c>
      <c r="L94" s="124" t="n">
        <f aca="false">J94*K94</f>
        <v>0</v>
      </c>
      <c r="M94" s="124" t="n">
        <f aca="false">SUM(J$6:J94)</f>
        <v>-221916</v>
      </c>
      <c r="N94" s="124" t="n">
        <f aca="false">SUM(J$6:J94)</f>
        <v>-221916</v>
      </c>
      <c r="P94" s="124" t="n">
        <f aca="false">D94/P$3</f>
        <v>0</v>
      </c>
      <c r="Q94" s="124" t="n">
        <f aca="false">E94/P$3</f>
        <v>0</v>
      </c>
      <c r="R94" s="124" t="n">
        <f aca="false">F94/R$3</f>
        <v>0</v>
      </c>
      <c r="S94" s="126" t="n">
        <f aca="false">J94/$R$3</f>
        <v>0</v>
      </c>
      <c r="T94" s="126" t="n">
        <f aca="false">L94/$R$3</f>
        <v>0</v>
      </c>
      <c r="U94" s="126" t="n">
        <f aca="false">I94/$R$3</f>
        <v>-214.682</v>
      </c>
      <c r="V94" s="126" t="n">
        <f aca="false">M94/$R$3</f>
        <v>-221.916</v>
      </c>
      <c r="W94" s="126" t="n">
        <f aca="false">N94/$R$3</f>
        <v>-221.916</v>
      </c>
    </row>
    <row r="95" customFormat="false" ht="12.75" hidden="false" customHeight="false" outlineLevel="0" collapsed="false">
      <c r="A95" s="120" t="n">
        <f aca="false">A94+1</f>
        <v>36981</v>
      </c>
      <c r="B95" s="131" t="str">
        <f aca="false">INDEX('[4]Master Data'!$A$2:$B$8,MATCH(WEEKDAY('TBS Gas MTM'!A95,3),'[4]Master Data'!$A$2:$A$8,0),2)</f>
        <v>Sa</v>
      </c>
      <c r="D95" s="124" t="n">
        <v>0</v>
      </c>
      <c r="E95" s="124" t="n">
        <v>0</v>
      </c>
      <c r="F95" s="124" t="n">
        <v>0</v>
      </c>
      <c r="G95" s="124" t="n">
        <v>0</v>
      </c>
      <c r="I95" s="124" t="n">
        <f aca="false">IF(MONTH($A95)=MONTH($A94),IF(G95=0,I94,G95),G95)</f>
        <v>-214682</v>
      </c>
      <c r="J95" s="124" t="n">
        <f aca="false">IF(MONTH($A95)=MONTH($A94),SUM(I95-I94),I95)</f>
        <v>0</v>
      </c>
      <c r="K95" s="124" t="n">
        <f aca="false">IF(WEEKDAY(A95,3)&gt;4,0,(IF(A95&lt;K$2,0,IF(A95&lt;=K$3,1,0))))</f>
        <v>0</v>
      </c>
      <c r="L95" s="124" t="n">
        <f aca="false">J95*K95</f>
        <v>0</v>
      </c>
      <c r="M95" s="124" t="n">
        <f aca="false">SUM(J$6:J95)</f>
        <v>-221916</v>
      </c>
      <c r="N95" s="124" t="n">
        <f aca="false">SUM(J$6:J95)</f>
        <v>-221916</v>
      </c>
      <c r="P95" s="124" t="n">
        <f aca="false">D95/P$3</f>
        <v>0</v>
      </c>
      <c r="Q95" s="124" t="n">
        <f aca="false">E95/P$3</f>
        <v>0</v>
      </c>
      <c r="R95" s="124" t="n">
        <f aca="false">F95/R$3</f>
        <v>0</v>
      </c>
      <c r="S95" s="126" t="n">
        <f aca="false">J95/$R$3</f>
        <v>0</v>
      </c>
      <c r="T95" s="126" t="n">
        <f aca="false">L95/$R$3</f>
        <v>0</v>
      </c>
      <c r="U95" s="126" t="n">
        <f aca="false">I95/$R$3</f>
        <v>-214.682</v>
      </c>
      <c r="V95" s="126" t="n">
        <f aca="false">M95/$R$3</f>
        <v>-221.916</v>
      </c>
      <c r="W95" s="126" t="n">
        <f aca="false">N95/$R$3</f>
        <v>-221.916</v>
      </c>
    </row>
    <row r="96" customFormat="false" ht="12.75" hidden="false" customHeight="false" outlineLevel="0" collapsed="false">
      <c r="A96" s="120" t="n">
        <f aca="false">A95+1</f>
        <v>36982</v>
      </c>
      <c r="B96" s="131" t="str">
        <f aca="false">INDEX('[4]Master Data'!$A$2:$B$8,MATCH(WEEKDAY('TBS Gas MTM'!A96,3),'[4]Master Data'!$A$2:$A$8,0),2)</f>
        <v>Su</v>
      </c>
      <c r="D96" s="124" t="n">
        <v>0</v>
      </c>
      <c r="E96" s="124" t="n">
        <v>0</v>
      </c>
      <c r="F96" s="124" t="n">
        <v>0</v>
      </c>
      <c r="G96" s="124" t="n">
        <v>0</v>
      </c>
      <c r="I96" s="124" t="n">
        <f aca="false">IF(MONTH($A96)=MONTH($A95),IF(G96=0,I95,G96),G96)</f>
        <v>0</v>
      </c>
      <c r="J96" s="124" t="n">
        <f aca="false">IF(MONTH($A96)=MONTH($A95),SUM(I96-I95),I96)</f>
        <v>0</v>
      </c>
      <c r="K96" s="124" t="n">
        <f aca="false">IF(WEEKDAY(A96,3)&gt;4,0,(IF(A96&lt;K$2,0,IF(A96&lt;=K$3,1,0))))</f>
        <v>0</v>
      </c>
      <c r="L96" s="124" t="n">
        <f aca="false">J96*K96</f>
        <v>0</v>
      </c>
      <c r="M96" s="124" t="n">
        <f aca="false">SUM(J$6:J96)</f>
        <v>-221916</v>
      </c>
      <c r="N96" s="124" t="n">
        <f aca="false">SUM(J$6:J96)</f>
        <v>-221916</v>
      </c>
      <c r="P96" s="124" t="n">
        <f aca="false">D96/P$3</f>
        <v>0</v>
      </c>
      <c r="Q96" s="124" t="n">
        <f aca="false">E96/P$3</f>
        <v>0</v>
      </c>
      <c r="R96" s="124" t="n">
        <f aca="false">F96/R$3</f>
        <v>0</v>
      </c>
      <c r="S96" s="126" t="n">
        <f aca="false">J96/$R$3</f>
        <v>0</v>
      </c>
      <c r="T96" s="126" t="n">
        <f aca="false">L96/$R$3</f>
        <v>0</v>
      </c>
      <c r="U96" s="126" t="n">
        <f aca="false">I96/$R$3</f>
        <v>0</v>
      </c>
      <c r="V96" s="126" t="n">
        <f aca="false">M96/$R$3</f>
        <v>-221.916</v>
      </c>
      <c r="W96" s="126" t="n">
        <f aca="false">N96/$R$3</f>
        <v>-221.916</v>
      </c>
    </row>
    <row r="97" customFormat="false" ht="12.75" hidden="false" customHeight="false" outlineLevel="0" collapsed="false">
      <c r="A97" s="120" t="n">
        <f aca="false">A96+1</f>
        <v>36983</v>
      </c>
      <c r="B97" s="131" t="str">
        <f aca="false">INDEX('[4]Master Data'!$A$2:$B$8,MATCH(WEEKDAY('TBS Gas MTM'!A97,3),'[4]Master Data'!$A$2:$A$8,0),2)</f>
        <v>M</v>
      </c>
      <c r="D97" s="124" t="n">
        <v>0</v>
      </c>
      <c r="E97" s="124" t="n">
        <v>0</v>
      </c>
      <c r="F97" s="124" t="n">
        <v>0</v>
      </c>
      <c r="G97" s="124" t="n">
        <v>0</v>
      </c>
      <c r="I97" s="124" t="n">
        <f aca="false">IF(MONTH($A97)=MONTH($A96),IF(G97=0,I96,G97),G97)</f>
        <v>0</v>
      </c>
      <c r="J97" s="124" t="n">
        <f aca="false">IF(MONTH($A97)=MONTH($A96),SUM(I97-I96),I97)</f>
        <v>0</v>
      </c>
      <c r="K97" s="124" t="n">
        <f aca="false">IF(WEEKDAY(A97,3)&gt;4,0,(IF(A97&lt;K$2,0,IF(A97&lt;=K$3,1,0))))</f>
        <v>0</v>
      </c>
      <c r="L97" s="124" t="n">
        <f aca="false">J97*K97</f>
        <v>0</v>
      </c>
      <c r="M97" s="124" t="n">
        <f aca="false">SUM(J$97:J97)</f>
        <v>0</v>
      </c>
      <c r="N97" s="124" t="n">
        <f aca="false">SUM(J$6:J97)</f>
        <v>-221916</v>
      </c>
      <c r="P97" s="124" t="n">
        <f aca="false">D97/P$3</f>
        <v>0</v>
      </c>
      <c r="Q97" s="124" t="n">
        <f aca="false">E97/P$3</f>
        <v>0</v>
      </c>
      <c r="R97" s="124" t="n">
        <f aca="false">F97/R$3</f>
        <v>0</v>
      </c>
      <c r="S97" s="126" t="n">
        <f aca="false">J97/$R$3</f>
        <v>0</v>
      </c>
      <c r="T97" s="126" t="n">
        <f aca="false">L97/$R$3</f>
        <v>0</v>
      </c>
      <c r="U97" s="126" t="n">
        <f aca="false">I97/$R$3</f>
        <v>0</v>
      </c>
      <c r="V97" s="126" t="n">
        <f aca="false">M97/$R$3</f>
        <v>0</v>
      </c>
      <c r="W97" s="126" t="n">
        <f aca="false">N97/$R$3</f>
        <v>-221.916</v>
      </c>
    </row>
    <row r="98" customFormat="false" ht="12.75" hidden="false" customHeight="false" outlineLevel="0" collapsed="false">
      <c r="A98" s="120" t="n">
        <f aca="false">A97+1</f>
        <v>36984</v>
      </c>
      <c r="B98" s="131" t="str">
        <f aca="false">INDEX('[4]Master Data'!$A$2:$B$8,MATCH(WEEKDAY('TBS Gas MTM'!A98,3),'[4]Master Data'!$A$2:$A$8,0),2)</f>
        <v>T</v>
      </c>
      <c r="D98" s="124" t="n">
        <v>0</v>
      </c>
      <c r="E98" s="124" t="n">
        <v>0</v>
      </c>
      <c r="F98" s="124" t="n">
        <v>0</v>
      </c>
      <c r="G98" s="124" t="n">
        <v>0</v>
      </c>
      <c r="I98" s="124" t="n">
        <f aca="false">IF(MONTH($A98)=MONTH($A97),IF(G98=0,I97,G98),G98)</f>
        <v>0</v>
      </c>
      <c r="J98" s="124" t="n">
        <f aca="false">IF(MONTH($A98)=MONTH($A97),SUM(I98-I97),I98)</f>
        <v>0</v>
      </c>
      <c r="K98" s="124" t="n">
        <f aca="false">IF(WEEKDAY(A98,3)&gt;4,0,(IF(A98&lt;K$2,0,IF(A98&lt;=K$3,1,0))))</f>
        <v>0</v>
      </c>
      <c r="L98" s="124" t="n">
        <f aca="false">J98*K98</f>
        <v>0</v>
      </c>
      <c r="M98" s="124" t="n">
        <f aca="false">SUM(J$97:J98)</f>
        <v>0</v>
      </c>
      <c r="N98" s="124" t="n">
        <f aca="false">SUM(J$6:J98)</f>
        <v>-221916</v>
      </c>
      <c r="P98" s="124" t="n">
        <f aca="false">D98/P$3</f>
        <v>0</v>
      </c>
      <c r="Q98" s="124" t="n">
        <f aca="false">E98/P$3</f>
        <v>0</v>
      </c>
      <c r="R98" s="124" t="n">
        <f aca="false">F98/R$3</f>
        <v>0</v>
      </c>
      <c r="S98" s="126" t="n">
        <f aca="false">J98/$R$3</f>
        <v>0</v>
      </c>
      <c r="T98" s="126" t="n">
        <f aca="false">L98/$R$3</f>
        <v>0</v>
      </c>
      <c r="U98" s="126" t="n">
        <f aca="false">I98/$R$3</f>
        <v>0</v>
      </c>
      <c r="V98" s="126" t="n">
        <f aca="false">M98/$R$3</f>
        <v>0</v>
      </c>
      <c r="W98" s="126" t="n">
        <f aca="false">N98/$R$3</f>
        <v>-221.916</v>
      </c>
    </row>
    <row r="99" customFormat="false" ht="12.75" hidden="false" customHeight="false" outlineLevel="0" collapsed="false">
      <c r="A99" s="120" t="n">
        <f aca="false">A98+1</f>
        <v>36985</v>
      </c>
      <c r="B99" s="131" t="str">
        <f aca="false">INDEX('[4]Master Data'!$A$2:$B$8,MATCH(WEEKDAY('TBS Gas MTM'!A99,3),'[4]Master Data'!$A$2:$A$8,0),2)</f>
        <v>W</v>
      </c>
      <c r="D99" s="124" t="n">
        <v>0</v>
      </c>
      <c r="E99" s="124" t="n">
        <v>0</v>
      </c>
      <c r="F99" s="124" t="n">
        <v>0</v>
      </c>
      <c r="G99" s="124" t="n">
        <v>0</v>
      </c>
      <c r="I99" s="124" t="n">
        <f aca="false">IF(MONTH($A99)=MONTH($A98),IF(G99=0,I98,G99),G99)</f>
        <v>0</v>
      </c>
      <c r="J99" s="124" t="n">
        <f aca="false">IF(MONTH($A99)=MONTH($A98),SUM(I99-I98),I99)</f>
        <v>0</v>
      </c>
      <c r="K99" s="124" t="n">
        <f aca="false">IF(WEEKDAY(A99,3)&gt;4,0,(IF(A99&lt;K$2,0,IF(A99&lt;=K$3,1,0))))</f>
        <v>0</v>
      </c>
      <c r="L99" s="124" t="n">
        <f aca="false">J99*K99</f>
        <v>0</v>
      </c>
      <c r="M99" s="124" t="n">
        <f aca="false">SUM(J$97:J99)</f>
        <v>0</v>
      </c>
      <c r="N99" s="124" t="n">
        <f aca="false">SUM(J$6:J99)</f>
        <v>-221916</v>
      </c>
      <c r="P99" s="124" t="n">
        <f aca="false">D99/P$3</f>
        <v>0</v>
      </c>
      <c r="Q99" s="124" t="n">
        <f aca="false">E99/P$3</f>
        <v>0</v>
      </c>
      <c r="R99" s="124" t="n">
        <f aca="false">F99/R$3</f>
        <v>0</v>
      </c>
      <c r="S99" s="126" t="n">
        <f aca="false">J99/$R$3</f>
        <v>0</v>
      </c>
      <c r="T99" s="126" t="n">
        <f aca="false">L99/$R$3</f>
        <v>0</v>
      </c>
      <c r="U99" s="126" t="n">
        <f aca="false">I99/$R$3</f>
        <v>0</v>
      </c>
      <c r="V99" s="126" t="n">
        <f aca="false">M99/$R$3</f>
        <v>0</v>
      </c>
      <c r="W99" s="126" t="n">
        <f aca="false">N99/$R$3</f>
        <v>-221.916</v>
      </c>
    </row>
    <row r="100" customFormat="false" ht="12.75" hidden="false" customHeight="false" outlineLevel="0" collapsed="false">
      <c r="A100" s="120" t="n">
        <f aca="false">A99+1</f>
        <v>36986</v>
      </c>
      <c r="B100" s="131" t="str">
        <f aca="false">INDEX('[4]Master Data'!$A$2:$B$8,MATCH(WEEKDAY('TBS Gas MTM'!A100,3),'[4]Master Data'!$A$2:$A$8,0),2)</f>
        <v>Th</v>
      </c>
      <c r="D100" s="124" t="n">
        <v>0</v>
      </c>
      <c r="E100" s="124" t="n">
        <v>0</v>
      </c>
      <c r="F100" s="124" t="n">
        <v>0</v>
      </c>
      <c r="G100" s="124" t="n">
        <v>0</v>
      </c>
      <c r="I100" s="124" t="n">
        <f aca="false">IF(MONTH($A100)=MONTH($A99),IF(G100=0,I99,G100),G100)</f>
        <v>0</v>
      </c>
      <c r="J100" s="124" t="n">
        <f aca="false">IF(MONTH($A100)=MONTH($A99),SUM(I100-I99),I100)</f>
        <v>0</v>
      </c>
      <c r="K100" s="124" t="n">
        <f aca="false">IF(WEEKDAY(A100,3)&gt;4,0,(IF(A100&lt;K$2,0,IF(A100&lt;=K$3,1,0))))</f>
        <v>0</v>
      </c>
      <c r="L100" s="124" t="n">
        <f aca="false">J100*K100</f>
        <v>0</v>
      </c>
      <c r="M100" s="124" t="n">
        <f aca="false">SUM(J$97:J100)</f>
        <v>0</v>
      </c>
      <c r="N100" s="124" t="n">
        <f aca="false">SUM(J$6:J100)</f>
        <v>-221916</v>
      </c>
      <c r="P100" s="124" t="n">
        <f aca="false">D100/P$3</f>
        <v>0</v>
      </c>
      <c r="Q100" s="124" t="n">
        <f aca="false">E100/P$3</f>
        <v>0</v>
      </c>
      <c r="R100" s="124" t="n">
        <f aca="false">F100/R$3</f>
        <v>0</v>
      </c>
      <c r="S100" s="126" t="n">
        <f aca="false">J100/$R$3</f>
        <v>0</v>
      </c>
      <c r="T100" s="126" t="n">
        <f aca="false">L100/$R$3</f>
        <v>0</v>
      </c>
      <c r="U100" s="126" t="n">
        <f aca="false">I100/$R$3</f>
        <v>0</v>
      </c>
      <c r="V100" s="126" t="n">
        <f aca="false">M100/$R$3</f>
        <v>0</v>
      </c>
      <c r="W100" s="126" t="n">
        <f aca="false">N100/$R$3</f>
        <v>-221.916</v>
      </c>
    </row>
    <row r="101" customFormat="false" ht="12.75" hidden="false" customHeight="false" outlineLevel="0" collapsed="false">
      <c r="A101" s="120" t="n">
        <f aca="false">A100+1</f>
        <v>36987</v>
      </c>
      <c r="B101" s="131" t="str">
        <f aca="false">INDEX('[4]Master Data'!$A$2:$B$8,MATCH(WEEKDAY('TBS Gas MTM'!A101,3),'[4]Master Data'!$A$2:$A$8,0),2)</f>
        <v>F</v>
      </c>
      <c r="D101" s="124" t="n">
        <v>0</v>
      </c>
      <c r="E101" s="124" t="n">
        <v>0</v>
      </c>
      <c r="F101" s="124" t="n">
        <v>0</v>
      </c>
      <c r="G101" s="124" t="n">
        <v>0</v>
      </c>
      <c r="I101" s="124" t="n">
        <f aca="false">IF(MONTH($A101)=MONTH($A100),IF(G101=0,I100,G101),G101)</f>
        <v>0</v>
      </c>
      <c r="J101" s="124" t="n">
        <f aca="false">IF(MONTH($A101)=MONTH($A100),SUM(I101-I100),I101)</f>
        <v>0</v>
      </c>
      <c r="K101" s="124" t="n">
        <f aca="false">IF(WEEKDAY(A101,3)&gt;4,0,(IF(A101&lt;K$2,0,IF(A101&lt;=K$3,1,0))))</f>
        <v>0</v>
      </c>
      <c r="L101" s="124" t="n">
        <f aca="false">J101*K101</f>
        <v>0</v>
      </c>
      <c r="M101" s="124" t="n">
        <f aca="false">SUM(J$97:J101)</f>
        <v>0</v>
      </c>
      <c r="N101" s="124" t="n">
        <f aca="false">SUM(J$6:J101)</f>
        <v>-221916</v>
      </c>
      <c r="P101" s="124" t="n">
        <f aca="false">D101/P$3</f>
        <v>0</v>
      </c>
      <c r="Q101" s="124" t="n">
        <f aca="false">E101/P$3</f>
        <v>0</v>
      </c>
      <c r="R101" s="124" t="n">
        <f aca="false">F101/R$3</f>
        <v>0</v>
      </c>
      <c r="S101" s="126" t="n">
        <f aca="false">J101/$R$3</f>
        <v>0</v>
      </c>
      <c r="T101" s="126" t="n">
        <f aca="false">L101/$R$3</f>
        <v>0</v>
      </c>
      <c r="U101" s="126" t="n">
        <f aca="false">I101/$R$3</f>
        <v>0</v>
      </c>
      <c r="V101" s="126" t="n">
        <f aca="false">M101/$R$3</f>
        <v>0</v>
      </c>
      <c r="W101" s="126" t="n">
        <f aca="false">N101/$R$3</f>
        <v>-221.916</v>
      </c>
    </row>
    <row r="102" customFormat="false" ht="12.75" hidden="false" customHeight="false" outlineLevel="0" collapsed="false">
      <c r="A102" s="120" t="n">
        <f aca="false">A101+1</f>
        <v>36988</v>
      </c>
      <c r="B102" s="131" t="str">
        <f aca="false">INDEX('[4]Master Data'!$A$2:$B$8,MATCH(WEEKDAY('TBS Gas MTM'!A102,3),'[4]Master Data'!$A$2:$A$8,0),2)</f>
        <v>Sa</v>
      </c>
      <c r="D102" s="124" t="n">
        <v>0</v>
      </c>
      <c r="E102" s="124" t="n">
        <v>0</v>
      </c>
      <c r="F102" s="124" t="n">
        <v>0</v>
      </c>
      <c r="G102" s="124" t="n">
        <v>0</v>
      </c>
      <c r="I102" s="124" t="n">
        <f aca="false">IF(MONTH($A102)=MONTH($A101),IF(G102=0,I101,G102),G102)</f>
        <v>0</v>
      </c>
      <c r="J102" s="124" t="n">
        <f aca="false">IF(MONTH($A102)=MONTH($A101),SUM(I102-I101),I102)</f>
        <v>0</v>
      </c>
      <c r="K102" s="124" t="n">
        <f aca="false">IF(WEEKDAY(A102,3)&gt;4,0,(IF(A102&lt;K$2,0,IF(A102&lt;=K$3,1,0))))</f>
        <v>0</v>
      </c>
      <c r="L102" s="124" t="n">
        <f aca="false">J102*K102</f>
        <v>0</v>
      </c>
      <c r="M102" s="124" t="n">
        <f aca="false">SUM(J$97:J102)</f>
        <v>0</v>
      </c>
      <c r="N102" s="124" t="n">
        <f aca="false">SUM(J$6:J102)</f>
        <v>-221916</v>
      </c>
      <c r="P102" s="124" t="n">
        <f aca="false">D102/P$3</f>
        <v>0</v>
      </c>
      <c r="Q102" s="124" t="n">
        <f aca="false">E102/P$3</f>
        <v>0</v>
      </c>
      <c r="R102" s="124" t="n">
        <f aca="false">F102/R$3</f>
        <v>0</v>
      </c>
      <c r="S102" s="126" t="n">
        <f aca="false">J102/$R$3</f>
        <v>0</v>
      </c>
      <c r="T102" s="126" t="n">
        <f aca="false">L102/$R$3</f>
        <v>0</v>
      </c>
      <c r="U102" s="126" t="n">
        <f aca="false">I102/$R$3</f>
        <v>0</v>
      </c>
      <c r="V102" s="126" t="n">
        <f aca="false">M102/$R$3</f>
        <v>0</v>
      </c>
      <c r="W102" s="126" t="n">
        <f aca="false">N102/$R$3</f>
        <v>-221.916</v>
      </c>
    </row>
    <row r="103" customFormat="false" ht="12.75" hidden="false" customHeight="false" outlineLevel="0" collapsed="false">
      <c r="A103" s="120" t="n">
        <f aca="false">A102+1</f>
        <v>36989</v>
      </c>
      <c r="B103" s="131" t="str">
        <f aca="false">INDEX('[4]Master Data'!$A$2:$B$8,MATCH(WEEKDAY('TBS Gas MTM'!A103,3),'[4]Master Data'!$A$2:$A$8,0),2)</f>
        <v>Su</v>
      </c>
      <c r="D103" s="124" t="n">
        <v>0</v>
      </c>
      <c r="E103" s="124" t="n">
        <v>0</v>
      </c>
      <c r="F103" s="124" t="n">
        <v>0</v>
      </c>
      <c r="G103" s="124" t="n">
        <v>0</v>
      </c>
      <c r="I103" s="124" t="n">
        <f aca="false">IF(MONTH($A103)=MONTH($A102),IF(G103=0,I102,G103),G103)</f>
        <v>0</v>
      </c>
      <c r="J103" s="124" t="n">
        <f aca="false">IF(MONTH($A103)=MONTH($A102),SUM(I103-I102),I103)</f>
        <v>0</v>
      </c>
      <c r="K103" s="124" t="n">
        <f aca="false">IF(WEEKDAY(A103,3)&gt;4,0,(IF(A103&lt;K$2,0,IF(A103&lt;=K$3,1,0))))</f>
        <v>0</v>
      </c>
      <c r="L103" s="124" t="n">
        <f aca="false">J103*K103</f>
        <v>0</v>
      </c>
      <c r="M103" s="124" t="n">
        <f aca="false">SUM(J$97:J103)</f>
        <v>0</v>
      </c>
      <c r="N103" s="124" t="n">
        <f aca="false">SUM(J$6:J103)</f>
        <v>-221916</v>
      </c>
      <c r="P103" s="124" t="n">
        <f aca="false">D103/P$3</f>
        <v>0</v>
      </c>
      <c r="Q103" s="124" t="n">
        <f aca="false">E103/P$3</f>
        <v>0</v>
      </c>
      <c r="R103" s="124" t="n">
        <f aca="false">F103/R$3</f>
        <v>0</v>
      </c>
      <c r="S103" s="126" t="n">
        <f aca="false">J103/$R$3</f>
        <v>0</v>
      </c>
      <c r="T103" s="126" t="n">
        <f aca="false">L103/$R$3</f>
        <v>0</v>
      </c>
      <c r="U103" s="126" t="n">
        <f aca="false">I103/$R$3</f>
        <v>0</v>
      </c>
      <c r="V103" s="126" t="n">
        <f aca="false">M103/$R$3</f>
        <v>0</v>
      </c>
      <c r="W103" s="126" t="n">
        <f aca="false">N103/$R$3</f>
        <v>-221.916</v>
      </c>
    </row>
    <row r="104" customFormat="false" ht="12.75" hidden="false" customHeight="false" outlineLevel="0" collapsed="false">
      <c r="A104" s="120" t="n">
        <f aca="false">A103+1</f>
        <v>36990</v>
      </c>
      <c r="B104" s="131" t="str">
        <f aca="false">INDEX('[4]Master Data'!$A$2:$B$8,MATCH(WEEKDAY('TBS Gas MTM'!A104,3),'[4]Master Data'!$A$2:$A$8,0),2)</f>
        <v>M</v>
      </c>
      <c r="D104" s="124" t="n">
        <v>0</v>
      </c>
      <c r="E104" s="124" t="n">
        <v>0</v>
      </c>
      <c r="F104" s="124" t="n">
        <v>0</v>
      </c>
      <c r="G104" s="124" t="n">
        <v>0</v>
      </c>
      <c r="I104" s="124" t="n">
        <f aca="false">IF(MONTH($A104)=MONTH($A103),IF(G104=0,I103,G104),G104)</f>
        <v>0</v>
      </c>
      <c r="J104" s="124" t="n">
        <f aca="false">IF(MONTH($A104)=MONTH($A103),SUM(I104-I103),I104)</f>
        <v>0</v>
      </c>
      <c r="K104" s="124" t="n">
        <f aca="false">IF(WEEKDAY(A104,3)&gt;4,0,(IF(A104&lt;K$2,0,IF(A104&lt;=K$3,1,0))))</f>
        <v>0</v>
      </c>
      <c r="L104" s="124" t="n">
        <f aca="false">J104*K104</f>
        <v>0</v>
      </c>
      <c r="M104" s="124" t="n">
        <f aca="false">SUM(J$97:J104)</f>
        <v>0</v>
      </c>
      <c r="N104" s="124" t="n">
        <f aca="false">SUM(J$6:J104)</f>
        <v>-221916</v>
      </c>
      <c r="P104" s="124" t="n">
        <f aca="false">D104/P$3</f>
        <v>0</v>
      </c>
      <c r="Q104" s="124" t="n">
        <f aca="false">E104/P$3</f>
        <v>0</v>
      </c>
      <c r="R104" s="124" t="n">
        <f aca="false">F104/R$3</f>
        <v>0</v>
      </c>
      <c r="S104" s="126" t="n">
        <f aca="false">J104/$R$3</f>
        <v>0</v>
      </c>
      <c r="T104" s="126" t="n">
        <f aca="false">L104/$R$3</f>
        <v>0</v>
      </c>
      <c r="U104" s="126" t="n">
        <f aca="false">I104/$R$3</f>
        <v>0</v>
      </c>
      <c r="V104" s="126" t="n">
        <f aca="false">M104/$R$3</f>
        <v>0</v>
      </c>
      <c r="W104" s="126" t="n">
        <f aca="false">N104/$R$3</f>
        <v>-221.916</v>
      </c>
    </row>
    <row r="105" customFormat="false" ht="12.75" hidden="false" customHeight="false" outlineLevel="0" collapsed="false">
      <c r="A105" s="120" t="n">
        <f aca="false">A104+1</f>
        <v>36991</v>
      </c>
      <c r="B105" s="131" t="str">
        <f aca="false">INDEX('[4]Master Data'!$A$2:$B$8,MATCH(WEEKDAY('TBS Gas MTM'!A105,3),'[4]Master Data'!$A$2:$A$8,0),2)</f>
        <v>T</v>
      </c>
      <c r="D105" s="124" t="n">
        <v>0</v>
      </c>
      <c r="E105" s="124" t="n">
        <v>0</v>
      </c>
      <c r="F105" s="124" t="n">
        <v>0</v>
      </c>
      <c r="G105" s="124" t="n">
        <v>0</v>
      </c>
      <c r="I105" s="124" t="n">
        <f aca="false">IF(MONTH($A105)=MONTH($A104),IF(G105=0,I104,G105),G105)</f>
        <v>0</v>
      </c>
      <c r="J105" s="124" t="n">
        <f aca="false">IF(MONTH($A105)=MONTH($A104),SUM(I105-I104),I105)</f>
        <v>0</v>
      </c>
      <c r="K105" s="124" t="n">
        <f aca="false">IF(WEEKDAY(A105,3)&gt;4,0,(IF(A105&lt;K$2,0,IF(A105&lt;=K$3,1,0))))</f>
        <v>0</v>
      </c>
      <c r="L105" s="124" t="n">
        <f aca="false">J105*K105</f>
        <v>0</v>
      </c>
      <c r="M105" s="124" t="n">
        <f aca="false">SUM(J$97:J105)</f>
        <v>0</v>
      </c>
      <c r="N105" s="124" t="n">
        <f aca="false">SUM(J$6:J105)</f>
        <v>-221916</v>
      </c>
      <c r="P105" s="124" t="n">
        <f aca="false">D105/P$3</f>
        <v>0</v>
      </c>
      <c r="Q105" s="124" t="n">
        <f aca="false">E105/P$3</f>
        <v>0</v>
      </c>
      <c r="R105" s="124" t="n">
        <f aca="false">F105/R$3</f>
        <v>0</v>
      </c>
      <c r="S105" s="126" t="n">
        <f aca="false">J105/$R$3</f>
        <v>0</v>
      </c>
      <c r="T105" s="126" t="n">
        <f aca="false">L105/$R$3</f>
        <v>0</v>
      </c>
      <c r="U105" s="126" t="n">
        <f aca="false">I105/$R$3</f>
        <v>0</v>
      </c>
      <c r="V105" s="126" t="n">
        <f aca="false">M105/$R$3</f>
        <v>0</v>
      </c>
      <c r="W105" s="126" t="n">
        <f aca="false">N105/$R$3</f>
        <v>-221.916</v>
      </c>
    </row>
    <row r="106" customFormat="false" ht="12.75" hidden="false" customHeight="false" outlineLevel="0" collapsed="false">
      <c r="A106" s="120" t="n">
        <f aca="false">A105+1</f>
        <v>36992</v>
      </c>
      <c r="B106" s="131" t="str">
        <f aca="false">INDEX('[4]Master Data'!$A$2:$B$8,MATCH(WEEKDAY('TBS Gas MTM'!A106,3),'[4]Master Data'!$A$2:$A$8,0),2)</f>
        <v>W</v>
      </c>
      <c r="D106" s="124" t="n">
        <v>0</v>
      </c>
      <c r="E106" s="124" t="n">
        <v>0</v>
      </c>
      <c r="F106" s="124" t="n">
        <v>0</v>
      </c>
      <c r="G106" s="124" t="n">
        <v>0</v>
      </c>
      <c r="I106" s="124" t="n">
        <f aca="false">IF(MONTH($A106)=MONTH($A105),IF(G106=0,I105,G106),G106)</f>
        <v>0</v>
      </c>
      <c r="J106" s="124" t="n">
        <f aca="false">IF(MONTH($A106)=MONTH($A105),SUM(I106-I105),I106)</f>
        <v>0</v>
      </c>
      <c r="K106" s="124" t="n">
        <f aca="false">IF(WEEKDAY(A106,3)&gt;4,0,(IF(A106&lt;K$2,0,IF(A106&lt;=K$3,1,0))))</f>
        <v>0</v>
      </c>
      <c r="L106" s="124" t="n">
        <f aca="false">J106*K106</f>
        <v>0</v>
      </c>
      <c r="M106" s="124" t="n">
        <f aca="false">SUM(J$97:J106)</f>
        <v>0</v>
      </c>
      <c r="N106" s="124" t="n">
        <f aca="false">SUM(J$6:J106)</f>
        <v>-221916</v>
      </c>
      <c r="P106" s="124" t="n">
        <f aca="false">D106/P$3</f>
        <v>0</v>
      </c>
      <c r="Q106" s="124" t="n">
        <f aca="false">E106/P$3</f>
        <v>0</v>
      </c>
      <c r="R106" s="124" t="n">
        <f aca="false">F106/R$3</f>
        <v>0</v>
      </c>
      <c r="S106" s="126" t="n">
        <f aca="false">J106/$R$3</f>
        <v>0</v>
      </c>
      <c r="T106" s="126" t="n">
        <f aca="false">L106/$R$3</f>
        <v>0</v>
      </c>
      <c r="U106" s="126" t="n">
        <f aca="false">I106/$R$3</f>
        <v>0</v>
      </c>
      <c r="V106" s="126" t="n">
        <f aca="false">M106/$R$3</f>
        <v>0</v>
      </c>
      <c r="W106" s="126" t="n">
        <f aca="false">N106/$R$3</f>
        <v>-221.916</v>
      </c>
    </row>
    <row r="107" customFormat="false" ht="12.75" hidden="false" customHeight="false" outlineLevel="0" collapsed="false">
      <c r="A107" s="120" t="n">
        <f aca="false">A106+1</f>
        <v>36993</v>
      </c>
      <c r="B107" s="131" t="str">
        <f aca="false">INDEX('[4]Master Data'!$A$2:$B$8,MATCH(WEEKDAY('TBS Gas MTM'!A107,3),'[4]Master Data'!$A$2:$A$8,0),2)</f>
        <v>Th</v>
      </c>
      <c r="D107" s="124" t="n">
        <v>0</v>
      </c>
      <c r="E107" s="124" t="n">
        <v>0</v>
      </c>
      <c r="F107" s="124" t="n">
        <v>0</v>
      </c>
      <c r="G107" s="124" t="n">
        <v>0</v>
      </c>
      <c r="I107" s="124" t="n">
        <f aca="false">IF(MONTH($A107)=MONTH($A106),IF(G107=0,I106,G107),G107)</f>
        <v>0</v>
      </c>
      <c r="J107" s="124" t="n">
        <f aca="false">IF(MONTH($A107)=MONTH($A106),SUM(I107-I106),I107)</f>
        <v>0</v>
      </c>
      <c r="K107" s="124" t="n">
        <f aca="false">IF(WEEKDAY(A107,3)&gt;4,0,(IF(A107&lt;K$2,0,IF(A107&lt;=K$3,1,0))))</f>
        <v>0</v>
      </c>
      <c r="L107" s="124" t="n">
        <f aca="false">J107*K107</f>
        <v>0</v>
      </c>
      <c r="M107" s="124" t="n">
        <f aca="false">SUM(J$97:J107)</f>
        <v>0</v>
      </c>
      <c r="N107" s="124" t="n">
        <f aca="false">SUM(J$6:J107)</f>
        <v>-221916</v>
      </c>
      <c r="P107" s="124" t="n">
        <f aca="false">D107/P$3</f>
        <v>0</v>
      </c>
      <c r="Q107" s="124" t="n">
        <f aca="false">E107/P$3</f>
        <v>0</v>
      </c>
      <c r="R107" s="124" t="n">
        <f aca="false">F107/R$3</f>
        <v>0</v>
      </c>
      <c r="S107" s="126" t="n">
        <f aca="false">J107/$R$3</f>
        <v>0</v>
      </c>
      <c r="T107" s="126" t="n">
        <f aca="false">L107/$R$3</f>
        <v>0</v>
      </c>
      <c r="U107" s="126" t="n">
        <f aca="false">I107/$R$3</f>
        <v>0</v>
      </c>
      <c r="V107" s="126" t="n">
        <f aca="false">M107/$R$3</f>
        <v>0</v>
      </c>
      <c r="W107" s="126" t="n">
        <f aca="false">N107/$R$3</f>
        <v>-221.916</v>
      </c>
    </row>
    <row r="108" customFormat="false" ht="12.75" hidden="false" customHeight="false" outlineLevel="0" collapsed="false">
      <c r="A108" s="120" t="n">
        <f aca="false">A107+1</f>
        <v>36994</v>
      </c>
      <c r="B108" s="131" t="str">
        <f aca="false">INDEX('[4]Master Data'!$A$2:$B$8,MATCH(WEEKDAY('TBS Gas MTM'!A108,3),'[4]Master Data'!$A$2:$A$8,0),2)</f>
        <v>F</v>
      </c>
      <c r="D108" s="124" t="n">
        <v>0</v>
      </c>
      <c r="E108" s="124" t="n">
        <v>0</v>
      </c>
      <c r="F108" s="124" t="n">
        <v>0</v>
      </c>
      <c r="G108" s="124" t="n">
        <v>0</v>
      </c>
      <c r="I108" s="124" t="n">
        <f aca="false">IF(MONTH($A108)=MONTH($A107),IF(G108=0,I107,G108),G108)</f>
        <v>0</v>
      </c>
      <c r="J108" s="124" t="n">
        <f aca="false">IF(MONTH($A108)=MONTH($A107),SUM(I108-I107),I108)</f>
        <v>0</v>
      </c>
      <c r="K108" s="124" t="n">
        <f aca="false">IF(WEEKDAY(A108,3)&gt;4,0,(IF(A108&lt;K$2,0,IF(A108&lt;=K$3,1,0))))</f>
        <v>0</v>
      </c>
      <c r="L108" s="124" t="n">
        <f aca="false">J108*K108</f>
        <v>0</v>
      </c>
      <c r="M108" s="124" t="n">
        <f aca="false">SUM(J$97:J108)</f>
        <v>0</v>
      </c>
      <c r="N108" s="124" t="n">
        <f aca="false">SUM(J$6:J108)</f>
        <v>-221916</v>
      </c>
      <c r="P108" s="124" t="n">
        <f aca="false">D108/P$3</f>
        <v>0</v>
      </c>
      <c r="Q108" s="124" t="n">
        <f aca="false">E108/P$3</f>
        <v>0</v>
      </c>
      <c r="R108" s="124" t="n">
        <f aca="false">F108/R$3</f>
        <v>0</v>
      </c>
      <c r="S108" s="126" t="n">
        <f aca="false">J108/$R$3</f>
        <v>0</v>
      </c>
      <c r="T108" s="126" t="n">
        <f aca="false">L108/$R$3</f>
        <v>0</v>
      </c>
      <c r="U108" s="126" t="n">
        <f aca="false">I108/$R$3</f>
        <v>0</v>
      </c>
      <c r="V108" s="126" t="n">
        <f aca="false">M108/$R$3</f>
        <v>0</v>
      </c>
      <c r="W108" s="126" t="n">
        <f aca="false">N108/$R$3</f>
        <v>-221.916</v>
      </c>
    </row>
    <row r="109" customFormat="false" ht="12.75" hidden="false" customHeight="false" outlineLevel="0" collapsed="false">
      <c r="A109" s="120" t="n">
        <f aca="false">A108+1</f>
        <v>36995</v>
      </c>
      <c r="B109" s="131" t="str">
        <f aca="false">INDEX('[4]Master Data'!$A$2:$B$8,MATCH(WEEKDAY('TBS Gas MTM'!A109,3),'[4]Master Data'!$A$2:$A$8,0),2)</f>
        <v>Sa</v>
      </c>
      <c r="D109" s="124" t="n">
        <v>0</v>
      </c>
      <c r="E109" s="124" t="n">
        <v>0</v>
      </c>
      <c r="F109" s="124" t="n">
        <v>0</v>
      </c>
      <c r="G109" s="124" t="n">
        <v>0</v>
      </c>
      <c r="I109" s="124" t="n">
        <f aca="false">IF(MONTH($A109)=MONTH($A108),IF(G109=0,I108,G109),G109)</f>
        <v>0</v>
      </c>
      <c r="J109" s="124" t="n">
        <f aca="false">IF(MONTH($A109)=MONTH($A108),SUM(I109-I108),I109)</f>
        <v>0</v>
      </c>
      <c r="K109" s="124" t="n">
        <f aca="false">IF(WEEKDAY(A109,3)&gt;4,0,(IF(A109&lt;K$2,0,IF(A109&lt;=K$3,1,0))))</f>
        <v>0</v>
      </c>
      <c r="L109" s="124" t="n">
        <f aca="false">J109*K109</f>
        <v>0</v>
      </c>
      <c r="M109" s="124" t="n">
        <f aca="false">SUM(J$97:J109)</f>
        <v>0</v>
      </c>
      <c r="N109" s="124" t="n">
        <f aca="false">SUM(J$6:J109)</f>
        <v>-221916</v>
      </c>
      <c r="P109" s="124" t="n">
        <f aca="false">D109/P$3</f>
        <v>0</v>
      </c>
      <c r="Q109" s="124" t="n">
        <f aca="false">E109/P$3</f>
        <v>0</v>
      </c>
      <c r="R109" s="124" t="n">
        <f aca="false">F109/R$3</f>
        <v>0</v>
      </c>
      <c r="S109" s="126" t="n">
        <f aca="false">J109/$R$3</f>
        <v>0</v>
      </c>
      <c r="T109" s="126" t="n">
        <f aca="false">L109/$R$3</f>
        <v>0</v>
      </c>
      <c r="U109" s="126" t="n">
        <f aca="false">I109/$R$3</f>
        <v>0</v>
      </c>
      <c r="V109" s="126" t="n">
        <f aca="false">M109/$R$3</f>
        <v>0</v>
      </c>
      <c r="W109" s="126" t="n">
        <f aca="false">N109/$R$3</f>
        <v>-221.916</v>
      </c>
    </row>
    <row r="110" customFormat="false" ht="12.75" hidden="false" customHeight="false" outlineLevel="0" collapsed="false">
      <c r="A110" s="120" t="n">
        <f aca="false">A109+1</f>
        <v>36996</v>
      </c>
      <c r="B110" s="131" t="str">
        <f aca="false">INDEX('[4]Master Data'!$A$2:$B$8,MATCH(WEEKDAY('TBS Gas MTM'!A110,3),'[4]Master Data'!$A$2:$A$8,0),2)</f>
        <v>Su</v>
      </c>
      <c r="D110" s="124" t="n">
        <v>0</v>
      </c>
      <c r="E110" s="124" t="n">
        <v>0</v>
      </c>
      <c r="F110" s="124" t="n">
        <v>0</v>
      </c>
      <c r="G110" s="124" t="n">
        <v>0</v>
      </c>
      <c r="I110" s="124" t="n">
        <f aca="false">IF(MONTH($A110)=MONTH($A109),IF(G110=0,I109,G110),G110)</f>
        <v>0</v>
      </c>
      <c r="J110" s="124" t="n">
        <f aca="false">IF(MONTH($A110)=MONTH($A109),SUM(I110-I109),I110)</f>
        <v>0</v>
      </c>
      <c r="K110" s="124" t="n">
        <f aca="false">IF(WEEKDAY(A110,3)&gt;4,0,(IF(A110&lt;K$2,0,IF(A110&lt;=K$3,1,0))))</f>
        <v>0</v>
      </c>
      <c r="L110" s="124" t="n">
        <f aca="false">J110*K110</f>
        <v>0</v>
      </c>
      <c r="M110" s="124" t="n">
        <f aca="false">SUM(J$97:J110)</f>
        <v>0</v>
      </c>
      <c r="N110" s="124" t="n">
        <f aca="false">SUM(J$6:J110)</f>
        <v>-221916</v>
      </c>
      <c r="P110" s="124" t="n">
        <f aca="false">D110/P$3</f>
        <v>0</v>
      </c>
      <c r="Q110" s="124" t="n">
        <f aca="false">E110/P$3</f>
        <v>0</v>
      </c>
      <c r="R110" s="124" t="n">
        <f aca="false">F110/R$3</f>
        <v>0</v>
      </c>
      <c r="S110" s="126" t="n">
        <f aca="false">J110/$R$3</f>
        <v>0</v>
      </c>
      <c r="T110" s="126" t="n">
        <f aca="false">L110/$R$3</f>
        <v>0</v>
      </c>
      <c r="U110" s="126" t="n">
        <f aca="false">I110/$R$3</f>
        <v>0</v>
      </c>
      <c r="V110" s="126" t="n">
        <f aca="false">M110/$R$3</f>
        <v>0</v>
      </c>
      <c r="W110" s="126" t="n">
        <f aca="false">N110/$R$3</f>
        <v>-221.916</v>
      </c>
    </row>
    <row r="111" customFormat="false" ht="12.75" hidden="false" customHeight="false" outlineLevel="0" collapsed="false">
      <c r="A111" s="120" t="n">
        <f aca="false">A110+1</f>
        <v>36997</v>
      </c>
      <c r="B111" s="131" t="str">
        <f aca="false">INDEX('[4]Master Data'!$A$2:$B$8,MATCH(WEEKDAY('TBS Gas MTM'!A111,3),'[4]Master Data'!$A$2:$A$8,0),2)</f>
        <v>M</v>
      </c>
      <c r="D111" s="124" t="n">
        <v>0</v>
      </c>
      <c r="E111" s="124" t="n">
        <v>0</v>
      </c>
      <c r="F111" s="124" t="n">
        <v>0</v>
      </c>
      <c r="G111" s="124" t="n">
        <v>0</v>
      </c>
      <c r="I111" s="124" t="n">
        <f aca="false">IF(MONTH($A111)=MONTH($A110),IF(G111=0,I110,G111),G111)</f>
        <v>0</v>
      </c>
      <c r="J111" s="124" t="n">
        <f aca="false">IF(MONTH($A111)=MONTH($A110),SUM(I111-I110),I111)</f>
        <v>0</v>
      </c>
      <c r="K111" s="124" t="n">
        <f aca="false">IF(WEEKDAY(A111,3)&gt;4,0,(IF(A111&lt;K$2,0,IF(A111&lt;=K$3,1,0))))</f>
        <v>0</v>
      </c>
      <c r="L111" s="124" t="n">
        <f aca="false">J111*K111</f>
        <v>0</v>
      </c>
      <c r="M111" s="124" t="n">
        <f aca="false">SUM(J$97:J111)</f>
        <v>0</v>
      </c>
      <c r="N111" s="124" t="n">
        <f aca="false">SUM(J$6:J111)</f>
        <v>-221916</v>
      </c>
      <c r="P111" s="124" t="n">
        <f aca="false">D111/P$3</f>
        <v>0</v>
      </c>
      <c r="Q111" s="124" t="n">
        <f aca="false">E111/P$3</f>
        <v>0</v>
      </c>
      <c r="R111" s="124" t="n">
        <f aca="false">F111/R$3</f>
        <v>0</v>
      </c>
      <c r="S111" s="126" t="n">
        <f aca="false">J111/$R$3</f>
        <v>0</v>
      </c>
      <c r="T111" s="126" t="n">
        <f aca="false">L111/$R$3</f>
        <v>0</v>
      </c>
      <c r="U111" s="126" t="n">
        <f aca="false">I111/$R$3</f>
        <v>0</v>
      </c>
      <c r="V111" s="126" t="n">
        <f aca="false">M111/$R$3</f>
        <v>0</v>
      </c>
      <c r="W111" s="126" t="n">
        <f aca="false">N111/$R$3</f>
        <v>-221.916</v>
      </c>
    </row>
    <row r="112" customFormat="false" ht="12.75" hidden="false" customHeight="false" outlineLevel="0" collapsed="false">
      <c r="A112" s="120" t="n">
        <f aca="false">A111+1</f>
        <v>36998</v>
      </c>
      <c r="B112" s="131" t="str">
        <f aca="false">INDEX('[4]Master Data'!$A$2:$B$8,MATCH(WEEKDAY('TBS Gas MTM'!A112,3),'[4]Master Data'!$A$2:$A$8,0),2)</f>
        <v>T</v>
      </c>
      <c r="D112" s="124" t="n">
        <v>0</v>
      </c>
      <c r="E112" s="124" t="n">
        <v>0</v>
      </c>
      <c r="F112" s="124" t="n">
        <v>0</v>
      </c>
      <c r="G112" s="124" t="n">
        <v>0</v>
      </c>
      <c r="I112" s="124" t="n">
        <f aca="false">IF(MONTH($A112)=MONTH($A111),IF(G112=0,I111,G112),G112)</f>
        <v>0</v>
      </c>
      <c r="J112" s="124" t="n">
        <f aca="false">IF(MONTH($A112)=MONTH($A111),SUM(I112-I111),I112)</f>
        <v>0</v>
      </c>
      <c r="K112" s="124" t="n">
        <f aca="false">IF(WEEKDAY(A112,3)&gt;4,0,(IF(A112&lt;K$2,0,IF(A112&lt;=K$3,1,0))))</f>
        <v>0</v>
      </c>
      <c r="L112" s="124" t="n">
        <f aca="false">J112*K112</f>
        <v>0</v>
      </c>
      <c r="M112" s="124" t="n">
        <f aca="false">SUM(J$97:J112)</f>
        <v>0</v>
      </c>
      <c r="N112" s="124" t="n">
        <f aca="false">SUM(J$6:J112)</f>
        <v>-221916</v>
      </c>
      <c r="P112" s="124" t="n">
        <f aca="false">D112/P$3</f>
        <v>0</v>
      </c>
      <c r="Q112" s="124" t="n">
        <f aca="false">E112/P$3</f>
        <v>0</v>
      </c>
      <c r="R112" s="124" t="n">
        <f aca="false">F112/R$3</f>
        <v>0</v>
      </c>
      <c r="S112" s="126" t="n">
        <f aca="false">J112/$R$3</f>
        <v>0</v>
      </c>
      <c r="T112" s="126" t="n">
        <f aca="false">L112/$R$3</f>
        <v>0</v>
      </c>
      <c r="U112" s="126" t="n">
        <f aca="false">I112/$R$3</f>
        <v>0</v>
      </c>
      <c r="V112" s="126" t="n">
        <f aca="false">M112/$R$3</f>
        <v>0</v>
      </c>
      <c r="W112" s="126" t="n">
        <f aca="false">N112/$R$3</f>
        <v>-221.916</v>
      </c>
    </row>
    <row r="113" customFormat="false" ht="12.75" hidden="false" customHeight="false" outlineLevel="0" collapsed="false">
      <c r="A113" s="120" t="n">
        <f aca="false">A112+1</f>
        <v>36999</v>
      </c>
      <c r="B113" s="131" t="str">
        <f aca="false">INDEX('[4]Master Data'!$A$2:$B$8,MATCH(WEEKDAY('TBS Gas MTM'!A113,3),'[4]Master Data'!$A$2:$A$8,0),2)</f>
        <v>W</v>
      </c>
      <c r="D113" s="124" t="n">
        <v>0</v>
      </c>
      <c r="E113" s="124" t="n">
        <v>0</v>
      </c>
      <c r="F113" s="124" t="n">
        <v>0</v>
      </c>
      <c r="G113" s="124" t="n">
        <v>0</v>
      </c>
      <c r="I113" s="124" t="n">
        <f aca="false">IF(MONTH($A113)=MONTH($A112),IF(G113=0,I112,G113),G113)</f>
        <v>0</v>
      </c>
      <c r="J113" s="124" t="n">
        <f aca="false">IF(MONTH($A113)=MONTH($A112),SUM(I113-I112),I113)</f>
        <v>0</v>
      </c>
      <c r="K113" s="124" t="n">
        <f aca="false">IF(WEEKDAY(A113,3)&gt;4,0,(IF(A113&lt;K$2,0,IF(A113&lt;=K$3,1,0))))</f>
        <v>0</v>
      </c>
      <c r="L113" s="124" t="n">
        <f aca="false">J113*K113</f>
        <v>0</v>
      </c>
      <c r="M113" s="124" t="n">
        <f aca="false">SUM(J$97:J113)</f>
        <v>0</v>
      </c>
      <c r="N113" s="124" t="n">
        <f aca="false">SUM(J$6:J113)</f>
        <v>-221916</v>
      </c>
      <c r="P113" s="124" t="n">
        <f aca="false">D113/P$3</f>
        <v>0</v>
      </c>
      <c r="Q113" s="124" t="n">
        <f aca="false">E113/P$3</f>
        <v>0</v>
      </c>
      <c r="R113" s="124" t="n">
        <f aca="false">F113/R$3</f>
        <v>0</v>
      </c>
      <c r="S113" s="126" t="n">
        <f aca="false">J113/$R$3</f>
        <v>0</v>
      </c>
      <c r="T113" s="126" t="n">
        <f aca="false">L113/$R$3</f>
        <v>0</v>
      </c>
      <c r="U113" s="126" t="n">
        <f aca="false">I113/$R$3</f>
        <v>0</v>
      </c>
      <c r="V113" s="126" t="n">
        <f aca="false">M113/$R$3</f>
        <v>0</v>
      </c>
      <c r="W113" s="126" t="n">
        <f aca="false">N113/$R$3</f>
        <v>-221.916</v>
      </c>
    </row>
    <row r="114" customFormat="false" ht="12.75" hidden="false" customHeight="false" outlineLevel="0" collapsed="false">
      <c r="A114" s="120" t="n">
        <f aca="false">A113+1</f>
        <v>37000</v>
      </c>
      <c r="B114" s="131" t="str">
        <f aca="false">INDEX('[4]Master Data'!$A$2:$B$8,MATCH(WEEKDAY('TBS Gas MTM'!A114,3),'[4]Master Data'!$A$2:$A$8,0),2)</f>
        <v>Th</v>
      </c>
      <c r="D114" s="124" t="n">
        <v>0</v>
      </c>
      <c r="E114" s="124" t="n">
        <v>0</v>
      </c>
      <c r="F114" s="124" t="n">
        <v>0</v>
      </c>
      <c r="G114" s="124" t="n">
        <v>0</v>
      </c>
      <c r="I114" s="124" t="n">
        <f aca="false">IF(MONTH($A114)=MONTH($A113),IF(G114=0,I113,G114),G114)</f>
        <v>0</v>
      </c>
      <c r="J114" s="124" t="n">
        <f aca="false">IF(MONTH($A114)=MONTH($A113),SUM(I114-I113),I114)</f>
        <v>0</v>
      </c>
      <c r="K114" s="124" t="n">
        <f aca="false">IF(WEEKDAY(A114,3)&gt;4,0,(IF(A114&lt;K$2,0,IF(A114&lt;=K$3,1,0))))</f>
        <v>0</v>
      </c>
      <c r="L114" s="124" t="n">
        <f aca="false">J114*K114</f>
        <v>0</v>
      </c>
      <c r="M114" s="124" t="n">
        <f aca="false">SUM(J$97:J114)</f>
        <v>0</v>
      </c>
      <c r="N114" s="124" t="n">
        <f aca="false">SUM(J$6:J114)</f>
        <v>-221916</v>
      </c>
      <c r="P114" s="124" t="n">
        <f aca="false">D114/P$3</f>
        <v>0</v>
      </c>
      <c r="Q114" s="124" t="n">
        <f aca="false">E114/P$3</f>
        <v>0</v>
      </c>
      <c r="R114" s="124" t="n">
        <f aca="false">F114/R$3</f>
        <v>0</v>
      </c>
      <c r="S114" s="126" t="n">
        <f aca="false">J114/$R$3</f>
        <v>0</v>
      </c>
      <c r="T114" s="126" t="n">
        <f aca="false">L114/$R$3</f>
        <v>0</v>
      </c>
      <c r="U114" s="126" t="n">
        <f aca="false">I114/$R$3</f>
        <v>0</v>
      </c>
      <c r="V114" s="126" t="n">
        <f aca="false">M114/$R$3</f>
        <v>0</v>
      </c>
      <c r="W114" s="126" t="n">
        <f aca="false">N114/$R$3</f>
        <v>-221.916</v>
      </c>
    </row>
    <row r="115" customFormat="false" ht="12.75" hidden="false" customHeight="false" outlineLevel="0" collapsed="false">
      <c r="A115" s="120" t="n">
        <f aca="false">A114+1</f>
        <v>37001</v>
      </c>
      <c r="B115" s="131" t="str">
        <f aca="false">INDEX('[4]Master Data'!$A$2:$B$8,MATCH(WEEKDAY('TBS Gas MTM'!A115,3),'[4]Master Data'!$A$2:$A$8,0),2)</f>
        <v>F</v>
      </c>
      <c r="D115" s="124" t="n">
        <v>0</v>
      </c>
      <c r="E115" s="124" t="n">
        <v>0</v>
      </c>
      <c r="F115" s="124" t="n">
        <v>0</v>
      </c>
      <c r="G115" s="124" t="n">
        <v>0</v>
      </c>
      <c r="I115" s="124" t="n">
        <f aca="false">IF(MONTH($A115)=MONTH($A114),IF(G115=0,I114,G115),G115)</f>
        <v>0</v>
      </c>
      <c r="J115" s="124" t="n">
        <f aca="false">IF(MONTH($A115)=MONTH($A114),SUM(I115-I114),I115)</f>
        <v>0</v>
      </c>
      <c r="K115" s="124" t="n">
        <f aca="false">IF(WEEKDAY(A115,3)&gt;4,0,(IF(A115&lt;K$2,0,IF(A115&lt;=K$3,1,0))))</f>
        <v>0</v>
      </c>
      <c r="L115" s="124" t="n">
        <f aca="false">J115*K115</f>
        <v>0</v>
      </c>
      <c r="M115" s="124" t="n">
        <f aca="false">SUM(J$97:J115)</f>
        <v>0</v>
      </c>
      <c r="N115" s="124" t="n">
        <f aca="false">SUM(J$6:J115)</f>
        <v>-221916</v>
      </c>
      <c r="P115" s="124" t="n">
        <f aca="false">D115/P$3</f>
        <v>0</v>
      </c>
      <c r="Q115" s="124" t="n">
        <f aca="false">E115/P$3</f>
        <v>0</v>
      </c>
      <c r="R115" s="124" t="n">
        <f aca="false">F115/R$3</f>
        <v>0</v>
      </c>
      <c r="S115" s="126" t="n">
        <f aca="false">J115/$R$3</f>
        <v>0</v>
      </c>
      <c r="T115" s="126" t="n">
        <f aca="false">L115/$R$3</f>
        <v>0</v>
      </c>
      <c r="U115" s="126" t="n">
        <f aca="false">I115/$R$3</f>
        <v>0</v>
      </c>
      <c r="V115" s="126" t="n">
        <f aca="false">M115/$R$3</f>
        <v>0</v>
      </c>
      <c r="W115" s="126" t="n">
        <f aca="false">N115/$R$3</f>
        <v>-221.916</v>
      </c>
    </row>
    <row r="116" customFormat="false" ht="12.75" hidden="false" customHeight="false" outlineLevel="0" collapsed="false">
      <c r="A116" s="120" t="n">
        <f aca="false">A115+1</f>
        <v>37002</v>
      </c>
      <c r="B116" s="131" t="str">
        <f aca="false">INDEX('[4]Master Data'!$A$2:$B$8,MATCH(WEEKDAY('TBS Gas MTM'!A116,3),'[4]Master Data'!$A$2:$A$8,0),2)</f>
        <v>Sa</v>
      </c>
      <c r="D116" s="124" t="n">
        <v>0</v>
      </c>
      <c r="E116" s="124" t="n">
        <v>0</v>
      </c>
      <c r="F116" s="124" t="n">
        <v>0</v>
      </c>
      <c r="G116" s="124" t="n">
        <v>0</v>
      </c>
      <c r="I116" s="124" t="n">
        <f aca="false">IF(MONTH($A116)=MONTH($A115),IF(G116=0,I115,G116),G116)</f>
        <v>0</v>
      </c>
      <c r="J116" s="124" t="n">
        <f aca="false">IF(MONTH($A116)=MONTH($A115),SUM(I116-I115),I116)</f>
        <v>0</v>
      </c>
      <c r="K116" s="124" t="n">
        <f aca="false">IF(WEEKDAY(A116,3)&gt;4,0,(IF(A116&lt;K$2,0,IF(A116&lt;=K$3,1,0))))</f>
        <v>0</v>
      </c>
      <c r="L116" s="124" t="n">
        <f aca="false">J116*K116</f>
        <v>0</v>
      </c>
      <c r="M116" s="124" t="n">
        <f aca="false">SUM(J$97:J116)</f>
        <v>0</v>
      </c>
      <c r="N116" s="124" t="n">
        <f aca="false">SUM(J$6:J116)</f>
        <v>-221916</v>
      </c>
      <c r="P116" s="124" t="n">
        <f aca="false">D116/P$3</f>
        <v>0</v>
      </c>
      <c r="Q116" s="124" t="n">
        <f aca="false">E116/P$3</f>
        <v>0</v>
      </c>
      <c r="R116" s="124" t="n">
        <f aca="false">F116/R$3</f>
        <v>0</v>
      </c>
      <c r="S116" s="126" t="n">
        <f aca="false">J116/$R$3</f>
        <v>0</v>
      </c>
      <c r="T116" s="126" t="n">
        <f aca="false">L116/$R$3</f>
        <v>0</v>
      </c>
      <c r="U116" s="126" t="n">
        <f aca="false">I116/$R$3</f>
        <v>0</v>
      </c>
      <c r="V116" s="126" t="n">
        <f aca="false">M116/$R$3</f>
        <v>0</v>
      </c>
      <c r="W116" s="126" t="n">
        <f aca="false">N116/$R$3</f>
        <v>-221.916</v>
      </c>
    </row>
    <row r="117" customFormat="false" ht="12.75" hidden="false" customHeight="false" outlineLevel="0" collapsed="false">
      <c r="A117" s="120" t="n">
        <f aca="false">A116+1</f>
        <v>37003</v>
      </c>
      <c r="B117" s="131" t="str">
        <f aca="false">INDEX('[4]Master Data'!$A$2:$B$8,MATCH(WEEKDAY('TBS Gas MTM'!A117,3),'[4]Master Data'!$A$2:$A$8,0),2)</f>
        <v>Su</v>
      </c>
      <c r="D117" s="124" t="n">
        <v>0</v>
      </c>
      <c r="E117" s="124" t="n">
        <v>0</v>
      </c>
      <c r="F117" s="124" t="n">
        <v>0</v>
      </c>
      <c r="G117" s="124" t="n">
        <v>0</v>
      </c>
      <c r="I117" s="124" t="n">
        <f aca="false">IF(MONTH($A117)=MONTH($A116),IF(G117=0,I116,G117),G117)</f>
        <v>0</v>
      </c>
      <c r="J117" s="124" t="n">
        <f aca="false">IF(MONTH($A117)=MONTH($A116),SUM(I117-I116),I117)</f>
        <v>0</v>
      </c>
      <c r="K117" s="124" t="n">
        <f aca="false">IF(WEEKDAY(A117,3)&gt;4,0,(IF(A117&lt;K$2,0,IF(A117&lt;=K$3,1,0))))</f>
        <v>0</v>
      </c>
      <c r="L117" s="124" t="n">
        <f aca="false">J117*K117</f>
        <v>0</v>
      </c>
      <c r="M117" s="124" t="n">
        <f aca="false">SUM(J$97:J117)</f>
        <v>0</v>
      </c>
      <c r="N117" s="124" t="n">
        <f aca="false">SUM(J$6:J117)</f>
        <v>-221916</v>
      </c>
      <c r="P117" s="124" t="n">
        <f aca="false">D117/P$3</f>
        <v>0</v>
      </c>
      <c r="Q117" s="124" t="n">
        <f aca="false">E117/P$3</f>
        <v>0</v>
      </c>
      <c r="R117" s="124" t="n">
        <f aca="false">F117/R$3</f>
        <v>0</v>
      </c>
      <c r="S117" s="126" t="n">
        <f aca="false">J117/$R$3</f>
        <v>0</v>
      </c>
      <c r="T117" s="126" t="n">
        <f aca="false">L117/$R$3</f>
        <v>0</v>
      </c>
      <c r="U117" s="126" t="n">
        <f aca="false">I117/$R$3</f>
        <v>0</v>
      </c>
      <c r="V117" s="126" t="n">
        <f aca="false">M117/$R$3</f>
        <v>0</v>
      </c>
      <c r="W117" s="126" t="n">
        <f aca="false">N117/$R$3</f>
        <v>-221.916</v>
      </c>
    </row>
    <row r="118" customFormat="false" ht="12.75" hidden="false" customHeight="false" outlineLevel="0" collapsed="false">
      <c r="A118" s="120" t="n">
        <f aca="false">A117+1</f>
        <v>37004</v>
      </c>
      <c r="B118" s="131" t="str">
        <f aca="false">INDEX('[4]Master Data'!$A$2:$B$8,MATCH(WEEKDAY('TBS Gas MTM'!A118,3),'[4]Master Data'!$A$2:$A$8,0),2)</f>
        <v>M</v>
      </c>
      <c r="D118" s="124" t="n">
        <v>0</v>
      </c>
      <c r="E118" s="124" t="n">
        <v>0</v>
      </c>
      <c r="F118" s="124" t="n">
        <v>0</v>
      </c>
      <c r="G118" s="124" t="n">
        <v>0</v>
      </c>
      <c r="I118" s="124" t="n">
        <f aca="false">IF(MONTH($A118)=MONTH($A117),IF(G118=0,I117,G118),G118)</f>
        <v>0</v>
      </c>
      <c r="J118" s="124" t="n">
        <f aca="false">IF(MONTH($A118)=MONTH($A117),SUM(I118-I117),I118)</f>
        <v>0</v>
      </c>
      <c r="K118" s="124" t="n">
        <f aca="false">IF(WEEKDAY(A118,3)&gt;4,0,(IF(A118&lt;K$2,0,IF(A118&lt;=K$3,1,0))))</f>
        <v>0</v>
      </c>
      <c r="L118" s="124" t="n">
        <f aca="false">J118*K118</f>
        <v>0</v>
      </c>
      <c r="M118" s="124" t="n">
        <f aca="false">SUM(J$97:J118)</f>
        <v>0</v>
      </c>
      <c r="N118" s="124" t="n">
        <f aca="false">SUM(J$6:J118)</f>
        <v>-221916</v>
      </c>
      <c r="P118" s="124" t="n">
        <f aca="false">D118/P$3</f>
        <v>0</v>
      </c>
      <c r="Q118" s="124" t="n">
        <f aca="false">E118/P$3</f>
        <v>0</v>
      </c>
      <c r="R118" s="124" t="n">
        <f aca="false">F118/R$3</f>
        <v>0</v>
      </c>
      <c r="S118" s="126" t="n">
        <f aca="false">J118/$R$3</f>
        <v>0</v>
      </c>
      <c r="T118" s="126" t="n">
        <f aca="false">L118/$R$3</f>
        <v>0</v>
      </c>
      <c r="U118" s="126" t="n">
        <f aca="false">I118/$R$3</f>
        <v>0</v>
      </c>
      <c r="V118" s="126" t="n">
        <f aca="false">M118/$R$3</f>
        <v>0</v>
      </c>
      <c r="W118" s="126" t="n">
        <f aca="false">N118/$R$3</f>
        <v>-221.916</v>
      </c>
    </row>
    <row r="119" customFormat="false" ht="12.75" hidden="false" customHeight="false" outlineLevel="0" collapsed="false">
      <c r="A119" s="120" t="n">
        <f aca="false">A118+1</f>
        <v>37005</v>
      </c>
      <c r="B119" s="131" t="str">
        <f aca="false">INDEX('[4]Master Data'!$A$2:$B$8,MATCH(WEEKDAY('TBS Gas MTM'!A119,3),'[4]Master Data'!$A$2:$A$8,0),2)</f>
        <v>T</v>
      </c>
      <c r="D119" s="124" t="n">
        <v>0</v>
      </c>
      <c r="E119" s="124" t="n">
        <v>0</v>
      </c>
      <c r="F119" s="124" t="n">
        <v>0</v>
      </c>
      <c r="G119" s="124" t="n">
        <v>0</v>
      </c>
      <c r="I119" s="124" t="n">
        <f aca="false">IF(MONTH($A119)=MONTH($A118),IF(G119=0,I118,G119),G119)</f>
        <v>0</v>
      </c>
      <c r="J119" s="124" t="n">
        <f aca="false">IF(MONTH($A119)=MONTH($A118),SUM(I119-I118),I119)</f>
        <v>0</v>
      </c>
      <c r="K119" s="124" t="n">
        <f aca="false">IF(WEEKDAY(A119,3)&gt;4,0,(IF(A119&lt;K$2,0,IF(A119&lt;=K$3,1,0))))</f>
        <v>0</v>
      </c>
      <c r="L119" s="124" t="n">
        <f aca="false">J119*K119</f>
        <v>0</v>
      </c>
      <c r="M119" s="124" t="n">
        <f aca="false">SUM(J$97:J119)</f>
        <v>0</v>
      </c>
      <c r="N119" s="124" t="n">
        <f aca="false">SUM(J$6:J119)</f>
        <v>-221916</v>
      </c>
      <c r="P119" s="124" t="n">
        <f aca="false">D119/P$3</f>
        <v>0</v>
      </c>
      <c r="Q119" s="124" t="n">
        <f aca="false">E119/P$3</f>
        <v>0</v>
      </c>
      <c r="R119" s="124" t="n">
        <f aca="false">F119/R$3</f>
        <v>0</v>
      </c>
      <c r="S119" s="126" t="n">
        <f aca="false">J119/$R$3</f>
        <v>0</v>
      </c>
      <c r="T119" s="126" t="n">
        <f aca="false">L119/$R$3</f>
        <v>0</v>
      </c>
      <c r="U119" s="126" t="n">
        <f aca="false">I119/$R$3</f>
        <v>0</v>
      </c>
      <c r="V119" s="126" t="n">
        <f aca="false">M119/$R$3</f>
        <v>0</v>
      </c>
      <c r="W119" s="126" t="n">
        <f aca="false">N119/$R$3</f>
        <v>-221.916</v>
      </c>
    </row>
    <row r="120" customFormat="false" ht="12.75" hidden="false" customHeight="false" outlineLevel="0" collapsed="false">
      <c r="A120" s="120" t="n">
        <f aca="false">A119+1</f>
        <v>37006</v>
      </c>
      <c r="B120" s="131" t="str">
        <f aca="false">INDEX('[4]Master Data'!$A$2:$B$8,MATCH(WEEKDAY('TBS Gas MTM'!A120,3),'[4]Master Data'!$A$2:$A$8,0),2)</f>
        <v>W</v>
      </c>
      <c r="D120" s="124" t="n">
        <v>0</v>
      </c>
      <c r="E120" s="124" t="n">
        <v>0</v>
      </c>
      <c r="F120" s="124" t="n">
        <v>0</v>
      </c>
      <c r="G120" s="124" t="n">
        <v>0</v>
      </c>
      <c r="I120" s="124" t="n">
        <f aca="false">IF(MONTH($A120)=MONTH($A119),IF(G120=0,I119,G120),G120)</f>
        <v>0</v>
      </c>
      <c r="J120" s="124" t="n">
        <f aca="false">IF(MONTH($A120)=MONTH($A119),SUM(I120-I119),I120)</f>
        <v>0</v>
      </c>
      <c r="K120" s="124" t="n">
        <f aca="false">IF(WEEKDAY(A120,3)&gt;4,0,(IF(A120&lt;K$2,0,IF(A120&lt;=K$3,1,0))))</f>
        <v>0</v>
      </c>
      <c r="L120" s="124" t="n">
        <f aca="false">J120*K120</f>
        <v>0</v>
      </c>
      <c r="M120" s="124" t="n">
        <f aca="false">SUM(J$97:J120)</f>
        <v>0</v>
      </c>
      <c r="N120" s="124" t="n">
        <f aca="false">SUM(J$6:J120)</f>
        <v>-221916</v>
      </c>
      <c r="P120" s="124" t="n">
        <f aca="false">D120/P$3</f>
        <v>0</v>
      </c>
      <c r="Q120" s="124" t="n">
        <f aca="false">E120/P$3</f>
        <v>0</v>
      </c>
      <c r="R120" s="124" t="n">
        <f aca="false">F120/R$3</f>
        <v>0</v>
      </c>
      <c r="S120" s="126" t="n">
        <f aca="false">J120/$R$3</f>
        <v>0</v>
      </c>
      <c r="T120" s="126" t="n">
        <f aca="false">L120/$R$3</f>
        <v>0</v>
      </c>
      <c r="U120" s="126" t="n">
        <f aca="false">I120/$R$3</f>
        <v>0</v>
      </c>
      <c r="V120" s="126" t="n">
        <f aca="false">M120/$R$3</f>
        <v>0</v>
      </c>
      <c r="W120" s="126" t="n">
        <f aca="false">N120/$R$3</f>
        <v>-221.916</v>
      </c>
    </row>
    <row r="121" customFormat="false" ht="12.75" hidden="false" customHeight="false" outlineLevel="0" collapsed="false">
      <c r="A121" s="120" t="n">
        <f aca="false">A120+1</f>
        <v>37007</v>
      </c>
      <c r="B121" s="131" t="str">
        <f aca="false">INDEX('[4]Master Data'!$A$2:$B$8,MATCH(WEEKDAY('TBS Gas MTM'!A121,3),'[4]Master Data'!$A$2:$A$8,0),2)</f>
        <v>Th</v>
      </c>
      <c r="D121" s="124" t="n">
        <v>0</v>
      </c>
      <c r="E121" s="124" t="n">
        <v>0</v>
      </c>
      <c r="F121" s="124" t="n">
        <v>0</v>
      </c>
      <c r="G121" s="124" t="n">
        <v>0</v>
      </c>
      <c r="I121" s="124" t="n">
        <f aca="false">IF(MONTH($A121)=MONTH($A120),IF(G121=0,I120,G121),G121)</f>
        <v>0</v>
      </c>
      <c r="J121" s="124" t="n">
        <f aca="false">IF(MONTH($A121)=MONTH($A120),SUM(I121-I120),I121)</f>
        <v>0</v>
      </c>
      <c r="K121" s="124" t="n">
        <f aca="false">IF(WEEKDAY(A121,3)&gt;4,0,(IF(A121&lt;K$2,0,IF(A121&lt;=K$3,1,0))))</f>
        <v>0</v>
      </c>
      <c r="L121" s="124" t="n">
        <f aca="false">J121*K121</f>
        <v>0</v>
      </c>
      <c r="M121" s="124" t="n">
        <f aca="false">SUM(J$97:J121)</f>
        <v>0</v>
      </c>
      <c r="N121" s="124" t="n">
        <f aca="false">SUM(J$6:J121)</f>
        <v>-221916</v>
      </c>
      <c r="P121" s="124" t="n">
        <f aca="false">D121/P$3</f>
        <v>0</v>
      </c>
      <c r="Q121" s="124" t="n">
        <f aca="false">E121/P$3</f>
        <v>0</v>
      </c>
      <c r="R121" s="124" t="n">
        <f aca="false">F121/R$3</f>
        <v>0</v>
      </c>
      <c r="S121" s="126" t="n">
        <f aca="false">J121/$R$3</f>
        <v>0</v>
      </c>
      <c r="T121" s="126" t="n">
        <f aca="false">L121/$R$3</f>
        <v>0</v>
      </c>
      <c r="U121" s="126" t="n">
        <f aca="false">I121/$R$3</f>
        <v>0</v>
      </c>
      <c r="V121" s="126" t="n">
        <f aca="false">M121/$R$3</f>
        <v>0</v>
      </c>
      <c r="W121" s="126" t="n">
        <f aca="false">N121/$R$3</f>
        <v>-221.916</v>
      </c>
    </row>
    <row r="122" customFormat="false" ht="12.75" hidden="false" customHeight="false" outlineLevel="0" collapsed="false">
      <c r="A122" s="120" t="n">
        <f aca="false">A121+1</f>
        <v>37008</v>
      </c>
      <c r="B122" s="131" t="str">
        <f aca="false">INDEX('[4]Master Data'!$A$2:$B$8,MATCH(WEEKDAY('TBS Gas MTM'!A122,3),'[4]Master Data'!$A$2:$A$8,0),2)</f>
        <v>F</v>
      </c>
      <c r="D122" s="124" t="n">
        <v>0</v>
      </c>
      <c r="E122" s="124" t="n">
        <v>0</v>
      </c>
      <c r="F122" s="124" t="n">
        <v>0</v>
      </c>
      <c r="G122" s="124" t="n">
        <v>0</v>
      </c>
      <c r="I122" s="124" t="n">
        <f aca="false">IF(MONTH($A122)=MONTH($A121),IF(G122=0,I121,G122),G122)</f>
        <v>0</v>
      </c>
      <c r="J122" s="124" t="n">
        <f aca="false">IF(MONTH($A122)=MONTH($A121),SUM(I122-I121),I122)</f>
        <v>0</v>
      </c>
      <c r="K122" s="124" t="n">
        <f aca="false">IF(WEEKDAY(A122,3)&gt;4,0,(IF(A122&lt;K$2,0,IF(A122&lt;=K$3,1,0))))</f>
        <v>0</v>
      </c>
      <c r="L122" s="124" t="n">
        <f aca="false">J122*K122</f>
        <v>0</v>
      </c>
      <c r="M122" s="124" t="n">
        <f aca="false">SUM(J$97:J122)</f>
        <v>0</v>
      </c>
      <c r="N122" s="124" t="n">
        <f aca="false">SUM(J$6:J122)</f>
        <v>-221916</v>
      </c>
      <c r="P122" s="124" t="n">
        <f aca="false">D122/P$3</f>
        <v>0</v>
      </c>
      <c r="Q122" s="124" t="n">
        <f aca="false">E122/P$3</f>
        <v>0</v>
      </c>
      <c r="R122" s="124" t="n">
        <f aca="false">F122/R$3</f>
        <v>0</v>
      </c>
      <c r="S122" s="126" t="n">
        <f aca="false">J122/$R$3</f>
        <v>0</v>
      </c>
      <c r="T122" s="126" t="n">
        <f aca="false">L122/$R$3</f>
        <v>0</v>
      </c>
      <c r="U122" s="126" t="n">
        <f aca="false">I122/$R$3</f>
        <v>0</v>
      </c>
      <c r="V122" s="126" t="n">
        <f aca="false">M122/$R$3</f>
        <v>0</v>
      </c>
      <c r="W122" s="126" t="n">
        <f aca="false">N122/$R$3</f>
        <v>-221.916</v>
      </c>
    </row>
    <row r="123" customFormat="false" ht="12.75" hidden="false" customHeight="false" outlineLevel="0" collapsed="false">
      <c r="A123" s="120" t="n">
        <f aca="false">A122+1</f>
        <v>37009</v>
      </c>
      <c r="B123" s="131" t="str">
        <f aca="false">INDEX('[4]Master Data'!$A$2:$B$8,MATCH(WEEKDAY('TBS Gas MTM'!A123,3),'[4]Master Data'!$A$2:$A$8,0),2)</f>
        <v>Sa</v>
      </c>
      <c r="D123" s="124" t="n">
        <v>0</v>
      </c>
      <c r="E123" s="124" t="n">
        <v>0</v>
      </c>
      <c r="F123" s="124" t="n">
        <v>0</v>
      </c>
      <c r="G123" s="124" t="n">
        <v>0</v>
      </c>
      <c r="I123" s="124" t="n">
        <f aca="false">IF(MONTH($A123)=MONTH($A122),IF(G123=0,I122,G123),G123)</f>
        <v>0</v>
      </c>
      <c r="J123" s="124" t="n">
        <f aca="false">IF(MONTH($A123)=MONTH($A122),SUM(I123-I122),I123)</f>
        <v>0</v>
      </c>
      <c r="K123" s="124" t="n">
        <f aca="false">IF(WEEKDAY(A123,3)&gt;4,0,(IF(A123&lt;K$2,0,IF(A123&lt;=K$3,1,0))))</f>
        <v>0</v>
      </c>
      <c r="L123" s="124" t="n">
        <f aca="false">J123*K123</f>
        <v>0</v>
      </c>
      <c r="M123" s="124" t="n">
        <f aca="false">SUM(J$97:J123)</f>
        <v>0</v>
      </c>
      <c r="N123" s="124" t="n">
        <f aca="false">SUM(J$6:J123)</f>
        <v>-221916</v>
      </c>
      <c r="P123" s="124" t="n">
        <f aca="false">D123/P$3</f>
        <v>0</v>
      </c>
      <c r="Q123" s="124" t="n">
        <f aca="false">E123/P$3</f>
        <v>0</v>
      </c>
      <c r="R123" s="124" t="n">
        <f aca="false">F123/R$3</f>
        <v>0</v>
      </c>
      <c r="S123" s="126" t="n">
        <f aca="false">J123/$R$3</f>
        <v>0</v>
      </c>
      <c r="T123" s="126" t="n">
        <f aca="false">L123/$R$3</f>
        <v>0</v>
      </c>
      <c r="U123" s="126" t="n">
        <f aca="false">I123/$R$3</f>
        <v>0</v>
      </c>
      <c r="V123" s="126" t="n">
        <f aca="false">M123/$R$3</f>
        <v>0</v>
      </c>
      <c r="W123" s="126" t="n">
        <f aca="false">N123/$R$3</f>
        <v>-221.916</v>
      </c>
    </row>
    <row r="124" customFormat="false" ht="12.75" hidden="false" customHeight="false" outlineLevel="0" collapsed="false">
      <c r="A124" s="120" t="n">
        <f aca="false">A123+1</f>
        <v>37010</v>
      </c>
      <c r="B124" s="131" t="str">
        <f aca="false">INDEX('[4]Master Data'!$A$2:$B$8,MATCH(WEEKDAY('TBS Gas MTM'!A124,3),'[4]Master Data'!$A$2:$A$8,0),2)</f>
        <v>Su</v>
      </c>
      <c r="D124" s="124" t="n">
        <v>0</v>
      </c>
      <c r="E124" s="124" t="n">
        <v>0</v>
      </c>
      <c r="F124" s="124" t="n">
        <v>0</v>
      </c>
      <c r="G124" s="124" t="n">
        <v>0</v>
      </c>
      <c r="I124" s="124" t="n">
        <f aca="false">IF(MONTH($A124)=MONTH($A123),IF(G124=0,I123,G124),G124)</f>
        <v>0</v>
      </c>
      <c r="J124" s="124" t="n">
        <f aca="false">IF(MONTH($A124)=MONTH($A123),SUM(I124-I123),I124)</f>
        <v>0</v>
      </c>
      <c r="K124" s="124" t="n">
        <f aca="false">IF(WEEKDAY(A124,3)&gt;4,0,(IF(A124&lt;K$2,0,IF(A124&lt;=K$3,1,0))))</f>
        <v>0</v>
      </c>
      <c r="L124" s="124" t="n">
        <f aca="false">J124*K124</f>
        <v>0</v>
      </c>
      <c r="M124" s="124" t="n">
        <f aca="false">SUM(J$97:J124)</f>
        <v>0</v>
      </c>
      <c r="N124" s="124" t="n">
        <f aca="false">SUM(J$6:J124)</f>
        <v>-221916</v>
      </c>
      <c r="P124" s="124" t="n">
        <f aca="false">D124/P$3</f>
        <v>0</v>
      </c>
      <c r="Q124" s="124" t="n">
        <f aca="false">E124/P$3</f>
        <v>0</v>
      </c>
      <c r="R124" s="124" t="n">
        <f aca="false">F124/R$3</f>
        <v>0</v>
      </c>
      <c r="S124" s="126" t="n">
        <f aca="false">J124/$R$3</f>
        <v>0</v>
      </c>
      <c r="T124" s="126" t="n">
        <f aca="false">L124/$R$3</f>
        <v>0</v>
      </c>
      <c r="U124" s="126" t="n">
        <f aca="false">I124/$R$3</f>
        <v>0</v>
      </c>
      <c r="V124" s="126" t="n">
        <f aca="false">M124/$R$3</f>
        <v>0</v>
      </c>
      <c r="W124" s="126" t="n">
        <f aca="false">N124/$R$3</f>
        <v>-221.916</v>
      </c>
    </row>
    <row r="125" customFormat="false" ht="12.75" hidden="false" customHeight="false" outlineLevel="0" collapsed="false">
      <c r="A125" s="120" t="n">
        <f aca="false">A124+1</f>
        <v>37011</v>
      </c>
      <c r="B125" s="131" t="str">
        <f aca="false">INDEX('[4]Master Data'!$A$2:$B$8,MATCH(WEEKDAY('TBS Gas MTM'!A125,3),'[4]Master Data'!$A$2:$A$8,0),2)</f>
        <v>M</v>
      </c>
      <c r="D125" s="124" t="n">
        <v>0</v>
      </c>
      <c r="E125" s="124" t="n">
        <v>0</v>
      </c>
      <c r="F125" s="124" t="n">
        <v>0</v>
      </c>
      <c r="G125" s="124" t="n">
        <v>0</v>
      </c>
      <c r="I125" s="124" t="n">
        <f aca="false">IF(MONTH($A125)=MONTH($A124),IF(G125=0,I124,G125),G125)</f>
        <v>0</v>
      </c>
      <c r="J125" s="124" t="n">
        <f aca="false">IF(MONTH($A125)=MONTH($A124),SUM(I125-I124),I125)</f>
        <v>0</v>
      </c>
      <c r="K125" s="124" t="n">
        <f aca="false">IF(WEEKDAY(A125,3)&gt;4,0,(IF(A125&lt;K$2,0,IF(A125&lt;=K$3,1,0))))</f>
        <v>0</v>
      </c>
      <c r="L125" s="124" t="n">
        <f aca="false">J125*K125</f>
        <v>0</v>
      </c>
      <c r="M125" s="124" t="n">
        <f aca="false">SUM(J$97:J125)</f>
        <v>0</v>
      </c>
      <c r="N125" s="124" t="n">
        <f aca="false">SUM(J$6:J125)</f>
        <v>-221916</v>
      </c>
      <c r="P125" s="124" t="n">
        <f aca="false">D125/P$3</f>
        <v>0</v>
      </c>
      <c r="Q125" s="124" t="n">
        <f aca="false">E125/P$3</f>
        <v>0</v>
      </c>
      <c r="R125" s="124" t="n">
        <f aca="false">F125/R$3</f>
        <v>0</v>
      </c>
      <c r="S125" s="126" t="n">
        <f aca="false">J125/$R$3</f>
        <v>0</v>
      </c>
      <c r="T125" s="126" t="n">
        <f aca="false">L125/$R$3</f>
        <v>0</v>
      </c>
      <c r="U125" s="126" t="n">
        <f aca="false">I125/$R$3</f>
        <v>0</v>
      </c>
      <c r="V125" s="126" t="n">
        <f aca="false">M125/$R$3</f>
        <v>0</v>
      </c>
      <c r="W125" s="126" t="n">
        <f aca="false">N125/$R$3</f>
        <v>-221.916</v>
      </c>
    </row>
    <row r="126" customFormat="false" ht="12.75" hidden="false" customHeight="false" outlineLevel="0" collapsed="false">
      <c r="A126" s="120" t="n">
        <f aca="false">A125+1</f>
        <v>37012</v>
      </c>
      <c r="B126" s="131" t="str">
        <f aca="false">INDEX('[4]Master Data'!$A$2:$B$8,MATCH(WEEKDAY('TBS Gas MTM'!A126,3),'[4]Master Data'!$A$2:$A$8,0),2)</f>
        <v>T</v>
      </c>
      <c r="D126" s="124" t="n">
        <v>0</v>
      </c>
      <c r="E126" s="124" t="n">
        <v>0</v>
      </c>
      <c r="F126" s="124" t="n">
        <v>0</v>
      </c>
      <c r="G126" s="124" t="n">
        <v>0</v>
      </c>
      <c r="I126" s="124" t="n">
        <f aca="false">IF(MONTH($A126)=MONTH($A125),IF(G126=0,I125,G126),G126)</f>
        <v>0</v>
      </c>
      <c r="J126" s="124" t="n">
        <f aca="false">IF(MONTH($A126)=MONTH($A125),SUM(I126-I125),I126)</f>
        <v>0</v>
      </c>
      <c r="K126" s="124" t="n">
        <f aca="false">IF(WEEKDAY(A126,3)&gt;4,0,(IF(A126&lt;K$2,0,IF(A126&lt;=K$3,1,0))))</f>
        <v>0</v>
      </c>
      <c r="L126" s="124" t="n">
        <f aca="false">J126*K126</f>
        <v>0</v>
      </c>
      <c r="M126" s="124" t="n">
        <f aca="false">SUM(J$97:J126)</f>
        <v>0</v>
      </c>
      <c r="N126" s="124" t="n">
        <f aca="false">SUM(J$6:J126)</f>
        <v>-221916</v>
      </c>
      <c r="P126" s="124" t="n">
        <f aca="false">D126/P$3</f>
        <v>0</v>
      </c>
      <c r="Q126" s="124" t="n">
        <f aca="false">E126/P$3</f>
        <v>0</v>
      </c>
      <c r="R126" s="124" t="n">
        <f aca="false">F126/R$3</f>
        <v>0</v>
      </c>
      <c r="S126" s="126" t="n">
        <f aca="false">J126/$R$3</f>
        <v>0</v>
      </c>
      <c r="T126" s="126" t="n">
        <f aca="false">L126/$R$3</f>
        <v>0</v>
      </c>
      <c r="U126" s="126" t="n">
        <f aca="false">I126/$R$3</f>
        <v>0</v>
      </c>
      <c r="V126" s="126" t="n">
        <f aca="false">M126/$R$3</f>
        <v>0</v>
      </c>
      <c r="W126" s="126" t="n">
        <f aca="false">N126/$R$3</f>
        <v>-221.916</v>
      </c>
    </row>
    <row r="127" customFormat="false" ht="12.75" hidden="false" customHeight="false" outlineLevel="0" collapsed="false">
      <c r="A127" s="120" t="n">
        <f aca="false">A126+1</f>
        <v>37013</v>
      </c>
      <c r="B127" s="131" t="str">
        <f aca="false">INDEX('[4]Master Data'!$A$2:$B$8,MATCH(WEEKDAY('TBS Gas MTM'!A127,3),'[4]Master Data'!$A$2:$A$8,0),2)</f>
        <v>W</v>
      </c>
      <c r="D127" s="124" t="n">
        <v>0</v>
      </c>
      <c r="E127" s="124" t="n">
        <v>0</v>
      </c>
      <c r="F127" s="124" t="n">
        <v>0</v>
      </c>
      <c r="G127" s="124" t="n">
        <v>0</v>
      </c>
      <c r="I127" s="124" t="n">
        <f aca="false">IF(MONTH($A127)=MONTH($A126),IF(G127=0,I126,G127),G127)</f>
        <v>0</v>
      </c>
      <c r="J127" s="124" t="n">
        <f aca="false">IF(MONTH($A127)=MONTH($A126),SUM(I127-I126),I127)</f>
        <v>0</v>
      </c>
      <c r="K127" s="124" t="n">
        <f aca="false">IF(WEEKDAY(A127,3)&gt;4,0,(IF(A127&lt;K$2,0,IF(A127&lt;=K$3,1,0))))</f>
        <v>0</v>
      </c>
      <c r="L127" s="124" t="n">
        <f aca="false">J127*K127</f>
        <v>0</v>
      </c>
      <c r="M127" s="124" t="n">
        <f aca="false">SUM(J$97:J127)</f>
        <v>0</v>
      </c>
      <c r="N127" s="124" t="n">
        <f aca="false">SUM(J$6:J127)</f>
        <v>-221916</v>
      </c>
      <c r="P127" s="124" t="n">
        <f aca="false">D127/P$3</f>
        <v>0</v>
      </c>
      <c r="Q127" s="124" t="n">
        <f aca="false">E127/P$3</f>
        <v>0</v>
      </c>
      <c r="R127" s="124" t="n">
        <f aca="false">F127/R$3</f>
        <v>0</v>
      </c>
      <c r="S127" s="126" t="n">
        <f aca="false">J127/$R$3</f>
        <v>0</v>
      </c>
      <c r="T127" s="126" t="n">
        <f aca="false">L127/$R$3</f>
        <v>0</v>
      </c>
      <c r="U127" s="126" t="n">
        <f aca="false">I127/$R$3</f>
        <v>0</v>
      </c>
      <c r="V127" s="126" t="n">
        <f aca="false">M127/$R$3</f>
        <v>0</v>
      </c>
      <c r="W127" s="126" t="n">
        <f aca="false">N127/$R$3</f>
        <v>-221.916</v>
      </c>
    </row>
    <row r="128" customFormat="false" ht="12.75" hidden="false" customHeight="false" outlineLevel="0" collapsed="false">
      <c r="A128" s="120" t="n">
        <f aca="false">A127+1</f>
        <v>37014</v>
      </c>
      <c r="B128" s="131" t="str">
        <f aca="false">INDEX('[4]Master Data'!$A$2:$B$8,MATCH(WEEKDAY('TBS Gas MTM'!A128,3),'[4]Master Data'!$A$2:$A$8,0),2)</f>
        <v>Th</v>
      </c>
      <c r="D128" s="124" t="n">
        <v>0</v>
      </c>
      <c r="E128" s="124" t="n">
        <v>0</v>
      </c>
      <c r="F128" s="124" t="n">
        <v>0</v>
      </c>
      <c r="G128" s="124" t="n">
        <v>0</v>
      </c>
      <c r="I128" s="124" t="n">
        <f aca="false">IF(MONTH($A128)=MONTH($A127),IF(G128=0,I127,G128),G128)</f>
        <v>0</v>
      </c>
      <c r="J128" s="124" t="n">
        <f aca="false">IF(MONTH($A128)=MONTH($A127),SUM(I128-I127),I128)</f>
        <v>0</v>
      </c>
      <c r="K128" s="124" t="n">
        <f aca="false">IF(WEEKDAY(A128,3)&gt;4,0,(IF(A128&lt;K$2,0,IF(A128&lt;=K$3,1,0))))</f>
        <v>0</v>
      </c>
      <c r="L128" s="124" t="n">
        <f aca="false">J128*K128</f>
        <v>0</v>
      </c>
      <c r="M128" s="124" t="n">
        <f aca="false">SUM(J$97:J128)</f>
        <v>0</v>
      </c>
      <c r="N128" s="124" t="n">
        <f aca="false">SUM(J$6:J128)</f>
        <v>-221916</v>
      </c>
      <c r="P128" s="124" t="n">
        <f aca="false">D128/P$3</f>
        <v>0</v>
      </c>
      <c r="Q128" s="124" t="n">
        <f aca="false">E128/P$3</f>
        <v>0</v>
      </c>
      <c r="R128" s="124" t="n">
        <f aca="false">F128/R$3</f>
        <v>0</v>
      </c>
      <c r="S128" s="126" t="n">
        <f aca="false">J128/$R$3</f>
        <v>0</v>
      </c>
      <c r="T128" s="126" t="n">
        <f aca="false">L128/$R$3</f>
        <v>0</v>
      </c>
      <c r="U128" s="126" t="n">
        <f aca="false">I128/$R$3</f>
        <v>0</v>
      </c>
      <c r="V128" s="126" t="n">
        <f aca="false">M128/$R$3</f>
        <v>0</v>
      </c>
      <c r="W128" s="126" t="n">
        <f aca="false">N128/$R$3</f>
        <v>-221.916</v>
      </c>
    </row>
    <row r="129" customFormat="false" ht="12.75" hidden="false" customHeight="false" outlineLevel="0" collapsed="false">
      <c r="A129" s="120" t="n">
        <f aca="false">A128+1</f>
        <v>37015</v>
      </c>
      <c r="B129" s="131" t="str">
        <f aca="false">INDEX('[4]Master Data'!$A$2:$B$8,MATCH(WEEKDAY('TBS Gas MTM'!A129,3),'[4]Master Data'!$A$2:$A$8,0),2)</f>
        <v>F</v>
      </c>
      <c r="D129" s="124" t="n">
        <v>0</v>
      </c>
      <c r="E129" s="124" t="n">
        <v>0</v>
      </c>
      <c r="F129" s="124" t="n">
        <v>0</v>
      </c>
      <c r="G129" s="124" t="n">
        <v>0</v>
      </c>
      <c r="I129" s="124" t="n">
        <f aca="false">IF(MONTH($A129)=MONTH($A128),IF(G129=0,I128,G129),G129)</f>
        <v>0</v>
      </c>
      <c r="J129" s="124" t="n">
        <f aca="false">IF(MONTH($A129)=MONTH($A128),SUM(I129-I128),I129)</f>
        <v>0</v>
      </c>
      <c r="K129" s="124" t="n">
        <f aca="false">IF(WEEKDAY(A129,3)&gt;4,0,(IF(A129&lt;K$2,0,IF(A129&lt;=K$3,1,0))))</f>
        <v>0</v>
      </c>
      <c r="L129" s="124" t="n">
        <f aca="false">J129*K129</f>
        <v>0</v>
      </c>
      <c r="M129" s="124" t="n">
        <f aca="false">SUM(J$97:J129)</f>
        <v>0</v>
      </c>
      <c r="N129" s="124" t="n">
        <f aca="false">SUM(J$6:J129)</f>
        <v>-221916</v>
      </c>
      <c r="P129" s="124" t="n">
        <f aca="false">D129/P$3</f>
        <v>0</v>
      </c>
      <c r="Q129" s="124" t="n">
        <f aca="false">E129/P$3</f>
        <v>0</v>
      </c>
      <c r="R129" s="124" t="n">
        <f aca="false">F129/R$3</f>
        <v>0</v>
      </c>
      <c r="S129" s="126" t="n">
        <f aca="false">J129/$R$3</f>
        <v>0</v>
      </c>
      <c r="T129" s="126" t="n">
        <f aca="false">L129/$R$3</f>
        <v>0</v>
      </c>
      <c r="U129" s="126" t="n">
        <f aca="false">I129/$R$3</f>
        <v>0</v>
      </c>
      <c r="V129" s="126" t="n">
        <f aca="false">M129/$R$3</f>
        <v>0</v>
      </c>
      <c r="W129" s="126" t="n">
        <f aca="false">N129/$R$3</f>
        <v>-221.916</v>
      </c>
    </row>
    <row r="130" customFormat="false" ht="12.75" hidden="false" customHeight="false" outlineLevel="0" collapsed="false">
      <c r="A130" s="120" t="n">
        <f aca="false">A129+1</f>
        <v>37016</v>
      </c>
      <c r="B130" s="131" t="str">
        <f aca="false">INDEX('[4]Master Data'!$A$2:$B$8,MATCH(WEEKDAY('TBS Gas MTM'!A130,3),'[4]Master Data'!$A$2:$A$8,0),2)</f>
        <v>Sa</v>
      </c>
      <c r="D130" s="124" t="n">
        <v>0</v>
      </c>
      <c r="E130" s="124" t="n">
        <v>0</v>
      </c>
      <c r="F130" s="124" t="n">
        <v>0</v>
      </c>
      <c r="G130" s="124" t="n">
        <v>0</v>
      </c>
      <c r="I130" s="124" t="n">
        <f aca="false">IF(MONTH($A130)=MONTH($A129),IF(G130=0,I129,G130),G130)</f>
        <v>0</v>
      </c>
      <c r="J130" s="124" t="n">
        <f aca="false">IF(MONTH($A130)=MONTH($A129),SUM(I130-I129),I130)</f>
        <v>0</v>
      </c>
      <c r="K130" s="124" t="n">
        <f aca="false">IF(WEEKDAY(A130,3)&gt;4,0,(IF(A130&lt;K$2,0,IF(A130&lt;=K$3,1,0))))</f>
        <v>0</v>
      </c>
      <c r="L130" s="124" t="n">
        <f aca="false">J130*K130</f>
        <v>0</v>
      </c>
      <c r="M130" s="124" t="n">
        <f aca="false">SUM(J$97:J130)</f>
        <v>0</v>
      </c>
      <c r="N130" s="124" t="n">
        <f aca="false">SUM(J$6:J130)</f>
        <v>-221916</v>
      </c>
      <c r="P130" s="124" t="n">
        <f aca="false">D130/P$3</f>
        <v>0</v>
      </c>
      <c r="Q130" s="124" t="n">
        <f aca="false">E130/P$3</f>
        <v>0</v>
      </c>
      <c r="R130" s="124" t="n">
        <f aca="false">F130/R$3</f>
        <v>0</v>
      </c>
      <c r="S130" s="126" t="n">
        <f aca="false">J130/$R$3</f>
        <v>0</v>
      </c>
      <c r="T130" s="126" t="n">
        <f aca="false">L130/$R$3</f>
        <v>0</v>
      </c>
      <c r="U130" s="126" t="n">
        <f aca="false">I130/$R$3</f>
        <v>0</v>
      </c>
      <c r="V130" s="126" t="n">
        <f aca="false">M130/$R$3</f>
        <v>0</v>
      </c>
      <c r="W130" s="126" t="n">
        <f aca="false">N130/$R$3</f>
        <v>-221.916</v>
      </c>
    </row>
    <row r="131" customFormat="false" ht="12.75" hidden="false" customHeight="false" outlineLevel="0" collapsed="false">
      <c r="A131" s="120" t="n">
        <f aca="false">A130+1</f>
        <v>37017</v>
      </c>
      <c r="B131" s="131" t="str">
        <f aca="false">INDEX('[4]Master Data'!$A$2:$B$8,MATCH(WEEKDAY('TBS Gas MTM'!A131,3),'[4]Master Data'!$A$2:$A$8,0),2)</f>
        <v>Su</v>
      </c>
      <c r="D131" s="124" t="n">
        <v>0</v>
      </c>
      <c r="E131" s="124" t="n">
        <v>0</v>
      </c>
      <c r="F131" s="124" t="n">
        <v>0</v>
      </c>
      <c r="G131" s="124" t="n">
        <v>0</v>
      </c>
      <c r="I131" s="124" t="n">
        <f aca="false">IF(MONTH($A131)=MONTH($A130),IF(G131=0,I130,G131),G131)</f>
        <v>0</v>
      </c>
      <c r="J131" s="124" t="n">
        <f aca="false">IF(MONTH($A131)=MONTH($A130),SUM(I131-I130),I131)</f>
        <v>0</v>
      </c>
      <c r="K131" s="124" t="n">
        <f aca="false">IF(WEEKDAY(A131,3)&gt;4,0,(IF(A131&lt;K$2,0,IF(A131&lt;=K$3,1,0))))</f>
        <v>0</v>
      </c>
      <c r="L131" s="124" t="n">
        <f aca="false">J131*K131</f>
        <v>0</v>
      </c>
      <c r="M131" s="124" t="n">
        <f aca="false">SUM(J$97:J131)</f>
        <v>0</v>
      </c>
      <c r="N131" s="124" t="n">
        <f aca="false">SUM(J$6:J131)</f>
        <v>-221916</v>
      </c>
      <c r="P131" s="124" t="n">
        <f aca="false">D131/P$3</f>
        <v>0</v>
      </c>
      <c r="Q131" s="124" t="n">
        <f aca="false">E131/P$3</f>
        <v>0</v>
      </c>
      <c r="R131" s="124" t="n">
        <f aca="false">F131/R$3</f>
        <v>0</v>
      </c>
      <c r="S131" s="126" t="n">
        <f aca="false">J131/$R$3</f>
        <v>0</v>
      </c>
      <c r="T131" s="126" t="n">
        <f aca="false">L131/$R$3</f>
        <v>0</v>
      </c>
      <c r="U131" s="126" t="n">
        <f aca="false">I131/$R$3</f>
        <v>0</v>
      </c>
      <c r="V131" s="126" t="n">
        <f aca="false">M131/$R$3</f>
        <v>0</v>
      </c>
      <c r="W131" s="126" t="n">
        <f aca="false">N131/$R$3</f>
        <v>-221.916</v>
      </c>
    </row>
    <row r="132" customFormat="false" ht="12.75" hidden="false" customHeight="false" outlineLevel="0" collapsed="false">
      <c r="A132" s="120" t="n">
        <f aca="false">A131+1</f>
        <v>37018</v>
      </c>
      <c r="B132" s="131" t="str">
        <f aca="false">INDEX('[4]Master Data'!$A$2:$B$8,MATCH(WEEKDAY('TBS Gas MTM'!A132,3),'[4]Master Data'!$A$2:$A$8,0),2)</f>
        <v>M</v>
      </c>
      <c r="D132" s="124" t="n">
        <v>0</v>
      </c>
      <c r="E132" s="124" t="n">
        <v>0</v>
      </c>
      <c r="F132" s="124" t="n">
        <v>0</v>
      </c>
      <c r="G132" s="124" t="n">
        <v>0</v>
      </c>
      <c r="I132" s="124" t="n">
        <f aca="false">IF(MONTH($A132)=MONTH($A131),IF(G132=0,I131,G132),G132)</f>
        <v>0</v>
      </c>
      <c r="J132" s="124" t="n">
        <f aca="false">IF(MONTH($A132)=MONTH($A131),SUM(I132-I131),I132)</f>
        <v>0</v>
      </c>
      <c r="K132" s="124" t="n">
        <f aca="false">IF(WEEKDAY(A132,3)&gt;4,0,(IF(A132&lt;K$2,0,IF(A132&lt;=K$3,1,0))))</f>
        <v>0</v>
      </c>
      <c r="L132" s="124" t="n">
        <f aca="false">J132*K132</f>
        <v>0</v>
      </c>
      <c r="M132" s="124" t="n">
        <f aca="false">SUM(J$97:J132)</f>
        <v>0</v>
      </c>
      <c r="N132" s="124" t="n">
        <f aca="false">SUM(J$6:J132)</f>
        <v>-221916</v>
      </c>
      <c r="P132" s="124" t="n">
        <f aca="false">D132/P$3</f>
        <v>0</v>
      </c>
      <c r="Q132" s="124" t="n">
        <f aca="false">E132/P$3</f>
        <v>0</v>
      </c>
      <c r="R132" s="124" t="n">
        <f aca="false">F132/R$3</f>
        <v>0</v>
      </c>
      <c r="S132" s="126" t="n">
        <f aca="false">J132/$R$3</f>
        <v>0</v>
      </c>
      <c r="T132" s="126" t="n">
        <f aca="false">L132/$R$3</f>
        <v>0</v>
      </c>
      <c r="U132" s="126" t="n">
        <f aca="false">I132/$R$3</f>
        <v>0</v>
      </c>
      <c r="V132" s="126" t="n">
        <f aca="false">M132/$R$3</f>
        <v>0</v>
      </c>
      <c r="W132" s="126" t="n">
        <f aca="false">N132/$R$3</f>
        <v>-221.916</v>
      </c>
    </row>
    <row r="133" customFormat="false" ht="12.75" hidden="false" customHeight="false" outlineLevel="0" collapsed="false">
      <c r="A133" s="120" t="n">
        <f aca="false">A132+1</f>
        <v>37019</v>
      </c>
      <c r="B133" s="131" t="str">
        <f aca="false">INDEX('[4]Master Data'!$A$2:$B$8,MATCH(WEEKDAY('TBS Gas MTM'!A133,3),'[4]Master Data'!$A$2:$A$8,0),2)</f>
        <v>T</v>
      </c>
      <c r="D133" s="124" t="n">
        <v>0</v>
      </c>
      <c r="E133" s="124" t="n">
        <v>0</v>
      </c>
      <c r="F133" s="124" t="n">
        <v>0</v>
      </c>
      <c r="G133" s="124" t="n">
        <v>0</v>
      </c>
      <c r="I133" s="124" t="n">
        <f aca="false">IF(MONTH($A133)=MONTH($A132),IF(G133=0,I132,G133),G133)</f>
        <v>0</v>
      </c>
      <c r="J133" s="124" t="n">
        <f aca="false">IF(MONTH($A133)=MONTH($A132),SUM(I133-I132),I133)</f>
        <v>0</v>
      </c>
      <c r="K133" s="124" t="n">
        <f aca="false">IF(WEEKDAY(A133,3)&gt;4,0,(IF(A133&lt;K$2,0,IF(A133&lt;=K$3,1,0))))</f>
        <v>0</v>
      </c>
      <c r="L133" s="124" t="n">
        <f aca="false">J133*K133</f>
        <v>0</v>
      </c>
      <c r="M133" s="124" t="n">
        <f aca="false">SUM(J$97:J133)</f>
        <v>0</v>
      </c>
      <c r="N133" s="124" t="n">
        <f aca="false">SUM(J$6:J133)</f>
        <v>-221916</v>
      </c>
      <c r="P133" s="124" t="n">
        <f aca="false">D133/P$3</f>
        <v>0</v>
      </c>
      <c r="Q133" s="124" t="n">
        <f aca="false">E133/P$3</f>
        <v>0</v>
      </c>
      <c r="R133" s="124" t="n">
        <f aca="false">F133/R$3</f>
        <v>0</v>
      </c>
      <c r="S133" s="126" t="n">
        <f aca="false">J133/$R$3</f>
        <v>0</v>
      </c>
      <c r="T133" s="126" t="n">
        <f aca="false">L133/$R$3</f>
        <v>0</v>
      </c>
      <c r="U133" s="126" t="n">
        <f aca="false">I133/$R$3</f>
        <v>0</v>
      </c>
      <c r="V133" s="126" t="n">
        <f aca="false">M133/$R$3</f>
        <v>0</v>
      </c>
      <c r="W133" s="126" t="n">
        <f aca="false">N133/$R$3</f>
        <v>-221.916</v>
      </c>
    </row>
    <row r="134" customFormat="false" ht="12.75" hidden="false" customHeight="false" outlineLevel="0" collapsed="false">
      <c r="A134" s="120" t="n">
        <f aca="false">A133+1</f>
        <v>37020</v>
      </c>
      <c r="B134" s="131" t="str">
        <f aca="false">INDEX('[4]Master Data'!$A$2:$B$8,MATCH(WEEKDAY('TBS Gas MTM'!A134,3),'[4]Master Data'!$A$2:$A$8,0),2)</f>
        <v>W</v>
      </c>
      <c r="D134" s="124" t="n">
        <v>0</v>
      </c>
      <c r="E134" s="124" t="n">
        <v>0</v>
      </c>
      <c r="F134" s="124" t="n">
        <v>0</v>
      </c>
      <c r="G134" s="124" t="n">
        <v>0</v>
      </c>
      <c r="I134" s="124" t="n">
        <f aca="false">IF(MONTH($A134)=MONTH($A133),IF(G134=0,I133,G134),G134)</f>
        <v>0</v>
      </c>
      <c r="J134" s="124" t="n">
        <f aca="false">IF(MONTH($A134)=MONTH($A133),SUM(I134-I133),I134)</f>
        <v>0</v>
      </c>
      <c r="K134" s="124" t="n">
        <f aca="false">IF(WEEKDAY(A134,3)&gt;4,0,(IF(A134&lt;K$2,0,IF(A134&lt;=K$3,1,0))))</f>
        <v>0</v>
      </c>
      <c r="L134" s="124" t="n">
        <f aca="false">J134*K134</f>
        <v>0</v>
      </c>
      <c r="M134" s="124" t="n">
        <f aca="false">SUM(J$97:J134)</f>
        <v>0</v>
      </c>
      <c r="N134" s="124" t="n">
        <f aca="false">SUM(J$6:J134)</f>
        <v>-221916</v>
      </c>
      <c r="P134" s="124" t="n">
        <f aca="false">D134/P$3</f>
        <v>0</v>
      </c>
      <c r="Q134" s="124" t="n">
        <f aca="false">E134/P$3</f>
        <v>0</v>
      </c>
      <c r="R134" s="124" t="n">
        <f aca="false">F134/R$3</f>
        <v>0</v>
      </c>
      <c r="S134" s="126" t="n">
        <f aca="false">J134/$R$3</f>
        <v>0</v>
      </c>
      <c r="T134" s="126" t="n">
        <f aca="false">L134/$R$3</f>
        <v>0</v>
      </c>
      <c r="U134" s="126" t="n">
        <f aca="false">I134/$R$3</f>
        <v>0</v>
      </c>
      <c r="V134" s="126" t="n">
        <f aca="false">M134/$R$3</f>
        <v>0</v>
      </c>
      <c r="W134" s="126" t="n">
        <f aca="false">N134/$R$3</f>
        <v>-221.916</v>
      </c>
    </row>
    <row r="135" customFormat="false" ht="12.75" hidden="false" customHeight="false" outlineLevel="0" collapsed="false">
      <c r="A135" s="120" t="n">
        <f aca="false">A134+1</f>
        <v>37021</v>
      </c>
      <c r="B135" s="131" t="str">
        <f aca="false">INDEX('[4]Master Data'!$A$2:$B$8,MATCH(WEEKDAY('TBS Gas MTM'!A135,3),'[4]Master Data'!$A$2:$A$8,0),2)</f>
        <v>Th</v>
      </c>
      <c r="D135" s="124" t="n">
        <v>0</v>
      </c>
      <c r="E135" s="124" t="n">
        <v>0</v>
      </c>
      <c r="F135" s="124" t="n">
        <v>0</v>
      </c>
      <c r="G135" s="124" t="n">
        <v>0</v>
      </c>
      <c r="I135" s="124" t="n">
        <f aca="false">IF(MONTH($A135)=MONTH($A134),IF(G135=0,I134,G135),G135)</f>
        <v>0</v>
      </c>
      <c r="J135" s="124" t="n">
        <f aca="false">IF(MONTH($A135)=MONTH($A134),SUM(I135-I134),I135)</f>
        <v>0</v>
      </c>
      <c r="K135" s="124" t="n">
        <f aca="false">IF(WEEKDAY(A135,3)&gt;4,0,(IF(A135&lt;K$2,0,IF(A135&lt;=K$3,1,0))))</f>
        <v>0</v>
      </c>
      <c r="L135" s="124" t="n">
        <f aca="false">J135*K135</f>
        <v>0</v>
      </c>
      <c r="M135" s="124" t="n">
        <f aca="false">SUM(J$97:J135)</f>
        <v>0</v>
      </c>
      <c r="N135" s="124" t="n">
        <f aca="false">SUM(J$6:J135)</f>
        <v>-221916</v>
      </c>
      <c r="P135" s="124" t="n">
        <f aca="false">D135/P$3</f>
        <v>0</v>
      </c>
      <c r="Q135" s="124" t="n">
        <f aca="false">E135/P$3</f>
        <v>0</v>
      </c>
      <c r="R135" s="124" t="n">
        <f aca="false">F135/R$3</f>
        <v>0</v>
      </c>
      <c r="S135" s="126" t="n">
        <f aca="false">J135/$R$3</f>
        <v>0</v>
      </c>
      <c r="T135" s="126" t="n">
        <f aca="false">L135/$R$3</f>
        <v>0</v>
      </c>
      <c r="U135" s="126" t="n">
        <f aca="false">I135/$R$3</f>
        <v>0</v>
      </c>
      <c r="V135" s="126" t="n">
        <f aca="false">M135/$R$3</f>
        <v>0</v>
      </c>
      <c r="W135" s="126" t="n">
        <f aca="false">N135/$R$3</f>
        <v>-221.916</v>
      </c>
    </row>
    <row r="136" customFormat="false" ht="12.75" hidden="false" customHeight="false" outlineLevel="0" collapsed="false">
      <c r="A136" s="120" t="n">
        <f aca="false">A135+1</f>
        <v>37022</v>
      </c>
      <c r="B136" s="131" t="str">
        <f aca="false">INDEX('[4]Master Data'!$A$2:$B$8,MATCH(WEEKDAY('TBS Gas MTM'!A136,3),'[4]Master Data'!$A$2:$A$8,0),2)</f>
        <v>F</v>
      </c>
      <c r="D136" s="124" t="n">
        <v>0</v>
      </c>
      <c r="E136" s="124" t="n">
        <v>0</v>
      </c>
      <c r="F136" s="124" t="n">
        <v>0</v>
      </c>
      <c r="G136" s="124" t="n">
        <v>0</v>
      </c>
      <c r="I136" s="124" t="n">
        <f aca="false">IF(MONTH($A136)=MONTH($A135),IF(G136=0,I135,G136),G136)</f>
        <v>0</v>
      </c>
      <c r="J136" s="124" t="n">
        <f aca="false">IF(MONTH($A136)=MONTH($A135),SUM(I136-I135),I136)</f>
        <v>0</v>
      </c>
      <c r="K136" s="124" t="n">
        <f aca="false">IF(WEEKDAY(A136,3)&gt;4,0,(IF(A136&lt;K$2,0,IF(A136&lt;=K$3,1,0))))</f>
        <v>0</v>
      </c>
      <c r="L136" s="124" t="n">
        <f aca="false">J136*K136</f>
        <v>0</v>
      </c>
      <c r="M136" s="124" t="n">
        <f aca="false">SUM(J$97:J136)</f>
        <v>0</v>
      </c>
      <c r="N136" s="124" t="n">
        <f aca="false">SUM(J$6:J136)</f>
        <v>-221916</v>
      </c>
      <c r="P136" s="124" t="n">
        <f aca="false">D136/P$3</f>
        <v>0</v>
      </c>
      <c r="Q136" s="124" t="n">
        <f aca="false">E136/P$3</f>
        <v>0</v>
      </c>
      <c r="R136" s="124" t="n">
        <f aca="false">F136/R$3</f>
        <v>0</v>
      </c>
      <c r="S136" s="126" t="n">
        <f aca="false">J136/$R$3</f>
        <v>0</v>
      </c>
      <c r="T136" s="126" t="n">
        <f aca="false">L136/$R$3</f>
        <v>0</v>
      </c>
      <c r="U136" s="126" t="n">
        <f aca="false">I136/$R$3</f>
        <v>0</v>
      </c>
      <c r="V136" s="126" t="n">
        <f aca="false">M136/$R$3</f>
        <v>0</v>
      </c>
      <c r="W136" s="126" t="n">
        <f aca="false">N136/$R$3</f>
        <v>-221.916</v>
      </c>
    </row>
    <row r="137" customFormat="false" ht="12.75" hidden="false" customHeight="false" outlineLevel="0" collapsed="false">
      <c r="A137" s="120" t="n">
        <f aca="false">A136+1</f>
        <v>37023</v>
      </c>
      <c r="B137" s="131" t="str">
        <f aca="false">INDEX('[4]Master Data'!$A$2:$B$8,MATCH(WEEKDAY('TBS Gas MTM'!A137,3),'[4]Master Data'!$A$2:$A$8,0),2)</f>
        <v>Sa</v>
      </c>
      <c r="D137" s="124" t="n">
        <v>0</v>
      </c>
      <c r="E137" s="124" t="n">
        <v>0</v>
      </c>
      <c r="F137" s="124" t="n">
        <v>0</v>
      </c>
      <c r="G137" s="124" t="n">
        <v>0</v>
      </c>
      <c r="I137" s="124" t="n">
        <f aca="false">IF(MONTH($A137)=MONTH($A136),IF(G137=0,I136,G137),G137)</f>
        <v>0</v>
      </c>
      <c r="J137" s="124" t="n">
        <f aca="false">IF(MONTH($A137)=MONTH($A136),SUM(I137-I136),I137)</f>
        <v>0</v>
      </c>
      <c r="K137" s="124" t="n">
        <f aca="false">IF(WEEKDAY(A137,3)&gt;4,0,(IF(A137&lt;K$2,0,IF(A137&lt;=K$3,1,0))))</f>
        <v>0</v>
      </c>
      <c r="L137" s="124" t="n">
        <f aca="false">J137*K137</f>
        <v>0</v>
      </c>
      <c r="M137" s="124" t="n">
        <f aca="false">SUM(J$97:J137)</f>
        <v>0</v>
      </c>
      <c r="N137" s="124" t="n">
        <f aca="false">SUM(J$6:J137)</f>
        <v>-221916</v>
      </c>
      <c r="P137" s="124" t="n">
        <f aca="false">D137/P$3</f>
        <v>0</v>
      </c>
      <c r="Q137" s="124" t="n">
        <f aca="false">E137/P$3</f>
        <v>0</v>
      </c>
      <c r="R137" s="124" t="n">
        <f aca="false">F137/R$3</f>
        <v>0</v>
      </c>
      <c r="S137" s="126" t="n">
        <f aca="false">J137/$R$3</f>
        <v>0</v>
      </c>
      <c r="T137" s="126" t="n">
        <f aca="false">L137/$R$3</f>
        <v>0</v>
      </c>
      <c r="U137" s="126" t="n">
        <f aca="false">I137/$R$3</f>
        <v>0</v>
      </c>
      <c r="V137" s="126" t="n">
        <f aca="false">M137/$R$3</f>
        <v>0</v>
      </c>
      <c r="W137" s="126" t="n">
        <f aca="false">N137/$R$3</f>
        <v>-221.916</v>
      </c>
    </row>
    <row r="138" customFormat="false" ht="12.75" hidden="false" customHeight="false" outlineLevel="0" collapsed="false">
      <c r="A138" s="120" t="n">
        <f aca="false">A137+1</f>
        <v>37024</v>
      </c>
      <c r="B138" s="131" t="str">
        <f aca="false">INDEX('[4]Master Data'!$A$2:$B$8,MATCH(WEEKDAY('TBS Gas MTM'!A138,3),'[4]Master Data'!$A$2:$A$8,0),2)</f>
        <v>Su</v>
      </c>
      <c r="D138" s="124" t="n">
        <v>0</v>
      </c>
      <c r="E138" s="124" t="n">
        <v>0</v>
      </c>
      <c r="F138" s="124" t="n">
        <v>0</v>
      </c>
      <c r="G138" s="124" t="n">
        <v>0</v>
      </c>
      <c r="I138" s="124" t="n">
        <f aca="false">IF(MONTH($A138)=MONTH($A137),IF(G138=0,I137,G138),G138)</f>
        <v>0</v>
      </c>
      <c r="J138" s="124" t="n">
        <f aca="false">IF(MONTH($A138)=MONTH($A137),SUM(I138-I137),I138)</f>
        <v>0</v>
      </c>
      <c r="K138" s="124" t="n">
        <f aca="false">IF(WEEKDAY(A138,3)&gt;4,0,(IF(A138&lt;K$2,0,IF(A138&lt;=K$3,1,0))))</f>
        <v>0</v>
      </c>
      <c r="L138" s="124" t="n">
        <f aca="false">J138*K138</f>
        <v>0</v>
      </c>
      <c r="M138" s="124" t="n">
        <f aca="false">SUM(J$97:J138)</f>
        <v>0</v>
      </c>
      <c r="N138" s="124" t="n">
        <f aca="false">SUM(J$6:J138)</f>
        <v>-221916</v>
      </c>
      <c r="P138" s="124" t="n">
        <f aca="false">D138/P$3</f>
        <v>0</v>
      </c>
      <c r="Q138" s="124" t="n">
        <f aca="false">E138/P$3</f>
        <v>0</v>
      </c>
      <c r="R138" s="124" t="n">
        <f aca="false">F138/R$3</f>
        <v>0</v>
      </c>
      <c r="S138" s="126" t="n">
        <f aca="false">J138/$R$3</f>
        <v>0</v>
      </c>
      <c r="T138" s="126" t="n">
        <f aca="false">L138/$R$3</f>
        <v>0</v>
      </c>
      <c r="U138" s="126" t="n">
        <f aca="false">I138/$R$3</f>
        <v>0</v>
      </c>
      <c r="V138" s="126" t="n">
        <f aca="false">M138/$R$3</f>
        <v>0</v>
      </c>
      <c r="W138" s="126" t="n">
        <f aca="false">N138/$R$3</f>
        <v>-221.916</v>
      </c>
    </row>
    <row r="139" customFormat="false" ht="12.75" hidden="false" customHeight="false" outlineLevel="0" collapsed="false">
      <c r="A139" s="120" t="n">
        <f aca="false">A138+1</f>
        <v>37025</v>
      </c>
      <c r="B139" s="131" t="str">
        <f aca="false">INDEX('[4]Master Data'!$A$2:$B$8,MATCH(WEEKDAY('TBS Gas MTM'!A139,3),'[4]Master Data'!$A$2:$A$8,0),2)</f>
        <v>M</v>
      </c>
      <c r="D139" s="124" t="n">
        <v>0</v>
      </c>
      <c r="E139" s="124" t="n">
        <v>0</v>
      </c>
      <c r="F139" s="124" t="n">
        <v>0</v>
      </c>
      <c r="G139" s="124" t="n">
        <v>0</v>
      </c>
      <c r="I139" s="124" t="n">
        <f aca="false">IF(MONTH($A139)=MONTH($A138),IF(G139=0,I138,G139),G139)</f>
        <v>0</v>
      </c>
      <c r="J139" s="124" t="n">
        <f aca="false">IF(MONTH($A139)=MONTH($A138),SUM(I139-I138),I139)</f>
        <v>0</v>
      </c>
      <c r="K139" s="124" t="n">
        <f aca="false">IF(WEEKDAY(A139,3)&gt;4,0,(IF(A139&lt;K$2,0,IF(A139&lt;=K$3,1,0))))</f>
        <v>0</v>
      </c>
      <c r="L139" s="124" t="n">
        <f aca="false">J139*K139</f>
        <v>0</v>
      </c>
      <c r="M139" s="124" t="n">
        <f aca="false">SUM(J$97:J139)</f>
        <v>0</v>
      </c>
      <c r="N139" s="124" t="n">
        <f aca="false">SUM(J$6:J139)</f>
        <v>-221916</v>
      </c>
      <c r="P139" s="124" t="n">
        <f aca="false">D139/P$3</f>
        <v>0</v>
      </c>
      <c r="Q139" s="124" t="n">
        <f aca="false">E139/P$3</f>
        <v>0</v>
      </c>
      <c r="R139" s="124" t="n">
        <f aca="false">F139/R$3</f>
        <v>0</v>
      </c>
      <c r="S139" s="126" t="n">
        <f aca="false">J139/$R$3</f>
        <v>0</v>
      </c>
      <c r="T139" s="126" t="n">
        <f aca="false">L139/$R$3</f>
        <v>0</v>
      </c>
      <c r="U139" s="126" t="n">
        <f aca="false">I139/$R$3</f>
        <v>0</v>
      </c>
      <c r="V139" s="126" t="n">
        <f aca="false">M139/$R$3</f>
        <v>0</v>
      </c>
      <c r="W139" s="126" t="n">
        <f aca="false">N139/$R$3</f>
        <v>-221.916</v>
      </c>
    </row>
    <row r="140" customFormat="false" ht="12.75" hidden="false" customHeight="false" outlineLevel="0" collapsed="false">
      <c r="A140" s="120" t="n">
        <f aca="false">A139+1</f>
        <v>37026</v>
      </c>
      <c r="B140" s="131" t="str">
        <f aca="false">INDEX('[4]Master Data'!$A$2:$B$8,MATCH(WEEKDAY('TBS Gas MTM'!A140,3),'[4]Master Data'!$A$2:$A$8,0),2)</f>
        <v>T</v>
      </c>
      <c r="D140" s="124" t="n">
        <v>0</v>
      </c>
      <c r="E140" s="124" t="n">
        <v>0</v>
      </c>
      <c r="F140" s="124" t="n">
        <v>0</v>
      </c>
      <c r="G140" s="124" t="n">
        <v>0</v>
      </c>
      <c r="I140" s="124" t="n">
        <f aca="false">IF(MONTH($A140)=MONTH($A139),IF(G140=0,I139,G140),G140)</f>
        <v>0</v>
      </c>
      <c r="J140" s="124" t="n">
        <f aca="false">IF(MONTH($A140)=MONTH($A139),SUM(I140-I139),I140)</f>
        <v>0</v>
      </c>
      <c r="K140" s="124" t="n">
        <f aca="false">IF(WEEKDAY(A140,3)&gt;4,0,(IF(A140&lt;K$2,0,IF(A140&lt;=K$3,1,0))))</f>
        <v>0</v>
      </c>
      <c r="L140" s="124" t="n">
        <f aca="false">J140*K140</f>
        <v>0</v>
      </c>
      <c r="M140" s="124" t="n">
        <f aca="false">SUM(J$97:J140)</f>
        <v>0</v>
      </c>
      <c r="N140" s="124" t="n">
        <f aca="false">SUM(J$6:J140)</f>
        <v>-221916</v>
      </c>
      <c r="P140" s="124" t="n">
        <f aca="false">D140/P$3</f>
        <v>0</v>
      </c>
      <c r="Q140" s="124" t="n">
        <f aca="false">E140/P$3</f>
        <v>0</v>
      </c>
      <c r="R140" s="124" t="n">
        <f aca="false">F140/R$3</f>
        <v>0</v>
      </c>
      <c r="S140" s="126" t="n">
        <f aca="false">J140/$R$3</f>
        <v>0</v>
      </c>
      <c r="T140" s="126" t="n">
        <f aca="false">L140/$R$3</f>
        <v>0</v>
      </c>
      <c r="U140" s="126" t="n">
        <f aca="false">I140/$R$3</f>
        <v>0</v>
      </c>
      <c r="V140" s="126" t="n">
        <f aca="false">M140/$R$3</f>
        <v>0</v>
      </c>
      <c r="W140" s="126" t="n">
        <f aca="false">N140/$R$3</f>
        <v>-221.916</v>
      </c>
    </row>
    <row r="141" customFormat="false" ht="12.75" hidden="false" customHeight="false" outlineLevel="0" collapsed="false">
      <c r="A141" s="120" t="n">
        <f aca="false">A140+1</f>
        <v>37027</v>
      </c>
      <c r="B141" s="131" t="str">
        <f aca="false">INDEX('[4]Master Data'!$A$2:$B$8,MATCH(WEEKDAY('TBS Gas MTM'!A141,3),'[4]Master Data'!$A$2:$A$8,0),2)</f>
        <v>W</v>
      </c>
      <c r="D141" s="124" t="n">
        <v>0</v>
      </c>
      <c r="E141" s="124" t="n">
        <v>0</v>
      </c>
      <c r="F141" s="124" t="n">
        <v>0</v>
      </c>
      <c r="G141" s="124" t="n">
        <v>0</v>
      </c>
      <c r="I141" s="124" t="n">
        <f aca="false">IF(MONTH($A141)=MONTH($A140),IF(G141=0,I140,G141),G141)</f>
        <v>0</v>
      </c>
      <c r="J141" s="124" t="n">
        <f aca="false">IF(MONTH($A141)=MONTH($A140),SUM(I141-I140),I141)</f>
        <v>0</v>
      </c>
      <c r="K141" s="124" t="n">
        <f aca="false">IF(WEEKDAY(A141,3)&gt;4,0,(IF(A141&lt;K$2,0,IF(A141&lt;=K$3,1,0))))</f>
        <v>0</v>
      </c>
      <c r="L141" s="124" t="n">
        <f aca="false">J141*K141</f>
        <v>0</v>
      </c>
      <c r="M141" s="124" t="n">
        <f aca="false">SUM(J$97:J141)</f>
        <v>0</v>
      </c>
      <c r="N141" s="124" t="n">
        <f aca="false">SUM(J$6:J141)</f>
        <v>-221916</v>
      </c>
      <c r="P141" s="124" t="n">
        <f aca="false">D141/P$3</f>
        <v>0</v>
      </c>
      <c r="Q141" s="124" t="n">
        <f aca="false">E141/P$3</f>
        <v>0</v>
      </c>
      <c r="R141" s="124" t="n">
        <f aca="false">F141/R$3</f>
        <v>0</v>
      </c>
      <c r="S141" s="126" t="n">
        <f aca="false">J141/$R$3</f>
        <v>0</v>
      </c>
      <c r="T141" s="126" t="n">
        <f aca="false">L141/$R$3</f>
        <v>0</v>
      </c>
      <c r="U141" s="126" t="n">
        <f aca="false">I141/$R$3</f>
        <v>0</v>
      </c>
      <c r="V141" s="126" t="n">
        <f aca="false">M141/$R$3</f>
        <v>0</v>
      </c>
      <c r="W141" s="126" t="n">
        <f aca="false">N141/$R$3</f>
        <v>-221.916</v>
      </c>
    </row>
    <row r="142" customFormat="false" ht="12.75" hidden="false" customHeight="false" outlineLevel="0" collapsed="false">
      <c r="A142" s="120" t="n">
        <f aca="false">A141+1</f>
        <v>37028</v>
      </c>
      <c r="B142" s="131" t="str">
        <f aca="false">INDEX('[4]Master Data'!$A$2:$B$8,MATCH(WEEKDAY('TBS Gas MTM'!A142,3),'[4]Master Data'!$A$2:$A$8,0),2)</f>
        <v>Th</v>
      </c>
      <c r="D142" s="124" t="n">
        <v>0</v>
      </c>
      <c r="E142" s="124" t="n">
        <v>0</v>
      </c>
      <c r="F142" s="124" t="n">
        <v>0</v>
      </c>
      <c r="G142" s="124" t="n">
        <v>0</v>
      </c>
      <c r="I142" s="124" t="n">
        <f aca="false">IF(MONTH($A142)=MONTH($A141),IF(G142=0,I141,G142),G142)</f>
        <v>0</v>
      </c>
      <c r="J142" s="124" t="n">
        <f aca="false">IF(MONTH($A142)=MONTH($A141),SUM(I142-I141),I142)</f>
        <v>0</v>
      </c>
      <c r="K142" s="124" t="n">
        <f aca="false">IF(WEEKDAY(A142,3)&gt;4,0,(IF(A142&lt;K$2,0,IF(A142&lt;=K$3,1,0))))</f>
        <v>0</v>
      </c>
      <c r="L142" s="124" t="n">
        <f aca="false">J142*K142</f>
        <v>0</v>
      </c>
      <c r="M142" s="124" t="n">
        <f aca="false">SUM(J$97:J142)</f>
        <v>0</v>
      </c>
      <c r="N142" s="124" t="n">
        <f aca="false">SUM(J$6:J142)</f>
        <v>-221916</v>
      </c>
      <c r="P142" s="124" t="n">
        <f aca="false">D142/P$3</f>
        <v>0</v>
      </c>
      <c r="Q142" s="124" t="n">
        <f aca="false">E142/P$3</f>
        <v>0</v>
      </c>
      <c r="R142" s="124" t="n">
        <f aca="false">F142/R$3</f>
        <v>0</v>
      </c>
      <c r="S142" s="126" t="n">
        <f aca="false">J142/$R$3</f>
        <v>0</v>
      </c>
      <c r="T142" s="126" t="n">
        <f aca="false">L142/$R$3</f>
        <v>0</v>
      </c>
      <c r="U142" s="126" t="n">
        <f aca="false">I142/$R$3</f>
        <v>0</v>
      </c>
      <c r="V142" s="126" t="n">
        <f aca="false">M142/$R$3</f>
        <v>0</v>
      </c>
      <c r="W142" s="126" t="n">
        <f aca="false">N142/$R$3</f>
        <v>-221.916</v>
      </c>
    </row>
    <row r="143" customFormat="false" ht="12.75" hidden="false" customHeight="false" outlineLevel="0" collapsed="false">
      <c r="A143" s="120" t="n">
        <f aca="false">A142+1</f>
        <v>37029</v>
      </c>
      <c r="B143" s="131" t="str">
        <f aca="false">INDEX('[4]Master Data'!$A$2:$B$8,MATCH(WEEKDAY('TBS Gas MTM'!A143,3),'[4]Master Data'!$A$2:$A$8,0),2)</f>
        <v>F</v>
      </c>
      <c r="D143" s="124" t="n">
        <v>0</v>
      </c>
      <c r="E143" s="124" t="n">
        <v>0</v>
      </c>
      <c r="F143" s="124" t="n">
        <v>0</v>
      </c>
      <c r="G143" s="124" t="n">
        <v>0</v>
      </c>
      <c r="I143" s="124" t="n">
        <f aca="false">IF(MONTH($A143)=MONTH($A142),IF(G143=0,I142,G143),G143)</f>
        <v>0</v>
      </c>
      <c r="J143" s="124" t="n">
        <f aca="false">IF(MONTH($A143)=MONTH($A142),SUM(I143-I142),I143)</f>
        <v>0</v>
      </c>
      <c r="K143" s="124" t="n">
        <f aca="false">IF(WEEKDAY(A143,3)&gt;4,0,(IF(A143&lt;K$2,0,IF(A143&lt;=K$3,1,0))))</f>
        <v>0</v>
      </c>
      <c r="L143" s="124" t="n">
        <f aca="false">J143*K143</f>
        <v>0</v>
      </c>
      <c r="M143" s="124" t="n">
        <f aca="false">SUM(J$97:J143)</f>
        <v>0</v>
      </c>
      <c r="N143" s="124" t="n">
        <f aca="false">SUM(J$6:J143)</f>
        <v>-221916</v>
      </c>
      <c r="P143" s="124" t="n">
        <f aca="false">D143/P$3</f>
        <v>0</v>
      </c>
      <c r="Q143" s="124" t="n">
        <f aca="false">E143/P$3</f>
        <v>0</v>
      </c>
      <c r="R143" s="124" t="n">
        <f aca="false">F143/R$3</f>
        <v>0</v>
      </c>
      <c r="S143" s="126" t="n">
        <f aca="false">J143/$R$3</f>
        <v>0</v>
      </c>
      <c r="T143" s="126" t="n">
        <f aca="false">L143/$R$3</f>
        <v>0</v>
      </c>
      <c r="U143" s="126" t="n">
        <f aca="false">I143/$R$3</f>
        <v>0</v>
      </c>
      <c r="V143" s="126" t="n">
        <f aca="false">M143/$R$3</f>
        <v>0</v>
      </c>
      <c r="W143" s="126" t="n">
        <f aca="false">N143/$R$3</f>
        <v>-221.916</v>
      </c>
    </row>
    <row r="144" customFormat="false" ht="12.75" hidden="false" customHeight="false" outlineLevel="0" collapsed="false">
      <c r="A144" s="120" t="n">
        <f aca="false">A143+1</f>
        <v>37030</v>
      </c>
      <c r="B144" s="131" t="str">
        <f aca="false">INDEX('[4]Master Data'!$A$2:$B$8,MATCH(WEEKDAY('TBS Gas MTM'!A144,3),'[4]Master Data'!$A$2:$A$8,0),2)</f>
        <v>Sa</v>
      </c>
      <c r="D144" s="124" t="n">
        <v>0</v>
      </c>
      <c r="E144" s="124" t="n">
        <v>0</v>
      </c>
      <c r="F144" s="124" t="n">
        <v>0</v>
      </c>
      <c r="G144" s="124" t="n">
        <v>0</v>
      </c>
      <c r="I144" s="124" t="n">
        <f aca="false">IF(MONTH($A144)=MONTH($A143),IF(G144=0,I143,G144),G144)</f>
        <v>0</v>
      </c>
      <c r="J144" s="124" t="n">
        <f aca="false">IF(MONTH($A144)=MONTH($A143),SUM(I144-I143),I144)</f>
        <v>0</v>
      </c>
      <c r="K144" s="124" t="n">
        <f aca="false">IF(WEEKDAY(A144,3)&gt;4,0,(IF(A144&lt;K$2,0,IF(A144&lt;=K$3,1,0))))</f>
        <v>0</v>
      </c>
      <c r="L144" s="124" t="n">
        <f aca="false">J144*K144</f>
        <v>0</v>
      </c>
      <c r="M144" s="124" t="n">
        <f aca="false">SUM(J$97:J144)</f>
        <v>0</v>
      </c>
      <c r="N144" s="124" t="n">
        <f aca="false">SUM(J$6:J144)</f>
        <v>-221916</v>
      </c>
      <c r="P144" s="124" t="n">
        <f aca="false">D144/P$3</f>
        <v>0</v>
      </c>
      <c r="Q144" s="124" t="n">
        <f aca="false">E144/P$3</f>
        <v>0</v>
      </c>
      <c r="R144" s="124" t="n">
        <f aca="false">F144/R$3</f>
        <v>0</v>
      </c>
      <c r="S144" s="126" t="n">
        <f aca="false">J144/$R$3</f>
        <v>0</v>
      </c>
      <c r="T144" s="126" t="n">
        <f aca="false">L144/$R$3</f>
        <v>0</v>
      </c>
      <c r="U144" s="126" t="n">
        <f aca="false">I144/$R$3</f>
        <v>0</v>
      </c>
      <c r="V144" s="126" t="n">
        <f aca="false">M144/$R$3</f>
        <v>0</v>
      </c>
      <c r="W144" s="126" t="n">
        <f aca="false">N144/$R$3</f>
        <v>-221.916</v>
      </c>
    </row>
    <row r="145" customFormat="false" ht="12.75" hidden="false" customHeight="false" outlineLevel="0" collapsed="false">
      <c r="A145" s="120" t="n">
        <f aca="false">A144+1</f>
        <v>37031</v>
      </c>
      <c r="B145" s="131" t="str">
        <f aca="false">INDEX('[4]Master Data'!$A$2:$B$8,MATCH(WEEKDAY('TBS Gas MTM'!A145,3),'[4]Master Data'!$A$2:$A$8,0),2)</f>
        <v>Su</v>
      </c>
      <c r="D145" s="124" t="n">
        <v>0</v>
      </c>
      <c r="E145" s="124" t="n">
        <v>0</v>
      </c>
      <c r="F145" s="124" t="n">
        <v>0</v>
      </c>
      <c r="G145" s="124" t="n">
        <v>0</v>
      </c>
      <c r="I145" s="124" t="n">
        <f aca="false">IF(MONTH($A145)=MONTH($A144),IF(G145=0,I144,G145),G145)</f>
        <v>0</v>
      </c>
      <c r="J145" s="124" t="n">
        <f aca="false">IF(MONTH($A145)=MONTH($A144),SUM(I145-I144),I145)</f>
        <v>0</v>
      </c>
      <c r="K145" s="124" t="n">
        <f aca="false">IF(WEEKDAY(A145,3)&gt;4,0,(IF(A145&lt;K$2,0,IF(A145&lt;=K$3,1,0))))</f>
        <v>0</v>
      </c>
      <c r="L145" s="124" t="n">
        <f aca="false">J145*K145</f>
        <v>0</v>
      </c>
      <c r="M145" s="124" t="n">
        <f aca="false">SUM(J$97:J145)</f>
        <v>0</v>
      </c>
      <c r="N145" s="124" t="n">
        <f aca="false">SUM(J$6:J145)</f>
        <v>-221916</v>
      </c>
      <c r="P145" s="124" t="n">
        <f aca="false">D145/P$3</f>
        <v>0</v>
      </c>
      <c r="Q145" s="124" t="n">
        <f aca="false">E145/P$3</f>
        <v>0</v>
      </c>
      <c r="R145" s="124" t="n">
        <f aca="false">F145/R$3</f>
        <v>0</v>
      </c>
      <c r="S145" s="126" t="n">
        <f aca="false">J145/$R$3</f>
        <v>0</v>
      </c>
      <c r="T145" s="126" t="n">
        <f aca="false">L145/$R$3</f>
        <v>0</v>
      </c>
      <c r="U145" s="126" t="n">
        <f aca="false">I145/$R$3</f>
        <v>0</v>
      </c>
      <c r="V145" s="126" t="n">
        <f aca="false">M145/$R$3</f>
        <v>0</v>
      </c>
      <c r="W145" s="126" t="n">
        <f aca="false">N145/$R$3</f>
        <v>-221.916</v>
      </c>
    </row>
    <row r="146" customFormat="false" ht="12.75" hidden="false" customHeight="false" outlineLevel="0" collapsed="false">
      <c r="A146" s="120" t="n">
        <f aca="false">A145+1</f>
        <v>37032</v>
      </c>
      <c r="B146" s="131" t="str">
        <f aca="false">INDEX('[4]Master Data'!$A$2:$B$8,MATCH(WEEKDAY('TBS Gas MTM'!A146,3),'[4]Master Data'!$A$2:$A$8,0),2)</f>
        <v>M</v>
      </c>
      <c r="D146" s="124" t="n">
        <v>0</v>
      </c>
      <c r="E146" s="124" t="n">
        <v>0</v>
      </c>
      <c r="F146" s="124" t="n">
        <v>0</v>
      </c>
      <c r="G146" s="124" t="n">
        <v>0</v>
      </c>
      <c r="I146" s="124" t="n">
        <f aca="false">IF(MONTH($A146)=MONTH($A145),IF(G146=0,I145,G146),G146)</f>
        <v>0</v>
      </c>
      <c r="J146" s="124" t="n">
        <f aca="false">IF(MONTH($A146)=MONTH($A145),SUM(I146-I145),I146)</f>
        <v>0</v>
      </c>
      <c r="K146" s="124" t="n">
        <f aca="false">IF(WEEKDAY(A146,3)&gt;4,0,(IF(A146&lt;K$2,0,IF(A146&lt;=K$3,1,0))))</f>
        <v>0</v>
      </c>
      <c r="L146" s="124" t="n">
        <f aca="false">J146*K146</f>
        <v>0</v>
      </c>
      <c r="M146" s="124" t="n">
        <f aca="false">SUM(J$97:J146)</f>
        <v>0</v>
      </c>
      <c r="N146" s="124" t="n">
        <f aca="false">SUM(J$6:J146)</f>
        <v>-221916</v>
      </c>
      <c r="P146" s="124" t="n">
        <f aca="false">D146/P$3</f>
        <v>0</v>
      </c>
      <c r="Q146" s="124" t="n">
        <f aca="false">E146/P$3</f>
        <v>0</v>
      </c>
      <c r="R146" s="124" t="n">
        <f aca="false">F146/R$3</f>
        <v>0</v>
      </c>
      <c r="S146" s="126" t="n">
        <f aca="false">J146/$R$3</f>
        <v>0</v>
      </c>
      <c r="T146" s="126" t="n">
        <f aca="false">L146/$R$3</f>
        <v>0</v>
      </c>
      <c r="U146" s="126" t="n">
        <f aca="false">I146/$R$3</f>
        <v>0</v>
      </c>
      <c r="V146" s="126" t="n">
        <f aca="false">M146/$R$3</f>
        <v>0</v>
      </c>
      <c r="W146" s="126" t="n">
        <f aca="false">N146/$R$3</f>
        <v>-221.916</v>
      </c>
    </row>
    <row r="147" customFormat="false" ht="12.75" hidden="false" customHeight="false" outlineLevel="0" collapsed="false">
      <c r="A147" s="120" t="n">
        <f aca="false">A146+1</f>
        <v>37033</v>
      </c>
      <c r="B147" s="131" t="str">
        <f aca="false">INDEX('[4]Master Data'!$A$2:$B$8,MATCH(WEEKDAY('TBS Gas MTM'!A147,3),'[4]Master Data'!$A$2:$A$8,0),2)</f>
        <v>T</v>
      </c>
      <c r="D147" s="124" t="n">
        <v>0</v>
      </c>
      <c r="E147" s="124" t="n">
        <v>0</v>
      </c>
      <c r="F147" s="124" t="n">
        <v>0</v>
      </c>
      <c r="G147" s="124" t="n">
        <v>0</v>
      </c>
      <c r="I147" s="124" t="n">
        <f aca="false">IF(MONTH($A147)=MONTH($A146),IF(G147=0,I146,G147),G147)</f>
        <v>0</v>
      </c>
      <c r="J147" s="124" t="n">
        <f aca="false">IF(MONTH($A147)=MONTH($A146),SUM(I147-I146),I147)</f>
        <v>0</v>
      </c>
      <c r="K147" s="124" t="n">
        <f aca="false">IF(WEEKDAY(A147,3)&gt;4,0,(IF(A147&lt;K$2,0,IF(A147&lt;=K$3,1,0))))</f>
        <v>0</v>
      </c>
      <c r="L147" s="124" t="n">
        <f aca="false">J147*K147</f>
        <v>0</v>
      </c>
      <c r="M147" s="124" t="n">
        <f aca="false">SUM(J$97:J147)</f>
        <v>0</v>
      </c>
      <c r="N147" s="124" t="n">
        <f aca="false">SUM(J$6:J147)</f>
        <v>-221916</v>
      </c>
      <c r="P147" s="124" t="n">
        <f aca="false">D147/P$3</f>
        <v>0</v>
      </c>
      <c r="Q147" s="124" t="n">
        <f aca="false">E147/P$3</f>
        <v>0</v>
      </c>
      <c r="R147" s="124" t="n">
        <f aca="false">F147/R$3</f>
        <v>0</v>
      </c>
      <c r="S147" s="126" t="n">
        <f aca="false">J147/$R$3</f>
        <v>0</v>
      </c>
      <c r="T147" s="126" t="n">
        <f aca="false">L147/$R$3</f>
        <v>0</v>
      </c>
      <c r="U147" s="126" t="n">
        <f aca="false">I147/$R$3</f>
        <v>0</v>
      </c>
      <c r="V147" s="126" t="n">
        <f aca="false">M147/$R$3</f>
        <v>0</v>
      </c>
      <c r="W147" s="126" t="n">
        <f aca="false">N147/$R$3</f>
        <v>-221.916</v>
      </c>
    </row>
    <row r="148" customFormat="false" ht="12.75" hidden="false" customHeight="false" outlineLevel="0" collapsed="false">
      <c r="A148" s="120" t="n">
        <f aca="false">A147+1</f>
        <v>37034</v>
      </c>
      <c r="B148" s="131" t="str">
        <f aca="false">INDEX('[4]Master Data'!$A$2:$B$8,MATCH(WEEKDAY('TBS Gas MTM'!A148,3),'[4]Master Data'!$A$2:$A$8,0),2)</f>
        <v>W</v>
      </c>
      <c r="D148" s="124" t="n">
        <v>0</v>
      </c>
      <c r="E148" s="124" t="n">
        <v>0</v>
      </c>
      <c r="F148" s="124" t="n">
        <v>0</v>
      </c>
      <c r="G148" s="124" t="n">
        <v>0</v>
      </c>
      <c r="I148" s="124" t="n">
        <f aca="false">IF(MONTH($A148)=MONTH($A147),IF(G148=0,I147,G148),G148)</f>
        <v>0</v>
      </c>
      <c r="J148" s="124" t="n">
        <f aca="false">IF(MONTH($A148)=MONTH($A147),SUM(I148-I147),I148)</f>
        <v>0</v>
      </c>
      <c r="K148" s="124" t="n">
        <f aca="false">IF(WEEKDAY(A148,3)&gt;4,0,(IF(A148&lt;K$2,0,IF(A148&lt;=K$3,1,0))))</f>
        <v>0</v>
      </c>
      <c r="L148" s="124" t="n">
        <f aca="false">J148*K148</f>
        <v>0</v>
      </c>
      <c r="M148" s="124" t="n">
        <f aca="false">SUM(J$97:J148)</f>
        <v>0</v>
      </c>
      <c r="N148" s="124" t="n">
        <f aca="false">SUM(J$6:J148)</f>
        <v>-221916</v>
      </c>
      <c r="P148" s="124" t="n">
        <f aca="false">D148/P$3</f>
        <v>0</v>
      </c>
      <c r="Q148" s="124" t="n">
        <f aca="false">E148/P$3</f>
        <v>0</v>
      </c>
      <c r="R148" s="124" t="n">
        <f aca="false">F148/R$3</f>
        <v>0</v>
      </c>
      <c r="S148" s="126" t="n">
        <f aca="false">J148/$R$3</f>
        <v>0</v>
      </c>
      <c r="T148" s="126" t="n">
        <f aca="false">L148/$R$3</f>
        <v>0</v>
      </c>
      <c r="U148" s="126" t="n">
        <f aca="false">I148/$R$3</f>
        <v>0</v>
      </c>
      <c r="V148" s="126" t="n">
        <f aca="false">M148/$R$3</f>
        <v>0</v>
      </c>
      <c r="W148" s="126" t="n">
        <f aca="false">N148/$R$3</f>
        <v>-221.916</v>
      </c>
    </row>
    <row r="149" customFormat="false" ht="12.75" hidden="false" customHeight="false" outlineLevel="0" collapsed="false">
      <c r="A149" s="120" t="n">
        <f aca="false">A148+1</f>
        <v>37035</v>
      </c>
      <c r="B149" s="131" t="str">
        <f aca="false">INDEX('[4]Master Data'!$A$2:$B$8,MATCH(WEEKDAY('TBS Gas MTM'!A149,3),'[4]Master Data'!$A$2:$A$8,0),2)</f>
        <v>Th</v>
      </c>
      <c r="D149" s="124" t="n">
        <v>0</v>
      </c>
      <c r="E149" s="124" t="n">
        <v>0</v>
      </c>
      <c r="F149" s="124" t="n">
        <v>0</v>
      </c>
      <c r="G149" s="124" t="n">
        <v>0</v>
      </c>
      <c r="I149" s="124" t="n">
        <f aca="false">IF(MONTH($A149)=MONTH($A148),IF(G149=0,I148,G149),G149)</f>
        <v>0</v>
      </c>
      <c r="J149" s="124" t="n">
        <f aca="false">IF(MONTH($A149)=MONTH($A148),SUM(I149-I148),I149)</f>
        <v>0</v>
      </c>
      <c r="K149" s="124" t="n">
        <f aca="false">IF(WEEKDAY(A149,3)&gt;4,0,(IF(A149&lt;K$2,0,IF(A149&lt;=K$3,1,0))))</f>
        <v>0</v>
      </c>
      <c r="L149" s="124" t="n">
        <f aca="false">J149*K149</f>
        <v>0</v>
      </c>
      <c r="M149" s="124" t="n">
        <f aca="false">SUM(J$97:J149)</f>
        <v>0</v>
      </c>
      <c r="N149" s="124" t="n">
        <f aca="false">SUM(J$6:J149)</f>
        <v>-221916</v>
      </c>
      <c r="P149" s="124" t="n">
        <f aca="false">D149/P$3</f>
        <v>0</v>
      </c>
      <c r="Q149" s="124" t="n">
        <f aca="false">E149/P$3</f>
        <v>0</v>
      </c>
      <c r="R149" s="124" t="n">
        <f aca="false">F149/R$3</f>
        <v>0</v>
      </c>
      <c r="S149" s="126" t="n">
        <f aca="false">J149/$R$3</f>
        <v>0</v>
      </c>
      <c r="T149" s="126" t="n">
        <f aca="false">L149/$R$3</f>
        <v>0</v>
      </c>
      <c r="U149" s="126" t="n">
        <f aca="false">I149/$R$3</f>
        <v>0</v>
      </c>
      <c r="V149" s="126" t="n">
        <f aca="false">M149/$R$3</f>
        <v>0</v>
      </c>
      <c r="W149" s="126" t="n">
        <f aca="false">N149/$R$3</f>
        <v>-221.916</v>
      </c>
    </row>
    <row r="150" customFormat="false" ht="12.75" hidden="false" customHeight="false" outlineLevel="0" collapsed="false">
      <c r="A150" s="120" t="n">
        <f aca="false">A149+1</f>
        <v>37036</v>
      </c>
      <c r="B150" s="131" t="str">
        <f aca="false">INDEX('[4]Master Data'!$A$2:$B$8,MATCH(WEEKDAY('TBS Gas MTM'!A150,3),'[4]Master Data'!$A$2:$A$8,0),2)</f>
        <v>F</v>
      </c>
      <c r="D150" s="124" t="n">
        <v>0</v>
      </c>
      <c r="E150" s="124" t="n">
        <v>0</v>
      </c>
      <c r="F150" s="124" t="n">
        <v>0</v>
      </c>
      <c r="G150" s="124" t="n">
        <v>0</v>
      </c>
      <c r="I150" s="124" t="n">
        <f aca="false">IF(MONTH($A150)=MONTH($A149),IF(G150=0,I149,G150),G150)</f>
        <v>0</v>
      </c>
      <c r="J150" s="124" t="n">
        <f aca="false">IF(MONTH($A150)=MONTH($A149),SUM(I150-I149),I150)</f>
        <v>0</v>
      </c>
      <c r="K150" s="124" t="n">
        <f aca="false">IF(WEEKDAY(A150,3)&gt;4,0,(IF(A150&lt;K$2,0,IF(A150&lt;=K$3,1,0))))</f>
        <v>0</v>
      </c>
      <c r="L150" s="124" t="n">
        <f aca="false">J150*K150</f>
        <v>0</v>
      </c>
      <c r="M150" s="124" t="n">
        <f aca="false">SUM(J$97:J150)</f>
        <v>0</v>
      </c>
      <c r="N150" s="124" t="n">
        <f aca="false">SUM(J$6:J150)</f>
        <v>-221916</v>
      </c>
      <c r="P150" s="124" t="n">
        <f aca="false">D150/P$3</f>
        <v>0</v>
      </c>
      <c r="Q150" s="124" t="n">
        <f aca="false">E150/P$3</f>
        <v>0</v>
      </c>
      <c r="R150" s="124" t="n">
        <f aca="false">F150/R$3</f>
        <v>0</v>
      </c>
      <c r="S150" s="126" t="n">
        <f aca="false">J150/$R$3</f>
        <v>0</v>
      </c>
      <c r="T150" s="126" t="n">
        <f aca="false">L150/$R$3</f>
        <v>0</v>
      </c>
      <c r="U150" s="126" t="n">
        <f aca="false">I150/$R$3</f>
        <v>0</v>
      </c>
      <c r="V150" s="126" t="n">
        <f aca="false">M150/$R$3</f>
        <v>0</v>
      </c>
      <c r="W150" s="126" t="n">
        <f aca="false">N150/$R$3</f>
        <v>-221.916</v>
      </c>
    </row>
    <row r="151" customFormat="false" ht="12.75" hidden="false" customHeight="false" outlineLevel="0" collapsed="false">
      <c r="A151" s="120" t="n">
        <f aca="false">A150+1</f>
        <v>37037</v>
      </c>
      <c r="B151" s="131" t="str">
        <f aca="false">INDEX('[4]Master Data'!$A$2:$B$8,MATCH(WEEKDAY('TBS Gas MTM'!A151,3),'[4]Master Data'!$A$2:$A$8,0),2)</f>
        <v>Sa</v>
      </c>
      <c r="D151" s="124" t="n">
        <v>0</v>
      </c>
      <c r="E151" s="124" t="n">
        <v>0</v>
      </c>
      <c r="F151" s="124" t="n">
        <v>0</v>
      </c>
      <c r="G151" s="124" t="n">
        <v>0</v>
      </c>
      <c r="I151" s="124" t="n">
        <f aca="false">IF(MONTH($A151)=MONTH($A150),IF(G151=0,I150,G151),G151)</f>
        <v>0</v>
      </c>
      <c r="J151" s="124" t="n">
        <f aca="false">IF(MONTH($A151)=MONTH($A150),SUM(I151-I150),I151)</f>
        <v>0</v>
      </c>
      <c r="K151" s="124" t="n">
        <f aca="false">IF(WEEKDAY(A151,3)&gt;4,0,(IF(A151&lt;K$2,0,IF(A151&lt;=K$3,1,0))))</f>
        <v>0</v>
      </c>
      <c r="L151" s="124" t="n">
        <f aca="false">J151*K151</f>
        <v>0</v>
      </c>
      <c r="M151" s="124" t="n">
        <f aca="false">SUM(J$97:J151)</f>
        <v>0</v>
      </c>
      <c r="N151" s="124" t="n">
        <f aca="false">SUM(J$6:J151)</f>
        <v>-221916</v>
      </c>
      <c r="P151" s="124" t="n">
        <f aca="false">D151/P$3</f>
        <v>0</v>
      </c>
      <c r="Q151" s="124" t="n">
        <f aca="false">E151/P$3</f>
        <v>0</v>
      </c>
      <c r="R151" s="124" t="n">
        <f aca="false">F151/R$3</f>
        <v>0</v>
      </c>
      <c r="S151" s="126" t="n">
        <f aca="false">J151/$R$3</f>
        <v>0</v>
      </c>
      <c r="T151" s="126" t="n">
        <f aca="false">L151/$R$3</f>
        <v>0</v>
      </c>
      <c r="U151" s="126" t="n">
        <f aca="false">I151/$R$3</f>
        <v>0</v>
      </c>
      <c r="V151" s="126" t="n">
        <f aca="false">M151/$R$3</f>
        <v>0</v>
      </c>
      <c r="W151" s="126" t="n">
        <f aca="false">N151/$R$3</f>
        <v>-221.916</v>
      </c>
    </row>
    <row r="152" customFormat="false" ht="12.75" hidden="false" customHeight="false" outlineLevel="0" collapsed="false">
      <c r="A152" s="120" t="n">
        <f aca="false">A151+1</f>
        <v>37038</v>
      </c>
      <c r="B152" s="131" t="str">
        <f aca="false">INDEX('[4]Master Data'!$A$2:$B$8,MATCH(WEEKDAY('TBS Gas MTM'!A152,3),'[4]Master Data'!$A$2:$A$8,0),2)</f>
        <v>Su</v>
      </c>
      <c r="D152" s="124" t="n">
        <v>0</v>
      </c>
      <c r="E152" s="124" t="n">
        <v>0</v>
      </c>
      <c r="F152" s="124" t="n">
        <v>0</v>
      </c>
      <c r="G152" s="124" t="n">
        <v>0</v>
      </c>
      <c r="I152" s="124" t="n">
        <f aca="false">IF(MONTH($A152)=MONTH($A151),IF(G152=0,I151,G152),G152)</f>
        <v>0</v>
      </c>
      <c r="J152" s="124" t="n">
        <f aca="false">IF(MONTH($A152)=MONTH($A151),SUM(I152-I151),I152)</f>
        <v>0</v>
      </c>
      <c r="K152" s="124" t="n">
        <f aca="false">IF(WEEKDAY(A152,3)&gt;4,0,(IF(A152&lt;K$2,0,IF(A152&lt;=K$3,1,0))))</f>
        <v>0</v>
      </c>
      <c r="L152" s="124" t="n">
        <f aca="false">J152*K152</f>
        <v>0</v>
      </c>
      <c r="M152" s="124" t="n">
        <f aca="false">SUM(J$97:J152)</f>
        <v>0</v>
      </c>
      <c r="N152" s="124" t="n">
        <f aca="false">SUM(J$6:J152)</f>
        <v>-221916</v>
      </c>
      <c r="P152" s="124" t="n">
        <f aca="false">D152/P$3</f>
        <v>0</v>
      </c>
      <c r="Q152" s="124" t="n">
        <f aca="false">E152/P$3</f>
        <v>0</v>
      </c>
      <c r="R152" s="124" t="n">
        <f aca="false">F152/R$3</f>
        <v>0</v>
      </c>
      <c r="S152" s="126" t="n">
        <f aca="false">J152/$R$3</f>
        <v>0</v>
      </c>
      <c r="T152" s="126" t="n">
        <f aca="false">L152/$R$3</f>
        <v>0</v>
      </c>
      <c r="U152" s="126" t="n">
        <f aca="false">I152/$R$3</f>
        <v>0</v>
      </c>
      <c r="V152" s="126" t="n">
        <f aca="false">M152/$R$3</f>
        <v>0</v>
      </c>
      <c r="W152" s="126" t="n">
        <f aca="false">N152/$R$3</f>
        <v>-221.916</v>
      </c>
    </row>
    <row r="153" customFormat="false" ht="12.75" hidden="false" customHeight="false" outlineLevel="0" collapsed="false">
      <c r="A153" s="120" t="n">
        <f aca="false">A152+1</f>
        <v>37039</v>
      </c>
      <c r="B153" s="131" t="str">
        <f aca="false">INDEX('[4]Master Data'!$A$2:$B$8,MATCH(WEEKDAY('TBS Gas MTM'!A153,3),'[4]Master Data'!$A$2:$A$8,0),2)</f>
        <v>M</v>
      </c>
      <c r="D153" s="124" t="n">
        <v>0</v>
      </c>
      <c r="E153" s="124" t="n">
        <v>0</v>
      </c>
      <c r="F153" s="124" t="n">
        <v>0</v>
      </c>
      <c r="G153" s="124" t="n">
        <v>0</v>
      </c>
      <c r="I153" s="124" t="n">
        <f aca="false">IF(MONTH($A153)=MONTH($A152),IF(G153=0,I152,G153),G153)</f>
        <v>0</v>
      </c>
      <c r="J153" s="124" t="n">
        <f aca="false">IF(MONTH($A153)=MONTH($A152),SUM(I153-I152),I153)</f>
        <v>0</v>
      </c>
      <c r="K153" s="124" t="n">
        <f aca="false">IF(WEEKDAY(A153,3)&gt;4,0,(IF(A153&lt;K$2,0,IF(A153&lt;=K$3,1,0))))</f>
        <v>0</v>
      </c>
      <c r="L153" s="124" t="n">
        <f aca="false">J153*K153</f>
        <v>0</v>
      </c>
      <c r="M153" s="124" t="n">
        <f aca="false">SUM(J$97:J153)</f>
        <v>0</v>
      </c>
      <c r="N153" s="124" t="n">
        <f aca="false">SUM(J$6:J153)</f>
        <v>-221916</v>
      </c>
      <c r="P153" s="124" t="n">
        <f aca="false">D153/P$3</f>
        <v>0</v>
      </c>
      <c r="Q153" s="124" t="n">
        <f aca="false">E153/P$3</f>
        <v>0</v>
      </c>
      <c r="R153" s="124" t="n">
        <f aca="false">F153/R$3</f>
        <v>0</v>
      </c>
      <c r="S153" s="126" t="n">
        <f aca="false">J153/$R$3</f>
        <v>0</v>
      </c>
      <c r="T153" s="126" t="n">
        <f aca="false">L153/$R$3</f>
        <v>0</v>
      </c>
      <c r="U153" s="126" t="n">
        <f aca="false">I153/$R$3</f>
        <v>0</v>
      </c>
      <c r="V153" s="126" t="n">
        <f aca="false">M153/$R$3</f>
        <v>0</v>
      </c>
      <c r="W153" s="126" t="n">
        <f aca="false">N153/$R$3</f>
        <v>-221.916</v>
      </c>
    </row>
    <row r="154" customFormat="false" ht="12.75" hidden="false" customHeight="false" outlineLevel="0" collapsed="false">
      <c r="A154" s="120" t="n">
        <f aca="false">A153+1</f>
        <v>37040</v>
      </c>
      <c r="B154" s="131" t="str">
        <f aca="false">INDEX('[4]Master Data'!$A$2:$B$8,MATCH(WEEKDAY('TBS Gas MTM'!A154,3),'[4]Master Data'!$A$2:$A$8,0),2)</f>
        <v>T</v>
      </c>
      <c r="D154" s="124" t="n">
        <v>0</v>
      </c>
      <c r="E154" s="124" t="n">
        <v>0</v>
      </c>
      <c r="F154" s="124" t="n">
        <v>0</v>
      </c>
      <c r="G154" s="124" t="n">
        <v>0</v>
      </c>
      <c r="I154" s="124" t="n">
        <f aca="false">IF(MONTH($A154)=MONTH($A153),IF(G154=0,I153,G154),G154)</f>
        <v>0</v>
      </c>
      <c r="J154" s="124" t="n">
        <f aca="false">IF(MONTH($A154)=MONTH($A153),SUM(I154-I153),I154)</f>
        <v>0</v>
      </c>
      <c r="K154" s="124" t="n">
        <f aca="false">IF(WEEKDAY(A154,3)&gt;4,0,(IF(A154&lt;K$2,0,IF(A154&lt;=K$3,1,0))))</f>
        <v>0</v>
      </c>
      <c r="L154" s="124" t="n">
        <f aca="false">J154*K154</f>
        <v>0</v>
      </c>
      <c r="M154" s="124" t="n">
        <f aca="false">SUM(J$97:J154)</f>
        <v>0</v>
      </c>
      <c r="N154" s="124" t="n">
        <f aca="false">SUM(J$6:J154)</f>
        <v>-221916</v>
      </c>
      <c r="P154" s="124" t="n">
        <f aca="false">D154/P$3</f>
        <v>0</v>
      </c>
      <c r="Q154" s="124" t="n">
        <f aca="false">E154/P$3</f>
        <v>0</v>
      </c>
      <c r="R154" s="124" t="n">
        <f aca="false">F154/R$3</f>
        <v>0</v>
      </c>
      <c r="S154" s="126" t="n">
        <f aca="false">J154/$R$3</f>
        <v>0</v>
      </c>
      <c r="T154" s="126" t="n">
        <f aca="false">L154/$R$3</f>
        <v>0</v>
      </c>
      <c r="U154" s="126" t="n">
        <f aca="false">I154/$R$3</f>
        <v>0</v>
      </c>
      <c r="V154" s="126" t="n">
        <f aca="false">M154/$R$3</f>
        <v>0</v>
      </c>
      <c r="W154" s="126" t="n">
        <f aca="false">N154/$R$3</f>
        <v>-221.916</v>
      </c>
    </row>
    <row r="155" customFormat="false" ht="12.75" hidden="false" customHeight="false" outlineLevel="0" collapsed="false">
      <c r="A155" s="120" t="n">
        <f aca="false">A154+1</f>
        <v>37041</v>
      </c>
      <c r="B155" s="131" t="str">
        <f aca="false">INDEX('[4]Master Data'!$A$2:$B$8,MATCH(WEEKDAY('TBS Gas MTM'!A155,3),'[4]Master Data'!$A$2:$A$8,0),2)</f>
        <v>W</v>
      </c>
      <c r="D155" s="124" t="n">
        <v>0</v>
      </c>
      <c r="E155" s="124" t="n">
        <v>0</v>
      </c>
      <c r="F155" s="124" t="n">
        <v>0</v>
      </c>
      <c r="G155" s="124" t="n">
        <v>0</v>
      </c>
      <c r="I155" s="124" t="n">
        <f aca="false">IF(MONTH($A155)=MONTH($A154),IF(G155=0,I154,G155),G155)</f>
        <v>0</v>
      </c>
      <c r="J155" s="124" t="n">
        <f aca="false">IF(MONTH($A155)=MONTH($A154),SUM(I155-I154),I155)</f>
        <v>0</v>
      </c>
      <c r="K155" s="124" t="n">
        <f aca="false">IF(WEEKDAY(A155,3)&gt;4,0,(IF(A155&lt;K$2,0,IF(A155&lt;=K$3,1,0))))</f>
        <v>0</v>
      </c>
      <c r="L155" s="124" t="n">
        <f aca="false">J155*K155</f>
        <v>0</v>
      </c>
      <c r="M155" s="124" t="n">
        <f aca="false">SUM(J$97:J155)</f>
        <v>0</v>
      </c>
      <c r="N155" s="124" t="n">
        <f aca="false">SUM(J$6:J155)</f>
        <v>-221916</v>
      </c>
      <c r="P155" s="124" t="n">
        <f aca="false">D155/P$3</f>
        <v>0</v>
      </c>
      <c r="Q155" s="124" t="n">
        <f aca="false">E155/P$3</f>
        <v>0</v>
      </c>
      <c r="R155" s="124" t="n">
        <f aca="false">F155/R$3</f>
        <v>0</v>
      </c>
      <c r="S155" s="126" t="n">
        <f aca="false">J155/$R$3</f>
        <v>0</v>
      </c>
      <c r="T155" s="126" t="n">
        <f aca="false">L155/$R$3</f>
        <v>0</v>
      </c>
      <c r="U155" s="126" t="n">
        <f aca="false">I155/$R$3</f>
        <v>0</v>
      </c>
      <c r="V155" s="126" t="n">
        <f aca="false">M155/$R$3</f>
        <v>0</v>
      </c>
      <c r="W155" s="126" t="n">
        <f aca="false">N155/$R$3</f>
        <v>-221.916</v>
      </c>
    </row>
    <row r="156" customFormat="false" ht="12.75" hidden="false" customHeight="false" outlineLevel="0" collapsed="false">
      <c r="A156" s="120" t="n">
        <f aca="false">A155+1</f>
        <v>37042</v>
      </c>
      <c r="B156" s="131" t="str">
        <f aca="false">INDEX('[4]Master Data'!$A$2:$B$8,MATCH(WEEKDAY('TBS Gas MTM'!A156,3),'[4]Master Data'!$A$2:$A$8,0),2)</f>
        <v>Th</v>
      </c>
      <c r="D156" s="124" t="n">
        <v>0</v>
      </c>
      <c r="E156" s="124" t="n">
        <v>0</v>
      </c>
      <c r="F156" s="124" t="n">
        <v>0</v>
      </c>
      <c r="G156" s="124" t="n">
        <v>0</v>
      </c>
      <c r="I156" s="124" t="n">
        <f aca="false">IF(MONTH($A156)=MONTH($A155),IF(G156=0,I155,G156),G156)</f>
        <v>0</v>
      </c>
      <c r="J156" s="124" t="n">
        <f aca="false">IF(MONTH($A156)=MONTH($A155),SUM(I156-I155),I156)</f>
        <v>0</v>
      </c>
      <c r="K156" s="124" t="n">
        <f aca="false">IF(WEEKDAY(A156,3)&gt;4,0,(IF(A156&lt;K$2,0,IF(A156&lt;=K$3,1,0))))</f>
        <v>0</v>
      </c>
      <c r="L156" s="124" t="n">
        <f aca="false">J156*K156</f>
        <v>0</v>
      </c>
      <c r="M156" s="124" t="n">
        <f aca="false">SUM(J$97:J156)</f>
        <v>0</v>
      </c>
      <c r="N156" s="124" t="n">
        <f aca="false">SUM(J$6:J156)</f>
        <v>-221916</v>
      </c>
      <c r="P156" s="124" t="n">
        <f aca="false">D156/P$3</f>
        <v>0</v>
      </c>
      <c r="Q156" s="124" t="n">
        <f aca="false">E156/P$3</f>
        <v>0</v>
      </c>
      <c r="R156" s="124" t="n">
        <f aca="false">F156/R$3</f>
        <v>0</v>
      </c>
      <c r="S156" s="126" t="n">
        <f aca="false">J156/$R$3</f>
        <v>0</v>
      </c>
      <c r="T156" s="126" t="n">
        <f aca="false">L156/$R$3</f>
        <v>0</v>
      </c>
      <c r="U156" s="126" t="n">
        <f aca="false">I156/$R$3</f>
        <v>0</v>
      </c>
      <c r="V156" s="126" t="n">
        <f aca="false">M156/$R$3</f>
        <v>0</v>
      </c>
      <c r="W156" s="126" t="n">
        <f aca="false">N156/$R$3</f>
        <v>-221.916</v>
      </c>
    </row>
    <row r="157" customFormat="false" ht="12.75" hidden="false" customHeight="false" outlineLevel="0" collapsed="false">
      <c r="A157" s="120" t="n">
        <f aca="false">A156+1</f>
        <v>37043</v>
      </c>
      <c r="B157" s="131" t="str">
        <f aca="false">INDEX('[4]Master Data'!$A$2:$B$8,MATCH(WEEKDAY('TBS Gas MTM'!A157,3),'[4]Master Data'!$A$2:$A$8,0),2)</f>
        <v>F</v>
      </c>
      <c r="D157" s="124" t="n">
        <v>0</v>
      </c>
      <c r="E157" s="124" t="n">
        <v>0</v>
      </c>
      <c r="F157" s="124" t="n">
        <v>0</v>
      </c>
      <c r="G157" s="124" t="n">
        <v>0</v>
      </c>
      <c r="I157" s="124" t="n">
        <f aca="false">IF(MONTH($A157)=MONTH($A156),IF(G157=0,I156,G157),G157)</f>
        <v>0</v>
      </c>
      <c r="J157" s="124" t="n">
        <f aca="false">IF(MONTH($A157)=MONTH($A156),SUM(I157-I156),I157)</f>
        <v>0</v>
      </c>
      <c r="K157" s="124" t="n">
        <f aca="false">IF(WEEKDAY(A157,3)&gt;4,0,(IF(A157&lt;K$2,0,IF(A157&lt;=K$3,1,0))))</f>
        <v>0</v>
      </c>
      <c r="L157" s="124" t="n">
        <f aca="false">J157*K157</f>
        <v>0</v>
      </c>
      <c r="M157" s="124" t="n">
        <f aca="false">SUM(J$97:J157)</f>
        <v>0</v>
      </c>
      <c r="N157" s="124" t="n">
        <f aca="false">SUM(J$6:J157)</f>
        <v>-221916</v>
      </c>
      <c r="P157" s="124" t="n">
        <f aca="false">D157/P$3</f>
        <v>0</v>
      </c>
      <c r="Q157" s="124" t="n">
        <f aca="false">E157/P$3</f>
        <v>0</v>
      </c>
      <c r="R157" s="124" t="n">
        <f aca="false">F157/R$3</f>
        <v>0</v>
      </c>
      <c r="S157" s="126" t="n">
        <f aca="false">J157/$R$3</f>
        <v>0</v>
      </c>
      <c r="T157" s="126" t="n">
        <f aca="false">L157/$R$3</f>
        <v>0</v>
      </c>
      <c r="U157" s="126" t="n">
        <f aca="false">I157/$R$3</f>
        <v>0</v>
      </c>
      <c r="V157" s="126" t="n">
        <f aca="false">M157/$R$3</f>
        <v>0</v>
      </c>
      <c r="W157" s="126" t="n">
        <f aca="false">N157/$R$3</f>
        <v>-221.916</v>
      </c>
    </row>
    <row r="158" customFormat="false" ht="12.75" hidden="false" customHeight="false" outlineLevel="0" collapsed="false">
      <c r="A158" s="120" t="n">
        <f aca="false">A157+1</f>
        <v>37044</v>
      </c>
      <c r="B158" s="131" t="str">
        <f aca="false">INDEX('[4]Master Data'!$A$2:$B$8,MATCH(WEEKDAY('TBS Gas MTM'!A158,3),'[4]Master Data'!$A$2:$A$8,0),2)</f>
        <v>Sa</v>
      </c>
      <c r="D158" s="124" t="n">
        <v>0</v>
      </c>
      <c r="E158" s="124" t="n">
        <v>0</v>
      </c>
      <c r="F158" s="124" t="n">
        <v>0</v>
      </c>
      <c r="G158" s="124" t="n">
        <v>0</v>
      </c>
      <c r="I158" s="124" t="n">
        <f aca="false">IF(MONTH($A158)=MONTH($A157),IF(G158=0,I157,G158),G158)</f>
        <v>0</v>
      </c>
      <c r="J158" s="124" t="n">
        <f aca="false">IF(MONTH($A158)=MONTH($A157),SUM(I158-I157),I158)</f>
        <v>0</v>
      </c>
      <c r="K158" s="124" t="n">
        <f aca="false">IF(WEEKDAY(A158,3)&gt;4,0,(IF(A158&lt;K$2,0,IF(A158&lt;=K$3,1,0))))</f>
        <v>0</v>
      </c>
      <c r="L158" s="124" t="n">
        <f aca="false">J158*K158</f>
        <v>0</v>
      </c>
      <c r="M158" s="124" t="n">
        <f aca="false">SUM(J$97:J158)</f>
        <v>0</v>
      </c>
      <c r="N158" s="124" t="n">
        <f aca="false">SUM(J$6:J158)</f>
        <v>-221916</v>
      </c>
      <c r="P158" s="124" t="n">
        <f aca="false">D158/P$3</f>
        <v>0</v>
      </c>
      <c r="Q158" s="124" t="n">
        <f aca="false">E158/P$3</f>
        <v>0</v>
      </c>
      <c r="R158" s="124" t="n">
        <f aca="false">F158/R$3</f>
        <v>0</v>
      </c>
      <c r="S158" s="126" t="n">
        <f aca="false">J158/$R$3</f>
        <v>0</v>
      </c>
      <c r="T158" s="126" t="n">
        <f aca="false">L158/$R$3</f>
        <v>0</v>
      </c>
      <c r="U158" s="126" t="n">
        <f aca="false">I158/$R$3</f>
        <v>0</v>
      </c>
      <c r="V158" s="126" t="n">
        <f aca="false">M158/$R$3</f>
        <v>0</v>
      </c>
      <c r="W158" s="126" t="n">
        <f aca="false">N158/$R$3</f>
        <v>-221.916</v>
      </c>
    </row>
    <row r="159" customFormat="false" ht="12.75" hidden="false" customHeight="false" outlineLevel="0" collapsed="false">
      <c r="A159" s="120" t="n">
        <f aca="false">A158+1</f>
        <v>37045</v>
      </c>
      <c r="B159" s="131" t="str">
        <f aca="false">INDEX('[4]Master Data'!$A$2:$B$8,MATCH(WEEKDAY('TBS Gas MTM'!A159,3),'[4]Master Data'!$A$2:$A$8,0),2)</f>
        <v>Su</v>
      </c>
      <c r="D159" s="124" t="n">
        <v>0</v>
      </c>
      <c r="E159" s="124" t="n">
        <v>0</v>
      </c>
      <c r="F159" s="124" t="n">
        <v>0</v>
      </c>
      <c r="G159" s="124" t="n">
        <v>0</v>
      </c>
      <c r="I159" s="124" t="n">
        <f aca="false">IF(MONTH($A159)=MONTH($A158),IF(G159=0,I158,G159),G159)</f>
        <v>0</v>
      </c>
      <c r="J159" s="124" t="n">
        <f aca="false">IF(MONTH($A159)=MONTH($A158),SUM(I159-I158),I159)</f>
        <v>0</v>
      </c>
      <c r="K159" s="124" t="n">
        <f aca="false">IF(WEEKDAY(A159,3)&gt;4,0,(IF(A159&lt;K$2,0,IF(A159&lt;=K$3,1,0))))</f>
        <v>0</v>
      </c>
      <c r="L159" s="124" t="n">
        <f aca="false">J159*K159</f>
        <v>0</v>
      </c>
      <c r="M159" s="124" t="n">
        <f aca="false">SUM(J$97:J159)</f>
        <v>0</v>
      </c>
      <c r="N159" s="124" t="n">
        <f aca="false">SUM(J$6:J159)</f>
        <v>-221916</v>
      </c>
      <c r="P159" s="124" t="n">
        <f aca="false">D159/P$3</f>
        <v>0</v>
      </c>
      <c r="Q159" s="124" t="n">
        <f aca="false">E159/P$3</f>
        <v>0</v>
      </c>
      <c r="R159" s="124" t="n">
        <f aca="false">F159/R$3</f>
        <v>0</v>
      </c>
      <c r="S159" s="126" t="n">
        <f aca="false">J159/$R$3</f>
        <v>0</v>
      </c>
      <c r="T159" s="126" t="n">
        <f aca="false">L159/$R$3</f>
        <v>0</v>
      </c>
      <c r="U159" s="126" t="n">
        <f aca="false">I159/$R$3</f>
        <v>0</v>
      </c>
      <c r="V159" s="126" t="n">
        <f aca="false">M159/$R$3</f>
        <v>0</v>
      </c>
      <c r="W159" s="126" t="n">
        <f aca="false">N159/$R$3</f>
        <v>-221.916</v>
      </c>
    </row>
    <row r="160" customFormat="false" ht="12.75" hidden="false" customHeight="false" outlineLevel="0" collapsed="false">
      <c r="A160" s="120" t="n">
        <f aca="false">A159+1</f>
        <v>37046</v>
      </c>
      <c r="B160" s="131" t="str">
        <f aca="false">INDEX('[4]Master Data'!$A$2:$B$8,MATCH(WEEKDAY('TBS Gas MTM'!A160,3),'[4]Master Data'!$A$2:$A$8,0),2)</f>
        <v>M</v>
      </c>
      <c r="D160" s="124" t="n">
        <v>0</v>
      </c>
      <c r="E160" s="124" t="n">
        <v>0</v>
      </c>
      <c r="F160" s="124" t="n">
        <v>0</v>
      </c>
      <c r="G160" s="124" t="n">
        <v>0</v>
      </c>
      <c r="I160" s="124" t="n">
        <f aca="false">IF(MONTH($A160)=MONTH($A159),IF(G160=0,I159,G160),G160)</f>
        <v>0</v>
      </c>
      <c r="J160" s="124" t="n">
        <f aca="false">IF(MONTH($A160)=MONTH($A159),SUM(I160-I159),I160)</f>
        <v>0</v>
      </c>
      <c r="K160" s="124" t="n">
        <f aca="false">IF(WEEKDAY(A160,3)&gt;4,0,(IF(A160&lt;K$2,0,IF(A160&lt;=K$3,1,0))))</f>
        <v>0</v>
      </c>
      <c r="L160" s="124" t="n">
        <f aca="false">J160*K160</f>
        <v>0</v>
      </c>
      <c r="M160" s="124" t="n">
        <f aca="false">SUM(J$97:J160)</f>
        <v>0</v>
      </c>
      <c r="N160" s="124" t="n">
        <f aca="false">SUM(J$6:J160)</f>
        <v>-221916</v>
      </c>
      <c r="P160" s="124" t="n">
        <f aca="false">D160/P$3</f>
        <v>0</v>
      </c>
      <c r="Q160" s="124" t="n">
        <f aca="false">E160/P$3</f>
        <v>0</v>
      </c>
      <c r="R160" s="124" t="n">
        <f aca="false">F160/R$3</f>
        <v>0</v>
      </c>
      <c r="S160" s="126" t="n">
        <f aca="false">J160/$R$3</f>
        <v>0</v>
      </c>
      <c r="T160" s="126" t="n">
        <f aca="false">L160/$R$3</f>
        <v>0</v>
      </c>
      <c r="U160" s="126" t="n">
        <f aca="false">I160/$R$3</f>
        <v>0</v>
      </c>
      <c r="V160" s="126" t="n">
        <f aca="false">M160/$R$3</f>
        <v>0</v>
      </c>
      <c r="W160" s="126" t="n">
        <f aca="false">N160/$R$3</f>
        <v>-221.916</v>
      </c>
    </row>
    <row r="161" customFormat="false" ht="12.75" hidden="false" customHeight="false" outlineLevel="0" collapsed="false">
      <c r="A161" s="120" t="n">
        <f aca="false">A160+1</f>
        <v>37047</v>
      </c>
      <c r="B161" s="131" t="str">
        <f aca="false">INDEX('[4]Master Data'!$A$2:$B$8,MATCH(WEEKDAY('TBS Gas MTM'!A161,3),'[4]Master Data'!$A$2:$A$8,0),2)</f>
        <v>T</v>
      </c>
      <c r="D161" s="124" t="n">
        <v>0</v>
      </c>
      <c r="E161" s="124" t="n">
        <v>0</v>
      </c>
      <c r="F161" s="124" t="n">
        <v>0</v>
      </c>
      <c r="G161" s="124" t="n">
        <v>0</v>
      </c>
      <c r="I161" s="124" t="n">
        <f aca="false">IF(MONTH($A161)=MONTH($A160),IF(G161=0,I160,G161),G161)</f>
        <v>0</v>
      </c>
      <c r="J161" s="124" t="n">
        <f aca="false">IF(MONTH($A161)=MONTH($A160),SUM(I161-I160),I161)</f>
        <v>0</v>
      </c>
      <c r="K161" s="124" t="n">
        <f aca="false">IF(WEEKDAY(A161,3)&gt;4,0,(IF(A161&lt;K$2,0,IF(A161&lt;=K$3,1,0))))</f>
        <v>0</v>
      </c>
      <c r="L161" s="124" t="n">
        <f aca="false">J161*K161</f>
        <v>0</v>
      </c>
      <c r="M161" s="124" t="n">
        <f aca="false">SUM(J$97:J161)</f>
        <v>0</v>
      </c>
      <c r="N161" s="124" t="n">
        <f aca="false">SUM(J$6:J161)</f>
        <v>-221916</v>
      </c>
      <c r="P161" s="124" t="n">
        <f aca="false">D161/P$3</f>
        <v>0</v>
      </c>
      <c r="Q161" s="124" t="n">
        <f aca="false">E161/P$3</f>
        <v>0</v>
      </c>
      <c r="R161" s="124" t="n">
        <f aca="false">F161/R$3</f>
        <v>0</v>
      </c>
      <c r="S161" s="126" t="n">
        <f aca="false">J161/$R$3</f>
        <v>0</v>
      </c>
      <c r="T161" s="126" t="n">
        <f aca="false">L161/$R$3</f>
        <v>0</v>
      </c>
      <c r="U161" s="126" t="n">
        <f aca="false">I161/$R$3</f>
        <v>0</v>
      </c>
      <c r="V161" s="126" t="n">
        <f aca="false">M161/$R$3</f>
        <v>0</v>
      </c>
      <c r="W161" s="126" t="n">
        <f aca="false">N161/$R$3</f>
        <v>-221.916</v>
      </c>
    </row>
    <row r="162" customFormat="false" ht="12.75" hidden="false" customHeight="false" outlineLevel="0" collapsed="false">
      <c r="A162" s="120" t="n">
        <f aca="false">A161+1</f>
        <v>37048</v>
      </c>
      <c r="B162" s="131" t="str">
        <f aca="false">INDEX('[4]Master Data'!$A$2:$B$8,MATCH(WEEKDAY('TBS Gas MTM'!A162,3),'[4]Master Data'!$A$2:$A$8,0),2)</f>
        <v>W</v>
      </c>
      <c r="D162" s="124" t="n">
        <v>0</v>
      </c>
      <c r="E162" s="124" t="n">
        <v>0</v>
      </c>
      <c r="F162" s="124" t="n">
        <v>0</v>
      </c>
      <c r="G162" s="124" t="n">
        <v>0</v>
      </c>
      <c r="I162" s="124" t="n">
        <f aca="false">IF(MONTH($A162)=MONTH($A161),IF(G162=0,I161,G162),G162)</f>
        <v>0</v>
      </c>
      <c r="J162" s="124" t="n">
        <f aca="false">IF(MONTH($A162)=MONTH($A161),SUM(I162-I161),I162)</f>
        <v>0</v>
      </c>
      <c r="K162" s="124" t="n">
        <f aca="false">IF(WEEKDAY(A162,3)&gt;4,0,(IF(A162&lt;K$2,0,IF(A162&lt;=K$3,1,0))))</f>
        <v>0</v>
      </c>
      <c r="L162" s="124" t="n">
        <f aca="false">J162*K162</f>
        <v>0</v>
      </c>
      <c r="M162" s="124" t="n">
        <f aca="false">SUM(J$97:J162)</f>
        <v>0</v>
      </c>
      <c r="N162" s="124" t="n">
        <f aca="false">SUM(J$6:J162)</f>
        <v>-221916</v>
      </c>
      <c r="P162" s="124" t="n">
        <f aca="false">D162/P$3</f>
        <v>0</v>
      </c>
      <c r="Q162" s="124" t="n">
        <f aca="false">E162/P$3</f>
        <v>0</v>
      </c>
      <c r="R162" s="124" t="n">
        <f aca="false">F162/R$3</f>
        <v>0</v>
      </c>
      <c r="S162" s="126" t="n">
        <f aca="false">J162/$R$3</f>
        <v>0</v>
      </c>
      <c r="T162" s="126" t="n">
        <f aca="false">L162/$R$3</f>
        <v>0</v>
      </c>
      <c r="U162" s="126" t="n">
        <f aca="false">I162/$R$3</f>
        <v>0</v>
      </c>
      <c r="V162" s="126" t="n">
        <f aca="false">M162/$R$3</f>
        <v>0</v>
      </c>
      <c r="W162" s="126" t="n">
        <f aca="false">N162/$R$3</f>
        <v>-221.916</v>
      </c>
    </row>
    <row r="163" customFormat="false" ht="12.75" hidden="false" customHeight="false" outlineLevel="0" collapsed="false">
      <c r="A163" s="120" t="n">
        <f aca="false">A162+1</f>
        <v>37049</v>
      </c>
      <c r="B163" s="131" t="str">
        <f aca="false">INDEX('[4]Master Data'!$A$2:$B$8,MATCH(WEEKDAY('TBS Gas MTM'!A163,3),'[4]Master Data'!$A$2:$A$8,0),2)</f>
        <v>Th</v>
      </c>
      <c r="D163" s="124" t="n">
        <v>0</v>
      </c>
      <c r="E163" s="124" t="n">
        <v>0</v>
      </c>
      <c r="F163" s="124" t="n">
        <v>0</v>
      </c>
      <c r="G163" s="124" t="n">
        <v>0</v>
      </c>
      <c r="I163" s="124" t="n">
        <f aca="false">IF(MONTH($A163)=MONTH($A162),IF(G163=0,I162,G163),G163)</f>
        <v>0</v>
      </c>
      <c r="J163" s="124" t="n">
        <f aca="false">IF(MONTH($A163)=MONTH($A162),SUM(I163-I162),I163)</f>
        <v>0</v>
      </c>
      <c r="K163" s="124" t="n">
        <f aca="false">IF(WEEKDAY(A163,3)&gt;4,0,(IF(A163&lt;K$2,0,IF(A163&lt;=K$3,1,0))))</f>
        <v>0</v>
      </c>
      <c r="L163" s="124" t="n">
        <f aca="false">J163*K163</f>
        <v>0</v>
      </c>
      <c r="M163" s="124" t="n">
        <f aca="false">SUM(J$97:J163)</f>
        <v>0</v>
      </c>
      <c r="N163" s="124" t="n">
        <f aca="false">SUM(J$6:J163)</f>
        <v>-221916</v>
      </c>
      <c r="P163" s="124" t="n">
        <f aca="false">D163/P$3</f>
        <v>0</v>
      </c>
      <c r="Q163" s="124" t="n">
        <f aca="false">E163/P$3</f>
        <v>0</v>
      </c>
      <c r="R163" s="124" t="n">
        <f aca="false">F163/R$3</f>
        <v>0</v>
      </c>
      <c r="S163" s="126" t="n">
        <f aca="false">J163/$R$3</f>
        <v>0</v>
      </c>
      <c r="T163" s="126" t="n">
        <f aca="false">L163/$R$3</f>
        <v>0</v>
      </c>
      <c r="U163" s="126" t="n">
        <f aca="false">I163/$R$3</f>
        <v>0</v>
      </c>
      <c r="V163" s="126" t="n">
        <f aca="false">M163/$R$3</f>
        <v>0</v>
      </c>
      <c r="W163" s="126" t="n">
        <f aca="false">N163/$R$3</f>
        <v>-221.916</v>
      </c>
    </row>
    <row r="164" customFormat="false" ht="12.75" hidden="false" customHeight="false" outlineLevel="0" collapsed="false">
      <c r="A164" s="120" t="n">
        <f aca="false">A163+1</f>
        <v>37050</v>
      </c>
      <c r="B164" s="131" t="str">
        <f aca="false">INDEX('[4]Master Data'!$A$2:$B$8,MATCH(WEEKDAY('TBS Gas MTM'!A164,3),'[4]Master Data'!$A$2:$A$8,0),2)</f>
        <v>F</v>
      </c>
      <c r="D164" s="124" t="n">
        <v>0</v>
      </c>
      <c r="E164" s="124" t="n">
        <v>0</v>
      </c>
      <c r="F164" s="124" t="n">
        <v>0</v>
      </c>
      <c r="G164" s="124" t="n">
        <v>0</v>
      </c>
      <c r="I164" s="124" t="n">
        <f aca="false">IF(MONTH($A164)=MONTH($A163),IF(G164=0,I163,G164),G164)</f>
        <v>0</v>
      </c>
      <c r="J164" s="124" t="n">
        <f aca="false">IF(MONTH($A164)=MONTH($A163),SUM(I164-I163),I164)</f>
        <v>0</v>
      </c>
      <c r="K164" s="124" t="n">
        <f aca="false">IF(WEEKDAY(A164,3)&gt;4,0,(IF(A164&lt;K$2,0,IF(A164&lt;=K$3,1,0))))</f>
        <v>0</v>
      </c>
      <c r="L164" s="124" t="n">
        <f aca="false">J164*K164</f>
        <v>0</v>
      </c>
      <c r="M164" s="124" t="n">
        <f aca="false">SUM(J$97:J164)</f>
        <v>0</v>
      </c>
      <c r="N164" s="124" t="n">
        <f aca="false">SUM(J$6:J164)</f>
        <v>-221916</v>
      </c>
      <c r="P164" s="124" t="n">
        <f aca="false">D164/P$3</f>
        <v>0</v>
      </c>
      <c r="Q164" s="124" t="n">
        <f aca="false">E164/P$3</f>
        <v>0</v>
      </c>
      <c r="R164" s="124" t="n">
        <f aca="false">F164/R$3</f>
        <v>0</v>
      </c>
      <c r="S164" s="126" t="n">
        <f aca="false">J164/$R$3</f>
        <v>0</v>
      </c>
      <c r="T164" s="126" t="n">
        <f aca="false">L164/$R$3</f>
        <v>0</v>
      </c>
      <c r="U164" s="126" t="n">
        <f aca="false">I164/$R$3</f>
        <v>0</v>
      </c>
      <c r="V164" s="126" t="n">
        <f aca="false">M164/$R$3</f>
        <v>0</v>
      </c>
      <c r="W164" s="126" t="n">
        <f aca="false">N164/$R$3</f>
        <v>-221.916</v>
      </c>
    </row>
    <row r="165" customFormat="false" ht="12.75" hidden="false" customHeight="false" outlineLevel="0" collapsed="false">
      <c r="A165" s="120" t="n">
        <f aca="false">A164+1</f>
        <v>37051</v>
      </c>
      <c r="B165" s="131" t="str">
        <f aca="false">INDEX('[4]Master Data'!$A$2:$B$8,MATCH(WEEKDAY('TBS Gas MTM'!A165,3),'[4]Master Data'!$A$2:$A$8,0),2)</f>
        <v>Sa</v>
      </c>
      <c r="D165" s="124" t="n">
        <v>0</v>
      </c>
      <c r="E165" s="124" t="n">
        <v>0</v>
      </c>
      <c r="F165" s="124" t="n">
        <v>0</v>
      </c>
      <c r="G165" s="124" t="n">
        <v>0</v>
      </c>
      <c r="I165" s="124" t="n">
        <f aca="false">IF(MONTH($A165)=MONTH($A164),IF(G165=0,I164,G165),G165)</f>
        <v>0</v>
      </c>
      <c r="J165" s="124" t="n">
        <f aca="false">IF(MONTH($A165)=MONTH($A164),SUM(I165-I164),I165)</f>
        <v>0</v>
      </c>
      <c r="K165" s="124" t="n">
        <f aca="false">IF(WEEKDAY(A165,3)&gt;4,0,(IF(A165&lt;K$2,0,IF(A165&lt;=K$3,1,0))))</f>
        <v>0</v>
      </c>
      <c r="L165" s="124" t="n">
        <f aca="false">J165*K165</f>
        <v>0</v>
      </c>
      <c r="M165" s="124" t="n">
        <f aca="false">SUM(J$97:J165)</f>
        <v>0</v>
      </c>
      <c r="N165" s="124" t="n">
        <f aca="false">SUM(J$6:J165)</f>
        <v>-221916</v>
      </c>
      <c r="P165" s="124" t="n">
        <f aca="false">D165/P$3</f>
        <v>0</v>
      </c>
      <c r="Q165" s="124" t="n">
        <f aca="false">E165/P$3</f>
        <v>0</v>
      </c>
      <c r="R165" s="124" t="n">
        <f aca="false">F165/R$3</f>
        <v>0</v>
      </c>
      <c r="S165" s="126" t="n">
        <f aca="false">J165/$R$3</f>
        <v>0</v>
      </c>
      <c r="T165" s="126" t="n">
        <f aca="false">L165/$R$3</f>
        <v>0</v>
      </c>
      <c r="U165" s="126" t="n">
        <f aca="false">I165/$R$3</f>
        <v>0</v>
      </c>
      <c r="V165" s="126" t="n">
        <f aca="false">M165/$R$3</f>
        <v>0</v>
      </c>
      <c r="W165" s="126" t="n">
        <f aca="false">N165/$R$3</f>
        <v>-221.916</v>
      </c>
    </row>
    <row r="166" customFormat="false" ht="12.75" hidden="false" customHeight="false" outlineLevel="0" collapsed="false">
      <c r="A166" s="120" t="n">
        <f aca="false">A165+1</f>
        <v>37052</v>
      </c>
      <c r="B166" s="131" t="str">
        <f aca="false">INDEX('[4]Master Data'!$A$2:$B$8,MATCH(WEEKDAY('TBS Gas MTM'!A166,3),'[4]Master Data'!$A$2:$A$8,0),2)</f>
        <v>Su</v>
      </c>
      <c r="D166" s="124" t="n">
        <v>0</v>
      </c>
      <c r="E166" s="124" t="n">
        <v>0</v>
      </c>
      <c r="F166" s="124" t="n">
        <v>0</v>
      </c>
      <c r="G166" s="124" t="n">
        <v>0</v>
      </c>
      <c r="I166" s="124" t="n">
        <f aca="false">IF(MONTH($A166)=MONTH($A165),IF(G166=0,I165,G166),G166)</f>
        <v>0</v>
      </c>
      <c r="J166" s="124" t="n">
        <f aca="false">IF(MONTH($A166)=MONTH($A165),SUM(I166-I165),I166)</f>
        <v>0</v>
      </c>
      <c r="K166" s="124" t="n">
        <f aca="false">IF(WEEKDAY(A166,3)&gt;4,0,(IF(A166&lt;K$2,0,IF(A166&lt;=K$3,1,0))))</f>
        <v>0</v>
      </c>
      <c r="L166" s="124" t="n">
        <f aca="false">J166*K166</f>
        <v>0</v>
      </c>
      <c r="M166" s="124" t="n">
        <f aca="false">SUM(J$97:J166)</f>
        <v>0</v>
      </c>
      <c r="N166" s="124" t="n">
        <f aca="false">SUM(J$6:J166)</f>
        <v>-221916</v>
      </c>
      <c r="P166" s="124" t="n">
        <f aca="false">D166/P$3</f>
        <v>0</v>
      </c>
      <c r="Q166" s="124" t="n">
        <f aca="false">E166/P$3</f>
        <v>0</v>
      </c>
      <c r="R166" s="124" t="n">
        <f aca="false">F166/R$3</f>
        <v>0</v>
      </c>
      <c r="S166" s="126" t="n">
        <f aca="false">J166/$R$3</f>
        <v>0</v>
      </c>
      <c r="T166" s="126" t="n">
        <f aca="false">L166/$R$3</f>
        <v>0</v>
      </c>
      <c r="U166" s="126" t="n">
        <f aca="false">I166/$R$3</f>
        <v>0</v>
      </c>
      <c r="V166" s="126" t="n">
        <f aca="false">M166/$R$3</f>
        <v>0</v>
      </c>
      <c r="W166" s="126" t="n">
        <f aca="false">N166/$R$3</f>
        <v>-221.916</v>
      </c>
    </row>
    <row r="167" customFormat="false" ht="12.75" hidden="false" customHeight="false" outlineLevel="0" collapsed="false">
      <c r="A167" s="120" t="n">
        <f aca="false">A166+1</f>
        <v>37053</v>
      </c>
      <c r="B167" s="131" t="str">
        <f aca="false">INDEX('[4]Master Data'!$A$2:$B$8,MATCH(WEEKDAY('TBS Gas MTM'!A167,3),'[4]Master Data'!$A$2:$A$8,0),2)</f>
        <v>M</v>
      </c>
      <c r="D167" s="124" t="n">
        <v>0</v>
      </c>
      <c r="E167" s="124" t="n">
        <v>0</v>
      </c>
      <c r="F167" s="124" t="n">
        <v>0</v>
      </c>
      <c r="G167" s="124" t="n">
        <v>0</v>
      </c>
      <c r="I167" s="124" t="n">
        <f aca="false">IF(MONTH($A167)=MONTH($A166),IF(G167=0,I166,G167),G167)</f>
        <v>0</v>
      </c>
      <c r="J167" s="124" t="n">
        <f aca="false">IF(MONTH($A167)=MONTH($A166),SUM(I167-I166),I167)</f>
        <v>0</v>
      </c>
      <c r="K167" s="124" t="n">
        <f aca="false">IF(WEEKDAY(A167,3)&gt;4,0,(IF(A167&lt;K$2,0,IF(A167&lt;=K$3,1,0))))</f>
        <v>0</v>
      </c>
      <c r="L167" s="124" t="n">
        <f aca="false">J167*K167</f>
        <v>0</v>
      </c>
      <c r="M167" s="124" t="n">
        <f aca="false">SUM(J$97:J167)</f>
        <v>0</v>
      </c>
      <c r="N167" s="124" t="n">
        <f aca="false">SUM(J$6:J167)</f>
        <v>-221916</v>
      </c>
      <c r="P167" s="124" t="n">
        <f aca="false">D167/P$3</f>
        <v>0</v>
      </c>
      <c r="Q167" s="124" t="n">
        <f aca="false">E167/P$3</f>
        <v>0</v>
      </c>
      <c r="R167" s="124" t="n">
        <f aca="false">F167/R$3</f>
        <v>0</v>
      </c>
      <c r="S167" s="126" t="n">
        <f aca="false">J167/$R$3</f>
        <v>0</v>
      </c>
      <c r="T167" s="126" t="n">
        <f aca="false">L167/$R$3</f>
        <v>0</v>
      </c>
      <c r="U167" s="126" t="n">
        <f aca="false">I167/$R$3</f>
        <v>0</v>
      </c>
      <c r="V167" s="126" t="n">
        <f aca="false">M167/$R$3</f>
        <v>0</v>
      </c>
      <c r="W167" s="126" t="n">
        <f aca="false">N167/$R$3</f>
        <v>-221.916</v>
      </c>
    </row>
    <row r="168" customFormat="false" ht="12.75" hidden="false" customHeight="false" outlineLevel="0" collapsed="false">
      <c r="A168" s="120" t="n">
        <f aca="false">A167+1</f>
        <v>37054</v>
      </c>
      <c r="B168" s="131" t="str">
        <f aca="false">INDEX('[4]Master Data'!$A$2:$B$8,MATCH(WEEKDAY('TBS Gas MTM'!A168,3),'[4]Master Data'!$A$2:$A$8,0),2)</f>
        <v>T</v>
      </c>
      <c r="D168" s="124" t="n">
        <v>0</v>
      </c>
      <c r="E168" s="124" t="n">
        <v>0</v>
      </c>
      <c r="F168" s="124" t="n">
        <v>0</v>
      </c>
      <c r="G168" s="124" t="n">
        <v>0</v>
      </c>
      <c r="I168" s="124" t="n">
        <f aca="false">IF(MONTH($A168)=MONTH($A167),IF(G168=0,I167,G168),G168)</f>
        <v>0</v>
      </c>
      <c r="J168" s="124" t="n">
        <f aca="false">IF(MONTH($A168)=MONTH($A167),SUM(I168-I167),I168)</f>
        <v>0</v>
      </c>
      <c r="K168" s="124" t="n">
        <f aca="false">IF(WEEKDAY(A168,3)&gt;4,0,(IF(A168&lt;K$2,0,IF(A168&lt;=K$3,1,0))))</f>
        <v>0</v>
      </c>
      <c r="L168" s="124" t="n">
        <f aca="false">J168*K168</f>
        <v>0</v>
      </c>
      <c r="M168" s="124" t="n">
        <f aca="false">SUM(J$97:J168)</f>
        <v>0</v>
      </c>
      <c r="N168" s="124" t="n">
        <f aca="false">SUM(J$6:J168)</f>
        <v>-221916</v>
      </c>
      <c r="P168" s="124" t="n">
        <f aca="false">D168/P$3</f>
        <v>0</v>
      </c>
      <c r="Q168" s="124" t="n">
        <f aca="false">E168/P$3</f>
        <v>0</v>
      </c>
      <c r="R168" s="124" t="n">
        <f aca="false">F168/R$3</f>
        <v>0</v>
      </c>
      <c r="S168" s="126" t="n">
        <f aca="false">J168/$R$3</f>
        <v>0</v>
      </c>
      <c r="T168" s="126" t="n">
        <f aca="false">L168/$R$3</f>
        <v>0</v>
      </c>
      <c r="U168" s="126" t="n">
        <f aca="false">I168/$R$3</f>
        <v>0</v>
      </c>
      <c r="V168" s="126" t="n">
        <f aca="false">M168/$R$3</f>
        <v>0</v>
      </c>
      <c r="W168" s="126" t="n">
        <f aca="false">N168/$R$3</f>
        <v>-221.916</v>
      </c>
    </row>
    <row r="169" customFormat="false" ht="12.75" hidden="false" customHeight="false" outlineLevel="0" collapsed="false">
      <c r="A169" s="120" t="n">
        <f aca="false">A168+1</f>
        <v>37055</v>
      </c>
      <c r="B169" s="131" t="str">
        <f aca="false">INDEX('[4]Master Data'!$A$2:$B$8,MATCH(WEEKDAY('TBS Gas MTM'!A169,3),'[4]Master Data'!$A$2:$A$8,0),2)</f>
        <v>W</v>
      </c>
      <c r="D169" s="124" t="n">
        <v>0</v>
      </c>
      <c r="E169" s="124" t="n">
        <v>0</v>
      </c>
      <c r="F169" s="124" t="n">
        <v>0</v>
      </c>
      <c r="G169" s="124" t="n">
        <v>0</v>
      </c>
      <c r="I169" s="124" t="n">
        <f aca="false">IF(MONTH($A169)=MONTH($A168),IF(G169=0,I168,G169),G169)</f>
        <v>0</v>
      </c>
      <c r="J169" s="124" t="n">
        <f aca="false">IF(MONTH($A169)=MONTH($A168),SUM(I169-I168),I169)</f>
        <v>0</v>
      </c>
      <c r="K169" s="124" t="n">
        <f aca="false">IF(WEEKDAY(A169,3)&gt;4,0,(IF(A169&lt;K$2,0,IF(A169&lt;=K$3,1,0))))</f>
        <v>0</v>
      </c>
      <c r="L169" s="124" t="n">
        <f aca="false">J169*K169</f>
        <v>0</v>
      </c>
      <c r="M169" s="124" t="n">
        <f aca="false">SUM(J$97:J169)</f>
        <v>0</v>
      </c>
      <c r="N169" s="124" t="n">
        <f aca="false">SUM(J$6:J169)</f>
        <v>-221916</v>
      </c>
      <c r="P169" s="124" t="n">
        <f aca="false">D169/P$3</f>
        <v>0</v>
      </c>
      <c r="Q169" s="124" t="n">
        <f aca="false">E169/P$3</f>
        <v>0</v>
      </c>
      <c r="R169" s="124" t="n">
        <f aca="false">F169/R$3</f>
        <v>0</v>
      </c>
      <c r="S169" s="126" t="n">
        <f aca="false">J169/$R$3</f>
        <v>0</v>
      </c>
      <c r="T169" s="126" t="n">
        <f aca="false">L169/$R$3</f>
        <v>0</v>
      </c>
      <c r="U169" s="126" t="n">
        <f aca="false">I169/$R$3</f>
        <v>0</v>
      </c>
      <c r="V169" s="126" t="n">
        <f aca="false">M169/$R$3</f>
        <v>0</v>
      </c>
      <c r="W169" s="126" t="n">
        <f aca="false">N169/$R$3</f>
        <v>-221.916</v>
      </c>
    </row>
    <row r="170" customFormat="false" ht="12.75" hidden="false" customHeight="false" outlineLevel="0" collapsed="false">
      <c r="A170" s="120" t="n">
        <f aca="false">A169+1</f>
        <v>37056</v>
      </c>
      <c r="B170" s="131" t="str">
        <f aca="false">INDEX('[4]Master Data'!$A$2:$B$8,MATCH(WEEKDAY('TBS Gas MTM'!A170,3),'[4]Master Data'!$A$2:$A$8,0),2)</f>
        <v>Th</v>
      </c>
      <c r="D170" s="124" t="n">
        <v>0</v>
      </c>
      <c r="E170" s="124" t="n">
        <v>0</v>
      </c>
      <c r="F170" s="124" t="n">
        <v>0</v>
      </c>
      <c r="G170" s="124" t="n">
        <v>0</v>
      </c>
      <c r="I170" s="124" t="n">
        <f aca="false">IF(MONTH($A170)=MONTH($A169),IF(G170=0,I169,G170),G170)</f>
        <v>0</v>
      </c>
      <c r="J170" s="124" t="n">
        <f aca="false">IF(MONTH($A170)=MONTH($A169),SUM(I170-I169),I170)</f>
        <v>0</v>
      </c>
      <c r="K170" s="124" t="n">
        <f aca="false">IF(WEEKDAY(A170,3)&gt;4,0,(IF(A170&lt;K$2,0,IF(A170&lt;=K$3,1,0))))</f>
        <v>0</v>
      </c>
      <c r="L170" s="124" t="n">
        <f aca="false">J170*K170</f>
        <v>0</v>
      </c>
      <c r="M170" s="124" t="n">
        <f aca="false">SUM(J$97:J170)</f>
        <v>0</v>
      </c>
      <c r="N170" s="124" t="n">
        <f aca="false">SUM(J$6:J170)</f>
        <v>-221916</v>
      </c>
      <c r="P170" s="124" t="n">
        <f aca="false">D170/P$3</f>
        <v>0</v>
      </c>
      <c r="Q170" s="124" t="n">
        <f aca="false">E170/P$3</f>
        <v>0</v>
      </c>
      <c r="R170" s="124" t="n">
        <f aca="false">F170/R$3</f>
        <v>0</v>
      </c>
      <c r="S170" s="126" t="n">
        <f aca="false">J170/$R$3</f>
        <v>0</v>
      </c>
      <c r="T170" s="126" t="n">
        <f aca="false">L170/$R$3</f>
        <v>0</v>
      </c>
      <c r="U170" s="126" t="n">
        <f aca="false">I170/$R$3</f>
        <v>0</v>
      </c>
      <c r="V170" s="126" t="n">
        <f aca="false">M170/$R$3</f>
        <v>0</v>
      </c>
      <c r="W170" s="126" t="n">
        <f aca="false">N170/$R$3</f>
        <v>-221.916</v>
      </c>
    </row>
    <row r="171" customFormat="false" ht="12.75" hidden="false" customHeight="false" outlineLevel="0" collapsed="false">
      <c r="A171" s="120" t="n">
        <f aca="false">A170+1</f>
        <v>37057</v>
      </c>
      <c r="B171" s="131" t="str">
        <f aca="false">INDEX('[4]Master Data'!$A$2:$B$8,MATCH(WEEKDAY('TBS Gas MTM'!A171,3),'[4]Master Data'!$A$2:$A$8,0),2)</f>
        <v>F</v>
      </c>
      <c r="D171" s="124" t="n">
        <v>0</v>
      </c>
      <c r="E171" s="124" t="n">
        <v>0</v>
      </c>
      <c r="F171" s="124" t="n">
        <v>0</v>
      </c>
      <c r="G171" s="124" t="n">
        <v>0</v>
      </c>
      <c r="I171" s="124" t="n">
        <f aca="false">IF(MONTH($A171)=MONTH($A170),IF(G171=0,I170,G171),G171)</f>
        <v>0</v>
      </c>
      <c r="J171" s="124" t="n">
        <f aca="false">IF(MONTH($A171)=MONTH($A170),SUM(I171-I170),I171)</f>
        <v>0</v>
      </c>
      <c r="K171" s="124" t="n">
        <f aca="false">IF(WEEKDAY(A171,3)&gt;4,0,(IF(A171&lt;K$2,0,IF(A171&lt;=K$3,1,0))))</f>
        <v>0</v>
      </c>
      <c r="L171" s="124" t="n">
        <f aca="false">J171*K171</f>
        <v>0</v>
      </c>
      <c r="M171" s="124" t="n">
        <f aca="false">SUM(J$97:J171)</f>
        <v>0</v>
      </c>
      <c r="N171" s="124" t="n">
        <f aca="false">SUM(J$6:J171)</f>
        <v>-221916</v>
      </c>
      <c r="P171" s="124" t="n">
        <f aca="false">D171/P$3</f>
        <v>0</v>
      </c>
      <c r="Q171" s="124" t="n">
        <f aca="false">E171/P$3</f>
        <v>0</v>
      </c>
      <c r="R171" s="124" t="n">
        <f aca="false">F171/R$3</f>
        <v>0</v>
      </c>
      <c r="S171" s="126" t="n">
        <f aca="false">J171/$R$3</f>
        <v>0</v>
      </c>
      <c r="T171" s="126" t="n">
        <f aca="false">L171/$R$3</f>
        <v>0</v>
      </c>
      <c r="U171" s="126" t="n">
        <f aca="false">I171/$R$3</f>
        <v>0</v>
      </c>
      <c r="V171" s="126" t="n">
        <f aca="false">M171/$R$3</f>
        <v>0</v>
      </c>
      <c r="W171" s="126" t="n">
        <f aca="false">N171/$R$3</f>
        <v>-221.916</v>
      </c>
    </row>
    <row r="172" customFormat="false" ht="12.75" hidden="false" customHeight="false" outlineLevel="0" collapsed="false">
      <c r="A172" s="120" t="n">
        <f aca="false">A171+1</f>
        <v>37058</v>
      </c>
      <c r="B172" s="131" t="str">
        <f aca="false">INDEX('[4]Master Data'!$A$2:$B$8,MATCH(WEEKDAY('TBS Gas MTM'!A172,3),'[4]Master Data'!$A$2:$A$8,0),2)</f>
        <v>Sa</v>
      </c>
      <c r="D172" s="124" t="n">
        <v>0</v>
      </c>
      <c r="E172" s="124" t="n">
        <v>0</v>
      </c>
      <c r="F172" s="124" t="n">
        <v>0</v>
      </c>
      <c r="G172" s="124" t="n">
        <v>0</v>
      </c>
      <c r="I172" s="124" t="n">
        <f aca="false">IF(MONTH($A172)=MONTH($A171),IF(G172=0,I171,G172),G172)</f>
        <v>0</v>
      </c>
      <c r="J172" s="124" t="n">
        <f aca="false">IF(MONTH($A172)=MONTH($A171),SUM(I172-I171),I172)</f>
        <v>0</v>
      </c>
      <c r="K172" s="124" t="n">
        <f aca="false">IF(WEEKDAY(A172,3)&gt;4,0,(IF(A172&lt;K$2,0,IF(A172&lt;=K$3,1,0))))</f>
        <v>0</v>
      </c>
      <c r="L172" s="124" t="n">
        <f aca="false">J172*K172</f>
        <v>0</v>
      </c>
      <c r="M172" s="124" t="n">
        <f aca="false">SUM(J$97:J172)</f>
        <v>0</v>
      </c>
      <c r="N172" s="124" t="n">
        <f aca="false">SUM(J$6:J172)</f>
        <v>-221916</v>
      </c>
      <c r="P172" s="124" t="n">
        <f aca="false">D172/P$3</f>
        <v>0</v>
      </c>
      <c r="Q172" s="124" t="n">
        <f aca="false">E172/P$3</f>
        <v>0</v>
      </c>
      <c r="R172" s="124" t="n">
        <f aca="false">F172/R$3</f>
        <v>0</v>
      </c>
      <c r="S172" s="126" t="n">
        <f aca="false">J172/$R$3</f>
        <v>0</v>
      </c>
      <c r="T172" s="126" t="n">
        <f aca="false">L172/$R$3</f>
        <v>0</v>
      </c>
      <c r="U172" s="126" t="n">
        <f aca="false">I172/$R$3</f>
        <v>0</v>
      </c>
      <c r="V172" s="126" t="n">
        <f aca="false">M172/$R$3</f>
        <v>0</v>
      </c>
      <c r="W172" s="126" t="n">
        <f aca="false">N172/$R$3</f>
        <v>-221.916</v>
      </c>
    </row>
    <row r="173" customFormat="false" ht="12.75" hidden="false" customHeight="false" outlineLevel="0" collapsed="false">
      <c r="A173" s="120" t="n">
        <f aca="false">A172+1</f>
        <v>37059</v>
      </c>
      <c r="B173" s="131" t="str">
        <f aca="false">INDEX('[4]Master Data'!$A$2:$B$8,MATCH(WEEKDAY('TBS Gas MTM'!A173,3),'[4]Master Data'!$A$2:$A$8,0),2)</f>
        <v>Su</v>
      </c>
      <c r="D173" s="124" t="n">
        <v>0</v>
      </c>
      <c r="E173" s="124" t="n">
        <v>0</v>
      </c>
      <c r="F173" s="124" t="n">
        <v>0</v>
      </c>
      <c r="G173" s="124" t="n">
        <v>0</v>
      </c>
      <c r="I173" s="124" t="n">
        <f aca="false">IF(MONTH($A173)=MONTH($A172),IF(G173=0,I172,G173),G173)</f>
        <v>0</v>
      </c>
      <c r="J173" s="124" t="n">
        <f aca="false">IF(MONTH($A173)=MONTH($A172),SUM(I173-I172),I173)</f>
        <v>0</v>
      </c>
      <c r="K173" s="124" t="n">
        <f aca="false">IF(WEEKDAY(A173,3)&gt;4,0,(IF(A173&lt;K$2,0,IF(A173&lt;=K$3,1,0))))</f>
        <v>0</v>
      </c>
      <c r="L173" s="124" t="n">
        <f aca="false">J173*K173</f>
        <v>0</v>
      </c>
      <c r="M173" s="124" t="n">
        <f aca="false">SUM(J$97:J173)</f>
        <v>0</v>
      </c>
      <c r="N173" s="124" t="n">
        <f aca="false">SUM(J$6:J173)</f>
        <v>-221916</v>
      </c>
      <c r="P173" s="124" t="n">
        <f aca="false">D173/P$3</f>
        <v>0</v>
      </c>
      <c r="Q173" s="124" t="n">
        <f aca="false">E173/P$3</f>
        <v>0</v>
      </c>
      <c r="R173" s="124" t="n">
        <f aca="false">F173/R$3</f>
        <v>0</v>
      </c>
      <c r="S173" s="126" t="n">
        <f aca="false">J173/$R$3</f>
        <v>0</v>
      </c>
      <c r="T173" s="126" t="n">
        <f aca="false">L173/$R$3</f>
        <v>0</v>
      </c>
      <c r="U173" s="126" t="n">
        <f aca="false">I173/$R$3</f>
        <v>0</v>
      </c>
      <c r="V173" s="126" t="n">
        <f aca="false">M173/$R$3</f>
        <v>0</v>
      </c>
      <c r="W173" s="126" t="n">
        <f aca="false">N173/$R$3</f>
        <v>-221.916</v>
      </c>
    </row>
    <row r="174" customFormat="false" ht="12.75" hidden="false" customHeight="false" outlineLevel="0" collapsed="false">
      <c r="A174" s="120" t="n">
        <f aca="false">A173+1</f>
        <v>37060</v>
      </c>
      <c r="B174" s="131" t="str">
        <f aca="false">INDEX('[4]Master Data'!$A$2:$B$8,MATCH(WEEKDAY('TBS Gas MTM'!A174,3),'[4]Master Data'!$A$2:$A$8,0),2)</f>
        <v>M</v>
      </c>
      <c r="D174" s="124" t="n">
        <v>0</v>
      </c>
      <c r="E174" s="124" t="n">
        <v>0</v>
      </c>
      <c r="F174" s="124" t="n">
        <v>0</v>
      </c>
      <c r="G174" s="124" t="n">
        <v>0</v>
      </c>
      <c r="I174" s="124" t="n">
        <f aca="false">IF(MONTH($A174)=MONTH($A173),IF(G174=0,I173,G174),G174)</f>
        <v>0</v>
      </c>
      <c r="J174" s="124" t="n">
        <f aca="false">IF(MONTH($A174)=MONTH($A173),SUM(I174-I173),I174)</f>
        <v>0</v>
      </c>
      <c r="K174" s="124" t="n">
        <f aca="false">IF(WEEKDAY(A174,3)&gt;4,0,(IF(A174&lt;K$2,0,IF(A174&lt;=K$3,1,0))))</f>
        <v>0</v>
      </c>
      <c r="L174" s="124" t="n">
        <f aca="false">J174*K174</f>
        <v>0</v>
      </c>
      <c r="M174" s="124" t="n">
        <f aca="false">SUM(J$97:J174)</f>
        <v>0</v>
      </c>
      <c r="N174" s="124" t="n">
        <f aca="false">SUM(J$6:J174)</f>
        <v>-221916</v>
      </c>
      <c r="P174" s="124" t="n">
        <f aca="false">D174/P$3</f>
        <v>0</v>
      </c>
      <c r="Q174" s="124" t="n">
        <f aca="false">E174/P$3</f>
        <v>0</v>
      </c>
      <c r="R174" s="124" t="n">
        <f aca="false">F174/R$3</f>
        <v>0</v>
      </c>
      <c r="S174" s="126" t="n">
        <f aca="false">J174/$R$3</f>
        <v>0</v>
      </c>
      <c r="T174" s="126" t="n">
        <f aca="false">L174/$R$3</f>
        <v>0</v>
      </c>
      <c r="U174" s="126" t="n">
        <f aca="false">I174/$R$3</f>
        <v>0</v>
      </c>
      <c r="V174" s="126" t="n">
        <f aca="false">M174/$R$3</f>
        <v>0</v>
      </c>
      <c r="W174" s="126" t="n">
        <f aca="false">N174/$R$3</f>
        <v>-221.916</v>
      </c>
    </row>
    <row r="175" customFormat="false" ht="12.75" hidden="false" customHeight="false" outlineLevel="0" collapsed="false">
      <c r="A175" s="120" t="n">
        <f aca="false">A174+1</f>
        <v>37061</v>
      </c>
      <c r="B175" s="131" t="str">
        <f aca="false">INDEX('[4]Master Data'!$A$2:$B$8,MATCH(WEEKDAY('TBS Gas MTM'!A175,3),'[4]Master Data'!$A$2:$A$8,0),2)</f>
        <v>T</v>
      </c>
      <c r="D175" s="124" t="n">
        <v>0</v>
      </c>
      <c r="E175" s="124" t="n">
        <v>0</v>
      </c>
      <c r="F175" s="124" t="n">
        <v>0</v>
      </c>
      <c r="G175" s="124" t="n">
        <v>0</v>
      </c>
      <c r="I175" s="124" t="n">
        <f aca="false">IF(MONTH($A175)=MONTH($A174),IF(G175=0,I174,G175),G175)</f>
        <v>0</v>
      </c>
      <c r="J175" s="124" t="n">
        <f aca="false">IF(MONTH($A175)=MONTH($A174),SUM(I175-I174),I175)</f>
        <v>0</v>
      </c>
      <c r="K175" s="124" t="n">
        <f aca="false">IF(WEEKDAY(A175,3)&gt;4,0,(IF(A175&lt;K$2,0,IF(A175&lt;=K$3,1,0))))</f>
        <v>0</v>
      </c>
      <c r="L175" s="124" t="n">
        <f aca="false">J175*K175</f>
        <v>0</v>
      </c>
      <c r="M175" s="124" t="n">
        <f aca="false">SUM(J$97:J175)</f>
        <v>0</v>
      </c>
      <c r="N175" s="124" t="n">
        <f aca="false">SUM(J$6:J175)</f>
        <v>-221916</v>
      </c>
      <c r="P175" s="124" t="n">
        <f aca="false">D175/P$3</f>
        <v>0</v>
      </c>
      <c r="Q175" s="124" t="n">
        <f aca="false">E175/P$3</f>
        <v>0</v>
      </c>
      <c r="R175" s="124" t="n">
        <f aca="false">F175/R$3</f>
        <v>0</v>
      </c>
      <c r="S175" s="126" t="n">
        <f aca="false">J175/$R$3</f>
        <v>0</v>
      </c>
      <c r="T175" s="126" t="n">
        <f aca="false">L175/$R$3</f>
        <v>0</v>
      </c>
      <c r="U175" s="126" t="n">
        <f aca="false">I175/$R$3</f>
        <v>0</v>
      </c>
      <c r="V175" s="126" t="n">
        <f aca="false">M175/$R$3</f>
        <v>0</v>
      </c>
      <c r="W175" s="126" t="n">
        <f aca="false">N175/$R$3</f>
        <v>-221.916</v>
      </c>
    </row>
    <row r="176" customFormat="false" ht="12.75" hidden="false" customHeight="false" outlineLevel="0" collapsed="false">
      <c r="A176" s="120" t="n">
        <f aca="false">A175+1</f>
        <v>37062</v>
      </c>
      <c r="B176" s="131" t="str">
        <f aca="false">INDEX('[4]Master Data'!$A$2:$B$8,MATCH(WEEKDAY('TBS Gas MTM'!A176,3),'[4]Master Data'!$A$2:$A$8,0),2)</f>
        <v>W</v>
      </c>
      <c r="D176" s="124" t="n">
        <v>0</v>
      </c>
      <c r="E176" s="124" t="n">
        <v>0</v>
      </c>
      <c r="F176" s="124" t="n">
        <v>0</v>
      </c>
      <c r="G176" s="124" t="n">
        <v>0</v>
      </c>
      <c r="I176" s="124" t="n">
        <f aca="false">IF(MONTH($A176)=MONTH($A175),IF(G176=0,I175,G176),G176)</f>
        <v>0</v>
      </c>
      <c r="J176" s="124" t="n">
        <f aca="false">IF(MONTH($A176)=MONTH($A175),SUM(I176-I175),I176)</f>
        <v>0</v>
      </c>
      <c r="K176" s="124" t="n">
        <f aca="false">IF(WEEKDAY(A176,3)&gt;4,0,(IF(A176&lt;K$2,0,IF(A176&lt;=K$3,1,0))))</f>
        <v>0</v>
      </c>
      <c r="L176" s="124" t="n">
        <f aca="false">J176*K176</f>
        <v>0</v>
      </c>
      <c r="M176" s="124" t="n">
        <f aca="false">SUM(J$97:J176)</f>
        <v>0</v>
      </c>
      <c r="N176" s="124" t="n">
        <f aca="false">SUM(J$6:J176)</f>
        <v>-221916</v>
      </c>
      <c r="P176" s="124" t="n">
        <f aca="false">D176/P$3</f>
        <v>0</v>
      </c>
      <c r="Q176" s="124" t="n">
        <f aca="false">E176/P$3</f>
        <v>0</v>
      </c>
      <c r="R176" s="124" t="n">
        <f aca="false">F176/R$3</f>
        <v>0</v>
      </c>
      <c r="S176" s="126" t="n">
        <f aca="false">J176/$R$3</f>
        <v>0</v>
      </c>
      <c r="T176" s="126" t="n">
        <f aca="false">L176/$R$3</f>
        <v>0</v>
      </c>
      <c r="U176" s="126" t="n">
        <f aca="false">I176/$R$3</f>
        <v>0</v>
      </c>
      <c r="V176" s="126" t="n">
        <f aca="false">M176/$R$3</f>
        <v>0</v>
      </c>
      <c r="W176" s="126" t="n">
        <f aca="false">N176/$R$3</f>
        <v>-221.916</v>
      </c>
    </row>
    <row r="177" customFormat="false" ht="12.75" hidden="false" customHeight="false" outlineLevel="0" collapsed="false">
      <c r="A177" s="120" t="n">
        <f aca="false">A176+1</f>
        <v>37063</v>
      </c>
      <c r="B177" s="131" t="str">
        <f aca="false">INDEX('[4]Master Data'!$A$2:$B$8,MATCH(WEEKDAY('TBS Gas MTM'!A177,3),'[4]Master Data'!$A$2:$A$8,0),2)</f>
        <v>Th</v>
      </c>
      <c r="D177" s="124" t="n">
        <v>0</v>
      </c>
      <c r="E177" s="124" t="n">
        <v>0</v>
      </c>
      <c r="F177" s="124" t="n">
        <v>0</v>
      </c>
      <c r="G177" s="124" t="n">
        <v>0</v>
      </c>
      <c r="I177" s="124" t="n">
        <f aca="false">IF(MONTH($A177)=MONTH($A176),IF(G177=0,I176,G177),G177)</f>
        <v>0</v>
      </c>
      <c r="J177" s="124" t="n">
        <f aca="false">IF(MONTH($A177)=MONTH($A176),SUM(I177-I176),I177)</f>
        <v>0</v>
      </c>
      <c r="K177" s="124" t="n">
        <f aca="false">IF(WEEKDAY(A177,3)&gt;4,0,(IF(A177&lt;K$2,0,IF(A177&lt;=K$3,1,0))))</f>
        <v>0</v>
      </c>
      <c r="L177" s="124" t="n">
        <f aca="false">J177*K177</f>
        <v>0</v>
      </c>
      <c r="M177" s="124" t="n">
        <f aca="false">SUM(J$97:J177)</f>
        <v>0</v>
      </c>
      <c r="N177" s="124" t="n">
        <f aca="false">SUM(J$6:J177)</f>
        <v>-221916</v>
      </c>
      <c r="P177" s="124" t="n">
        <f aca="false">D177/P$3</f>
        <v>0</v>
      </c>
      <c r="Q177" s="124" t="n">
        <f aca="false">E177/P$3</f>
        <v>0</v>
      </c>
      <c r="R177" s="124" t="n">
        <f aca="false">F177/R$3</f>
        <v>0</v>
      </c>
      <c r="S177" s="126" t="n">
        <f aca="false">J177/$R$3</f>
        <v>0</v>
      </c>
      <c r="T177" s="126" t="n">
        <f aca="false">L177/$R$3</f>
        <v>0</v>
      </c>
      <c r="U177" s="126" t="n">
        <f aca="false">I177/$R$3</f>
        <v>0</v>
      </c>
      <c r="V177" s="126" t="n">
        <f aca="false">M177/$R$3</f>
        <v>0</v>
      </c>
      <c r="W177" s="126" t="n">
        <f aca="false">N177/$R$3</f>
        <v>-221.916</v>
      </c>
    </row>
    <row r="178" customFormat="false" ht="12.75" hidden="false" customHeight="false" outlineLevel="0" collapsed="false">
      <c r="A178" s="120" t="n">
        <f aca="false">A177+1</f>
        <v>37064</v>
      </c>
      <c r="B178" s="131" t="str">
        <f aca="false">INDEX('[4]Master Data'!$A$2:$B$8,MATCH(WEEKDAY('TBS Gas MTM'!A178,3),'[4]Master Data'!$A$2:$A$8,0),2)</f>
        <v>F</v>
      </c>
      <c r="D178" s="124" t="n">
        <v>0</v>
      </c>
      <c r="E178" s="124" t="n">
        <v>0</v>
      </c>
      <c r="F178" s="124" t="n">
        <v>0</v>
      </c>
      <c r="G178" s="124" t="n">
        <v>0</v>
      </c>
      <c r="I178" s="124" t="n">
        <f aca="false">IF(MONTH($A178)=MONTH($A177),IF(G178=0,I177,G178),G178)</f>
        <v>0</v>
      </c>
      <c r="J178" s="124" t="n">
        <f aca="false">IF(MONTH($A178)=MONTH($A177),SUM(I178-I177),I178)</f>
        <v>0</v>
      </c>
      <c r="K178" s="124" t="n">
        <f aca="false">IF(WEEKDAY(A178,3)&gt;4,0,(IF(A178&lt;K$2,0,IF(A178&lt;=K$3,1,0))))</f>
        <v>0</v>
      </c>
      <c r="L178" s="124" t="n">
        <f aca="false">J178*K178</f>
        <v>0</v>
      </c>
      <c r="M178" s="124" t="n">
        <f aca="false">SUM(J$97:J178)</f>
        <v>0</v>
      </c>
      <c r="N178" s="124" t="n">
        <f aca="false">SUM(J$6:J178)</f>
        <v>-221916</v>
      </c>
      <c r="P178" s="124" t="n">
        <f aca="false">D178/P$3</f>
        <v>0</v>
      </c>
      <c r="Q178" s="124" t="n">
        <f aca="false">E178/P$3</f>
        <v>0</v>
      </c>
      <c r="R178" s="124" t="n">
        <f aca="false">F178/R$3</f>
        <v>0</v>
      </c>
      <c r="S178" s="126" t="n">
        <f aca="false">J178/$R$3</f>
        <v>0</v>
      </c>
      <c r="T178" s="126" t="n">
        <f aca="false">L178/$R$3</f>
        <v>0</v>
      </c>
      <c r="U178" s="126" t="n">
        <f aca="false">I178/$R$3</f>
        <v>0</v>
      </c>
      <c r="V178" s="126" t="n">
        <f aca="false">M178/$R$3</f>
        <v>0</v>
      </c>
      <c r="W178" s="126" t="n">
        <f aca="false">N178/$R$3</f>
        <v>-221.916</v>
      </c>
    </row>
    <row r="179" customFormat="false" ht="12.75" hidden="false" customHeight="false" outlineLevel="0" collapsed="false">
      <c r="A179" s="120" t="n">
        <f aca="false">A178+1</f>
        <v>37065</v>
      </c>
      <c r="B179" s="131" t="str">
        <f aca="false">INDEX('[4]Master Data'!$A$2:$B$8,MATCH(WEEKDAY('TBS Gas MTM'!A179,3),'[4]Master Data'!$A$2:$A$8,0),2)</f>
        <v>Sa</v>
      </c>
      <c r="D179" s="124" t="n">
        <v>0</v>
      </c>
      <c r="E179" s="124" t="n">
        <v>0</v>
      </c>
      <c r="F179" s="124" t="n">
        <v>0</v>
      </c>
      <c r="G179" s="124" t="n">
        <v>0</v>
      </c>
      <c r="I179" s="124" t="n">
        <f aca="false">IF(MONTH($A179)=MONTH($A178),IF(G179=0,I178,G179),G179)</f>
        <v>0</v>
      </c>
      <c r="J179" s="124" t="n">
        <f aca="false">IF(MONTH($A179)=MONTH($A178),SUM(I179-I178),I179)</f>
        <v>0</v>
      </c>
      <c r="K179" s="124" t="n">
        <f aca="false">IF(WEEKDAY(A179,3)&gt;4,0,(IF(A179&lt;K$2,0,IF(A179&lt;=K$3,1,0))))</f>
        <v>0</v>
      </c>
      <c r="L179" s="124" t="n">
        <f aca="false">J179*K179</f>
        <v>0</v>
      </c>
      <c r="M179" s="124" t="n">
        <f aca="false">SUM(J$97:J179)</f>
        <v>0</v>
      </c>
      <c r="N179" s="124" t="n">
        <f aca="false">SUM(J$6:J179)</f>
        <v>-221916</v>
      </c>
      <c r="P179" s="124" t="n">
        <f aca="false">D179/P$3</f>
        <v>0</v>
      </c>
      <c r="Q179" s="124" t="n">
        <f aca="false">E179/P$3</f>
        <v>0</v>
      </c>
      <c r="R179" s="124" t="n">
        <f aca="false">F179/R$3</f>
        <v>0</v>
      </c>
      <c r="S179" s="126" t="n">
        <f aca="false">J179/$R$3</f>
        <v>0</v>
      </c>
      <c r="T179" s="126" t="n">
        <f aca="false">L179/$R$3</f>
        <v>0</v>
      </c>
      <c r="U179" s="126" t="n">
        <f aca="false">I179/$R$3</f>
        <v>0</v>
      </c>
      <c r="V179" s="126" t="n">
        <f aca="false">M179/$R$3</f>
        <v>0</v>
      </c>
      <c r="W179" s="126" t="n">
        <f aca="false">N179/$R$3</f>
        <v>-221.916</v>
      </c>
    </row>
    <row r="180" customFormat="false" ht="12.75" hidden="false" customHeight="false" outlineLevel="0" collapsed="false">
      <c r="A180" s="120" t="n">
        <f aca="false">A179+1</f>
        <v>37066</v>
      </c>
      <c r="B180" s="131" t="str">
        <f aca="false">INDEX('[4]Master Data'!$A$2:$B$8,MATCH(WEEKDAY('TBS Gas MTM'!A180,3),'[4]Master Data'!$A$2:$A$8,0),2)</f>
        <v>Su</v>
      </c>
      <c r="D180" s="124" t="n">
        <v>0</v>
      </c>
      <c r="E180" s="124" t="n">
        <v>0</v>
      </c>
      <c r="F180" s="124" t="n">
        <v>0</v>
      </c>
      <c r="G180" s="124" t="n">
        <v>0</v>
      </c>
      <c r="I180" s="124" t="n">
        <f aca="false">IF(MONTH($A180)=MONTH($A179),IF(G180=0,I179,G180),G180)</f>
        <v>0</v>
      </c>
      <c r="J180" s="124" t="n">
        <f aca="false">IF(MONTH($A180)=MONTH($A179),SUM(I180-I179),I180)</f>
        <v>0</v>
      </c>
      <c r="K180" s="124" t="n">
        <f aca="false">IF(WEEKDAY(A180,3)&gt;4,0,(IF(A180&lt;K$2,0,IF(A180&lt;=K$3,1,0))))</f>
        <v>0</v>
      </c>
      <c r="L180" s="124" t="n">
        <f aca="false">J180*K180</f>
        <v>0</v>
      </c>
      <c r="M180" s="124" t="n">
        <f aca="false">SUM(J$97:J180)</f>
        <v>0</v>
      </c>
      <c r="N180" s="124" t="n">
        <f aca="false">SUM(J$6:J180)</f>
        <v>-221916</v>
      </c>
      <c r="P180" s="124" t="n">
        <f aca="false">D180/P$3</f>
        <v>0</v>
      </c>
      <c r="Q180" s="124" t="n">
        <f aca="false">E180/P$3</f>
        <v>0</v>
      </c>
      <c r="R180" s="124" t="n">
        <f aca="false">F180/R$3</f>
        <v>0</v>
      </c>
      <c r="S180" s="126" t="n">
        <f aca="false">J180/$R$3</f>
        <v>0</v>
      </c>
      <c r="T180" s="126" t="n">
        <f aca="false">L180/$R$3</f>
        <v>0</v>
      </c>
      <c r="U180" s="126" t="n">
        <f aca="false">I180/$R$3</f>
        <v>0</v>
      </c>
      <c r="V180" s="126" t="n">
        <f aca="false">M180/$R$3</f>
        <v>0</v>
      </c>
      <c r="W180" s="126" t="n">
        <f aca="false">N180/$R$3</f>
        <v>-221.916</v>
      </c>
    </row>
    <row r="181" customFormat="false" ht="12.75" hidden="false" customHeight="false" outlineLevel="0" collapsed="false">
      <c r="A181" s="120" t="n">
        <f aca="false">A180+1</f>
        <v>37067</v>
      </c>
      <c r="B181" s="131" t="str">
        <f aca="false">INDEX('[4]Master Data'!$A$2:$B$8,MATCH(WEEKDAY('TBS Gas MTM'!A181,3),'[4]Master Data'!$A$2:$A$8,0),2)</f>
        <v>M</v>
      </c>
      <c r="D181" s="124" t="n">
        <v>0</v>
      </c>
      <c r="E181" s="124" t="n">
        <v>0</v>
      </c>
      <c r="F181" s="124" t="n">
        <v>0</v>
      </c>
      <c r="G181" s="124" t="n">
        <v>0</v>
      </c>
      <c r="I181" s="124" t="n">
        <f aca="false">IF(MONTH($A181)=MONTH($A180),IF(G181=0,I180,G181),G181)</f>
        <v>0</v>
      </c>
      <c r="J181" s="124" t="n">
        <f aca="false">IF(MONTH($A181)=MONTH($A180),SUM(I181-I180),I181)</f>
        <v>0</v>
      </c>
      <c r="K181" s="124" t="n">
        <f aca="false">IF(WEEKDAY(A181,3)&gt;4,0,(IF(A181&lt;K$2,0,IF(A181&lt;=K$3,1,0))))</f>
        <v>0</v>
      </c>
      <c r="L181" s="124" t="n">
        <f aca="false">J181*K181</f>
        <v>0</v>
      </c>
      <c r="M181" s="124" t="n">
        <f aca="false">SUM(J$97:J181)</f>
        <v>0</v>
      </c>
      <c r="N181" s="124" t="n">
        <f aca="false">SUM(J$6:J181)</f>
        <v>-221916</v>
      </c>
      <c r="P181" s="124" t="n">
        <f aca="false">D181/P$3</f>
        <v>0</v>
      </c>
      <c r="Q181" s="124" t="n">
        <f aca="false">E181/P$3</f>
        <v>0</v>
      </c>
      <c r="R181" s="124" t="n">
        <f aca="false">F181/R$3</f>
        <v>0</v>
      </c>
      <c r="S181" s="126" t="n">
        <f aca="false">J181/$R$3</f>
        <v>0</v>
      </c>
      <c r="T181" s="126" t="n">
        <f aca="false">L181/$R$3</f>
        <v>0</v>
      </c>
      <c r="U181" s="126" t="n">
        <f aca="false">I181/$R$3</f>
        <v>0</v>
      </c>
      <c r="V181" s="126" t="n">
        <f aca="false">M181/$R$3</f>
        <v>0</v>
      </c>
      <c r="W181" s="126" t="n">
        <f aca="false">N181/$R$3</f>
        <v>-221.916</v>
      </c>
    </row>
    <row r="182" customFormat="false" ht="12.75" hidden="false" customHeight="false" outlineLevel="0" collapsed="false">
      <c r="A182" s="120" t="n">
        <f aca="false">A181+1</f>
        <v>37068</v>
      </c>
      <c r="B182" s="131" t="str">
        <f aca="false">INDEX('[4]Master Data'!$A$2:$B$8,MATCH(WEEKDAY('TBS Gas MTM'!A182,3),'[4]Master Data'!$A$2:$A$8,0),2)</f>
        <v>T</v>
      </c>
      <c r="D182" s="124" t="n">
        <v>0</v>
      </c>
      <c r="E182" s="124" t="n">
        <v>0</v>
      </c>
      <c r="F182" s="124" t="n">
        <v>0</v>
      </c>
      <c r="G182" s="124" t="n">
        <v>0</v>
      </c>
      <c r="I182" s="124" t="n">
        <f aca="false">IF(MONTH($A182)=MONTH($A181),IF(G182=0,I181,G182),G182)</f>
        <v>0</v>
      </c>
      <c r="J182" s="124" t="n">
        <f aca="false">IF(MONTH($A182)=MONTH($A181),SUM(I182-I181),I182)</f>
        <v>0</v>
      </c>
      <c r="K182" s="124" t="n">
        <f aca="false">IF(WEEKDAY(A182,3)&gt;4,0,(IF(A182&lt;K$2,0,IF(A182&lt;=K$3,1,0))))</f>
        <v>0</v>
      </c>
      <c r="L182" s="124" t="n">
        <f aca="false">J182*K182</f>
        <v>0</v>
      </c>
      <c r="M182" s="124" t="n">
        <f aca="false">SUM(J$97:J182)</f>
        <v>0</v>
      </c>
      <c r="N182" s="124" t="n">
        <f aca="false">SUM(J$6:J182)</f>
        <v>-221916</v>
      </c>
      <c r="P182" s="124" t="n">
        <f aca="false">D182/P$3</f>
        <v>0</v>
      </c>
      <c r="Q182" s="124" t="n">
        <f aca="false">E182/P$3</f>
        <v>0</v>
      </c>
      <c r="R182" s="124" t="n">
        <f aca="false">F182/R$3</f>
        <v>0</v>
      </c>
      <c r="S182" s="126" t="n">
        <f aca="false">J182/$R$3</f>
        <v>0</v>
      </c>
      <c r="T182" s="126" t="n">
        <f aca="false">L182/$R$3</f>
        <v>0</v>
      </c>
      <c r="U182" s="126" t="n">
        <f aca="false">I182/$R$3</f>
        <v>0</v>
      </c>
      <c r="V182" s="126" t="n">
        <f aca="false">M182/$R$3</f>
        <v>0</v>
      </c>
      <c r="W182" s="126" t="n">
        <f aca="false">N182/$R$3</f>
        <v>-221.916</v>
      </c>
    </row>
    <row r="183" customFormat="false" ht="12.75" hidden="false" customHeight="false" outlineLevel="0" collapsed="false">
      <c r="A183" s="120" t="n">
        <f aca="false">A182+1</f>
        <v>37069</v>
      </c>
      <c r="B183" s="131" t="str">
        <f aca="false">INDEX('[4]Master Data'!$A$2:$B$8,MATCH(WEEKDAY('TBS Gas MTM'!A183,3),'[4]Master Data'!$A$2:$A$8,0),2)</f>
        <v>W</v>
      </c>
      <c r="D183" s="124" t="n">
        <v>0</v>
      </c>
      <c r="E183" s="124" t="n">
        <v>0</v>
      </c>
      <c r="F183" s="124" t="n">
        <v>0</v>
      </c>
      <c r="G183" s="124" t="n">
        <v>0</v>
      </c>
      <c r="I183" s="124" t="n">
        <f aca="false">IF(MONTH($A183)=MONTH($A182),IF(G183=0,I182,G183),G183)</f>
        <v>0</v>
      </c>
      <c r="J183" s="124" t="n">
        <f aca="false">IF(MONTH($A183)=MONTH($A182),SUM(I183-I182),I183)</f>
        <v>0</v>
      </c>
      <c r="K183" s="124" t="n">
        <f aca="false">IF(WEEKDAY(A183,3)&gt;4,0,(IF(A183&lt;K$2,0,IF(A183&lt;=K$3,1,0))))</f>
        <v>0</v>
      </c>
      <c r="L183" s="124" t="n">
        <f aca="false">J183*K183</f>
        <v>0</v>
      </c>
      <c r="M183" s="124" t="n">
        <f aca="false">SUM(J$97:J183)</f>
        <v>0</v>
      </c>
      <c r="N183" s="124" t="n">
        <f aca="false">SUM(J$6:J183)</f>
        <v>-221916</v>
      </c>
      <c r="P183" s="124" t="n">
        <f aca="false">D183/P$3</f>
        <v>0</v>
      </c>
      <c r="Q183" s="124" t="n">
        <f aca="false">E183/P$3</f>
        <v>0</v>
      </c>
      <c r="R183" s="124" t="n">
        <f aca="false">F183/R$3</f>
        <v>0</v>
      </c>
      <c r="S183" s="126" t="n">
        <f aca="false">J183/$R$3</f>
        <v>0</v>
      </c>
      <c r="T183" s="126" t="n">
        <f aca="false">L183/$R$3</f>
        <v>0</v>
      </c>
      <c r="U183" s="126" t="n">
        <f aca="false">I183/$R$3</f>
        <v>0</v>
      </c>
      <c r="V183" s="126" t="n">
        <f aca="false">M183/$R$3</f>
        <v>0</v>
      </c>
      <c r="W183" s="126" t="n">
        <f aca="false">N183/$R$3</f>
        <v>-221.916</v>
      </c>
    </row>
    <row r="184" customFormat="false" ht="12.75" hidden="false" customHeight="false" outlineLevel="0" collapsed="false">
      <c r="A184" s="120" t="n">
        <f aca="false">A183+1</f>
        <v>37070</v>
      </c>
      <c r="B184" s="131" t="str">
        <f aca="false">INDEX('[4]Master Data'!$A$2:$B$8,MATCH(WEEKDAY('TBS Gas MTM'!A184,3),'[4]Master Data'!$A$2:$A$8,0),2)</f>
        <v>Th</v>
      </c>
      <c r="D184" s="124" t="n">
        <v>0</v>
      </c>
      <c r="E184" s="124" t="n">
        <v>0</v>
      </c>
      <c r="F184" s="124" t="n">
        <v>0</v>
      </c>
      <c r="G184" s="124" t="n">
        <v>0</v>
      </c>
      <c r="I184" s="124" t="n">
        <f aca="false">IF(MONTH($A184)=MONTH($A183),IF(G184=0,I183,G184),G184)</f>
        <v>0</v>
      </c>
      <c r="J184" s="124" t="n">
        <f aca="false">IF(MONTH($A184)=MONTH($A183),SUM(I184-I183),I184)</f>
        <v>0</v>
      </c>
      <c r="K184" s="124" t="n">
        <f aca="false">IF(WEEKDAY(A184,3)&gt;4,0,(IF(A184&lt;K$2,0,IF(A184&lt;=K$3,1,0))))</f>
        <v>0</v>
      </c>
      <c r="L184" s="124" t="n">
        <f aca="false">J184*K184</f>
        <v>0</v>
      </c>
      <c r="M184" s="124" t="n">
        <f aca="false">SUM(J$97:J184)</f>
        <v>0</v>
      </c>
      <c r="N184" s="124" t="n">
        <f aca="false">SUM(J$6:J184)</f>
        <v>-221916</v>
      </c>
      <c r="P184" s="124" t="n">
        <f aca="false">D184/P$3</f>
        <v>0</v>
      </c>
      <c r="Q184" s="124" t="n">
        <f aca="false">E184/P$3</f>
        <v>0</v>
      </c>
      <c r="R184" s="124" t="n">
        <f aca="false">F184/R$3</f>
        <v>0</v>
      </c>
      <c r="S184" s="126" t="n">
        <f aca="false">J184/$R$3</f>
        <v>0</v>
      </c>
      <c r="T184" s="126" t="n">
        <f aca="false">L184/$R$3</f>
        <v>0</v>
      </c>
      <c r="U184" s="126" t="n">
        <f aca="false">I184/$R$3</f>
        <v>0</v>
      </c>
      <c r="V184" s="126" t="n">
        <f aca="false">M184/$R$3</f>
        <v>0</v>
      </c>
      <c r="W184" s="126" t="n">
        <f aca="false">N184/$R$3</f>
        <v>-221.916</v>
      </c>
    </row>
    <row r="185" customFormat="false" ht="12.75" hidden="false" customHeight="false" outlineLevel="0" collapsed="false">
      <c r="A185" s="120" t="n">
        <f aca="false">A184+1</f>
        <v>37071</v>
      </c>
      <c r="B185" s="131" t="str">
        <f aca="false">INDEX('[4]Master Data'!$A$2:$B$8,MATCH(WEEKDAY('TBS Gas MTM'!A185,3),'[4]Master Data'!$A$2:$A$8,0),2)</f>
        <v>F</v>
      </c>
      <c r="D185" s="124" t="n">
        <v>0</v>
      </c>
      <c r="E185" s="124" t="n">
        <v>0</v>
      </c>
      <c r="F185" s="124" t="n">
        <v>0</v>
      </c>
      <c r="G185" s="124" t="n">
        <v>0</v>
      </c>
      <c r="I185" s="124" t="n">
        <f aca="false">IF(MONTH($A185)=MONTH($A184),IF(G185=0,I184,G185),G185)</f>
        <v>0</v>
      </c>
      <c r="J185" s="124" t="n">
        <f aca="false">IF(MONTH($A185)=MONTH($A184),SUM(I185-I184),I185)</f>
        <v>0</v>
      </c>
      <c r="K185" s="124" t="n">
        <f aca="false">IF(WEEKDAY(A185,3)&gt;4,0,(IF(A185&lt;K$2,0,IF(A185&lt;=K$3,1,0))))</f>
        <v>0</v>
      </c>
      <c r="L185" s="124" t="n">
        <f aca="false">J185*K185</f>
        <v>0</v>
      </c>
      <c r="M185" s="124" t="n">
        <f aca="false">SUM(J$97:J185)</f>
        <v>0</v>
      </c>
      <c r="N185" s="124" t="n">
        <f aca="false">SUM(J$6:J185)</f>
        <v>-221916</v>
      </c>
      <c r="P185" s="124" t="n">
        <f aca="false">D185/P$3</f>
        <v>0</v>
      </c>
      <c r="Q185" s="124" t="n">
        <f aca="false">E185/P$3</f>
        <v>0</v>
      </c>
      <c r="R185" s="124" t="n">
        <f aca="false">F185/R$3</f>
        <v>0</v>
      </c>
      <c r="S185" s="126" t="n">
        <f aca="false">J185/$R$3</f>
        <v>0</v>
      </c>
      <c r="T185" s="126" t="n">
        <f aca="false">L185/$R$3</f>
        <v>0</v>
      </c>
      <c r="U185" s="126" t="n">
        <f aca="false">I185/$R$3</f>
        <v>0</v>
      </c>
      <c r="V185" s="126" t="n">
        <f aca="false">M185/$R$3</f>
        <v>0</v>
      </c>
      <c r="W185" s="126" t="n">
        <f aca="false">N185/$R$3</f>
        <v>-221.916</v>
      </c>
    </row>
    <row r="186" customFormat="false" ht="12.75" hidden="false" customHeight="false" outlineLevel="0" collapsed="false">
      <c r="A186" s="120" t="n">
        <f aca="false">A185+1</f>
        <v>37072</v>
      </c>
      <c r="B186" s="131" t="str">
        <f aca="false">INDEX('[4]Master Data'!$A$2:$B$8,MATCH(WEEKDAY('TBS Gas MTM'!A186,3),'[4]Master Data'!$A$2:$A$8,0),2)</f>
        <v>Sa</v>
      </c>
      <c r="D186" s="124" t="n">
        <v>0</v>
      </c>
      <c r="E186" s="124" t="n">
        <v>0</v>
      </c>
      <c r="F186" s="124" t="n">
        <v>0</v>
      </c>
      <c r="G186" s="124" t="n">
        <v>0</v>
      </c>
      <c r="I186" s="124" t="n">
        <f aca="false">IF(MONTH($A186)=MONTH($A185),IF(G186=0,I185,G186),G186)</f>
        <v>0</v>
      </c>
      <c r="J186" s="124" t="n">
        <f aca="false">IF(MONTH($A186)=MONTH($A185),SUM(I186-I185),I186)</f>
        <v>0</v>
      </c>
      <c r="K186" s="124" t="n">
        <f aca="false">IF(WEEKDAY(A186,3)&gt;4,0,(IF(A186&lt;K$2,0,IF(A186&lt;=K$3,1,0))))</f>
        <v>0</v>
      </c>
      <c r="L186" s="124" t="n">
        <f aca="false">J186*K186</f>
        <v>0</v>
      </c>
      <c r="M186" s="124" t="n">
        <f aca="false">SUM(J$97:J186)</f>
        <v>0</v>
      </c>
      <c r="N186" s="124" t="n">
        <f aca="false">SUM(J$6:J186)</f>
        <v>-221916</v>
      </c>
      <c r="P186" s="124" t="n">
        <f aca="false">D186/P$3</f>
        <v>0</v>
      </c>
      <c r="Q186" s="124" t="n">
        <f aca="false">E186/P$3</f>
        <v>0</v>
      </c>
      <c r="R186" s="124" t="n">
        <f aca="false">F186/R$3</f>
        <v>0</v>
      </c>
      <c r="S186" s="126" t="n">
        <f aca="false">J186/$R$3</f>
        <v>0</v>
      </c>
      <c r="T186" s="126" t="n">
        <f aca="false">L186/$R$3</f>
        <v>0</v>
      </c>
      <c r="U186" s="126" t="n">
        <f aca="false">I186/$R$3</f>
        <v>0</v>
      </c>
      <c r="V186" s="126" t="n">
        <f aca="false">M186/$R$3</f>
        <v>0</v>
      </c>
      <c r="W186" s="126" t="n">
        <f aca="false">N186/$R$3</f>
        <v>-221.916</v>
      </c>
    </row>
    <row r="187" customFormat="false" ht="12.75" hidden="false" customHeight="false" outlineLevel="0" collapsed="false">
      <c r="A187" s="120" t="n">
        <f aca="false">A186+1</f>
        <v>37073</v>
      </c>
      <c r="B187" s="131" t="str">
        <f aca="false">INDEX('[4]Master Data'!$A$2:$B$8,MATCH(WEEKDAY('TBS Gas MTM'!A187,3),'[4]Master Data'!$A$2:$A$8,0),2)</f>
        <v>Su</v>
      </c>
      <c r="D187" s="124" t="n">
        <v>0</v>
      </c>
      <c r="E187" s="124" t="n">
        <v>0</v>
      </c>
      <c r="F187" s="124" t="n">
        <v>0</v>
      </c>
      <c r="G187" s="124" t="n">
        <v>0</v>
      </c>
      <c r="I187" s="124" t="n">
        <f aca="false">IF(MONTH($A187)=MONTH($A186),IF(G187=0,I186,G187),G187)</f>
        <v>0</v>
      </c>
      <c r="J187" s="124" t="n">
        <f aca="false">IF(MONTH($A187)=MONTH($A186),SUM(I187-I186),I187)</f>
        <v>0</v>
      </c>
      <c r="K187" s="124" t="n">
        <f aca="false">IF(WEEKDAY(A187,3)&gt;4,0,(IF(A187&lt;K$2,0,IF(A187&lt;=K$3,1,0))))</f>
        <v>0</v>
      </c>
      <c r="L187" s="124" t="n">
        <f aca="false">J187*K187</f>
        <v>0</v>
      </c>
      <c r="M187" s="124" t="n">
        <f aca="false">SUM(J$97:J187)</f>
        <v>0</v>
      </c>
      <c r="N187" s="124" t="n">
        <f aca="false">SUM(J$6:J187)</f>
        <v>-221916</v>
      </c>
      <c r="P187" s="124" t="n">
        <f aca="false">D187/P$3</f>
        <v>0</v>
      </c>
      <c r="Q187" s="124" t="n">
        <f aca="false">E187/P$3</f>
        <v>0</v>
      </c>
      <c r="R187" s="124" t="n">
        <f aca="false">F187/R$3</f>
        <v>0</v>
      </c>
      <c r="S187" s="126" t="n">
        <f aca="false">J187/$R$3</f>
        <v>0</v>
      </c>
      <c r="T187" s="126" t="n">
        <f aca="false">L187/$R$3</f>
        <v>0</v>
      </c>
      <c r="U187" s="126" t="n">
        <f aca="false">I187/$R$3</f>
        <v>0</v>
      </c>
      <c r="V187" s="126" t="n">
        <f aca="false">M187/$R$3</f>
        <v>0</v>
      </c>
      <c r="W187" s="126" t="n">
        <f aca="false">N187/$R$3</f>
        <v>-221.916</v>
      </c>
    </row>
    <row r="188" customFormat="false" ht="12.75" hidden="false" customHeight="false" outlineLevel="0" collapsed="false">
      <c r="A188" s="120" t="n">
        <f aca="false">A187+1</f>
        <v>37074</v>
      </c>
      <c r="B188" s="131" t="str">
        <f aca="false">INDEX('[4]Master Data'!$A$2:$B$8,MATCH(WEEKDAY('TBS Gas MTM'!A188,3),'[4]Master Data'!$A$2:$A$8,0),2)</f>
        <v>M</v>
      </c>
      <c r="D188" s="124" t="n">
        <v>0</v>
      </c>
      <c r="E188" s="124" t="n">
        <v>0</v>
      </c>
      <c r="F188" s="124" t="n">
        <v>0</v>
      </c>
      <c r="G188" s="124" t="n">
        <v>0</v>
      </c>
      <c r="I188" s="124" t="n">
        <f aca="false">IF(MONTH($A188)=MONTH($A187),IF(G188=0,I187,G188),G188)</f>
        <v>0</v>
      </c>
      <c r="J188" s="124" t="n">
        <f aca="false">IF(MONTH($A188)=MONTH($A187),SUM(I188-I187),I188)</f>
        <v>0</v>
      </c>
      <c r="K188" s="124" t="n">
        <f aca="false">IF(WEEKDAY(A188,3)&gt;4,0,(IF(A188&lt;K$2,0,IF(A188&lt;=K$3,1,0))))</f>
        <v>0</v>
      </c>
      <c r="L188" s="124" t="n">
        <f aca="false">J188*K188</f>
        <v>0</v>
      </c>
      <c r="M188" s="124" t="n">
        <f aca="false">SUM(J$188:J188)</f>
        <v>0</v>
      </c>
      <c r="N188" s="124" t="n">
        <f aca="false">SUM(J$6:J188)</f>
        <v>-221916</v>
      </c>
      <c r="P188" s="124" t="n">
        <f aca="false">D188/P$3</f>
        <v>0</v>
      </c>
      <c r="Q188" s="124" t="n">
        <f aca="false">E188/P$3</f>
        <v>0</v>
      </c>
      <c r="R188" s="124" t="n">
        <f aca="false">F188/R$3</f>
        <v>0</v>
      </c>
      <c r="S188" s="126" t="n">
        <f aca="false">J188/$R$3</f>
        <v>0</v>
      </c>
      <c r="T188" s="126" t="n">
        <f aca="false">L188/$R$3</f>
        <v>0</v>
      </c>
      <c r="U188" s="126" t="n">
        <f aca="false">I188/$R$3</f>
        <v>0</v>
      </c>
      <c r="V188" s="126" t="n">
        <f aca="false">M188/$R$3</f>
        <v>0</v>
      </c>
      <c r="W188" s="126" t="n">
        <f aca="false">N188/$R$3</f>
        <v>-221.916</v>
      </c>
    </row>
    <row r="189" customFormat="false" ht="12.75" hidden="false" customHeight="false" outlineLevel="0" collapsed="false">
      <c r="A189" s="120" t="n">
        <f aca="false">A188+1</f>
        <v>37075</v>
      </c>
      <c r="B189" s="131" t="str">
        <f aca="false">INDEX('[4]Master Data'!$A$2:$B$8,MATCH(WEEKDAY('TBS Gas MTM'!A189,3),'[4]Master Data'!$A$2:$A$8,0),2)</f>
        <v>T</v>
      </c>
      <c r="D189" s="124" t="n">
        <v>0</v>
      </c>
      <c r="E189" s="124" t="n">
        <v>0</v>
      </c>
      <c r="F189" s="124" t="n">
        <v>0</v>
      </c>
      <c r="G189" s="124" t="n">
        <v>0</v>
      </c>
      <c r="I189" s="124" t="n">
        <f aca="false">IF(MONTH($A189)=MONTH($A188),IF(G189=0,I188,G189),G189)</f>
        <v>0</v>
      </c>
      <c r="J189" s="124" t="n">
        <f aca="false">IF(MONTH($A189)=MONTH($A188),SUM(I189-I188),I189)</f>
        <v>0</v>
      </c>
      <c r="K189" s="124" t="n">
        <f aca="false">IF(WEEKDAY(A189,3)&gt;4,0,(IF(A189&lt;K$2,0,IF(A189&lt;=K$3,1,0))))</f>
        <v>0</v>
      </c>
      <c r="L189" s="124" t="n">
        <f aca="false">J189*K189</f>
        <v>0</v>
      </c>
      <c r="M189" s="124" t="n">
        <f aca="false">SUM(J$188:J189)</f>
        <v>0</v>
      </c>
      <c r="N189" s="124" t="n">
        <f aca="false">SUM(J$6:J189)</f>
        <v>-221916</v>
      </c>
      <c r="P189" s="124" t="n">
        <f aca="false">D189/P$3</f>
        <v>0</v>
      </c>
      <c r="Q189" s="124" t="n">
        <f aca="false">E189/P$3</f>
        <v>0</v>
      </c>
      <c r="R189" s="124" t="n">
        <f aca="false">F189/R$3</f>
        <v>0</v>
      </c>
      <c r="S189" s="126" t="n">
        <f aca="false">J189/$R$3</f>
        <v>0</v>
      </c>
      <c r="T189" s="126" t="n">
        <f aca="false">L189/$R$3</f>
        <v>0</v>
      </c>
      <c r="U189" s="126" t="n">
        <f aca="false">I189/$R$3</f>
        <v>0</v>
      </c>
      <c r="V189" s="126" t="n">
        <f aca="false">M189/$R$3</f>
        <v>0</v>
      </c>
      <c r="W189" s="126" t="n">
        <f aca="false">N189/$R$3</f>
        <v>-221.916</v>
      </c>
    </row>
    <row r="190" customFormat="false" ht="12.75" hidden="false" customHeight="false" outlineLevel="0" collapsed="false">
      <c r="A190" s="120" t="n">
        <f aca="false">A189+1</f>
        <v>37076</v>
      </c>
      <c r="B190" s="131" t="str">
        <f aca="false">INDEX('[4]Master Data'!$A$2:$B$8,MATCH(WEEKDAY('TBS Gas MTM'!A190,3),'[4]Master Data'!$A$2:$A$8,0),2)</f>
        <v>W</v>
      </c>
      <c r="D190" s="124" t="n">
        <v>0</v>
      </c>
      <c r="E190" s="124" t="n">
        <v>0</v>
      </c>
      <c r="F190" s="124" t="n">
        <v>0</v>
      </c>
      <c r="G190" s="124" t="n">
        <v>0</v>
      </c>
      <c r="I190" s="124" t="n">
        <f aca="false">IF(MONTH($A190)=MONTH($A189),IF(G190=0,I189,G190),G190)</f>
        <v>0</v>
      </c>
      <c r="J190" s="124" t="n">
        <f aca="false">IF(MONTH($A190)=MONTH($A189),SUM(I190-I189),I190)</f>
        <v>0</v>
      </c>
      <c r="K190" s="124" t="n">
        <f aca="false">IF(WEEKDAY(A190,3)&gt;4,0,(IF(A190&lt;K$2,0,IF(A190&lt;=K$3,1,0))))</f>
        <v>0</v>
      </c>
      <c r="L190" s="124" t="n">
        <f aca="false">J190*K190</f>
        <v>0</v>
      </c>
      <c r="M190" s="124" t="n">
        <f aca="false">SUM(J$188:J190)</f>
        <v>0</v>
      </c>
      <c r="N190" s="124" t="n">
        <f aca="false">SUM(J$6:J190)</f>
        <v>-221916</v>
      </c>
      <c r="P190" s="124" t="n">
        <f aca="false">D190/P$3</f>
        <v>0</v>
      </c>
      <c r="Q190" s="124" t="n">
        <f aca="false">E190/P$3</f>
        <v>0</v>
      </c>
      <c r="R190" s="124" t="n">
        <f aca="false">F190/R$3</f>
        <v>0</v>
      </c>
      <c r="S190" s="126" t="n">
        <f aca="false">J190/$R$3</f>
        <v>0</v>
      </c>
      <c r="T190" s="126" t="n">
        <f aca="false">L190/$R$3</f>
        <v>0</v>
      </c>
      <c r="U190" s="126" t="n">
        <f aca="false">I190/$R$3</f>
        <v>0</v>
      </c>
      <c r="V190" s="126" t="n">
        <f aca="false">M190/$R$3</f>
        <v>0</v>
      </c>
      <c r="W190" s="126" t="n">
        <f aca="false">N190/$R$3</f>
        <v>-221.916</v>
      </c>
    </row>
    <row r="191" customFormat="false" ht="12.75" hidden="false" customHeight="false" outlineLevel="0" collapsed="false">
      <c r="A191" s="120" t="n">
        <f aca="false">A190+1</f>
        <v>37077</v>
      </c>
      <c r="B191" s="131" t="str">
        <f aca="false">INDEX('[4]Master Data'!$A$2:$B$8,MATCH(WEEKDAY('TBS Gas MTM'!A191,3),'[4]Master Data'!$A$2:$A$8,0),2)</f>
        <v>Th</v>
      </c>
      <c r="D191" s="124" t="n">
        <v>0</v>
      </c>
      <c r="E191" s="124" t="n">
        <v>0</v>
      </c>
      <c r="F191" s="124" t="n">
        <v>0</v>
      </c>
      <c r="G191" s="124" t="n">
        <v>0</v>
      </c>
      <c r="I191" s="124" t="n">
        <f aca="false">IF(MONTH($A191)=MONTH($A190),IF(G191=0,I190,G191),G191)</f>
        <v>0</v>
      </c>
      <c r="J191" s="124" t="n">
        <f aca="false">IF(MONTH($A191)=MONTH($A190),SUM(I191-I190),I191)</f>
        <v>0</v>
      </c>
      <c r="K191" s="124" t="n">
        <f aca="false">IF(WEEKDAY(A191,3)&gt;4,0,(IF(A191&lt;K$2,0,IF(A191&lt;=K$3,1,0))))</f>
        <v>0</v>
      </c>
      <c r="L191" s="124" t="n">
        <f aca="false">J191*K191</f>
        <v>0</v>
      </c>
      <c r="M191" s="124" t="n">
        <f aca="false">SUM(J$188:J191)</f>
        <v>0</v>
      </c>
      <c r="N191" s="124" t="n">
        <f aca="false">SUM(J$6:J191)</f>
        <v>-221916</v>
      </c>
      <c r="P191" s="124" t="n">
        <f aca="false">D191/P$3</f>
        <v>0</v>
      </c>
      <c r="Q191" s="124" t="n">
        <f aca="false">E191/P$3</f>
        <v>0</v>
      </c>
      <c r="R191" s="124" t="n">
        <f aca="false">F191/R$3</f>
        <v>0</v>
      </c>
      <c r="S191" s="126" t="n">
        <f aca="false">J191/$R$3</f>
        <v>0</v>
      </c>
      <c r="T191" s="126" t="n">
        <f aca="false">L191/$R$3</f>
        <v>0</v>
      </c>
      <c r="U191" s="126" t="n">
        <f aca="false">I191/$R$3</f>
        <v>0</v>
      </c>
      <c r="V191" s="126" t="n">
        <f aca="false">M191/$R$3</f>
        <v>0</v>
      </c>
      <c r="W191" s="126" t="n">
        <f aca="false">N191/$R$3</f>
        <v>-221.916</v>
      </c>
    </row>
    <row r="192" customFormat="false" ht="12.75" hidden="false" customHeight="false" outlineLevel="0" collapsed="false">
      <c r="A192" s="120" t="n">
        <f aca="false">A191+1</f>
        <v>37078</v>
      </c>
      <c r="B192" s="131" t="str">
        <f aca="false">INDEX('[4]Master Data'!$A$2:$B$8,MATCH(WEEKDAY('TBS Gas MTM'!A192,3),'[4]Master Data'!$A$2:$A$8,0),2)</f>
        <v>F</v>
      </c>
      <c r="D192" s="124" t="n">
        <v>0</v>
      </c>
      <c r="E192" s="124" t="n">
        <v>0</v>
      </c>
      <c r="F192" s="124" t="n">
        <v>0</v>
      </c>
      <c r="G192" s="124" t="n">
        <v>0</v>
      </c>
      <c r="I192" s="124" t="n">
        <f aca="false">IF(MONTH($A192)=MONTH($A191),IF(G192=0,I191,G192),G192)</f>
        <v>0</v>
      </c>
      <c r="J192" s="124" t="n">
        <f aca="false">IF(MONTH($A192)=MONTH($A191),SUM(I192-I191),I192)</f>
        <v>0</v>
      </c>
      <c r="K192" s="124" t="n">
        <f aca="false">IF(WEEKDAY(A192,3)&gt;4,0,(IF(A192&lt;K$2,0,IF(A192&lt;=K$3,1,0))))</f>
        <v>0</v>
      </c>
      <c r="L192" s="124" t="n">
        <f aca="false">J192*K192</f>
        <v>0</v>
      </c>
      <c r="M192" s="124" t="n">
        <f aca="false">SUM(J$188:J192)</f>
        <v>0</v>
      </c>
      <c r="N192" s="124" t="n">
        <f aca="false">SUM(J$6:J192)</f>
        <v>-221916</v>
      </c>
      <c r="P192" s="124" t="n">
        <f aca="false">D192/P$3</f>
        <v>0</v>
      </c>
      <c r="Q192" s="124" t="n">
        <f aca="false">E192/P$3</f>
        <v>0</v>
      </c>
      <c r="R192" s="124" t="n">
        <f aca="false">F192/R$3</f>
        <v>0</v>
      </c>
      <c r="S192" s="126" t="n">
        <f aca="false">J192/$R$3</f>
        <v>0</v>
      </c>
      <c r="T192" s="126" t="n">
        <f aca="false">L192/$R$3</f>
        <v>0</v>
      </c>
      <c r="U192" s="126" t="n">
        <f aca="false">I192/$R$3</f>
        <v>0</v>
      </c>
      <c r="V192" s="126" t="n">
        <f aca="false">M192/$R$3</f>
        <v>0</v>
      </c>
      <c r="W192" s="126" t="n">
        <f aca="false">N192/$R$3</f>
        <v>-221.916</v>
      </c>
    </row>
    <row r="193" customFormat="false" ht="12.75" hidden="false" customHeight="false" outlineLevel="0" collapsed="false">
      <c r="A193" s="120" t="n">
        <f aca="false">A192+1</f>
        <v>37079</v>
      </c>
      <c r="B193" s="131" t="str">
        <f aca="false">INDEX('[4]Master Data'!$A$2:$B$8,MATCH(WEEKDAY('TBS Gas MTM'!A193,3),'[4]Master Data'!$A$2:$A$8,0),2)</f>
        <v>Sa</v>
      </c>
      <c r="D193" s="124" t="n">
        <v>0</v>
      </c>
      <c r="E193" s="124" t="n">
        <v>0</v>
      </c>
      <c r="F193" s="124" t="n">
        <v>0</v>
      </c>
      <c r="G193" s="124" t="n">
        <v>0</v>
      </c>
      <c r="I193" s="124" t="n">
        <f aca="false">IF(MONTH($A193)=MONTH($A192),IF(G193=0,I192,G193),G193)</f>
        <v>0</v>
      </c>
      <c r="J193" s="124" t="n">
        <f aca="false">IF(MONTH($A193)=MONTH($A192),SUM(I193-I192),I193)</f>
        <v>0</v>
      </c>
      <c r="K193" s="124" t="n">
        <f aca="false">IF(WEEKDAY(A193,3)&gt;4,0,(IF(A193&lt;K$2,0,IF(A193&lt;=K$3,1,0))))</f>
        <v>0</v>
      </c>
      <c r="L193" s="124" t="n">
        <f aca="false">J193*K193</f>
        <v>0</v>
      </c>
      <c r="M193" s="124" t="n">
        <f aca="false">SUM(J$188:J193)</f>
        <v>0</v>
      </c>
      <c r="N193" s="124" t="n">
        <f aca="false">SUM(J$6:J193)</f>
        <v>-221916</v>
      </c>
      <c r="P193" s="124" t="n">
        <f aca="false">D193/P$3</f>
        <v>0</v>
      </c>
      <c r="Q193" s="124" t="n">
        <f aca="false">E193/P$3</f>
        <v>0</v>
      </c>
      <c r="R193" s="124" t="n">
        <f aca="false">F193/R$3</f>
        <v>0</v>
      </c>
      <c r="S193" s="126" t="n">
        <f aca="false">J193/$R$3</f>
        <v>0</v>
      </c>
      <c r="T193" s="126" t="n">
        <f aca="false">L193/$R$3</f>
        <v>0</v>
      </c>
      <c r="U193" s="126" t="n">
        <f aca="false">I193/$R$3</f>
        <v>0</v>
      </c>
      <c r="V193" s="126" t="n">
        <f aca="false">M193/$R$3</f>
        <v>0</v>
      </c>
      <c r="W193" s="126" t="n">
        <f aca="false">N193/$R$3</f>
        <v>-221.916</v>
      </c>
    </row>
    <row r="194" customFormat="false" ht="12.75" hidden="false" customHeight="false" outlineLevel="0" collapsed="false">
      <c r="A194" s="120" t="n">
        <f aca="false">A193+1</f>
        <v>37080</v>
      </c>
      <c r="B194" s="131" t="str">
        <f aca="false">INDEX('[4]Master Data'!$A$2:$B$8,MATCH(WEEKDAY('TBS Gas MTM'!A194,3),'[4]Master Data'!$A$2:$A$8,0),2)</f>
        <v>Su</v>
      </c>
      <c r="D194" s="124" t="n">
        <v>0</v>
      </c>
      <c r="E194" s="124" t="n">
        <v>0</v>
      </c>
      <c r="F194" s="124" t="n">
        <v>0</v>
      </c>
      <c r="G194" s="124" t="n">
        <v>0</v>
      </c>
      <c r="I194" s="124" t="n">
        <f aca="false">IF(MONTH($A194)=MONTH($A193),IF(G194=0,I193,G194),G194)</f>
        <v>0</v>
      </c>
      <c r="J194" s="124" t="n">
        <f aca="false">IF(MONTH($A194)=MONTH($A193),SUM(I194-I193),I194)</f>
        <v>0</v>
      </c>
      <c r="K194" s="124" t="n">
        <f aca="false">IF(WEEKDAY(A194,3)&gt;4,0,(IF(A194&lt;K$2,0,IF(A194&lt;=K$3,1,0))))</f>
        <v>0</v>
      </c>
      <c r="L194" s="124" t="n">
        <f aca="false">J194*K194</f>
        <v>0</v>
      </c>
      <c r="M194" s="124" t="n">
        <f aca="false">SUM(J$188:J194)</f>
        <v>0</v>
      </c>
      <c r="N194" s="124" t="n">
        <f aca="false">SUM(J$6:J194)</f>
        <v>-221916</v>
      </c>
      <c r="P194" s="124" t="n">
        <f aca="false">D194/P$3</f>
        <v>0</v>
      </c>
      <c r="Q194" s="124" t="n">
        <f aca="false">E194/P$3</f>
        <v>0</v>
      </c>
      <c r="R194" s="124" t="n">
        <f aca="false">F194/R$3</f>
        <v>0</v>
      </c>
      <c r="S194" s="126" t="n">
        <f aca="false">J194/$R$3</f>
        <v>0</v>
      </c>
      <c r="T194" s="126" t="n">
        <f aca="false">L194/$R$3</f>
        <v>0</v>
      </c>
      <c r="U194" s="126" t="n">
        <f aca="false">I194/$R$3</f>
        <v>0</v>
      </c>
      <c r="V194" s="126" t="n">
        <f aca="false">M194/$R$3</f>
        <v>0</v>
      </c>
      <c r="W194" s="126" t="n">
        <f aca="false">N194/$R$3</f>
        <v>-221.916</v>
      </c>
    </row>
    <row r="195" customFormat="false" ht="12.75" hidden="false" customHeight="false" outlineLevel="0" collapsed="false">
      <c r="A195" s="120" t="n">
        <f aca="false">A194+1</f>
        <v>37081</v>
      </c>
      <c r="B195" s="131" t="str">
        <f aca="false">INDEX('[4]Master Data'!$A$2:$B$8,MATCH(WEEKDAY('TBS Gas MTM'!A195,3),'[4]Master Data'!$A$2:$A$8,0),2)</f>
        <v>M</v>
      </c>
      <c r="D195" s="124" t="n">
        <v>0</v>
      </c>
      <c r="E195" s="124" t="n">
        <v>0</v>
      </c>
      <c r="F195" s="124" t="n">
        <v>0</v>
      </c>
      <c r="G195" s="124" t="n">
        <v>0</v>
      </c>
      <c r="I195" s="124" t="n">
        <f aca="false">IF(MONTH($A195)=MONTH($A194),IF(G195=0,I194,G195),G195)</f>
        <v>0</v>
      </c>
      <c r="J195" s="124" t="n">
        <f aca="false">IF(MONTH($A195)=MONTH($A194),SUM(I195-I194),I195)</f>
        <v>0</v>
      </c>
      <c r="K195" s="124" t="n">
        <f aca="false">IF(WEEKDAY(A195,3)&gt;4,0,(IF(A195&lt;K$2,0,IF(A195&lt;=K$3,1,0))))</f>
        <v>0</v>
      </c>
      <c r="L195" s="124" t="n">
        <f aca="false">J195*K195</f>
        <v>0</v>
      </c>
      <c r="M195" s="124" t="n">
        <f aca="false">SUM(J$188:J195)</f>
        <v>0</v>
      </c>
      <c r="N195" s="124" t="n">
        <f aca="false">SUM(J$6:J195)</f>
        <v>-221916</v>
      </c>
      <c r="P195" s="124" t="n">
        <f aca="false">D195/P$3</f>
        <v>0</v>
      </c>
      <c r="Q195" s="124" t="n">
        <f aca="false">E195/P$3</f>
        <v>0</v>
      </c>
      <c r="R195" s="124" t="n">
        <f aca="false">F195/R$3</f>
        <v>0</v>
      </c>
      <c r="S195" s="126" t="n">
        <f aca="false">J195/$R$3</f>
        <v>0</v>
      </c>
      <c r="T195" s="126" t="n">
        <f aca="false">L195/$R$3</f>
        <v>0</v>
      </c>
      <c r="U195" s="126" t="n">
        <f aca="false">I195/$R$3</f>
        <v>0</v>
      </c>
      <c r="V195" s="126" t="n">
        <f aca="false">M195/$R$3</f>
        <v>0</v>
      </c>
      <c r="W195" s="126" t="n">
        <f aca="false">N195/$R$3</f>
        <v>-221.916</v>
      </c>
    </row>
    <row r="196" customFormat="false" ht="12.75" hidden="false" customHeight="false" outlineLevel="0" collapsed="false">
      <c r="A196" s="120" t="n">
        <f aca="false">A195+1</f>
        <v>37082</v>
      </c>
      <c r="B196" s="131" t="str">
        <f aca="false">INDEX('[4]Master Data'!$A$2:$B$8,MATCH(WEEKDAY('TBS Gas MTM'!A196,3),'[4]Master Data'!$A$2:$A$8,0),2)</f>
        <v>T</v>
      </c>
      <c r="D196" s="124" t="n">
        <v>0</v>
      </c>
      <c r="E196" s="124" t="n">
        <v>0</v>
      </c>
      <c r="F196" s="124" t="n">
        <v>0</v>
      </c>
      <c r="G196" s="124" t="n">
        <v>0</v>
      </c>
      <c r="I196" s="124" t="n">
        <f aca="false">IF(MONTH($A196)=MONTH($A195),IF(G196=0,I195,G196),G196)</f>
        <v>0</v>
      </c>
      <c r="J196" s="124" t="n">
        <f aca="false">IF(MONTH($A196)=MONTH($A195),SUM(I196-I195),I196)</f>
        <v>0</v>
      </c>
      <c r="K196" s="124" t="n">
        <f aca="false">IF(WEEKDAY(A196,3)&gt;4,0,(IF(A196&lt;K$2,0,IF(A196&lt;=K$3,1,0))))</f>
        <v>0</v>
      </c>
      <c r="L196" s="124" t="n">
        <f aca="false">J196*K196</f>
        <v>0</v>
      </c>
      <c r="M196" s="124" t="n">
        <f aca="false">SUM(J$188:J196)</f>
        <v>0</v>
      </c>
      <c r="N196" s="124" t="n">
        <f aca="false">SUM(J$6:J196)</f>
        <v>-221916</v>
      </c>
      <c r="P196" s="124" t="n">
        <f aca="false">D196/P$3</f>
        <v>0</v>
      </c>
      <c r="Q196" s="124" t="n">
        <f aca="false">E196/P$3</f>
        <v>0</v>
      </c>
      <c r="R196" s="124" t="n">
        <f aca="false">F196/R$3</f>
        <v>0</v>
      </c>
      <c r="S196" s="126" t="n">
        <f aca="false">J196/$R$3</f>
        <v>0</v>
      </c>
      <c r="T196" s="126" t="n">
        <f aca="false">L196/$R$3</f>
        <v>0</v>
      </c>
      <c r="U196" s="126" t="n">
        <f aca="false">I196/$R$3</f>
        <v>0</v>
      </c>
      <c r="V196" s="126" t="n">
        <f aca="false">M196/$R$3</f>
        <v>0</v>
      </c>
      <c r="W196" s="126" t="n">
        <f aca="false">N196/$R$3</f>
        <v>-221.916</v>
      </c>
    </row>
    <row r="197" customFormat="false" ht="12.75" hidden="false" customHeight="false" outlineLevel="0" collapsed="false">
      <c r="A197" s="120" t="n">
        <f aca="false">A196+1</f>
        <v>37083</v>
      </c>
      <c r="B197" s="131" t="str">
        <f aca="false">INDEX('[4]Master Data'!$A$2:$B$8,MATCH(WEEKDAY('TBS Gas MTM'!A197,3),'[4]Master Data'!$A$2:$A$8,0),2)</f>
        <v>W</v>
      </c>
      <c r="D197" s="124" t="n">
        <v>0</v>
      </c>
      <c r="E197" s="124" t="n">
        <v>0</v>
      </c>
      <c r="F197" s="124" t="n">
        <v>0</v>
      </c>
      <c r="G197" s="124" t="n">
        <v>0</v>
      </c>
      <c r="I197" s="124" t="n">
        <f aca="false">IF(MONTH($A197)=MONTH($A196),IF(G197=0,I196,G197),G197)</f>
        <v>0</v>
      </c>
      <c r="J197" s="124" t="n">
        <f aca="false">IF(MONTH($A197)=MONTH($A196),SUM(I197-I196),I197)</f>
        <v>0</v>
      </c>
      <c r="K197" s="124" t="n">
        <f aca="false">IF(WEEKDAY(A197,3)&gt;4,0,(IF(A197&lt;K$2,0,IF(A197&lt;=K$3,1,0))))</f>
        <v>0</v>
      </c>
      <c r="L197" s="124" t="n">
        <f aca="false">J197*K197</f>
        <v>0</v>
      </c>
      <c r="M197" s="124" t="n">
        <f aca="false">SUM(J$188:J197)</f>
        <v>0</v>
      </c>
      <c r="N197" s="124" t="n">
        <f aca="false">SUM(J$6:J197)</f>
        <v>-221916</v>
      </c>
      <c r="P197" s="124" t="n">
        <f aca="false">D197/P$3</f>
        <v>0</v>
      </c>
      <c r="Q197" s="124" t="n">
        <f aca="false">E197/P$3</f>
        <v>0</v>
      </c>
      <c r="R197" s="124" t="n">
        <f aca="false">F197/R$3</f>
        <v>0</v>
      </c>
      <c r="S197" s="126" t="n">
        <f aca="false">J197/$R$3</f>
        <v>0</v>
      </c>
      <c r="T197" s="126" t="n">
        <f aca="false">L197/$R$3</f>
        <v>0</v>
      </c>
      <c r="U197" s="126" t="n">
        <f aca="false">I197/$R$3</f>
        <v>0</v>
      </c>
      <c r="V197" s="126" t="n">
        <f aca="false">M197/$R$3</f>
        <v>0</v>
      </c>
      <c r="W197" s="126" t="n">
        <f aca="false">N197/$R$3</f>
        <v>-221.916</v>
      </c>
    </row>
    <row r="198" customFormat="false" ht="12.75" hidden="false" customHeight="false" outlineLevel="0" collapsed="false">
      <c r="A198" s="120" t="n">
        <f aca="false">A197+1</f>
        <v>37084</v>
      </c>
      <c r="B198" s="131" t="str">
        <f aca="false">INDEX('[4]Master Data'!$A$2:$B$8,MATCH(WEEKDAY('TBS Gas MTM'!A198,3),'[4]Master Data'!$A$2:$A$8,0),2)</f>
        <v>Th</v>
      </c>
      <c r="D198" s="124" t="n">
        <v>0</v>
      </c>
      <c r="E198" s="124" t="n">
        <v>0</v>
      </c>
      <c r="F198" s="124" t="n">
        <v>0</v>
      </c>
      <c r="G198" s="124" t="n">
        <v>0</v>
      </c>
      <c r="I198" s="124" t="n">
        <f aca="false">IF(MONTH($A198)=MONTH($A197),IF(G198=0,I197,G198),G198)</f>
        <v>0</v>
      </c>
      <c r="J198" s="124" t="n">
        <f aca="false">IF(MONTH($A198)=MONTH($A197),SUM(I198-I197),I198)</f>
        <v>0</v>
      </c>
      <c r="K198" s="124" t="n">
        <f aca="false">IF(WEEKDAY(A198,3)&gt;4,0,(IF(A198&lt;K$2,0,IF(A198&lt;=K$3,1,0))))</f>
        <v>0</v>
      </c>
      <c r="L198" s="124" t="n">
        <f aca="false">J198*K198</f>
        <v>0</v>
      </c>
      <c r="M198" s="124" t="n">
        <f aca="false">SUM(J$188:J198)</f>
        <v>0</v>
      </c>
      <c r="N198" s="124" t="n">
        <f aca="false">SUM(J$6:J198)</f>
        <v>-221916</v>
      </c>
      <c r="P198" s="124" t="n">
        <f aca="false">D198/P$3</f>
        <v>0</v>
      </c>
      <c r="Q198" s="124" t="n">
        <f aca="false">E198/P$3</f>
        <v>0</v>
      </c>
      <c r="R198" s="124" t="n">
        <f aca="false">F198/R$3</f>
        <v>0</v>
      </c>
      <c r="S198" s="126" t="n">
        <f aca="false">J198/$R$3</f>
        <v>0</v>
      </c>
      <c r="T198" s="126" t="n">
        <f aca="false">L198/$R$3</f>
        <v>0</v>
      </c>
      <c r="U198" s="126" t="n">
        <f aca="false">I198/$R$3</f>
        <v>0</v>
      </c>
      <c r="V198" s="126" t="n">
        <f aca="false">M198/$R$3</f>
        <v>0</v>
      </c>
      <c r="W198" s="126" t="n">
        <f aca="false">N198/$R$3</f>
        <v>-221.916</v>
      </c>
    </row>
    <row r="199" customFormat="false" ht="12.75" hidden="false" customHeight="false" outlineLevel="0" collapsed="false">
      <c r="A199" s="120" t="n">
        <f aca="false">A198+1</f>
        <v>37085</v>
      </c>
      <c r="B199" s="131" t="str">
        <f aca="false">INDEX('[4]Master Data'!$A$2:$B$8,MATCH(WEEKDAY('TBS Gas MTM'!A199,3),'[4]Master Data'!$A$2:$A$8,0),2)</f>
        <v>F</v>
      </c>
      <c r="D199" s="124" t="n">
        <v>0</v>
      </c>
      <c r="E199" s="124" t="n">
        <v>0</v>
      </c>
      <c r="F199" s="124" t="n">
        <v>0</v>
      </c>
      <c r="G199" s="124" t="n">
        <v>0</v>
      </c>
      <c r="I199" s="124" t="n">
        <f aca="false">IF(MONTH($A199)=MONTH($A198),IF(G199=0,I198,G199),G199)</f>
        <v>0</v>
      </c>
      <c r="J199" s="124" t="n">
        <f aca="false">IF(MONTH($A199)=MONTH($A198),SUM(I199-I198),I199)</f>
        <v>0</v>
      </c>
      <c r="K199" s="124" t="n">
        <f aca="false">IF(WEEKDAY(A199,3)&gt;4,0,(IF(A199&lt;K$2,0,IF(A199&lt;=K$3,1,0))))</f>
        <v>0</v>
      </c>
      <c r="L199" s="124" t="n">
        <f aca="false">J199*K199</f>
        <v>0</v>
      </c>
      <c r="M199" s="124" t="n">
        <f aca="false">SUM(J$188:J199)</f>
        <v>0</v>
      </c>
      <c r="N199" s="124" t="n">
        <f aca="false">SUM(J$6:J199)</f>
        <v>-221916</v>
      </c>
      <c r="P199" s="124" t="n">
        <f aca="false">D199/P$3</f>
        <v>0</v>
      </c>
      <c r="Q199" s="124" t="n">
        <f aca="false">E199/P$3</f>
        <v>0</v>
      </c>
      <c r="R199" s="124" t="n">
        <f aca="false">F199/R$3</f>
        <v>0</v>
      </c>
      <c r="S199" s="126" t="n">
        <f aca="false">J199/$R$3</f>
        <v>0</v>
      </c>
      <c r="T199" s="126" t="n">
        <f aca="false">L199/$R$3</f>
        <v>0</v>
      </c>
      <c r="U199" s="126" t="n">
        <f aca="false">I199/$R$3</f>
        <v>0</v>
      </c>
      <c r="V199" s="126" t="n">
        <f aca="false">M199/$R$3</f>
        <v>0</v>
      </c>
      <c r="W199" s="126" t="n">
        <f aca="false">N199/$R$3</f>
        <v>-221.916</v>
      </c>
    </row>
    <row r="200" customFormat="false" ht="12.75" hidden="false" customHeight="false" outlineLevel="0" collapsed="false">
      <c r="A200" s="120" t="n">
        <f aca="false">A199+1</f>
        <v>37086</v>
      </c>
      <c r="B200" s="131" t="str">
        <f aca="false">INDEX('[4]Master Data'!$A$2:$B$8,MATCH(WEEKDAY('TBS Gas MTM'!A200,3),'[4]Master Data'!$A$2:$A$8,0),2)</f>
        <v>Sa</v>
      </c>
      <c r="D200" s="124" t="n">
        <v>0</v>
      </c>
      <c r="E200" s="124" t="n">
        <v>0</v>
      </c>
      <c r="F200" s="124" t="n">
        <v>0</v>
      </c>
      <c r="G200" s="124" t="n">
        <v>0</v>
      </c>
      <c r="I200" s="124" t="n">
        <f aca="false">IF(MONTH($A200)=MONTH($A199),IF(G200=0,I199,G200),G200)</f>
        <v>0</v>
      </c>
      <c r="J200" s="124" t="n">
        <f aca="false">IF(MONTH($A200)=MONTH($A199),SUM(I200-I199),I200)</f>
        <v>0</v>
      </c>
      <c r="K200" s="124" t="n">
        <f aca="false">IF(WEEKDAY(A200,3)&gt;4,0,(IF(A200&lt;K$2,0,IF(A200&lt;=K$3,1,0))))</f>
        <v>0</v>
      </c>
      <c r="L200" s="124" t="n">
        <f aca="false">J200*K200</f>
        <v>0</v>
      </c>
      <c r="M200" s="124" t="n">
        <f aca="false">SUM(J$188:J200)</f>
        <v>0</v>
      </c>
      <c r="N200" s="124" t="n">
        <f aca="false">SUM(J$6:J200)</f>
        <v>-221916</v>
      </c>
      <c r="P200" s="124" t="n">
        <f aca="false">D200/P$3</f>
        <v>0</v>
      </c>
      <c r="Q200" s="124" t="n">
        <f aca="false">E200/P$3</f>
        <v>0</v>
      </c>
      <c r="R200" s="124" t="n">
        <f aca="false">F200/R$3</f>
        <v>0</v>
      </c>
      <c r="S200" s="126" t="n">
        <f aca="false">J200/$R$3</f>
        <v>0</v>
      </c>
      <c r="T200" s="126" t="n">
        <f aca="false">L200/$R$3</f>
        <v>0</v>
      </c>
      <c r="U200" s="126" t="n">
        <f aca="false">I200/$R$3</f>
        <v>0</v>
      </c>
      <c r="V200" s="126" t="n">
        <f aca="false">M200/$R$3</f>
        <v>0</v>
      </c>
      <c r="W200" s="126" t="n">
        <f aca="false">N200/$R$3</f>
        <v>-221.916</v>
      </c>
    </row>
    <row r="201" customFormat="false" ht="12.75" hidden="false" customHeight="false" outlineLevel="0" collapsed="false">
      <c r="A201" s="120" t="n">
        <f aca="false">A200+1</f>
        <v>37087</v>
      </c>
      <c r="B201" s="131" t="str">
        <f aca="false">INDEX('[4]Master Data'!$A$2:$B$8,MATCH(WEEKDAY('TBS Gas MTM'!A201,3),'[4]Master Data'!$A$2:$A$8,0),2)</f>
        <v>Su</v>
      </c>
      <c r="D201" s="124" t="n">
        <v>0</v>
      </c>
      <c r="E201" s="124" t="n">
        <v>0</v>
      </c>
      <c r="F201" s="124" t="n">
        <v>0</v>
      </c>
      <c r="G201" s="124" t="n">
        <v>0</v>
      </c>
      <c r="I201" s="124" t="n">
        <f aca="false">IF(MONTH($A201)=MONTH($A200),IF(G201=0,I200,G201),G201)</f>
        <v>0</v>
      </c>
      <c r="J201" s="124" t="n">
        <f aca="false">IF(MONTH($A201)=MONTH($A200),SUM(I201-I200),I201)</f>
        <v>0</v>
      </c>
      <c r="K201" s="124" t="n">
        <f aca="false">IF(WEEKDAY(A201,3)&gt;4,0,(IF(A201&lt;K$2,0,IF(A201&lt;=K$3,1,0))))</f>
        <v>0</v>
      </c>
      <c r="L201" s="124" t="n">
        <f aca="false">J201*K201</f>
        <v>0</v>
      </c>
      <c r="M201" s="124" t="n">
        <f aca="false">SUM(J$188:J201)</f>
        <v>0</v>
      </c>
      <c r="N201" s="124" t="n">
        <f aca="false">SUM(J$6:J201)</f>
        <v>-221916</v>
      </c>
      <c r="P201" s="124" t="n">
        <f aca="false">D201/P$3</f>
        <v>0</v>
      </c>
      <c r="Q201" s="124" t="n">
        <f aca="false">E201/P$3</f>
        <v>0</v>
      </c>
      <c r="R201" s="124" t="n">
        <f aca="false">F201/R$3</f>
        <v>0</v>
      </c>
      <c r="S201" s="126" t="n">
        <f aca="false">J201/$R$3</f>
        <v>0</v>
      </c>
      <c r="T201" s="126" t="n">
        <f aca="false">L201/$R$3</f>
        <v>0</v>
      </c>
      <c r="U201" s="126" t="n">
        <f aca="false">I201/$R$3</f>
        <v>0</v>
      </c>
      <c r="V201" s="126" t="n">
        <f aca="false">M201/$R$3</f>
        <v>0</v>
      </c>
      <c r="W201" s="126" t="n">
        <f aca="false">N201/$R$3</f>
        <v>-221.916</v>
      </c>
    </row>
    <row r="202" customFormat="false" ht="12.75" hidden="false" customHeight="false" outlineLevel="0" collapsed="false">
      <c r="A202" s="120" t="n">
        <f aca="false">A201+1</f>
        <v>37088</v>
      </c>
      <c r="B202" s="131" t="str">
        <f aca="false">INDEX('[4]Master Data'!$A$2:$B$8,MATCH(WEEKDAY('TBS Gas MTM'!A202,3),'[4]Master Data'!$A$2:$A$8,0),2)</f>
        <v>M</v>
      </c>
      <c r="D202" s="124" t="n">
        <v>0</v>
      </c>
      <c r="E202" s="124" t="n">
        <v>0</v>
      </c>
      <c r="F202" s="124" t="n">
        <v>0</v>
      </c>
      <c r="G202" s="124" t="n">
        <v>0</v>
      </c>
      <c r="I202" s="124" t="n">
        <f aca="false">IF(MONTH($A202)=MONTH($A201),IF(G202=0,I201,G202),G202)</f>
        <v>0</v>
      </c>
      <c r="J202" s="124" t="n">
        <f aca="false">IF(MONTH($A202)=MONTH($A201),SUM(I202-I201),I202)</f>
        <v>0</v>
      </c>
      <c r="K202" s="124" t="n">
        <f aca="false">IF(WEEKDAY(A202,3)&gt;4,0,(IF(A202&lt;K$2,0,IF(A202&lt;=K$3,1,0))))</f>
        <v>0</v>
      </c>
      <c r="L202" s="124" t="n">
        <f aca="false">J202*K202</f>
        <v>0</v>
      </c>
      <c r="M202" s="124" t="n">
        <f aca="false">SUM(J$188:J202)</f>
        <v>0</v>
      </c>
      <c r="N202" s="124" t="n">
        <f aca="false">SUM(J$6:J202)</f>
        <v>-221916</v>
      </c>
      <c r="P202" s="124" t="n">
        <f aca="false">D202/P$3</f>
        <v>0</v>
      </c>
      <c r="Q202" s="124" t="n">
        <f aca="false">E202/P$3</f>
        <v>0</v>
      </c>
      <c r="R202" s="124" t="n">
        <f aca="false">F202/R$3</f>
        <v>0</v>
      </c>
      <c r="S202" s="126" t="n">
        <f aca="false">J202/$R$3</f>
        <v>0</v>
      </c>
      <c r="T202" s="126" t="n">
        <f aca="false">L202/$R$3</f>
        <v>0</v>
      </c>
      <c r="U202" s="126" t="n">
        <f aca="false">I202/$R$3</f>
        <v>0</v>
      </c>
      <c r="V202" s="126" t="n">
        <f aca="false">M202/$R$3</f>
        <v>0</v>
      </c>
      <c r="W202" s="126" t="n">
        <f aca="false">N202/$R$3</f>
        <v>-221.916</v>
      </c>
    </row>
    <row r="203" customFormat="false" ht="12.75" hidden="false" customHeight="false" outlineLevel="0" collapsed="false">
      <c r="A203" s="120" t="n">
        <f aca="false">A202+1</f>
        <v>37089</v>
      </c>
      <c r="B203" s="131" t="str">
        <f aca="false">INDEX('[4]Master Data'!$A$2:$B$8,MATCH(WEEKDAY('TBS Gas MTM'!A203,3),'[4]Master Data'!$A$2:$A$8,0),2)</f>
        <v>T</v>
      </c>
      <c r="D203" s="124" t="n">
        <v>0</v>
      </c>
      <c r="E203" s="124" t="n">
        <v>0</v>
      </c>
      <c r="F203" s="124" t="n">
        <v>0</v>
      </c>
      <c r="G203" s="124" t="n">
        <v>0</v>
      </c>
      <c r="I203" s="124" t="n">
        <f aca="false">IF(MONTH($A203)=MONTH($A202),IF(G203=0,I202,G203),G203)</f>
        <v>0</v>
      </c>
      <c r="J203" s="124" t="n">
        <f aca="false">IF(MONTH($A203)=MONTH($A202),SUM(I203-I202),I203)</f>
        <v>0</v>
      </c>
      <c r="K203" s="124" t="n">
        <f aca="false">IF(WEEKDAY(A203,3)&gt;4,0,(IF(A203&lt;K$2,0,IF(A203&lt;=K$3,1,0))))</f>
        <v>0</v>
      </c>
      <c r="L203" s="124" t="n">
        <f aca="false">J203*K203</f>
        <v>0</v>
      </c>
      <c r="M203" s="124" t="n">
        <f aca="false">SUM(J$188:J203)</f>
        <v>0</v>
      </c>
      <c r="N203" s="124" t="n">
        <f aca="false">SUM(J$6:J203)</f>
        <v>-221916</v>
      </c>
      <c r="P203" s="124" t="n">
        <f aca="false">D203/P$3</f>
        <v>0</v>
      </c>
      <c r="Q203" s="124" t="n">
        <f aca="false">E203/P$3</f>
        <v>0</v>
      </c>
      <c r="R203" s="124" t="n">
        <f aca="false">F203/R$3</f>
        <v>0</v>
      </c>
      <c r="S203" s="126" t="n">
        <f aca="false">J203/$R$3</f>
        <v>0</v>
      </c>
      <c r="T203" s="126" t="n">
        <f aca="false">L203/$R$3</f>
        <v>0</v>
      </c>
      <c r="U203" s="126" t="n">
        <f aca="false">I203/$R$3</f>
        <v>0</v>
      </c>
      <c r="V203" s="126" t="n">
        <f aca="false">M203/$R$3</f>
        <v>0</v>
      </c>
      <c r="W203" s="126" t="n">
        <f aca="false">N203/$R$3</f>
        <v>-221.916</v>
      </c>
    </row>
    <row r="204" customFormat="false" ht="12.75" hidden="false" customHeight="false" outlineLevel="0" collapsed="false">
      <c r="A204" s="120" t="n">
        <f aca="false">A203+1</f>
        <v>37090</v>
      </c>
      <c r="B204" s="131" t="str">
        <f aca="false">INDEX('[4]Master Data'!$A$2:$B$8,MATCH(WEEKDAY('TBS Gas MTM'!A204,3),'[4]Master Data'!$A$2:$A$8,0),2)</f>
        <v>W</v>
      </c>
      <c r="D204" s="124" t="n">
        <v>0</v>
      </c>
      <c r="E204" s="124" t="n">
        <v>0</v>
      </c>
      <c r="F204" s="124" t="n">
        <v>0</v>
      </c>
      <c r="G204" s="124" t="n">
        <v>0</v>
      </c>
      <c r="I204" s="124" t="n">
        <f aca="false">IF(MONTH($A204)=MONTH($A203),IF(G204=0,I203,G204),G204)</f>
        <v>0</v>
      </c>
      <c r="J204" s="124" t="n">
        <f aca="false">IF(MONTH($A204)=MONTH($A203),SUM(I204-I203),I204)</f>
        <v>0</v>
      </c>
      <c r="K204" s="124" t="n">
        <f aca="false">IF(WEEKDAY(A204,3)&gt;4,0,(IF(A204&lt;K$2,0,IF(A204&lt;=K$3,1,0))))</f>
        <v>0</v>
      </c>
      <c r="L204" s="124" t="n">
        <f aca="false">J204*K204</f>
        <v>0</v>
      </c>
      <c r="M204" s="124" t="n">
        <f aca="false">SUM(J$188:J204)</f>
        <v>0</v>
      </c>
      <c r="N204" s="124" t="n">
        <f aca="false">SUM(J$6:J204)</f>
        <v>-221916</v>
      </c>
      <c r="P204" s="124" t="n">
        <f aca="false">D204/P$3</f>
        <v>0</v>
      </c>
      <c r="Q204" s="124" t="n">
        <f aca="false">E204/P$3</f>
        <v>0</v>
      </c>
      <c r="R204" s="124" t="n">
        <f aca="false">F204/R$3</f>
        <v>0</v>
      </c>
      <c r="S204" s="126" t="n">
        <f aca="false">J204/$R$3</f>
        <v>0</v>
      </c>
      <c r="T204" s="126" t="n">
        <f aca="false">L204/$R$3</f>
        <v>0</v>
      </c>
      <c r="U204" s="126" t="n">
        <f aca="false">I204/$R$3</f>
        <v>0</v>
      </c>
      <c r="V204" s="126" t="n">
        <f aca="false">M204/$R$3</f>
        <v>0</v>
      </c>
      <c r="W204" s="126" t="n">
        <f aca="false">N204/$R$3</f>
        <v>-221.916</v>
      </c>
    </row>
    <row r="205" customFormat="false" ht="12.75" hidden="false" customHeight="false" outlineLevel="0" collapsed="false">
      <c r="A205" s="120" t="n">
        <f aca="false">A204+1</f>
        <v>37091</v>
      </c>
      <c r="B205" s="131" t="str">
        <f aca="false">INDEX('[4]Master Data'!$A$2:$B$8,MATCH(WEEKDAY('TBS Gas MTM'!A205,3),'[4]Master Data'!$A$2:$A$8,0),2)</f>
        <v>Th</v>
      </c>
      <c r="D205" s="124" t="n">
        <v>0</v>
      </c>
      <c r="E205" s="124" t="n">
        <v>0</v>
      </c>
      <c r="F205" s="124" t="n">
        <v>0</v>
      </c>
      <c r="G205" s="124" t="n">
        <v>0</v>
      </c>
      <c r="I205" s="124" t="n">
        <f aca="false">IF(MONTH($A205)=MONTH($A204),IF(G205=0,I204,G205),G205)</f>
        <v>0</v>
      </c>
      <c r="J205" s="124" t="n">
        <f aca="false">IF(MONTH($A205)=MONTH($A204),SUM(I205-I204),I205)</f>
        <v>0</v>
      </c>
      <c r="K205" s="124" t="n">
        <f aca="false">IF(WEEKDAY(A205,3)&gt;4,0,(IF(A205&lt;K$2,0,IF(A205&lt;=K$3,1,0))))</f>
        <v>0</v>
      </c>
      <c r="L205" s="124" t="n">
        <f aca="false">J205*K205</f>
        <v>0</v>
      </c>
      <c r="M205" s="124" t="n">
        <f aca="false">SUM(J$188:J205)</f>
        <v>0</v>
      </c>
      <c r="N205" s="124" t="n">
        <f aca="false">SUM(J$6:J205)</f>
        <v>-221916</v>
      </c>
      <c r="P205" s="124" t="n">
        <f aca="false">D205/P$3</f>
        <v>0</v>
      </c>
      <c r="Q205" s="124" t="n">
        <f aca="false">E205/P$3</f>
        <v>0</v>
      </c>
      <c r="R205" s="124" t="n">
        <f aca="false">F205/R$3</f>
        <v>0</v>
      </c>
      <c r="S205" s="126" t="n">
        <f aca="false">J205/$R$3</f>
        <v>0</v>
      </c>
      <c r="T205" s="126" t="n">
        <f aca="false">L205/$R$3</f>
        <v>0</v>
      </c>
      <c r="U205" s="126" t="n">
        <f aca="false">I205/$R$3</f>
        <v>0</v>
      </c>
      <c r="V205" s="126" t="n">
        <f aca="false">M205/$R$3</f>
        <v>0</v>
      </c>
      <c r="W205" s="126" t="n">
        <f aca="false">N205/$R$3</f>
        <v>-221.916</v>
      </c>
    </row>
    <row r="206" customFormat="false" ht="12.75" hidden="false" customHeight="false" outlineLevel="0" collapsed="false">
      <c r="A206" s="120" t="n">
        <f aca="false">A205+1</f>
        <v>37092</v>
      </c>
      <c r="B206" s="131" t="str">
        <f aca="false">INDEX('[4]Master Data'!$A$2:$B$8,MATCH(WEEKDAY('TBS Gas MTM'!A206,3),'[4]Master Data'!$A$2:$A$8,0),2)</f>
        <v>F</v>
      </c>
      <c r="D206" s="124" t="n">
        <v>0</v>
      </c>
      <c r="E206" s="124" t="n">
        <v>0</v>
      </c>
      <c r="F206" s="124" t="n">
        <v>0</v>
      </c>
      <c r="G206" s="124" t="n">
        <v>0</v>
      </c>
      <c r="I206" s="124" t="n">
        <f aca="false">IF(MONTH($A206)=MONTH($A205),IF(G206=0,I205,G206),G206)</f>
        <v>0</v>
      </c>
      <c r="J206" s="124" t="n">
        <f aca="false">IF(MONTH($A206)=MONTH($A205),SUM(I206-I205),I206)</f>
        <v>0</v>
      </c>
      <c r="K206" s="124" t="n">
        <f aca="false">IF(WEEKDAY(A206,3)&gt;4,0,(IF(A206&lt;K$2,0,IF(A206&lt;=K$3,1,0))))</f>
        <v>0</v>
      </c>
      <c r="L206" s="124" t="n">
        <f aca="false">J206*K206</f>
        <v>0</v>
      </c>
      <c r="M206" s="124" t="n">
        <f aca="false">SUM(J$188:J206)</f>
        <v>0</v>
      </c>
      <c r="N206" s="124" t="n">
        <f aca="false">SUM(J$6:J206)</f>
        <v>-221916</v>
      </c>
      <c r="P206" s="124" t="n">
        <f aca="false">D206/P$3</f>
        <v>0</v>
      </c>
      <c r="Q206" s="124" t="n">
        <f aca="false">E206/P$3</f>
        <v>0</v>
      </c>
      <c r="R206" s="124" t="n">
        <f aca="false">F206/R$3</f>
        <v>0</v>
      </c>
      <c r="S206" s="126" t="n">
        <f aca="false">J206/$R$3</f>
        <v>0</v>
      </c>
      <c r="T206" s="126" t="n">
        <f aca="false">L206/$R$3</f>
        <v>0</v>
      </c>
      <c r="U206" s="126" t="n">
        <f aca="false">I206/$R$3</f>
        <v>0</v>
      </c>
      <c r="V206" s="126" t="n">
        <f aca="false">M206/$R$3</f>
        <v>0</v>
      </c>
      <c r="W206" s="126" t="n">
        <f aca="false">N206/$R$3</f>
        <v>-221.916</v>
      </c>
    </row>
    <row r="207" customFormat="false" ht="12.75" hidden="false" customHeight="false" outlineLevel="0" collapsed="false">
      <c r="A207" s="120" t="n">
        <f aca="false">A206+1</f>
        <v>37093</v>
      </c>
      <c r="B207" s="131" t="str">
        <f aca="false">INDEX('[4]Master Data'!$A$2:$B$8,MATCH(WEEKDAY('TBS Gas MTM'!A207,3),'[4]Master Data'!$A$2:$A$8,0),2)</f>
        <v>Sa</v>
      </c>
      <c r="D207" s="124" t="n">
        <v>0</v>
      </c>
      <c r="E207" s="124" t="n">
        <v>0</v>
      </c>
      <c r="F207" s="124" t="n">
        <v>0</v>
      </c>
      <c r="G207" s="124" t="n">
        <v>0</v>
      </c>
      <c r="I207" s="124" t="n">
        <f aca="false">IF(MONTH($A207)=MONTH($A206),IF(G207=0,I206,G207),G207)</f>
        <v>0</v>
      </c>
      <c r="J207" s="124" t="n">
        <f aca="false">IF(MONTH($A207)=MONTH($A206),SUM(I207-I206),I207)</f>
        <v>0</v>
      </c>
      <c r="K207" s="124" t="n">
        <f aca="false">IF(WEEKDAY(A207,3)&gt;4,0,(IF(A207&lt;K$2,0,IF(A207&lt;=K$3,1,0))))</f>
        <v>0</v>
      </c>
      <c r="L207" s="124" t="n">
        <f aca="false">J207*K207</f>
        <v>0</v>
      </c>
      <c r="M207" s="124" t="n">
        <f aca="false">SUM(J$188:J207)</f>
        <v>0</v>
      </c>
      <c r="N207" s="124" t="n">
        <f aca="false">SUM(J$6:J207)</f>
        <v>-221916</v>
      </c>
      <c r="P207" s="124" t="n">
        <f aca="false">D207/P$3</f>
        <v>0</v>
      </c>
      <c r="Q207" s="124" t="n">
        <f aca="false">E207/P$3</f>
        <v>0</v>
      </c>
      <c r="R207" s="124" t="n">
        <f aca="false">F207/R$3</f>
        <v>0</v>
      </c>
      <c r="S207" s="126" t="n">
        <f aca="false">J207/$R$3</f>
        <v>0</v>
      </c>
      <c r="T207" s="126" t="n">
        <f aca="false">L207/$R$3</f>
        <v>0</v>
      </c>
      <c r="U207" s="126" t="n">
        <f aca="false">I207/$R$3</f>
        <v>0</v>
      </c>
      <c r="V207" s="126" t="n">
        <f aca="false">M207/$R$3</f>
        <v>0</v>
      </c>
      <c r="W207" s="126" t="n">
        <f aca="false">N207/$R$3</f>
        <v>-221.916</v>
      </c>
    </row>
    <row r="208" customFormat="false" ht="12.75" hidden="false" customHeight="false" outlineLevel="0" collapsed="false">
      <c r="A208" s="120" t="n">
        <f aca="false">A207+1</f>
        <v>37094</v>
      </c>
      <c r="B208" s="131" t="str">
        <f aca="false">INDEX('[4]Master Data'!$A$2:$B$8,MATCH(WEEKDAY('TBS Gas MTM'!A208,3),'[4]Master Data'!$A$2:$A$8,0),2)</f>
        <v>Su</v>
      </c>
      <c r="D208" s="124" t="n">
        <v>0</v>
      </c>
      <c r="E208" s="124" t="n">
        <v>0</v>
      </c>
      <c r="F208" s="124" t="n">
        <v>0</v>
      </c>
      <c r="G208" s="124" t="n">
        <v>0</v>
      </c>
      <c r="I208" s="124" t="n">
        <f aca="false">IF(MONTH($A208)=MONTH($A207),IF(G208=0,I207,G208),G208)</f>
        <v>0</v>
      </c>
      <c r="J208" s="124" t="n">
        <f aca="false">IF(MONTH($A208)=MONTH($A207),SUM(I208-I207),I208)</f>
        <v>0</v>
      </c>
      <c r="K208" s="124" t="n">
        <f aca="false">IF(WEEKDAY(A208,3)&gt;4,0,(IF(A208&lt;K$2,0,IF(A208&lt;=K$3,1,0))))</f>
        <v>0</v>
      </c>
      <c r="L208" s="124" t="n">
        <f aca="false">J208*K208</f>
        <v>0</v>
      </c>
      <c r="M208" s="124" t="n">
        <f aca="false">SUM(J$188:J208)</f>
        <v>0</v>
      </c>
      <c r="N208" s="124" t="n">
        <f aca="false">SUM(J$6:J208)</f>
        <v>-221916</v>
      </c>
      <c r="P208" s="124" t="n">
        <f aca="false">D208/P$3</f>
        <v>0</v>
      </c>
      <c r="Q208" s="124" t="n">
        <f aca="false">E208/P$3</f>
        <v>0</v>
      </c>
      <c r="R208" s="124" t="n">
        <f aca="false">F208/R$3</f>
        <v>0</v>
      </c>
      <c r="S208" s="126" t="n">
        <f aca="false">J208/$R$3</f>
        <v>0</v>
      </c>
      <c r="T208" s="126" t="n">
        <f aca="false">L208/$R$3</f>
        <v>0</v>
      </c>
      <c r="U208" s="126" t="n">
        <f aca="false">I208/$R$3</f>
        <v>0</v>
      </c>
      <c r="V208" s="126" t="n">
        <f aca="false">M208/$R$3</f>
        <v>0</v>
      </c>
      <c r="W208" s="126" t="n">
        <f aca="false">N208/$R$3</f>
        <v>-221.916</v>
      </c>
    </row>
    <row r="209" customFormat="false" ht="12.75" hidden="false" customHeight="false" outlineLevel="0" collapsed="false">
      <c r="A209" s="120" t="n">
        <f aca="false">A208+1</f>
        <v>37095</v>
      </c>
      <c r="B209" s="131" t="str">
        <f aca="false">INDEX('[4]Master Data'!$A$2:$B$8,MATCH(WEEKDAY('TBS Gas MTM'!A209,3),'[4]Master Data'!$A$2:$A$8,0),2)</f>
        <v>M</v>
      </c>
      <c r="D209" s="124" t="n">
        <v>0</v>
      </c>
      <c r="E209" s="124" t="n">
        <v>0</v>
      </c>
      <c r="F209" s="124" t="n">
        <v>0</v>
      </c>
      <c r="G209" s="124" t="n">
        <v>0</v>
      </c>
      <c r="I209" s="124" t="n">
        <f aca="false">IF(MONTH($A209)=MONTH($A208),IF(G209=0,I208,G209),G209)</f>
        <v>0</v>
      </c>
      <c r="J209" s="124" t="n">
        <f aca="false">IF(MONTH($A209)=MONTH($A208),SUM(I209-I208),I209)</f>
        <v>0</v>
      </c>
      <c r="K209" s="124" t="n">
        <f aca="false">IF(WEEKDAY(A209,3)&gt;4,0,(IF(A209&lt;K$2,0,IF(A209&lt;=K$3,1,0))))</f>
        <v>0</v>
      </c>
      <c r="L209" s="124" t="n">
        <f aca="false">J209*K209</f>
        <v>0</v>
      </c>
      <c r="M209" s="124" t="n">
        <f aca="false">SUM(J$188:J209)</f>
        <v>0</v>
      </c>
      <c r="N209" s="124" t="n">
        <f aca="false">SUM(J$6:J209)</f>
        <v>-221916</v>
      </c>
      <c r="P209" s="124" t="n">
        <f aca="false">D209/P$3</f>
        <v>0</v>
      </c>
      <c r="Q209" s="124" t="n">
        <f aca="false">E209/P$3</f>
        <v>0</v>
      </c>
      <c r="R209" s="124" t="n">
        <f aca="false">F209/R$3</f>
        <v>0</v>
      </c>
      <c r="S209" s="126" t="n">
        <f aca="false">J209/$R$3</f>
        <v>0</v>
      </c>
      <c r="T209" s="126" t="n">
        <f aca="false">L209/$R$3</f>
        <v>0</v>
      </c>
      <c r="U209" s="126" t="n">
        <f aca="false">I209/$R$3</f>
        <v>0</v>
      </c>
      <c r="V209" s="126" t="n">
        <f aca="false">M209/$R$3</f>
        <v>0</v>
      </c>
      <c r="W209" s="126" t="n">
        <f aca="false">N209/$R$3</f>
        <v>-221.916</v>
      </c>
    </row>
    <row r="210" customFormat="false" ht="12.75" hidden="false" customHeight="false" outlineLevel="0" collapsed="false">
      <c r="A210" s="120" t="n">
        <f aca="false">A209+1</f>
        <v>37096</v>
      </c>
      <c r="B210" s="131" t="str">
        <f aca="false">INDEX('[4]Master Data'!$A$2:$B$8,MATCH(WEEKDAY('TBS Gas MTM'!A210,3),'[4]Master Data'!$A$2:$A$8,0),2)</f>
        <v>T</v>
      </c>
      <c r="D210" s="124" t="n">
        <v>0</v>
      </c>
      <c r="E210" s="124" t="n">
        <v>0</v>
      </c>
      <c r="F210" s="124" t="n">
        <v>0</v>
      </c>
      <c r="G210" s="124" t="n">
        <v>0</v>
      </c>
      <c r="I210" s="124" t="n">
        <f aca="false">IF(MONTH($A210)=MONTH($A209),IF(G210=0,I209,G210),G210)</f>
        <v>0</v>
      </c>
      <c r="J210" s="124" t="n">
        <f aca="false">IF(MONTH($A210)=MONTH($A209),SUM(I210-I209),I210)</f>
        <v>0</v>
      </c>
      <c r="K210" s="124" t="n">
        <f aca="false">IF(WEEKDAY(A210,3)&gt;4,0,(IF(A210&lt;K$2,0,IF(A210&lt;=K$3,1,0))))</f>
        <v>0</v>
      </c>
      <c r="L210" s="124" t="n">
        <f aca="false">J210*K210</f>
        <v>0</v>
      </c>
      <c r="M210" s="124" t="n">
        <f aca="false">SUM(J$188:J210)</f>
        <v>0</v>
      </c>
      <c r="N210" s="124" t="n">
        <f aca="false">SUM(J$6:J210)</f>
        <v>-221916</v>
      </c>
      <c r="P210" s="124" t="n">
        <f aca="false">D210/P$3</f>
        <v>0</v>
      </c>
      <c r="Q210" s="124" t="n">
        <f aca="false">E210/P$3</f>
        <v>0</v>
      </c>
      <c r="R210" s="124" t="n">
        <f aca="false">F210/R$3</f>
        <v>0</v>
      </c>
      <c r="S210" s="126" t="n">
        <f aca="false">J210/$R$3</f>
        <v>0</v>
      </c>
      <c r="T210" s="126" t="n">
        <f aca="false">L210/$R$3</f>
        <v>0</v>
      </c>
      <c r="U210" s="126" t="n">
        <f aca="false">I210/$R$3</f>
        <v>0</v>
      </c>
      <c r="V210" s="126" t="n">
        <f aca="false">M210/$R$3</f>
        <v>0</v>
      </c>
      <c r="W210" s="126" t="n">
        <f aca="false">N210/$R$3</f>
        <v>-221.916</v>
      </c>
    </row>
    <row r="211" customFormat="false" ht="12.75" hidden="false" customHeight="false" outlineLevel="0" collapsed="false">
      <c r="A211" s="120" t="n">
        <f aca="false">A210+1</f>
        <v>37097</v>
      </c>
      <c r="B211" s="131" t="str">
        <f aca="false">INDEX('[4]Master Data'!$A$2:$B$8,MATCH(WEEKDAY('TBS Gas MTM'!A211,3),'[4]Master Data'!$A$2:$A$8,0),2)</f>
        <v>W</v>
      </c>
      <c r="D211" s="124" t="n">
        <v>0</v>
      </c>
      <c r="E211" s="124" t="n">
        <v>0</v>
      </c>
      <c r="F211" s="124" t="n">
        <v>0</v>
      </c>
      <c r="G211" s="124" t="n">
        <v>0</v>
      </c>
      <c r="I211" s="124" t="n">
        <f aca="false">IF(MONTH($A211)=MONTH($A210),IF(G211=0,I210,G211),G211)</f>
        <v>0</v>
      </c>
      <c r="J211" s="124" t="n">
        <f aca="false">IF(MONTH($A211)=MONTH($A210),SUM(I211-I210),I211)</f>
        <v>0</v>
      </c>
      <c r="K211" s="124" t="n">
        <f aca="false">IF(WEEKDAY(A211,3)&gt;4,0,(IF(A211&lt;K$2,0,IF(A211&lt;=K$3,1,0))))</f>
        <v>0</v>
      </c>
      <c r="L211" s="124" t="n">
        <f aca="false">J211*K211</f>
        <v>0</v>
      </c>
      <c r="M211" s="124" t="n">
        <f aca="false">SUM(J$188:J211)</f>
        <v>0</v>
      </c>
      <c r="N211" s="124" t="n">
        <f aca="false">SUM(J$6:J211)</f>
        <v>-221916</v>
      </c>
      <c r="P211" s="124" t="n">
        <f aca="false">D211/P$3</f>
        <v>0</v>
      </c>
      <c r="Q211" s="124" t="n">
        <f aca="false">E211/P$3</f>
        <v>0</v>
      </c>
      <c r="R211" s="124" t="n">
        <f aca="false">F211/R$3</f>
        <v>0</v>
      </c>
      <c r="S211" s="126" t="n">
        <f aca="false">J211/$R$3</f>
        <v>0</v>
      </c>
      <c r="T211" s="126" t="n">
        <f aca="false">L211/$R$3</f>
        <v>0</v>
      </c>
      <c r="U211" s="126" t="n">
        <f aca="false">I211/$R$3</f>
        <v>0</v>
      </c>
      <c r="V211" s="126" t="n">
        <f aca="false">M211/$R$3</f>
        <v>0</v>
      </c>
      <c r="W211" s="126" t="n">
        <f aca="false">N211/$R$3</f>
        <v>-221.916</v>
      </c>
    </row>
    <row r="212" customFormat="false" ht="12.75" hidden="false" customHeight="false" outlineLevel="0" collapsed="false">
      <c r="A212" s="120" t="n">
        <f aca="false">A211+1</f>
        <v>37098</v>
      </c>
      <c r="B212" s="131" t="str">
        <f aca="false">INDEX('[4]Master Data'!$A$2:$B$8,MATCH(WEEKDAY('TBS Gas MTM'!A212,3),'[4]Master Data'!$A$2:$A$8,0),2)</f>
        <v>Th</v>
      </c>
      <c r="D212" s="124" t="n">
        <v>0</v>
      </c>
      <c r="E212" s="124" t="n">
        <v>0</v>
      </c>
      <c r="F212" s="124" t="n">
        <v>0</v>
      </c>
      <c r="G212" s="124" t="n">
        <v>0</v>
      </c>
      <c r="I212" s="124" t="n">
        <f aca="false">IF(MONTH($A212)=MONTH($A211),IF(G212=0,I211,G212),G212)</f>
        <v>0</v>
      </c>
      <c r="J212" s="124" t="n">
        <f aca="false">IF(MONTH($A212)=MONTH($A211),SUM(I212-I211),I212)</f>
        <v>0</v>
      </c>
      <c r="K212" s="124" t="n">
        <f aca="false">IF(WEEKDAY(A212,3)&gt;4,0,(IF(A212&lt;K$2,0,IF(A212&lt;=K$3,1,0))))</f>
        <v>0</v>
      </c>
      <c r="L212" s="124" t="n">
        <f aca="false">J212*K212</f>
        <v>0</v>
      </c>
      <c r="M212" s="124" t="n">
        <f aca="false">SUM(J$188:J212)</f>
        <v>0</v>
      </c>
      <c r="N212" s="124" t="n">
        <f aca="false">SUM(J$6:J212)</f>
        <v>-221916</v>
      </c>
      <c r="P212" s="124" t="n">
        <f aca="false">D212/P$3</f>
        <v>0</v>
      </c>
      <c r="Q212" s="124" t="n">
        <f aca="false">E212/P$3</f>
        <v>0</v>
      </c>
      <c r="R212" s="124" t="n">
        <f aca="false">F212/R$3</f>
        <v>0</v>
      </c>
      <c r="S212" s="126" t="n">
        <f aca="false">J212/$R$3</f>
        <v>0</v>
      </c>
      <c r="T212" s="126" t="n">
        <f aca="false">L212/$R$3</f>
        <v>0</v>
      </c>
      <c r="U212" s="126" t="n">
        <f aca="false">I212/$R$3</f>
        <v>0</v>
      </c>
      <c r="V212" s="126" t="n">
        <f aca="false">M212/$R$3</f>
        <v>0</v>
      </c>
      <c r="W212" s="126" t="n">
        <f aca="false">N212/$R$3</f>
        <v>-221.916</v>
      </c>
    </row>
    <row r="213" customFormat="false" ht="12.75" hidden="false" customHeight="false" outlineLevel="0" collapsed="false">
      <c r="A213" s="120" t="n">
        <f aca="false">A212+1</f>
        <v>37099</v>
      </c>
      <c r="B213" s="131" t="str">
        <f aca="false">INDEX('[4]Master Data'!$A$2:$B$8,MATCH(WEEKDAY('TBS Gas MTM'!A213,3),'[4]Master Data'!$A$2:$A$8,0),2)</f>
        <v>F</v>
      </c>
      <c r="D213" s="124" t="n">
        <v>0</v>
      </c>
      <c r="E213" s="124" t="n">
        <v>0</v>
      </c>
      <c r="F213" s="124" t="n">
        <v>0</v>
      </c>
      <c r="G213" s="124" t="n">
        <v>0</v>
      </c>
      <c r="I213" s="124" t="n">
        <f aca="false">IF(MONTH($A213)=MONTH($A212),IF(G213=0,I212,G213),G213)</f>
        <v>0</v>
      </c>
      <c r="J213" s="124" t="n">
        <f aca="false">IF(MONTH($A213)=MONTH($A212),SUM(I213-I212),I213)</f>
        <v>0</v>
      </c>
      <c r="K213" s="124" t="n">
        <f aca="false">IF(WEEKDAY(A213,3)&gt;4,0,(IF(A213&lt;K$2,0,IF(A213&lt;=K$3,1,0))))</f>
        <v>0</v>
      </c>
      <c r="L213" s="124" t="n">
        <f aca="false">J213*K213</f>
        <v>0</v>
      </c>
      <c r="M213" s="124" t="n">
        <f aca="false">SUM(J$188:J213)</f>
        <v>0</v>
      </c>
      <c r="N213" s="124" t="n">
        <f aca="false">SUM(J$6:J213)</f>
        <v>-221916</v>
      </c>
      <c r="P213" s="124" t="n">
        <f aca="false">D213/P$3</f>
        <v>0</v>
      </c>
      <c r="Q213" s="124" t="n">
        <f aca="false">E213/P$3</f>
        <v>0</v>
      </c>
      <c r="R213" s="124" t="n">
        <f aca="false">F213/R$3</f>
        <v>0</v>
      </c>
      <c r="S213" s="126" t="n">
        <f aca="false">J213/$R$3</f>
        <v>0</v>
      </c>
      <c r="T213" s="126" t="n">
        <f aca="false">L213/$R$3</f>
        <v>0</v>
      </c>
      <c r="U213" s="126" t="n">
        <f aca="false">I213/$R$3</f>
        <v>0</v>
      </c>
      <c r="V213" s="126" t="n">
        <f aca="false">M213/$R$3</f>
        <v>0</v>
      </c>
      <c r="W213" s="126" t="n">
        <f aca="false">N213/$R$3</f>
        <v>-221.916</v>
      </c>
    </row>
    <row r="214" customFormat="false" ht="12.75" hidden="false" customHeight="false" outlineLevel="0" collapsed="false">
      <c r="A214" s="120" t="n">
        <f aca="false">A213+1</f>
        <v>37100</v>
      </c>
      <c r="B214" s="131" t="str">
        <f aca="false">INDEX('[4]Master Data'!$A$2:$B$8,MATCH(WEEKDAY('TBS Gas MTM'!A214,3),'[4]Master Data'!$A$2:$A$8,0),2)</f>
        <v>Sa</v>
      </c>
      <c r="D214" s="124" t="n">
        <v>0</v>
      </c>
      <c r="E214" s="124" t="n">
        <v>0</v>
      </c>
      <c r="F214" s="124" t="n">
        <v>0</v>
      </c>
      <c r="G214" s="124" t="n">
        <v>0</v>
      </c>
      <c r="I214" s="124" t="n">
        <f aca="false">IF(MONTH($A214)=MONTH($A213),IF(G214=0,I213,G214),G214)</f>
        <v>0</v>
      </c>
      <c r="J214" s="124" t="n">
        <f aca="false">IF(MONTH($A214)=MONTH($A213),SUM(I214-I213),I214)</f>
        <v>0</v>
      </c>
      <c r="K214" s="124" t="n">
        <f aca="false">IF(WEEKDAY(A214,3)&gt;4,0,(IF(A214&lt;K$2,0,IF(A214&lt;=K$3,1,0))))</f>
        <v>0</v>
      </c>
      <c r="L214" s="124" t="n">
        <f aca="false">J214*K214</f>
        <v>0</v>
      </c>
      <c r="M214" s="124" t="n">
        <f aca="false">SUM(J$188:J214)</f>
        <v>0</v>
      </c>
      <c r="N214" s="124" t="n">
        <f aca="false">SUM(J$6:J214)</f>
        <v>-221916</v>
      </c>
      <c r="P214" s="124" t="n">
        <f aca="false">D214/P$3</f>
        <v>0</v>
      </c>
      <c r="Q214" s="124" t="n">
        <f aca="false">E214/P$3</f>
        <v>0</v>
      </c>
      <c r="R214" s="124" t="n">
        <f aca="false">F214/R$3</f>
        <v>0</v>
      </c>
      <c r="S214" s="126" t="n">
        <f aca="false">J214/$R$3</f>
        <v>0</v>
      </c>
      <c r="T214" s="126" t="n">
        <f aca="false">L214/$R$3</f>
        <v>0</v>
      </c>
      <c r="U214" s="126" t="n">
        <f aca="false">I214/$R$3</f>
        <v>0</v>
      </c>
      <c r="V214" s="126" t="n">
        <f aca="false">M214/$R$3</f>
        <v>0</v>
      </c>
      <c r="W214" s="126" t="n">
        <f aca="false">N214/$R$3</f>
        <v>-221.916</v>
      </c>
    </row>
    <row r="215" customFormat="false" ht="12.75" hidden="false" customHeight="false" outlineLevel="0" collapsed="false">
      <c r="A215" s="120" t="n">
        <f aca="false">A214+1</f>
        <v>37101</v>
      </c>
      <c r="B215" s="131" t="str">
        <f aca="false">INDEX('[4]Master Data'!$A$2:$B$8,MATCH(WEEKDAY('TBS Gas MTM'!A215,3),'[4]Master Data'!$A$2:$A$8,0),2)</f>
        <v>Su</v>
      </c>
      <c r="D215" s="124" t="n">
        <v>0</v>
      </c>
      <c r="E215" s="124" t="n">
        <v>0</v>
      </c>
      <c r="F215" s="124" t="n">
        <v>0</v>
      </c>
      <c r="G215" s="124" t="n">
        <v>0</v>
      </c>
      <c r="I215" s="124" t="n">
        <f aca="false">IF(MONTH($A215)=MONTH($A214),IF(G215=0,I214,G215),G215)</f>
        <v>0</v>
      </c>
      <c r="J215" s="124" t="n">
        <f aca="false">IF(MONTH($A215)=MONTH($A214),SUM(I215-I214),I215)</f>
        <v>0</v>
      </c>
      <c r="K215" s="124" t="n">
        <f aca="false">IF(WEEKDAY(A215,3)&gt;4,0,(IF(A215&lt;K$2,0,IF(A215&lt;=K$3,1,0))))</f>
        <v>0</v>
      </c>
      <c r="L215" s="124" t="n">
        <f aca="false">J215*K215</f>
        <v>0</v>
      </c>
      <c r="M215" s="124" t="n">
        <f aca="false">SUM(J$188:J215)</f>
        <v>0</v>
      </c>
      <c r="N215" s="124" t="n">
        <f aca="false">SUM(J$6:J215)</f>
        <v>-221916</v>
      </c>
      <c r="P215" s="124" t="n">
        <f aca="false">D215/P$3</f>
        <v>0</v>
      </c>
      <c r="Q215" s="124" t="n">
        <f aca="false">E215/P$3</f>
        <v>0</v>
      </c>
      <c r="R215" s="124" t="n">
        <f aca="false">F215/R$3</f>
        <v>0</v>
      </c>
      <c r="S215" s="126" t="n">
        <f aca="false">J215/$R$3</f>
        <v>0</v>
      </c>
      <c r="T215" s="126" t="n">
        <f aca="false">L215/$R$3</f>
        <v>0</v>
      </c>
      <c r="U215" s="126" t="n">
        <f aca="false">I215/$R$3</f>
        <v>0</v>
      </c>
      <c r="V215" s="126" t="n">
        <f aca="false">M215/$R$3</f>
        <v>0</v>
      </c>
      <c r="W215" s="126" t="n">
        <f aca="false">N215/$R$3</f>
        <v>-221.916</v>
      </c>
    </row>
    <row r="216" customFormat="false" ht="12.75" hidden="false" customHeight="false" outlineLevel="0" collapsed="false">
      <c r="A216" s="120" t="n">
        <f aca="false">A215+1</f>
        <v>37102</v>
      </c>
      <c r="B216" s="131" t="str">
        <f aca="false">INDEX('[4]Master Data'!$A$2:$B$8,MATCH(WEEKDAY('TBS Gas MTM'!A216,3),'[4]Master Data'!$A$2:$A$8,0),2)</f>
        <v>M</v>
      </c>
      <c r="D216" s="124" t="n">
        <v>0</v>
      </c>
      <c r="E216" s="124" t="n">
        <v>0</v>
      </c>
      <c r="F216" s="124" t="n">
        <v>0</v>
      </c>
      <c r="G216" s="124" t="n">
        <v>0</v>
      </c>
      <c r="I216" s="124" t="n">
        <f aca="false">IF(MONTH($A216)=MONTH($A215),IF(G216=0,I215,G216),G216)</f>
        <v>0</v>
      </c>
      <c r="J216" s="124" t="n">
        <f aca="false">IF(MONTH($A216)=MONTH($A215),SUM(I216-I215),I216)</f>
        <v>0</v>
      </c>
      <c r="K216" s="124" t="n">
        <f aca="false">IF(WEEKDAY(A216,3)&gt;4,0,(IF(A216&lt;K$2,0,IF(A216&lt;=K$3,1,0))))</f>
        <v>0</v>
      </c>
      <c r="L216" s="124" t="n">
        <f aca="false">J216*K216</f>
        <v>0</v>
      </c>
      <c r="M216" s="124" t="n">
        <f aca="false">SUM(J$188:J216)</f>
        <v>0</v>
      </c>
      <c r="N216" s="124" t="n">
        <f aca="false">SUM(J$6:J216)</f>
        <v>-221916</v>
      </c>
      <c r="P216" s="124" t="n">
        <f aca="false">D216/P$3</f>
        <v>0</v>
      </c>
      <c r="Q216" s="124" t="n">
        <f aca="false">E216/P$3</f>
        <v>0</v>
      </c>
      <c r="R216" s="124" t="n">
        <f aca="false">F216/R$3</f>
        <v>0</v>
      </c>
      <c r="S216" s="126" t="n">
        <f aca="false">J216/$R$3</f>
        <v>0</v>
      </c>
      <c r="T216" s="126" t="n">
        <f aca="false">L216/$R$3</f>
        <v>0</v>
      </c>
      <c r="U216" s="126" t="n">
        <f aca="false">I216/$R$3</f>
        <v>0</v>
      </c>
      <c r="V216" s="126" t="n">
        <f aca="false">M216/$R$3</f>
        <v>0</v>
      </c>
      <c r="W216" s="126" t="n">
        <f aca="false">N216/$R$3</f>
        <v>-221.916</v>
      </c>
    </row>
    <row r="217" customFormat="false" ht="12.75" hidden="false" customHeight="false" outlineLevel="0" collapsed="false">
      <c r="A217" s="120" t="n">
        <f aca="false">A216+1</f>
        <v>37103</v>
      </c>
      <c r="B217" s="131" t="str">
        <f aca="false">INDEX('[4]Master Data'!$A$2:$B$8,MATCH(WEEKDAY('TBS Gas MTM'!A217,3),'[4]Master Data'!$A$2:$A$8,0),2)</f>
        <v>T</v>
      </c>
      <c r="D217" s="124" t="n">
        <v>0</v>
      </c>
      <c r="E217" s="124" t="n">
        <v>0</v>
      </c>
      <c r="F217" s="124" t="n">
        <v>0</v>
      </c>
      <c r="G217" s="124" t="n">
        <v>0</v>
      </c>
      <c r="I217" s="124" t="n">
        <f aca="false">IF(MONTH($A217)=MONTH($A216),IF(G217=0,I216,G217),G217)</f>
        <v>0</v>
      </c>
      <c r="J217" s="124" t="n">
        <f aca="false">IF(MONTH($A217)=MONTH($A216),SUM(I217-I216),I217)</f>
        <v>0</v>
      </c>
      <c r="K217" s="124" t="n">
        <f aca="false">IF(WEEKDAY(A217,3)&gt;4,0,(IF(A217&lt;K$2,0,IF(A217&lt;=K$3,1,0))))</f>
        <v>0</v>
      </c>
      <c r="L217" s="124" t="n">
        <f aca="false">J217*K217</f>
        <v>0</v>
      </c>
      <c r="M217" s="124" t="n">
        <f aca="false">SUM(J$188:J217)</f>
        <v>0</v>
      </c>
      <c r="N217" s="124" t="n">
        <f aca="false">SUM(J$6:J217)</f>
        <v>-221916</v>
      </c>
      <c r="P217" s="124" t="n">
        <f aca="false">D217/P$3</f>
        <v>0</v>
      </c>
      <c r="Q217" s="124" t="n">
        <f aca="false">E217/P$3</f>
        <v>0</v>
      </c>
      <c r="R217" s="124" t="n">
        <f aca="false">F217/R$3</f>
        <v>0</v>
      </c>
      <c r="S217" s="126" t="n">
        <f aca="false">J217/$R$3</f>
        <v>0</v>
      </c>
      <c r="T217" s="126" t="n">
        <f aca="false">L217/$R$3</f>
        <v>0</v>
      </c>
      <c r="U217" s="126" t="n">
        <f aca="false">I217/$R$3</f>
        <v>0</v>
      </c>
      <c r="V217" s="126" t="n">
        <f aca="false">M217/$R$3</f>
        <v>0</v>
      </c>
      <c r="W217" s="126" t="n">
        <f aca="false">N217/$R$3</f>
        <v>-221.916</v>
      </c>
    </row>
    <row r="218" customFormat="false" ht="12.75" hidden="false" customHeight="false" outlineLevel="0" collapsed="false">
      <c r="A218" s="120" t="n">
        <f aca="false">A217+1</f>
        <v>37104</v>
      </c>
      <c r="B218" s="131" t="str">
        <f aca="false">INDEX('[4]Master Data'!$A$2:$B$8,MATCH(WEEKDAY('TBS Gas MTM'!A218,3),'[4]Master Data'!$A$2:$A$8,0),2)</f>
        <v>W</v>
      </c>
      <c r="D218" s="124" t="n">
        <v>0</v>
      </c>
      <c r="E218" s="124" t="n">
        <v>0</v>
      </c>
      <c r="F218" s="124" t="n">
        <v>0</v>
      </c>
      <c r="G218" s="124" t="n">
        <v>0</v>
      </c>
      <c r="I218" s="124" t="n">
        <f aca="false">IF(MONTH($A218)=MONTH($A217),IF(G218=0,I217,G218),G218)</f>
        <v>0</v>
      </c>
      <c r="J218" s="124" t="n">
        <f aca="false">IF(MONTH($A218)=MONTH($A217),SUM(I218-I217),I218)</f>
        <v>0</v>
      </c>
      <c r="K218" s="124" t="n">
        <f aca="false">IF(WEEKDAY(A218,3)&gt;4,0,(IF(A218&lt;K$2,0,IF(A218&lt;=K$3,1,0))))</f>
        <v>0</v>
      </c>
      <c r="L218" s="124" t="n">
        <f aca="false">J218*K218</f>
        <v>0</v>
      </c>
      <c r="M218" s="124" t="n">
        <f aca="false">SUM(J$188:J218)</f>
        <v>0</v>
      </c>
      <c r="N218" s="124" t="n">
        <f aca="false">SUM(J$6:J218)</f>
        <v>-221916</v>
      </c>
      <c r="P218" s="124" t="n">
        <f aca="false">D218/P$3</f>
        <v>0</v>
      </c>
      <c r="Q218" s="124" t="n">
        <f aca="false">E218/P$3</f>
        <v>0</v>
      </c>
      <c r="R218" s="124" t="n">
        <f aca="false">F218/R$3</f>
        <v>0</v>
      </c>
      <c r="S218" s="126" t="n">
        <f aca="false">J218/$R$3</f>
        <v>0</v>
      </c>
      <c r="T218" s="126" t="n">
        <f aca="false">L218/$R$3</f>
        <v>0</v>
      </c>
      <c r="U218" s="126" t="n">
        <f aca="false">I218/$R$3</f>
        <v>0</v>
      </c>
      <c r="V218" s="126" t="n">
        <f aca="false">M218/$R$3</f>
        <v>0</v>
      </c>
      <c r="W218" s="126" t="n">
        <f aca="false">N218/$R$3</f>
        <v>-221.916</v>
      </c>
    </row>
    <row r="219" customFormat="false" ht="12.75" hidden="false" customHeight="false" outlineLevel="0" collapsed="false">
      <c r="A219" s="120" t="n">
        <f aca="false">A218+1</f>
        <v>37105</v>
      </c>
      <c r="B219" s="131" t="str">
        <f aca="false">INDEX('[4]Master Data'!$A$2:$B$8,MATCH(WEEKDAY('TBS Gas MTM'!A219,3),'[4]Master Data'!$A$2:$A$8,0),2)</f>
        <v>Th</v>
      </c>
      <c r="D219" s="124" t="n">
        <v>0</v>
      </c>
      <c r="E219" s="124" t="n">
        <v>0</v>
      </c>
      <c r="F219" s="124" t="n">
        <v>0</v>
      </c>
      <c r="G219" s="124" t="n">
        <v>0</v>
      </c>
      <c r="I219" s="124" t="n">
        <f aca="false">IF(MONTH($A219)=MONTH($A218),IF(G219=0,I218,G219),G219)</f>
        <v>0</v>
      </c>
      <c r="J219" s="124" t="n">
        <f aca="false">IF(MONTH($A219)=MONTH($A218),SUM(I219-I218),I219)</f>
        <v>0</v>
      </c>
      <c r="K219" s="124" t="n">
        <f aca="false">IF(WEEKDAY(A219,3)&gt;4,0,(IF(A219&lt;K$2,0,IF(A219&lt;=K$3,1,0))))</f>
        <v>0</v>
      </c>
      <c r="L219" s="124" t="n">
        <f aca="false">J219*K219</f>
        <v>0</v>
      </c>
      <c r="M219" s="124" t="n">
        <f aca="false">SUM(J$188:J219)</f>
        <v>0</v>
      </c>
      <c r="N219" s="124" t="n">
        <f aca="false">SUM(J$6:J219)</f>
        <v>-221916</v>
      </c>
      <c r="P219" s="124" t="n">
        <f aca="false">D219/P$3</f>
        <v>0</v>
      </c>
      <c r="Q219" s="124" t="n">
        <f aca="false">E219/P$3</f>
        <v>0</v>
      </c>
      <c r="R219" s="124" t="n">
        <f aca="false">F219/R$3</f>
        <v>0</v>
      </c>
      <c r="S219" s="126" t="n">
        <f aca="false">J219/$R$3</f>
        <v>0</v>
      </c>
      <c r="T219" s="126" t="n">
        <f aca="false">L219/$R$3</f>
        <v>0</v>
      </c>
      <c r="U219" s="126" t="n">
        <f aca="false">I219/$R$3</f>
        <v>0</v>
      </c>
      <c r="V219" s="126" t="n">
        <f aca="false">M219/$R$3</f>
        <v>0</v>
      </c>
      <c r="W219" s="126" t="n">
        <f aca="false">N219/$R$3</f>
        <v>-221.916</v>
      </c>
    </row>
    <row r="220" customFormat="false" ht="12.75" hidden="false" customHeight="false" outlineLevel="0" collapsed="false">
      <c r="A220" s="120" t="n">
        <f aca="false">A219+1</f>
        <v>37106</v>
      </c>
      <c r="B220" s="131" t="str">
        <f aca="false">INDEX('[4]Master Data'!$A$2:$B$8,MATCH(WEEKDAY('TBS Gas MTM'!A220,3),'[4]Master Data'!$A$2:$A$8,0),2)</f>
        <v>F</v>
      </c>
      <c r="D220" s="124" t="n">
        <v>0</v>
      </c>
      <c r="E220" s="124" t="n">
        <v>0</v>
      </c>
      <c r="F220" s="124" t="n">
        <v>0</v>
      </c>
      <c r="G220" s="124" t="n">
        <v>0</v>
      </c>
      <c r="I220" s="124" t="n">
        <f aca="false">IF(MONTH($A220)=MONTH($A219),IF(G220=0,I219,G220),G220)</f>
        <v>0</v>
      </c>
      <c r="J220" s="124" t="n">
        <f aca="false">IF(MONTH($A220)=MONTH($A219),SUM(I220-I219),I220)</f>
        <v>0</v>
      </c>
      <c r="K220" s="124" t="n">
        <f aca="false">IF(WEEKDAY(A220,3)&gt;4,0,(IF(A220&lt;K$2,0,IF(A220&lt;=K$3,1,0))))</f>
        <v>0</v>
      </c>
      <c r="L220" s="124" t="n">
        <f aca="false">J220*K220</f>
        <v>0</v>
      </c>
      <c r="M220" s="124" t="n">
        <f aca="false">SUM(J$188:J220)</f>
        <v>0</v>
      </c>
      <c r="N220" s="124" t="n">
        <f aca="false">SUM(J$6:J220)</f>
        <v>-221916</v>
      </c>
      <c r="P220" s="124" t="n">
        <f aca="false">D220/P$3</f>
        <v>0</v>
      </c>
      <c r="Q220" s="124" t="n">
        <f aca="false">E220/P$3</f>
        <v>0</v>
      </c>
      <c r="R220" s="124" t="n">
        <f aca="false">F220/R$3</f>
        <v>0</v>
      </c>
      <c r="S220" s="126" t="n">
        <f aca="false">J220/$R$3</f>
        <v>0</v>
      </c>
      <c r="T220" s="126" t="n">
        <f aca="false">L220/$R$3</f>
        <v>0</v>
      </c>
      <c r="U220" s="126" t="n">
        <f aca="false">I220/$R$3</f>
        <v>0</v>
      </c>
      <c r="V220" s="126" t="n">
        <f aca="false">M220/$R$3</f>
        <v>0</v>
      </c>
      <c r="W220" s="126" t="n">
        <f aca="false">N220/$R$3</f>
        <v>-221.916</v>
      </c>
    </row>
    <row r="221" customFormat="false" ht="12.75" hidden="false" customHeight="false" outlineLevel="0" collapsed="false">
      <c r="A221" s="120" t="n">
        <f aca="false">A220+1</f>
        <v>37107</v>
      </c>
      <c r="B221" s="131" t="str">
        <f aca="false">INDEX('[4]Master Data'!$A$2:$B$8,MATCH(WEEKDAY('TBS Gas MTM'!A221,3),'[4]Master Data'!$A$2:$A$8,0),2)</f>
        <v>Sa</v>
      </c>
      <c r="D221" s="124" t="n">
        <v>0</v>
      </c>
      <c r="E221" s="124" t="n">
        <v>0</v>
      </c>
      <c r="F221" s="124" t="n">
        <v>0</v>
      </c>
      <c r="G221" s="124" t="n">
        <v>0</v>
      </c>
      <c r="I221" s="124" t="n">
        <f aca="false">IF(MONTH($A221)=MONTH($A220),IF(G221=0,I220,G221),G221)</f>
        <v>0</v>
      </c>
      <c r="J221" s="124" t="n">
        <f aca="false">IF(MONTH($A221)=MONTH($A220),SUM(I221-I220),I221)</f>
        <v>0</v>
      </c>
      <c r="K221" s="124" t="n">
        <f aca="false">IF(WEEKDAY(A221,3)&gt;4,0,(IF(A221&lt;K$2,0,IF(A221&lt;=K$3,1,0))))</f>
        <v>0</v>
      </c>
      <c r="L221" s="124" t="n">
        <f aca="false">J221*K221</f>
        <v>0</v>
      </c>
      <c r="M221" s="124" t="n">
        <f aca="false">SUM(J$188:J221)</f>
        <v>0</v>
      </c>
      <c r="N221" s="124" t="n">
        <f aca="false">SUM(J$6:J221)</f>
        <v>-221916</v>
      </c>
      <c r="P221" s="124" t="n">
        <f aca="false">D221/P$3</f>
        <v>0</v>
      </c>
      <c r="Q221" s="124" t="n">
        <f aca="false">E221/P$3</f>
        <v>0</v>
      </c>
      <c r="R221" s="124" t="n">
        <f aca="false">F221/R$3</f>
        <v>0</v>
      </c>
      <c r="S221" s="126" t="n">
        <f aca="false">J221/$R$3</f>
        <v>0</v>
      </c>
      <c r="T221" s="126" t="n">
        <f aca="false">L221/$R$3</f>
        <v>0</v>
      </c>
      <c r="U221" s="126" t="n">
        <f aca="false">I221/$R$3</f>
        <v>0</v>
      </c>
      <c r="V221" s="126" t="n">
        <f aca="false">M221/$R$3</f>
        <v>0</v>
      </c>
      <c r="W221" s="126" t="n">
        <f aca="false">N221/$R$3</f>
        <v>-221.916</v>
      </c>
    </row>
    <row r="222" customFormat="false" ht="12.75" hidden="false" customHeight="false" outlineLevel="0" collapsed="false">
      <c r="A222" s="120" t="n">
        <f aca="false">A221+1</f>
        <v>37108</v>
      </c>
      <c r="B222" s="131" t="str">
        <f aca="false">INDEX('[4]Master Data'!$A$2:$B$8,MATCH(WEEKDAY('TBS Gas MTM'!A222,3),'[4]Master Data'!$A$2:$A$8,0),2)</f>
        <v>Su</v>
      </c>
      <c r="D222" s="124" t="n">
        <v>0</v>
      </c>
      <c r="E222" s="124" t="n">
        <v>0</v>
      </c>
      <c r="F222" s="124" t="n">
        <v>0</v>
      </c>
      <c r="G222" s="124" t="n">
        <v>0</v>
      </c>
      <c r="I222" s="124" t="n">
        <f aca="false">IF(MONTH($A222)=MONTH($A221),IF(G222=0,I221,G222),G222)</f>
        <v>0</v>
      </c>
      <c r="J222" s="124" t="n">
        <f aca="false">IF(MONTH($A222)=MONTH($A221),SUM(I222-I221),I222)</f>
        <v>0</v>
      </c>
      <c r="K222" s="124" t="n">
        <f aca="false">IF(WEEKDAY(A222,3)&gt;4,0,(IF(A222&lt;K$2,0,IF(A222&lt;=K$3,1,0))))</f>
        <v>0</v>
      </c>
      <c r="L222" s="124" t="n">
        <f aca="false">J222*K222</f>
        <v>0</v>
      </c>
      <c r="M222" s="124" t="n">
        <f aca="false">SUM(J$188:J222)</f>
        <v>0</v>
      </c>
      <c r="N222" s="124" t="n">
        <f aca="false">SUM(J$6:J222)</f>
        <v>-221916</v>
      </c>
      <c r="P222" s="124" t="n">
        <f aca="false">D222/P$3</f>
        <v>0</v>
      </c>
      <c r="Q222" s="124" t="n">
        <f aca="false">E222/P$3</f>
        <v>0</v>
      </c>
      <c r="R222" s="124" t="n">
        <f aca="false">F222/R$3</f>
        <v>0</v>
      </c>
      <c r="S222" s="126" t="n">
        <f aca="false">J222/$R$3</f>
        <v>0</v>
      </c>
      <c r="T222" s="126" t="n">
        <f aca="false">L222/$R$3</f>
        <v>0</v>
      </c>
      <c r="U222" s="126" t="n">
        <f aca="false">I222/$R$3</f>
        <v>0</v>
      </c>
      <c r="V222" s="126" t="n">
        <f aca="false">M222/$R$3</f>
        <v>0</v>
      </c>
      <c r="W222" s="126" t="n">
        <f aca="false">N222/$R$3</f>
        <v>-221.916</v>
      </c>
    </row>
    <row r="223" customFormat="false" ht="12.75" hidden="false" customHeight="false" outlineLevel="0" collapsed="false">
      <c r="A223" s="120" t="n">
        <f aca="false">A222+1</f>
        <v>37109</v>
      </c>
      <c r="B223" s="131" t="str">
        <f aca="false">INDEX('[4]Master Data'!$A$2:$B$8,MATCH(WEEKDAY('TBS Gas MTM'!A223,3),'[4]Master Data'!$A$2:$A$8,0),2)</f>
        <v>M</v>
      </c>
      <c r="D223" s="124" t="n">
        <v>0</v>
      </c>
      <c r="E223" s="124" t="n">
        <v>0</v>
      </c>
      <c r="F223" s="124" t="n">
        <v>0</v>
      </c>
      <c r="G223" s="124" t="n">
        <v>0</v>
      </c>
      <c r="I223" s="124" t="n">
        <f aca="false">IF(MONTH($A223)=MONTH($A222),IF(G223=0,I222,G223),G223)</f>
        <v>0</v>
      </c>
      <c r="J223" s="124" t="n">
        <f aca="false">IF(MONTH($A223)=MONTH($A222),SUM(I223-I222),I223)</f>
        <v>0</v>
      </c>
      <c r="K223" s="124" t="n">
        <f aca="false">IF(WEEKDAY(A223,3)&gt;4,0,(IF(A223&lt;K$2,0,IF(A223&lt;=K$3,1,0))))</f>
        <v>0</v>
      </c>
      <c r="L223" s="124" t="n">
        <f aca="false">J223*K223</f>
        <v>0</v>
      </c>
      <c r="M223" s="124" t="n">
        <f aca="false">SUM(J$188:J223)</f>
        <v>0</v>
      </c>
      <c r="N223" s="124" t="n">
        <f aca="false">SUM(J$6:J223)</f>
        <v>-221916</v>
      </c>
      <c r="P223" s="124" t="n">
        <f aca="false">D223/P$3</f>
        <v>0</v>
      </c>
      <c r="Q223" s="124" t="n">
        <f aca="false">E223/P$3</f>
        <v>0</v>
      </c>
      <c r="R223" s="124" t="n">
        <f aca="false">F223/R$3</f>
        <v>0</v>
      </c>
      <c r="S223" s="126" t="n">
        <f aca="false">J223/$R$3</f>
        <v>0</v>
      </c>
      <c r="T223" s="126" t="n">
        <f aca="false">L223/$R$3</f>
        <v>0</v>
      </c>
      <c r="U223" s="126" t="n">
        <f aca="false">I223/$R$3</f>
        <v>0</v>
      </c>
      <c r="V223" s="126" t="n">
        <f aca="false">M223/$R$3</f>
        <v>0</v>
      </c>
      <c r="W223" s="126" t="n">
        <f aca="false">N223/$R$3</f>
        <v>-221.916</v>
      </c>
    </row>
    <row r="224" customFormat="false" ht="12.75" hidden="false" customHeight="false" outlineLevel="0" collapsed="false">
      <c r="A224" s="120" t="n">
        <f aca="false">A223+1</f>
        <v>37110</v>
      </c>
      <c r="B224" s="131" t="str">
        <f aca="false">INDEX('[4]Master Data'!$A$2:$B$8,MATCH(WEEKDAY('TBS Gas MTM'!A224,3),'[4]Master Data'!$A$2:$A$8,0),2)</f>
        <v>T</v>
      </c>
      <c r="D224" s="124" t="n">
        <v>0</v>
      </c>
      <c r="E224" s="124" t="n">
        <v>0</v>
      </c>
      <c r="F224" s="124" t="n">
        <v>0</v>
      </c>
      <c r="G224" s="124" t="n">
        <v>0</v>
      </c>
      <c r="I224" s="124" t="n">
        <f aca="false">IF(MONTH($A224)=MONTH($A223),IF(G224=0,I223,G224),G224)</f>
        <v>0</v>
      </c>
      <c r="J224" s="124" t="n">
        <f aca="false">IF(MONTH($A224)=MONTH($A223),SUM(I224-I223),I224)</f>
        <v>0</v>
      </c>
      <c r="K224" s="124" t="n">
        <f aca="false">IF(WEEKDAY(A224,3)&gt;4,0,(IF(A224&lt;K$2,0,IF(A224&lt;=K$3,1,0))))</f>
        <v>0</v>
      </c>
      <c r="L224" s="124" t="n">
        <f aca="false">J224*K224</f>
        <v>0</v>
      </c>
      <c r="M224" s="124" t="n">
        <f aca="false">SUM(J$188:J224)</f>
        <v>0</v>
      </c>
      <c r="N224" s="124" t="n">
        <f aca="false">SUM(J$6:J224)</f>
        <v>-221916</v>
      </c>
      <c r="P224" s="124" t="n">
        <f aca="false">D224/P$3</f>
        <v>0</v>
      </c>
      <c r="Q224" s="124" t="n">
        <f aca="false">E224/P$3</f>
        <v>0</v>
      </c>
      <c r="R224" s="124" t="n">
        <f aca="false">F224/R$3</f>
        <v>0</v>
      </c>
      <c r="S224" s="126" t="n">
        <f aca="false">J224/$R$3</f>
        <v>0</v>
      </c>
      <c r="T224" s="126" t="n">
        <f aca="false">L224/$R$3</f>
        <v>0</v>
      </c>
      <c r="U224" s="126" t="n">
        <f aca="false">I224/$R$3</f>
        <v>0</v>
      </c>
      <c r="V224" s="126" t="n">
        <f aca="false">M224/$R$3</f>
        <v>0</v>
      </c>
      <c r="W224" s="126" t="n">
        <f aca="false">N224/$R$3</f>
        <v>-221.916</v>
      </c>
    </row>
    <row r="225" customFormat="false" ht="12.75" hidden="false" customHeight="false" outlineLevel="0" collapsed="false">
      <c r="A225" s="120" t="n">
        <f aca="false">A224+1</f>
        <v>37111</v>
      </c>
      <c r="B225" s="131" t="str">
        <f aca="false">INDEX('[4]Master Data'!$A$2:$B$8,MATCH(WEEKDAY('TBS Gas MTM'!A225,3),'[4]Master Data'!$A$2:$A$8,0),2)</f>
        <v>W</v>
      </c>
      <c r="D225" s="124" t="n">
        <v>0</v>
      </c>
      <c r="E225" s="124" t="n">
        <v>0</v>
      </c>
      <c r="F225" s="124" t="n">
        <v>0</v>
      </c>
      <c r="G225" s="124" t="n">
        <v>0</v>
      </c>
      <c r="I225" s="124" t="n">
        <f aca="false">IF(MONTH($A225)=MONTH($A224),IF(G225=0,I224,G225),G225)</f>
        <v>0</v>
      </c>
      <c r="J225" s="124" t="n">
        <f aca="false">IF(MONTH($A225)=MONTH($A224),SUM(I225-I224),I225)</f>
        <v>0</v>
      </c>
      <c r="K225" s="124" t="n">
        <f aca="false">IF(WEEKDAY(A225,3)&gt;4,0,(IF(A225&lt;K$2,0,IF(A225&lt;=K$3,1,0))))</f>
        <v>0</v>
      </c>
      <c r="L225" s="124" t="n">
        <f aca="false">J225*K225</f>
        <v>0</v>
      </c>
      <c r="M225" s="124" t="n">
        <f aca="false">SUM(J$188:J225)</f>
        <v>0</v>
      </c>
      <c r="N225" s="124" t="n">
        <f aca="false">SUM(J$6:J225)</f>
        <v>-221916</v>
      </c>
      <c r="P225" s="124" t="n">
        <f aca="false">D225/P$3</f>
        <v>0</v>
      </c>
      <c r="Q225" s="124" t="n">
        <f aca="false">E225/P$3</f>
        <v>0</v>
      </c>
      <c r="R225" s="124" t="n">
        <f aca="false">F225/R$3</f>
        <v>0</v>
      </c>
      <c r="S225" s="126" t="n">
        <f aca="false">J225/$R$3</f>
        <v>0</v>
      </c>
      <c r="T225" s="126" t="n">
        <f aca="false">L225/$R$3</f>
        <v>0</v>
      </c>
      <c r="U225" s="126" t="n">
        <f aca="false">I225/$R$3</f>
        <v>0</v>
      </c>
      <c r="V225" s="126" t="n">
        <f aca="false">M225/$R$3</f>
        <v>0</v>
      </c>
      <c r="W225" s="126" t="n">
        <f aca="false">N225/$R$3</f>
        <v>-221.916</v>
      </c>
    </row>
    <row r="226" customFormat="false" ht="12.75" hidden="false" customHeight="false" outlineLevel="0" collapsed="false">
      <c r="A226" s="120" t="n">
        <f aca="false">A225+1</f>
        <v>37112</v>
      </c>
      <c r="B226" s="131" t="str">
        <f aca="false">INDEX('[4]Master Data'!$A$2:$B$8,MATCH(WEEKDAY('TBS Gas MTM'!A226,3),'[4]Master Data'!$A$2:$A$8,0),2)</f>
        <v>Th</v>
      </c>
      <c r="D226" s="124" t="n">
        <v>0</v>
      </c>
      <c r="E226" s="124" t="n">
        <v>0</v>
      </c>
      <c r="F226" s="124" t="n">
        <v>0</v>
      </c>
      <c r="G226" s="124" t="n">
        <v>0</v>
      </c>
      <c r="I226" s="124" t="n">
        <f aca="false">IF(MONTH($A226)=MONTH($A225),IF(G226=0,I225,G226),G226)</f>
        <v>0</v>
      </c>
      <c r="J226" s="124" t="n">
        <f aca="false">IF(MONTH($A226)=MONTH($A225),SUM(I226-I225),I226)</f>
        <v>0</v>
      </c>
      <c r="K226" s="124" t="n">
        <f aca="false">IF(WEEKDAY(A226,3)&gt;4,0,(IF(A226&lt;K$2,0,IF(A226&lt;=K$3,1,0))))</f>
        <v>0</v>
      </c>
      <c r="L226" s="124" t="n">
        <f aca="false">J226*K226</f>
        <v>0</v>
      </c>
      <c r="M226" s="124" t="n">
        <f aca="false">SUM(J$188:J226)</f>
        <v>0</v>
      </c>
      <c r="N226" s="124" t="n">
        <f aca="false">SUM(J$6:J226)</f>
        <v>-221916</v>
      </c>
      <c r="P226" s="124" t="n">
        <f aca="false">D226/P$3</f>
        <v>0</v>
      </c>
      <c r="Q226" s="124" t="n">
        <f aca="false">E226/P$3</f>
        <v>0</v>
      </c>
      <c r="R226" s="124" t="n">
        <f aca="false">F226/R$3</f>
        <v>0</v>
      </c>
      <c r="S226" s="126" t="n">
        <f aca="false">J226/$R$3</f>
        <v>0</v>
      </c>
      <c r="T226" s="126" t="n">
        <f aca="false">L226/$R$3</f>
        <v>0</v>
      </c>
      <c r="U226" s="126" t="n">
        <f aca="false">I226/$R$3</f>
        <v>0</v>
      </c>
      <c r="V226" s="126" t="n">
        <f aca="false">M226/$R$3</f>
        <v>0</v>
      </c>
      <c r="W226" s="126" t="n">
        <f aca="false">N226/$R$3</f>
        <v>-221.916</v>
      </c>
    </row>
    <row r="227" customFormat="false" ht="12.75" hidden="false" customHeight="false" outlineLevel="0" collapsed="false">
      <c r="A227" s="120" t="n">
        <f aca="false">A226+1</f>
        <v>37113</v>
      </c>
      <c r="B227" s="131" t="str">
        <f aca="false">INDEX('[4]Master Data'!$A$2:$B$8,MATCH(WEEKDAY('TBS Gas MTM'!A227,3),'[4]Master Data'!$A$2:$A$8,0),2)</f>
        <v>F</v>
      </c>
      <c r="D227" s="124" t="n">
        <v>0</v>
      </c>
      <c r="E227" s="124" t="n">
        <v>0</v>
      </c>
      <c r="F227" s="124" t="n">
        <v>0</v>
      </c>
      <c r="G227" s="124" t="n">
        <v>0</v>
      </c>
      <c r="I227" s="124" t="n">
        <f aca="false">IF(MONTH($A227)=MONTH($A226),IF(G227=0,I226,G227),G227)</f>
        <v>0</v>
      </c>
      <c r="J227" s="124" t="n">
        <f aca="false">IF(MONTH($A227)=MONTH($A226),SUM(I227-I226),I227)</f>
        <v>0</v>
      </c>
      <c r="K227" s="124" t="n">
        <f aca="false">IF(WEEKDAY(A227,3)&gt;4,0,(IF(A227&lt;K$2,0,IF(A227&lt;=K$3,1,0))))</f>
        <v>0</v>
      </c>
      <c r="L227" s="124" t="n">
        <f aca="false">J227*K227</f>
        <v>0</v>
      </c>
      <c r="M227" s="124" t="n">
        <f aca="false">SUM(J$188:J227)</f>
        <v>0</v>
      </c>
      <c r="N227" s="124" t="n">
        <f aca="false">SUM(J$6:J227)</f>
        <v>-221916</v>
      </c>
      <c r="P227" s="124" t="n">
        <f aca="false">D227/P$3</f>
        <v>0</v>
      </c>
      <c r="Q227" s="124" t="n">
        <f aca="false">E227/P$3</f>
        <v>0</v>
      </c>
      <c r="R227" s="124" t="n">
        <f aca="false">F227/R$3</f>
        <v>0</v>
      </c>
      <c r="S227" s="126" t="n">
        <f aca="false">J227/$R$3</f>
        <v>0</v>
      </c>
      <c r="T227" s="126" t="n">
        <f aca="false">L227/$R$3</f>
        <v>0</v>
      </c>
      <c r="U227" s="126" t="n">
        <f aca="false">I227/$R$3</f>
        <v>0</v>
      </c>
      <c r="V227" s="126" t="n">
        <f aca="false">M227/$R$3</f>
        <v>0</v>
      </c>
      <c r="W227" s="126" t="n">
        <f aca="false">N227/$R$3</f>
        <v>-221.916</v>
      </c>
    </row>
    <row r="228" customFormat="false" ht="12.75" hidden="false" customHeight="false" outlineLevel="0" collapsed="false">
      <c r="A228" s="120" t="n">
        <f aca="false">A227+1</f>
        <v>37114</v>
      </c>
      <c r="B228" s="131" t="str">
        <f aca="false">INDEX('[4]Master Data'!$A$2:$B$8,MATCH(WEEKDAY('TBS Gas MTM'!A228,3),'[4]Master Data'!$A$2:$A$8,0),2)</f>
        <v>Sa</v>
      </c>
      <c r="D228" s="124" t="n">
        <v>0</v>
      </c>
      <c r="E228" s="124" t="n">
        <v>0</v>
      </c>
      <c r="F228" s="124" t="n">
        <v>0</v>
      </c>
      <c r="G228" s="124" t="n">
        <v>0</v>
      </c>
      <c r="I228" s="124" t="n">
        <f aca="false">IF(MONTH($A228)=MONTH($A227),IF(G228=0,I227,G228),G228)</f>
        <v>0</v>
      </c>
      <c r="J228" s="124" t="n">
        <f aca="false">IF(MONTH($A228)=MONTH($A227),SUM(I228-I227),I228)</f>
        <v>0</v>
      </c>
      <c r="K228" s="124" t="n">
        <f aca="false">IF(WEEKDAY(A228,3)&gt;4,0,(IF(A228&lt;K$2,0,IF(A228&lt;=K$3,1,0))))</f>
        <v>0</v>
      </c>
      <c r="L228" s="124" t="n">
        <f aca="false">J228*K228</f>
        <v>0</v>
      </c>
      <c r="M228" s="124" t="n">
        <f aca="false">SUM(J$188:J228)</f>
        <v>0</v>
      </c>
      <c r="N228" s="124" t="n">
        <f aca="false">SUM(J$6:J228)</f>
        <v>-221916</v>
      </c>
      <c r="P228" s="124" t="n">
        <f aca="false">D228/P$3</f>
        <v>0</v>
      </c>
      <c r="Q228" s="124" t="n">
        <f aca="false">E228/P$3</f>
        <v>0</v>
      </c>
      <c r="R228" s="124" t="n">
        <f aca="false">F228/R$3</f>
        <v>0</v>
      </c>
      <c r="S228" s="126" t="n">
        <f aca="false">J228/$R$3</f>
        <v>0</v>
      </c>
      <c r="T228" s="126" t="n">
        <f aca="false">L228/$R$3</f>
        <v>0</v>
      </c>
      <c r="U228" s="126" t="n">
        <f aca="false">I228/$R$3</f>
        <v>0</v>
      </c>
      <c r="V228" s="126" t="n">
        <f aca="false">M228/$R$3</f>
        <v>0</v>
      </c>
      <c r="W228" s="126" t="n">
        <f aca="false">N228/$R$3</f>
        <v>-221.916</v>
      </c>
    </row>
    <row r="229" customFormat="false" ht="12.75" hidden="false" customHeight="false" outlineLevel="0" collapsed="false">
      <c r="A229" s="120" t="n">
        <f aca="false">A228+1</f>
        <v>37115</v>
      </c>
      <c r="B229" s="131" t="str">
        <f aca="false">INDEX('[4]Master Data'!$A$2:$B$8,MATCH(WEEKDAY('TBS Gas MTM'!A229,3),'[4]Master Data'!$A$2:$A$8,0),2)</f>
        <v>Su</v>
      </c>
      <c r="D229" s="124" t="n">
        <v>0</v>
      </c>
      <c r="E229" s="124" t="n">
        <v>0</v>
      </c>
      <c r="F229" s="124" t="n">
        <v>0</v>
      </c>
      <c r="G229" s="124" t="n">
        <v>0</v>
      </c>
      <c r="I229" s="124" t="n">
        <f aca="false">IF(MONTH($A229)=MONTH($A228),IF(G229=0,I228,G229),G229)</f>
        <v>0</v>
      </c>
      <c r="J229" s="124" t="n">
        <f aca="false">IF(MONTH($A229)=MONTH($A228),SUM(I229-I228),I229)</f>
        <v>0</v>
      </c>
      <c r="K229" s="124" t="n">
        <f aca="false">IF(WEEKDAY(A229,3)&gt;4,0,(IF(A229&lt;K$2,0,IF(A229&lt;=K$3,1,0))))</f>
        <v>0</v>
      </c>
      <c r="L229" s="124" t="n">
        <f aca="false">J229*K229</f>
        <v>0</v>
      </c>
      <c r="M229" s="124" t="n">
        <f aca="false">SUM(J$188:J229)</f>
        <v>0</v>
      </c>
      <c r="N229" s="124" t="n">
        <f aca="false">SUM(J$6:J229)</f>
        <v>-221916</v>
      </c>
      <c r="P229" s="124" t="n">
        <f aca="false">D229/P$3</f>
        <v>0</v>
      </c>
      <c r="Q229" s="124" t="n">
        <f aca="false">E229/P$3</f>
        <v>0</v>
      </c>
      <c r="R229" s="124" t="n">
        <f aca="false">F229/R$3</f>
        <v>0</v>
      </c>
      <c r="S229" s="126" t="n">
        <f aca="false">J229/$R$3</f>
        <v>0</v>
      </c>
      <c r="T229" s="126" t="n">
        <f aca="false">L229/$R$3</f>
        <v>0</v>
      </c>
      <c r="U229" s="126" t="n">
        <f aca="false">I229/$R$3</f>
        <v>0</v>
      </c>
      <c r="V229" s="126" t="n">
        <f aca="false">M229/$R$3</f>
        <v>0</v>
      </c>
      <c r="W229" s="126" t="n">
        <f aca="false">N229/$R$3</f>
        <v>-221.916</v>
      </c>
    </row>
    <row r="230" customFormat="false" ht="12.75" hidden="false" customHeight="false" outlineLevel="0" collapsed="false">
      <c r="A230" s="120" t="n">
        <f aca="false">A229+1</f>
        <v>37116</v>
      </c>
      <c r="B230" s="131" t="str">
        <f aca="false">INDEX('[4]Master Data'!$A$2:$B$8,MATCH(WEEKDAY('TBS Gas MTM'!A230,3),'[4]Master Data'!$A$2:$A$8,0),2)</f>
        <v>M</v>
      </c>
      <c r="D230" s="124" t="n">
        <v>0</v>
      </c>
      <c r="E230" s="124" t="n">
        <v>0</v>
      </c>
      <c r="F230" s="124" t="n">
        <v>0</v>
      </c>
      <c r="G230" s="124" t="n">
        <v>0</v>
      </c>
      <c r="I230" s="124" t="n">
        <f aca="false">IF(MONTH($A230)=MONTH($A229),IF(G230=0,I229,G230),G230)</f>
        <v>0</v>
      </c>
      <c r="J230" s="124" t="n">
        <f aca="false">IF(MONTH($A230)=MONTH($A229),SUM(I230-I229),I230)</f>
        <v>0</v>
      </c>
      <c r="K230" s="124" t="n">
        <f aca="false">IF(WEEKDAY(A230,3)&gt;4,0,(IF(A230&lt;K$2,0,IF(A230&lt;=K$3,1,0))))</f>
        <v>0</v>
      </c>
      <c r="L230" s="124" t="n">
        <f aca="false">J230*K230</f>
        <v>0</v>
      </c>
      <c r="M230" s="124" t="n">
        <f aca="false">SUM(J$188:J230)</f>
        <v>0</v>
      </c>
      <c r="N230" s="124" t="n">
        <f aca="false">SUM(J$6:J230)</f>
        <v>-221916</v>
      </c>
      <c r="P230" s="124" t="n">
        <f aca="false">D230/P$3</f>
        <v>0</v>
      </c>
      <c r="Q230" s="124" t="n">
        <f aca="false">E230/P$3</f>
        <v>0</v>
      </c>
      <c r="R230" s="124" t="n">
        <f aca="false">F230/R$3</f>
        <v>0</v>
      </c>
      <c r="S230" s="126" t="n">
        <f aca="false">J230/$R$3</f>
        <v>0</v>
      </c>
      <c r="T230" s="126" t="n">
        <f aca="false">L230/$R$3</f>
        <v>0</v>
      </c>
      <c r="U230" s="126" t="n">
        <f aca="false">I230/$R$3</f>
        <v>0</v>
      </c>
      <c r="V230" s="126" t="n">
        <f aca="false">M230/$R$3</f>
        <v>0</v>
      </c>
      <c r="W230" s="126" t="n">
        <f aca="false">N230/$R$3</f>
        <v>-221.916</v>
      </c>
    </row>
    <row r="231" customFormat="false" ht="12.75" hidden="false" customHeight="false" outlineLevel="0" collapsed="false">
      <c r="A231" s="120" t="n">
        <f aca="false">A230+1</f>
        <v>37117</v>
      </c>
      <c r="B231" s="131" t="str">
        <f aca="false">INDEX('[4]Master Data'!$A$2:$B$8,MATCH(WEEKDAY('TBS Gas MTM'!A231,3),'[4]Master Data'!$A$2:$A$8,0),2)</f>
        <v>T</v>
      </c>
      <c r="D231" s="124" t="n">
        <v>0</v>
      </c>
      <c r="E231" s="124" t="n">
        <v>0</v>
      </c>
      <c r="F231" s="124" t="n">
        <v>0</v>
      </c>
      <c r="G231" s="124" t="n">
        <v>0</v>
      </c>
      <c r="I231" s="124" t="n">
        <f aca="false">IF(MONTH($A231)=MONTH($A230),IF(G231=0,I230,G231),G231)</f>
        <v>0</v>
      </c>
      <c r="J231" s="124" t="n">
        <f aca="false">IF(MONTH($A231)=MONTH($A230),SUM(I231-I230),I231)</f>
        <v>0</v>
      </c>
      <c r="K231" s="124" t="n">
        <f aca="false">IF(WEEKDAY(A231,3)&gt;4,0,(IF(A231&lt;K$2,0,IF(A231&lt;=K$3,1,0))))</f>
        <v>0</v>
      </c>
      <c r="L231" s="124" t="n">
        <f aca="false">J231*K231</f>
        <v>0</v>
      </c>
      <c r="M231" s="124" t="n">
        <f aca="false">SUM(J$188:J231)</f>
        <v>0</v>
      </c>
      <c r="N231" s="124" t="n">
        <f aca="false">SUM(J$6:J231)</f>
        <v>-221916</v>
      </c>
      <c r="P231" s="124" t="n">
        <f aca="false">D231/P$3</f>
        <v>0</v>
      </c>
      <c r="Q231" s="124" t="n">
        <f aca="false">E231/P$3</f>
        <v>0</v>
      </c>
      <c r="R231" s="124" t="n">
        <f aca="false">F231/R$3</f>
        <v>0</v>
      </c>
      <c r="S231" s="126" t="n">
        <f aca="false">J231/$R$3</f>
        <v>0</v>
      </c>
      <c r="T231" s="126" t="n">
        <f aca="false">L231/$R$3</f>
        <v>0</v>
      </c>
      <c r="U231" s="126" t="n">
        <f aca="false">I231/$R$3</f>
        <v>0</v>
      </c>
      <c r="V231" s="126" t="n">
        <f aca="false">M231/$R$3</f>
        <v>0</v>
      </c>
      <c r="W231" s="126" t="n">
        <f aca="false">N231/$R$3</f>
        <v>-221.916</v>
      </c>
    </row>
    <row r="232" customFormat="false" ht="12.75" hidden="false" customHeight="false" outlineLevel="0" collapsed="false">
      <c r="A232" s="120" t="n">
        <f aca="false">A231+1</f>
        <v>37118</v>
      </c>
      <c r="B232" s="131" t="str">
        <f aca="false">INDEX('[4]Master Data'!$A$2:$B$8,MATCH(WEEKDAY('TBS Gas MTM'!A232,3),'[4]Master Data'!$A$2:$A$8,0),2)</f>
        <v>W</v>
      </c>
      <c r="D232" s="124" t="n">
        <v>0</v>
      </c>
      <c r="E232" s="124" t="n">
        <v>0</v>
      </c>
      <c r="F232" s="124" t="n">
        <v>0</v>
      </c>
      <c r="G232" s="124" t="n">
        <v>0</v>
      </c>
      <c r="I232" s="124" t="n">
        <f aca="false">IF(MONTH($A232)=MONTH($A231),IF(G232=0,I231,G232),G232)</f>
        <v>0</v>
      </c>
      <c r="J232" s="124" t="n">
        <f aca="false">IF(MONTH($A232)=MONTH($A231),SUM(I232-I231),I232)</f>
        <v>0</v>
      </c>
      <c r="K232" s="124" t="n">
        <f aca="false">IF(WEEKDAY(A232,3)&gt;4,0,(IF(A232&lt;K$2,0,IF(A232&lt;=K$3,1,0))))</f>
        <v>0</v>
      </c>
      <c r="L232" s="124" t="n">
        <f aca="false">J232*K232</f>
        <v>0</v>
      </c>
      <c r="M232" s="124" t="n">
        <f aca="false">SUM(J$188:J232)</f>
        <v>0</v>
      </c>
      <c r="N232" s="124" t="n">
        <f aca="false">SUM(J$6:J232)</f>
        <v>-221916</v>
      </c>
      <c r="P232" s="124" t="n">
        <f aca="false">D232/P$3</f>
        <v>0</v>
      </c>
      <c r="Q232" s="124" t="n">
        <f aca="false">E232/P$3</f>
        <v>0</v>
      </c>
      <c r="R232" s="124" t="n">
        <f aca="false">F232/R$3</f>
        <v>0</v>
      </c>
      <c r="S232" s="126" t="n">
        <f aca="false">J232/$R$3</f>
        <v>0</v>
      </c>
      <c r="T232" s="126" t="n">
        <f aca="false">L232/$R$3</f>
        <v>0</v>
      </c>
      <c r="U232" s="126" t="n">
        <f aca="false">I232/$R$3</f>
        <v>0</v>
      </c>
      <c r="V232" s="126" t="n">
        <f aca="false">M232/$R$3</f>
        <v>0</v>
      </c>
      <c r="W232" s="126" t="n">
        <f aca="false">N232/$R$3</f>
        <v>-221.916</v>
      </c>
    </row>
    <row r="233" customFormat="false" ht="12.75" hidden="false" customHeight="false" outlineLevel="0" collapsed="false">
      <c r="A233" s="120" t="n">
        <f aca="false">A232+1</f>
        <v>37119</v>
      </c>
      <c r="B233" s="131" t="str">
        <f aca="false">INDEX('[4]Master Data'!$A$2:$B$8,MATCH(WEEKDAY('TBS Gas MTM'!A233,3),'[4]Master Data'!$A$2:$A$8,0),2)</f>
        <v>Th</v>
      </c>
      <c r="D233" s="124" t="n">
        <v>0</v>
      </c>
      <c r="E233" s="124" t="n">
        <v>0</v>
      </c>
      <c r="F233" s="124" t="n">
        <v>0</v>
      </c>
      <c r="G233" s="124" t="n">
        <v>0</v>
      </c>
      <c r="I233" s="124" t="n">
        <f aca="false">IF(MONTH($A233)=MONTH($A232),IF(G233=0,I232,G233),G233)</f>
        <v>0</v>
      </c>
      <c r="J233" s="124" t="n">
        <f aca="false">IF(MONTH($A233)=MONTH($A232),SUM(I233-I232),I233)</f>
        <v>0</v>
      </c>
      <c r="K233" s="124" t="n">
        <f aca="false">IF(WEEKDAY(A233,3)&gt;4,0,(IF(A233&lt;K$2,0,IF(A233&lt;=K$3,1,0))))</f>
        <v>0</v>
      </c>
      <c r="L233" s="124" t="n">
        <f aca="false">J233*K233</f>
        <v>0</v>
      </c>
      <c r="M233" s="124" t="n">
        <f aca="false">SUM(J$188:J233)</f>
        <v>0</v>
      </c>
      <c r="N233" s="124" t="n">
        <f aca="false">SUM(J$6:J233)</f>
        <v>-221916</v>
      </c>
      <c r="P233" s="124" t="n">
        <f aca="false">D233/P$3</f>
        <v>0</v>
      </c>
      <c r="Q233" s="124" t="n">
        <f aca="false">E233/P$3</f>
        <v>0</v>
      </c>
      <c r="R233" s="124" t="n">
        <f aca="false">F233/R$3</f>
        <v>0</v>
      </c>
      <c r="S233" s="126" t="n">
        <f aca="false">J233/$R$3</f>
        <v>0</v>
      </c>
      <c r="T233" s="126" t="n">
        <f aca="false">L233/$R$3</f>
        <v>0</v>
      </c>
      <c r="U233" s="126" t="n">
        <f aca="false">I233/$R$3</f>
        <v>0</v>
      </c>
      <c r="V233" s="126" t="n">
        <f aca="false">M233/$R$3</f>
        <v>0</v>
      </c>
      <c r="W233" s="126" t="n">
        <f aca="false">N233/$R$3</f>
        <v>-221.916</v>
      </c>
    </row>
    <row r="234" customFormat="false" ht="12.75" hidden="false" customHeight="false" outlineLevel="0" collapsed="false">
      <c r="A234" s="120" t="n">
        <f aca="false">A233+1</f>
        <v>37120</v>
      </c>
      <c r="B234" s="131" t="str">
        <f aca="false">INDEX('[4]Master Data'!$A$2:$B$8,MATCH(WEEKDAY('TBS Gas MTM'!A234,3),'[4]Master Data'!$A$2:$A$8,0),2)</f>
        <v>F</v>
      </c>
      <c r="D234" s="124" t="n">
        <v>0</v>
      </c>
      <c r="E234" s="124" t="n">
        <v>0</v>
      </c>
      <c r="F234" s="124" t="n">
        <v>0</v>
      </c>
      <c r="G234" s="124" t="n">
        <v>0</v>
      </c>
      <c r="I234" s="124" t="n">
        <f aca="false">IF(MONTH($A234)=MONTH($A233),IF(G234=0,I233,G234),G234)</f>
        <v>0</v>
      </c>
      <c r="J234" s="124" t="n">
        <f aca="false">IF(MONTH($A234)=MONTH($A233),SUM(I234-I233),I234)</f>
        <v>0</v>
      </c>
      <c r="K234" s="124" t="n">
        <f aca="false">IF(WEEKDAY(A234,3)&gt;4,0,(IF(A234&lt;K$2,0,IF(A234&lt;=K$3,1,0))))</f>
        <v>0</v>
      </c>
      <c r="L234" s="124" t="n">
        <f aca="false">J234*K234</f>
        <v>0</v>
      </c>
      <c r="M234" s="124" t="n">
        <f aca="false">SUM(J$188:J234)</f>
        <v>0</v>
      </c>
      <c r="N234" s="124" t="n">
        <f aca="false">SUM(J$6:J234)</f>
        <v>-221916</v>
      </c>
      <c r="P234" s="124" t="n">
        <f aca="false">D234/P$3</f>
        <v>0</v>
      </c>
      <c r="Q234" s="124" t="n">
        <f aca="false">E234/P$3</f>
        <v>0</v>
      </c>
      <c r="R234" s="124" t="n">
        <f aca="false">F234/R$3</f>
        <v>0</v>
      </c>
      <c r="S234" s="126" t="n">
        <f aca="false">J234/$R$3</f>
        <v>0</v>
      </c>
      <c r="T234" s="126" t="n">
        <f aca="false">L234/$R$3</f>
        <v>0</v>
      </c>
      <c r="U234" s="126" t="n">
        <f aca="false">I234/$R$3</f>
        <v>0</v>
      </c>
      <c r="V234" s="126" t="n">
        <f aca="false">M234/$R$3</f>
        <v>0</v>
      </c>
      <c r="W234" s="126" t="n">
        <f aca="false">N234/$R$3</f>
        <v>-221.916</v>
      </c>
    </row>
    <row r="235" customFormat="false" ht="12.75" hidden="false" customHeight="false" outlineLevel="0" collapsed="false">
      <c r="A235" s="120" t="n">
        <f aca="false">A234+1</f>
        <v>37121</v>
      </c>
      <c r="B235" s="131" t="str">
        <f aca="false">INDEX('[4]Master Data'!$A$2:$B$8,MATCH(WEEKDAY('TBS Gas MTM'!A235,3),'[4]Master Data'!$A$2:$A$8,0),2)</f>
        <v>Sa</v>
      </c>
      <c r="D235" s="124" t="n">
        <v>0</v>
      </c>
      <c r="E235" s="124" t="n">
        <v>0</v>
      </c>
      <c r="F235" s="124" t="n">
        <v>0</v>
      </c>
      <c r="G235" s="124" t="n">
        <v>0</v>
      </c>
      <c r="I235" s="124" t="n">
        <f aca="false">IF(MONTH($A235)=MONTH($A234),IF(G235=0,I234,G235),G235)</f>
        <v>0</v>
      </c>
      <c r="J235" s="124" t="n">
        <f aca="false">IF(MONTH($A235)=MONTH($A234),SUM(I235-I234),I235)</f>
        <v>0</v>
      </c>
      <c r="K235" s="124" t="n">
        <f aca="false">IF(WEEKDAY(A235,3)&gt;4,0,(IF(A235&lt;K$2,0,IF(A235&lt;=K$3,1,0))))</f>
        <v>0</v>
      </c>
      <c r="L235" s="124" t="n">
        <f aca="false">J235*K235</f>
        <v>0</v>
      </c>
      <c r="M235" s="124" t="n">
        <f aca="false">SUM(J$188:J235)</f>
        <v>0</v>
      </c>
      <c r="N235" s="124" t="n">
        <f aca="false">SUM(J$6:J235)</f>
        <v>-221916</v>
      </c>
      <c r="P235" s="124" t="n">
        <f aca="false">D235/P$3</f>
        <v>0</v>
      </c>
      <c r="Q235" s="124" t="n">
        <f aca="false">E235/P$3</f>
        <v>0</v>
      </c>
      <c r="R235" s="124" t="n">
        <f aca="false">F235/R$3</f>
        <v>0</v>
      </c>
      <c r="S235" s="126" t="n">
        <f aca="false">J235/$R$3</f>
        <v>0</v>
      </c>
      <c r="T235" s="126" t="n">
        <f aca="false">L235/$R$3</f>
        <v>0</v>
      </c>
      <c r="U235" s="126" t="n">
        <f aca="false">I235/$R$3</f>
        <v>0</v>
      </c>
      <c r="V235" s="126" t="n">
        <f aca="false">M235/$R$3</f>
        <v>0</v>
      </c>
      <c r="W235" s="126" t="n">
        <f aca="false">N235/$R$3</f>
        <v>-221.916</v>
      </c>
    </row>
    <row r="236" customFormat="false" ht="12.75" hidden="false" customHeight="false" outlineLevel="0" collapsed="false">
      <c r="A236" s="120" t="n">
        <f aca="false">A235+1</f>
        <v>37122</v>
      </c>
      <c r="B236" s="131" t="str">
        <f aca="false">INDEX('[4]Master Data'!$A$2:$B$8,MATCH(WEEKDAY('TBS Gas MTM'!A236,3),'[4]Master Data'!$A$2:$A$8,0),2)</f>
        <v>Su</v>
      </c>
      <c r="D236" s="124" t="n">
        <v>0</v>
      </c>
      <c r="E236" s="124" t="n">
        <v>0</v>
      </c>
      <c r="F236" s="124" t="n">
        <v>0</v>
      </c>
      <c r="G236" s="124" t="n">
        <v>0</v>
      </c>
      <c r="I236" s="124" t="n">
        <f aca="false">IF(MONTH($A236)=MONTH($A235),IF(G236=0,I235,G236),G236)</f>
        <v>0</v>
      </c>
      <c r="J236" s="124" t="n">
        <f aca="false">IF(MONTH($A236)=MONTH($A235),SUM(I236-I235),I236)</f>
        <v>0</v>
      </c>
      <c r="K236" s="124" t="n">
        <f aca="false">IF(WEEKDAY(A236,3)&gt;4,0,(IF(A236&lt;K$2,0,IF(A236&lt;=K$3,1,0))))</f>
        <v>0</v>
      </c>
      <c r="L236" s="124" t="n">
        <f aca="false">J236*K236</f>
        <v>0</v>
      </c>
      <c r="M236" s="124" t="n">
        <f aca="false">SUM(J$188:J236)</f>
        <v>0</v>
      </c>
      <c r="N236" s="124" t="n">
        <f aca="false">SUM(J$6:J236)</f>
        <v>-221916</v>
      </c>
      <c r="P236" s="124" t="n">
        <f aca="false">D236/P$3</f>
        <v>0</v>
      </c>
      <c r="Q236" s="124" t="n">
        <f aca="false">E236/P$3</f>
        <v>0</v>
      </c>
      <c r="R236" s="124" t="n">
        <f aca="false">F236/R$3</f>
        <v>0</v>
      </c>
      <c r="S236" s="126" t="n">
        <f aca="false">J236/$R$3</f>
        <v>0</v>
      </c>
      <c r="T236" s="126" t="n">
        <f aca="false">L236/$R$3</f>
        <v>0</v>
      </c>
      <c r="U236" s="126" t="n">
        <f aca="false">I236/$R$3</f>
        <v>0</v>
      </c>
      <c r="V236" s="126" t="n">
        <f aca="false">M236/$R$3</f>
        <v>0</v>
      </c>
      <c r="W236" s="126" t="n">
        <f aca="false">N236/$R$3</f>
        <v>-221.916</v>
      </c>
    </row>
    <row r="237" customFormat="false" ht="12.75" hidden="false" customHeight="false" outlineLevel="0" collapsed="false">
      <c r="A237" s="120" t="n">
        <f aca="false">A236+1</f>
        <v>37123</v>
      </c>
      <c r="B237" s="131" t="str">
        <f aca="false">INDEX('[4]Master Data'!$A$2:$B$8,MATCH(WEEKDAY('TBS Gas MTM'!A237,3),'[4]Master Data'!$A$2:$A$8,0),2)</f>
        <v>M</v>
      </c>
      <c r="D237" s="124" t="n">
        <v>0</v>
      </c>
      <c r="E237" s="124" t="n">
        <v>0</v>
      </c>
      <c r="F237" s="124" t="n">
        <v>0</v>
      </c>
      <c r="G237" s="124" t="n">
        <v>0</v>
      </c>
      <c r="I237" s="124" t="n">
        <f aca="false">IF(MONTH($A237)=MONTH($A236),IF(G237=0,I236,G237),G237)</f>
        <v>0</v>
      </c>
      <c r="J237" s="124" t="n">
        <f aca="false">IF(MONTH($A237)=MONTH($A236),SUM(I237-I236),I237)</f>
        <v>0</v>
      </c>
      <c r="K237" s="124" t="n">
        <f aca="false">IF(WEEKDAY(A237,3)&gt;4,0,(IF(A237&lt;K$2,0,IF(A237&lt;=K$3,1,0))))</f>
        <v>0</v>
      </c>
      <c r="L237" s="124" t="n">
        <f aca="false">J237*K237</f>
        <v>0</v>
      </c>
      <c r="M237" s="124" t="n">
        <f aca="false">SUM(J$188:J237)</f>
        <v>0</v>
      </c>
      <c r="N237" s="124" t="n">
        <f aca="false">SUM(J$6:J237)</f>
        <v>-221916</v>
      </c>
      <c r="P237" s="124" t="n">
        <f aca="false">D237/P$3</f>
        <v>0</v>
      </c>
      <c r="Q237" s="124" t="n">
        <f aca="false">E237/P$3</f>
        <v>0</v>
      </c>
      <c r="R237" s="124" t="n">
        <f aca="false">F237/R$3</f>
        <v>0</v>
      </c>
      <c r="S237" s="126" t="n">
        <f aca="false">J237/$R$3</f>
        <v>0</v>
      </c>
      <c r="T237" s="126" t="n">
        <f aca="false">L237/$R$3</f>
        <v>0</v>
      </c>
      <c r="U237" s="126" t="n">
        <f aca="false">I237/$R$3</f>
        <v>0</v>
      </c>
      <c r="V237" s="126" t="n">
        <f aca="false">M237/$R$3</f>
        <v>0</v>
      </c>
      <c r="W237" s="126" t="n">
        <f aca="false">N237/$R$3</f>
        <v>-221.916</v>
      </c>
    </row>
    <row r="238" customFormat="false" ht="12.75" hidden="false" customHeight="false" outlineLevel="0" collapsed="false">
      <c r="A238" s="120" t="n">
        <f aca="false">A237+1</f>
        <v>37124</v>
      </c>
      <c r="B238" s="131" t="str">
        <f aca="false">INDEX('[4]Master Data'!$A$2:$B$8,MATCH(WEEKDAY('TBS Gas MTM'!A238,3),'[4]Master Data'!$A$2:$A$8,0),2)</f>
        <v>T</v>
      </c>
      <c r="D238" s="124" t="n">
        <v>0</v>
      </c>
      <c r="E238" s="124" t="n">
        <v>0</v>
      </c>
      <c r="F238" s="124" t="n">
        <v>0</v>
      </c>
      <c r="G238" s="124" t="n">
        <v>0</v>
      </c>
      <c r="I238" s="124" t="n">
        <f aca="false">IF(MONTH($A238)=MONTH($A237),IF(G238=0,I237,G238),G238)</f>
        <v>0</v>
      </c>
      <c r="J238" s="124" t="n">
        <f aca="false">IF(MONTH($A238)=MONTH($A237),SUM(I238-I237),I238)</f>
        <v>0</v>
      </c>
      <c r="K238" s="124" t="n">
        <f aca="false">IF(WEEKDAY(A238,3)&gt;4,0,(IF(A238&lt;K$2,0,IF(A238&lt;=K$3,1,0))))</f>
        <v>0</v>
      </c>
      <c r="L238" s="124" t="n">
        <f aca="false">J238*K238</f>
        <v>0</v>
      </c>
      <c r="M238" s="124" t="n">
        <f aca="false">SUM(J$188:J238)</f>
        <v>0</v>
      </c>
      <c r="N238" s="124" t="n">
        <f aca="false">SUM(J$6:J238)</f>
        <v>-221916</v>
      </c>
      <c r="P238" s="124" t="n">
        <f aca="false">D238/P$3</f>
        <v>0</v>
      </c>
      <c r="Q238" s="124" t="n">
        <f aca="false">E238/P$3</f>
        <v>0</v>
      </c>
      <c r="R238" s="124" t="n">
        <f aca="false">F238/R$3</f>
        <v>0</v>
      </c>
      <c r="S238" s="126" t="n">
        <f aca="false">J238/$R$3</f>
        <v>0</v>
      </c>
      <c r="T238" s="126" t="n">
        <f aca="false">L238/$R$3</f>
        <v>0</v>
      </c>
      <c r="U238" s="126" t="n">
        <f aca="false">I238/$R$3</f>
        <v>0</v>
      </c>
      <c r="V238" s="126" t="n">
        <f aca="false">M238/$R$3</f>
        <v>0</v>
      </c>
      <c r="W238" s="126" t="n">
        <f aca="false">N238/$R$3</f>
        <v>-221.916</v>
      </c>
    </row>
    <row r="239" customFormat="false" ht="12.75" hidden="false" customHeight="false" outlineLevel="0" collapsed="false">
      <c r="A239" s="120" t="n">
        <f aca="false">A238+1</f>
        <v>37125</v>
      </c>
      <c r="B239" s="131" t="str">
        <f aca="false">INDEX('[4]Master Data'!$A$2:$B$8,MATCH(WEEKDAY('TBS Gas MTM'!A239,3),'[4]Master Data'!$A$2:$A$8,0),2)</f>
        <v>W</v>
      </c>
      <c r="D239" s="124" t="n">
        <v>0</v>
      </c>
      <c r="E239" s="124" t="n">
        <v>0</v>
      </c>
      <c r="F239" s="124" t="n">
        <v>0</v>
      </c>
      <c r="G239" s="124" t="n">
        <v>0</v>
      </c>
      <c r="I239" s="124" t="n">
        <f aca="false">IF(MONTH($A239)=MONTH($A238),IF(G239=0,I238,G239),G239)</f>
        <v>0</v>
      </c>
      <c r="J239" s="124" t="n">
        <f aca="false">IF(MONTH($A239)=MONTH($A238),SUM(I239-I238),I239)</f>
        <v>0</v>
      </c>
      <c r="K239" s="124" t="n">
        <f aca="false">IF(WEEKDAY(A239,3)&gt;4,0,(IF(A239&lt;K$2,0,IF(A239&lt;=K$3,1,0))))</f>
        <v>0</v>
      </c>
      <c r="L239" s="124" t="n">
        <f aca="false">J239*K239</f>
        <v>0</v>
      </c>
      <c r="M239" s="124" t="n">
        <f aca="false">SUM(J$188:J239)</f>
        <v>0</v>
      </c>
      <c r="N239" s="124" t="n">
        <f aca="false">SUM(J$6:J239)</f>
        <v>-221916</v>
      </c>
      <c r="P239" s="124" t="n">
        <f aca="false">D239/P$3</f>
        <v>0</v>
      </c>
      <c r="Q239" s="124" t="n">
        <f aca="false">E239/P$3</f>
        <v>0</v>
      </c>
      <c r="R239" s="124" t="n">
        <f aca="false">F239/R$3</f>
        <v>0</v>
      </c>
      <c r="S239" s="126" t="n">
        <f aca="false">J239/$R$3</f>
        <v>0</v>
      </c>
      <c r="T239" s="126" t="n">
        <f aca="false">L239/$R$3</f>
        <v>0</v>
      </c>
      <c r="U239" s="126" t="n">
        <f aca="false">I239/$R$3</f>
        <v>0</v>
      </c>
      <c r="V239" s="126" t="n">
        <f aca="false">M239/$R$3</f>
        <v>0</v>
      </c>
      <c r="W239" s="126" t="n">
        <f aca="false">N239/$R$3</f>
        <v>-221.916</v>
      </c>
    </row>
    <row r="240" customFormat="false" ht="12.75" hidden="false" customHeight="false" outlineLevel="0" collapsed="false">
      <c r="A240" s="120" t="n">
        <f aca="false">A239+1</f>
        <v>37126</v>
      </c>
      <c r="B240" s="131" t="str">
        <f aca="false">INDEX('[4]Master Data'!$A$2:$B$8,MATCH(WEEKDAY('TBS Gas MTM'!A240,3),'[4]Master Data'!$A$2:$A$8,0),2)</f>
        <v>Th</v>
      </c>
      <c r="D240" s="124" t="n">
        <v>0</v>
      </c>
      <c r="E240" s="124" t="n">
        <v>0</v>
      </c>
      <c r="F240" s="124" t="n">
        <v>0</v>
      </c>
      <c r="G240" s="124" t="n">
        <v>0</v>
      </c>
      <c r="I240" s="124" t="n">
        <f aca="false">IF(MONTH($A240)=MONTH($A239),IF(G240=0,I239,G240),G240)</f>
        <v>0</v>
      </c>
      <c r="J240" s="124" t="n">
        <f aca="false">IF(MONTH($A240)=MONTH($A239),SUM(I240-I239),I240)</f>
        <v>0</v>
      </c>
      <c r="K240" s="124" t="n">
        <f aca="false">IF(WEEKDAY(A240,3)&gt;4,0,(IF(A240&lt;K$2,0,IF(A240&lt;=K$3,1,0))))</f>
        <v>0</v>
      </c>
      <c r="L240" s="124" t="n">
        <f aca="false">J240*K240</f>
        <v>0</v>
      </c>
      <c r="M240" s="124" t="n">
        <f aca="false">SUM(J$188:J240)</f>
        <v>0</v>
      </c>
      <c r="N240" s="124" t="n">
        <f aca="false">SUM(J$6:J240)</f>
        <v>-221916</v>
      </c>
      <c r="P240" s="124" t="n">
        <f aca="false">D240/P$3</f>
        <v>0</v>
      </c>
      <c r="Q240" s="124" t="n">
        <f aca="false">E240/P$3</f>
        <v>0</v>
      </c>
      <c r="R240" s="124" t="n">
        <f aca="false">F240/R$3</f>
        <v>0</v>
      </c>
      <c r="S240" s="126" t="n">
        <f aca="false">J240/$R$3</f>
        <v>0</v>
      </c>
      <c r="T240" s="126" t="n">
        <f aca="false">L240/$R$3</f>
        <v>0</v>
      </c>
      <c r="U240" s="126" t="n">
        <f aca="false">I240/$R$3</f>
        <v>0</v>
      </c>
      <c r="V240" s="126" t="n">
        <f aca="false">M240/$R$3</f>
        <v>0</v>
      </c>
      <c r="W240" s="126" t="n">
        <f aca="false">N240/$R$3</f>
        <v>-221.916</v>
      </c>
    </row>
    <row r="241" customFormat="false" ht="12.75" hidden="false" customHeight="false" outlineLevel="0" collapsed="false">
      <c r="A241" s="120" t="n">
        <f aca="false">A240+1</f>
        <v>37127</v>
      </c>
      <c r="B241" s="131" t="str">
        <f aca="false">INDEX('[4]Master Data'!$A$2:$B$8,MATCH(WEEKDAY('TBS Gas MTM'!A241,3),'[4]Master Data'!$A$2:$A$8,0),2)</f>
        <v>F</v>
      </c>
      <c r="D241" s="124" t="n">
        <v>0</v>
      </c>
      <c r="E241" s="124" t="n">
        <v>0</v>
      </c>
      <c r="F241" s="124" t="n">
        <v>0</v>
      </c>
      <c r="G241" s="124" t="n">
        <v>0</v>
      </c>
      <c r="I241" s="124" t="n">
        <f aca="false">IF(MONTH($A241)=MONTH($A240),IF(G241=0,I240,G241),G241)</f>
        <v>0</v>
      </c>
      <c r="J241" s="124" t="n">
        <f aca="false">IF(MONTH($A241)=MONTH($A240),SUM(I241-I240),I241)</f>
        <v>0</v>
      </c>
      <c r="K241" s="124" t="n">
        <f aca="false">IF(WEEKDAY(A241,3)&gt;4,0,(IF(A241&lt;K$2,0,IF(A241&lt;=K$3,1,0))))</f>
        <v>0</v>
      </c>
      <c r="L241" s="124" t="n">
        <f aca="false">J241*K241</f>
        <v>0</v>
      </c>
      <c r="M241" s="124" t="n">
        <f aca="false">SUM(J$188:J241)</f>
        <v>0</v>
      </c>
      <c r="N241" s="124" t="n">
        <f aca="false">SUM(J$6:J241)</f>
        <v>-221916</v>
      </c>
      <c r="P241" s="124" t="n">
        <f aca="false">D241/P$3</f>
        <v>0</v>
      </c>
      <c r="Q241" s="124" t="n">
        <f aca="false">E241/P$3</f>
        <v>0</v>
      </c>
      <c r="R241" s="124" t="n">
        <f aca="false">F241/R$3</f>
        <v>0</v>
      </c>
      <c r="S241" s="126" t="n">
        <f aca="false">J241/$R$3</f>
        <v>0</v>
      </c>
      <c r="T241" s="126" t="n">
        <f aca="false">L241/$R$3</f>
        <v>0</v>
      </c>
      <c r="U241" s="126" t="n">
        <f aca="false">I241/$R$3</f>
        <v>0</v>
      </c>
      <c r="V241" s="126" t="n">
        <f aca="false">M241/$R$3</f>
        <v>0</v>
      </c>
      <c r="W241" s="126" t="n">
        <f aca="false">N241/$R$3</f>
        <v>-221.916</v>
      </c>
    </row>
    <row r="242" customFormat="false" ht="12.75" hidden="false" customHeight="false" outlineLevel="0" collapsed="false">
      <c r="A242" s="120" t="n">
        <f aca="false">A241+1</f>
        <v>37128</v>
      </c>
      <c r="B242" s="131" t="str">
        <f aca="false">INDEX('[4]Master Data'!$A$2:$B$8,MATCH(WEEKDAY('TBS Gas MTM'!A242,3),'[4]Master Data'!$A$2:$A$8,0),2)</f>
        <v>Sa</v>
      </c>
      <c r="D242" s="124" t="n">
        <v>0</v>
      </c>
      <c r="E242" s="124" t="n">
        <v>0</v>
      </c>
      <c r="F242" s="124" t="n">
        <v>0</v>
      </c>
      <c r="G242" s="124" t="n">
        <v>0</v>
      </c>
      <c r="I242" s="124" t="n">
        <f aca="false">IF(MONTH($A242)=MONTH($A241),IF(G242=0,I241,G242),G242)</f>
        <v>0</v>
      </c>
      <c r="J242" s="124" t="n">
        <f aca="false">IF(MONTH($A242)=MONTH($A241),SUM(I242-I241),I242)</f>
        <v>0</v>
      </c>
      <c r="K242" s="124" t="n">
        <f aca="false">IF(WEEKDAY(A242,3)&gt;4,0,(IF(A242&lt;K$2,0,IF(A242&lt;=K$3,1,0))))</f>
        <v>0</v>
      </c>
      <c r="L242" s="124" t="n">
        <f aca="false">J242*K242</f>
        <v>0</v>
      </c>
      <c r="M242" s="124" t="n">
        <f aca="false">SUM(J$188:J242)</f>
        <v>0</v>
      </c>
      <c r="N242" s="124" t="n">
        <f aca="false">SUM(J$6:J242)</f>
        <v>-221916</v>
      </c>
      <c r="P242" s="124" t="n">
        <f aca="false">D242/P$3</f>
        <v>0</v>
      </c>
      <c r="Q242" s="124" t="n">
        <f aca="false">E242/P$3</f>
        <v>0</v>
      </c>
      <c r="R242" s="124" t="n">
        <f aca="false">F242/R$3</f>
        <v>0</v>
      </c>
      <c r="S242" s="126" t="n">
        <f aca="false">J242/$R$3</f>
        <v>0</v>
      </c>
      <c r="T242" s="126" t="n">
        <f aca="false">L242/$R$3</f>
        <v>0</v>
      </c>
      <c r="U242" s="126" t="n">
        <f aca="false">I242/$R$3</f>
        <v>0</v>
      </c>
      <c r="V242" s="126" t="n">
        <f aca="false">M242/$R$3</f>
        <v>0</v>
      </c>
      <c r="W242" s="126" t="n">
        <f aca="false">N242/$R$3</f>
        <v>-221.916</v>
      </c>
    </row>
    <row r="243" customFormat="false" ht="12.75" hidden="false" customHeight="false" outlineLevel="0" collapsed="false">
      <c r="A243" s="120" t="n">
        <f aca="false">A242+1</f>
        <v>37129</v>
      </c>
      <c r="B243" s="131" t="str">
        <f aca="false">INDEX('[4]Master Data'!$A$2:$B$8,MATCH(WEEKDAY('TBS Gas MTM'!A243,3),'[4]Master Data'!$A$2:$A$8,0),2)</f>
        <v>Su</v>
      </c>
      <c r="D243" s="124" t="n">
        <v>0</v>
      </c>
      <c r="E243" s="124" t="n">
        <v>0</v>
      </c>
      <c r="F243" s="124" t="n">
        <v>0</v>
      </c>
      <c r="G243" s="124" t="n">
        <v>0</v>
      </c>
      <c r="I243" s="124" t="n">
        <f aca="false">IF(MONTH($A243)=MONTH($A242),IF(G243=0,I242,G243),G243)</f>
        <v>0</v>
      </c>
      <c r="J243" s="124" t="n">
        <f aca="false">IF(MONTH($A243)=MONTH($A242),SUM(I243-I242),I243)</f>
        <v>0</v>
      </c>
      <c r="K243" s="124" t="n">
        <f aca="false">IF(WEEKDAY(A243,3)&gt;4,0,(IF(A243&lt;K$2,0,IF(A243&lt;=K$3,1,0))))</f>
        <v>0</v>
      </c>
      <c r="L243" s="124" t="n">
        <f aca="false">J243*K243</f>
        <v>0</v>
      </c>
      <c r="M243" s="124" t="n">
        <f aca="false">SUM(J$188:J243)</f>
        <v>0</v>
      </c>
      <c r="N243" s="124" t="n">
        <f aca="false">SUM(J$6:J243)</f>
        <v>-221916</v>
      </c>
      <c r="P243" s="124" t="n">
        <f aca="false">D243/P$3</f>
        <v>0</v>
      </c>
      <c r="Q243" s="124" t="n">
        <f aca="false">E243/P$3</f>
        <v>0</v>
      </c>
      <c r="R243" s="124" t="n">
        <f aca="false">F243/R$3</f>
        <v>0</v>
      </c>
      <c r="S243" s="126" t="n">
        <f aca="false">J243/$R$3</f>
        <v>0</v>
      </c>
      <c r="T243" s="126" t="n">
        <f aca="false">L243/$R$3</f>
        <v>0</v>
      </c>
      <c r="U243" s="126" t="n">
        <f aca="false">I243/$R$3</f>
        <v>0</v>
      </c>
      <c r="V243" s="126" t="n">
        <f aca="false">M243/$R$3</f>
        <v>0</v>
      </c>
      <c r="W243" s="126" t="n">
        <f aca="false">N243/$R$3</f>
        <v>-221.916</v>
      </c>
    </row>
    <row r="244" customFormat="false" ht="12.75" hidden="false" customHeight="false" outlineLevel="0" collapsed="false">
      <c r="A244" s="120" t="n">
        <f aca="false">A243+1</f>
        <v>37130</v>
      </c>
      <c r="B244" s="131" t="str">
        <f aca="false">INDEX('[4]Master Data'!$A$2:$B$8,MATCH(WEEKDAY('TBS Gas MTM'!A244,3),'[4]Master Data'!$A$2:$A$8,0),2)</f>
        <v>M</v>
      </c>
      <c r="D244" s="124" t="n">
        <v>0</v>
      </c>
      <c r="E244" s="124" t="n">
        <v>0</v>
      </c>
      <c r="F244" s="124" t="n">
        <v>0</v>
      </c>
      <c r="G244" s="124" t="n">
        <v>0</v>
      </c>
      <c r="I244" s="124" t="n">
        <f aca="false">IF(MONTH($A244)=MONTH($A243),IF(G244=0,I243,G244),G244)</f>
        <v>0</v>
      </c>
      <c r="J244" s="124" t="n">
        <f aca="false">IF(MONTH($A244)=MONTH($A243),SUM(I244-I243),I244)</f>
        <v>0</v>
      </c>
      <c r="K244" s="124" t="n">
        <f aca="false">IF(WEEKDAY(A244,3)&gt;4,0,(IF(A244&lt;K$2,0,IF(A244&lt;=K$3,1,0))))</f>
        <v>0</v>
      </c>
      <c r="L244" s="124" t="n">
        <f aca="false">J244*K244</f>
        <v>0</v>
      </c>
      <c r="M244" s="124" t="n">
        <f aca="false">SUM(J$188:J244)</f>
        <v>0</v>
      </c>
      <c r="N244" s="124" t="n">
        <f aca="false">SUM(J$6:J244)</f>
        <v>-221916</v>
      </c>
      <c r="P244" s="124" t="n">
        <f aca="false">D244/P$3</f>
        <v>0</v>
      </c>
      <c r="Q244" s="124" t="n">
        <f aca="false">E244/P$3</f>
        <v>0</v>
      </c>
      <c r="R244" s="124" t="n">
        <f aca="false">F244/R$3</f>
        <v>0</v>
      </c>
      <c r="S244" s="126" t="n">
        <f aca="false">J244/$R$3</f>
        <v>0</v>
      </c>
      <c r="T244" s="126" t="n">
        <f aca="false">L244/$R$3</f>
        <v>0</v>
      </c>
      <c r="U244" s="126" t="n">
        <f aca="false">I244/$R$3</f>
        <v>0</v>
      </c>
      <c r="V244" s="126" t="n">
        <f aca="false">M244/$R$3</f>
        <v>0</v>
      </c>
      <c r="W244" s="126" t="n">
        <f aca="false">N244/$R$3</f>
        <v>-221.916</v>
      </c>
    </row>
    <row r="245" customFormat="false" ht="12.75" hidden="false" customHeight="false" outlineLevel="0" collapsed="false">
      <c r="A245" s="120" t="n">
        <f aca="false">A244+1</f>
        <v>37131</v>
      </c>
      <c r="B245" s="131" t="str">
        <f aca="false">INDEX('[4]Master Data'!$A$2:$B$8,MATCH(WEEKDAY('TBS Gas MTM'!A245,3),'[4]Master Data'!$A$2:$A$8,0),2)</f>
        <v>T</v>
      </c>
      <c r="D245" s="124" t="n">
        <v>0</v>
      </c>
      <c r="E245" s="124" t="n">
        <v>0</v>
      </c>
      <c r="F245" s="124" t="n">
        <v>0</v>
      </c>
      <c r="G245" s="124" t="n">
        <v>0</v>
      </c>
      <c r="I245" s="124" t="n">
        <f aca="false">IF(MONTH($A245)=MONTH($A244),IF(G245=0,I244,G245),G245)</f>
        <v>0</v>
      </c>
      <c r="J245" s="124" t="n">
        <f aca="false">IF(MONTH($A245)=MONTH($A244),SUM(I245-I244),I245)</f>
        <v>0</v>
      </c>
      <c r="K245" s="124" t="n">
        <f aca="false">IF(WEEKDAY(A245,3)&gt;4,0,(IF(A245&lt;K$2,0,IF(A245&lt;=K$3,1,0))))</f>
        <v>0</v>
      </c>
      <c r="L245" s="124" t="n">
        <f aca="false">J245*K245</f>
        <v>0</v>
      </c>
      <c r="M245" s="124" t="n">
        <f aca="false">SUM(J$188:J245)</f>
        <v>0</v>
      </c>
      <c r="N245" s="124" t="n">
        <f aca="false">SUM(J$6:J245)</f>
        <v>-221916</v>
      </c>
      <c r="P245" s="124" t="n">
        <f aca="false">D245/P$3</f>
        <v>0</v>
      </c>
      <c r="Q245" s="124" t="n">
        <f aca="false">E245/P$3</f>
        <v>0</v>
      </c>
      <c r="R245" s="124" t="n">
        <f aca="false">F245/R$3</f>
        <v>0</v>
      </c>
      <c r="S245" s="126" t="n">
        <f aca="false">J245/$R$3</f>
        <v>0</v>
      </c>
      <c r="T245" s="126" t="n">
        <f aca="false">L245/$R$3</f>
        <v>0</v>
      </c>
      <c r="U245" s="126" t="n">
        <f aca="false">I245/$R$3</f>
        <v>0</v>
      </c>
      <c r="V245" s="126" t="n">
        <f aca="false">M245/$R$3</f>
        <v>0</v>
      </c>
      <c r="W245" s="126" t="n">
        <f aca="false">N245/$R$3</f>
        <v>-221.916</v>
      </c>
    </row>
    <row r="246" customFormat="false" ht="12.75" hidden="false" customHeight="false" outlineLevel="0" collapsed="false">
      <c r="A246" s="120" t="n">
        <f aca="false">A245+1</f>
        <v>37132</v>
      </c>
      <c r="B246" s="131" t="str">
        <f aca="false">INDEX('[4]Master Data'!$A$2:$B$8,MATCH(WEEKDAY('TBS Gas MTM'!A246,3),'[4]Master Data'!$A$2:$A$8,0),2)</f>
        <v>W</v>
      </c>
      <c r="D246" s="124" t="n">
        <v>0</v>
      </c>
      <c r="E246" s="124" t="n">
        <v>0</v>
      </c>
      <c r="F246" s="124" t="n">
        <v>0</v>
      </c>
      <c r="G246" s="124" t="n">
        <v>0</v>
      </c>
      <c r="I246" s="124" t="n">
        <f aca="false">IF(MONTH($A246)=MONTH($A245),IF(G246=0,I245,G246),G246)</f>
        <v>0</v>
      </c>
      <c r="J246" s="124" t="n">
        <f aca="false">IF(MONTH($A246)=MONTH($A245),SUM(I246-I245),I246)</f>
        <v>0</v>
      </c>
      <c r="K246" s="124" t="n">
        <f aca="false">IF(WEEKDAY(A246,3)&gt;4,0,(IF(A246&lt;K$2,0,IF(A246&lt;=K$3,1,0))))</f>
        <v>0</v>
      </c>
      <c r="L246" s="124" t="n">
        <f aca="false">J246*K246</f>
        <v>0</v>
      </c>
      <c r="M246" s="124" t="n">
        <f aca="false">SUM(J$188:J246)</f>
        <v>0</v>
      </c>
      <c r="N246" s="124" t="n">
        <f aca="false">SUM(J$6:J246)</f>
        <v>-221916</v>
      </c>
      <c r="P246" s="124" t="n">
        <f aca="false">D246/P$3</f>
        <v>0</v>
      </c>
      <c r="Q246" s="124" t="n">
        <f aca="false">E246/P$3</f>
        <v>0</v>
      </c>
      <c r="R246" s="124" t="n">
        <f aca="false">F246/R$3</f>
        <v>0</v>
      </c>
      <c r="S246" s="126" t="n">
        <f aca="false">J246/$R$3</f>
        <v>0</v>
      </c>
      <c r="T246" s="126" t="n">
        <f aca="false">L246/$R$3</f>
        <v>0</v>
      </c>
      <c r="U246" s="126" t="n">
        <f aca="false">I246/$R$3</f>
        <v>0</v>
      </c>
      <c r="V246" s="126" t="n">
        <f aca="false">M246/$R$3</f>
        <v>0</v>
      </c>
      <c r="W246" s="126" t="n">
        <f aca="false">N246/$R$3</f>
        <v>-221.916</v>
      </c>
    </row>
    <row r="247" customFormat="false" ht="12.75" hidden="false" customHeight="false" outlineLevel="0" collapsed="false">
      <c r="A247" s="120" t="n">
        <f aca="false">A246+1</f>
        <v>37133</v>
      </c>
      <c r="B247" s="131" t="str">
        <f aca="false">INDEX('[4]Master Data'!$A$2:$B$8,MATCH(WEEKDAY('TBS Gas MTM'!A247,3),'[4]Master Data'!$A$2:$A$8,0),2)</f>
        <v>Th</v>
      </c>
      <c r="D247" s="124" t="n">
        <v>0</v>
      </c>
      <c r="E247" s="124" t="n">
        <v>0</v>
      </c>
      <c r="F247" s="124" t="n">
        <v>0</v>
      </c>
      <c r="G247" s="124" t="n">
        <v>0</v>
      </c>
      <c r="I247" s="124" t="n">
        <f aca="false">IF(MONTH($A247)=MONTH($A246),IF(G247=0,I246,G247),G247)</f>
        <v>0</v>
      </c>
      <c r="J247" s="124" t="n">
        <f aca="false">IF(MONTH($A247)=MONTH($A246),SUM(I247-I246),I247)</f>
        <v>0</v>
      </c>
      <c r="K247" s="124" t="n">
        <f aca="false">IF(WEEKDAY(A247,3)&gt;4,0,(IF(A247&lt;K$2,0,IF(A247&lt;=K$3,1,0))))</f>
        <v>0</v>
      </c>
      <c r="L247" s="124" t="n">
        <f aca="false">J247*K247</f>
        <v>0</v>
      </c>
      <c r="M247" s="124" t="n">
        <f aca="false">SUM(J$188:J247)</f>
        <v>0</v>
      </c>
      <c r="N247" s="124" t="n">
        <f aca="false">SUM(J$6:J247)</f>
        <v>-221916</v>
      </c>
      <c r="P247" s="124" t="n">
        <f aca="false">D247/P$3</f>
        <v>0</v>
      </c>
      <c r="Q247" s="124" t="n">
        <f aca="false">E247/P$3</f>
        <v>0</v>
      </c>
      <c r="R247" s="124" t="n">
        <f aca="false">F247/R$3</f>
        <v>0</v>
      </c>
      <c r="S247" s="126" t="n">
        <f aca="false">J247/$R$3</f>
        <v>0</v>
      </c>
      <c r="T247" s="126" t="n">
        <f aca="false">L247/$R$3</f>
        <v>0</v>
      </c>
      <c r="U247" s="126" t="n">
        <f aca="false">I247/$R$3</f>
        <v>0</v>
      </c>
      <c r="V247" s="126" t="n">
        <f aca="false">M247/$R$3</f>
        <v>0</v>
      </c>
      <c r="W247" s="126" t="n">
        <f aca="false">N247/$R$3</f>
        <v>-221.916</v>
      </c>
    </row>
    <row r="248" customFormat="false" ht="12.75" hidden="false" customHeight="false" outlineLevel="0" collapsed="false">
      <c r="A248" s="120" t="n">
        <f aca="false">A247+1</f>
        <v>37134</v>
      </c>
      <c r="B248" s="131" t="str">
        <f aca="false">INDEX('[4]Master Data'!$A$2:$B$8,MATCH(WEEKDAY('TBS Gas MTM'!A248,3),'[4]Master Data'!$A$2:$A$8,0),2)</f>
        <v>F</v>
      </c>
      <c r="D248" s="124" t="n">
        <v>0</v>
      </c>
      <c r="E248" s="124" t="n">
        <v>0</v>
      </c>
      <c r="F248" s="124" t="n">
        <v>0</v>
      </c>
      <c r="G248" s="124" t="n">
        <v>0</v>
      </c>
      <c r="I248" s="124" t="n">
        <f aca="false">IF(MONTH($A248)=MONTH($A247),IF(G248=0,I247,G248),G248)</f>
        <v>0</v>
      </c>
      <c r="J248" s="124" t="n">
        <f aca="false">IF(MONTH($A248)=MONTH($A247),SUM(I248-I247),I248)</f>
        <v>0</v>
      </c>
      <c r="K248" s="124" t="n">
        <f aca="false">IF(WEEKDAY(A248,3)&gt;4,0,(IF(A248&lt;K$2,0,IF(A248&lt;=K$3,1,0))))</f>
        <v>0</v>
      </c>
      <c r="L248" s="124" t="n">
        <f aca="false">J248*K248</f>
        <v>0</v>
      </c>
      <c r="M248" s="124" t="n">
        <f aca="false">SUM(J$188:J248)</f>
        <v>0</v>
      </c>
      <c r="N248" s="124" t="n">
        <f aca="false">SUM(J$6:J248)</f>
        <v>-221916</v>
      </c>
      <c r="P248" s="124" t="n">
        <f aca="false">D248/P$3</f>
        <v>0</v>
      </c>
      <c r="Q248" s="124" t="n">
        <f aca="false">E248/P$3</f>
        <v>0</v>
      </c>
      <c r="R248" s="124" t="n">
        <f aca="false">F248/R$3</f>
        <v>0</v>
      </c>
      <c r="S248" s="126" t="n">
        <f aca="false">J248/$R$3</f>
        <v>0</v>
      </c>
      <c r="T248" s="126" t="n">
        <f aca="false">L248/$R$3</f>
        <v>0</v>
      </c>
      <c r="U248" s="126" t="n">
        <f aca="false">I248/$R$3</f>
        <v>0</v>
      </c>
      <c r="V248" s="126" t="n">
        <f aca="false">M248/$R$3</f>
        <v>0</v>
      </c>
      <c r="W248" s="126" t="n">
        <f aca="false">N248/$R$3</f>
        <v>-221.916</v>
      </c>
    </row>
    <row r="249" customFormat="false" ht="12.75" hidden="false" customHeight="false" outlineLevel="0" collapsed="false">
      <c r="A249" s="120" t="n">
        <f aca="false">A248+1</f>
        <v>37135</v>
      </c>
      <c r="B249" s="131" t="str">
        <f aca="false">INDEX('[4]Master Data'!$A$2:$B$8,MATCH(WEEKDAY('TBS Gas MTM'!A249,3),'[4]Master Data'!$A$2:$A$8,0),2)</f>
        <v>Sa</v>
      </c>
      <c r="D249" s="124" t="n">
        <v>0</v>
      </c>
      <c r="E249" s="124" t="n">
        <v>0</v>
      </c>
      <c r="F249" s="124" t="n">
        <v>0</v>
      </c>
      <c r="G249" s="124" t="n">
        <v>0</v>
      </c>
      <c r="I249" s="124" t="n">
        <f aca="false">IF(MONTH($A249)=MONTH($A248),IF(G249=0,I248,G249),G249)</f>
        <v>0</v>
      </c>
      <c r="J249" s="124" t="n">
        <f aca="false">IF(MONTH($A249)=MONTH($A248),SUM(I249-I248),I249)</f>
        <v>0</v>
      </c>
      <c r="K249" s="124" t="n">
        <f aca="false">IF(WEEKDAY(A249,3)&gt;4,0,(IF(A249&lt;K$2,0,IF(A249&lt;=K$3,1,0))))</f>
        <v>0</v>
      </c>
      <c r="L249" s="124" t="n">
        <f aca="false">J249*K249</f>
        <v>0</v>
      </c>
      <c r="M249" s="124" t="n">
        <f aca="false">SUM(J$188:J249)</f>
        <v>0</v>
      </c>
      <c r="N249" s="124" t="n">
        <f aca="false">SUM(J$6:J249)</f>
        <v>-221916</v>
      </c>
      <c r="P249" s="124" t="n">
        <f aca="false">D249/P$3</f>
        <v>0</v>
      </c>
      <c r="Q249" s="124" t="n">
        <f aca="false">E249/P$3</f>
        <v>0</v>
      </c>
      <c r="R249" s="124" t="n">
        <f aca="false">F249/R$3</f>
        <v>0</v>
      </c>
      <c r="S249" s="126" t="n">
        <f aca="false">J249/$R$3</f>
        <v>0</v>
      </c>
      <c r="T249" s="126" t="n">
        <f aca="false">L249/$R$3</f>
        <v>0</v>
      </c>
      <c r="U249" s="126" t="n">
        <f aca="false">I249/$R$3</f>
        <v>0</v>
      </c>
      <c r="V249" s="126" t="n">
        <f aca="false">M249/$R$3</f>
        <v>0</v>
      </c>
      <c r="W249" s="126" t="n">
        <f aca="false">N249/$R$3</f>
        <v>-221.916</v>
      </c>
    </row>
    <row r="250" customFormat="false" ht="12.75" hidden="false" customHeight="false" outlineLevel="0" collapsed="false">
      <c r="A250" s="120" t="n">
        <f aca="false">A249+1</f>
        <v>37136</v>
      </c>
      <c r="B250" s="131" t="str">
        <f aca="false">INDEX('[4]Master Data'!$A$2:$B$8,MATCH(WEEKDAY('TBS Gas MTM'!A250,3),'[4]Master Data'!$A$2:$A$8,0),2)</f>
        <v>Su</v>
      </c>
      <c r="D250" s="124" t="n">
        <v>0</v>
      </c>
      <c r="E250" s="124" t="n">
        <v>0</v>
      </c>
      <c r="F250" s="124" t="n">
        <v>0</v>
      </c>
      <c r="G250" s="124" t="n">
        <v>0</v>
      </c>
      <c r="I250" s="124" t="n">
        <f aca="false">IF(MONTH($A250)=MONTH($A249),IF(G250=0,I249,G250),G250)</f>
        <v>0</v>
      </c>
      <c r="J250" s="124" t="n">
        <f aca="false">IF(MONTH($A250)=MONTH($A249),SUM(I250-I249),I250)</f>
        <v>0</v>
      </c>
      <c r="K250" s="124" t="n">
        <f aca="false">IF(WEEKDAY(A250,3)&gt;4,0,(IF(A250&lt;K$2,0,IF(A250&lt;=K$3,1,0))))</f>
        <v>0</v>
      </c>
      <c r="L250" s="124" t="n">
        <f aca="false">J250*K250</f>
        <v>0</v>
      </c>
      <c r="M250" s="124" t="n">
        <f aca="false">SUM(J$188:J250)</f>
        <v>0</v>
      </c>
      <c r="N250" s="124" t="n">
        <f aca="false">SUM(J$6:J250)</f>
        <v>-221916</v>
      </c>
      <c r="P250" s="124" t="n">
        <f aca="false">D250/P$3</f>
        <v>0</v>
      </c>
      <c r="Q250" s="124" t="n">
        <f aca="false">E250/P$3</f>
        <v>0</v>
      </c>
      <c r="R250" s="124" t="n">
        <f aca="false">F250/R$3</f>
        <v>0</v>
      </c>
      <c r="S250" s="126" t="n">
        <f aca="false">J250/$R$3</f>
        <v>0</v>
      </c>
      <c r="T250" s="126" t="n">
        <f aca="false">L250/$R$3</f>
        <v>0</v>
      </c>
      <c r="U250" s="126" t="n">
        <f aca="false">I250/$R$3</f>
        <v>0</v>
      </c>
      <c r="V250" s="126" t="n">
        <f aca="false">M250/$R$3</f>
        <v>0</v>
      </c>
      <c r="W250" s="126" t="n">
        <f aca="false">N250/$R$3</f>
        <v>-221.916</v>
      </c>
    </row>
    <row r="251" customFormat="false" ht="12.75" hidden="false" customHeight="false" outlineLevel="0" collapsed="false">
      <c r="A251" s="120" t="n">
        <f aca="false">A250+1</f>
        <v>37137</v>
      </c>
      <c r="B251" s="131" t="str">
        <f aca="false">INDEX('[4]Master Data'!$A$2:$B$8,MATCH(WEEKDAY('TBS Gas MTM'!A251,3),'[4]Master Data'!$A$2:$A$8,0),2)</f>
        <v>M</v>
      </c>
      <c r="D251" s="124" t="n">
        <v>0</v>
      </c>
      <c r="E251" s="124" t="n">
        <v>0</v>
      </c>
      <c r="F251" s="124" t="n">
        <v>0</v>
      </c>
      <c r="G251" s="124" t="n">
        <v>0</v>
      </c>
      <c r="I251" s="124" t="n">
        <f aca="false">IF(MONTH($A251)=MONTH($A250),IF(G251=0,I250,G251),G251)</f>
        <v>0</v>
      </c>
      <c r="J251" s="124" t="n">
        <f aca="false">IF(MONTH($A251)=MONTH($A250),SUM(I251-I250),I251)</f>
        <v>0</v>
      </c>
      <c r="K251" s="124" t="n">
        <f aca="false">IF(WEEKDAY(A251,3)&gt;4,0,(IF(A251&lt;K$2,0,IF(A251&lt;=K$3,1,0))))</f>
        <v>0</v>
      </c>
      <c r="L251" s="124" t="n">
        <f aca="false">J251*K251</f>
        <v>0</v>
      </c>
      <c r="M251" s="124" t="n">
        <f aca="false">SUM(J$188:J251)</f>
        <v>0</v>
      </c>
      <c r="N251" s="124" t="n">
        <f aca="false">SUM(J$6:J251)</f>
        <v>-221916</v>
      </c>
      <c r="P251" s="124" t="n">
        <f aca="false">D251/P$3</f>
        <v>0</v>
      </c>
      <c r="Q251" s="124" t="n">
        <f aca="false">E251/P$3</f>
        <v>0</v>
      </c>
      <c r="R251" s="124" t="n">
        <f aca="false">F251/R$3</f>
        <v>0</v>
      </c>
      <c r="S251" s="126" t="n">
        <f aca="false">J251/$R$3</f>
        <v>0</v>
      </c>
      <c r="T251" s="126" t="n">
        <f aca="false">L251/$R$3</f>
        <v>0</v>
      </c>
      <c r="U251" s="126" t="n">
        <f aca="false">I251/$R$3</f>
        <v>0</v>
      </c>
      <c r="V251" s="126" t="n">
        <f aca="false">M251/$R$3</f>
        <v>0</v>
      </c>
      <c r="W251" s="126" t="n">
        <f aca="false">N251/$R$3</f>
        <v>-221.916</v>
      </c>
    </row>
    <row r="252" customFormat="false" ht="12.75" hidden="false" customHeight="false" outlineLevel="0" collapsed="false">
      <c r="A252" s="120" t="n">
        <f aca="false">A251+1</f>
        <v>37138</v>
      </c>
      <c r="B252" s="131" t="str">
        <f aca="false">INDEX('[4]Master Data'!$A$2:$B$8,MATCH(WEEKDAY('TBS Gas MTM'!A252,3),'[4]Master Data'!$A$2:$A$8,0),2)</f>
        <v>T</v>
      </c>
      <c r="D252" s="124" t="n">
        <v>0</v>
      </c>
      <c r="E252" s="124" t="n">
        <v>0</v>
      </c>
      <c r="F252" s="124" t="n">
        <v>0</v>
      </c>
      <c r="G252" s="124" t="n">
        <v>0</v>
      </c>
      <c r="I252" s="124" t="n">
        <f aca="false">IF(MONTH($A252)=MONTH($A251),IF(G252=0,I251,G252),G252)</f>
        <v>0</v>
      </c>
      <c r="J252" s="124" t="n">
        <f aca="false">IF(MONTH($A252)=MONTH($A251),SUM(I252-I251),I252)</f>
        <v>0</v>
      </c>
      <c r="K252" s="124" t="n">
        <f aca="false">IF(WEEKDAY(A252,3)&gt;4,0,(IF(A252&lt;K$2,0,IF(A252&lt;=K$3,1,0))))</f>
        <v>0</v>
      </c>
      <c r="L252" s="124" t="n">
        <f aca="false">J252*K252</f>
        <v>0</v>
      </c>
      <c r="M252" s="124" t="n">
        <f aca="false">SUM(J$188:J252)</f>
        <v>0</v>
      </c>
      <c r="N252" s="124" t="n">
        <f aca="false">SUM(J$6:J252)</f>
        <v>-221916</v>
      </c>
      <c r="P252" s="124" t="n">
        <f aca="false">D252/P$3</f>
        <v>0</v>
      </c>
      <c r="Q252" s="124" t="n">
        <f aca="false">E252/P$3</f>
        <v>0</v>
      </c>
      <c r="R252" s="124" t="n">
        <f aca="false">F252/R$3</f>
        <v>0</v>
      </c>
      <c r="S252" s="126" t="n">
        <f aca="false">J252/$R$3</f>
        <v>0</v>
      </c>
      <c r="T252" s="126" t="n">
        <f aca="false">L252/$R$3</f>
        <v>0</v>
      </c>
      <c r="U252" s="126" t="n">
        <f aca="false">I252/$R$3</f>
        <v>0</v>
      </c>
      <c r="V252" s="126" t="n">
        <f aca="false">M252/$R$3</f>
        <v>0</v>
      </c>
      <c r="W252" s="126" t="n">
        <f aca="false">N252/$R$3</f>
        <v>-221.916</v>
      </c>
    </row>
    <row r="253" customFormat="false" ht="12.75" hidden="false" customHeight="false" outlineLevel="0" collapsed="false">
      <c r="A253" s="120" t="n">
        <f aca="false">A252+1</f>
        <v>37139</v>
      </c>
      <c r="B253" s="131" t="str">
        <f aca="false">INDEX('[4]Master Data'!$A$2:$B$8,MATCH(WEEKDAY('TBS Gas MTM'!A253,3),'[4]Master Data'!$A$2:$A$8,0),2)</f>
        <v>W</v>
      </c>
      <c r="D253" s="124" t="n">
        <v>0</v>
      </c>
      <c r="E253" s="124" t="n">
        <v>0</v>
      </c>
      <c r="F253" s="124" t="n">
        <v>0</v>
      </c>
      <c r="G253" s="124" t="n">
        <v>0</v>
      </c>
      <c r="I253" s="124" t="n">
        <f aca="false">IF(MONTH($A253)=MONTH($A252),IF(G253=0,I252,G253),G253)</f>
        <v>0</v>
      </c>
      <c r="J253" s="124" t="n">
        <f aca="false">IF(MONTH($A253)=MONTH($A252),SUM(I253-I252),I253)</f>
        <v>0</v>
      </c>
      <c r="K253" s="124" t="n">
        <f aca="false">IF(WEEKDAY(A253,3)&gt;4,0,(IF(A253&lt;K$2,0,IF(A253&lt;=K$3,1,0))))</f>
        <v>0</v>
      </c>
      <c r="L253" s="124" t="n">
        <f aca="false">J253*K253</f>
        <v>0</v>
      </c>
      <c r="M253" s="124" t="n">
        <f aca="false">SUM(J$188:J253)</f>
        <v>0</v>
      </c>
      <c r="N253" s="124" t="n">
        <f aca="false">SUM(J$6:J253)</f>
        <v>-221916</v>
      </c>
      <c r="P253" s="124" t="n">
        <f aca="false">D253/P$3</f>
        <v>0</v>
      </c>
      <c r="Q253" s="124" t="n">
        <f aca="false">E253/P$3</f>
        <v>0</v>
      </c>
      <c r="R253" s="124" t="n">
        <f aca="false">F253/R$3</f>
        <v>0</v>
      </c>
      <c r="S253" s="126" t="n">
        <f aca="false">J253/$R$3</f>
        <v>0</v>
      </c>
      <c r="T253" s="126" t="n">
        <f aca="false">L253/$R$3</f>
        <v>0</v>
      </c>
      <c r="U253" s="126" t="n">
        <f aca="false">I253/$R$3</f>
        <v>0</v>
      </c>
      <c r="V253" s="126" t="n">
        <f aca="false">M253/$R$3</f>
        <v>0</v>
      </c>
      <c r="W253" s="126" t="n">
        <f aca="false">N253/$R$3</f>
        <v>-221.916</v>
      </c>
    </row>
    <row r="254" customFormat="false" ht="12.75" hidden="false" customHeight="false" outlineLevel="0" collapsed="false">
      <c r="A254" s="120" t="n">
        <f aca="false">A253+1</f>
        <v>37140</v>
      </c>
      <c r="B254" s="131" t="str">
        <f aca="false">INDEX('[4]Master Data'!$A$2:$B$8,MATCH(WEEKDAY('TBS Gas MTM'!A254,3),'[4]Master Data'!$A$2:$A$8,0),2)</f>
        <v>Th</v>
      </c>
      <c r="D254" s="124" t="n">
        <v>0</v>
      </c>
      <c r="E254" s="124" t="n">
        <v>0</v>
      </c>
      <c r="F254" s="124" t="n">
        <v>0</v>
      </c>
      <c r="G254" s="124" t="n">
        <v>0</v>
      </c>
      <c r="I254" s="124" t="n">
        <f aca="false">IF(MONTH($A254)=MONTH($A253),IF(G254=0,I253,G254),G254)</f>
        <v>0</v>
      </c>
      <c r="J254" s="124" t="n">
        <f aca="false">IF(MONTH($A254)=MONTH($A253),SUM(I254-I253),I254)</f>
        <v>0</v>
      </c>
      <c r="K254" s="124" t="n">
        <f aca="false">IF(WEEKDAY(A254,3)&gt;4,0,(IF(A254&lt;K$2,0,IF(A254&lt;=K$3,1,0))))</f>
        <v>0</v>
      </c>
      <c r="L254" s="124" t="n">
        <f aca="false">J254*K254</f>
        <v>0</v>
      </c>
      <c r="M254" s="124" t="n">
        <f aca="false">SUM(J$188:J254)</f>
        <v>0</v>
      </c>
      <c r="N254" s="124" t="n">
        <f aca="false">SUM(J$6:J254)</f>
        <v>-221916</v>
      </c>
      <c r="P254" s="124" t="n">
        <f aca="false">D254/P$3</f>
        <v>0</v>
      </c>
      <c r="Q254" s="124" t="n">
        <f aca="false">E254/P$3</f>
        <v>0</v>
      </c>
      <c r="R254" s="124" t="n">
        <f aca="false">F254/R$3</f>
        <v>0</v>
      </c>
      <c r="S254" s="126" t="n">
        <f aca="false">J254/$R$3</f>
        <v>0</v>
      </c>
      <c r="T254" s="126" t="n">
        <f aca="false">L254/$R$3</f>
        <v>0</v>
      </c>
      <c r="U254" s="126" t="n">
        <f aca="false">I254/$R$3</f>
        <v>0</v>
      </c>
      <c r="V254" s="126" t="n">
        <f aca="false">M254/$R$3</f>
        <v>0</v>
      </c>
      <c r="W254" s="126" t="n">
        <f aca="false">N254/$R$3</f>
        <v>-221.916</v>
      </c>
    </row>
    <row r="255" customFormat="false" ht="12.75" hidden="false" customHeight="false" outlineLevel="0" collapsed="false">
      <c r="A255" s="120" t="n">
        <f aca="false">A254+1</f>
        <v>37141</v>
      </c>
      <c r="B255" s="131" t="str">
        <f aca="false">INDEX('[4]Master Data'!$A$2:$B$8,MATCH(WEEKDAY('TBS Gas MTM'!A255,3),'[4]Master Data'!$A$2:$A$8,0),2)</f>
        <v>F</v>
      </c>
      <c r="D255" s="124" t="n">
        <v>0</v>
      </c>
      <c r="E255" s="124" t="n">
        <v>0</v>
      </c>
      <c r="F255" s="124" t="n">
        <v>0</v>
      </c>
      <c r="G255" s="124" t="n">
        <v>0</v>
      </c>
      <c r="I255" s="124" t="n">
        <f aca="false">IF(MONTH($A255)=MONTH($A254),IF(G255=0,I254,G255),G255)</f>
        <v>0</v>
      </c>
      <c r="J255" s="124" t="n">
        <f aca="false">IF(MONTH($A255)=MONTH($A254),SUM(I255-I254),I255)</f>
        <v>0</v>
      </c>
      <c r="K255" s="124" t="n">
        <f aca="false">IF(WEEKDAY(A255,3)&gt;4,0,(IF(A255&lt;K$2,0,IF(A255&lt;=K$3,1,0))))</f>
        <v>0</v>
      </c>
      <c r="L255" s="124" t="n">
        <f aca="false">J255*K255</f>
        <v>0</v>
      </c>
      <c r="M255" s="124" t="n">
        <f aca="false">SUM(J$188:J255)</f>
        <v>0</v>
      </c>
      <c r="N255" s="124" t="n">
        <f aca="false">SUM(J$6:J255)</f>
        <v>-221916</v>
      </c>
      <c r="P255" s="124" t="n">
        <f aca="false">D255/P$3</f>
        <v>0</v>
      </c>
      <c r="Q255" s="124" t="n">
        <f aca="false">E255/P$3</f>
        <v>0</v>
      </c>
      <c r="R255" s="124" t="n">
        <f aca="false">F255/R$3</f>
        <v>0</v>
      </c>
      <c r="S255" s="126" t="n">
        <f aca="false">J255/$R$3</f>
        <v>0</v>
      </c>
      <c r="T255" s="126" t="n">
        <f aca="false">L255/$R$3</f>
        <v>0</v>
      </c>
      <c r="U255" s="126" t="n">
        <f aca="false">I255/$R$3</f>
        <v>0</v>
      </c>
      <c r="V255" s="126" t="n">
        <f aca="false">M255/$R$3</f>
        <v>0</v>
      </c>
      <c r="W255" s="126" t="n">
        <f aca="false">N255/$R$3</f>
        <v>-221.916</v>
      </c>
    </row>
    <row r="256" customFormat="false" ht="12.75" hidden="false" customHeight="false" outlineLevel="0" collapsed="false">
      <c r="A256" s="120" t="n">
        <f aca="false">A255+1</f>
        <v>37142</v>
      </c>
      <c r="B256" s="131" t="str">
        <f aca="false">INDEX('[4]Master Data'!$A$2:$B$8,MATCH(WEEKDAY('TBS Gas MTM'!A256,3),'[4]Master Data'!$A$2:$A$8,0),2)</f>
        <v>Sa</v>
      </c>
      <c r="D256" s="124" t="n">
        <v>0</v>
      </c>
      <c r="E256" s="124" t="n">
        <v>0</v>
      </c>
      <c r="F256" s="124" t="n">
        <v>0</v>
      </c>
      <c r="G256" s="124" t="n">
        <v>0</v>
      </c>
      <c r="I256" s="124" t="n">
        <f aca="false">IF(MONTH($A256)=MONTH($A255),IF(G256=0,I255,G256),G256)</f>
        <v>0</v>
      </c>
      <c r="J256" s="124" t="n">
        <f aca="false">IF(MONTH($A256)=MONTH($A255),SUM(I256-I255),I256)</f>
        <v>0</v>
      </c>
      <c r="K256" s="124" t="n">
        <f aca="false">IF(WEEKDAY(A256,3)&gt;4,0,(IF(A256&lt;K$2,0,IF(A256&lt;=K$3,1,0))))</f>
        <v>0</v>
      </c>
      <c r="L256" s="124" t="n">
        <f aca="false">J256*K256</f>
        <v>0</v>
      </c>
      <c r="M256" s="124" t="n">
        <f aca="false">SUM(J$188:J256)</f>
        <v>0</v>
      </c>
      <c r="N256" s="124" t="n">
        <f aca="false">SUM(J$6:J256)</f>
        <v>-221916</v>
      </c>
      <c r="P256" s="124" t="n">
        <f aca="false">D256/P$3</f>
        <v>0</v>
      </c>
      <c r="Q256" s="124" t="n">
        <f aca="false">E256/P$3</f>
        <v>0</v>
      </c>
      <c r="R256" s="124" t="n">
        <f aca="false">F256/R$3</f>
        <v>0</v>
      </c>
      <c r="S256" s="126" t="n">
        <f aca="false">J256/$R$3</f>
        <v>0</v>
      </c>
      <c r="T256" s="126" t="n">
        <f aca="false">L256/$R$3</f>
        <v>0</v>
      </c>
      <c r="U256" s="126" t="n">
        <f aca="false">I256/$R$3</f>
        <v>0</v>
      </c>
      <c r="V256" s="126" t="n">
        <f aca="false">M256/$R$3</f>
        <v>0</v>
      </c>
      <c r="W256" s="126" t="n">
        <f aca="false">N256/$R$3</f>
        <v>-221.916</v>
      </c>
    </row>
    <row r="257" customFormat="false" ht="12.75" hidden="false" customHeight="false" outlineLevel="0" collapsed="false">
      <c r="A257" s="120" t="n">
        <f aca="false">A256+1</f>
        <v>37143</v>
      </c>
      <c r="B257" s="131" t="str">
        <f aca="false">INDEX('[4]Master Data'!$A$2:$B$8,MATCH(WEEKDAY('TBS Gas MTM'!A257,3),'[4]Master Data'!$A$2:$A$8,0),2)</f>
        <v>Su</v>
      </c>
      <c r="D257" s="124" t="n">
        <v>0</v>
      </c>
      <c r="E257" s="124" t="n">
        <v>0</v>
      </c>
      <c r="F257" s="124" t="n">
        <v>0</v>
      </c>
      <c r="G257" s="124" t="n">
        <v>0</v>
      </c>
      <c r="I257" s="124" t="n">
        <f aca="false">IF(MONTH($A257)=MONTH($A256),IF(G257=0,I256,G257),G257)</f>
        <v>0</v>
      </c>
      <c r="J257" s="124" t="n">
        <f aca="false">IF(MONTH($A257)=MONTH($A256),SUM(I257-I256),I257)</f>
        <v>0</v>
      </c>
      <c r="K257" s="124" t="n">
        <f aca="false">IF(WEEKDAY(A257,3)&gt;4,0,(IF(A257&lt;K$2,0,IF(A257&lt;=K$3,1,0))))</f>
        <v>0</v>
      </c>
      <c r="L257" s="124" t="n">
        <f aca="false">J257*K257</f>
        <v>0</v>
      </c>
      <c r="M257" s="124" t="n">
        <f aca="false">SUM(J$188:J257)</f>
        <v>0</v>
      </c>
      <c r="N257" s="124" t="n">
        <f aca="false">SUM(J$6:J257)</f>
        <v>-221916</v>
      </c>
      <c r="P257" s="124" t="n">
        <f aca="false">D257/P$3</f>
        <v>0</v>
      </c>
      <c r="Q257" s="124" t="n">
        <f aca="false">E257/P$3</f>
        <v>0</v>
      </c>
      <c r="R257" s="124" t="n">
        <f aca="false">F257/R$3</f>
        <v>0</v>
      </c>
      <c r="S257" s="126" t="n">
        <f aca="false">J257/$R$3</f>
        <v>0</v>
      </c>
      <c r="T257" s="126" t="n">
        <f aca="false">L257/$R$3</f>
        <v>0</v>
      </c>
      <c r="U257" s="126" t="n">
        <f aca="false">I257/$R$3</f>
        <v>0</v>
      </c>
      <c r="V257" s="126" t="n">
        <f aca="false">M257/$R$3</f>
        <v>0</v>
      </c>
      <c r="W257" s="126" t="n">
        <f aca="false">N257/$R$3</f>
        <v>-221.916</v>
      </c>
    </row>
    <row r="258" customFormat="false" ht="12.75" hidden="false" customHeight="false" outlineLevel="0" collapsed="false">
      <c r="A258" s="120" t="n">
        <f aca="false">A257+1</f>
        <v>37144</v>
      </c>
      <c r="B258" s="131" t="str">
        <f aca="false">INDEX('[4]Master Data'!$A$2:$B$8,MATCH(WEEKDAY('TBS Gas MTM'!A258,3),'[4]Master Data'!$A$2:$A$8,0),2)</f>
        <v>M</v>
      </c>
      <c r="D258" s="124" t="n">
        <v>0</v>
      </c>
      <c r="E258" s="124" t="n">
        <v>0</v>
      </c>
      <c r="F258" s="124" t="n">
        <v>0</v>
      </c>
      <c r="G258" s="124" t="n">
        <v>0</v>
      </c>
      <c r="I258" s="124" t="n">
        <f aca="false">IF(MONTH($A258)=MONTH($A257),IF(G258=0,I257,G258),G258)</f>
        <v>0</v>
      </c>
      <c r="J258" s="124" t="n">
        <f aca="false">IF(MONTH($A258)=MONTH($A257),SUM(I258-I257),I258)</f>
        <v>0</v>
      </c>
      <c r="K258" s="124" t="n">
        <f aca="false">IF(WEEKDAY(A258,3)&gt;4,0,(IF(A258&lt;K$2,0,IF(A258&lt;=K$3,1,0))))</f>
        <v>0</v>
      </c>
      <c r="L258" s="124" t="n">
        <f aca="false">J258*K258</f>
        <v>0</v>
      </c>
      <c r="M258" s="124" t="n">
        <f aca="false">SUM(J$188:J258)</f>
        <v>0</v>
      </c>
      <c r="N258" s="124" t="n">
        <f aca="false">SUM(J$6:J258)</f>
        <v>-221916</v>
      </c>
      <c r="P258" s="124" t="n">
        <f aca="false">D258/P$3</f>
        <v>0</v>
      </c>
      <c r="Q258" s="124" t="n">
        <f aca="false">E258/P$3</f>
        <v>0</v>
      </c>
      <c r="R258" s="124" t="n">
        <f aca="false">F258/R$3</f>
        <v>0</v>
      </c>
      <c r="S258" s="126" t="n">
        <f aca="false">J258/$R$3</f>
        <v>0</v>
      </c>
      <c r="T258" s="126" t="n">
        <f aca="false">L258/$R$3</f>
        <v>0</v>
      </c>
      <c r="U258" s="126" t="n">
        <f aca="false">I258/$R$3</f>
        <v>0</v>
      </c>
      <c r="V258" s="126" t="n">
        <f aca="false">M258/$R$3</f>
        <v>0</v>
      </c>
      <c r="W258" s="126" t="n">
        <f aca="false">N258/$R$3</f>
        <v>-221.916</v>
      </c>
    </row>
    <row r="259" customFormat="false" ht="12.75" hidden="false" customHeight="false" outlineLevel="0" collapsed="false">
      <c r="A259" s="120" t="n">
        <f aca="false">A258+1</f>
        <v>37145</v>
      </c>
      <c r="B259" s="131" t="str">
        <f aca="false">INDEX('[4]Master Data'!$A$2:$B$8,MATCH(WEEKDAY('TBS Gas MTM'!A259,3),'[4]Master Data'!$A$2:$A$8,0),2)</f>
        <v>T</v>
      </c>
      <c r="D259" s="124" t="n">
        <v>0</v>
      </c>
      <c r="E259" s="124" t="n">
        <v>0</v>
      </c>
      <c r="F259" s="124" t="n">
        <v>0</v>
      </c>
      <c r="G259" s="124" t="n">
        <v>0</v>
      </c>
      <c r="I259" s="124" t="n">
        <f aca="false">IF(MONTH($A259)=MONTH($A258),IF(G259=0,I258,G259),G259)</f>
        <v>0</v>
      </c>
      <c r="J259" s="124" t="n">
        <f aca="false">IF(MONTH($A259)=MONTH($A258),SUM(I259-I258),I259)</f>
        <v>0</v>
      </c>
      <c r="K259" s="124" t="n">
        <f aca="false">IF(WEEKDAY(A259,3)&gt;4,0,(IF(A259&lt;K$2,0,IF(A259&lt;=K$3,1,0))))</f>
        <v>0</v>
      </c>
      <c r="L259" s="124" t="n">
        <f aca="false">J259*K259</f>
        <v>0</v>
      </c>
      <c r="M259" s="124" t="n">
        <f aca="false">SUM(J$188:J259)</f>
        <v>0</v>
      </c>
      <c r="N259" s="124" t="n">
        <f aca="false">SUM(J$6:J259)</f>
        <v>-221916</v>
      </c>
      <c r="P259" s="124" t="n">
        <f aca="false">D259/P$3</f>
        <v>0</v>
      </c>
      <c r="Q259" s="124" t="n">
        <f aca="false">E259/P$3</f>
        <v>0</v>
      </c>
      <c r="R259" s="124" t="n">
        <f aca="false">F259/R$3</f>
        <v>0</v>
      </c>
      <c r="S259" s="126" t="n">
        <f aca="false">J259/$R$3</f>
        <v>0</v>
      </c>
      <c r="T259" s="126" t="n">
        <f aca="false">L259/$R$3</f>
        <v>0</v>
      </c>
      <c r="U259" s="126" t="n">
        <f aca="false">I259/$R$3</f>
        <v>0</v>
      </c>
      <c r="V259" s="126" t="n">
        <f aca="false">M259/$R$3</f>
        <v>0</v>
      </c>
      <c r="W259" s="126" t="n">
        <f aca="false">N259/$R$3</f>
        <v>-221.916</v>
      </c>
    </row>
    <row r="260" customFormat="false" ht="12.75" hidden="false" customHeight="false" outlineLevel="0" collapsed="false">
      <c r="A260" s="120" t="n">
        <f aca="false">A259+1</f>
        <v>37146</v>
      </c>
      <c r="B260" s="131" t="str">
        <f aca="false">INDEX('[4]Master Data'!$A$2:$B$8,MATCH(WEEKDAY('TBS Gas MTM'!A260,3),'[4]Master Data'!$A$2:$A$8,0),2)</f>
        <v>W</v>
      </c>
      <c r="D260" s="124" t="n">
        <v>0</v>
      </c>
      <c r="E260" s="124" t="n">
        <v>0</v>
      </c>
      <c r="F260" s="124" t="n">
        <v>0</v>
      </c>
      <c r="G260" s="124" t="n">
        <v>0</v>
      </c>
      <c r="I260" s="124" t="n">
        <f aca="false">IF(MONTH($A260)=MONTH($A259),IF(G260=0,I259,G260),G260)</f>
        <v>0</v>
      </c>
      <c r="J260" s="124" t="n">
        <f aca="false">IF(MONTH($A260)=MONTH($A259),SUM(I260-I259),I260)</f>
        <v>0</v>
      </c>
      <c r="K260" s="124" t="n">
        <f aca="false">IF(WEEKDAY(A260,3)&gt;4,0,(IF(A260&lt;K$2,0,IF(A260&lt;=K$3,1,0))))</f>
        <v>0</v>
      </c>
      <c r="L260" s="124" t="n">
        <f aca="false">J260*K260</f>
        <v>0</v>
      </c>
      <c r="M260" s="124" t="n">
        <f aca="false">SUM(J$188:J260)</f>
        <v>0</v>
      </c>
      <c r="N260" s="124" t="n">
        <f aca="false">SUM(J$6:J260)</f>
        <v>-221916</v>
      </c>
      <c r="P260" s="124" t="n">
        <f aca="false">D260/P$3</f>
        <v>0</v>
      </c>
      <c r="Q260" s="124" t="n">
        <f aca="false">E260/P$3</f>
        <v>0</v>
      </c>
      <c r="R260" s="124" t="n">
        <f aca="false">F260/R$3</f>
        <v>0</v>
      </c>
      <c r="S260" s="126" t="n">
        <f aca="false">J260/$R$3</f>
        <v>0</v>
      </c>
      <c r="T260" s="126" t="n">
        <f aca="false">L260/$R$3</f>
        <v>0</v>
      </c>
      <c r="U260" s="126" t="n">
        <f aca="false">I260/$R$3</f>
        <v>0</v>
      </c>
      <c r="V260" s="126" t="n">
        <f aca="false">M260/$R$3</f>
        <v>0</v>
      </c>
      <c r="W260" s="126" t="n">
        <f aca="false">N260/$R$3</f>
        <v>-221.916</v>
      </c>
    </row>
    <row r="261" customFormat="false" ht="12.75" hidden="false" customHeight="false" outlineLevel="0" collapsed="false">
      <c r="A261" s="120" t="n">
        <f aca="false">A260+1</f>
        <v>37147</v>
      </c>
      <c r="B261" s="131" t="str">
        <f aca="false">INDEX('[4]Master Data'!$A$2:$B$8,MATCH(WEEKDAY('TBS Gas MTM'!A261,3),'[4]Master Data'!$A$2:$A$8,0),2)</f>
        <v>Th</v>
      </c>
      <c r="D261" s="124" t="n">
        <v>0</v>
      </c>
      <c r="E261" s="124" t="n">
        <v>0</v>
      </c>
      <c r="F261" s="124" t="n">
        <v>0</v>
      </c>
      <c r="G261" s="124" t="n">
        <v>0</v>
      </c>
      <c r="I261" s="124" t="n">
        <f aca="false">IF(MONTH($A261)=MONTH($A260),IF(G261=0,I260,G261),G261)</f>
        <v>0</v>
      </c>
      <c r="J261" s="124" t="n">
        <f aca="false">IF(MONTH($A261)=MONTH($A260),SUM(I261-I260),I261)</f>
        <v>0</v>
      </c>
      <c r="K261" s="124" t="n">
        <f aca="false">IF(WEEKDAY(A261,3)&gt;4,0,(IF(A261&lt;K$2,0,IF(A261&lt;=K$3,1,0))))</f>
        <v>0</v>
      </c>
      <c r="L261" s="124" t="n">
        <f aca="false">J261*K261</f>
        <v>0</v>
      </c>
      <c r="M261" s="124" t="n">
        <f aca="false">SUM(J$188:J261)</f>
        <v>0</v>
      </c>
      <c r="N261" s="124" t="n">
        <f aca="false">SUM(J$6:J261)</f>
        <v>-221916</v>
      </c>
      <c r="P261" s="124" t="n">
        <f aca="false">D261/P$3</f>
        <v>0</v>
      </c>
      <c r="Q261" s="124" t="n">
        <f aca="false">E261/P$3</f>
        <v>0</v>
      </c>
      <c r="R261" s="124" t="n">
        <f aca="false">F261/R$3</f>
        <v>0</v>
      </c>
      <c r="S261" s="126" t="n">
        <f aca="false">J261/$R$3</f>
        <v>0</v>
      </c>
      <c r="T261" s="126" t="n">
        <f aca="false">L261/$R$3</f>
        <v>0</v>
      </c>
      <c r="U261" s="126" t="n">
        <f aca="false">I261/$R$3</f>
        <v>0</v>
      </c>
      <c r="V261" s="126" t="n">
        <f aca="false">M261/$R$3</f>
        <v>0</v>
      </c>
      <c r="W261" s="126" t="n">
        <f aca="false">N261/$R$3</f>
        <v>-221.916</v>
      </c>
    </row>
    <row r="262" customFormat="false" ht="12.75" hidden="false" customHeight="false" outlineLevel="0" collapsed="false">
      <c r="A262" s="120" t="n">
        <f aca="false">A261+1</f>
        <v>37148</v>
      </c>
      <c r="B262" s="131" t="str">
        <f aca="false">INDEX('[4]Master Data'!$A$2:$B$8,MATCH(WEEKDAY('TBS Gas MTM'!A262,3),'[4]Master Data'!$A$2:$A$8,0),2)</f>
        <v>F</v>
      </c>
      <c r="D262" s="124" t="n">
        <v>0</v>
      </c>
      <c r="E262" s="124" t="n">
        <v>0</v>
      </c>
      <c r="F262" s="124" t="n">
        <v>0</v>
      </c>
      <c r="G262" s="124" t="n">
        <v>0</v>
      </c>
      <c r="I262" s="124" t="n">
        <f aca="false">IF(MONTH($A262)=MONTH($A261),IF(G262=0,I261,G262),G262)</f>
        <v>0</v>
      </c>
      <c r="J262" s="124" t="n">
        <f aca="false">IF(MONTH($A262)=MONTH($A261),SUM(I262-I261),I262)</f>
        <v>0</v>
      </c>
      <c r="K262" s="124" t="n">
        <f aca="false">IF(WEEKDAY(A262,3)&gt;4,0,(IF(A262&lt;K$2,0,IF(A262&lt;=K$3,1,0))))</f>
        <v>0</v>
      </c>
      <c r="L262" s="124" t="n">
        <f aca="false">J262*K262</f>
        <v>0</v>
      </c>
      <c r="M262" s="124" t="n">
        <f aca="false">SUM(J$188:J262)</f>
        <v>0</v>
      </c>
      <c r="N262" s="124" t="n">
        <f aca="false">SUM(J$6:J262)</f>
        <v>-221916</v>
      </c>
      <c r="P262" s="124" t="n">
        <f aca="false">D262/P$3</f>
        <v>0</v>
      </c>
      <c r="Q262" s="124" t="n">
        <f aca="false">E262/P$3</f>
        <v>0</v>
      </c>
      <c r="R262" s="124" t="n">
        <f aca="false">F262/R$3</f>
        <v>0</v>
      </c>
      <c r="S262" s="126" t="n">
        <f aca="false">J262/$R$3</f>
        <v>0</v>
      </c>
      <c r="T262" s="126" t="n">
        <f aca="false">L262/$R$3</f>
        <v>0</v>
      </c>
      <c r="U262" s="126" t="n">
        <f aca="false">I262/$R$3</f>
        <v>0</v>
      </c>
      <c r="V262" s="126" t="n">
        <f aca="false">M262/$R$3</f>
        <v>0</v>
      </c>
      <c r="W262" s="126" t="n">
        <f aca="false">N262/$R$3</f>
        <v>-221.916</v>
      </c>
    </row>
    <row r="263" customFormat="false" ht="12.75" hidden="false" customHeight="false" outlineLevel="0" collapsed="false">
      <c r="A263" s="120" t="n">
        <f aca="false">A262+1</f>
        <v>37149</v>
      </c>
      <c r="B263" s="131" t="str">
        <f aca="false">INDEX('[4]Master Data'!$A$2:$B$8,MATCH(WEEKDAY('TBS Gas MTM'!A263,3),'[4]Master Data'!$A$2:$A$8,0),2)</f>
        <v>Sa</v>
      </c>
      <c r="D263" s="124" t="n">
        <v>0</v>
      </c>
      <c r="E263" s="124" t="n">
        <v>0</v>
      </c>
      <c r="F263" s="124" t="n">
        <v>0</v>
      </c>
      <c r="G263" s="124" t="n">
        <v>0</v>
      </c>
      <c r="I263" s="124" t="n">
        <f aca="false">IF(MONTH($A263)=MONTH($A262),IF(G263=0,I262,G263),G263)</f>
        <v>0</v>
      </c>
      <c r="J263" s="124" t="n">
        <f aca="false">IF(MONTH($A263)=MONTH($A262),SUM(I263-I262),I263)</f>
        <v>0</v>
      </c>
      <c r="K263" s="124" t="n">
        <f aca="false">IF(WEEKDAY(A263,3)&gt;4,0,(IF(A263&lt;K$2,0,IF(A263&lt;=K$3,1,0))))</f>
        <v>0</v>
      </c>
      <c r="L263" s="124" t="n">
        <f aca="false">J263*K263</f>
        <v>0</v>
      </c>
      <c r="M263" s="124" t="n">
        <f aca="false">SUM(J$188:J263)</f>
        <v>0</v>
      </c>
      <c r="N263" s="124" t="n">
        <f aca="false">SUM(J$6:J263)</f>
        <v>-221916</v>
      </c>
      <c r="P263" s="124" t="n">
        <f aca="false">D263/P$3</f>
        <v>0</v>
      </c>
      <c r="Q263" s="124" t="n">
        <f aca="false">E263/P$3</f>
        <v>0</v>
      </c>
      <c r="R263" s="124" t="n">
        <f aca="false">F263/R$3</f>
        <v>0</v>
      </c>
      <c r="S263" s="126" t="n">
        <f aca="false">J263/$R$3</f>
        <v>0</v>
      </c>
      <c r="T263" s="126" t="n">
        <f aca="false">L263/$R$3</f>
        <v>0</v>
      </c>
      <c r="U263" s="126" t="n">
        <f aca="false">I263/$R$3</f>
        <v>0</v>
      </c>
      <c r="V263" s="126" t="n">
        <f aca="false">M263/$R$3</f>
        <v>0</v>
      </c>
      <c r="W263" s="126" t="n">
        <f aca="false">N263/$R$3</f>
        <v>-221.916</v>
      </c>
    </row>
    <row r="264" customFormat="false" ht="12.75" hidden="false" customHeight="false" outlineLevel="0" collapsed="false">
      <c r="A264" s="120" t="n">
        <f aca="false">A263+1</f>
        <v>37150</v>
      </c>
      <c r="B264" s="131" t="str">
        <f aca="false">INDEX('[4]Master Data'!$A$2:$B$8,MATCH(WEEKDAY('TBS Gas MTM'!A264,3),'[4]Master Data'!$A$2:$A$8,0),2)</f>
        <v>Su</v>
      </c>
      <c r="D264" s="124" t="n">
        <v>0</v>
      </c>
      <c r="E264" s="124" t="n">
        <v>0</v>
      </c>
      <c r="F264" s="124" t="n">
        <v>0</v>
      </c>
      <c r="G264" s="124" t="n">
        <v>0</v>
      </c>
      <c r="I264" s="124" t="n">
        <f aca="false">IF(MONTH($A264)=MONTH($A263),IF(G264=0,I263,G264),G264)</f>
        <v>0</v>
      </c>
      <c r="J264" s="124" t="n">
        <f aca="false">IF(MONTH($A264)=MONTH($A263),SUM(I264-I263),I264)</f>
        <v>0</v>
      </c>
      <c r="K264" s="124" t="n">
        <f aca="false">IF(WEEKDAY(A264,3)&gt;4,0,(IF(A264&lt;K$2,0,IF(A264&lt;=K$3,1,0))))</f>
        <v>0</v>
      </c>
      <c r="L264" s="124" t="n">
        <f aca="false">J264*K264</f>
        <v>0</v>
      </c>
      <c r="M264" s="124" t="n">
        <f aca="false">SUM(J$188:J264)</f>
        <v>0</v>
      </c>
      <c r="N264" s="124" t="n">
        <f aca="false">SUM(J$6:J264)</f>
        <v>-221916</v>
      </c>
      <c r="P264" s="124" t="n">
        <f aca="false">D264/P$3</f>
        <v>0</v>
      </c>
      <c r="Q264" s="124" t="n">
        <f aca="false">E264/P$3</f>
        <v>0</v>
      </c>
      <c r="R264" s="124" t="n">
        <f aca="false">F264/R$3</f>
        <v>0</v>
      </c>
      <c r="S264" s="126" t="n">
        <f aca="false">J264/$R$3</f>
        <v>0</v>
      </c>
      <c r="T264" s="126" t="n">
        <f aca="false">L264/$R$3</f>
        <v>0</v>
      </c>
      <c r="U264" s="126" t="n">
        <f aca="false">I264/$R$3</f>
        <v>0</v>
      </c>
      <c r="V264" s="126" t="n">
        <f aca="false">M264/$R$3</f>
        <v>0</v>
      </c>
      <c r="W264" s="126" t="n">
        <f aca="false">N264/$R$3</f>
        <v>-221.916</v>
      </c>
    </row>
    <row r="265" customFormat="false" ht="12.75" hidden="false" customHeight="false" outlineLevel="0" collapsed="false">
      <c r="A265" s="120" t="n">
        <f aca="false">A264+1</f>
        <v>37151</v>
      </c>
      <c r="B265" s="131" t="str">
        <f aca="false">INDEX('[4]Master Data'!$A$2:$B$8,MATCH(WEEKDAY('TBS Gas MTM'!A265,3),'[4]Master Data'!$A$2:$A$8,0),2)</f>
        <v>M</v>
      </c>
      <c r="D265" s="124" t="n">
        <v>0</v>
      </c>
      <c r="E265" s="124" t="n">
        <v>0</v>
      </c>
      <c r="F265" s="124" t="n">
        <v>0</v>
      </c>
      <c r="G265" s="124" t="n">
        <v>0</v>
      </c>
      <c r="I265" s="124" t="n">
        <f aca="false">IF(MONTH($A265)=MONTH($A264),IF(G265=0,I264,G265),G265)</f>
        <v>0</v>
      </c>
      <c r="J265" s="124" t="n">
        <f aca="false">IF(MONTH($A265)=MONTH($A264),SUM(I265-I264),I265)</f>
        <v>0</v>
      </c>
      <c r="K265" s="124" t="n">
        <f aca="false">IF(WEEKDAY(A265,3)&gt;4,0,(IF(A265&lt;K$2,0,IF(A265&lt;=K$3,1,0))))</f>
        <v>0</v>
      </c>
      <c r="L265" s="124" t="n">
        <f aca="false">J265*K265</f>
        <v>0</v>
      </c>
      <c r="M265" s="124" t="n">
        <f aca="false">SUM(J$188:J265)</f>
        <v>0</v>
      </c>
      <c r="N265" s="124" t="n">
        <f aca="false">SUM(J$6:J265)</f>
        <v>-221916</v>
      </c>
      <c r="P265" s="124" t="n">
        <f aca="false">D265/P$3</f>
        <v>0</v>
      </c>
      <c r="Q265" s="124" t="n">
        <f aca="false">E265/P$3</f>
        <v>0</v>
      </c>
      <c r="R265" s="124" t="n">
        <f aca="false">F265/R$3</f>
        <v>0</v>
      </c>
      <c r="S265" s="126" t="n">
        <f aca="false">J265/$R$3</f>
        <v>0</v>
      </c>
      <c r="T265" s="126" t="n">
        <f aca="false">L265/$R$3</f>
        <v>0</v>
      </c>
      <c r="U265" s="126" t="n">
        <f aca="false">I265/$R$3</f>
        <v>0</v>
      </c>
      <c r="V265" s="126" t="n">
        <f aca="false">M265/$R$3</f>
        <v>0</v>
      </c>
      <c r="W265" s="126" t="n">
        <f aca="false">N265/$R$3</f>
        <v>-221.916</v>
      </c>
    </row>
    <row r="266" customFormat="false" ht="12.75" hidden="false" customHeight="false" outlineLevel="0" collapsed="false">
      <c r="A266" s="120" t="n">
        <f aca="false">A265+1</f>
        <v>37152</v>
      </c>
      <c r="B266" s="131" t="str">
        <f aca="false">INDEX('[4]Master Data'!$A$2:$B$8,MATCH(WEEKDAY('TBS Gas MTM'!A266,3),'[4]Master Data'!$A$2:$A$8,0),2)</f>
        <v>T</v>
      </c>
      <c r="D266" s="124" t="n">
        <v>0</v>
      </c>
      <c r="E266" s="124" t="n">
        <v>0</v>
      </c>
      <c r="F266" s="124" t="n">
        <v>0</v>
      </c>
      <c r="G266" s="124" t="n">
        <v>0</v>
      </c>
      <c r="I266" s="124" t="n">
        <f aca="false">IF(MONTH($A266)=MONTH($A265),IF(G266=0,I265,G266),G266)</f>
        <v>0</v>
      </c>
      <c r="J266" s="124" t="n">
        <f aca="false">IF(MONTH($A266)=MONTH($A265),SUM(I266-I265),I266)</f>
        <v>0</v>
      </c>
      <c r="K266" s="124" t="n">
        <f aca="false">IF(WEEKDAY(A266,3)&gt;4,0,(IF(A266&lt;K$2,0,IF(A266&lt;=K$3,1,0))))</f>
        <v>0</v>
      </c>
      <c r="L266" s="124" t="n">
        <f aca="false">J266*K266</f>
        <v>0</v>
      </c>
      <c r="M266" s="124" t="n">
        <f aca="false">SUM(J$188:J266)</f>
        <v>0</v>
      </c>
      <c r="N266" s="124" t="n">
        <f aca="false">SUM(J$6:J266)</f>
        <v>-221916</v>
      </c>
      <c r="P266" s="124" t="n">
        <f aca="false">D266/P$3</f>
        <v>0</v>
      </c>
      <c r="Q266" s="124" t="n">
        <f aca="false">E266/P$3</f>
        <v>0</v>
      </c>
      <c r="R266" s="124" t="n">
        <f aca="false">F266/R$3</f>
        <v>0</v>
      </c>
      <c r="S266" s="126" t="n">
        <f aca="false">J266/$R$3</f>
        <v>0</v>
      </c>
      <c r="T266" s="126" t="n">
        <f aca="false">L266/$R$3</f>
        <v>0</v>
      </c>
      <c r="U266" s="126" t="n">
        <f aca="false">I266/$R$3</f>
        <v>0</v>
      </c>
      <c r="V266" s="126" t="n">
        <f aca="false">M266/$R$3</f>
        <v>0</v>
      </c>
      <c r="W266" s="126" t="n">
        <f aca="false">N266/$R$3</f>
        <v>-221.916</v>
      </c>
    </row>
    <row r="267" customFormat="false" ht="12.75" hidden="false" customHeight="false" outlineLevel="0" collapsed="false">
      <c r="A267" s="120" t="n">
        <f aca="false">A266+1</f>
        <v>37153</v>
      </c>
      <c r="B267" s="131" t="str">
        <f aca="false">INDEX('[4]Master Data'!$A$2:$B$8,MATCH(WEEKDAY('TBS Gas MTM'!A267,3),'[4]Master Data'!$A$2:$A$8,0),2)</f>
        <v>W</v>
      </c>
      <c r="D267" s="124" t="n">
        <v>0</v>
      </c>
      <c r="E267" s="124" t="n">
        <v>0</v>
      </c>
      <c r="F267" s="124" t="n">
        <v>0</v>
      </c>
      <c r="G267" s="124" t="n">
        <v>0</v>
      </c>
      <c r="I267" s="124" t="n">
        <f aca="false">IF(MONTH($A267)=MONTH($A266),IF(G267=0,I266,G267),G267)</f>
        <v>0</v>
      </c>
      <c r="J267" s="124" t="n">
        <f aca="false">IF(MONTH($A267)=MONTH($A266),SUM(I267-I266),I267)</f>
        <v>0</v>
      </c>
      <c r="K267" s="124" t="n">
        <f aca="false">IF(WEEKDAY(A267,3)&gt;4,0,(IF(A267&lt;K$2,0,IF(A267&lt;=K$3,1,0))))</f>
        <v>0</v>
      </c>
      <c r="L267" s="124" t="n">
        <f aca="false">J267*K267</f>
        <v>0</v>
      </c>
      <c r="M267" s="124" t="n">
        <f aca="false">SUM(J$188:J267)</f>
        <v>0</v>
      </c>
      <c r="N267" s="124" t="n">
        <f aca="false">SUM(J$6:J267)</f>
        <v>-221916</v>
      </c>
      <c r="P267" s="124" t="n">
        <f aca="false">D267/P$3</f>
        <v>0</v>
      </c>
      <c r="Q267" s="124" t="n">
        <f aca="false">E267/P$3</f>
        <v>0</v>
      </c>
      <c r="R267" s="124" t="n">
        <f aca="false">F267/R$3</f>
        <v>0</v>
      </c>
      <c r="S267" s="126" t="n">
        <f aca="false">J267/$R$3</f>
        <v>0</v>
      </c>
      <c r="T267" s="126" t="n">
        <f aca="false">L267/$R$3</f>
        <v>0</v>
      </c>
      <c r="U267" s="126" t="n">
        <f aca="false">I267/$R$3</f>
        <v>0</v>
      </c>
      <c r="V267" s="126" t="n">
        <f aca="false">M267/$R$3</f>
        <v>0</v>
      </c>
      <c r="W267" s="126" t="n">
        <f aca="false">N267/$R$3</f>
        <v>-221.916</v>
      </c>
    </row>
    <row r="268" customFormat="false" ht="12.75" hidden="false" customHeight="false" outlineLevel="0" collapsed="false">
      <c r="A268" s="120" t="n">
        <f aca="false">A267+1</f>
        <v>37154</v>
      </c>
      <c r="B268" s="131" t="str">
        <f aca="false">INDEX('[4]Master Data'!$A$2:$B$8,MATCH(WEEKDAY('TBS Gas MTM'!A268,3),'[4]Master Data'!$A$2:$A$8,0),2)</f>
        <v>Th</v>
      </c>
      <c r="D268" s="124" t="n">
        <v>0</v>
      </c>
      <c r="E268" s="124" t="n">
        <v>0</v>
      </c>
      <c r="F268" s="124" t="n">
        <v>0</v>
      </c>
      <c r="G268" s="124" t="n">
        <v>0</v>
      </c>
      <c r="I268" s="124" t="n">
        <f aca="false">IF(MONTH($A268)=MONTH($A267),IF(G268=0,I267,G268),G268)</f>
        <v>0</v>
      </c>
      <c r="J268" s="124" t="n">
        <f aca="false">IF(MONTH($A268)=MONTH($A267),SUM(I268-I267),I268)</f>
        <v>0</v>
      </c>
      <c r="K268" s="124" t="n">
        <f aca="false">IF(WEEKDAY(A268,3)&gt;4,0,(IF(A268&lt;K$2,0,IF(A268&lt;=K$3,1,0))))</f>
        <v>0</v>
      </c>
      <c r="L268" s="124" t="n">
        <f aca="false">J268*K268</f>
        <v>0</v>
      </c>
      <c r="M268" s="124" t="n">
        <f aca="false">SUM(J$188:J268)</f>
        <v>0</v>
      </c>
      <c r="N268" s="124" t="n">
        <f aca="false">SUM(J$6:J268)</f>
        <v>-221916</v>
      </c>
      <c r="P268" s="124" t="n">
        <f aca="false">D268/P$3</f>
        <v>0</v>
      </c>
      <c r="Q268" s="124" t="n">
        <f aca="false">E268/P$3</f>
        <v>0</v>
      </c>
      <c r="R268" s="124" t="n">
        <f aca="false">F268/R$3</f>
        <v>0</v>
      </c>
      <c r="S268" s="126" t="n">
        <f aca="false">J268/$R$3</f>
        <v>0</v>
      </c>
      <c r="T268" s="126" t="n">
        <f aca="false">L268/$R$3</f>
        <v>0</v>
      </c>
      <c r="U268" s="126" t="n">
        <f aca="false">I268/$R$3</f>
        <v>0</v>
      </c>
      <c r="V268" s="126" t="n">
        <f aca="false">M268/$R$3</f>
        <v>0</v>
      </c>
      <c r="W268" s="126" t="n">
        <f aca="false">N268/$R$3</f>
        <v>-221.916</v>
      </c>
    </row>
    <row r="269" customFormat="false" ht="12.75" hidden="false" customHeight="false" outlineLevel="0" collapsed="false">
      <c r="A269" s="120" t="n">
        <f aca="false">A268+1</f>
        <v>37155</v>
      </c>
      <c r="B269" s="131" t="str">
        <f aca="false">INDEX('[4]Master Data'!$A$2:$B$8,MATCH(WEEKDAY('TBS Gas MTM'!A269,3),'[4]Master Data'!$A$2:$A$8,0),2)</f>
        <v>F</v>
      </c>
      <c r="D269" s="124" t="n">
        <v>0</v>
      </c>
      <c r="E269" s="124" t="n">
        <v>0</v>
      </c>
      <c r="F269" s="124" t="n">
        <v>0</v>
      </c>
      <c r="G269" s="124" t="n">
        <v>0</v>
      </c>
      <c r="I269" s="124" t="n">
        <f aca="false">IF(MONTH($A269)=MONTH($A268),IF(G269=0,I268,G269),G269)</f>
        <v>0</v>
      </c>
      <c r="J269" s="124" t="n">
        <f aca="false">IF(MONTH($A269)=MONTH($A268),SUM(I269-I268),I269)</f>
        <v>0</v>
      </c>
      <c r="K269" s="124" t="n">
        <f aca="false">IF(WEEKDAY(A269,3)&gt;4,0,(IF(A269&lt;K$2,0,IF(A269&lt;=K$3,1,0))))</f>
        <v>0</v>
      </c>
      <c r="L269" s="124" t="n">
        <f aca="false">J269*K269</f>
        <v>0</v>
      </c>
      <c r="M269" s="124" t="n">
        <f aca="false">SUM(J$188:J269)</f>
        <v>0</v>
      </c>
      <c r="N269" s="124" t="n">
        <f aca="false">SUM(J$6:J269)</f>
        <v>-221916</v>
      </c>
      <c r="P269" s="124" t="n">
        <f aca="false">D269/P$3</f>
        <v>0</v>
      </c>
      <c r="Q269" s="124" t="n">
        <f aca="false">E269/P$3</f>
        <v>0</v>
      </c>
      <c r="R269" s="124" t="n">
        <f aca="false">F269/R$3</f>
        <v>0</v>
      </c>
      <c r="S269" s="126" t="n">
        <f aca="false">J269/$R$3</f>
        <v>0</v>
      </c>
      <c r="T269" s="126" t="n">
        <f aca="false">L269/$R$3</f>
        <v>0</v>
      </c>
      <c r="U269" s="126" t="n">
        <f aca="false">I269/$R$3</f>
        <v>0</v>
      </c>
      <c r="V269" s="126" t="n">
        <f aca="false">M269/$R$3</f>
        <v>0</v>
      </c>
      <c r="W269" s="126" t="n">
        <f aca="false">N269/$R$3</f>
        <v>-221.916</v>
      </c>
    </row>
    <row r="270" customFormat="false" ht="12.75" hidden="false" customHeight="false" outlineLevel="0" collapsed="false">
      <c r="A270" s="120" t="n">
        <f aca="false">A269+1</f>
        <v>37156</v>
      </c>
      <c r="B270" s="131" t="str">
        <f aca="false">INDEX('[4]Master Data'!$A$2:$B$8,MATCH(WEEKDAY('TBS Gas MTM'!A270,3),'[4]Master Data'!$A$2:$A$8,0),2)</f>
        <v>Sa</v>
      </c>
      <c r="D270" s="124" t="n">
        <v>0</v>
      </c>
      <c r="E270" s="124" t="n">
        <v>0</v>
      </c>
      <c r="F270" s="124" t="n">
        <v>0</v>
      </c>
      <c r="G270" s="124" t="n">
        <v>0</v>
      </c>
      <c r="I270" s="124" t="n">
        <f aca="false">IF(MONTH($A270)=MONTH($A269),IF(G270=0,I269,G270),G270)</f>
        <v>0</v>
      </c>
      <c r="J270" s="124" t="n">
        <f aca="false">IF(MONTH($A270)=MONTH($A269),SUM(I270-I269),I270)</f>
        <v>0</v>
      </c>
      <c r="K270" s="124" t="n">
        <f aca="false">IF(WEEKDAY(A270,3)&gt;4,0,(IF(A270&lt;K$2,0,IF(A270&lt;=K$3,1,0))))</f>
        <v>0</v>
      </c>
      <c r="L270" s="124" t="n">
        <f aca="false">J270*K270</f>
        <v>0</v>
      </c>
      <c r="M270" s="124" t="n">
        <f aca="false">SUM(J$188:J270)</f>
        <v>0</v>
      </c>
      <c r="N270" s="124" t="n">
        <f aca="false">SUM(J$6:J270)</f>
        <v>-221916</v>
      </c>
      <c r="P270" s="124" t="n">
        <f aca="false">D270/P$3</f>
        <v>0</v>
      </c>
      <c r="Q270" s="124" t="n">
        <f aca="false">E270/P$3</f>
        <v>0</v>
      </c>
      <c r="R270" s="124" t="n">
        <f aca="false">F270/R$3</f>
        <v>0</v>
      </c>
      <c r="S270" s="126" t="n">
        <f aca="false">J270/$R$3</f>
        <v>0</v>
      </c>
      <c r="T270" s="126" t="n">
        <f aca="false">L270/$R$3</f>
        <v>0</v>
      </c>
      <c r="U270" s="126" t="n">
        <f aca="false">I270/$R$3</f>
        <v>0</v>
      </c>
      <c r="V270" s="126" t="n">
        <f aca="false">M270/$R$3</f>
        <v>0</v>
      </c>
      <c r="W270" s="126" t="n">
        <f aca="false">N270/$R$3</f>
        <v>-221.916</v>
      </c>
    </row>
    <row r="271" customFormat="false" ht="12.75" hidden="false" customHeight="false" outlineLevel="0" collapsed="false">
      <c r="A271" s="120" t="n">
        <f aca="false">A270+1</f>
        <v>37157</v>
      </c>
      <c r="B271" s="131" t="str">
        <f aca="false">INDEX('[4]Master Data'!$A$2:$B$8,MATCH(WEEKDAY('TBS Gas MTM'!A271,3),'[4]Master Data'!$A$2:$A$8,0),2)</f>
        <v>Su</v>
      </c>
      <c r="D271" s="124" t="n">
        <v>0</v>
      </c>
      <c r="E271" s="124" t="n">
        <v>0</v>
      </c>
      <c r="F271" s="124" t="n">
        <v>0</v>
      </c>
      <c r="G271" s="124" t="n">
        <v>0</v>
      </c>
      <c r="I271" s="124" t="n">
        <f aca="false">IF(MONTH($A271)=MONTH($A270),IF(G271=0,I270,G271),G271)</f>
        <v>0</v>
      </c>
      <c r="J271" s="124" t="n">
        <f aca="false">IF(MONTH($A271)=MONTH($A270),SUM(I271-I270),I271)</f>
        <v>0</v>
      </c>
      <c r="K271" s="124" t="n">
        <f aca="false">IF(WEEKDAY(A271,3)&gt;4,0,(IF(A271&lt;K$2,0,IF(A271&lt;=K$3,1,0))))</f>
        <v>0</v>
      </c>
      <c r="L271" s="124" t="n">
        <f aca="false">J271*K271</f>
        <v>0</v>
      </c>
      <c r="M271" s="124" t="n">
        <f aca="false">SUM(J$188:J271)</f>
        <v>0</v>
      </c>
      <c r="N271" s="124" t="n">
        <f aca="false">SUM(J$6:J271)</f>
        <v>-221916</v>
      </c>
      <c r="P271" s="124" t="n">
        <f aca="false">D271/P$3</f>
        <v>0</v>
      </c>
      <c r="Q271" s="124" t="n">
        <f aca="false">E271/P$3</f>
        <v>0</v>
      </c>
      <c r="R271" s="124" t="n">
        <f aca="false">F271/R$3</f>
        <v>0</v>
      </c>
      <c r="S271" s="126" t="n">
        <f aca="false">J271/$R$3</f>
        <v>0</v>
      </c>
      <c r="T271" s="126" t="n">
        <f aca="false">L271/$R$3</f>
        <v>0</v>
      </c>
      <c r="U271" s="126" t="n">
        <f aca="false">I271/$R$3</f>
        <v>0</v>
      </c>
      <c r="V271" s="126" t="n">
        <f aca="false">M271/$R$3</f>
        <v>0</v>
      </c>
      <c r="W271" s="126" t="n">
        <f aca="false">N271/$R$3</f>
        <v>-221.916</v>
      </c>
    </row>
    <row r="272" customFormat="false" ht="12.75" hidden="false" customHeight="false" outlineLevel="0" collapsed="false">
      <c r="A272" s="120" t="n">
        <f aca="false">A271+1</f>
        <v>37158</v>
      </c>
      <c r="B272" s="131" t="str">
        <f aca="false">INDEX('[4]Master Data'!$A$2:$B$8,MATCH(WEEKDAY('TBS Gas MTM'!A272,3),'[4]Master Data'!$A$2:$A$8,0),2)</f>
        <v>M</v>
      </c>
      <c r="D272" s="124" t="n">
        <v>0</v>
      </c>
      <c r="E272" s="124" t="n">
        <v>0</v>
      </c>
      <c r="F272" s="124" t="n">
        <v>0</v>
      </c>
      <c r="G272" s="124" t="n">
        <v>0</v>
      </c>
      <c r="I272" s="124" t="n">
        <f aca="false">IF(MONTH($A272)=MONTH($A271),IF(G272=0,I271,G272),G272)</f>
        <v>0</v>
      </c>
      <c r="J272" s="124" t="n">
        <f aca="false">IF(MONTH($A272)=MONTH($A271),SUM(I272-I271),I272)</f>
        <v>0</v>
      </c>
      <c r="K272" s="124" t="n">
        <f aca="false">IF(WEEKDAY(A272,3)&gt;4,0,(IF(A272&lt;K$2,0,IF(A272&lt;=K$3,1,0))))</f>
        <v>0</v>
      </c>
      <c r="L272" s="124" t="n">
        <f aca="false">J272*K272</f>
        <v>0</v>
      </c>
      <c r="M272" s="124" t="n">
        <f aca="false">SUM(J$188:J272)</f>
        <v>0</v>
      </c>
      <c r="N272" s="124" t="n">
        <f aca="false">SUM(J$6:J272)</f>
        <v>-221916</v>
      </c>
      <c r="P272" s="124" t="n">
        <f aca="false">D272/P$3</f>
        <v>0</v>
      </c>
      <c r="Q272" s="124" t="n">
        <f aca="false">E272/P$3</f>
        <v>0</v>
      </c>
      <c r="R272" s="124" t="n">
        <f aca="false">F272/R$3</f>
        <v>0</v>
      </c>
      <c r="S272" s="126" t="n">
        <f aca="false">J272/$R$3</f>
        <v>0</v>
      </c>
      <c r="T272" s="126" t="n">
        <f aca="false">L272/$R$3</f>
        <v>0</v>
      </c>
      <c r="U272" s="126" t="n">
        <f aca="false">I272/$R$3</f>
        <v>0</v>
      </c>
      <c r="V272" s="126" t="n">
        <f aca="false">M272/$R$3</f>
        <v>0</v>
      </c>
      <c r="W272" s="126" t="n">
        <f aca="false">N272/$R$3</f>
        <v>-221.916</v>
      </c>
    </row>
    <row r="273" customFormat="false" ht="12.75" hidden="false" customHeight="false" outlineLevel="0" collapsed="false">
      <c r="A273" s="120" t="n">
        <f aca="false">A272+1</f>
        <v>37159</v>
      </c>
      <c r="B273" s="131" t="str">
        <f aca="false">INDEX('[4]Master Data'!$A$2:$B$8,MATCH(WEEKDAY('TBS Gas MTM'!A273,3),'[4]Master Data'!$A$2:$A$8,0),2)</f>
        <v>T</v>
      </c>
      <c r="D273" s="124" t="n">
        <v>0</v>
      </c>
      <c r="E273" s="124" t="n">
        <v>0</v>
      </c>
      <c r="F273" s="124" t="n">
        <v>0</v>
      </c>
      <c r="G273" s="124" t="n">
        <v>0</v>
      </c>
      <c r="I273" s="124" t="n">
        <f aca="false">IF(MONTH($A273)=MONTH($A272),IF(G273=0,I272,G273),G273)</f>
        <v>0</v>
      </c>
      <c r="J273" s="124" t="n">
        <f aca="false">IF(MONTH($A273)=MONTH($A272),SUM(I273-I272),I273)</f>
        <v>0</v>
      </c>
      <c r="K273" s="124" t="n">
        <f aca="false">IF(WEEKDAY(A273,3)&gt;4,0,(IF(A273&lt;K$2,0,IF(A273&lt;=K$3,1,0))))</f>
        <v>0</v>
      </c>
      <c r="L273" s="124" t="n">
        <f aca="false">J273*K273</f>
        <v>0</v>
      </c>
      <c r="M273" s="124" t="n">
        <f aca="false">SUM(J$188:J273)</f>
        <v>0</v>
      </c>
      <c r="N273" s="124" t="n">
        <f aca="false">SUM(J$6:J273)</f>
        <v>-221916</v>
      </c>
      <c r="P273" s="124" t="n">
        <f aca="false">D273/P$3</f>
        <v>0</v>
      </c>
      <c r="Q273" s="124" t="n">
        <f aca="false">E273/P$3</f>
        <v>0</v>
      </c>
      <c r="R273" s="124" t="n">
        <f aca="false">F273/R$3</f>
        <v>0</v>
      </c>
      <c r="S273" s="126" t="n">
        <f aca="false">J273/$R$3</f>
        <v>0</v>
      </c>
      <c r="T273" s="126" t="n">
        <f aca="false">L273/$R$3</f>
        <v>0</v>
      </c>
      <c r="U273" s="126" t="n">
        <f aca="false">I273/$R$3</f>
        <v>0</v>
      </c>
      <c r="V273" s="126" t="n">
        <f aca="false">M273/$R$3</f>
        <v>0</v>
      </c>
      <c r="W273" s="126" t="n">
        <f aca="false">N273/$R$3</f>
        <v>-221.916</v>
      </c>
    </row>
    <row r="274" customFormat="false" ht="12.75" hidden="false" customHeight="false" outlineLevel="0" collapsed="false">
      <c r="A274" s="120" t="n">
        <f aca="false">A273+1</f>
        <v>37160</v>
      </c>
      <c r="B274" s="131" t="str">
        <f aca="false">INDEX('[4]Master Data'!$A$2:$B$8,MATCH(WEEKDAY('TBS Gas MTM'!A274,3),'[4]Master Data'!$A$2:$A$8,0),2)</f>
        <v>W</v>
      </c>
      <c r="D274" s="124" t="n">
        <v>0</v>
      </c>
      <c r="E274" s="124" t="n">
        <v>0</v>
      </c>
      <c r="F274" s="124" t="n">
        <v>0</v>
      </c>
      <c r="G274" s="124" t="n">
        <v>0</v>
      </c>
      <c r="I274" s="124" t="n">
        <f aca="false">IF(MONTH($A274)=MONTH($A273),IF(G274=0,I273,G274),G274)</f>
        <v>0</v>
      </c>
      <c r="J274" s="124" t="n">
        <f aca="false">IF(MONTH($A274)=MONTH($A273),SUM(I274-I273),I274)</f>
        <v>0</v>
      </c>
      <c r="K274" s="124" t="n">
        <f aca="false">IF(WEEKDAY(A274,3)&gt;4,0,(IF(A274&lt;K$2,0,IF(A274&lt;=K$3,1,0))))</f>
        <v>0</v>
      </c>
      <c r="L274" s="124" t="n">
        <f aca="false">J274*K274</f>
        <v>0</v>
      </c>
      <c r="M274" s="124" t="n">
        <f aca="false">SUM(J$188:J274)</f>
        <v>0</v>
      </c>
      <c r="N274" s="124" t="n">
        <f aca="false">SUM(J$6:J274)</f>
        <v>-221916</v>
      </c>
      <c r="P274" s="124" t="n">
        <f aca="false">D274/P$3</f>
        <v>0</v>
      </c>
      <c r="Q274" s="124" t="n">
        <f aca="false">E274/P$3</f>
        <v>0</v>
      </c>
      <c r="R274" s="124" t="n">
        <f aca="false">F274/R$3</f>
        <v>0</v>
      </c>
      <c r="S274" s="126" t="n">
        <f aca="false">J274/$R$3</f>
        <v>0</v>
      </c>
      <c r="T274" s="126" t="n">
        <f aca="false">L274/$R$3</f>
        <v>0</v>
      </c>
      <c r="U274" s="126" t="n">
        <f aca="false">I274/$R$3</f>
        <v>0</v>
      </c>
      <c r="V274" s="126" t="n">
        <f aca="false">M274/$R$3</f>
        <v>0</v>
      </c>
      <c r="W274" s="126" t="n">
        <f aca="false">N274/$R$3</f>
        <v>-221.916</v>
      </c>
    </row>
    <row r="275" customFormat="false" ht="12.75" hidden="false" customHeight="false" outlineLevel="0" collapsed="false">
      <c r="A275" s="120" t="n">
        <f aca="false">A274+1</f>
        <v>37161</v>
      </c>
      <c r="B275" s="131" t="str">
        <f aca="false">INDEX('[4]Master Data'!$A$2:$B$8,MATCH(WEEKDAY('TBS Gas MTM'!A275,3),'[4]Master Data'!$A$2:$A$8,0),2)</f>
        <v>Th</v>
      </c>
      <c r="D275" s="124" t="n">
        <v>0</v>
      </c>
      <c r="E275" s="124" t="n">
        <v>0</v>
      </c>
      <c r="F275" s="124" t="n">
        <v>0</v>
      </c>
      <c r="G275" s="124" t="n">
        <v>0</v>
      </c>
      <c r="I275" s="124" t="n">
        <f aca="false">IF(MONTH($A275)=MONTH($A274),IF(G275=0,I274,G275),G275)</f>
        <v>0</v>
      </c>
      <c r="J275" s="124" t="n">
        <f aca="false">IF(MONTH($A275)=MONTH($A274),SUM(I275-I274),I275)</f>
        <v>0</v>
      </c>
      <c r="K275" s="124" t="n">
        <f aca="false">IF(WEEKDAY(A275,3)&gt;4,0,(IF(A275&lt;K$2,0,IF(A275&lt;=K$3,1,0))))</f>
        <v>0</v>
      </c>
      <c r="L275" s="124" t="n">
        <f aca="false">J275*K275</f>
        <v>0</v>
      </c>
      <c r="M275" s="124" t="n">
        <f aca="false">SUM(J$188:J275)</f>
        <v>0</v>
      </c>
      <c r="N275" s="124" t="n">
        <f aca="false">SUM(J$6:J275)</f>
        <v>-221916</v>
      </c>
      <c r="P275" s="124" t="n">
        <f aca="false">D275/P$3</f>
        <v>0</v>
      </c>
      <c r="Q275" s="124" t="n">
        <f aca="false">E275/P$3</f>
        <v>0</v>
      </c>
      <c r="R275" s="124" t="n">
        <f aca="false">F275/R$3</f>
        <v>0</v>
      </c>
      <c r="S275" s="126" t="n">
        <f aca="false">J275/$R$3</f>
        <v>0</v>
      </c>
      <c r="T275" s="126" t="n">
        <f aca="false">L275/$R$3</f>
        <v>0</v>
      </c>
      <c r="U275" s="126" t="n">
        <f aca="false">I275/$R$3</f>
        <v>0</v>
      </c>
      <c r="V275" s="126" t="n">
        <f aca="false">M275/$R$3</f>
        <v>0</v>
      </c>
      <c r="W275" s="126" t="n">
        <f aca="false">N275/$R$3</f>
        <v>-221.916</v>
      </c>
    </row>
    <row r="276" customFormat="false" ht="12.75" hidden="false" customHeight="false" outlineLevel="0" collapsed="false">
      <c r="A276" s="120" t="n">
        <f aca="false">A275+1</f>
        <v>37162</v>
      </c>
      <c r="B276" s="131" t="str">
        <f aca="false">INDEX('[4]Master Data'!$A$2:$B$8,MATCH(WEEKDAY('TBS Gas MTM'!A276,3),'[4]Master Data'!$A$2:$A$8,0),2)</f>
        <v>F</v>
      </c>
      <c r="D276" s="124" t="n">
        <v>0</v>
      </c>
      <c r="E276" s="124" t="n">
        <v>0</v>
      </c>
      <c r="F276" s="124" t="n">
        <v>0</v>
      </c>
      <c r="G276" s="124" t="n">
        <v>0</v>
      </c>
      <c r="I276" s="124" t="n">
        <f aca="false">IF(MONTH($A276)=MONTH($A275),IF(G276=0,I275,G276),G276)</f>
        <v>0</v>
      </c>
      <c r="J276" s="124" t="n">
        <f aca="false">IF(MONTH($A276)=MONTH($A275),SUM(I276-I275),I276)</f>
        <v>0</v>
      </c>
      <c r="K276" s="124" t="n">
        <f aca="false">IF(WEEKDAY(A276,3)&gt;4,0,(IF(A276&lt;K$2,0,IF(A276&lt;=K$3,1,0))))</f>
        <v>0</v>
      </c>
      <c r="L276" s="124" t="n">
        <f aca="false">J276*K276</f>
        <v>0</v>
      </c>
      <c r="M276" s="124" t="n">
        <f aca="false">SUM(J$188:J276)</f>
        <v>0</v>
      </c>
      <c r="N276" s="124" t="n">
        <f aca="false">SUM(J$6:J276)</f>
        <v>-221916</v>
      </c>
      <c r="P276" s="124" t="n">
        <f aca="false">D276/P$3</f>
        <v>0</v>
      </c>
      <c r="Q276" s="124" t="n">
        <f aca="false">E276/P$3</f>
        <v>0</v>
      </c>
      <c r="R276" s="124" t="n">
        <f aca="false">F276/R$3</f>
        <v>0</v>
      </c>
      <c r="S276" s="126" t="n">
        <f aca="false">J276/$R$3</f>
        <v>0</v>
      </c>
      <c r="T276" s="126" t="n">
        <f aca="false">L276/$R$3</f>
        <v>0</v>
      </c>
      <c r="U276" s="126" t="n">
        <f aca="false">I276/$R$3</f>
        <v>0</v>
      </c>
      <c r="V276" s="126" t="n">
        <f aca="false">M276/$R$3</f>
        <v>0</v>
      </c>
      <c r="W276" s="126" t="n">
        <f aca="false">N276/$R$3</f>
        <v>-221.916</v>
      </c>
    </row>
    <row r="277" customFormat="false" ht="12.75" hidden="false" customHeight="false" outlineLevel="0" collapsed="false">
      <c r="A277" s="120" t="n">
        <f aca="false">A276+1</f>
        <v>37163</v>
      </c>
      <c r="B277" s="131" t="str">
        <f aca="false">INDEX('[4]Master Data'!$A$2:$B$8,MATCH(WEEKDAY('TBS Gas MTM'!A277,3),'[4]Master Data'!$A$2:$A$8,0),2)</f>
        <v>Sa</v>
      </c>
      <c r="D277" s="124" t="n">
        <v>0</v>
      </c>
      <c r="E277" s="124" t="n">
        <v>0</v>
      </c>
      <c r="F277" s="124" t="n">
        <v>0</v>
      </c>
      <c r="G277" s="124" t="n">
        <v>0</v>
      </c>
      <c r="I277" s="124" t="n">
        <f aca="false">IF(MONTH($A277)=MONTH($A276),IF(G277=0,I276,G277),G277)</f>
        <v>0</v>
      </c>
      <c r="J277" s="124" t="n">
        <f aca="false">IF(MONTH($A277)=MONTH($A276),SUM(I277-I276),I277)</f>
        <v>0</v>
      </c>
      <c r="K277" s="124" t="n">
        <f aca="false">IF(WEEKDAY(A277,3)&gt;4,0,(IF(A277&lt;K$2,0,IF(A277&lt;=K$3,1,0))))</f>
        <v>0</v>
      </c>
      <c r="L277" s="124" t="n">
        <f aca="false">J277*K277</f>
        <v>0</v>
      </c>
      <c r="M277" s="124" t="n">
        <f aca="false">SUM(J$188:J277)</f>
        <v>0</v>
      </c>
      <c r="N277" s="124" t="n">
        <f aca="false">SUM(J$6:J277)</f>
        <v>-221916</v>
      </c>
      <c r="P277" s="124" t="n">
        <f aca="false">D277/P$3</f>
        <v>0</v>
      </c>
      <c r="Q277" s="124" t="n">
        <f aca="false">E277/P$3</f>
        <v>0</v>
      </c>
      <c r="R277" s="124" t="n">
        <f aca="false">F277/R$3</f>
        <v>0</v>
      </c>
      <c r="S277" s="126" t="n">
        <f aca="false">J277/$R$3</f>
        <v>0</v>
      </c>
      <c r="T277" s="126" t="n">
        <f aca="false">L277/$R$3</f>
        <v>0</v>
      </c>
      <c r="U277" s="126" t="n">
        <f aca="false">I277/$R$3</f>
        <v>0</v>
      </c>
      <c r="V277" s="126" t="n">
        <f aca="false">M277/$R$3</f>
        <v>0</v>
      </c>
      <c r="W277" s="126" t="n">
        <f aca="false">N277/$R$3</f>
        <v>-221.916</v>
      </c>
    </row>
    <row r="278" customFormat="false" ht="12.75" hidden="false" customHeight="false" outlineLevel="0" collapsed="false">
      <c r="A278" s="120" t="n">
        <f aca="false">A277+1</f>
        <v>37164</v>
      </c>
      <c r="B278" s="131" t="str">
        <f aca="false">INDEX('[4]Master Data'!$A$2:$B$8,MATCH(WEEKDAY('TBS Gas MTM'!A278,3),'[4]Master Data'!$A$2:$A$8,0),2)</f>
        <v>Su</v>
      </c>
      <c r="D278" s="124" t="n">
        <v>0</v>
      </c>
      <c r="E278" s="124" t="n">
        <v>0</v>
      </c>
      <c r="F278" s="124" t="n">
        <v>0</v>
      </c>
      <c r="G278" s="124" t="n">
        <v>0</v>
      </c>
      <c r="I278" s="124" t="n">
        <f aca="false">IF(MONTH($A278)=MONTH($A277),IF(G278=0,I277,G278),G278)</f>
        <v>0</v>
      </c>
      <c r="J278" s="124" t="n">
        <f aca="false">IF(MONTH($A278)=MONTH($A277),SUM(I278-I277),I278)</f>
        <v>0</v>
      </c>
      <c r="K278" s="124" t="n">
        <f aca="false">IF(WEEKDAY(A278,3)&gt;4,0,(IF(A278&lt;K$2,0,IF(A278&lt;=K$3,1,0))))</f>
        <v>0</v>
      </c>
      <c r="L278" s="124" t="n">
        <f aca="false">J278*K278</f>
        <v>0</v>
      </c>
      <c r="M278" s="124" t="n">
        <f aca="false">SUM(J$188:J278)</f>
        <v>0</v>
      </c>
      <c r="N278" s="124" t="n">
        <f aca="false">SUM(J$6:J278)</f>
        <v>-221916</v>
      </c>
      <c r="P278" s="124" t="n">
        <f aca="false">D278/P$3</f>
        <v>0</v>
      </c>
      <c r="Q278" s="124" t="n">
        <f aca="false">E278/P$3</f>
        <v>0</v>
      </c>
      <c r="R278" s="124" t="n">
        <f aca="false">F278/R$3</f>
        <v>0</v>
      </c>
      <c r="S278" s="126" t="n">
        <f aca="false">J278/$R$3</f>
        <v>0</v>
      </c>
      <c r="T278" s="126" t="n">
        <f aca="false">L278/$R$3</f>
        <v>0</v>
      </c>
      <c r="U278" s="126" t="n">
        <f aca="false">I278/$R$3</f>
        <v>0</v>
      </c>
      <c r="V278" s="126" t="n">
        <f aca="false">M278/$R$3</f>
        <v>0</v>
      </c>
      <c r="W278" s="126" t="n">
        <f aca="false">N278/$R$3</f>
        <v>-221.916</v>
      </c>
    </row>
    <row r="279" customFormat="false" ht="12.75" hidden="false" customHeight="false" outlineLevel="0" collapsed="false">
      <c r="A279" s="120" t="n">
        <f aca="false">A278+1</f>
        <v>37165</v>
      </c>
      <c r="B279" s="131" t="str">
        <f aca="false">INDEX('[4]Master Data'!$A$2:$B$8,MATCH(WEEKDAY('TBS Gas MTM'!A279,3),'[4]Master Data'!$A$2:$A$8,0),2)</f>
        <v>M</v>
      </c>
      <c r="D279" s="124" t="n">
        <v>0</v>
      </c>
      <c r="E279" s="124" t="n">
        <v>0</v>
      </c>
      <c r="F279" s="124" t="n">
        <v>0</v>
      </c>
      <c r="G279" s="124" t="n">
        <v>0</v>
      </c>
      <c r="I279" s="124" t="n">
        <f aca="false">IF(MONTH($A279)=MONTH($A278),IF(G279=0,I278,G279),G279)</f>
        <v>0</v>
      </c>
      <c r="J279" s="124" t="n">
        <f aca="false">IF(MONTH($A279)=MONTH($A278),SUM(I279-I278),I279)</f>
        <v>0</v>
      </c>
      <c r="K279" s="124" t="n">
        <f aca="false">IF(WEEKDAY(A279,3)&gt;4,0,(IF(A279&lt;K$2,0,IF(A279&lt;=K$3,1,0))))</f>
        <v>0</v>
      </c>
      <c r="L279" s="124" t="n">
        <f aca="false">J279*K279</f>
        <v>0</v>
      </c>
      <c r="M279" s="124" t="n">
        <f aca="false">SUM(J$188:J279)</f>
        <v>0</v>
      </c>
      <c r="N279" s="124" t="n">
        <f aca="false">SUM(J$6:J279)</f>
        <v>-221916</v>
      </c>
      <c r="P279" s="124" t="n">
        <f aca="false">D279/P$3</f>
        <v>0</v>
      </c>
      <c r="Q279" s="124" t="n">
        <f aca="false">E279/P$3</f>
        <v>0</v>
      </c>
      <c r="R279" s="124" t="n">
        <f aca="false">F279/R$3</f>
        <v>0</v>
      </c>
      <c r="S279" s="126" t="n">
        <f aca="false">J279/$R$3</f>
        <v>0</v>
      </c>
      <c r="T279" s="126" t="n">
        <f aca="false">L279/$R$3</f>
        <v>0</v>
      </c>
      <c r="U279" s="126" t="n">
        <f aca="false">I279/$R$3</f>
        <v>0</v>
      </c>
      <c r="V279" s="126" t="n">
        <f aca="false">M279/$R$3</f>
        <v>0</v>
      </c>
      <c r="W279" s="126" t="n">
        <f aca="false">N279/$R$3</f>
        <v>-221.916</v>
      </c>
    </row>
    <row r="280" customFormat="false" ht="12.75" hidden="false" customHeight="false" outlineLevel="0" collapsed="false">
      <c r="A280" s="120" t="n">
        <f aca="false">A279+1</f>
        <v>37166</v>
      </c>
      <c r="B280" s="131" t="str">
        <f aca="false">INDEX('[4]Master Data'!$A$2:$B$8,MATCH(WEEKDAY('TBS Gas MTM'!A280,3),'[4]Master Data'!$A$2:$A$8,0),2)</f>
        <v>T</v>
      </c>
      <c r="D280" s="124" t="n">
        <v>0</v>
      </c>
      <c r="E280" s="124" t="n">
        <v>0</v>
      </c>
      <c r="F280" s="124" t="n">
        <v>0</v>
      </c>
      <c r="G280" s="124" t="n">
        <v>0</v>
      </c>
      <c r="I280" s="124" t="n">
        <f aca="false">IF(MONTH($A280)=MONTH($A279),IF(G280=0,I279,G280),G280)</f>
        <v>0</v>
      </c>
      <c r="J280" s="124" t="n">
        <f aca="false">IF(MONTH($A280)=MONTH($A279),SUM(I280-I279),I280)</f>
        <v>0</v>
      </c>
      <c r="K280" s="124" t="n">
        <f aca="false">IF(WEEKDAY(A280,3)&gt;4,0,(IF(A280&lt;K$2,0,IF(A280&lt;=K$3,1,0))))</f>
        <v>0</v>
      </c>
      <c r="L280" s="124" t="n">
        <f aca="false">J280*K280</f>
        <v>0</v>
      </c>
      <c r="M280" s="124" t="n">
        <f aca="false">SUM(J$280:J280)</f>
        <v>0</v>
      </c>
      <c r="N280" s="124" t="n">
        <f aca="false">SUM(J$6:J280)</f>
        <v>-221916</v>
      </c>
      <c r="P280" s="124" t="n">
        <f aca="false">D280/P$3</f>
        <v>0</v>
      </c>
      <c r="Q280" s="124" t="n">
        <f aca="false">E280/P$3</f>
        <v>0</v>
      </c>
      <c r="R280" s="124" t="n">
        <f aca="false">F280/R$3</f>
        <v>0</v>
      </c>
      <c r="S280" s="126" t="n">
        <f aca="false">J280/$R$3</f>
        <v>0</v>
      </c>
      <c r="T280" s="126" t="n">
        <f aca="false">L280/$R$3</f>
        <v>0</v>
      </c>
      <c r="U280" s="126" t="n">
        <f aca="false">I280/$R$3</f>
        <v>0</v>
      </c>
      <c r="V280" s="126" t="n">
        <f aca="false">M280/$R$3</f>
        <v>0</v>
      </c>
      <c r="W280" s="126" t="n">
        <f aca="false">N280/$R$3</f>
        <v>-221.916</v>
      </c>
    </row>
    <row r="281" customFormat="false" ht="12.75" hidden="false" customHeight="false" outlineLevel="0" collapsed="false">
      <c r="A281" s="120" t="n">
        <f aca="false">A280+1</f>
        <v>37167</v>
      </c>
      <c r="B281" s="131" t="str">
        <f aca="false">INDEX('[4]Master Data'!$A$2:$B$8,MATCH(WEEKDAY('TBS Gas MTM'!A281,3),'[4]Master Data'!$A$2:$A$8,0),2)</f>
        <v>W</v>
      </c>
      <c r="D281" s="124" t="n">
        <v>0</v>
      </c>
      <c r="E281" s="124" t="n">
        <v>0</v>
      </c>
      <c r="F281" s="124" t="n">
        <v>0</v>
      </c>
      <c r="G281" s="124" t="n">
        <v>0</v>
      </c>
      <c r="I281" s="124" t="n">
        <f aca="false">IF(MONTH($A281)=MONTH($A280),IF(G281=0,I280,G281),G281)</f>
        <v>0</v>
      </c>
      <c r="J281" s="124" t="n">
        <f aca="false">IF(MONTH($A281)=MONTH($A280),SUM(I281-I280),I281)</f>
        <v>0</v>
      </c>
      <c r="K281" s="124" t="n">
        <f aca="false">IF(WEEKDAY(A281,3)&gt;4,0,(IF(A281&lt;K$2,0,IF(A281&lt;=K$3,1,0))))</f>
        <v>0</v>
      </c>
      <c r="L281" s="124" t="n">
        <f aca="false">J281*K281</f>
        <v>0</v>
      </c>
      <c r="M281" s="124" t="n">
        <f aca="false">SUM(J$280:J281)</f>
        <v>0</v>
      </c>
      <c r="N281" s="124" t="n">
        <f aca="false">SUM(J$6:J281)</f>
        <v>-221916</v>
      </c>
      <c r="P281" s="124" t="n">
        <f aca="false">D281/P$3</f>
        <v>0</v>
      </c>
      <c r="Q281" s="124" t="n">
        <f aca="false">E281/P$3</f>
        <v>0</v>
      </c>
      <c r="R281" s="124" t="n">
        <f aca="false">F281/R$3</f>
        <v>0</v>
      </c>
      <c r="S281" s="126" t="n">
        <f aca="false">J281/$R$3</f>
        <v>0</v>
      </c>
      <c r="T281" s="126" t="n">
        <f aca="false">L281/$R$3</f>
        <v>0</v>
      </c>
      <c r="U281" s="126" t="n">
        <f aca="false">I281/$R$3</f>
        <v>0</v>
      </c>
      <c r="V281" s="126" t="n">
        <f aca="false">M281/$R$3</f>
        <v>0</v>
      </c>
      <c r="W281" s="126" t="n">
        <f aca="false">N281/$R$3</f>
        <v>-221.916</v>
      </c>
    </row>
    <row r="282" customFormat="false" ht="12.75" hidden="false" customHeight="false" outlineLevel="0" collapsed="false">
      <c r="A282" s="120" t="n">
        <f aca="false">A281+1</f>
        <v>37168</v>
      </c>
      <c r="B282" s="131" t="str">
        <f aca="false">INDEX('[4]Master Data'!$A$2:$B$8,MATCH(WEEKDAY('TBS Gas MTM'!A282,3),'[4]Master Data'!$A$2:$A$8,0),2)</f>
        <v>Th</v>
      </c>
      <c r="D282" s="124" t="n">
        <v>0</v>
      </c>
      <c r="E282" s="124" t="n">
        <v>0</v>
      </c>
      <c r="F282" s="124" t="n">
        <v>0</v>
      </c>
      <c r="G282" s="124" t="n">
        <v>0</v>
      </c>
      <c r="I282" s="124" t="n">
        <f aca="false">IF(MONTH($A282)=MONTH($A281),IF(G282=0,I281,G282),G282)</f>
        <v>0</v>
      </c>
      <c r="J282" s="124" t="n">
        <f aca="false">IF(MONTH($A282)=MONTH($A281),SUM(I282-I281),I282)</f>
        <v>0</v>
      </c>
      <c r="K282" s="124" t="n">
        <f aca="false">IF(WEEKDAY(A282,3)&gt;4,0,(IF(A282&lt;K$2,0,IF(A282&lt;=K$3,1,0))))</f>
        <v>0</v>
      </c>
      <c r="L282" s="124" t="n">
        <f aca="false">J282*K282</f>
        <v>0</v>
      </c>
      <c r="M282" s="124" t="n">
        <f aca="false">SUM(J$280:J282)</f>
        <v>0</v>
      </c>
      <c r="N282" s="124" t="n">
        <f aca="false">SUM(J$6:J282)</f>
        <v>-221916</v>
      </c>
      <c r="P282" s="124" t="n">
        <f aca="false">D282/P$3</f>
        <v>0</v>
      </c>
      <c r="Q282" s="124" t="n">
        <f aca="false">E282/P$3</f>
        <v>0</v>
      </c>
      <c r="R282" s="124" t="n">
        <f aca="false">F282/R$3</f>
        <v>0</v>
      </c>
      <c r="S282" s="126" t="n">
        <f aca="false">J282/$R$3</f>
        <v>0</v>
      </c>
      <c r="T282" s="126" t="n">
        <f aca="false">L282/$R$3</f>
        <v>0</v>
      </c>
      <c r="U282" s="126" t="n">
        <f aca="false">I282/$R$3</f>
        <v>0</v>
      </c>
      <c r="V282" s="126" t="n">
        <f aca="false">M282/$R$3</f>
        <v>0</v>
      </c>
      <c r="W282" s="126" t="n">
        <f aca="false">N282/$R$3</f>
        <v>-221.916</v>
      </c>
    </row>
    <row r="283" customFormat="false" ht="12.75" hidden="false" customHeight="false" outlineLevel="0" collapsed="false">
      <c r="A283" s="120" t="n">
        <f aca="false">A282+1</f>
        <v>37169</v>
      </c>
      <c r="B283" s="131" t="str">
        <f aca="false">INDEX('[4]Master Data'!$A$2:$B$8,MATCH(WEEKDAY('TBS Gas MTM'!A283,3),'[4]Master Data'!$A$2:$A$8,0),2)</f>
        <v>F</v>
      </c>
      <c r="D283" s="124" t="n">
        <v>0</v>
      </c>
      <c r="E283" s="124" t="n">
        <v>0</v>
      </c>
      <c r="F283" s="124" t="n">
        <v>0</v>
      </c>
      <c r="G283" s="124" t="n">
        <v>0</v>
      </c>
      <c r="I283" s="124" t="n">
        <f aca="false">IF(MONTH($A283)=MONTH($A282),IF(G283=0,I282,G283),G283)</f>
        <v>0</v>
      </c>
      <c r="J283" s="124" t="n">
        <f aca="false">IF(MONTH($A283)=MONTH($A282),SUM(I283-I282),I283)</f>
        <v>0</v>
      </c>
      <c r="K283" s="124" t="n">
        <f aca="false">IF(WEEKDAY(A283,3)&gt;4,0,(IF(A283&lt;K$2,0,IF(A283&lt;=K$3,1,0))))</f>
        <v>0</v>
      </c>
      <c r="L283" s="124" t="n">
        <f aca="false">J283*K283</f>
        <v>0</v>
      </c>
      <c r="M283" s="124" t="n">
        <f aca="false">SUM(J$280:J283)</f>
        <v>0</v>
      </c>
      <c r="N283" s="124" t="n">
        <f aca="false">SUM(J$6:J283)</f>
        <v>-221916</v>
      </c>
      <c r="P283" s="124" t="n">
        <f aca="false">D283/P$3</f>
        <v>0</v>
      </c>
      <c r="Q283" s="124" t="n">
        <f aca="false">E283/P$3</f>
        <v>0</v>
      </c>
      <c r="R283" s="124" t="n">
        <f aca="false">F283/R$3</f>
        <v>0</v>
      </c>
      <c r="S283" s="126" t="n">
        <f aca="false">J283/$R$3</f>
        <v>0</v>
      </c>
      <c r="T283" s="126" t="n">
        <f aca="false">L283/$R$3</f>
        <v>0</v>
      </c>
      <c r="U283" s="126" t="n">
        <f aca="false">I283/$R$3</f>
        <v>0</v>
      </c>
      <c r="V283" s="126" t="n">
        <f aca="false">M283/$R$3</f>
        <v>0</v>
      </c>
      <c r="W283" s="126" t="n">
        <f aca="false">N283/$R$3</f>
        <v>-221.916</v>
      </c>
    </row>
    <row r="284" customFormat="false" ht="12.75" hidden="false" customHeight="false" outlineLevel="0" collapsed="false">
      <c r="A284" s="120" t="n">
        <f aca="false">A283+1</f>
        <v>37170</v>
      </c>
      <c r="B284" s="131" t="str">
        <f aca="false">INDEX('[4]Master Data'!$A$2:$B$8,MATCH(WEEKDAY('TBS Gas MTM'!A284,3),'[4]Master Data'!$A$2:$A$8,0),2)</f>
        <v>Sa</v>
      </c>
      <c r="D284" s="124" t="n">
        <v>0</v>
      </c>
      <c r="E284" s="124" t="n">
        <v>0</v>
      </c>
      <c r="F284" s="124" t="n">
        <v>0</v>
      </c>
      <c r="G284" s="124" t="n">
        <v>0</v>
      </c>
      <c r="I284" s="124" t="n">
        <f aca="false">IF(MONTH($A284)=MONTH($A283),IF(G284=0,I283,G284),G284)</f>
        <v>0</v>
      </c>
      <c r="J284" s="124" t="n">
        <f aca="false">IF(MONTH($A284)=MONTH($A283),SUM(I284-I283),I284)</f>
        <v>0</v>
      </c>
      <c r="K284" s="124" t="n">
        <f aca="false">IF(WEEKDAY(A284,3)&gt;4,0,(IF(A284&lt;K$2,0,IF(A284&lt;=K$3,1,0))))</f>
        <v>0</v>
      </c>
      <c r="L284" s="124" t="n">
        <f aca="false">J284*K284</f>
        <v>0</v>
      </c>
      <c r="M284" s="124" t="n">
        <f aca="false">SUM(J$280:J284)</f>
        <v>0</v>
      </c>
      <c r="N284" s="124" t="n">
        <f aca="false">SUM(J$6:J284)</f>
        <v>-221916</v>
      </c>
      <c r="P284" s="124" t="n">
        <f aca="false">D284/P$3</f>
        <v>0</v>
      </c>
      <c r="Q284" s="124" t="n">
        <f aca="false">E284/P$3</f>
        <v>0</v>
      </c>
      <c r="R284" s="124" t="n">
        <f aca="false">F284/R$3</f>
        <v>0</v>
      </c>
      <c r="S284" s="126" t="n">
        <f aca="false">J284/$R$3</f>
        <v>0</v>
      </c>
      <c r="T284" s="126" t="n">
        <f aca="false">L284/$R$3</f>
        <v>0</v>
      </c>
      <c r="U284" s="126" t="n">
        <f aca="false">I284/$R$3</f>
        <v>0</v>
      </c>
      <c r="V284" s="126" t="n">
        <f aca="false">M284/$R$3</f>
        <v>0</v>
      </c>
      <c r="W284" s="126" t="n">
        <f aca="false">N284/$R$3</f>
        <v>-221.916</v>
      </c>
    </row>
    <row r="285" customFormat="false" ht="12.75" hidden="false" customHeight="false" outlineLevel="0" collapsed="false">
      <c r="A285" s="120" t="n">
        <f aca="false">A284+1</f>
        <v>37171</v>
      </c>
      <c r="B285" s="131" t="str">
        <f aca="false">INDEX('[4]Master Data'!$A$2:$B$8,MATCH(WEEKDAY('TBS Gas MTM'!A285,3),'[4]Master Data'!$A$2:$A$8,0),2)</f>
        <v>Su</v>
      </c>
      <c r="D285" s="124" t="n">
        <v>0</v>
      </c>
      <c r="E285" s="124" t="n">
        <v>0</v>
      </c>
      <c r="F285" s="124" t="n">
        <v>0</v>
      </c>
      <c r="G285" s="124" t="n">
        <v>0</v>
      </c>
      <c r="I285" s="124" t="n">
        <f aca="false">IF(MONTH($A285)=MONTH($A284),IF(G285=0,I284,G285),G285)</f>
        <v>0</v>
      </c>
      <c r="J285" s="124" t="n">
        <f aca="false">IF(MONTH($A285)=MONTH($A284),SUM(I285-I284),I285)</f>
        <v>0</v>
      </c>
      <c r="K285" s="124" t="n">
        <f aca="false">IF(WEEKDAY(A285,3)&gt;4,0,(IF(A285&lt;K$2,0,IF(A285&lt;=K$3,1,0))))</f>
        <v>0</v>
      </c>
      <c r="L285" s="124" t="n">
        <f aca="false">J285*K285</f>
        <v>0</v>
      </c>
      <c r="M285" s="124" t="n">
        <f aca="false">SUM(J$280:J285)</f>
        <v>0</v>
      </c>
      <c r="N285" s="124" t="n">
        <f aca="false">SUM(J$6:J285)</f>
        <v>-221916</v>
      </c>
      <c r="P285" s="124" t="n">
        <f aca="false">D285/P$3</f>
        <v>0</v>
      </c>
      <c r="Q285" s="124" t="n">
        <f aca="false">E285/P$3</f>
        <v>0</v>
      </c>
      <c r="R285" s="124" t="n">
        <f aca="false">F285/R$3</f>
        <v>0</v>
      </c>
      <c r="S285" s="126" t="n">
        <f aca="false">J285/$R$3</f>
        <v>0</v>
      </c>
      <c r="T285" s="126" t="n">
        <f aca="false">L285/$R$3</f>
        <v>0</v>
      </c>
      <c r="U285" s="126" t="n">
        <f aca="false">I285/$R$3</f>
        <v>0</v>
      </c>
      <c r="V285" s="126" t="n">
        <f aca="false">M285/$R$3</f>
        <v>0</v>
      </c>
      <c r="W285" s="126" t="n">
        <f aca="false">N285/$R$3</f>
        <v>-221.916</v>
      </c>
    </row>
    <row r="286" customFormat="false" ht="12.75" hidden="false" customHeight="false" outlineLevel="0" collapsed="false">
      <c r="A286" s="120" t="n">
        <f aca="false">A285+1</f>
        <v>37172</v>
      </c>
      <c r="B286" s="131" t="str">
        <f aca="false">INDEX('[4]Master Data'!$A$2:$B$8,MATCH(WEEKDAY('TBS Gas MTM'!A286,3),'[4]Master Data'!$A$2:$A$8,0),2)</f>
        <v>M</v>
      </c>
      <c r="D286" s="124" t="n">
        <v>0</v>
      </c>
      <c r="E286" s="124" t="n">
        <v>0</v>
      </c>
      <c r="F286" s="124" t="n">
        <v>0</v>
      </c>
      <c r="G286" s="124" t="n">
        <v>0</v>
      </c>
      <c r="I286" s="124" t="n">
        <f aca="false">IF(MONTH($A286)=MONTH($A285),IF(G286=0,I285,G286),G286)</f>
        <v>0</v>
      </c>
      <c r="J286" s="124" t="n">
        <f aca="false">IF(MONTH($A286)=MONTH($A285),SUM(I286-I285),I286)</f>
        <v>0</v>
      </c>
      <c r="K286" s="124" t="n">
        <f aca="false">IF(WEEKDAY(A286,3)&gt;4,0,(IF(A286&lt;K$2,0,IF(A286&lt;=K$3,1,0))))</f>
        <v>0</v>
      </c>
      <c r="L286" s="124" t="n">
        <f aca="false">J286*K286</f>
        <v>0</v>
      </c>
      <c r="M286" s="124" t="n">
        <f aca="false">SUM(J$280:J286)</f>
        <v>0</v>
      </c>
      <c r="N286" s="124" t="n">
        <f aca="false">SUM(J$6:J286)</f>
        <v>-221916</v>
      </c>
      <c r="P286" s="124" t="n">
        <f aca="false">D286/P$3</f>
        <v>0</v>
      </c>
      <c r="Q286" s="124" t="n">
        <f aca="false">E286/P$3</f>
        <v>0</v>
      </c>
      <c r="R286" s="124" t="n">
        <f aca="false">F286/R$3</f>
        <v>0</v>
      </c>
      <c r="S286" s="126" t="n">
        <f aca="false">J286/$R$3</f>
        <v>0</v>
      </c>
      <c r="T286" s="126" t="n">
        <f aca="false">L286/$R$3</f>
        <v>0</v>
      </c>
      <c r="U286" s="126" t="n">
        <f aca="false">I286/$R$3</f>
        <v>0</v>
      </c>
      <c r="V286" s="126" t="n">
        <f aca="false">M286/$R$3</f>
        <v>0</v>
      </c>
      <c r="W286" s="126" t="n">
        <f aca="false">N286/$R$3</f>
        <v>-221.916</v>
      </c>
    </row>
    <row r="287" customFormat="false" ht="12.75" hidden="false" customHeight="false" outlineLevel="0" collapsed="false">
      <c r="A287" s="120" t="n">
        <f aca="false">A286+1</f>
        <v>37173</v>
      </c>
      <c r="B287" s="131" t="str">
        <f aca="false">INDEX('[4]Master Data'!$A$2:$B$8,MATCH(WEEKDAY('TBS Gas MTM'!A287,3),'[4]Master Data'!$A$2:$A$8,0),2)</f>
        <v>T</v>
      </c>
      <c r="D287" s="124" t="n">
        <v>0</v>
      </c>
      <c r="E287" s="124" t="n">
        <v>0</v>
      </c>
      <c r="F287" s="124" t="n">
        <v>0</v>
      </c>
      <c r="G287" s="124" t="n">
        <v>0</v>
      </c>
      <c r="I287" s="124" t="n">
        <f aca="false">IF(MONTH($A287)=MONTH($A286),IF(G287=0,I286,G287),G287)</f>
        <v>0</v>
      </c>
      <c r="J287" s="124" t="n">
        <f aca="false">IF(MONTH($A287)=MONTH($A286),SUM(I287-I286),I287)</f>
        <v>0</v>
      </c>
      <c r="K287" s="124" t="n">
        <f aca="false">IF(WEEKDAY(A287,3)&gt;4,0,(IF(A287&lt;K$2,0,IF(A287&lt;=K$3,1,0))))</f>
        <v>0</v>
      </c>
      <c r="L287" s="124" t="n">
        <f aca="false">J287*K287</f>
        <v>0</v>
      </c>
      <c r="M287" s="124" t="n">
        <f aca="false">SUM(J$280:J287)</f>
        <v>0</v>
      </c>
      <c r="N287" s="124" t="n">
        <f aca="false">SUM(J$6:J287)</f>
        <v>-221916</v>
      </c>
      <c r="P287" s="124" t="n">
        <f aca="false">D287/P$3</f>
        <v>0</v>
      </c>
      <c r="Q287" s="124" t="n">
        <f aca="false">E287/P$3</f>
        <v>0</v>
      </c>
      <c r="R287" s="124" t="n">
        <f aca="false">F287/R$3</f>
        <v>0</v>
      </c>
      <c r="S287" s="126" t="n">
        <f aca="false">J287/$R$3</f>
        <v>0</v>
      </c>
      <c r="T287" s="126" t="n">
        <f aca="false">L287/$R$3</f>
        <v>0</v>
      </c>
      <c r="U287" s="126" t="n">
        <f aca="false">I287/$R$3</f>
        <v>0</v>
      </c>
      <c r="V287" s="126" t="n">
        <f aca="false">M287/$R$3</f>
        <v>0</v>
      </c>
      <c r="W287" s="126" t="n">
        <f aca="false">N287/$R$3</f>
        <v>-221.916</v>
      </c>
    </row>
    <row r="288" customFormat="false" ht="12.75" hidden="false" customHeight="false" outlineLevel="0" collapsed="false">
      <c r="A288" s="120" t="n">
        <f aca="false">A287+1</f>
        <v>37174</v>
      </c>
      <c r="B288" s="131" t="str">
        <f aca="false">INDEX('[4]Master Data'!$A$2:$B$8,MATCH(WEEKDAY('TBS Gas MTM'!A288,3),'[4]Master Data'!$A$2:$A$8,0),2)</f>
        <v>W</v>
      </c>
      <c r="D288" s="124" t="n">
        <v>0</v>
      </c>
      <c r="E288" s="124" t="n">
        <v>0</v>
      </c>
      <c r="F288" s="124" t="n">
        <v>0</v>
      </c>
      <c r="G288" s="124" t="n">
        <v>0</v>
      </c>
      <c r="I288" s="124" t="n">
        <f aca="false">IF(MONTH($A288)=MONTH($A287),IF(G288=0,I287,G288),G288)</f>
        <v>0</v>
      </c>
      <c r="J288" s="124" t="n">
        <f aca="false">IF(MONTH($A288)=MONTH($A287),SUM(I288-I287),I288)</f>
        <v>0</v>
      </c>
      <c r="K288" s="124" t="n">
        <f aca="false">IF(WEEKDAY(A288,3)&gt;4,0,(IF(A288&lt;K$2,0,IF(A288&lt;=K$3,1,0))))</f>
        <v>0</v>
      </c>
      <c r="L288" s="124" t="n">
        <f aca="false">J288*K288</f>
        <v>0</v>
      </c>
      <c r="M288" s="124" t="n">
        <f aca="false">SUM(J$280:J288)</f>
        <v>0</v>
      </c>
      <c r="N288" s="124" t="n">
        <f aca="false">SUM(J$6:J288)</f>
        <v>-221916</v>
      </c>
      <c r="P288" s="124" t="n">
        <f aca="false">D288/P$3</f>
        <v>0</v>
      </c>
      <c r="Q288" s="124" t="n">
        <f aca="false">E288/P$3</f>
        <v>0</v>
      </c>
      <c r="R288" s="124" t="n">
        <f aca="false">F288/R$3</f>
        <v>0</v>
      </c>
      <c r="S288" s="126" t="n">
        <f aca="false">J288/$R$3</f>
        <v>0</v>
      </c>
      <c r="T288" s="126" t="n">
        <f aca="false">L288/$R$3</f>
        <v>0</v>
      </c>
      <c r="U288" s="126" t="n">
        <f aca="false">I288/$R$3</f>
        <v>0</v>
      </c>
      <c r="V288" s="126" t="n">
        <f aca="false">M288/$R$3</f>
        <v>0</v>
      </c>
      <c r="W288" s="126" t="n">
        <f aca="false">N288/$R$3</f>
        <v>-221.916</v>
      </c>
    </row>
    <row r="289" customFormat="false" ht="12.75" hidden="false" customHeight="false" outlineLevel="0" collapsed="false">
      <c r="A289" s="120" t="n">
        <f aca="false">A288+1</f>
        <v>37175</v>
      </c>
      <c r="B289" s="131" t="str">
        <f aca="false">INDEX('[4]Master Data'!$A$2:$B$8,MATCH(WEEKDAY('TBS Gas MTM'!A289,3),'[4]Master Data'!$A$2:$A$8,0),2)</f>
        <v>Th</v>
      </c>
      <c r="D289" s="124" t="n">
        <v>0</v>
      </c>
      <c r="E289" s="124" t="n">
        <v>0</v>
      </c>
      <c r="F289" s="124" t="n">
        <v>0</v>
      </c>
      <c r="G289" s="124" t="n">
        <v>0</v>
      </c>
      <c r="I289" s="124" t="n">
        <f aca="false">IF(MONTH($A289)=MONTH($A288),IF(G289=0,I288,G289),G289)</f>
        <v>0</v>
      </c>
      <c r="J289" s="124" t="n">
        <f aca="false">IF(MONTH($A289)=MONTH($A288),SUM(I289-I288),I289)</f>
        <v>0</v>
      </c>
      <c r="K289" s="124" t="n">
        <f aca="false">IF(WEEKDAY(A289,3)&gt;4,0,(IF(A289&lt;K$2,0,IF(A289&lt;=K$3,1,0))))</f>
        <v>0</v>
      </c>
      <c r="L289" s="124" t="n">
        <f aca="false">J289*K289</f>
        <v>0</v>
      </c>
      <c r="M289" s="124" t="n">
        <f aca="false">SUM(J$280:J289)</f>
        <v>0</v>
      </c>
      <c r="N289" s="124" t="n">
        <f aca="false">SUM(J$6:J289)</f>
        <v>-221916</v>
      </c>
      <c r="P289" s="124" t="n">
        <f aca="false">D289/P$3</f>
        <v>0</v>
      </c>
      <c r="Q289" s="124" t="n">
        <f aca="false">E289/P$3</f>
        <v>0</v>
      </c>
      <c r="R289" s="124" t="n">
        <f aca="false">F289/R$3</f>
        <v>0</v>
      </c>
      <c r="S289" s="126" t="n">
        <f aca="false">J289/$R$3</f>
        <v>0</v>
      </c>
      <c r="T289" s="126" t="n">
        <f aca="false">L289/$R$3</f>
        <v>0</v>
      </c>
      <c r="U289" s="126" t="n">
        <f aca="false">I289/$R$3</f>
        <v>0</v>
      </c>
      <c r="V289" s="126" t="n">
        <f aca="false">M289/$R$3</f>
        <v>0</v>
      </c>
      <c r="W289" s="126" t="n">
        <f aca="false">N289/$R$3</f>
        <v>-221.916</v>
      </c>
    </row>
    <row r="290" customFormat="false" ht="12.75" hidden="false" customHeight="false" outlineLevel="0" collapsed="false">
      <c r="A290" s="120" t="n">
        <f aca="false">A289+1</f>
        <v>37176</v>
      </c>
      <c r="B290" s="131" t="str">
        <f aca="false">INDEX('[4]Master Data'!$A$2:$B$8,MATCH(WEEKDAY('TBS Gas MTM'!A290,3),'[4]Master Data'!$A$2:$A$8,0),2)</f>
        <v>F</v>
      </c>
      <c r="D290" s="124" t="n">
        <v>0</v>
      </c>
      <c r="E290" s="124" t="n">
        <v>0</v>
      </c>
      <c r="F290" s="124" t="n">
        <v>0</v>
      </c>
      <c r="G290" s="124" t="n">
        <v>0</v>
      </c>
      <c r="I290" s="124" t="n">
        <f aca="false">IF(MONTH($A290)=MONTH($A289),IF(G290=0,I289,G290),G290)</f>
        <v>0</v>
      </c>
      <c r="J290" s="124" t="n">
        <f aca="false">IF(MONTH($A290)=MONTH($A289),SUM(I290-I289),I290)</f>
        <v>0</v>
      </c>
      <c r="K290" s="124" t="n">
        <f aca="false">IF(WEEKDAY(A290,3)&gt;4,0,(IF(A290&lt;K$2,0,IF(A290&lt;=K$3,1,0))))</f>
        <v>0</v>
      </c>
      <c r="L290" s="124" t="n">
        <f aca="false">J290*K290</f>
        <v>0</v>
      </c>
      <c r="M290" s="124" t="n">
        <f aca="false">SUM(J$280:J290)</f>
        <v>0</v>
      </c>
      <c r="N290" s="124" t="n">
        <f aca="false">SUM(J$6:J290)</f>
        <v>-221916</v>
      </c>
      <c r="P290" s="124" t="n">
        <f aca="false">D290/P$3</f>
        <v>0</v>
      </c>
      <c r="Q290" s="124" t="n">
        <f aca="false">E290/P$3</f>
        <v>0</v>
      </c>
      <c r="R290" s="124" t="n">
        <f aca="false">F290/R$3</f>
        <v>0</v>
      </c>
      <c r="S290" s="126" t="n">
        <f aca="false">J290/$R$3</f>
        <v>0</v>
      </c>
      <c r="T290" s="126" t="n">
        <f aca="false">L290/$R$3</f>
        <v>0</v>
      </c>
      <c r="U290" s="126" t="n">
        <f aca="false">I290/$R$3</f>
        <v>0</v>
      </c>
      <c r="V290" s="126" t="n">
        <f aca="false">M290/$R$3</f>
        <v>0</v>
      </c>
      <c r="W290" s="126" t="n">
        <f aca="false">N290/$R$3</f>
        <v>-221.916</v>
      </c>
    </row>
    <row r="291" customFormat="false" ht="12.75" hidden="false" customHeight="false" outlineLevel="0" collapsed="false">
      <c r="A291" s="120" t="n">
        <f aca="false">A290+1</f>
        <v>37177</v>
      </c>
      <c r="B291" s="131" t="str">
        <f aca="false">INDEX('[4]Master Data'!$A$2:$B$8,MATCH(WEEKDAY('TBS Gas MTM'!A291,3),'[4]Master Data'!$A$2:$A$8,0),2)</f>
        <v>Sa</v>
      </c>
      <c r="D291" s="124" t="n">
        <v>0</v>
      </c>
      <c r="E291" s="124" t="n">
        <v>0</v>
      </c>
      <c r="F291" s="124" t="n">
        <v>0</v>
      </c>
      <c r="G291" s="124" t="n">
        <v>0</v>
      </c>
      <c r="I291" s="124" t="n">
        <f aca="false">IF(MONTH($A291)=MONTH($A290),IF(G291=0,I290,G291),G291)</f>
        <v>0</v>
      </c>
      <c r="J291" s="124" t="n">
        <f aca="false">IF(MONTH($A291)=MONTH($A290),SUM(I291-I290),I291)</f>
        <v>0</v>
      </c>
      <c r="K291" s="124" t="n">
        <f aca="false">IF(WEEKDAY(A291,3)&gt;4,0,(IF(A291&lt;K$2,0,IF(A291&lt;=K$3,1,0))))</f>
        <v>0</v>
      </c>
      <c r="L291" s="124" t="n">
        <f aca="false">J291*K291</f>
        <v>0</v>
      </c>
      <c r="M291" s="124" t="n">
        <f aca="false">SUM(J$280:J291)</f>
        <v>0</v>
      </c>
      <c r="N291" s="124" t="n">
        <f aca="false">SUM(J$6:J291)</f>
        <v>-221916</v>
      </c>
      <c r="P291" s="124" t="n">
        <f aca="false">D291/P$3</f>
        <v>0</v>
      </c>
      <c r="Q291" s="124" t="n">
        <f aca="false">E291/P$3</f>
        <v>0</v>
      </c>
      <c r="R291" s="124" t="n">
        <f aca="false">F291/R$3</f>
        <v>0</v>
      </c>
      <c r="S291" s="126" t="n">
        <f aca="false">J291/$R$3</f>
        <v>0</v>
      </c>
      <c r="T291" s="126" t="n">
        <f aca="false">L291/$R$3</f>
        <v>0</v>
      </c>
      <c r="U291" s="126" t="n">
        <f aca="false">I291/$R$3</f>
        <v>0</v>
      </c>
      <c r="V291" s="126" t="n">
        <f aca="false">M291/$R$3</f>
        <v>0</v>
      </c>
      <c r="W291" s="126" t="n">
        <f aca="false">N291/$R$3</f>
        <v>-221.916</v>
      </c>
    </row>
    <row r="292" customFormat="false" ht="12.75" hidden="false" customHeight="false" outlineLevel="0" collapsed="false">
      <c r="A292" s="120" t="n">
        <f aca="false">A291+1</f>
        <v>37178</v>
      </c>
      <c r="B292" s="131" t="str">
        <f aca="false">INDEX('[4]Master Data'!$A$2:$B$8,MATCH(WEEKDAY('TBS Gas MTM'!A292,3),'[4]Master Data'!$A$2:$A$8,0),2)</f>
        <v>Su</v>
      </c>
      <c r="D292" s="124" t="n">
        <v>0</v>
      </c>
      <c r="E292" s="124" t="n">
        <v>0</v>
      </c>
      <c r="F292" s="124" t="n">
        <v>0</v>
      </c>
      <c r="G292" s="124" t="n">
        <v>0</v>
      </c>
      <c r="I292" s="124" t="n">
        <f aca="false">IF(MONTH($A292)=MONTH($A291),IF(G292=0,I291,G292),G292)</f>
        <v>0</v>
      </c>
      <c r="J292" s="124" t="n">
        <f aca="false">IF(MONTH($A292)=MONTH($A291),SUM(I292-I291),I292)</f>
        <v>0</v>
      </c>
      <c r="K292" s="124" t="n">
        <f aca="false">IF(WEEKDAY(A292,3)&gt;4,0,(IF(A292&lt;K$2,0,IF(A292&lt;=K$3,1,0))))</f>
        <v>0</v>
      </c>
      <c r="L292" s="124" t="n">
        <f aca="false">J292*K292</f>
        <v>0</v>
      </c>
      <c r="M292" s="124" t="n">
        <f aca="false">SUM(J$280:J292)</f>
        <v>0</v>
      </c>
      <c r="N292" s="124" t="n">
        <f aca="false">SUM(J$6:J292)</f>
        <v>-221916</v>
      </c>
      <c r="P292" s="124" t="n">
        <f aca="false">D292/P$3</f>
        <v>0</v>
      </c>
      <c r="Q292" s="124" t="n">
        <f aca="false">E292/P$3</f>
        <v>0</v>
      </c>
      <c r="R292" s="124" t="n">
        <f aca="false">F292/R$3</f>
        <v>0</v>
      </c>
      <c r="S292" s="126" t="n">
        <f aca="false">J292/$R$3</f>
        <v>0</v>
      </c>
      <c r="T292" s="126" t="n">
        <f aca="false">L292/$R$3</f>
        <v>0</v>
      </c>
      <c r="U292" s="126" t="n">
        <f aca="false">I292/$R$3</f>
        <v>0</v>
      </c>
      <c r="V292" s="126" t="n">
        <f aca="false">M292/$R$3</f>
        <v>0</v>
      </c>
      <c r="W292" s="126" t="n">
        <f aca="false">N292/$R$3</f>
        <v>-221.916</v>
      </c>
    </row>
    <row r="293" customFormat="false" ht="12.75" hidden="false" customHeight="false" outlineLevel="0" collapsed="false">
      <c r="A293" s="120" t="n">
        <f aca="false">A292+1</f>
        <v>37179</v>
      </c>
      <c r="B293" s="131" t="str">
        <f aca="false">INDEX('[4]Master Data'!$A$2:$B$8,MATCH(WEEKDAY('TBS Gas MTM'!A293,3),'[4]Master Data'!$A$2:$A$8,0),2)</f>
        <v>M</v>
      </c>
      <c r="D293" s="124" t="n">
        <v>0</v>
      </c>
      <c r="E293" s="124" t="n">
        <v>0</v>
      </c>
      <c r="F293" s="124" t="n">
        <v>0</v>
      </c>
      <c r="G293" s="124" t="n">
        <v>0</v>
      </c>
      <c r="I293" s="124" t="n">
        <f aca="false">IF(MONTH($A293)=MONTH($A292),IF(G293=0,I292,G293),G293)</f>
        <v>0</v>
      </c>
      <c r="J293" s="124" t="n">
        <f aca="false">IF(MONTH($A293)=MONTH($A292),SUM(I293-I292),I293)</f>
        <v>0</v>
      </c>
      <c r="K293" s="124" t="n">
        <f aca="false">IF(WEEKDAY(A293,3)&gt;4,0,(IF(A293&lt;K$2,0,IF(A293&lt;=K$3,1,0))))</f>
        <v>0</v>
      </c>
      <c r="L293" s="124" t="n">
        <f aca="false">J293*K293</f>
        <v>0</v>
      </c>
      <c r="M293" s="124" t="n">
        <f aca="false">SUM(J$280:J293)</f>
        <v>0</v>
      </c>
      <c r="N293" s="124" t="n">
        <f aca="false">SUM(J$6:J293)</f>
        <v>-221916</v>
      </c>
      <c r="P293" s="124" t="n">
        <f aca="false">D293/P$3</f>
        <v>0</v>
      </c>
      <c r="Q293" s="124" t="n">
        <f aca="false">E293/P$3</f>
        <v>0</v>
      </c>
      <c r="R293" s="124" t="n">
        <f aca="false">F293/R$3</f>
        <v>0</v>
      </c>
      <c r="S293" s="126" t="n">
        <f aca="false">J293/$R$3</f>
        <v>0</v>
      </c>
      <c r="T293" s="126" t="n">
        <f aca="false">L293/$R$3</f>
        <v>0</v>
      </c>
      <c r="U293" s="126" t="n">
        <f aca="false">I293/$R$3</f>
        <v>0</v>
      </c>
      <c r="V293" s="126" t="n">
        <f aca="false">M293/$R$3</f>
        <v>0</v>
      </c>
      <c r="W293" s="126" t="n">
        <f aca="false">N293/$R$3</f>
        <v>-221.916</v>
      </c>
    </row>
    <row r="294" customFormat="false" ht="12.75" hidden="false" customHeight="false" outlineLevel="0" collapsed="false">
      <c r="A294" s="120" t="n">
        <f aca="false">A293+1</f>
        <v>37180</v>
      </c>
      <c r="B294" s="131" t="str">
        <f aca="false">INDEX('[4]Master Data'!$A$2:$B$8,MATCH(WEEKDAY('TBS Gas MTM'!A294,3),'[4]Master Data'!$A$2:$A$8,0),2)</f>
        <v>T</v>
      </c>
      <c r="D294" s="124" t="n">
        <v>0</v>
      </c>
      <c r="E294" s="124" t="n">
        <v>0</v>
      </c>
      <c r="F294" s="124" t="n">
        <v>0</v>
      </c>
      <c r="G294" s="124" t="n">
        <v>0</v>
      </c>
      <c r="I294" s="124" t="n">
        <f aca="false">IF(MONTH($A294)=MONTH($A293),IF(G294=0,I293,G294),G294)</f>
        <v>0</v>
      </c>
      <c r="J294" s="124" t="n">
        <f aca="false">IF(MONTH($A294)=MONTH($A293),SUM(I294-I293),I294)</f>
        <v>0</v>
      </c>
      <c r="K294" s="124" t="n">
        <f aca="false">IF(WEEKDAY(A294,3)&gt;4,0,(IF(A294&lt;K$2,0,IF(A294&lt;=K$3,1,0))))</f>
        <v>0</v>
      </c>
      <c r="L294" s="124" t="n">
        <f aca="false">J294*K294</f>
        <v>0</v>
      </c>
      <c r="M294" s="124" t="n">
        <f aca="false">SUM(J$280:J294)</f>
        <v>0</v>
      </c>
      <c r="N294" s="124" t="n">
        <f aca="false">SUM(J$6:J294)</f>
        <v>-221916</v>
      </c>
      <c r="P294" s="124" t="n">
        <f aca="false">D294/P$3</f>
        <v>0</v>
      </c>
      <c r="Q294" s="124" t="n">
        <f aca="false">E294/P$3</f>
        <v>0</v>
      </c>
      <c r="R294" s="124" t="n">
        <f aca="false">F294/R$3</f>
        <v>0</v>
      </c>
      <c r="S294" s="126" t="n">
        <f aca="false">J294/$R$3</f>
        <v>0</v>
      </c>
      <c r="T294" s="126" t="n">
        <f aca="false">L294/$R$3</f>
        <v>0</v>
      </c>
      <c r="U294" s="126" t="n">
        <f aca="false">I294/$R$3</f>
        <v>0</v>
      </c>
      <c r="V294" s="126" t="n">
        <f aca="false">M294/$R$3</f>
        <v>0</v>
      </c>
      <c r="W294" s="126" t="n">
        <f aca="false">N294/$R$3</f>
        <v>-221.916</v>
      </c>
    </row>
    <row r="295" customFormat="false" ht="12.75" hidden="false" customHeight="false" outlineLevel="0" collapsed="false">
      <c r="A295" s="120" t="n">
        <f aca="false">A294+1</f>
        <v>37181</v>
      </c>
      <c r="B295" s="131" t="str">
        <f aca="false">INDEX('[4]Master Data'!$A$2:$B$8,MATCH(WEEKDAY('TBS Gas MTM'!A295,3),'[4]Master Data'!$A$2:$A$8,0),2)</f>
        <v>W</v>
      </c>
      <c r="D295" s="124" t="n">
        <v>0</v>
      </c>
      <c r="E295" s="124" t="n">
        <v>0</v>
      </c>
      <c r="F295" s="124" t="n">
        <v>0</v>
      </c>
      <c r="G295" s="124" t="n">
        <v>0</v>
      </c>
      <c r="I295" s="124" t="n">
        <f aca="false">IF(MONTH($A295)=MONTH($A294),IF(G295=0,I294,G295),G295)</f>
        <v>0</v>
      </c>
      <c r="J295" s="124" t="n">
        <f aca="false">IF(MONTH($A295)=MONTH($A294),SUM(I295-I294),I295)</f>
        <v>0</v>
      </c>
      <c r="K295" s="124" t="n">
        <f aca="false">IF(WEEKDAY(A295,3)&gt;4,0,(IF(A295&lt;K$2,0,IF(A295&lt;=K$3,1,0))))</f>
        <v>0</v>
      </c>
      <c r="L295" s="124" t="n">
        <f aca="false">J295*K295</f>
        <v>0</v>
      </c>
      <c r="M295" s="124" t="n">
        <f aca="false">SUM(J$280:J295)</f>
        <v>0</v>
      </c>
      <c r="N295" s="124" t="n">
        <f aca="false">SUM(J$6:J295)</f>
        <v>-221916</v>
      </c>
      <c r="P295" s="124" t="n">
        <f aca="false">D295/P$3</f>
        <v>0</v>
      </c>
      <c r="Q295" s="124" t="n">
        <f aca="false">E295/P$3</f>
        <v>0</v>
      </c>
      <c r="R295" s="124" t="n">
        <f aca="false">F295/R$3</f>
        <v>0</v>
      </c>
      <c r="S295" s="126" t="n">
        <f aca="false">J295/$R$3</f>
        <v>0</v>
      </c>
      <c r="T295" s="126" t="n">
        <f aca="false">L295/$R$3</f>
        <v>0</v>
      </c>
      <c r="U295" s="126" t="n">
        <f aca="false">I295/$R$3</f>
        <v>0</v>
      </c>
      <c r="V295" s="126" t="n">
        <f aca="false">M295/$R$3</f>
        <v>0</v>
      </c>
      <c r="W295" s="126" t="n">
        <f aca="false">N295/$R$3</f>
        <v>-221.916</v>
      </c>
    </row>
    <row r="296" customFormat="false" ht="12.75" hidden="false" customHeight="false" outlineLevel="0" collapsed="false">
      <c r="A296" s="120" t="n">
        <f aca="false">A295+1</f>
        <v>37182</v>
      </c>
      <c r="B296" s="131" t="str">
        <f aca="false">INDEX('[4]Master Data'!$A$2:$B$8,MATCH(WEEKDAY('TBS Gas MTM'!A296,3),'[4]Master Data'!$A$2:$A$8,0),2)</f>
        <v>Th</v>
      </c>
      <c r="D296" s="124" t="n">
        <v>0</v>
      </c>
      <c r="E296" s="124" t="n">
        <v>0</v>
      </c>
      <c r="F296" s="124" t="n">
        <v>0</v>
      </c>
      <c r="G296" s="124" t="n">
        <v>0</v>
      </c>
      <c r="I296" s="124" t="n">
        <f aca="false">IF(MONTH($A296)=MONTH($A295),IF(G296=0,I295,G296),G296)</f>
        <v>0</v>
      </c>
      <c r="J296" s="124" t="n">
        <f aca="false">IF(MONTH($A296)=MONTH($A295),SUM(I296-I295),I296)</f>
        <v>0</v>
      </c>
      <c r="K296" s="124" t="n">
        <f aca="false">IF(WEEKDAY(A296,3)&gt;4,0,(IF(A296&lt;K$2,0,IF(A296&lt;=K$3,1,0))))</f>
        <v>0</v>
      </c>
      <c r="L296" s="124" t="n">
        <f aca="false">J296*K296</f>
        <v>0</v>
      </c>
      <c r="M296" s="124" t="n">
        <f aca="false">SUM(J$280:J296)</f>
        <v>0</v>
      </c>
      <c r="N296" s="124" t="n">
        <f aca="false">SUM(J$6:J296)</f>
        <v>-221916</v>
      </c>
      <c r="P296" s="124" t="n">
        <f aca="false">D296/P$3</f>
        <v>0</v>
      </c>
      <c r="Q296" s="124" t="n">
        <f aca="false">E296/P$3</f>
        <v>0</v>
      </c>
      <c r="R296" s="124" t="n">
        <f aca="false">F296/R$3</f>
        <v>0</v>
      </c>
      <c r="S296" s="126" t="n">
        <f aca="false">J296/$R$3</f>
        <v>0</v>
      </c>
      <c r="T296" s="126" t="n">
        <f aca="false">L296/$R$3</f>
        <v>0</v>
      </c>
      <c r="U296" s="126" t="n">
        <f aca="false">I296/$R$3</f>
        <v>0</v>
      </c>
      <c r="V296" s="126" t="n">
        <f aca="false">M296/$R$3</f>
        <v>0</v>
      </c>
      <c r="W296" s="126" t="n">
        <f aca="false">N296/$R$3</f>
        <v>-221.916</v>
      </c>
    </row>
    <row r="297" customFormat="false" ht="12.75" hidden="false" customHeight="false" outlineLevel="0" collapsed="false">
      <c r="A297" s="120" t="n">
        <f aca="false">A296+1</f>
        <v>37183</v>
      </c>
      <c r="B297" s="131" t="str">
        <f aca="false">INDEX('[4]Master Data'!$A$2:$B$8,MATCH(WEEKDAY('TBS Gas MTM'!A297,3),'[4]Master Data'!$A$2:$A$8,0),2)</f>
        <v>F</v>
      </c>
      <c r="D297" s="124" t="n">
        <v>0</v>
      </c>
      <c r="E297" s="124" t="n">
        <v>0</v>
      </c>
      <c r="F297" s="124" t="n">
        <v>0</v>
      </c>
      <c r="G297" s="124" t="n">
        <v>0</v>
      </c>
      <c r="I297" s="124" t="n">
        <f aca="false">IF(MONTH($A297)=MONTH($A296),IF(G297=0,I296,G297),G297)</f>
        <v>0</v>
      </c>
      <c r="J297" s="124" t="n">
        <f aca="false">IF(MONTH($A297)=MONTH($A296),SUM(I297-I296),I297)</f>
        <v>0</v>
      </c>
      <c r="K297" s="124" t="n">
        <f aca="false">IF(WEEKDAY(A297,3)&gt;4,0,(IF(A297&lt;K$2,0,IF(A297&lt;=K$3,1,0))))</f>
        <v>0</v>
      </c>
      <c r="L297" s="124" t="n">
        <f aca="false">J297*K297</f>
        <v>0</v>
      </c>
      <c r="M297" s="124" t="n">
        <f aca="false">SUM(J$280:J297)</f>
        <v>0</v>
      </c>
      <c r="N297" s="124" t="n">
        <f aca="false">SUM(J$6:J297)</f>
        <v>-221916</v>
      </c>
      <c r="P297" s="124" t="n">
        <f aca="false">D297/P$3</f>
        <v>0</v>
      </c>
      <c r="Q297" s="124" t="n">
        <f aca="false">E297/P$3</f>
        <v>0</v>
      </c>
      <c r="R297" s="124" t="n">
        <f aca="false">F297/R$3</f>
        <v>0</v>
      </c>
      <c r="S297" s="126" t="n">
        <f aca="false">J297/$R$3</f>
        <v>0</v>
      </c>
      <c r="T297" s="126" t="n">
        <f aca="false">L297/$R$3</f>
        <v>0</v>
      </c>
      <c r="U297" s="126" t="n">
        <f aca="false">I297/$R$3</f>
        <v>0</v>
      </c>
      <c r="V297" s="126" t="n">
        <f aca="false">M297/$R$3</f>
        <v>0</v>
      </c>
      <c r="W297" s="126" t="n">
        <f aca="false">N297/$R$3</f>
        <v>-221.916</v>
      </c>
    </row>
    <row r="298" customFormat="false" ht="12.75" hidden="false" customHeight="false" outlineLevel="0" collapsed="false">
      <c r="A298" s="120" t="n">
        <f aca="false">A297+1</f>
        <v>37184</v>
      </c>
      <c r="B298" s="131" t="str">
        <f aca="false">INDEX('[4]Master Data'!$A$2:$B$8,MATCH(WEEKDAY('TBS Gas MTM'!A298,3),'[4]Master Data'!$A$2:$A$8,0),2)</f>
        <v>Sa</v>
      </c>
      <c r="D298" s="124" t="n">
        <v>0</v>
      </c>
      <c r="E298" s="124" t="n">
        <v>0</v>
      </c>
      <c r="F298" s="124" t="n">
        <v>0</v>
      </c>
      <c r="G298" s="124" t="n">
        <v>0</v>
      </c>
      <c r="I298" s="124" t="n">
        <f aca="false">IF(MONTH($A298)=MONTH($A297),IF(G298=0,I297,G298),G298)</f>
        <v>0</v>
      </c>
      <c r="J298" s="124" t="n">
        <f aca="false">IF(MONTH($A298)=MONTH($A297),SUM(I298-I297),I298)</f>
        <v>0</v>
      </c>
      <c r="K298" s="124" t="n">
        <f aca="false">IF(WEEKDAY(A298,3)&gt;4,0,(IF(A298&lt;K$2,0,IF(A298&lt;=K$3,1,0))))</f>
        <v>0</v>
      </c>
      <c r="L298" s="124" t="n">
        <f aca="false">J298*K298</f>
        <v>0</v>
      </c>
      <c r="M298" s="124" t="n">
        <f aca="false">SUM(J$280:J298)</f>
        <v>0</v>
      </c>
      <c r="N298" s="124" t="n">
        <f aca="false">SUM(J$6:J298)</f>
        <v>-221916</v>
      </c>
      <c r="P298" s="124" t="n">
        <f aca="false">D298/P$3</f>
        <v>0</v>
      </c>
      <c r="Q298" s="124" t="n">
        <f aca="false">E298/P$3</f>
        <v>0</v>
      </c>
      <c r="R298" s="124" t="n">
        <f aca="false">F298/R$3</f>
        <v>0</v>
      </c>
      <c r="S298" s="126" t="n">
        <f aca="false">J298/$R$3</f>
        <v>0</v>
      </c>
      <c r="T298" s="126" t="n">
        <f aca="false">L298/$R$3</f>
        <v>0</v>
      </c>
      <c r="U298" s="126" t="n">
        <f aca="false">I298/$R$3</f>
        <v>0</v>
      </c>
      <c r="V298" s="126" t="n">
        <f aca="false">M298/$R$3</f>
        <v>0</v>
      </c>
      <c r="W298" s="126" t="n">
        <f aca="false">N298/$R$3</f>
        <v>-221.916</v>
      </c>
    </row>
    <row r="299" customFormat="false" ht="12.75" hidden="false" customHeight="false" outlineLevel="0" collapsed="false">
      <c r="A299" s="120" t="n">
        <f aca="false">A298+1</f>
        <v>37185</v>
      </c>
      <c r="B299" s="131" t="str">
        <f aca="false">INDEX('[4]Master Data'!$A$2:$B$8,MATCH(WEEKDAY('TBS Gas MTM'!A299,3),'[4]Master Data'!$A$2:$A$8,0),2)</f>
        <v>Su</v>
      </c>
      <c r="D299" s="124" t="n">
        <v>0</v>
      </c>
      <c r="E299" s="124" t="n">
        <v>0</v>
      </c>
      <c r="F299" s="124" t="n">
        <v>0</v>
      </c>
      <c r="G299" s="124" t="n">
        <v>0</v>
      </c>
      <c r="I299" s="124" t="n">
        <f aca="false">IF(MONTH($A299)=MONTH($A298),IF(G299=0,I298,G299),G299)</f>
        <v>0</v>
      </c>
      <c r="J299" s="124" t="n">
        <f aca="false">IF(MONTH($A299)=MONTH($A298),SUM(I299-I298),I299)</f>
        <v>0</v>
      </c>
      <c r="K299" s="124" t="n">
        <f aca="false">IF(WEEKDAY(A299,3)&gt;4,0,(IF(A299&lt;K$2,0,IF(A299&lt;=K$3,1,0))))</f>
        <v>0</v>
      </c>
      <c r="L299" s="124" t="n">
        <f aca="false">J299*K299</f>
        <v>0</v>
      </c>
      <c r="M299" s="124" t="n">
        <f aca="false">SUM(J$280:J299)</f>
        <v>0</v>
      </c>
      <c r="N299" s="124" t="n">
        <f aca="false">SUM(J$6:J299)</f>
        <v>-221916</v>
      </c>
      <c r="P299" s="124" t="n">
        <f aca="false">D299/P$3</f>
        <v>0</v>
      </c>
      <c r="Q299" s="124" t="n">
        <f aca="false">E299/P$3</f>
        <v>0</v>
      </c>
      <c r="R299" s="124" t="n">
        <f aca="false">F299/R$3</f>
        <v>0</v>
      </c>
      <c r="S299" s="126" t="n">
        <f aca="false">J299/$R$3</f>
        <v>0</v>
      </c>
      <c r="T299" s="126" t="n">
        <f aca="false">L299/$R$3</f>
        <v>0</v>
      </c>
      <c r="U299" s="126" t="n">
        <f aca="false">I299/$R$3</f>
        <v>0</v>
      </c>
      <c r="V299" s="126" t="n">
        <f aca="false">M299/$R$3</f>
        <v>0</v>
      </c>
      <c r="W299" s="126" t="n">
        <f aca="false">N299/$R$3</f>
        <v>-221.916</v>
      </c>
    </row>
    <row r="300" customFormat="false" ht="12.75" hidden="false" customHeight="false" outlineLevel="0" collapsed="false">
      <c r="A300" s="120" t="n">
        <f aca="false">A299+1</f>
        <v>37186</v>
      </c>
      <c r="B300" s="131" t="str">
        <f aca="false">INDEX('[4]Master Data'!$A$2:$B$8,MATCH(WEEKDAY('TBS Gas MTM'!A300,3),'[4]Master Data'!$A$2:$A$8,0),2)</f>
        <v>M</v>
      </c>
      <c r="D300" s="124" t="n">
        <v>0</v>
      </c>
      <c r="E300" s="124" t="n">
        <v>0</v>
      </c>
      <c r="F300" s="124" t="n">
        <v>0</v>
      </c>
      <c r="G300" s="124" t="n">
        <v>0</v>
      </c>
      <c r="I300" s="124" t="n">
        <f aca="false">IF(MONTH($A300)=MONTH($A299),IF(G300=0,I299,G300),G300)</f>
        <v>0</v>
      </c>
      <c r="J300" s="124" t="n">
        <f aca="false">IF(MONTH($A300)=MONTH($A299),SUM(I300-I299),I300)</f>
        <v>0</v>
      </c>
      <c r="K300" s="124" t="n">
        <f aca="false">IF(WEEKDAY(A300,3)&gt;4,0,(IF(A300&lt;K$2,0,IF(A300&lt;=K$3,1,0))))</f>
        <v>0</v>
      </c>
      <c r="L300" s="124" t="n">
        <f aca="false">J300*K300</f>
        <v>0</v>
      </c>
      <c r="M300" s="124" t="n">
        <f aca="false">SUM(J$280:J300)</f>
        <v>0</v>
      </c>
      <c r="N300" s="124" t="n">
        <f aca="false">SUM(J$6:J300)</f>
        <v>-221916</v>
      </c>
      <c r="P300" s="124" t="n">
        <f aca="false">D300/P$3</f>
        <v>0</v>
      </c>
      <c r="Q300" s="124" t="n">
        <f aca="false">E300/P$3</f>
        <v>0</v>
      </c>
      <c r="R300" s="124" t="n">
        <f aca="false">F300/R$3</f>
        <v>0</v>
      </c>
      <c r="S300" s="126" t="n">
        <f aca="false">J300/$R$3</f>
        <v>0</v>
      </c>
      <c r="T300" s="126" t="n">
        <f aca="false">L300/$R$3</f>
        <v>0</v>
      </c>
      <c r="U300" s="126" t="n">
        <f aca="false">I300/$R$3</f>
        <v>0</v>
      </c>
      <c r="V300" s="126" t="n">
        <f aca="false">M300/$R$3</f>
        <v>0</v>
      </c>
      <c r="W300" s="126" t="n">
        <f aca="false">N300/$R$3</f>
        <v>-221.916</v>
      </c>
    </row>
    <row r="301" customFormat="false" ht="12.75" hidden="false" customHeight="false" outlineLevel="0" collapsed="false">
      <c r="A301" s="120" t="n">
        <f aca="false">A300+1</f>
        <v>37187</v>
      </c>
      <c r="B301" s="131" t="str">
        <f aca="false">INDEX('[4]Master Data'!$A$2:$B$8,MATCH(WEEKDAY('TBS Gas MTM'!A301,3),'[4]Master Data'!$A$2:$A$8,0),2)</f>
        <v>T</v>
      </c>
      <c r="D301" s="124" t="n">
        <v>0</v>
      </c>
      <c r="E301" s="124" t="n">
        <v>0</v>
      </c>
      <c r="F301" s="124" t="n">
        <v>0</v>
      </c>
      <c r="G301" s="124" t="n">
        <v>0</v>
      </c>
      <c r="I301" s="124" t="n">
        <f aca="false">IF(MONTH($A301)=MONTH($A300),IF(G301=0,I300,G301),G301)</f>
        <v>0</v>
      </c>
      <c r="J301" s="124" t="n">
        <f aca="false">IF(MONTH($A301)=MONTH($A300),SUM(I301-I300),I301)</f>
        <v>0</v>
      </c>
      <c r="K301" s="124" t="n">
        <f aca="false">IF(WEEKDAY(A301,3)&gt;4,0,(IF(A301&lt;K$2,0,IF(A301&lt;=K$3,1,0))))</f>
        <v>0</v>
      </c>
      <c r="L301" s="124" t="n">
        <f aca="false">J301*K301</f>
        <v>0</v>
      </c>
      <c r="M301" s="124" t="n">
        <f aca="false">SUM(J$280:J301)</f>
        <v>0</v>
      </c>
      <c r="N301" s="124" t="n">
        <f aca="false">SUM(J$6:J301)</f>
        <v>-221916</v>
      </c>
      <c r="P301" s="124" t="n">
        <f aca="false">D301/P$3</f>
        <v>0</v>
      </c>
      <c r="Q301" s="124" t="n">
        <f aca="false">E301/P$3</f>
        <v>0</v>
      </c>
      <c r="R301" s="124" t="n">
        <f aca="false">F301/R$3</f>
        <v>0</v>
      </c>
      <c r="S301" s="126" t="n">
        <f aca="false">J301/$R$3</f>
        <v>0</v>
      </c>
      <c r="T301" s="126" t="n">
        <f aca="false">L301/$R$3</f>
        <v>0</v>
      </c>
      <c r="U301" s="126" t="n">
        <f aca="false">I301/$R$3</f>
        <v>0</v>
      </c>
      <c r="V301" s="126" t="n">
        <f aca="false">M301/$R$3</f>
        <v>0</v>
      </c>
      <c r="W301" s="126" t="n">
        <f aca="false">N301/$R$3</f>
        <v>-221.916</v>
      </c>
    </row>
    <row r="302" customFormat="false" ht="12.75" hidden="false" customHeight="false" outlineLevel="0" collapsed="false">
      <c r="A302" s="120" t="n">
        <f aca="false">A301+1</f>
        <v>37188</v>
      </c>
      <c r="B302" s="131" t="str">
        <f aca="false">INDEX('[4]Master Data'!$A$2:$B$8,MATCH(WEEKDAY('TBS Gas MTM'!A302,3),'[4]Master Data'!$A$2:$A$8,0),2)</f>
        <v>W</v>
      </c>
      <c r="D302" s="124" t="n">
        <v>0</v>
      </c>
      <c r="E302" s="124" t="n">
        <v>0</v>
      </c>
      <c r="F302" s="124" t="n">
        <v>0</v>
      </c>
      <c r="G302" s="124" t="n">
        <v>0</v>
      </c>
      <c r="I302" s="124" t="n">
        <f aca="false">IF(MONTH($A302)=MONTH($A301),IF(G302=0,I301,G302),G302)</f>
        <v>0</v>
      </c>
      <c r="J302" s="124" t="n">
        <f aca="false">IF(MONTH($A302)=MONTH($A301),SUM(I302-I301),I302)</f>
        <v>0</v>
      </c>
      <c r="K302" s="124" t="n">
        <f aca="false">IF(WEEKDAY(A302,3)&gt;4,0,(IF(A302&lt;K$2,0,IF(A302&lt;=K$3,1,0))))</f>
        <v>0</v>
      </c>
      <c r="L302" s="124" t="n">
        <f aca="false">J302*K302</f>
        <v>0</v>
      </c>
      <c r="M302" s="124" t="n">
        <f aca="false">SUM(J$280:J302)</f>
        <v>0</v>
      </c>
      <c r="N302" s="124" t="n">
        <f aca="false">SUM(J$6:J302)</f>
        <v>-221916</v>
      </c>
      <c r="P302" s="124" t="n">
        <f aca="false">D302/P$3</f>
        <v>0</v>
      </c>
      <c r="Q302" s="124" t="n">
        <f aca="false">E302/P$3</f>
        <v>0</v>
      </c>
      <c r="R302" s="124" t="n">
        <f aca="false">F302/R$3</f>
        <v>0</v>
      </c>
      <c r="S302" s="126" t="n">
        <f aca="false">J302/$R$3</f>
        <v>0</v>
      </c>
      <c r="T302" s="126" t="n">
        <f aca="false">L302/$R$3</f>
        <v>0</v>
      </c>
      <c r="U302" s="126" t="n">
        <f aca="false">I302/$R$3</f>
        <v>0</v>
      </c>
      <c r="V302" s="126" t="n">
        <f aca="false">M302/$R$3</f>
        <v>0</v>
      </c>
      <c r="W302" s="126" t="n">
        <f aca="false">N302/$R$3</f>
        <v>-221.916</v>
      </c>
    </row>
    <row r="303" customFormat="false" ht="12.75" hidden="false" customHeight="false" outlineLevel="0" collapsed="false">
      <c r="A303" s="120" t="n">
        <f aca="false">A302+1</f>
        <v>37189</v>
      </c>
      <c r="B303" s="131" t="str">
        <f aca="false">INDEX('[4]Master Data'!$A$2:$B$8,MATCH(WEEKDAY('TBS Gas MTM'!A303,3),'[4]Master Data'!$A$2:$A$8,0),2)</f>
        <v>Th</v>
      </c>
      <c r="D303" s="124" t="n">
        <v>0</v>
      </c>
      <c r="E303" s="124" t="n">
        <v>0</v>
      </c>
      <c r="F303" s="124" t="n">
        <v>0</v>
      </c>
      <c r="G303" s="124" t="n">
        <v>0</v>
      </c>
      <c r="I303" s="124" t="n">
        <f aca="false">IF(MONTH($A303)=MONTH($A302),IF(G303=0,I302,G303),G303)</f>
        <v>0</v>
      </c>
      <c r="J303" s="124" t="n">
        <f aca="false">IF(MONTH($A303)=MONTH($A302),SUM(I303-I302),I303)</f>
        <v>0</v>
      </c>
      <c r="K303" s="124" t="n">
        <f aca="false">IF(WEEKDAY(A303,3)&gt;4,0,(IF(A303&lt;K$2,0,IF(A303&lt;=K$3,1,0))))</f>
        <v>0</v>
      </c>
      <c r="L303" s="124" t="n">
        <f aca="false">J303*K303</f>
        <v>0</v>
      </c>
      <c r="M303" s="124" t="n">
        <f aca="false">SUM(J$280:J303)</f>
        <v>0</v>
      </c>
      <c r="N303" s="124" t="n">
        <f aca="false">SUM(J$6:J303)</f>
        <v>-221916</v>
      </c>
      <c r="P303" s="124" t="n">
        <f aca="false">D303/P$3</f>
        <v>0</v>
      </c>
      <c r="Q303" s="124" t="n">
        <f aca="false">E303/P$3</f>
        <v>0</v>
      </c>
      <c r="R303" s="124" t="n">
        <f aca="false">F303/R$3</f>
        <v>0</v>
      </c>
      <c r="S303" s="126" t="n">
        <f aca="false">J303/$R$3</f>
        <v>0</v>
      </c>
      <c r="T303" s="126" t="n">
        <f aca="false">L303/$R$3</f>
        <v>0</v>
      </c>
      <c r="U303" s="126" t="n">
        <f aca="false">I303/$R$3</f>
        <v>0</v>
      </c>
      <c r="V303" s="126" t="n">
        <f aca="false">M303/$R$3</f>
        <v>0</v>
      </c>
      <c r="W303" s="126" t="n">
        <f aca="false">N303/$R$3</f>
        <v>-221.916</v>
      </c>
    </row>
    <row r="304" customFormat="false" ht="12.75" hidden="false" customHeight="false" outlineLevel="0" collapsed="false">
      <c r="A304" s="120" t="n">
        <f aca="false">A303+1</f>
        <v>37190</v>
      </c>
      <c r="B304" s="131" t="str">
        <f aca="false">INDEX('[4]Master Data'!$A$2:$B$8,MATCH(WEEKDAY('TBS Gas MTM'!A304,3),'[4]Master Data'!$A$2:$A$8,0),2)</f>
        <v>F</v>
      </c>
      <c r="D304" s="124" t="n">
        <v>0</v>
      </c>
      <c r="E304" s="124" t="n">
        <v>0</v>
      </c>
      <c r="F304" s="124" t="n">
        <v>0</v>
      </c>
      <c r="G304" s="124" t="n">
        <v>0</v>
      </c>
      <c r="I304" s="124" t="n">
        <f aca="false">IF(MONTH($A304)=MONTH($A303),IF(G304=0,I303,G304),G304)</f>
        <v>0</v>
      </c>
      <c r="J304" s="124" t="n">
        <f aca="false">IF(MONTH($A304)=MONTH($A303),SUM(I304-I303),I304)</f>
        <v>0</v>
      </c>
      <c r="K304" s="124" t="n">
        <f aca="false">IF(WEEKDAY(A304,3)&gt;4,0,(IF(A304&lt;K$2,0,IF(A304&lt;=K$3,1,0))))</f>
        <v>1</v>
      </c>
      <c r="L304" s="124" t="n">
        <f aca="false">J304*K304</f>
        <v>0</v>
      </c>
      <c r="M304" s="124" t="n">
        <f aca="false">SUM(J$280:J304)</f>
        <v>0</v>
      </c>
      <c r="N304" s="124" t="n">
        <f aca="false">SUM(J$6:J304)</f>
        <v>-221916</v>
      </c>
      <c r="P304" s="124" t="n">
        <f aca="false">D304/P$3</f>
        <v>0</v>
      </c>
      <c r="Q304" s="124" t="n">
        <f aca="false">E304/P$3</f>
        <v>0</v>
      </c>
      <c r="R304" s="124" t="n">
        <f aca="false">F304/R$3</f>
        <v>0</v>
      </c>
      <c r="S304" s="126" t="n">
        <f aca="false">J304/$R$3</f>
        <v>0</v>
      </c>
      <c r="T304" s="126" t="n">
        <f aca="false">L304/$R$3</f>
        <v>0</v>
      </c>
      <c r="U304" s="126" t="n">
        <f aca="false">I304/$R$3</f>
        <v>0</v>
      </c>
      <c r="V304" s="126" t="n">
        <f aca="false">M304/$R$3</f>
        <v>0</v>
      </c>
      <c r="W304" s="126" t="n">
        <f aca="false">N304/$R$3</f>
        <v>-221.916</v>
      </c>
    </row>
    <row r="305" customFormat="false" ht="12.75" hidden="false" customHeight="false" outlineLevel="0" collapsed="false">
      <c r="A305" s="120" t="n">
        <f aca="false">A304+1</f>
        <v>37191</v>
      </c>
      <c r="B305" s="131" t="str">
        <f aca="false">INDEX('[4]Master Data'!$A$2:$B$8,MATCH(WEEKDAY('TBS Gas MTM'!A305,3),'[4]Master Data'!$A$2:$A$8,0),2)</f>
        <v>Sa</v>
      </c>
      <c r="D305" s="124" t="n">
        <v>0</v>
      </c>
      <c r="E305" s="124" t="n">
        <v>0</v>
      </c>
      <c r="F305" s="124" t="n">
        <v>0</v>
      </c>
      <c r="G305" s="124" t="n">
        <v>0</v>
      </c>
      <c r="I305" s="124" t="n">
        <f aca="false">IF(MONTH($A305)=MONTH($A304),IF(G305=0,I304,G305),G305)</f>
        <v>0</v>
      </c>
      <c r="J305" s="124" t="n">
        <f aca="false">IF(MONTH($A305)=MONTH($A304),SUM(I305-I304),I305)</f>
        <v>0</v>
      </c>
      <c r="K305" s="124" t="n">
        <f aca="false">IF(WEEKDAY(A305,3)&gt;4,0,(IF(A305&lt;K$2,0,IF(A305&lt;=K$3,1,0))))</f>
        <v>0</v>
      </c>
      <c r="L305" s="124" t="n">
        <f aca="false">J305*K305</f>
        <v>0</v>
      </c>
      <c r="M305" s="124" t="n">
        <f aca="false">SUM(J$280:J305)</f>
        <v>0</v>
      </c>
      <c r="N305" s="124" t="n">
        <f aca="false">SUM(J$6:J305)</f>
        <v>-221916</v>
      </c>
      <c r="P305" s="124" t="n">
        <f aca="false">D305/P$3</f>
        <v>0</v>
      </c>
      <c r="Q305" s="124" t="n">
        <f aca="false">E305/P$3</f>
        <v>0</v>
      </c>
      <c r="R305" s="124" t="n">
        <f aca="false">F305/R$3</f>
        <v>0</v>
      </c>
      <c r="S305" s="126" t="n">
        <f aca="false">J305/$R$3</f>
        <v>0</v>
      </c>
      <c r="T305" s="126" t="n">
        <f aca="false">L305/$R$3</f>
        <v>0</v>
      </c>
      <c r="U305" s="126" t="n">
        <f aca="false">I305/$R$3</f>
        <v>0</v>
      </c>
      <c r="V305" s="126" t="n">
        <f aca="false">M305/$R$3</f>
        <v>0</v>
      </c>
      <c r="W305" s="126" t="n">
        <f aca="false">N305/$R$3</f>
        <v>-221.916</v>
      </c>
    </row>
    <row r="306" customFormat="false" ht="12.75" hidden="false" customHeight="false" outlineLevel="0" collapsed="false">
      <c r="A306" s="120" t="n">
        <f aca="false">A305+1</f>
        <v>37192</v>
      </c>
      <c r="B306" s="131" t="str">
        <f aca="false">INDEX('[4]Master Data'!$A$2:$B$8,MATCH(WEEKDAY('TBS Gas MTM'!A306,3),'[4]Master Data'!$A$2:$A$8,0),2)</f>
        <v>Su</v>
      </c>
      <c r="D306" s="124" t="n">
        <v>0</v>
      </c>
      <c r="E306" s="124" t="n">
        <v>0</v>
      </c>
      <c r="F306" s="124" t="n">
        <v>0</v>
      </c>
      <c r="G306" s="124" t="n">
        <v>0</v>
      </c>
      <c r="I306" s="124" t="n">
        <f aca="false">IF(MONTH($A306)=MONTH($A305),IF(G306=0,I305,G306),G306)</f>
        <v>0</v>
      </c>
      <c r="J306" s="124" t="n">
        <f aca="false">IF(MONTH($A306)=MONTH($A305),SUM(I306-I305),I306)</f>
        <v>0</v>
      </c>
      <c r="K306" s="124" t="n">
        <f aca="false">IF(WEEKDAY(A306,3)&gt;4,0,(IF(A306&lt;K$2,0,IF(A306&lt;=K$3,1,0))))</f>
        <v>0</v>
      </c>
      <c r="L306" s="124" t="n">
        <f aca="false">J306*K306</f>
        <v>0</v>
      </c>
      <c r="M306" s="124" t="n">
        <f aca="false">SUM(J$280:J306)</f>
        <v>0</v>
      </c>
      <c r="N306" s="124" t="n">
        <f aca="false">SUM(J$6:J306)</f>
        <v>-221916</v>
      </c>
      <c r="P306" s="124" t="n">
        <f aca="false">D306/P$3</f>
        <v>0</v>
      </c>
      <c r="Q306" s="124" t="n">
        <f aca="false">E306/P$3</f>
        <v>0</v>
      </c>
      <c r="R306" s="124" t="n">
        <f aca="false">F306/R$3</f>
        <v>0</v>
      </c>
      <c r="S306" s="126" t="n">
        <f aca="false">J306/$R$3</f>
        <v>0</v>
      </c>
      <c r="T306" s="126" t="n">
        <f aca="false">L306/$R$3</f>
        <v>0</v>
      </c>
      <c r="U306" s="126" t="n">
        <f aca="false">I306/$R$3</f>
        <v>0</v>
      </c>
      <c r="V306" s="126" t="n">
        <f aca="false">M306/$R$3</f>
        <v>0</v>
      </c>
      <c r="W306" s="126" t="n">
        <f aca="false">N306/$R$3</f>
        <v>-221.916</v>
      </c>
    </row>
    <row r="307" customFormat="false" ht="12.75" hidden="false" customHeight="false" outlineLevel="0" collapsed="false">
      <c r="A307" s="120" t="n">
        <f aca="false">A306+1</f>
        <v>37193</v>
      </c>
      <c r="B307" s="131" t="str">
        <f aca="false">INDEX('[4]Master Data'!$A$2:$B$8,MATCH(WEEKDAY('TBS Gas MTM'!A307,3),'[4]Master Data'!$A$2:$A$8,0),2)</f>
        <v>M</v>
      </c>
      <c r="D307" s="124" t="n">
        <v>0</v>
      </c>
      <c r="E307" s="124" t="n">
        <v>0</v>
      </c>
      <c r="F307" s="124" t="n">
        <v>0</v>
      </c>
      <c r="G307" s="124" t="n">
        <v>0</v>
      </c>
      <c r="I307" s="124" t="n">
        <f aca="false">IF(MONTH($A307)=MONTH($A306),IF(G307=0,I306,G307),G307)</f>
        <v>0</v>
      </c>
      <c r="J307" s="124" t="n">
        <f aca="false">IF(MONTH($A307)=MONTH($A306),SUM(I307-I306),I307)</f>
        <v>0</v>
      </c>
      <c r="K307" s="124" t="n">
        <f aca="false">IF(WEEKDAY(A307,3)&gt;4,0,(IF(A307&lt;K$2,0,IF(A307&lt;=K$3,1,0))))</f>
        <v>1</v>
      </c>
      <c r="L307" s="124" t="n">
        <f aca="false">J307*K307</f>
        <v>0</v>
      </c>
      <c r="M307" s="124" t="n">
        <f aca="false">SUM(J$280:J307)</f>
        <v>0</v>
      </c>
      <c r="N307" s="124" t="n">
        <f aca="false">SUM(J$6:J307)</f>
        <v>-221916</v>
      </c>
      <c r="P307" s="124" t="n">
        <f aca="false">D307/P$3</f>
        <v>0</v>
      </c>
      <c r="Q307" s="124" t="n">
        <f aca="false">E307/P$3</f>
        <v>0</v>
      </c>
      <c r="R307" s="124" t="n">
        <f aca="false">F307/R$3</f>
        <v>0</v>
      </c>
      <c r="S307" s="126" t="n">
        <f aca="false">J307/$R$3</f>
        <v>0</v>
      </c>
      <c r="T307" s="126" t="n">
        <f aca="false">L307/$R$3</f>
        <v>0</v>
      </c>
      <c r="U307" s="126" t="n">
        <f aca="false">I307/$R$3</f>
        <v>0</v>
      </c>
      <c r="V307" s="126" t="n">
        <f aca="false">M307/$R$3</f>
        <v>0</v>
      </c>
      <c r="W307" s="126" t="n">
        <f aca="false">N307/$R$3</f>
        <v>-221.916</v>
      </c>
    </row>
    <row r="308" customFormat="false" ht="12.75" hidden="false" customHeight="false" outlineLevel="0" collapsed="false">
      <c r="A308" s="120" t="n">
        <f aca="false">A307+1</f>
        <v>37194</v>
      </c>
      <c r="B308" s="131" t="str">
        <f aca="false">INDEX('[4]Master Data'!$A$2:$B$8,MATCH(WEEKDAY('TBS Gas MTM'!A308,3),'[4]Master Data'!$A$2:$A$8,0),2)</f>
        <v>T</v>
      </c>
      <c r="D308" s="124" t="n">
        <v>0</v>
      </c>
      <c r="E308" s="124" t="n">
        <v>0</v>
      </c>
      <c r="F308" s="124" t="n">
        <v>0</v>
      </c>
      <c r="G308" s="124" t="n">
        <v>0</v>
      </c>
      <c r="I308" s="124" t="n">
        <f aca="false">IF(MONTH($A308)=MONTH($A307),IF(G308=0,I307,G308),G308)</f>
        <v>0</v>
      </c>
      <c r="J308" s="124" t="n">
        <f aca="false">IF(MONTH($A308)=MONTH($A307),SUM(I308-I307),I308)</f>
        <v>0</v>
      </c>
      <c r="K308" s="124" t="n">
        <f aca="false">IF(WEEKDAY(A308,3)&gt;4,0,(IF(A308&lt;K$2,0,IF(A308&lt;=K$3,1,0))))</f>
        <v>1</v>
      </c>
      <c r="L308" s="124" t="n">
        <f aca="false">J308*K308</f>
        <v>0</v>
      </c>
      <c r="M308" s="124" t="n">
        <f aca="false">SUM(J$280:J308)</f>
        <v>0</v>
      </c>
      <c r="N308" s="124" t="n">
        <f aca="false">SUM(J$6:J308)</f>
        <v>-221916</v>
      </c>
      <c r="P308" s="124" t="n">
        <f aca="false">D308/P$3</f>
        <v>0</v>
      </c>
      <c r="Q308" s="124" t="n">
        <f aca="false">E308/P$3</f>
        <v>0</v>
      </c>
      <c r="R308" s="124" t="n">
        <f aca="false">F308/R$3</f>
        <v>0</v>
      </c>
      <c r="S308" s="126" t="n">
        <f aca="false">J308/$R$3</f>
        <v>0</v>
      </c>
      <c r="T308" s="126" t="n">
        <f aca="false">L308/$R$3</f>
        <v>0</v>
      </c>
      <c r="U308" s="126" t="n">
        <f aca="false">I308/$R$3</f>
        <v>0</v>
      </c>
      <c r="V308" s="126" t="n">
        <f aca="false">M308/$R$3</f>
        <v>0</v>
      </c>
      <c r="W308" s="126" t="n">
        <f aca="false">N308/$R$3</f>
        <v>-221.916</v>
      </c>
    </row>
    <row r="309" customFormat="false" ht="12.75" hidden="false" customHeight="false" outlineLevel="0" collapsed="false">
      <c r="A309" s="120" t="n">
        <f aca="false">A308+1</f>
        <v>37195</v>
      </c>
      <c r="B309" s="131" t="str">
        <f aca="false">INDEX('[4]Master Data'!$A$2:$B$8,MATCH(WEEKDAY('TBS Gas MTM'!A309,3),'[4]Master Data'!$A$2:$A$8,0),2)</f>
        <v>W</v>
      </c>
      <c r="D309" s="124" t="n">
        <v>0</v>
      </c>
      <c r="E309" s="124" t="n">
        <v>0</v>
      </c>
      <c r="F309" s="124" t="n">
        <v>0</v>
      </c>
      <c r="G309" s="124" t="n">
        <v>0</v>
      </c>
      <c r="I309" s="124" t="n">
        <f aca="false">IF(MONTH($A309)=MONTH($A308),IF(G309=0,I308,G309),G309)</f>
        <v>0</v>
      </c>
      <c r="J309" s="124" t="n">
        <f aca="false">IF(MONTH($A309)=MONTH($A308),SUM(I309-I308),I309)</f>
        <v>0</v>
      </c>
      <c r="K309" s="124" t="n">
        <f aca="false">IF(WEEKDAY(A309,3)&gt;4,0,(IF(A309&lt;K$2,0,IF(A309&lt;=K$3,1,0))))</f>
        <v>1</v>
      </c>
      <c r="L309" s="124" t="n">
        <f aca="false">J309*K309</f>
        <v>0</v>
      </c>
      <c r="M309" s="124" t="n">
        <f aca="false">SUM(J$280:J309)</f>
        <v>0</v>
      </c>
      <c r="N309" s="124" t="n">
        <f aca="false">SUM(J$6:J309)</f>
        <v>-221916</v>
      </c>
      <c r="P309" s="124" t="n">
        <f aca="false">D309/P$3</f>
        <v>0</v>
      </c>
      <c r="Q309" s="124" t="n">
        <f aca="false">E309/P$3</f>
        <v>0</v>
      </c>
      <c r="R309" s="124" t="n">
        <f aca="false">F309/R$3</f>
        <v>0</v>
      </c>
      <c r="S309" s="126" t="n">
        <f aca="false">J309/$R$3</f>
        <v>0</v>
      </c>
      <c r="T309" s="126" t="n">
        <f aca="false">L309/$R$3</f>
        <v>0</v>
      </c>
      <c r="U309" s="126" t="n">
        <f aca="false">I309/$R$3</f>
        <v>0</v>
      </c>
      <c r="V309" s="126" t="n">
        <f aca="false">M309/$R$3</f>
        <v>0</v>
      </c>
      <c r="W309" s="126" t="n">
        <f aca="false">N309/$R$3</f>
        <v>-221.916</v>
      </c>
    </row>
    <row r="310" customFormat="false" ht="12.75" hidden="false" customHeight="false" outlineLevel="0" collapsed="false">
      <c r="A310" s="120" t="n">
        <f aca="false">A309+1</f>
        <v>37196</v>
      </c>
      <c r="B310" s="131" t="str">
        <f aca="false">INDEX('[4]Master Data'!$A$2:$B$8,MATCH(WEEKDAY('TBS Gas MTM'!A310,3),'[4]Master Data'!$A$2:$A$8,0),2)</f>
        <v>Th</v>
      </c>
      <c r="D310" s="124" t="n">
        <v>0</v>
      </c>
      <c r="E310" s="124" t="n">
        <v>0</v>
      </c>
      <c r="F310" s="124" t="n">
        <v>0</v>
      </c>
      <c r="G310" s="124" t="n">
        <v>0</v>
      </c>
      <c r="I310" s="124" t="n">
        <f aca="false">IF(MONTH($A310)=MONTH($A309),IF(G310=0,I309,G310),G310)</f>
        <v>0</v>
      </c>
      <c r="J310" s="124" t="n">
        <f aca="false">IF(MONTH($A310)=MONTH($A309),SUM(I310-I309),I310)</f>
        <v>0</v>
      </c>
      <c r="K310" s="124" t="n">
        <f aca="false">IF(WEEKDAY(A310,3)&gt;4,0,(IF(A310&lt;K$2,0,IF(A310&lt;=K$3,1,0))))</f>
        <v>1</v>
      </c>
      <c r="L310" s="124" t="n">
        <f aca="false">J310*K310</f>
        <v>0</v>
      </c>
      <c r="M310" s="124" t="n">
        <f aca="false">SUM(J$280:J310)</f>
        <v>0</v>
      </c>
      <c r="N310" s="124" t="n">
        <f aca="false">SUM(J$6:J310)</f>
        <v>-221916</v>
      </c>
      <c r="P310" s="124" t="n">
        <f aca="false">D310/P$3</f>
        <v>0</v>
      </c>
      <c r="Q310" s="124" t="n">
        <f aca="false">E310/P$3</f>
        <v>0</v>
      </c>
      <c r="R310" s="124" t="n">
        <f aca="false">F310/R$3</f>
        <v>0</v>
      </c>
      <c r="S310" s="126" t="n">
        <f aca="false">J310/$R$3</f>
        <v>0</v>
      </c>
      <c r="T310" s="126" t="n">
        <f aca="false">L310/$R$3</f>
        <v>0</v>
      </c>
      <c r="U310" s="126" t="n">
        <f aca="false">I310/$R$3</f>
        <v>0</v>
      </c>
      <c r="V310" s="126" t="n">
        <f aca="false">M310/$R$3</f>
        <v>0</v>
      </c>
      <c r="W310" s="126" t="n">
        <f aca="false">N310/$R$3</f>
        <v>-221.916</v>
      </c>
    </row>
    <row r="311" customFormat="false" ht="12.75" hidden="false" customHeight="false" outlineLevel="0" collapsed="false">
      <c r="A311" s="120" t="n">
        <f aca="false">A310+1</f>
        <v>37197</v>
      </c>
      <c r="B311" s="131" t="str">
        <f aca="false">INDEX('[4]Master Data'!$A$2:$B$8,MATCH(WEEKDAY('TBS Gas MTM'!A311,3),'[4]Master Data'!$A$2:$A$8,0),2)</f>
        <v>F</v>
      </c>
      <c r="D311" s="124" t="n">
        <v>0</v>
      </c>
      <c r="E311" s="124" t="n">
        <v>0</v>
      </c>
      <c r="F311" s="124" t="n">
        <v>0</v>
      </c>
      <c r="G311" s="124" t="n">
        <v>0</v>
      </c>
      <c r="I311" s="124" t="n">
        <f aca="false">IF(MONTH($A311)=MONTH($A310),IF(G311=0,I310,G311),G311)</f>
        <v>0</v>
      </c>
      <c r="J311" s="124" t="n">
        <f aca="false">IF(MONTH($A311)=MONTH($A310),SUM(I311-I310),I311)</f>
        <v>0</v>
      </c>
      <c r="K311" s="124" t="n">
        <f aca="false">IF(WEEKDAY(A311,3)&gt;4,0,(IF(A311&lt;K$2,0,IF(A311&lt;=K$3,1,0))))</f>
        <v>0</v>
      </c>
      <c r="L311" s="124" t="n">
        <f aca="false">J311*K311</f>
        <v>0</v>
      </c>
      <c r="M311" s="124" t="n">
        <f aca="false">SUM(J$280:J311)</f>
        <v>0</v>
      </c>
      <c r="N311" s="124" t="n">
        <f aca="false">SUM(J$6:J311)</f>
        <v>-221916</v>
      </c>
      <c r="P311" s="124" t="n">
        <f aca="false">D311/P$3</f>
        <v>0</v>
      </c>
      <c r="Q311" s="124" t="n">
        <f aca="false">E311/P$3</f>
        <v>0</v>
      </c>
      <c r="R311" s="124" t="n">
        <f aca="false">F311/R$3</f>
        <v>0</v>
      </c>
      <c r="S311" s="126" t="n">
        <f aca="false">J311/$R$3</f>
        <v>0</v>
      </c>
      <c r="T311" s="126" t="n">
        <f aca="false">L311/$R$3</f>
        <v>0</v>
      </c>
      <c r="U311" s="126" t="n">
        <f aca="false">I311/$R$3</f>
        <v>0</v>
      </c>
      <c r="V311" s="126" t="n">
        <f aca="false">M311/$R$3</f>
        <v>0</v>
      </c>
      <c r="W311" s="126" t="n">
        <f aca="false">N311/$R$3</f>
        <v>-221.916</v>
      </c>
    </row>
    <row r="312" customFormat="false" ht="12.75" hidden="false" customHeight="false" outlineLevel="0" collapsed="false">
      <c r="A312" s="120" t="n">
        <f aca="false">A311+1</f>
        <v>37198</v>
      </c>
      <c r="B312" s="131" t="str">
        <f aca="false">INDEX('[4]Master Data'!$A$2:$B$8,MATCH(WEEKDAY('TBS Gas MTM'!A312,3),'[4]Master Data'!$A$2:$A$8,0),2)</f>
        <v>Sa</v>
      </c>
      <c r="D312" s="124" t="n">
        <v>0</v>
      </c>
      <c r="E312" s="124" t="n">
        <v>0</v>
      </c>
      <c r="F312" s="124" t="n">
        <v>0</v>
      </c>
      <c r="G312" s="124" t="n">
        <v>0</v>
      </c>
      <c r="I312" s="124" t="n">
        <f aca="false">IF(MONTH($A312)=MONTH($A311),IF(G312=0,I311,G312),G312)</f>
        <v>0</v>
      </c>
      <c r="J312" s="124" t="n">
        <f aca="false">IF(MONTH($A312)=MONTH($A311),SUM(I312-I311),I312)</f>
        <v>0</v>
      </c>
      <c r="K312" s="124" t="n">
        <f aca="false">IF(WEEKDAY(A312,3)&gt;4,0,(IF(A312&lt;K$2,0,IF(A312&lt;=K$3,1,0))))</f>
        <v>0</v>
      </c>
      <c r="L312" s="124" t="n">
        <f aca="false">J312*K312</f>
        <v>0</v>
      </c>
      <c r="M312" s="124" t="n">
        <f aca="false">SUM(J$280:J312)</f>
        <v>0</v>
      </c>
      <c r="N312" s="124" t="n">
        <f aca="false">SUM(J$6:J312)</f>
        <v>-221916</v>
      </c>
      <c r="P312" s="124" t="n">
        <f aca="false">D312/P$3</f>
        <v>0</v>
      </c>
      <c r="Q312" s="124" t="n">
        <f aca="false">E312/P$3</f>
        <v>0</v>
      </c>
      <c r="R312" s="124" t="n">
        <f aca="false">F312/R$3</f>
        <v>0</v>
      </c>
      <c r="S312" s="126" t="n">
        <f aca="false">J312/$R$3</f>
        <v>0</v>
      </c>
      <c r="T312" s="126" t="n">
        <f aca="false">L312/$R$3</f>
        <v>0</v>
      </c>
      <c r="U312" s="126" t="n">
        <f aca="false">I312/$R$3</f>
        <v>0</v>
      </c>
      <c r="V312" s="126" t="n">
        <f aca="false">M312/$R$3</f>
        <v>0</v>
      </c>
      <c r="W312" s="126" t="n">
        <f aca="false">N312/$R$3</f>
        <v>-221.916</v>
      </c>
    </row>
    <row r="313" customFormat="false" ht="12.75" hidden="false" customHeight="false" outlineLevel="0" collapsed="false">
      <c r="A313" s="120" t="n">
        <f aca="false">A312+1</f>
        <v>37199</v>
      </c>
      <c r="B313" s="131" t="str">
        <f aca="false">INDEX('[4]Master Data'!$A$2:$B$8,MATCH(WEEKDAY('TBS Gas MTM'!A313,3),'[4]Master Data'!$A$2:$A$8,0),2)</f>
        <v>Su</v>
      </c>
      <c r="D313" s="124" t="n">
        <v>0</v>
      </c>
      <c r="E313" s="124" t="n">
        <v>0</v>
      </c>
      <c r="F313" s="124" t="n">
        <v>0</v>
      </c>
      <c r="G313" s="124" t="n">
        <v>0</v>
      </c>
      <c r="I313" s="124" t="n">
        <f aca="false">IF(MONTH($A313)=MONTH($A312),IF(G313=0,I312,G313),G313)</f>
        <v>0</v>
      </c>
      <c r="J313" s="124" t="n">
        <f aca="false">IF(MONTH($A313)=MONTH($A312),SUM(I313-I312),I313)</f>
        <v>0</v>
      </c>
      <c r="K313" s="124" t="n">
        <f aca="false">IF(WEEKDAY(A313,3)&gt;4,0,(IF(A313&lt;K$2,0,IF(A313&lt;=K$3,1,0))))</f>
        <v>0</v>
      </c>
      <c r="L313" s="124" t="n">
        <f aca="false">J313*K313</f>
        <v>0</v>
      </c>
      <c r="M313" s="124" t="n">
        <f aca="false">SUM(J$280:J313)</f>
        <v>0</v>
      </c>
      <c r="N313" s="124" t="n">
        <f aca="false">SUM(J$6:J313)</f>
        <v>-221916</v>
      </c>
      <c r="P313" s="124" t="n">
        <f aca="false">D313/P$3</f>
        <v>0</v>
      </c>
      <c r="Q313" s="124" t="n">
        <f aca="false">E313/P$3</f>
        <v>0</v>
      </c>
      <c r="R313" s="124" t="n">
        <f aca="false">F313/R$3</f>
        <v>0</v>
      </c>
      <c r="S313" s="126" t="n">
        <f aca="false">J313/$R$3</f>
        <v>0</v>
      </c>
      <c r="T313" s="126" t="n">
        <f aca="false">L313/$R$3</f>
        <v>0</v>
      </c>
      <c r="U313" s="126" t="n">
        <f aca="false">I313/$R$3</f>
        <v>0</v>
      </c>
      <c r="V313" s="126" t="n">
        <f aca="false">M313/$R$3</f>
        <v>0</v>
      </c>
      <c r="W313" s="126" t="n">
        <f aca="false">N313/$R$3</f>
        <v>-221.916</v>
      </c>
    </row>
    <row r="314" customFormat="false" ht="12.75" hidden="false" customHeight="false" outlineLevel="0" collapsed="false">
      <c r="A314" s="120" t="n">
        <f aca="false">A313+1</f>
        <v>37200</v>
      </c>
      <c r="B314" s="131" t="str">
        <f aca="false">INDEX('[4]Master Data'!$A$2:$B$8,MATCH(WEEKDAY('TBS Gas MTM'!A314,3),'[4]Master Data'!$A$2:$A$8,0),2)</f>
        <v>M</v>
      </c>
      <c r="D314" s="124" t="n">
        <v>0</v>
      </c>
      <c r="E314" s="124" t="n">
        <v>0</v>
      </c>
      <c r="F314" s="124" t="n">
        <v>0</v>
      </c>
      <c r="G314" s="124" t="n">
        <v>0</v>
      </c>
      <c r="I314" s="124" t="n">
        <f aca="false">IF(MONTH($A314)=MONTH($A313),IF(G314=0,I313,G314),G314)</f>
        <v>0</v>
      </c>
      <c r="J314" s="124" t="n">
        <f aca="false">IF(MONTH($A314)=MONTH($A313),SUM(I314-I313),I314)</f>
        <v>0</v>
      </c>
      <c r="K314" s="124" t="n">
        <f aca="false">IF(WEEKDAY(A314,3)&gt;4,0,(IF(A314&lt;K$2,0,IF(A314&lt;=K$3,1,0))))</f>
        <v>0</v>
      </c>
      <c r="L314" s="124" t="n">
        <f aca="false">J314*K314</f>
        <v>0</v>
      </c>
      <c r="M314" s="124" t="n">
        <f aca="false">SUM(J$280:J314)</f>
        <v>0</v>
      </c>
      <c r="N314" s="124" t="n">
        <f aca="false">SUM(J$6:J314)</f>
        <v>-221916</v>
      </c>
      <c r="P314" s="124" t="n">
        <f aca="false">D314/P$3</f>
        <v>0</v>
      </c>
      <c r="Q314" s="124" t="n">
        <f aca="false">E314/P$3</f>
        <v>0</v>
      </c>
      <c r="R314" s="124" t="n">
        <f aca="false">F314/R$3</f>
        <v>0</v>
      </c>
      <c r="S314" s="126" t="n">
        <f aca="false">J314/$R$3</f>
        <v>0</v>
      </c>
      <c r="T314" s="126" t="n">
        <f aca="false">L314/$R$3</f>
        <v>0</v>
      </c>
      <c r="U314" s="126" t="n">
        <f aca="false">I314/$R$3</f>
        <v>0</v>
      </c>
      <c r="V314" s="126" t="n">
        <f aca="false">M314/$R$3</f>
        <v>0</v>
      </c>
      <c r="W314" s="126" t="n">
        <f aca="false">N314/$R$3</f>
        <v>-221.916</v>
      </c>
    </row>
    <row r="315" customFormat="false" ht="12.75" hidden="false" customHeight="false" outlineLevel="0" collapsed="false">
      <c r="A315" s="120" t="n">
        <f aca="false">A314+1</f>
        <v>37201</v>
      </c>
      <c r="B315" s="131" t="str">
        <f aca="false">INDEX('[4]Master Data'!$A$2:$B$8,MATCH(WEEKDAY('TBS Gas MTM'!A315,3),'[4]Master Data'!$A$2:$A$8,0),2)</f>
        <v>T</v>
      </c>
      <c r="D315" s="124" t="n">
        <v>0</v>
      </c>
      <c r="E315" s="124" t="n">
        <v>0</v>
      </c>
      <c r="F315" s="124" t="n">
        <v>0</v>
      </c>
      <c r="G315" s="124" t="n">
        <v>0</v>
      </c>
      <c r="I315" s="124" t="n">
        <f aca="false">IF(MONTH($A315)=MONTH($A314),IF(G315=0,I314,G315),G315)</f>
        <v>0</v>
      </c>
      <c r="J315" s="124" t="n">
        <f aca="false">IF(MONTH($A315)=MONTH($A314),SUM(I315-I314),I315)</f>
        <v>0</v>
      </c>
      <c r="K315" s="124" t="n">
        <f aca="false">IF(WEEKDAY(A315,3)&gt;4,0,(IF(A315&lt;K$2,0,IF(A315&lt;=K$3,1,0))))</f>
        <v>0</v>
      </c>
      <c r="L315" s="124" t="n">
        <f aca="false">J315*K315</f>
        <v>0</v>
      </c>
      <c r="M315" s="124" t="n">
        <f aca="false">SUM(J$280:J315)</f>
        <v>0</v>
      </c>
      <c r="N315" s="124" t="n">
        <f aca="false">SUM(J$6:J315)</f>
        <v>-221916</v>
      </c>
      <c r="P315" s="124" t="n">
        <f aca="false">D315/P$3</f>
        <v>0</v>
      </c>
      <c r="Q315" s="124" t="n">
        <f aca="false">E315/P$3</f>
        <v>0</v>
      </c>
      <c r="R315" s="124" t="n">
        <f aca="false">F315/R$3</f>
        <v>0</v>
      </c>
      <c r="S315" s="126" t="n">
        <f aca="false">J315/$R$3</f>
        <v>0</v>
      </c>
      <c r="T315" s="126" t="n">
        <f aca="false">L315/$R$3</f>
        <v>0</v>
      </c>
      <c r="U315" s="126" t="n">
        <f aca="false">I315/$R$3</f>
        <v>0</v>
      </c>
      <c r="V315" s="126" t="n">
        <f aca="false">M315/$R$3</f>
        <v>0</v>
      </c>
      <c r="W315" s="126" t="n">
        <f aca="false">N315/$R$3</f>
        <v>-221.916</v>
      </c>
    </row>
    <row r="316" customFormat="false" ht="12.75" hidden="false" customHeight="false" outlineLevel="0" collapsed="false">
      <c r="A316" s="120" t="n">
        <f aca="false">A315+1</f>
        <v>37202</v>
      </c>
      <c r="B316" s="131" t="str">
        <f aca="false">INDEX('[4]Master Data'!$A$2:$B$8,MATCH(WEEKDAY('TBS Gas MTM'!A316,3),'[4]Master Data'!$A$2:$A$8,0),2)</f>
        <v>W</v>
      </c>
      <c r="D316" s="124" t="n">
        <v>0</v>
      </c>
      <c r="E316" s="124" t="n">
        <v>0</v>
      </c>
      <c r="F316" s="124" t="n">
        <v>0</v>
      </c>
      <c r="G316" s="124" t="n">
        <v>0</v>
      </c>
      <c r="I316" s="124" t="n">
        <f aca="false">IF(MONTH($A316)=MONTH($A315),IF(G316=0,I315,G316),G316)</f>
        <v>0</v>
      </c>
      <c r="J316" s="124" t="n">
        <f aca="false">IF(MONTH($A316)=MONTH($A315),SUM(I316-I315),I316)</f>
        <v>0</v>
      </c>
      <c r="K316" s="124" t="n">
        <f aca="false">IF(WEEKDAY(A316,3)&gt;4,0,(IF(A316&lt;K$2,0,IF(A316&lt;=K$3,1,0))))</f>
        <v>0</v>
      </c>
      <c r="L316" s="124" t="n">
        <f aca="false">J316*K316</f>
        <v>0</v>
      </c>
      <c r="M316" s="124" t="n">
        <f aca="false">SUM(J$280:J316)</f>
        <v>0</v>
      </c>
      <c r="N316" s="124" t="n">
        <f aca="false">SUM(J$6:J316)</f>
        <v>-221916</v>
      </c>
      <c r="P316" s="124" t="n">
        <f aca="false">D316/P$3</f>
        <v>0</v>
      </c>
      <c r="Q316" s="124" t="n">
        <f aca="false">E316/P$3</f>
        <v>0</v>
      </c>
      <c r="R316" s="124" t="n">
        <f aca="false">F316/R$3</f>
        <v>0</v>
      </c>
      <c r="S316" s="126" t="n">
        <f aca="false">J316/$R$3</f>
        <v>0</v>
      </c>
      <c r="T316" s="126" t="n">
        <f aca="false">L316/$R$3</f>
        <v>0</v>
      </c>
      <c r="U316" s="126" t="n">
        <f aca="false">I316/$R$3</f>
        <v>0</v>
      </c>
      <c r="V316" s="126" t="n">
        <f aca="false">M316/$R$3</f>
        <v>0</v>
      </c>
      <c r="W316" s="126" t="n">
        <f aca="false">N316/$R$3</f>
        <v>-221.916</v>
      </c>
    </row>
    <row r="317" customFormat="false" ht="12.75" hidden="false" customHeight="false" outlineLevel="0" collapsed="false">
      <c r="A317" s="120" t="n">
        <f aca="false">A316+1</f>
        <v>37203</v>
      </c>
      <c r="B317" s="131" t="str">
        <f aca="false">INDEX('[4]Master Data'!$A$2:$B$8,MATCH(WEEKDAY('TBS Gas MTM'!A317,3),'[4]Master Data'!$A$2:$A$8,0),2)</f>
        <v>Th</v>
      </c>
      <c r="D317" s="124" t="n">
        <v>0</v>
      </c>
      <c r="E317" s="124" t="n">
        <v>0</v>
      </c>
      <c r="F317" s="124" t="n">
        <v>0</v>
      </c>
      <c r="G317" s="124" t="n">
        <v>0</v>
      </c>
      <c r="I317" s="124" t="n">
        <f aca="false">IF(MONTH($A317)=MONTH($A316),IF(G317=0,I316,G317),G317)</f>
        <v>0</v>
      </c>
      <c r="J317" s="124" t="n">
        <f aca="false">IF(MONTH($A317)=MONTH($A316),SUM(I317-I316),I317)</f>
        <v>0</v>
      </c>
      <c r="K317" s="124" t="n">
        <f aca="false">IF(WEEKDAY(A317,3)&gt;4,0,(IF(A317&lt;K$2,0,IF(A317&lt;=K$3,1,0))))</f>
        <v>0</v>
      </c>
      <c r="L317" s="124" t="n">
        <f aca="false">J317*K317</f>
        <v>0</v>
      </c>
      <c r="M317" s="124" t="n">
        <f aca="false">SUM(J$280:J317)</f>
        <v>0</v>
      </c>
      <c r="N317" s="124" t="n">
        <f aca="false">SUM(J$6:J317)</f>
        <v>-221916</v>
      </c>
      <c r="P317" s="124" t="n">
        <f aca="false">D317/P$3</f>
        <v>0</v>
      </c>
      <c r="Q317" s="124" t="n">
        <f aca="false">E317/P$3</f>
        <v>0</v>
      </c>
      <c r="R317" s="124" t="n">
        <f aca="false">F317/R$3</f>
        <v>0</v>
      </c>
      <c r="S317" s="126" t="n">
        <f aca="false">J317/$R$3</f>
        <v>0</v>
      </c>
      <c r="T317" s="126" t="n">
        <f aca="false">L317/$R$3</f>
        <v>0</v>
      </c>
      <c r="U317" s="126" t="n">
        <f aca="false">I317/$R$3</f>
        <v>0</v>
      </c>
      <c r="V317" s="126" t="n">
        <f aca="false">M317/$R$3</f>
        <v>0</v>
      </c>
      <c r="W317" s="126" t="n">
        <f aca="false">N317/$R$3</f>
        <v>-221.916</v>
      </c>
    </row>
    <row r="318" customFormat="false" ht="12.75" hidden="false" customHeight="false" outlineLevel="0" collapsed="false">
      <c r="A318" s="120" t="n">
        <f aca="false">A317+1</f>
        <v>37204</v>
      </c>
      <c r="B318" s="131" t="str">
        <f aca="false">INDEX('[4]Master Data'!$A$2:$B$8,MATCH(WEEKDAY('TBS Gas MTM'!A318,3),'[4]Master Data'!$A$2:$A$8,0),2)</f>
        <v>F</v>
      </c>
      <c r="D318" s="124" t="n">
        <v>0</v>
      </c>
      <c r="E318" s="124" t="n">
        <v>0</v>
      </c>
      <c r="F318" s="124" t="n">
        <v>0</v>
      </c>
      <c r="G318" s="124" t="n">
        <v>0</v>
      </c>
      <c r="I318" s="124" t="n">
        <f aca="false">IF(MONTH($A318)=MONTH($A317),IF(G318=0,I317,G318),G318)</f>
        <v>0</v>
      </c>
      <c r="J318" s="124" t="n">
        <f aca="false">IF(MONTH($A318)=MONTH($A317),SUM(I318-I317),I318)</f>
        <v>0</v>
      </c>
      <c r="K318" s="124" t="n">
        <f aca="false">IF(WEEKDAY(A318,3)&gt;4,0,(IF(A318&lt;K$2,0,IF(A318&lt;=K$3,1,0))))</f>
        <v>0</v>
      </c>
      <c r="L318" s="124" t="n">
        <f aca="false">J318*K318</f>
        <v>0</v>
      </c>
      <c r="M318" s="124" t="n">
        <f aca="false">SUM(J$280:J318)</f>
        <v>0</v>
      </c>
      <c r="N318" s="124" t="n">
        <f aca="false">SUM(J$6:J318)</f>
        <v>-221916</v>
      </c>
      <c r="P318" s="124" t="n">
        <f aca="false">D318/P$3</f>
        <v>0</v>
      </c>
      <c r="Q318" s="124" t="n">
        <f aca="false">E318/P$3</f>
        <v>0</v>
      </c>
      <c r="R318" s="124" t="n">
        <f aca="false">F318/R$3</f>
        <v>0</v>
      </c>
      <c r="S318" s="126" t="n">
        <f aca="false">J318/$R$3</f>
        <v>0</v>
      </c>
      <c r="T318" s="126" t="n">
        <f aca="false">L318/$R$3</f>
        <v>0</v>
      </c>
      <c r="U318" s="126" t="n">
        <f aca="false">I318/$R$3</f>
        <v>0</v>
      </c>
      <c r="V318" s="126" t="n">
        <f aca="false">M318/$R$3</f>
        <v>0</v>
      </c>
      <c r="W318" s="126" t="n">
        <f aca="false">N318/$R$3</f>
        <v>-221.916</v>
      </c>
    </row>
    <row r="319" customFormat="false" ht="12.75" hidden="false" customHeight="false" outlineLevel="0" collapsed="false">
      <c r="A319" s="120" t="n">
        <f aca="false">A318+1</f>
        <v>37205</v>
      </c>
      <c r="B319" s="131" t="str">
        <f aca="false">INDEX('[4]Master Data'!$A$2:$B$8,MATCH(WEEKDAY('TBS Gas MTM'!A319,3),'[4]Master Data'!$A$2:$A$8,0),2)</f>
        <v>Sa</v>
      </c>
      <c r="D319" s="124" t="n">
        <v>0</v>
      </c>
      <c r="E319" s="124" t="n">
        <v>0</v>
      </c>
      <c r="F319" s="124" t="n">
        <v>0</v>
      </c>
      <c r="G319" s="124" t="n">
        <v>0</v>
      </c>
      <c r="I319" s="124" t="n">
        <f aca="false">IF(MONTH($A319)=MONTH($A318),IF(G319=0,I318,G319),G319)</f>
        <v>0</v>
      </c>
      <c r="J319" s="124" t="n">
        <f aca="false">IF(MONTH($A319)=MONTH($A318),SUM(I319-I318),I319)</f>
        <v>0</v>
      </c>
      <c r="K319" s="124" t="n">
        <f aca="false">IF(WEEKDAY(A319,3)&gt;4,0,(IF(A319&lt;K$2,0,IF(A319&lt;=K$3,1,0))))</f>
        <v>0</v>
      </c>
      <c r="L319" s="124" t="n">
        <f aca="false">J319*K319</f>
        <v>0</v>
      </c>
      <c r="M319" s="124" t="n">
        <f aca="false">SUM(J$280:J319)</f>
        <v>0</v>
      </c>
      <c r="N319" s="124" t="n">
        <f aca="false">SUM(J$6:J319)</f>
        <v>-221916</v>
      </c>
      <c r="P319" s="124" t="n">
        <f aca="false">D319/P$3</f>
        <v>0</v>
      </c>
      <c r="Q319" s="124" t="n">
        <f aca="false">E319/P$3</f>
        <v>0</v>
      </c>
      <c r="R319" s="124" t="n">
        <f aca="false">F319/R$3</f>
        <v>0</v>
      </c>
      <c r="S319" s="126" t="n">
        <f aca="false">J319/$R$3</f>
        <v>0</v>
      </c>
      <c r="T319" s="126" t="n">
        <f aca="false">L319/$R$3</f>
        <v>0</v>
      </c>
      <c r="U319" s="126" t="n">
        <f aca="false">I319/$R$3</f>
        <v>0</v>
      </c>
      <c r="V319" s="126" t="n">
        <f aca="false">M319/$R$3</f>
        <v>0</v>
      </c>
      <c r="W319" s="126" t="n">
        <f aca="false">N319/$R$3</f>
        <v>-221.916</v>
      </c>
    </row>
    <row r="320" customFormat="false" ht="12.75" hidden="false" customHeight="false" outlineLevel="0" collapsed="false">
      <c r="A320" s="120" t="n">
        <f aca="false">A319+1</f>
        <v>37206</v>
      </c>
      <c r="B320" s="131" t="str">
        <f aca="false">INDEX('[4]Master Data'!$A$2:$B$8,MATCH(WEEKDAY('TBS Gas MTM'!A320,3),'[4]Master Data'!$A$2:$A$8,0),2)</f>
        <v>Su</v>
      </c>
      <c r="D320" s="124" t="n">
        <v>0</v>
      </c>
      <c r="E320" s="124" t="n">
        <v>0</v>
      </c>
      <c r="F320" s="124" t="n">
        <v>0</v>
      </c>
      <c r="G320" s="124" t="n">
        <v>0</v>
      </c>
      <c r="I320" s="124" t="n">
        <f aca="false">IF(MONTH($A320)=MONTH($A319),IF(G320=0,I319,G320),G320)</f>
        <v>0</v>
      </c>
      <c r="J320" s="124" t="n">
        <f aca="false">IF(MONTH($A320)=MONTH($A319),SUM(I320-I319),I320)</f>
        <v>0</v>
      </c>
      <c r="K320" s="124" t="n">
        <f aca="false">IF(WEEKDAY(A320,3)&gt;4,0,(IF(A320&lt;K$2,0,IF(A320&lt;=K$3,1,0))))</f>
        <v>0</v>
      </c>
      <c r="L320" s="124" t="n">
        <f aca="false">J320*K320</f>
        <v>0</v>
      </c>
      <c r="M320" s="124" t="n">
        <f aca="false">SUM(J$280:J320)</f>
        <v>0</v>
      </c>
      <c r="N320" s="124" t="n">
        <f aca="false">SUM(J$6:J320)</f>
        <v>-221916</v>
      </c>
      <c r="P320" s="124" t="n">
        <f aca="false">D320/P$3</f>
        <v>0</v>
      </c>
      <c r="Q320" s="124" t="n">
        <f aca="false">E320/P$3</f>
        <v>0</v>
      </c>
      <c r="R320" s="124" t="n">
        <f aca="false">F320/R$3</f>
        <v>0</v>
      </c>
      <c r="S320" s="126" t="n">
        <f aca="false">J320/$R$3</f>
        <v>0</v>
      </c>
      <c r="T320" s="126" t="n">
        <f aca="false">L320/$R$3</f>
        <v>0</v>
      </c>
      <c r="U320" s="126" t="n">
        <f aca="false">I320/$R$3</f>
        <v>0</v>
      </c>
      <c r="V320" s="126" t="n">
        <f aca="false">M320/$R$3</f>
        <v>0</v>
      </c>
      <c r="W320" s="126" t="n">
        <f aca="false">N320/$R$3</f>
        <v>-221.916</v>
      </c>
    </row>
    <row r="321" customFormat="false" ht="12.75" hidden="false" customHeight="false" outlineLevel="0" collapsed="false">
      <c r="A321" s="120" t="n">
        <f aca="false">A320+1</f>
        <v>37207</v>
      </c>
      <c r="B321" s="131" t="str">
        <f aca="false">INDEX('[4]Master Data'!$A$2:$B$8,MATCH(WEEKDAY('TBS Gas MTM'!A321,3),'[4]Master Data'!$A$2:$A$8,0),2)</f>
        <v>M</v>
      </c>
      <c r="D321" s="124" t="n">
        <v>0</v>
      </c>
      <c r="E321" s="124" t="n">
        <v>0</v>
      </c>
      <c r="F321" s="124" t="n">
        <v>0</v>
      </c>
      <c r="G321" s="124" t="n">
        <v>0</v>
      </c>
      <c r="I321" s="124" t="n">
        <f aca="false">IF(MONTH($A321)=MONTH($A320),IF(G321=0,I320,G321),G321)</f>
        <v>0</v>
      </c>
      <c r="J321" s="124" t="n">
        <f aca="false">IF(MONTH($A321)=MONTH($A320),SUM(I321-I320),I321)</f>
        <v>0</v>
      </c>
      <c r="K321" s="124" t="n">
        <f aca="false">IF(WEEKDAY(A321,3)&gt;4,0,(IF(A321&lt;K$2,0,IF(A321&lt;=K$3,1,0))))</f>
        <v>0</v>
      </c>
      <c r="L321" s="124" t="n">
        <f aca="false">J321*K321</f>
        <v>0</v>
      </c>
      <c r="M321" s="124" t="n">
        <f aca="false">SUM(J$280:J321)</f>
        <v>0</v>
      </c>
      <c r="N321" s="124" t="n">
        <f aca="false">SUM(J$6:J321)</f>
        <v>-221916</v>
      </c>
      <c r="P321" s="124" t="n">
        <f aca="false">D321/P$3</f>
        <v>0</v>
      </c>
      <c r="Q321" s="124" t="n">
        <f aca="false">E321/P$3</f>
        <v>0</v>
      </c>
      <c r="R321" s="124" t="n">
        <f aca="false">F321/R$3</f>
        <v>0</v>
      </c>
      <c r="S321" s="126" t="n">
        <f aca="false">J321/$R$3</f>
        <v>0</v>
      </c>
      <c r="T321" s="126" t="n">
        <f aca="false">L321/$R$3</f>
        <v>0</v>
      </c>
      <c r="U321" s="126" t="n">
        <f aca="false">I321/$R$3</f>
        <v>0</v>
      </c>
      <c r="V321" s="126" t="n">
        <f aca="false">M321/$R$3</f>
        <v>0</v>
      </c>
      <c r="W321" s="126" t="n">
        <f aca="false">N321/$R$3</f>
        <v>-221.916</v>
      </c>
    </row>
    <row r="322" customFormat="false" ht="12.75" hidden="false" customHeight="false" outlineLevel="0" collapsed="false">
      <c r="A322" s="120" t="n">
        <f aca="false">A321+1</f>
        <v>37208</v>
      </c>
      <c r="B322" s="131" t="str">
        <f aca="false">INDEX('[4]Master Data'!$A$2:$B$8,MATCH(WEEKDAY('TBS Gas MTM'!A322,3),'[4]Master Data'!$A$2:$A$8,0),2)</f>
        <v>T</v>
      </c>
      <c r="D322" s="124" t="n">
        <v>0</v>
      </c>
      <c r="E322" s="124" t="n">
        <v>0</v>
      </c>
      <c r="F322" s="124" t="n">
        <v>0</v>
      </c>
      <c r="G322" s="124" t="n">
        <v>0</v>
      </c>
      <c r="I322" s="124" t="n">
        <f aca="false">IF(MONTH($A322)=MONTH($A321),IF(G322=0,I321,G322),G322)</f>
        <v>0</v>
      </c>
      <c r="J322" s="124" t="n">
        <f aca="false">IF(MONTH($A322)=MONTH($A321),SUM(I322-I321),I322)</f>
        <v>0</v>
      </c>
      <c r="K322" s="124" t="n">
        <f aca="false">IF(WEEKDAY(A322,3)&gt;4,0,(IF(A322&lt;K$2,0,IF(A322&lt;=K$3,1,0))))</f>
        <v>0</v>
      </c>
      <c r="L322" s="124" t="n">
        <f aca="false">J322*K322</f>
        <v>0</v>
      </c>
      <c r="M322" s="124" t="n">
        <f aca="false">SUM(J$280:J322)</f>
        <v>0</v>
      </c>
      <c r="N322" s="124" t="n">
        <f aca="false">SUM(J$6:J322)</f>
        <v>-221916</v>
      </c>
      <c r="P322" s="124" t="n">
        <f aca="false">D322/P$3</f>
        <v>0</v>
      </c>
      <c r="Q322" s="124" t="n">
        <f aca="false">E322/P$3</f>
        <v>0</v>
      </c>
      <c r="R322" s="124" t="n">
        <f aca="false">F322/R$3</f>
        <v>0</v>
      </c>
      <c r="S322" s="126" t="n">
        <f aca="false">J322/$R$3</f>
        <v>0</v>
      </c>
      <c r="T322" s="126" t="n">
        <f aca="false">L322/$R$3</f>
        <v>0</v>
      </c>
      <c r="U322" s="126" t="n">
        <f aca="false">I322/$R$3</f>
        <v>0</v>
      </c>
      <c r="V322" s="126" t="n">
        <f aca="false">M322/$R$3</f>
        <v>0</v>
      </c>
      <c r="W322" s="126" t="n">
        <f aca="false">N322/$R$3</f>
        <v>-221.916</v>
      </c>
    </row>
    <row r="323" customFormat="false" ht="12.75" hidden="false" customHeight="false" outlineLevel="0" collapsed="false">
      <c r="A323" s="120" t="n">
        <f aca="false">A322+1</f>
        <v>37209</v>
      </c>
      <c r="B323" s="131" t="str">
        <f aca="false">INDEX('[4]Master Data'!$A$2:$B$8,MATCH(WEEKDAY('TBS Gas MTM'!A323,3),'[4]Master Data'!$A$2:$A$8,0),2)</f>
        <v>W</v>
      </c>
      <c r="D323" s="124" t="n">
        <v>0</v>
      </c>
      <c r="E323" s="124" t="n">
        <v>0</v>
      </c>
      <c r="F323" s="124" t="n">
        <v>0</v>
      </c>
      <c r="G323" s="124" t="n">
        <v>0</v>
      </c>
      <c r="I323" s="124" t="n">
        <f aca="false">IF(MONTH($A323)=MONTH($A322),IF(G323=0,I322,G323),G323)</f>
        <v>0</v>
      </c>
      <c r="J323" s="124" t="n">
        <f aca="false">IF(MONTH($A323)=MONTH($A322),SUM(I323-I322),I323)</f>
        <v>0</v>
      </c>
      <c r="K323" s="124" t="n">
        <f aca="false">IF(WEEKDAY(A323,3)&gt;4,0,(IF(A323&lt;K$2,0,IF(A323&lt;=K$3,1,0))))</f>
        <v>0</v>
      </c>
      <c r="L323" s="124" t="n">
        <f aca="false">J323*K323</f>
        <v>0</v>
      </c>
      <c r="M323" s="124" t="n">
        <f aca="false">SUM(J$280:J323)</f>
        <v>0</v>
      </c>
      <c r="N323" s="124" t="n">
        <f aca="false">SUM(J$6:J323)</f>
        <v>-221916</v>
      </c>
      <c r="P323" s="124" t="n">
        <f aca="false">D323/P$3</f>
        <v>0</v>
      </c>
      <c r="Q323" s="124" t="n">
        <f aca="false">E323/P$3</f>
        <v>0</v>
      </c>
      <c r="R323" s="124" t="n">
        <f aca="false">F323/R$3</f>
        <v>0</v>
      </c>
      <c r="S323" s="126" t="n">
        <f aca="false">J323/$R$3</f>
        <v>0</v>
      </c>
      <c r="T323" s="126" t="n">
        <f aca="false">L323/$R$3</f>
        <v>0</v>
      </c>
      <c r="U323" s="126" t="n">
        <f aca="false">I323/$R$3</f>
        <v>0</v>
      </c>
      <c r="V323" s="126" t="n">
        <f aca="false">M323/$R$3</f>
        <v>0</v>
      </c>
      <c r="W323" s="126" t="n">
        <f aca="false">N323/$R$3</f>
        <v>-221.916</v>
      </c>
    </row>
    <row r="324" customFormat="false" ht="12.75" hidden="false" customHeight="false" outlineLevel="0" collapsed="false">
      <c r="A324" s="120" t="n">
        <f aca="false">A323+1</f>
        <v>37210</v>
      </c>
      <c r="B324" s="131" t="str">
        <f aca="false">INDEX('[4]Master Data'!$A$2:$B$8,MATCH(WEEKDAY('TBS Gas MTM'!A324,3),'[4]Master Data'!$A$2:$A$8,0),2)</f>
        <v>Th</v>
      </c>
      <c r="D324" s="124" t="n">
        <v>0</v>
      </c>
      <c r="E324" s="124" t="n">
        <v>0</v>
      </c>
      <c r="F324" s="124" t="n">
        <v>0</v>
      </c>
      <c r="G324" s="124" t="n">
        <v>0</v>
      </c>
      <c r="I324" s="124" t="n">
        <f aca="false">IF(MONTH($A324)=MONTH($A323),IF(G324=0,I323,G324),G324)</f>
        <v>0</v>
      </c>
      <c r="J324" s="124" t="n">
        <f aca="false">IF(MONTH($A324)=MONTH($A323),SUM(I324-I323),I324)</f>
        <v>0</v>
      </c>
      <c r="K324" s="124" t="n">
        <f aca="false">IF(WEEKDAY(A324,3)&gt;4,0,(IF(A324&lt;K$2,0,IF(A324&lt;=K$3,1,0))))</f>
        <v>0</v>
      </c>
      <c r="L324" s="124" t="n">
        <f aca="false">J324*K324</f>
        <v>0</v>
      </c>
      <c r="M324" s="124" t="n">
        <f aca="false">SUM(J$280:J324)</f>
        <v>0</v>
      </c>
      <c r="N324" s="124" t="n">
        <f aca="false">SUM(J$6:J324)</f>
        <v>-221916</v>
      </c>
      <c r="P324" s="124" t="n">
        <f aca="false">D324/P$3</f>
        <v>0</v>
      </c>
      <c r="Q324" s="124" t="n">
        <f aca="false">E324/P$3</f>
        <v>0</v>
      </c>
      <c r="R324" s="124" t="n">
        <f aca="false">F324/R$3</f>
        <v>0</v>
      </c>
      <c r="S324" s="126" t="n">
        <f aca="false">J324/$R$3</f>
        <v>0</v>
      </c>
      <c r="T324" s="126" t="n">
        <f aca="false">L324/$R$3</f>
        <v>0</v>
      </c>
      <c r="U324" s="126" t="n">
        <f aca="false">I324/$R$3</f>
        <v>0</v>
      </c>
      <c r="V324" s="126" t="n">
        <f aca="false">M324/$R$3</f>
        <v>0</v>
      </c>
      <c r="W324" s="126" t="n">
        <f aca="false">N324/$R$3</f>
        <v>-221.916</v>
      </c>
    </row>
    <row r="325" customFormat="false" ht="12.75" hidden="false" customHeight="false" outlineLevel="0" collapsed="false">
      <c r="A325" s="120" t="n">
        <f aca="false">A324+1</f>
        <v>37211</v>
      </c>
      <c r="B325" s="131" t="str">
        <f aca="false">INDEX('[4]Master Data'!$A$2:$B$8,MATCH(WEEKDAY('TBS Gas MTM'!A325,3),'[4]Master Data'!$A$2:$A$8,0),2)</f>
        <v>F</v>
      </c>
      <c r="D325" s="124" t="n">
        <v>0</v>
      </c>
      <c r="E325" s="124" t="n">
        <v>0</v>
      </c>
      <c r="F325" s="124" t="n">
        <v>0</v>
      </c>
      <c r="G325" s="124" t="n">
        <v>0</v>
      </c>
      <c r="I325" s="124" t="n">
        <f aca="false">IF(MONTH($A325)=MONTH($A324),IF(G325=0,I324,G325),G325)</f>
        <v>0</v>
      </c>
      <c r="J325" s="124" t="n">
        <f aca="false">IF(MONTH($A325)=MONTH($A324),SUM(I325-I324),I325)</f>
        <v>0</v>
      </c>
      <c r="K325" s="124" t="n">
        <f aca="false">IF(WEEKDAY(A325,3)&gt;4,0,(IF(A325&lt;K$2,0,IF(A325&lt;=K$3,1,0))))</f>
        <v>0</v>
      </c>
      <c r="L325" s="124" t="n">
        <f aca="false">J325*K325</f>
        <v>0</v>
      </c>
      <c r="M325" s="124" t="n">
        <f aca="false">SUM(J$280:J325)</f>
        <v>0</v>
      </c>
      <c r="N325" s="124" t="n">
        <f aca="false">SUM(J$6:J325)</f>
        <v>-221916</v>
      </c>
      <c r="P325" s="124" t="n">
        <f aca="false">D325/P$3</f>
        <v>0</v>
      </c>
      <c r="Q325" s="124" t="n">
        <f aca="false">E325/P$3</f>
        <v>0</v>
      </c>
      <c r="R325" s="124" t="n">
        <f aca="false">F325/R$3</f>
        <v>0</v>
      </c>
      <c r="S325" s="126" t="n">
        <f aca="false">J325/$R$3</f>
        <v>0</v>
      </c>
      <c r="T325" s="126" t="n">
        <f aca="false">L325/$R$3</f>
        <v>0</v>
      </c>
      <c r="U325" s="126" t="n">
        <f aca="false">I325/$R$3</f>
        <v>0</v>
      </c>
      <c r="V325" s="126" t="n">
        <f aca="false">M325/$R$3</f>
        <v>0</v>
      </c>
      <c r="W325" s="126" t="n">
        <f aca="false">N325/$R$3</f>
        <v>-221.916</v>
      </c>
    </row>
    <row r="326" customFormat="false" ht="12.75" hidden="false" customHeight="false" outlineLevel="0" collapsed="false">
      <c r="A326" s="120" t="n">
        <f aca="false">A325+1</f>
        <v>37212</v>
      </c>
      <c r="B326" s="131" t="str">
        <f aca="false">INDEX('[4]Master Data'!$A$2:$B$8,MATCH(WEEKDAY('TBS Gas MTM'!A326,3),'[4]Master Data'!$A$2:$A$8,0),2)</f>
        <v>Sa</v>
      </c>
      <c r="D326" s="124" t="n">
        <v>0</v>
      </c>
      <c r="E326" s="124" t="n">
        <v>0</v>
      </c>
      <c r="F326" s="124" t="n">
        <v>0</v>
      </c>
      <c r="G326" s="124" t="n">
        <v>0</v>
      </c>
      <c r="I326" s="124" t="n">
        <f aca="false">IF(MONTH($A326)=MONTH($A325),IF(G326=0,I325,G326),G326)</f>
        <v>0</v>
      </c>
      <c r="J326" s="124" t="n">
        <f aca="false">IF(MONTH($A326)=MONTH($A325),SUM(I326-I325),I326)</f>
        <v>0</v>
      </c>
      <c r="K326" s="124" t="n">
        <f aca="false">IF(WEEKDAY(A326,3)&gt;4,0,(IF(A326&lt;K$2,0,IF(A326&lt;=K$3,1,0))))</f>
        <v>0</v>
      </c>
      <c r="L326" s="124" t="n">
        <f aca="false">J326*K326</f>
        <v>0</v>
      </c>
      <c r="M326" s="124" t="n">
        <f aca="false">SUM(J$280:J326)</f>
        <v>0</v>
      </c>
      <c r="N326" s="124" t="n">
        <f aca="false">SUM(J$6:J326)</f>
        <v>-221916</v>
      </c>
      <c r="P326" s="124" t="n">
        <f aca="false">D326/P$3</f>
        <v>0</v>
      </c>
      <c r="Q326" s="124" t="n">
        <f aca="false">E326/P$3</f>
        <v>0</v>
      </c>
      <c r="R326" s="124" t="n">
        <f aca="false">F326/R$3</f>
        <v>0</v>
      </c>
      <c r="S326" s="126" t="n">
        <f aca="false">J326/$R$3</f>
        <v>0</v>
      </c>
      <c r="T326" s="126" t="n">
        <f aca="false">L326/$R$3</f>
        <v>0</v>
      </c>
      <c r="U326" s="126" t="n">
        <f aca="false">I326/$R$3</f>
        <v>0</v>
      </c>
      <c r="V326" s="126" t="n">
        <f aca="false">M326/$R$3</f>
        <v>0</v>
      </c>
      <c r="W326" s="126" t="n">
        <f aca="false">N326/$R$3</f>
        <v>-221.916</v>
      </c>
    </row>
    <row r="327" customFormat="false" ht="12.75" hidden="false" customHeight="false" outlineLevel="0" collapsed="false">
      <c r="A327" s="120" t="n">
        <f aca="false">A326+1</f>
        <v>37213</v>
      </c>
      <c r="B327" s="131" t="str">
        <f aca="false">INDEX('[4]Master Data'!$A$2:$B$8,MATCH(WEEKDAY('TBS Gas MTM'!A327,3),'[4]Master Data'!$A$2:$A$8,0),2)</f>
        <v>Su</v>
      </c>
      <c r="D327" s="124" t="n">
        <v>0</v>
      </c>
      <c r="E327" s="124" t="n">
        <v>0</v>
      </c>
      <c r="F327" s="124" t="n">
        <v>0</v>
      </c>
      <c r="G327" s="124" t="n">
        <v>0</v>
      </c>
      <c r="I327" s="124" t="n">
        <f aca="false">IF(MONTH($A327)=MONTH($A326),IF(G327=0,I326,G327),G327)</f>
        <v>0</v>
      </c>
      <c r="J327" s="124" t="n">
        <f aca="false">IF(MONTH($A327)=MONTH($A326),SUM(I327-I326),I327)</f>
        <v>0</v>
      </c>
      <c r="K327" s="124" t="n">
        <f aca="false">IF(WEEKDAY(A327,3)&gt;4,0,(IF(A327&lt;K$2,0,IF(A327&lt;=K$3,1,0))))</f>
        <v>0</v>
      </c>
      <c r="L327" s="124" t="n">
        <f aca="false">J327*K327</f>
        <v>0</v>
      </c>
      <c r="M327" s="124" t="n">
        <f aca="false">SUM(J$280:J327)</f>
        <v>0</v>
      </c>
      <c r="N327" s="124" t="n">
        <f aca="false">SUM(J$6:J327)</f>
        <v>-221916</v>
      </c>
      <c r="P327" s="124" t="n">
        <f aca="false">D327/P$3</f>
        <v>0</v>
      </c>
      <c r="Q327" s="124" t="n">
        <f aca="false">E327/P$3</f>
        <v>0</v>
      </c>
      <c r="R327" s="124" t="n">
        <f aca="false">F327/R$3</f>
        <v>0</v>
      </c>
      <c r="S327" s="126" t="n">
        <f aca="false">J327/$R$3</f>
        <v>0</v>
      </c>
      <c r="T327" s="126" t="n">
        <f aca="false">L327/$R$3</f>
        <v>0</v>
      </c>
      <c r="U327" s="126" t="n">
        <f aca="false">I327/$R$3</f>
        <v>0</v>
      </c>
      <c r="V327" s="126" t="n">
        <f aca="false">M327/$R$3</f>
        <v>0</v>
      </c>
      <c r="W327" s="126" t="n">
        <f aca="false">N327/$R$3</f>
        <v>-221.916</v>
      </c>
    </row>
    <row r="328" customFormat="false" ht="12.75" hidden="false" customHeight="false" outlineLevel="0" collapsed="false">
      <c r="A328" s="120" t="n">
        <f aca="false">A327+1</f>
        <v>37214</v>
      </c>
      <c r="B328" s="131" t="str">
        <f aca="false">INDEX('[4]Master Data'!$A$2:$B$8,MATCH(WEEKDAY('TBS Gas MTM'!A328,3),'[4]Master Data'!$A$2:$A$8,0),2)</f>
        <v>M</v>
      </c>
      <c r="D328" s="124" t="n">
        <v>0</v>
      </c>
      <c r="E328" s="124" t="n">
        <v>0</v>
      </c>
      <c r="F328" s="124" t="n">
        <v>0</v>
      </c>
      <c r="G328" s="124" t="n">
        <v>0</v>
      </c>
      <c r="I328" s="124" t="n">
        <f aca="false">IF(MONTH($A328)=MONTH($A327),IF(G328=0,I327,G328),G328)</f>
        <v>0</v>
      </c>
      <c r="J328" s="124" t="n">
        <f aca="false">IF(MONTH($A328)=MONTH($A327),SUM(I328-I327),I328)</f>
        <v>0</v>
      </c>
      <c r="K328" s="124" t="n">
        <f aca="false">IF(WEEKDAY(A328,3)&gt;4,0,(IF(A328&lt;K$2,0,IF(A328&lt;=K$3,1,0))))</f>
        <v>0</v>
      </c>
      <c r="L328" s="124" t="n">
        <f aca="false">J328*K328</f>
        <v>0</v>
      </c>
      <c r="M328" s="124" t="n">
        <f aca="false">SUM(J$280:J328)</f>
        <v>0</v>
      </c>
      <c r="N328" s="124" t="n">
        <f aca="false">SUM(J$6:J328)</f>
        <v>-221916</v>
      </c>
      <c r="P328" s="124" t="n">
        <f aca="false">D328/P$3</f>
        <v>0</v>
      </c>
      <c r="Q328" s="124" t="n">
        <f aca="false">E328/P$3</f>
        <v>0</v>
      </c>
      <c r="R328" s="124" t="n">
        <f aca="false">F328/R$3</f>
        <v>0</v>
      </c>
      <c r="S328" s="126" t="n">
        <f aca="false">J328/$R$3</f>
        <v>0</v>
      </c>
      <c r="T328" s="126" t="n">
        <f aca="false">L328/$R$3</f>
        <v>0</v>
      </c>
      <c r="U328" s="126" t="n">
        <f aca="false">I328/$R$3</f>
        <v>0</v>
      </c>
      <c r="V328" s="126" t="n">
        <f aca="false">M328/$R$3</f>
        <v>0</v>
      </c>
      <c r="W328" s="126" t="n">
        <f aca="false">N328/$R$3</f>
        <v>-221.916</v>
      </c>
    </row>
    <row r="329" customFormat="false" ht="12.75" hidden="false" customHeight="false" outlineLevel="0" collapsed="false">
      <c r="A329" s="120" t="n">
        <f aca="false">A328+1</f>
        <v>37215</v>
      </c>
      <c r="B329" s="131" t="str">
        <f aca="false">INDEX('[4]Master Data'!$A$2:$B$8,MATCH(WEEKDAY('TBS Gas MTM'!A329,3),'[4]Master Data'!$A$2:$A$8,0),2)</f>
        <v>T</v>
      </c>
      <c r="D329" s="124" t="n">
        <v>0</v>
      </c>
      <c r="E329" s="124" t="n">
        <v>0</v>
      </c>
      <c r="F329" s="124" t="n">
        <v>0</v>
      </c>
      <c r="G329" s="124" t="n">
        <v>0</v>
      </c>
      <c r="I329" s="124" t="n">
        <f aca="false">IF(MONTH($A329)=MONTH($A328),IF(G329=0,I328,G329),G329)</f>
        <v>0</v>
      </c>
      <c r="J329" s="124" t="n">
        <f aca="false">IF(MONTH($A329)=MONTH($A328),SUM(I329-I328),I329)</f>
        <v>0</v>
      </c>
      <c r="K329" s="124" t="n">
        <f aca="false">IF(WEEKDAY(A329,3)&gt;4,0,(IF(A329&lt;K$2,0,IF(A329&lt;=K$3,1,0))))</f>
        <v>0</v>
      </c>
      <c r="L329" s="124" t="n">
        <f aca="false">J329*K329</f>
        <v>0</v>
      </c>
      <c r="M329" s="124" t="n">
        <f aca="false">SUM(J$280:J329)</f>
        <v>0</v>
      </c>
      <c r="N329" s="124" t="n">
        <f aca="false">SUM(J$6:J329)</f>
        <v>-221916</v>
      </c>
      <c r="P329" s="124" t="n">
        <f aca="false">D329/P$3</f>
        <v>0</v>
      </c>
      <c r="Q329" s="124" t="n">
        <f aca="false">E329/P$3</f>
        <v>0</v>
      </c>
      <c r="R329" s="124" t="n">
        <f aca="false">F329/R$3</f>
        <v>0</v>
      </c>
      <c r="S329" s="126" t="n">
        <f aca="false">J329/$R$3</f>
        <v>0</v>
      </c>
      <c r="T329" s="126" t="n">
        <f aca="false">L329/$R$3</f>
        <v>0</v>
      </c>
      <c r="U329" s="126" t="n">
        <f aca="false">I329/$R$3</f>
        <v>0</v>
      </c>
      <c r="V329" s="126" t="n">
        <f aca="false">M329/$R$3</f>
        <v>0</v>
      </c>
      <c r="W329" s="126" t="n">
        <f aca="false">N329/$R$3</f>
        <v>-221.916</v>
      </c>
    </row>
    <row r="330" customFormat="false" ht="12.75" hidden="false" customHeight="false" outlineLevel="0" collapsed="false">
      <c r="A330" s="120" t="n">
        <f aca="false">A329+1</f>
        <v>37216</v>
      </c>
      <c r="B330" s="131" t="str">
        <f aca="false">INDEX('[4]Master Data'!$A$2:$B$8,MATCH(WEEKDAY('TBS Gas MTM'!A330,3),'[4]Master Data'!$A$2:$A$8,0),2)</f>
        <v>W</v>
      </c>
      <c r="D330" s="124" t="n">
        <v>0</v>
      </c>
      <c r="E330" s="124" t="n">
        <v>0</v>
      </c>
      <c r="F330" s="124" t="n">
        <v>0</v>
      </c>
      <c r="G330" s="124" t="n">
        <v>0</v>
      </c>
      <c r="I330" s="124" t="n">
        <f aca="false">IF(MONTH($A330)=MONTH($A329),IF(G330=0,I329,G330),G330)</f>
        <v>0</v>
      </c>
      <c r="J330" s="124" t="n">
        <f aca="false">IF(MONTH($A330)=MONTH($A329),SUM(I330-I329),I330)</f>
        <v>0</v>
      </c>
      <c r="K330" s="124" t="n">
        <f aca="false">IF(WEEKDAY(A330,3)&gt;4,0,(IF(A330&lt;K$2,0,IF(A330&lt;=K$3,1,0))))</f>
        <v>0</v>
      </c>
      <c r="L330" s="124" t="n">
        <f aca="false">J330*K330</f>
        <v>0</v>
      </c>
      <c r="M330" s="124" t="n">
        <f aca="false">SUM(J$280:J330)</f>
        <v>0</v>
      </c>
      <c r="N330" s="124" t="n">
        <f aca="false">SUM(J$6:J330)</f>
        <v>-221916</v>
      </c>
      <c r="P330" s="124" t="n">
        <f aca="false">D330/P$3</f>
        <v>0</v>
      </c>
      <c r="Q330" s="124" t="n">
        <f aca="false">E330/P$3</f>
        <v>0</v>
      </c>
      <c r="R330" s="124" t="n">
        <f aca="false">F330/R$3</f>
        <v>0</v>
      </c>
      <c r="S330" s="126" t="n">
        <f aca="false">J330/$R$3</f>
        <v>0</v>
      </c>
      <c r="T330" s="126" t="n">
        <f aca="false">L330/$R$3</f>
        <v>0</v>
      </c>
      <c r="U330" s="126" t="n">
        <f aca="false">I330/$R$3</f>
        <v>0</v>
      </c>
      <c r="V330" s="126" t="n">
        <f aca="false">M330/$R$3</f>
        <v>0</v>
      </c>
      <c r="W330" s="126" t="n">
        <f aca="false">N330/$R$3</f>
        <v>-221.916</v>
      </c>
    </row>
    <row r="331" customFormat="false" ht="12.75" hidden="false" customHeight="false" outlineLevel="0" collapsed="false">
      <c r="A331" s="120" t="n">
        <f aca="false">A330+1</f>
        <v>37217</v>
      </c>
      <c r="B331" s="131" t="str">
        <f aca="false">INDEX('[4]Master Data'!$A$2:$B$8,MATCH(WEEKDAY('TBS Gas MTM'!A331,3),'[4]Master Data'!$A$2:$A$8,0),2)</f>
        <v>Th</v>
      </c>
      <c r="D331" s="124" t="n">
        <v>0</v>
      </c>
      <c r="E331" s="124" t="n">
        <v>0</v>
      </c>
      <c r="F331" s="124" t="n">
        <v>0</v>
      </c>
      <c r="G331" s="124" t="n">
        <v>0</v>
      </c>
      <c r="I331" s="124" t="n">
        <f aca="false">IF(MONTH($A331)=MONTH($A330),IF(G331=0,I330,G331),G331)</f>
        <v>0</v>
      </c>
      <c r="J331" s="124" t="n">
        <f aca="false">IF(MONTH($A331)=MONTH($A330),SUM(I331-I330),I331)</f>
        <v>0</v>
      </c>
      <c r="K331" s="124" t="n">
        <f aca="false">IF(WEEKDAY(A331,3)&gt;4,0,(IF(A331&lt;K$2,0,IF(A331&lt;=K$3,1,0))))</f>
        <v>0</v>
      </c>
      <c r="L331" s="124" t="n">
        <f aca="false">J331*K331</f>
        <v>0</v>
      </c>
      <c r="M331" s="124" t="n">
        <f aca="false">SUM(J$280:J331)</f>
        <v>0</v>
      </c>
      <c r="N331" s="124" t="n">
        <f aca="false">SUM(J$6:J331)</f>
        <v>-221916</v>
      </c>
      <c r="P331" s="124" t="n">
        <f aca="false">D331/P$3</f>
        <v>0</v>
      </c>
      <c r="Q331" s="124" t="n">
        <f aca="false">E331/P$3</f>
        <v>0</v>
      </c>
      <c r="R331" s="124" t="n">
        <f aca="false">F331/R$3</f>
        <v>0</v>
      </c>
      <c r="S331" s="126" t="n">
        <f aca="false">J331/$R$3</f>
        <v>0</v>
      </c>
      <c r="T331" s="126" t="n">
        <f aca="false">L331/$R$3</f>
        <v>0</v>
      </c>
      <c r="U331" s="126" t="n">
        <f aca="false">I331/$R$3</f>
        <v>0</v>
      </c>
      <c r="V331" s="126" t="n">
        <f aca="false">M331/$R$3</f>
        <v>0</v>
      </c>
      <c r="W331" s="126" t="n">
        <f aca="false">N331/$R$3</f>
        <v>-221.916</v>
      </c>
    </row>
    <row r="332" customFormat="false" ht="12.75" hidden="false" customHeight="false" outlineLevel="0" collapsed="false">
      <c r="A332" s="120" t="n">
        <f aca="false">A331+1</f>
        <v>37218</v>
      </c>
      <c r="B332" s="131" t="str">
        <f aca="false">INDEX('[4]Master Data'!$A$2:$B$8,MATCH(WEEKDAY('TBS Gas MTM'!A332,3),'[4]Master Data'!$A$2:$A$8,0),2)</f>
        <v>F</v>
      </c>
      <c r="D332" s="124" t="n">
        <v>0</v>
      </c>
      <c r="E332" s="124" t="n">
        <v>0</v>
      </c>
      <c r="F332" s="124" t="n">
        <v>0</v>
      </c>
      <c r="G332" s="124" t="n">
        <v>0</v>
      </c>
      <c r="I332" s="124" t="n">
        <f aca="false">IF(MONTH($A332)=MONTH($A331),IF(G332=0,I331,G332),G332)</f>
        <v>0</v>
      </c>
      <c r="J332" s="124" t="n">
        <f aca="false">IF(MONTH($A332)=MONTH($A331),SUM(I332-I331),I332)</f>
        <v>0</v>
      </c>
      <c r="K332" s="124" t="n">
        <f aca="false">IF(WEEKDAY(A332,3)&gt;4,0,(IF(A332&lt;K$2,0,IF(A332&lt;=K$3,1,0))))</f>
        <v>0</v>
      </c>
      <c r="L332" s="124" t="n">
        <f aca="false">J332*K332</f>
        <v>0</v>
      </c>
      <c r="M332" s="124" t="n">
        <f aca="false">SUM(J$280:J332)</f>
        <v>0</v>
      </c>
      <c r="N332" s="124" t="n">
        <f aca="false">SUM(J$6:J332)</f>
        <v>-221916</v>
      </c>
      <c r="P332" s="124" t="n">
        <f aca="false">D332/P$3</f>
        <v>0</v>
      </c>
      <c r="Q332" s="124" t="n">
        <f aca="false">E332/P$3</f>
        <v>0</v>
      </c>
      <c r="R332" s="124" t="n">
        <f aca="false">F332/R$3</f>
        <v>0</v>
      </c>
      <c r="S332" s="126" t="n">
        <f aca="false">J332/$R$3</f>
        <v>0</v>
      </c>
      <c r="T332" s="126" t="n">
        <f aca="false">L332/$R$3</f>
        <v>0</v>
      </c>
      <c r="U332" s="126" t="n">
        <f aca="false">I332/$R$3</f>
        <v>0</v>
      </c>
      <c r="V332" s="126" t="n">
        <f aca="false">M332/$R$3</f>
        <v>0</v>
      </c>
      <c r="W332" s="126" t="n">
        <f aca="false">N332/$R$3</f>
        <v>-221.916</v>
      </c>
    </row>
    <row r="333" customFormat="false" ht="12.75" hidden="false" customHeight="false" outlineLevel="0" collapsed="false">
      <c r="A333" s="120" t="n">
        <f aca="false">A332+1</f>
        <v>37219</v>
      </c>
      <c r="B333" s="131" t="str">
        <f aca="false">INDEX('[4]Master Data'!$A$2:$B$8,MATCH(WEEKDAY('TBS Gas MTM'!A333,3),'[4]Master Data'!$A$2:$A$8,0),2)</f>
        <v>Sa</v>
      </c>
      <c r="D333" s="124" t="n">
        <v>0</v>
      </c>
      <c r="E333" s="124" t="n">
        <v>0</v>
      </c>
      <c r="F333" s="124" t="n">
        <v>0</v>
      </c>
      <c r="G333" s="124" t="n">
        <v>0</v>
      </c>
      <c r="I333" s="124" t="n">
        <f aca="false">IF(MONTH($A333)=MONTH($A332),IF(G333=0,I332,G333),G333)</f>
        <v>0</v>
      </c>
      <c r="J333" s="124" t="n">
        <f aca="false">IF(MONTH($A333)=MONTH($A332),SUM(I333-I332),I333)</f>
        <v>0</v>
      </c>
      <c r="K333" s="124" t="n">
        <f aca="false">IF(WEEKDAY(A333,3)&gt;4,0,(IF(A333&lt;K$2,0,IF(A333&lt;=K$3,1,0))))</f>
        <v>0</v>
      </c>
      <c r="L333" s="124" t="n">
        <f aca="false">J333*K333</f>
        <v>0</v>
      </c>
      <c r="M333" s="124" t="n">
        <f aca="false">SUM(J$280:J333)</f>
        <v>0</v>
      </c>
      <c r="N333" s="124" t="n">
        <f aca="false">SUM(J$6:J333)</f>
        <v>-221916</v>
      </c>
      <c r="P333" s="124" t="n">
        <f aca="false">D333/P$3</f>
        <v>0</v>
      </c>
      <c r="Q333" s="124" t="n">
        <f aca="false">E333/P$3</f>
        <v>0</v>
      </c>
      <c r="R333" s="124" t="n">
        <f aca="false">F333/R$3</f>
        <v>0</v>
      </c>
      <c r="S333" s="126" t="n">
        <f aca="false">J333/$R$3</f>
        <v>0</v>
      </c>
      <c r="T333" s="126" t="n">
        <f aca="false">L333/$R$3</f>
        <v>0</v>
      </c>
      <c r="U333" s="126" t="n">
        <f aca="false">I333/$R$3</f>
        <v>0</v>
      </c>
      <c r="V333" s="126" t="n">
        <f aca="false">M333/$R$3</f>
        <v>0</v>
      </c>
      <c r="W333" s="126" t="n">
        <f aca="false">N333/$R$3</f>
        <v>-221.916</v>
      </c>
    </row>
    <row r="334" customFormat="false" ht="12.75" hidden="false" customHeight="false" outlineLevel="0" collapsed="false">
      <c r="A334" s="120" t="n">
        <f aca="false">A333+1</f>
        <v>37220</v>
      </c>
      <c r="B334" s="131" t="str">
        <f aca="false">INDEX('[4]Master Data'!$A$2:$B$8,MATCH(WEEKDAY('TBS Gas MTM'!A334,3),'[4]Master Data'!$A$2:$A$8,0),2)</f>
        <v>Su</v>
      </c>
      <c r="D334" s="124" t="n">
        <v>0</v>
      </c>
      <c r="E334" s="124" t="n">
        <v>0</v>
      </c>
      <c r="F334" s="124" t="n">
        <v>0</v>
      </c>
      <c r="G334" s="124" t="n">
        <v>0</v>
      </c>
      <c r="I334" s="124" t="n">
        <f aca="false">IF(MONTH($A334)=MONTH($A333),IF(G334=0,I333,G334),G334)</f>
        <v>0</v>
      </c>
      <c r="J334" s="124" t="n">
        <f aca="false">IF(MONTH($A334)=MONTH($A333),SUM(I334-I333),I334)</f>
        <v>0</v>
      </c>
      <c r="K334" s="124" t="n">
        <f aca="false">IF(WEEKDAY(A334,3)&gt;4,0,(IF(A334&lt;K$2,0,IF(A334&lt;=K$3,1,0))))</f>
        <v>0</v>
      </c>
      <c r="L334" s="124" t="n">
        <f aca="false">J334*K334</f>
        <v>0</v>
      </c>
      <c r="M334" s="124" t="n">
        <f aca="false">SUM(J$280:J334)</f>
        <v>0</v>
      </c>
      <c r="N334" s="124" t="n">
        <f aca="false">SUM(J$6:J334)</f>
        <v>-221916</v>
      </c>
      <c r="P334" s="124" t="n">
        <f aca="false">D334/P$3</f>
        <v>0</v>
      </c>
      <c r="Q334" s="124" t="n">
        <f aca="false">E334/P$3</f>
        <v>0</v>
      </c>
      <c r="R334" s="124" t="n">
        <f aca="false">F334/R$3</f>
        <v>0</v>
      </c>
      <c r="S334" s="126" t="n">
        <f aca="false">J334/$R$3</f>
        <v>0</v>
      </c>
      <c r="T334" s="126" t="n">
        <f aca="false">L334/$R$3</f>
        <v>0</v>
      </c>
      <c r="U334" s="126" t="n">
        <f aca="false">I334/$R$3</f>
        <v>0</v>
      </c>
      <c r="V334" s="126" t="n">
        <f aca="false">M334/$R$3</f>
        <v>0</v>
      </c>
      <c r="W334" s="126" t="n">
        <f aca="false">N334/$R$3</f>
        <v>-221.916</v>
      </c>
    </row>
    <row r="335" customFormat="false" ht="12.75" hidden="false" customHeight="false" outlineLevel="0" collapsed="false">
      <c r="A335" s="120" t="n">
        <f aca="false">A334+1</f>
        <v>37221</v>
      </c>
      <c r="B335" s="131" t="str">
        <f aca="false">INDEX('[4]Master Data'!$A$2:$B$8,MATCH(WEEKDAY('TBS Gas MTM'!A335,3),'[4]Master Data'!$A$2:$A$8,0),2)</f>
        <v>M</v>
      </c>
      <c r="D335" s="124" t="n">
        <v>0</v>
      </c>
      <c r="E335" s="124" t="n">
        <v>0</v>
      </c>
      <c r="F335" s="124" t="n">
        <v>0</v>
      </c>
      <c r="G335" s="124" t="n">
        <v>0</v>
      </c>
      <c r="I335" s="124" t="n">
        <f aca="false">IF(MONTH($A335)=MONTH($A334),IF(G335=0,I334,G335),G335)</f>
        <v>0</v>
      </c>
      <c r="J335" s="124" t="n">
        <f aca="false">IF(MONTH($A335)=MONTH($A334),SUM(I335-I334),I335)</f>
        <v>0</v>
      </c>
      <c r="K335" s="124" t="n">
        <f aca="false">IF(WEEKDAY(A335,3)&gt;4,0,(IF(A335&lt;K$2,0,IF(A335&lt;=K$3,1,0))))</f>
        <v>0</v>
      </c>
      <c r="L335" s="124" t="n">
        <f aca="false">J335*K335</f>
        <v>0</v>
      </c>
      <c r="M335" s="124" t="n">
        <f aca="false">SUM(J$280:J335)</f>
        <v>0</v>
      </c>
      <c r="N335" s="124" t="n">
        <f aca="false">SUM(J$6:J335)</f>
        <v>-221916</v>
      </c>
      <c r="P335" s="124" t="n">
        <f aca="false">D335/P$3</f>
        <v>0</v>
      </c>
      <c r="Q335" s="124" t="n">
        <f aca="false">E335/P$3</f>
        <v>0</v>
      </c>
      <c r="R335" s="124" t="n">
        <f aca="false">F335/R$3</f>
        <v>0</v>
      </c>
      <c r="S335" s="126" t="n">
        <f aca="false">J335/$R$3</f>
        <v>0</v>
      </c>
      <c r="T335" s="126" t="n">
        <f aca="false">L335/$R$3</f>
        <v>0</v>
      </c>
      <c r="U335" s="126" t="n">
        <f aca="false">I335/$R$3</f>
        <v>0</v>
      </c>
      <c r="V335" s="126" t="n">
        <f aca="false">M335/$R$3</f>
        <v>0</v>
      </c>
      <c r="W335" s="126" t="n">
        <f aca="false">N335/$R$3</f>
        <v>-221.916</v>
      </c>
    </row>
    <row r="336" customFormat="false" ht="12.75" hidden="false" customHeight="false" outlineLevel="0" collapsed="false">
      <c r="A336" s="120" t="n">
        <f aca="false">A335+1</f>
        <v>37222</v>
      </c>
      <c r="B336" s="131" t="str">
        <f aca="false">INDEX('[4]Master Data'!$A$2:$B$8,MATCH(WEEKDAY('TBS Gas MTM'!A336,3),'[4]Master Data'!$A$2:$A$8,0),2)</f>
        <v>T</v>
      </c>
      <c r="D336" s="124" t="n">
        <v>0</v>
      </c>
      <c r="E336" s="124" t="n">
        <v>0</v>
      </c>
      <c r="F336" s="124" t="n">
        <v>0</v>
      </c>
      <c r="G336" s="124" t="n">
        <v>0</v>
      </c>
      <c r="I336" s="124" t="n">
        <f aca="false">IF(MONTH($A336)=MONTH($A335),IF(G336=0,I335,G336),G336)</f>
        <v>0</v>
      </c>
      <c r="J336" s="124" t="n">
        <f aca="false">IF(MONTH($A336)=MONTH($A335),SUM(I336-I335),I336)</f>
        <v>0</v>
      </c>
      <c r="K336" s="124" t="n">
        <f aca="false">IF(WEEKDAY(A336,3)&gt;4,0,(IF(A336&lt;K$2,0,IF(A336&lt;=K$3,1,0))))</f>
        <v>0</v>
      </c>
      <c r="L336" s="124" t="n">
        <f aca="false">J336*K336</f>
        <v>0</v>
      </c>
      <c r="M336" s="124" t="n">
        <f aca="false">SUM(J$280:J336)</f>
        <v>0</v>
      </c>
      <c r="N336" s="124" t="n">
        <f aca="false">SUM(J$6:J336)</f>
        <v>-221916</v>
      </c>
      <c r="P336" s="124" t="n">
        <f aca="false">D336/P$3</f>
        <v>0</v>
      </c>
      <c r="Q336" s="124" t="n">
        <f aca="false">E336/P$3</f>
        <v>0</v>
      </c>
      <c r="R336" s="124" t="n">
        <f aca="false">F336/R$3</f>
        <v>0</v>
      </c>
      <c r="S336" s="126" t="n">
        <f aca="false">J336/$R$3</f>
        <v>0</v>
      </c>
      <c r="T336" s="126" t="n">
        <f aca="false">L336/$R$3</f>
        <v>0</v>
      </c>
      <c r="U336" s="126" t="n">
        <f aca="false">I336/$R$3</f>
        <v>0</v>
      </c>
      <c r="V336" s="126" t="n">
        <f aca="false">M336/$R$3</f>
        <v>0</v>
      </c>
      <c r="W336" s="126" t="n">
        <f aca="false">N336/$R$3</f>
        <v>-221.916</v>
      </c>
    </row>
    <row r="337" customFormat="false" ht="12.75" hidden="false" customHeight="false" outlineLevel="0" collapsed="false">
      <c r="A337" s="120" t="n">
        <f aca="false">A336+1</f>
        <v>37223</v>
      </c>
      <c r="B337" s="131" t="str">
        <f aca="false">INDEX('[4]Master Data'!$A$2:$B$8,MATCH(WEEKDAY('TBS Gas MTM'!A337,3),'[4]Master Data'!$A$2:$A$8,0),2)</f>
        <v>W</v>
      </c>
      <c r="D337" s="124" t="n">
        <v>0</v>
      </c>
      <c r="E337" s="124" t="n">
        <v>0</v>
      </c>
      <c r="F337" s="124" t="n">
        <v>0</v>
      </c>
      <c r="G337" s="124" t="n">
        <v>0</v>
      </c>
      <c r="I337" s="124" t="n">
        <f aca="false">IF(MONTH($A337)=MONTH($A336),IF(G337=0,I336,G337),G337)</f>
        <v>0</v>
      </c>
      <c r="J337" s="124" t="n">
        <f aca="false">IF(MONTH($A337)=MONTH($A336),SUM(I337-I336),I337)</f>
        <v>0</v>
      </c>
      <c r="K337" s="124" t="n">
        <f aca="false">IF(WEEKDAY(A337,3)&gt;4,0,(IF(A337&lt;K$2,0,IF(A337&lt;=K$3,1,0))))</f>
        <v>0</v>
      </c>
      <c r="L337" s="124" t="n">
        <f aca="false">J337*K337</f>
        <v>0</v>
      </c>
      <c r="M337" s="124" t="n">
        <f aca="false">SUM(J$280:J337)</f>
        <v>0</v>
      </c>
      <c r="N337" s="124" t="n">
        <f aca="false">SUM(J$6:J337)</f>
        <v>-221916</v>
      </c>
      <c r="P337" s="124" t="n">
        <f aca="false">D337/P$3</f>
        <v>0</v>
      </c>
      <c r="Q337" s="124" t="n">
        <f aca="false">E337/P$3</f>
        <v>0</v>
      </c>
      <c r="R337" s="124" t="n">
        <f aca="false">F337/R$3</f>
        <v>0</v>
      </c>
      <c r="S337" s="126" t="n">
        <f aca="false">J337/$R$3</f>
        <v>0</v>
      </c>
      <c r="T337" s="126" t="n">
        <f aca="false">L337/$R$3</f>
        <v>0</v>
      </c>
      <c r="U337" s="126" t="n">
        <f aca="false">I337/$R$3</f>
        <v>0</v>
      </c>
      <c r="V337" s="126" t="n">
        <f aca="false">M337/$R$3</f>
        <v>0</v>
      </c>
      <c r="W337" s="126" t="n">
        <f aca="false">N337/$R$3</f>
        <v>-221.916</v>
      </c>
    </row>
    <row r="338" customFormat="false" ht="12.75" hidden="false" customHeight="false" outlineLevel="0" collapsed="false">
      <c r="A338" s="120" t="n">
        <f aca="false">A337+1</f>
        <v>37224</v>
      </c>
      <c r="B338" s="131" t="str">
        <f aca="false">INDEX('[4]Master Data'!$A$2:$B$8,MATCH(WEEKDAY('TBS Gas MTM'!A338,3),'[4]Master Data'!$A$2:$A$8,0),2)</f>
        <v>Th</v>
      </c>
      <c r="D338" s="124" t="n">
        <v>0</v>
      </c>
      <c r="E338" s="124" t="n">
        <v>0</v>
      </c>
      <c r="F338" s="124" t="n">
        <v>0</v>
      </c>
      <c r="G338" s="124" t="n">
        <v>0</v>
      </c>
      <c r="I338" s="124" t="n">
        <f aca="false">IF(MONTH($A338)=MONTH($A337),IF(G338=0,I337,G338),G338)</f>
        <v>0</v>
      </c>
      <c r="J338" s="124" t="n">
        <f aca="false">IF(MONTH($A338)=MONTH($A337),SUM(I338-I337),I338)</f>
        <v>0</v>
      </c>
      <c r="K338" s="124" t="n">
        <f aca="false">IF(WEEKDAY(A338,3)&gt;4,0,(IF(A338&lt;K$2,0,IF(A338&lt;=K$3,1,0))))</f>
        <v>0</v>
      </c>
      <c r="L338" s="124" t="n">
        <f aca="false">J338*K338</f>
        <v>0</v>
      </c>
      <c r="M338" s="124" t="n">
        <f aca="false">SUM(J$280:J338)</f>
        <v>0</v>
      </c>
      <c r="N338" s="124" t="n">
        <f aca="false">SUM(J$6:J338)</f>
        <v>-221916</v>
      </c>
      <c r="P338" s="124" t="n">
        <f aca="false">D338/P$3</f>
        <v>0</v>
      </c>
      <c r="Q338" s="124" t="n">
        <f aca="false">E338/P$3</f>
        <v>0</v>
      </c>
      <c r="R338" s="124" t="n">
        <f aca="false">F338/R$3</f>
        <v>0</v>
      </c>
      <c r="S338" s="126" t="n">
        <f aca="false">J338/$R$3</f>
        <v>0</v>
      </c>
      <c r="T338" s="126" t="n">
        <f aca="false">L338/$R$3</f>
        <v>0</v>
      </c>
      <c r="U338" s="126" t="n">
        <f aca="false">I338/$R$3</f>
        <v>0</v>
      </c>
      <c r="V338" s="126" t="n">
        <f aca="false">M338/$R$3</f>
        <v>0</v>
      </c>
      <c r="W338" s="126" t="n">
        <f aca="false">N338/$R$3</f>
        <v>-221.916</v>
      </c>
    </row>
    <row r="339" customFormat="false" ht="12.75" hidden="false" customHeight="false" outlineLevel="0" collapsed="false">
      <c r="A339" s="120" t="n">
        <f aca="false">A338+1</f>
        <v>37225</v>
      </c>
      <c r="B339" s="131" t="str">
        <f aca="false">INDEX('[4]Master Data'!$A$2:$B$8,MATCH(WEEKDAY('TBS Gas MTM'!A339,3),'[4]Master Data'!$A$2:$A$8,0),2)</f>
        <v>F</v>
      </c>
      <c r="D339" s="124" t="n">
        <v>0</v>
      </c>
      <c r="E339" s="124" t="n">
        <v>0</v>
      </c>
      <c r="F339" s="124" t="n">
        <v>0</v>
      </c>
      <c r="G339" s="124" t="n">
        <v>0</v>
      </c>
      <c r="I339" s="124" t="n">
        <f aca="false">IF(MONTH($A339)=MONTH($A338),IF(G339=0,I338,G339),G339)</f>
        <v>0</v>
      </c>
      <c r="J339" s="124" t="n">
        <f aca="false">IF(MONTH($A339)=MONTH($A338),SUM(I339-I338),I339)</f>
        <v>0</v>
      </c>
      <c r="K339" s="124" t="n">
        <f aca="false">IF(WEEKDAY(A339,3)&gt;4,0,(IF(A339&lt;K$2,0,IF(A339&lt;=K$3,1,0))))</f>
        <v>0</v>
      </c>
      <c r="L339" s="124" t="n">
        <f aca="false">J339*K339</f>
        <v>0</v>
      </c>
      <c r="M339" s="124" t="n">
        <f aca="false">SUM(J$280:J339)</f>
        <v>0</v>
      </c>
      <c r="N339" s="124" t="n">
        <f aca="false">SUM(J$6:J339)</f>
        <v>-221916</v>
      </c>
      <c r="P339" s="124" t="n">
        <f aca="false">D339/P$3</f>
        <v>0</v>
      </c>
      <c r="Q339" s="124" t="n">
        <f aca="false">E339/P$3</f>
        <v>0</v>
      </c>
      <c r="R339" s="124" t="n">
        <f aca="false">F339/R$3</f>
        <v>0</v>
      </c>
      <c r="S339" s="126" t="n">
        <f aca="false">J339/$R$3</f>
        <v>0</v>
      </c>
      <c r="T339" s="126" t="n">
        <f aca="false">L339/$R$3</f>
        <v>0</v>
      </c>
      <c r="U339" s="126" t="n">
        <f aca="false">I339/$R$3</f>
        <v>0</v>
      </c>
      <c r="V339" s="126" t="n">
        <f aca="false">M339/$R$3</f>
        <v>0</v>
      </c>
      <c r="W339" s="126" t="n">
        <f aca="false">N339/$R$3</f>
        <v>-221.916</v>
      </c>
    </row>
    <row r="340" customFormat="false" ht="12.75" hidden="false" customHeight="false" outlineLevel="0" collapsed="false">
      <c r="A340" s="120" t="n">
        <f aca="false">A339+1</f>
        <v>37226</v>
      </c>
      <c r="B340" s="131" t="str">
        <f aca="false">INDEX('[4]Master Data'!$A$2:$B$8,MATCH(WEEKDAY('TBS Gas MTM'!A340,3),'[4]Master Data'!$A$2:$A$8,0),2)</f>
        <v>Sa</v>
      </c>
      <c r="D340" s="124" t="n">
        <v>0</v>
      </c>
      <c r="E340" s="124" t="n">
        <v>0</v>
      </c>
      <c r="F340" s="124" t="n">
        <v>0</v>
      </c>
      <c r="G340" s="124" t="n">
        <v>0</v>
      </c>
      <c r="I340" s="124" t="n">
        <f aca="false">IF(MONTH($A340)=MONTH($A339),IF(G340=0,I339,G340),G340)</f>
        <v>0</v>
      </c>
      <c r="J340" s="124" t="n">
        <f aca="false">IF(MONTH($A340)=MONTH($A339),SUM(I340-I339),I340)</f>
        <v>0</v>
      </c>
      <c r="K340" s="124" t="n">
        <f aca="false">IF(WEEKDAY(A340,3)&gt;4,0,(IF(A340&lt;K$2,0,IF(A340&lt;=K$3,1,0))))</f>
        <v>0</v>
      </c>
      <c r="L340" s="124" t="n">
        <f aca="false">J340*K340</f>
        <v>0</v>
      </c>
      <c r="M340" s="124" t="n">
        <f aca="false">SUM(J$280:J340)</f>
        <v>0</v>
      </c>
      <c r="N340" s="124" t="n">
        <f aca="false">SUM(J$6:J340)</f>
        <v>-221916</v>
      </c>
      <c r="P340" s="124" t="n">
        <f aca="false">D340/P$3</f>
        <v>0</v>
      </c>
      <c r="Q340" s="124" t="n">
        <f aca="false">E340/P$3</f>
        <v>0</v>
      </c>
      <c r="R340" s="124" t="n">
        <f aca="false">F340/R$3</f>
        <v>0</v>
      </c>
      <c r="S340" s="126" t="n">
        <f aca="false">J340/$R$3</f>
        <v>0</v>
      </c>
      <c r="T340" s="126" t="n">
        <f aca="false">L340/$R$3</f>
        <v>0</v>
      </c>
      <c r="U340" s="126" t="n">
        <f aca="false">I340/$R$3</f>
        <v>0</v>
      </c>
      <c r="V340" s="126" t="n">
        <f aca="false">M340/$R$3</f>
        <v>0</v>
      </c>
      <c r="W340" s="126" t="n">
        <f aca="false">N340/$R$3</f>
        <v>-221.916</v>
      </c>
    </row>
    <row r="341" customFormat="false" ht="12.75" hidden="false" customHeight="false" outlineLevel="0" collapsed="false">
      <c r="A341" s="120" t="n">
        <f aca="false">A340+1</f>
        <v>37227</v>
      </c>
      <c r="B341" s="131" t="str">
        <f aca="false">INDEX('[4]Master Data'!$A$2:$B$8,MATCH(WEEKDAY('TBS Gas MTM'!A341,3),'[4]Master Data'!$A$2:$A$8,0),2)</f>
        <v>Su</v>
      </c>
      <c r="D341" s="124" t="n">
        <v>0</v>
      </c>
      <c r="E341" s="124" t="n">
        <v>0</v>
      </c>
      <c r="F341" s="124" t="n">
        <v>0</v>
      </c>
      <c r="G341" s="124" t="n">
        <v>0</v>
      </c>
      <c r="I341" s="124" t="n">
        <f aca="false">IF(MONTH($A341)=MONTH($A340),IF(G341=0,I340,G341),G341)</f>
        <v>0</v>
      </c>
      <c r="J341" s="124" t="n">
        <f aca="false">IF(MONTH($A341)=MONTH($A340),SUM(I341-I340),I341)</f>
        <v>0</v>
      </c>
      <c r="K341" s="124" t="n">
        <f aca="false">IF(WEEKDAY(A341,3)&gt;4,0,(IF(A341&lt;K$2,0,IF(A341&lt;=K$3,1,0))))</f>
        <v>0</v>
      </c>
      <c r="L341" s="124" t="n">
        <f aca="false">J341*K341</f>
        <v>0</v>
      </c>
      <c r="M341" s="124" t="n">
        <f aca="false">SUM(J$280:J341)</f>
        <v>0</v>
      </c>
      <c r="N341" s="124" t="n">
        <f aca="false">SUM(J$6:J341)</f>
        <v>-221916</v>
      </c>
      <c r="P341" s="124" t="n">
        <f aca="false">D341/P$3</f>
        <v>0</v>
      </c>
      <c r="Q341" s="124" t="n">
        <f aca="false">E341/P$3</f>
        <v>0</v>
      </c>
      <c r="R341" s="124" t="n">
        <f aca="false">F341/R$3</f>
        <v>0</v>
      </c>
      <c r="S341" s="126" t="n">
        <f aca="false">J341/$R$3</f>
        <v>0</v>
      </c>
      <c r="T341" s="126" t="n">
        <f aca="false">L341/$R$3</f>
        <v>0</v>
      </c>
      <c r="U341" s="126" t="n">
        <f aca="false">I341/$R$3</f>
        <v>0</v>
      </c>
      <c r="V341" s="126" t="n">
        <f aca="false">M341/$R$3</f>
        <v>0</v>
      </c>
      <c r="W341" s="126" t="n">
        <f aca="false">N341/$R$3</f>
        <v>-221.916</v>
      </c>
    </row>
    <row r="342" customFormat="false" ht="12.75" hidden="false" customHeight="false" outlineLevel="0" collapsed="false">
      <c r="A342" s="120" t="n">
        <f aca="false">A341+1</f>
        <v>37228</v>
      </c>
      <c r="B342" s="131" t="str">
        <f aca="false">INDEX('[4]Master Data'!$A$2:$B$8,MATCH(WEEKDAY('TBS Gas MTM'!A342,3),'[4]Master Data'!$A$2:$A$8,0),2)</f>
        <v>M</v>
      </c>
      <c r="D342" s="124" t="n">
        <v>0</v>
      </c>
      <c r="E342" s="124" t="n">
        <v>0</v>
      </c>
      <c r="F342" s="124" t="n">
        <v>0</v>
      </c>
      <c r="G342" s="124" t="n">
        <v>0</v>
      </c>
      <c r="I342" s="124" t="n">
        <f aca="false">IF(MONTH($A342)=MONTH($A341),IF(G342=0,I341,G342),G342)</f>
        <v>0</v>
      </c>
      <c r="J342" s="124" t="n">
        <f aca="false">IF(MONTH($A342)=MONTH($A341),SUM(I342-I341),I342)</f>
        <v>0</v>
      </c>
      <c r="K342" s="124" t="n">
        <f aca="false">IF(WEEKDAY(A342,3)&gt;4,0,(IF(A342&lt;K$2,0,IF(A342&lt;=K$3,1,0))))</f>
        <v>0</v>
      </c>
      <c r="L342" s="124" t="n">
        <f aca="false">J342*K342</f>
        <v>0</v>
      </c>
      <c r="M342" s="124" t="n">
        <f aca="false">SUM(J$280:J342)</f>
        <v>0</v>
      </c>
      <c r="N342" s="124" t="n">
        <f aca="false">SUM(J$6:J342)</f>
        <v>-221916</v>
      </c>
      <c r="P342" s="124" t="n">
        <f aca="false">D342/P$3</f>
        <v>0</v>
      </c>
      <c r="Q342" s="124" t="n">
        <f aca="false">E342/P$3</f>
        <v>0</v>
      </c>
      <c r="R342" s="124" t="n">
        <f aca="false">F342/R$3</f>
        <v>0</v>
      </c>
      <c r="S342" s="126" t="n">
        <f aca="false">J342/$R$3</f>
        <v>0</v>
      </c>
      <c r="T342" s="126" t="n">
        <f aca="false">L342/$R$3</f>
        <v>0</v>
      </c>
      <c r="U342" s="126" t="n">
        <f aca="false">I342/$R$3</f>
        <v>0</v>
      </c>
      <c r="V342" s="126" t="n">
        <f aca="false">M342/$R$3</f>
        <v>0</v>
      </c>
      <c r="W342" s="126" t="n">
        <f aca="false">N342/$R$3</f>
        <v>-221.916</v>
      </c>
    </row>
    <row r="343" customFormat="false" ht="12.75" hidden="false" customHeight="false" outlineLevel="0" collapsed="false">
      <c r="A343" s="120" t="n">
        <f aca="false">A342+1</f>
        <v>37229</v>
      </c>
      <c r="B343" s="131" t="str">
        <f aca="false">INDEX('[4]Master Data'!$A$2:$B$8,MATCH(WEEKDAY('TBS Gas MTM'!A343,3),'[4]Master Data'!$A$2:$A$8,0),2)</f>
        <v>T</v>
      </c>
      <c r="D343" s="124" t="n">
        <v>0</v>
      </c>
      <c r="E343" s="124" t="n">
        <v>0</v>
      </c>
      <c r="F343" s="124" t="n">
        <v>0</v>
      </c>
      <c r="G343" s="124" t="n">
        <v>0</v>
      </c>
      <c r="I343" s="124" t="n">
        <f aca="false">IF(MONTH($A343)=MONTH($A342),IF(G343=0,I342,G343),G343)</f>
        <v>0</v>
      </c>
      <c r="J343" s="124" t="n">
        <f aca="false">IF(MONTH($A343)=MONTH($A342),SUM(I343-I342),I343)</f>
        <v>0</v>
      </c>
      <c r="K343" s="124" t="n">
        <f aca="false">IF(WEEKDAY(A343,3)&gt;4,0,(IF(A343&lt;K$2,0,IF(A343&lt;=K$3,1,0))))</f>
        <v>0</v>
      </c>
      <c r="L343" s="124" t="n">
        <f aca="false">J343*K343</f>
        <v>0</v>
      </c>
      <c r="M343" s="124" t="n">
        <f aca="false">SUM(J$280:J343)</f>
        <v>0</v>
      </c>
      <c r="N343" s="124" t="n">
        <f aca="false">SUM(J$6:J343)</f>
        <v>-221916</v>
      </c>
      <c r="P343" s="124" t="n">
        <f aca="false">D343/P$3</f>
        <v>0</v>
      </c>
      <c r="Q343" s="124" t="n">
        <f aca="false">E343/P$3</f>
        <v>0</v>
      </c>
      <c r="R343" s="124" t="n">
        <f aca="false">F343/R$3</f>
        <v>0</v>
      </c>
      <c r="S343" s="126" t="n">
        <f aca="false">J343/$R$3</f>
        <v>0</v>
      </c>
      <c r="T343" s="126" t="n">
        <f aca="false">L343/$R$3</f>
        <v>0</v>
      </c>
      <c r="U343" s="126" t="n">
        <f aca="false">I343/$R$3</f>
        <v>0</v>
      </c>
      <c r="V343" s="126" t="n">
        <f aca="false">M343/$R$3</f>
        <v>0</v>
      </c>
      <c r="W343" s="126" t="n">
        <f aca="false">N343/$R$3</f>
        <v>-221.916</v>
      </c>
    </row>
    <row r="344" customFormat="false" ht="12.75" hidden="false" customHeight="false" outlineLevel="0" collapsed="false">
      <c r="A344" s="120" t="n">
        <f aca="false">A343+1</f>
        <v>37230</v>
      </c>
      <c r="B344" s="131" t="str">
        <f aca="false">INDEX('[4]Master Data'!$A$2:$B$8,MATCH(WEEKDAY('TBS Gas MTM'!A344,3),'[4]Master Data'!$A$2:$A$8,0),2)</f>
        <v>W</v>
      </c>
      <c r="D344" s="124" t="n">
        <v>0</v>
      </c>
      <c r="E344" s="124" t="n">
        <v>0</v>
      </c>
      <c r="F344" s="124" t="n">
        <v>0</v>
      </c>
      <c r="G344" s="124" t="n">
        <v>0</v>
      </c>
      <c r="I344" s="124" t="n">
        <f aca="false">IF(MONTH($A344)=MONTH($A343),IF(G344=0,I343,G344),G344)</f>
        <v>0</v>
      </c>
      <c r="J344" s="124" t="n">
        <f aca="false">IF(MONTH($A344)=MONTH($A343),SUM(I344-I343),I344)</f>
        <v>0</v>
      </c>
      <c r="K344" s="124" t="n">
        <f aca="false">IF(WEEKDAY(A344,3)&gt;4,0,(IF(A344&lt;K$2,0,IF(A344&lt;=K$3,1,0))))</f>
        <v>0</v>
      </c>
      <c r="L344" s="124" t="n">
        <f aca="false">J344*K344</f>
        <v>0</v>
      </c>
      <c r="M344" s="124" t="n">
        <f aca="false">SUM(J$280:J344)</f>
        <v>0</v>
      </c>
      <c r="N344" s="124" t="n">
        <f aca="false">SUM(J$6:J344)</f>
        <v>-221916</v>
      </c>
      <c r="P344" s="124" t="n">
        <f aca="false">D344/P$3</f>
        <v>0</v>
      </c>
      <c r="Q344" s="124" t="n">
        <f aca="false">E344/P$3</f>
        <v>0</v>
      </c>
      <c r="R344" s="124" t="n">
        <f aca="false">F344/R$3</f>
        <v>0</v>
      </c>
      <c r="S344" s="126" t="n">
        <f aca="false">J344/$R$3</f>
        <v>0</v>
      </c>
      <c r="T344" s="126" t="n">
        <f aca="false">L344/$R$3</f>
        <v>0</v>
      </c>
      <c r="U344" s="126" t="n">
        <f aca="false">I344/$R$3</f>
        <v>0</v>
      </c>
      <c r="V344" s="126" t="n">
        <f aca="false">M344/$R$3</f>
        <v>0</v>
      </c>
      <c r="W344" s="126" t="n">
        <f aca="false">N344/$R$3</f>
        <v>-221.916</v>
      </c>
    </row>
    <row r="345" customFormat="false" ht="12.75" hidden="false" customHeight="false" outlineLevel="0" collapsed="false">
      <c r="A345" s="120" t="n">
        <f aca="false">A344+1</f>
        <v>37231</v>
      </c>
      <c r="B345" s="131" t="str">
        <f aca="false">INDEX('[4]Master Data'!$A$2:$B$8,MATCH(WEEKDAY('TBS Gas MTM'!A345,3),'[4]Master Data'!$A$2:$A$8,0),2)</f>
        <v>Th</v>
      </c>
      <c r="D345" s="124" t="n">
        <v>0</v>
      </c>
      <c r="E345" s="124" t="n">
        <v>0</v>
      </c>
      <c r="F345" s="124" t="n">
        <v>0</v>
      </c>
      <c r="G345" s="124" t="n">
        <v>0</v>
      </c>
      <c r="I345" s="124" t="n">
        <f aca="false">IF(MONTH($A345)=MONTH($A344),IF(G345=0,I344,G345),G345)</f>
        <v>0</v>
      </c>
      <c r="J345" s="124" t="n">
        <f aca="false">IF(MONTH($A345)=MONTH($A344),SUM(I345-I344),I345)</f>
        <v>0</v>
      </c>
      <c r="K345" s="124" t="n">
        <f aca="false">IF(WEEKDAY(A345,3)&gt;4,0,(IF(A345&lt;K$2,0,IF(A345&lt;=K$3,1,0))))</f>
        <v>0</v>
      </c>
      <c r="L345" s="124" t="n">
        <f aca="false">J345*K345</f>
        <v>0</v>
      </c>
      <c r="M345" s="124" t="n">
        <f aca="false">SUM(J$280:J345)</f>
        <v>0</v>
      </c>
      <c r="N345" s="124" t="n">
        <f aca="false">SUM(J$6:J345)</f>
        <v>-221916</v>
      </c>
      <c r="P345" s="124" t="n">
        <f aca="false">D345/P$3</f>
        <v>0</v>
      </c>
      <c r="Q345" s="124" t="n">
        <f aca="false">E345/P$3</f>
        <v>0</v>
      </c>
      <c r="R345" s="124" t="n">
        <f aca="false">F345/R$3</f>
        <v>0</v>
      </c>
      <c r="S345" s="126" t="n">
        <f aca="false">J345/$R$3</f>
        <v>0</v>
      </c>
      <c r="T345" s="126" t="n">
        <f aca="false">L345/$R$3</f>
        <v>0</v>
      </c>
      <c r="U345" s="126" t="n">
        <f aca="false">I345/$R$3</f>
        <v>0</v>
      </c>
      <c r="V345" s="126" t="n">
        <f aca="false">M345/$R$3</f>
        <v>0</v>
      </c>
      <c r="W345" s="126" t="n">
        <f aca="false">N345/$R$3</f>
        <v>-221.916</v>
      </c>
    </row>
    <row r="346" customFormat="false" ht="12.75" hidden="false" customHeight="false" outlineLevel="0" collapsed="false">
      <c r="A346" s="120" t="n">
        <f aca="false">A345+1</f>
        <v>37232</v>
      </c>
      <c r="B346" s="131" t="str">
        <f aca="false">INDEX('[4]Master Data'!$A$2:$B$8,MATCH(WEEKDAY('TBS Gas MTM'!A346,3),'[4]Master Data'!$A$2:$A$8,0),2)</f>
        <v>F</v>
      </c>
      <c r="D346" s="124" t="n">
        <v>0</v>
      </c>
      <c r="E346" s="124" t="n">
        <v>0</v>
      </c>
      <c r="F346" s="124" t="n">
        <v>0</v>
      </c>
      <c r="G346" s="124" t="n">
        <v>0</v>
      </c>
      <c r="I346" s="124" t="n">
        <f aca="false">IF(MONTH($A346)=MONTH($A345),IF(G346=0,I345,G346),G346)</f>
        <v>0</v>
      </c>
      <c r="J346" s="124" t="n">
        <f aca="false">IF(MONTH($A346)=MONTH($A345),SUM(I346-I345),I346)</f>
        <v>0</v>
      </c>
      <c r="K346" s="124" t="n">
        <f aca="false">IF(WEEKDAY(A346,3)&gt;4,0,(IF(A346&lt;K$2,0,IF(A346&lt;=K$3,1,0))))</f>
        <v>0</v>
      </c>
      <c r="L346" s="124" t="n">
        <f aca="false">J346*K346</f>
        <v>0</v>
      </c>
      <c r="M346" s="124" t="n">
        <f aca="false">SUM(J$280:J346)</f>
        <v>0</v>
      </c>
      <c r="N346" s="124" t="n">
        <f aca="false">SUM(J$6:J346)</f>
        <v>-221916</v>
      </c>
      <c r="P346" s="124" t="n">
        <f aca="false">D346/P$3</f>
        <v>0</v>
      </c>
      <c r="Q346" s="124" t="n">
        <f aca="false">E346/P$3</f>
        <v>0</v>
      </c>
      <c r="R346" s="124" t="n">
        <f aca="false">F346/R$3</f>
        <v>0</v>
      </c>
      <c r="S346" s="126" t="n">
        <f aca="false">J346/$R$3</f>
        <v>0</v>
      </c>
      <c r="T346" s="126" t="n">
        <f aca="false">L346/$R$3</f>
        <v>0</v>
      </c>
      <c r="U346" s="126" t="n">
        <f aca="false">I346/$R$3</f>
        <v>0</v>
      </c>
      <c r="V346" s="126" t="n">
        <f aca="false">M346/$R$3</f>
        <v>0</v>
      </c>
      <c r="W346" s="126" t="n">
        <f aca="false">N346/$R$3</f>
        <v>-221.916</v>
      </c>
    </row>
    <row r="347" customFormat="false" ht="12.75" hidden="false" customHeight="false" outlineLevel="0" collapsed="false">
      <c r="A347" s="120" t="n">
        <f aca="false">A346+1</f>
        <v>37233</v>
      </c>
      <c r="B347" s="131" t="str">
        <f aca="false">INDEX('[4]Master Data'!$A$2:$B$8,MATCH(WEEKDAY('TBS Gas MTM'!A347,3),'[4]Master Data'!$A$2:$A$8,0),2)</f>
        <v>Sa</v>
      </c>
      <c r="D347" s="124" t="n">
        <v>0</v>
      </c>
      <c r="E347" s="124" t="n">
        <v>0</v>
      </c>
      <c r="F347" s="124" t="n">
        <v>0</v>
      </c>
      <c r="G347" s="124" t="n">
        <v>0</v>
      </c>
      <c r="I347" s="124" t="n">
        <f aca="false">IF(MONTH($A347)=MONTH($A346),IF(G347=0,I346,G347),G347)</f>
        <v>0</v>
      </c>
      <c r="J347" s="124" t="n">
        <f aca="false">IF(MONTH($A347)=MONTH($A346),SUM(I347-I346),I347)</f>
        <v>0</v>
      </c>
      <c r="K347" s="124" t="n">
        <f aca="false">IF(WEEKDAY(A347,3)&gt;4,0,(IF(A347&lt;K$2,0,IF(A347&lt;=K$3,1,0))))</f>
        <v>0</v>
      </c>
      <c r="L347" s="124" t="n">
        <f aca="false">J347*K347</f>
        <v>0</v>
      </c>
      <c r="M347" s="124" t="n">
        <f aca="false">SUM(J$280:J347)</f>
        <v>0</v>
      </c>
      <c r="N347" s="124" t="n">
        <f aca="false">SUM(J$6:J347)</f>
        <v>-221916</v>
      </c>
      <c r="P347" s="124" t="n">
        <f aca="false">D347/P$3</f>
        <v>0</v>
      </c>
      <c r="Q347" s="124" t="n">
        <f aca="false">E347/P$3</f>
        <v>0</v>
      </c>
      <c r="R347" s="124" t="n">
        <f aca="false">F347/R$3</f>
        <v>0</v>
      </c>
      <c r="S347" s="126" t="n">
        <f aca="false">J347/$R$3</f>
        <v>0</v>
      </c>
      <c r="T347" s="126" t="n">
        <f aca="false">L347/$R$3</f>
        <v>0</v>
      </c>
      <c r="U347" s="126" t="n">
        <f aca="false">I347/$R$3</f>
        <v>0</v>
      </c>
      <c r="V347" s="126" t="n">
        <f aca="false">M347/$R$3</f>
        <v>0</v>
      </c>
      <c r="W347" s="126" t="n">
        <f aca="false">N347/$R$3</f>
        <v>-221.916</v>
      </c>
    </row>
    <row r="348" customFormat="false" ht="12.75" hidden="false" customHeight="false" outlineLevel="0" collapsed="false">
      <c r="A348" s="120" t="n">
        <f aca="false">A347+1</f>
        <v>37234</v>
      </c>
      <c r="B348" s="131" t="str">
        <f aca="false">INDEX('[4]Master Data'!$A$2:$B$8,MATCH(WEEKDAY('TBS Gas MTM'!A348,3),'[4]Master Data'!$A$2:$A$8,0),2)</f>
        <v>Su</v>
      </c>
      <c r="D348" s="124" t="n">
        <v>0</v>
      </c>
      <c r="E348" s="124" t="n">
        <v>0</v>
      </c>
      <c r="F348" s="124" t="n">
        <v>0</v>
      </c>
      <c r="G348" s="124" t="n">
        <v>0</v>
      </c>
      <c r="I348" s="124" t="n">
        <f aca="false">IF(MONTH($A348)=MONTH($A347),IF(G348=0,I347,G348),G348)</f>
        <v>0</v>
      </c>
      <c r="J348" s="124" t="n">
        <f aca="false">IF(MONTH($A348)=MONTH($A347),SUM(I348-I347),I348)</f>
        <v>0</v>
      </c>
      <c r="K348" s="124" t="n">
        <f aca="false">IF(WEEKDAY(A348,3)&gt;4,0,(IF(A348&lt;K$2,0,IF(A348&lt;=K$3,1,0))))</f>
        <v>0</v>
      </c>
      <c r="L348" s="124" t="n">
        <f aca="false">J348*K348</f>
        <v>0</v>
      </c>
      <c r="M348" s="124" t="n">
        <f aca="false">SUM(J$280:J348)</f>
        <v>0</v>
      </c>
      <c r="N348" s="124" t="n">
        <f aca="false">SUM(J$6:J348)</f>
        <v>-221916</v>
      </c>
      <c r="P348" s="124" t="n">
        <f aca="false">D348/P$3</f>
        <v>0</v>
      </c>
      <c r="Q348" s="124" t="n">
        <f aca="false">E348/P$3</f>
        <v>0</v>
      </c>
      <c r="R348" s="124" t="n">
        <f aca="false">F348/R$3</f>
        <v>0</v>
      </c>
      <c r="S348" s="126" t="n">
        <f aca="false">J348/$R$3</f>
        <v>0</v>
      </c>
      <c r="T348" s="126" t="n">
        <f aca="false">L348/$R$3</f>
        <v>0</v>
      </c>
      <c r="U348" s="126" t="n">
        <f aca="false">I348/$R$3</f>
        <v>0</v>
      </c>
      <c r="V348" s="126" t="n">
        <f aca="false">M348/$R$3</f>
        <v>0</v>
      </c>
      <c r="W348" s="126" t="n">
        <f aca="false">N348/$R$3</f>
        <v>-221.916</v>
      </c>
    </row>
    <row r="349" customFormat="false" ht="12.75" hidden="false" customHeight="false" outlineLevel="0" collapsed="false">
      <c r="A349" s="120" t="n">
        <f aca="false">A348+1</f>
        <v>37235</v>
      </c>
      <c r="B349" s="131" t="str">
        <f aca="false">INDEX('[4]Master Data'!$A$2:$B$8,MATCH(WEEKDAY('TBS Gas MTM'!A349,3),'[4]Master Data'!$A$2:$A$8,0),2)</f>
        <v>M</v>
      </c>
      <c r="D349" s="124" t="n">
        <v>0</v>
      </c>
      <c r="E349" s="124" t="n">
        <v>0</v>
      </c>
      <c r="F349" s="124" t="n">
        <v>0</v>
      </c>
      <c r="G349" s="124" t="n">
        <v>0</v>
      </c>
      <c r="I349" s="124" t="n">
        <f aca="false">IF(MONTH($A349)=MONTH($A348),IF(G349=0,I348,G349),G349)</f>
        <v>0</v>
      </c>
      <c r="J349" s="124" t="n">
        <f aca="false">IF(MONTH($A349)=MONTH($A348),SUM(I349-I348),I349)</f>
        <v>0</v>
      </c>
      <c r="K349" s="124" t="n">
        <f aca="false">IF(WEEKDAY(A349,3)&gt;4,0,(IF(A349&lt;K$2,0,IF(A349&lt;=K$3,1,0))))</f>
        <v>0</v>
      </c>
      <c r="L349" s="124" t="n">
        <f aca="false">J349*K349</f>
        <v>0</v>
      </c>
      <c r="M349" s="124" t="n">
        <f aca="false">SUM(J$280:J349)</f>
        <v>0</v>
      </c>
      <c r="N349" s="124" t="n">
        <f aca="false">SUM(J$6:J349)</f>
        <v>-221916</v>
      </c>
      <c r="P349" s="124" t="n">
        <f aca="false">D349/P$3</f>
        <v>0</v>
      </c>
      <c r="Q349" s="124" t="n">
        <f aca="false">E349/P$3</f>
        <v>0</v>
      </c>
      <c r="R349" s="124" t="n">
        <f aca="false">F349/R$3</f>
        <v>0</v>
      </c>
      <c r="S349" s="126" t="n">
        <f aca="false">J349/$R$3</f>
        <v>0</v>
      </c>
      <c r="T349" s="126" t="n">
        <f aca="false">L349/$R$3</f>
        <v>0</v>
      </c>
      <c r="U349" s="126" t="n">
        <f aca="false">I349/$R$3</f>
        <v>0</v>
      </c>
      <c r="V349" s="126" t="n">
        <f aca="false">M349/$R$3</f>
        <v>0</v>
      </c>
      <c r="W349" s="126" t="n">
        <f aca="false">N349/$R$3</f>
        <v>-221.916</v>
      </c>
    </row>
    <row r="350" customFormat="false" ht="12.75" hidden="false" customHeight="false" outlineLevel="0" collapsed="false">
      <c r="A350" s="120" t="n">
        <f aca="false">A349+1</f>
        <v>37236</v>
      </c>
      <c r="B350" s="131" t="str">
        <f aca="false">INDEX('[4]Master Data'!$A$2:$B$8,MATCH(WEEKDAY('TBS Gas MTM'!A350,3),'[4]Master Data'!$A$2:$A$8,0),2)</f>
        <v>T</v>
      </c>
      <c r="D350" s="124" t="n">
        <v>0</v>
      </c>
      <c r="E350" s="124" t="n">
        <v>0</v>
      </c>
      <c r="F350" s="124" t="n">
        <v>0</v>
      </c>
      <c r="G350" s="124" t="n">
        <v>0</v>
      </c>
      <c r="I350" s="124" t="n">
        <f aca="false">IF(MONTH($A350)=MONTH($A349),IF(G350=0,I349,G350),G350)</f>
        <v>0</v>
      </c>
      <c r="J350" s="124" t="n">
        <f aca="false">IF(MONTH($A350)=MONTH($A349),SUM(I350-I349),I350)</f>
        <v>0</v>
      </c>
      <c r="K350" s="124" t="n">
        <f aca="false">IF(WEEKDAY(A350,3)&gt;4,0,(IF(A350&lt;K$2,0,IF(A350&lt;=K$3,1,0))))</f>
        <v>0</v>
      </c>
      <c r="L350" s="124" t="n">
        <f aca="false">J350*K350</f>
        <v>0</v>
      </c>
      <c r="M350" s="124" t="n">
        <f aca="false">SUM(J$280:J350)</f>
        <v>0</v>
      </c>
      <c r="N350" s="124" t="n">
        <f aca="false">SUM(J$6:J350)</f>
        <v>-221916</v>
      </c>
      <c r="P350" s="124" t="n">
        <f aca="false">D350/P$3</f>
        <v>0</v>
      </c>
      <c r="Q350" s="124" t="n">
        <f aca="false">E350/P$3</f>
        <v>0</v>
      </c>
      <c r="R350" s="124" t="n">
        <f aca="false">F350/R$3</f>
        <v>0</v>
      </c>
      <c r="S350" s="126" t="n">
        <f aca="false">J350/$R$3</f>
        <v>0</v>
      </c>
      <c r="T350" s="126" t="n">
        <f aca="false">L350/$R$3</f>
        <v>0</v>
      </c>
      <c r="U350" s="126" t="n">
        <f aca="false">I350/$R$3</f>
        <v>0</v>
      </c>
      <c r="V350" s="126" t="n">
        <f aca="false">M350/$R$3</f>
        <v>0</v>
      </c>
      <c r="W350" s="126" t="n">
        <f aca="false">N350/$R$3</f>
        <v>-221.916</v>
      </c>
    </row>
    <row r="351" customFormat="false" ht="12.75" hidden="false" customHeight="false" outlineLevel="0" collapsed="false">
      <c r="A351" s="120" t="n">
        <f aca="false">A350+1</f>
        <v>37237</v>
      </c>
      <c r="B351" s="131" t="str">
        <f aca="false">INDEX('[4]Master Data'!$A$2:$B$8,MATCH(WEEKDAY('TBS Gas MTM'!A351,3),'[4]Master Data'!$A$2:$A$8,0),2)</f>
        <v>W</v>
      </c>
      <c r="D351" s="124" t="n">
        <v>0</v>
      </c>
      <c r="E351" s="124" t="n">
        <v>0</v>
      </c>
      <c r="F351" s="124" t="n">
        <v>0</v>
      </c>
      <c r="G351" s="124" t="n">
        <v>0</v>
      </c>
      <c r="I351" s="124" t="n">
        <f aca="false">IF(MONTH($A351)=MONTH($A350),IF(G351=0,I350,G351),G351)</f>
        <v>0</v>
      </c>
      <c r="J351" s="124" t="n">
        <f aca="false">IF(MONTH($A351)=MONTH($A350),SUM(I351-I350),I351)</f>
        <v>0</v>
      </c>
      <c r="K351" s="124" t="n">
        <f aca="false">IF(WEEKDAY(A351,3)&gt;4,0,(IF(A351&lt;K$2,0,IF(A351&lt;=K$3,1,0))))</f>
        <v>0</v>
      </c>
      <c r="L351" s="124" t="n">
        <f aca="false">J351*K351</f>
        <v>0</v>
      </c>
      <c r="M351" s="124" t="n">
        <f aca="false">SUM(J$280:J351)</f>
        <v>0</v>
      </c>
      <c r="N351" s="124" t="n">
        <f aca="false">SUM(J$6:J351)</f>
        <v>-221916</v>
      </c>
      <c r="P351" s="124" t="n">
        <f aca="false">D351/P$3</f>
        <v>0</v>
      </c>
      <c r="Q351" s="124" t="n">
        <f aca="false">E351/P$3</f>
        <v>0</v>
      </c>
      <c r="R351" s="124" t="n">
        <f aca="false">F351/R$3</f>
        <v>0</v>
      </c>
      <c r="S351" s="126" t="n">
        <f aca="false">J351/$R$3</f>
        <v>0</v>
      </c>
      <c r="T351" s="126" t="n">
        <f aca="false">L351/$R$3</f>
        <v>0</v>
      </c>
      <c r="U351" s="126" t="n">
        <f aca="false">I351/$R$3</f>
        <v>0</v>
      </c>
      <c r="V351" s="126" t="n">
        <f aca="false">M351/$R$3</f>
        <v>0</v>
      </c>
      <c r="W351" s="126" t="n">
        <f aca="false">N351/$R$3</f>
        <v>-221.916</v>
      </c>
    </row>
    <row r="352" customFormat="false" ht="12.75" hidden="false" customHeight="false" outlineLevel="0" collapsed="false">
      <c r="A352" s="120" t="n">
        <f aca="false">A351+1</f>
        <v>37238</v>
      </c>
      <c r="B352" s="131" t="str">
        <f aca="false">INDEX('[4]Master Data'!$A$2:$B$8,MATCH(WEEKDAY('TBS Gas MTM'!A352,3),'[4]Master Data'!$A$2:$A$8,0),2)</f>
        <v>Th</v>
      </c>
      <c r="D352" s="124" t="n">
        <v>0</v>
      </c>
      <c r="E352" s="124" t="n">
        <v>0</v>
      </c>
      <c r="F352" s="124" t="n">
        <v>0</v>
      </c>
      <c r="G352" s="124" t="n">
        <v>0</v>
      </c>
      <c r="I352" s="124" t="n">
        <f aca="false">IF(MONTH($A352)=MONTH($A351),IF(G352=0,I351,G352),G352)</f>
        <v>0</v>
      </c>
      <c r="J352" s="124" t="n">
        <f aca="false">IF(MONTH($A352)=MONTH($A351),SUM(I352-I351),I352)</f>
        <v>0</v>
      </c>
      <c r="K352" s="124" t="n">
        <f aca="false">IF(WEEKDAY(A352,3)&gt;4,0,(IF(A352&lt;K$2,0,IF(A352&lt;=K$3,1,0))))</f>
        <v>0</v>
      </c>
      <c r="L352" s="124" t="n">
        <f aca="false">J352*K352</f>
        <v>0</v>
      </c>
      <c r="M352" s="124" t="n">
        <f aca="false">SUM(J$280:J352)</f>
        <v>0</v>
      </c>
      <c r="N352" s="124" t="n">
        <f aca="false">SUM(J$6:J352)</f>
        <v>-221916</v>
      </c>
      <c r="P352" s="124" t="n">
        <f aca="false">D352/P$3</f>
        <v>0</v>
      </c>
      <c r="Q352" s="124" t="n">
        <f aca="false">E352/P$3</f>
        <v>0</v>
      </c>
      <c r="R352" s="124" t="n">
        <f aca="false">F352/R$3</f>
        <v>0</v>
      </c>
      <c r="S352" s="126" t="n">
        <f aca="false">J352/$R$3</f>
        <v>0</v>
      </c>
      <c r="T352" s="126" t="n">
        <f aca="false">L352/$R$3</f>
        <v>0</v>
      </c>
      <c r="U352" s="126" t="n">
        <f aca="false">I352/$R$3</f>
        <v>0</v>
      </c>
      <c r="V352" s="126" t="n">
        <f aca="false">M352/$R$3</f>
        <v>0</v>
      </c>
      <c r="W352" s="126" t="n">
        <f aca="false">N352/$R$3</f>
        <v>-221.916</v>
      </c>
    </row>
    <row r="353" customFormat="false" ht="12.75" hidden="false" customHeight="false" outlineLevel="0" collapsed="false">
      <c r="A353" s="120" t="n">
        <f aca="false">A352+1</f>
        <v>37239</v>
      </c>
      <c r="B353" s="131" t="str">
        <f aca="false">INDEX('[4]Master Data'!$A$2:$B$8,MATCH(WEEKDAY('TBS Gas MTM'!A353,3),'[4]Master Data'!$A$2:$A$8,0),2)</f>
        <v>F</v>
      </c>
      <c r="D353" s="124" t="n">
        <v>0</v>
      </c>
      <c r="E353" s="124" t="n">
        <v>0</v>
      </c>
      <c r="F353" s="124" t="n">
        <v>0</v>
      </c>
      <c r="G353" s="124" t="n">
        <v>0</v>
      </c>
      <c r="I353" s="124" t="n">
        <f aca="false">IF(MONTH($A353)=MONTH($A352),IF(G353=0,I352,G353),G353)</f>
        <v>0</v>
      </c>
      <c r="J353" s="124" t="n">
        <f aca="false">IF(MONTH($A353)=MONTH($A352),SUM(I353-I352),I353)</f>
        <v>0</v>
      </c>
      <c r="K353" s="124" t="n">
        <f aca="false">IF(WEEKDAY(A353,3)&gt;4,0,(IF(A353&lt;K$2,0,IF(A353&lt;=K$3,1,0))))</f>
        <v>0</v>
      </c>
      <c r="L353" s="124" t="n">
        <f aca="false">J353*K353</f>
        <v>0</v>
      </c>
      <c r="M353" s="124" t="n">
        <f aca="false">SUM(J$280:J353)</f>
        <v>0</v>
      </c>
      <c r="N353" s="124" t="n">
        <f aca="false">SUM(J$6:J353)</f>
        <v>-221916</v>
      </c>
      <c r="P353" s="124" t="n">
        <f aca="false">D353/P$3</f>
        <v>0</v>
      </c>
      <c r="Q353" s="124" t="n">
        <f aca="false">E353/P$3</f>
        <v>0</v>
      </c>
      <c r="R353" s="124" t="n">
        <f aca="false">F353/R$3</f>
        <v>0</v>
      </c>
      <c r="S353" s="126" t="n">
        <f aca="false">J353/$R$3</f>
        <v>0</v>
      </c>
      <c r="T353" s="126" t="n">
        <f aca="false">L353/$R$3</f>
        <v>0</v>
      </c>
      <c r="U353" s="126" t="n">
        <f aca="false">I353/$R$3</f>
        <v>0</v>
      </c>
      <c r="V353" s="126" t="n">
        <f aca="false">M353/$R$3</f>
        <v>0</v>
      </c>
      <c r="W353" s="126" t="n">
        <f aca="false">N353/$R$3</f>
        <v>-221.916</v>
      </c>
    </row>
    <row r="354" customFormat="false" ht="12.75" hidden="false" customHeight="false" outlineLevel="0" collapsed="false">
      <c r="A354" s="120" t="n">
        <f aca="false">A353+1</f>
        <v>37240</v>
      </c>
      <c r="B354" s="131" t="str">
        <f aca="false">INDEX('[4]Master Data'!$A$2:$B$8,MATCH(WEEKDAY('TBS Gas MTM'!A354,3),'[4]Master Data'!$A$2:$A$8,0),2)</f>
        <v>Sa</v>
      </c>
      <c r="D354" s="124" t="n">
        <v>0</v>
      </c>
      <c r="E354" s="124" t="n">
        <v>0</v>
      </c>
      <c r="F354" s="124" t="n">
        <v>0</v>
      </c>
      <c r="G354" s="124" t="n">
        <v>0</v>
      </c>
      <c r="I354" s="124" t="n">
        <f aca="false">IF(MONTH($A354)=MONTH($A353),IF(G354=0,I353,G354),G354)</f>
        <v>0</v>
      </c>
      <c r="J354" s="124" t="n">
        <f aca="false">IF(MONTH($A354)=MONTH($A353),SUM(I354-I353),I354)</f>
        <v>0</v>
      </c>
      <c r="K354" s="124" t="n">
        <f aca="false">IF(WEEKDAY(A354,3)&gt;4,0,(IF(A354&lt;K$2,0,IF(A354&lt;=K$3,1,0))))</f>
        <v>0</v>
      </c>
      <c r="L354" s="124" t="n">
        <f aca="false">J354*K354</f>
        <v>0</v>
      </c>
      <c r="M354" s="124" t="n">
        <f aca="false">SUM(J$280:J354)</f>
        <v>0</v>
      </c>
      <c r="N354" s="124" t="n">
        <f aca="false">SUM(J$6:J354)</f>
        <v>-221916</v>
      </c>
      <c r="P354" s="124" t="n">
        <f aca="false">D354/P$3</f>
        <v>0</v>
      </c>
      <c r="Q354" s="124" t="n">
        <f aca="false">E354/P$3</f>
        <v>0</v>
      </c>
      <c r="R354" s="124" t="n">
        <f aca="false">F354/R$3</f>
        <v>0</v>
      </c>
      <c r="S354" s="126" t="n">
        <f aca="false">J354/$R$3</f>
        <v>0</v>
      </c>
      <c r="T354" s="126" t="n">
        <f aca="false">L354/$R$3</f>
        <v>0</v>
      </c>
      <c r="U354" s="126" t="n">
        <f aca="false">I354/$R$3</f>
        <v>0</v>
      </c>
      <c r="V354" s="126" t="n">
        <f aca="false">M354/$R$3</f>
        <v>0</v>
      </c>
      <c r="W354" s="126" t="n">
        <f aca="false">N354/$R$3</f>
        <v>-221.916</v>
      </c>
    </row>
    <row r="355" customFormat="false" ht="12.75" hidden="false" customHeight="false" outlineLevel="0" collapsed="false">
      <c r="A355" s="120" t="n">
        <f aca="false">A354+1</f>
        <v>37241</v>
      </c>
      <c r="B355" s="131" t="str">
        <f aca="false">INDEX('[4]Master Data'!$A$2:$B$8,MATCH(WEEKDAY('TBS Gas MTM'!A355,3),'[4]Master Data'!$A$2:$A$8,0),2)</f>
        <v>Su</v>
      </c>
      <c r="D355" s="124" t="n">
        <v>0</v>
      </c>
      <c r="E355" s="124" t="n">
        <v>0</v>
      </c>
      <c r="F355" s="124" t="n">
        <v>0</v>
      </c>
      <c r="G355" s="124" t="n">
        <v>0</v>
      </c>
      <c r="I355" s="124" t="n">
        <f aca="false">IF(MONTH($A355)=MONTH($A354),IF(G355=0,I354,G355),G355)</f>
        <v>0</v>
      </c>
      <c r="J355" s="124" t="n">
        <f aca="false">IF(MONTH($A355)=MONTH($A354),SUM(I355-I354),I355)</f>
        <v>0</v>
      </c>
      <c r="K355" s="124" t="n">
        <f aca="false">IF(WEEKDAY(A355,3)&gt;4,0,(IF(A355&lt;K$2,0,IF(A355&lt;=K$3,1,0))))</f>
        <v>0</v>
      </c>
      <c r="L355" s="124" t="n">
        <f aca="false">J355*K355</f>
        <v>0</v>
      </c>
      <c r="M355" s="124" t="n">
        <f aca="false">SUM(J$280:J355)</f>
        <v>0</v>
      </c>
      <c r="N355" s="124" t="n">
        <f aca="false">SUM(J$6:J355)</f>
        <v>-221916</v>
      </c>
      <c r="P355" s="124" t="n">
        <f aca="false">D355/P$3</f>
        <v>0</v>
      </c>
      <c r="Q355" s="124" t="n">
        <f aca="false">E355/P$3</f>
        <v>0</v>
      </c>
      <c r="R355" s="124" t="n">
        <f aca="false">F355/R$3</f>
        <v>0</v>
      </c>
      <c r="S355" s="126" t="n">
        <f aca="false">J355/$R$3</f>
        <v>0</v>
      </c>
      <c r="T355" s="126" t="n">
        <f aca="false">L355/$R$3</f>
        <v>0</v>
      </c>
      <c r="U355" s="126" t="n">
        <f aca="false">I355/$R$3</f>
        <v>0</v>
      </c>
      <c r="V355" s="126" t="n">
        <f aca="false">M355/$R$3</f>
        <v>0</v>
      </c>
      <c r="W355" s="126" t="n">
        <f aca="false">N355/$R$3</f>
        <v>-221.916</v>
      </c>
    </row>
    <row r="356" customFormat="false" ht="12.75" hidden="false" customHeight="false" outlineLevel="0" collapsed="false">
      <c r="A356" s="120" t="n">
        <f aca="false">A355+1</f>
        <v>37242</v>
      </c>
      <c r="B356" s="131" t="str">
        <f aca="false">INDEX('[4]Master Data'!$A$2:$B$8,MATCH(WEEKDAY('TBS Gas MTM'!A356,3),'[4]Master Data'!$A$2:$A$8,0),2)</f>
        <v>M</v>
      </c>
      <c r="D356" s="124" t="n">
        <v>0</v>
      </c>
      <c r="E356" s="124" t="n">
        <v>0</v>
      </c>
      <c r="F356" s="124" t="n">
        <v>0</v>
      </c>
      <c r="G356" s="124" t="n">
        <v>0</v>
      </c>
      <c r="I356" s="124" t="n">
        <f aca="false">IF(MONTH($A356)=MONTH($A355),IF(G356=0,I355,G356),G356)</f>
        <v>0</v>
      </c>
      <c r="J356" s="124" t="n">
        <f aca="false">IF(MONTH($A356)=MONTH($A355),SUM(I356-I355),I356)</f>
        <v>0</v>
      </c>
      <c r="K356" s="124" t="n">
        <f aca="false">IF(WEEKDAY(A356,3)&gt;4,0,(IF(A356&lt;K$2,0,IF(A356&lt;=K$3,1,0))))</f>
        <v>0</v>
      </c>
      <c r="L356" s="124" t="n">
        <f aca="false">J356*K356</f>
        <v>0</v>
      </c>
      <c r="M356" s="124" t="n">
        <f aca="false">SUM(J$280:J356)</f>
        <v>0</v>
      </c>
      <c r="N356" s="124" t="n">
        <f aca="false">SUM(J$6:J356)</f>
        <v>-221916</v>
      </c>
      <c r="P356" s="124" t="n">
        <f aca="false">D356/P$3</f>
        <v>0</v>
      </c>
      <c r="Q356" s="124" t="n">
        <f aca="false">E356/P$3</f>
        <v>0</v>
      </c>
      <c r="R356" s="124" t="n">
        <f aca="false">F356/R$3</f>
        <v>0</v>
      </c>
      <c r="S356" s="126" t="n">
        <f aca="false">J356/$R$3</f>
        <v>0</v>
      </c>
      <c r="T356" s="126" t="n">
        <f aca="false">L356/$R$3</f>
        <v>0</v>
      </c>
      <c r="U356" s="126" t="n">
        <f aca="false">I356/$R$3</f>
        <v>0</v>
      </c>
      <c r="V356" s="126" t="n">
        <f aca="false">M356/$R$3</f>
        <v>0</v>
      </c>
      <c r="W356" s="126" t="n">
        <f aca="false">N356/$R$3</f>
        <v>-221.916</v>
      </c>
    </row>
    <row r="357" customFormat="false" ht="12.75" hidden="false" customHeight="false" outlineLevel="0" collapsed="false">
      <c r="A357" s="120" t="n">
        <f aca="false">A356+1</f>
        <v>37243</v>
      </c>
      <c r="B357" s="131" t="str">
        <f aca="false">INDEX('[4]Master Data'!$A$2:$B$8,MATCH(WEEKDAY('TBS Gas MTM'!A357,3),'[4]Master Data'!$A$2:$A$8,0),2)</f>
        <v>T</v>
      </c>
      <c r="D357" s="124" t="n">
        <v>0</v>
      </c>
      <c r="E357" s="124" t="n">
        <v>0</v>
      </c>
      <c r="F357" s="124" t="n">
        <v>0</v>
      </c>
      <c r="G357" s="124" t="n">
        <v>0</v>
      </c>
      <c r="I357" s="124" t="n">
        <f aca="false">IF(MONTH($A357)=MONTH($A356),IF(G357=0,I356,G357),G357)</f>
        <v>0</v>
      </c>
      <c r="J357" s="124" t="n">
        <f aca="false">IF(MONTH($A357)=MONTH($A356),SUM(I357-I356),I357)</f>
        <v>0</v>
      </c>
      <c r="K357" s="124" t="n">
        <f aca="false">IF(WEEKDAY(A357,3)&gt;4,0,(IF(A357&lt;K$2,0,IF(A357&lt;=K$3,1,0))))</f>
        <v>0</v>
      </c>
      <c r="L357" s="124" t="n">
        <f aca="false">J357*K357</f>
        <v>0</v>
      </c>
      <c r="M357" s="124" t="n">
        <f aca="false">SUM(J$280:J357)</f>
        <v>0</v>
      </c>
      <c r="N357" s="124" t="n">
        <f aca="false">SUM(J$6:J357)</f>
        <v>-221916</v>
      </c>
      <c r="P357" s="124" t="n">
        <f aca="false">D357/P$3</f>
        <v>0</v>
      </c>
      <c r="Q357" s="124" t="n">
        <f aca="false">E357/P$3</f>
        <v>0</v>
      </c>
      <c r="R357" s="124" t="n">
        <f aca="false">F357/R$3</f>
        <v>0</v>
      </c>
      <c r="S357" s="126" t="n">
        <f aca="false">J357/$R$3</f>
        <v>0</v>
      </c>
      <c r="T357" s="126" t="n">
        <f aca="false">L357/$R$3</f>
        <v>0</v>
      </c>
      <c r="U357" s="126" t="n">
        <f aca="false">I357/$R$3</f>
        <v>0</v>
      </c>
      <c r="V357" s="126" t="n">
        <f aca="false">M357/$R$3</f>
        <v>0</v>
      </c>
      <c r="W357" s="126" t="n">
        <f aca="false">N357/$R$3</f>
        <v>-221.916</v>
      </c>
    </row>
    <row r="358" customFormat="false" ht="12.75" hidden="false" customHeight="false" outlineLevel="0" collapsed="false">
      <c r="A358" s="120" t="n">
        <f aca="false">A357+1</f>
        <v>37244</v>
      </c>
      <c r="B358" s="131" t="str">
        <f aca="false">INDEX('[4]Master Data'!$A$2:$B$8,MATCH(WEEKDAY('TBS Gas MTM'!A358,3),'[4]Master Data'!$A$2:$A$8,0),2)</f>
        <v>W</v>
      </c>
      <c r="D358" s="124" t="n">
        <v>0</v>
      </c>
      <c r="E358" s="124" t="n">
        <v>0</v>
      </c>
      <c r="F358" s="124" t="n">
        <v>0</v>
      </c>
      <c r="G358" s="124" t="n">
        <v>0</v>
      </c>
      <c r="I358" s="124" t="n">
        <f aca="false">IF(MONTH($A358)=MONTH($A357),IF(G358=0,I357,G358),G358)</f>
        <v>0</v>
      </c>
      <c r="J358" s="124" t="n">
        <f aca="false">IF(MONTH($A358)=MONTH($A357),SUM(I358-I357),I358)</f>
        <v>0</v>
      </c>
      <c r="K358" s="124" t="n">
        <f aca="false">IF(WEEKDAY(A358,3)&gt;4,0,(IF(A358&lt;K$2,0,IF(A358&lt;=K$3,1,0))))</f>
        <v>0</v>
      </c>
      <c r="L358" s="124" t="n">
        <f aca="false">J358*K358</f>
        <v>0</v>
      </c>
      <c r="M358" s="124" t="n">
        <f aca="false">SUM(J$280:J358)</f>
        <v>0</v>
      </c>
      <c r="N358" s="124" t="n">
        <f aca="false">SUM(J$6:J358)</f>
        <v>-221916</v>
      </c>
      <c r="P358" s="124" t="n">
        <f aca="false">D358/P$3</f>
        <v>0</v>
      </c>
      <c r="Q358" s="124" t="n">
        <f aca="false">E358/P$3</f>
        <v>0</v>
      </c>
      <c r="R358" s="124" t="n">
        <f aca="false">F358/R$3</f>
        <v>0</v>
      </c>
      <c r="S358" s="126" t="n">
        <f aca="false">J358/$R$3</f>
        <v>0</v>
      </c>
      <c r="T358" s="126" t="n">
        <f aca="false">L358/$R$3</f>
        <v>0</v>
      </c>
      <c r="U358" s="126" t="n">
        <f aca="false">I358/$R$3</f>
        <v>0</v>
      </c>
      <c r="V358" s="126" t="n">
        <f aca="false">M358/$R$3</f>
        <v>0</v>
      </c>
      <c r="W358" s="126" t="n">
        <f aca="false">N358/$R$3</f>
        <v>-221.916</v>
      </c>
    </row>
    <row r="359" customFormat="false" ht="12.75" hidden="false" customHeight="false" outlineLevel="0" collapsed="false">
      <c r="A359" s="120" t="n">
        <f aca="false">A358+1</f>
        <v>37245</v>
      </c>
      <c r="B359" s="131" t="str">
        <f aca="false">INDEX('[4]Master Data'!$A$2:$B$8,MATCH(WEEKDAY('TBS Gas MTM'!A359,3),'[4]Master Data'!$A$2:$A$8,0),2)</f>
        <v>Th</v>
      </c>
      <c r="D359" s="124" t="n">
        <v>0</v>
      </c>
      <c r="E359" s="124" t="n">
        <v>0</v>
      </c>
      <c r="F359" s="124" t="n">
        <v>0</v>
      </c>
      <c r="G359" s="124" t="n">
        <v>0</v>
      </c>
      <c r="I359" s="124" t="n">
        <f aca="false">IF(MONTH($A359)=MONTH($A358),IF(G359=0,I358,G359),G359)</f>
        <v>0</v>
      </c>
      <c r="J359" s="124" t="n">
        <f aca="false">IF(MONTH($A359)=MONTH($A358),SUM(I359-I358),I359)</f>
        <v>0</v>
      </c>
      <c r="K359" s="124" t="n">
        <f aca="false">IF(WEEKDAY(A359,3)&gt;4,0,(IF(A359&lt;K$2,0,IF(A359&lt;=K$3,1,0))))</f>
        <v>0</v>
      </c>
      <c r="L359" s="124" t="n">
        <f aca="false">J359*K359</f>
        <v>0</v>
      </c>
      <c r="M359" s="124" t="n">
        <f aca="false">SUM(J$280:J359)</f>
        <v>0</v>
      </c>
      <c r="N359" s="124" t="n">
        <f aca="false">SUM(J$6:J359)</f>
        <v>-221916</v>
      </c>
      <c r="P359" s="124" t="n">
        <f aca="false">D359/P$3</f>
        <v>0</v>
      </c>
      <c r="Q359" s="124" t="n">
        <f aca="false">E359/P$3</f>
        <v>0</v>
      </c>
      <c r="R359" s="124" t="n">
        <f aca="false">F359/R$3</f>
        <v>0</v>
      </c>
      <c r="S359" s="126" t="n">
        <f aca="false">J359/$R$3</f>
        <v>0</v>
      </c>
      <c r="T359" s="126" t="n">
        <f aca="false">L359/$R$3</f>
        <v>0</v>
      </c>
      <c r="U359" s="126" t="n">
        <f aca="false">I359/$R$3</f>
        <v>0</v>
      </c>
      <c r="V359" s="126" t="n">
        <f aca="false">M359/$R$3</f>
        <v>0</v>
      </c>
      <c r="W359" s="126" t="n">
        <f aca="false">N359/$R$3</f>
        <v>-221.916</v>
      </c>
    </row>
    <row r="360" customFormat="false" ht="12.75" hidden="false" customHeight="false" outlineLevel="0" collapsed="false">
      <c r="A360" s="120" t="n">
        <f aca="false">A359+1</f>
        <v>37246</v>
      </c>
      <c r="B360" s="131" t="str">
        <f aca="false">INDEX('[4]Master Data'!$A$2:$B$8,MATCH(WEEKDAY('TBS Gas MTM'!A360,3),'[4]Master Data'!$A$2:$A$8,0),2)</f>
        <v>F</v>
      </c>
      <c r="D360" s="124" t="n">
        <v>0</v>
      </c>
      <c r="E360" s="124" t="n">
        <v>0</v>
      </c>
      <c r="F360" s="124" t="n">
        <v>0</v>
      </c>
      <c r="G360" s="124" t="n">
        <v>0</v>
      </c>
      <c r="I360" s="124" t="n">
        <f aca="false">IF(MONTH($A360)=MONTH($A359),IF(G360=0,I359,G360),G360)</f>
        <v>0</v>
      </c>
      <c r="J360" s="124" t="n">
        <f aca="false">IF(MONTH($A360)=MONTH($A359),SUM(I360-I359),I360)</f>
        <v>0</v>
      </c>
      <c r="K360" s="124" t="n">
        <f aca="false">IF(WEEKDAY(A360,3)&gt;4,0,(IF(A360&lt;K$2,0,IF(A360&lt;=K$3,1,0))))</f>
        <v>0</v>
      </c>
      <c r="L360" s="124" t="n">
        <f aca="false">J360*K360</f>
        <v>0</v>
      </c>
      <c r="M360" s="124" t="n">
        <f aca="false">SUM(J$280:J360)</f>
        <v>0</v>
      </c>
      <c r="N360" s="124" t="n">
        <f aca="false">SUM(J$6:J360)</f>
        <v>-221916</v>
      </c>
      <c r="P360" s="124" t="n">
        <f aca="false">D360/P$3</f>
        <v>0</v>
      </c>
      <c r="Q360" s="124" t="n">
        <f aca="false">E360/P$3</f>
        <v>0</v>
      </c>
      <c r="R360" s="124" t="n">
        <f aca="false">F360/R$3</f>
        <v>0</v>
      </c>
      <c r="S360" s="126" t="n">
        <f aca="false">J360/$R$3</f>
        <v>0</v>
      </c>
      <c r="T360" s="126" t="n">
        <f aca="false">L360/$R$3</f>
        <v>0</v>
      </c>
      <c r="U360" s="126" t="n">
        <f aca="false">I360/$R$3</f>
        <v>0</v>
      </c>
      <c r="V360" s="126" t="n">
        <f aca="false">M360/$R$3</f>
        <v>0</v>
      </c>
      <c r="W360" s="126" t="n">
        <f aca="false">N360/$R$3</f>
        <v>-221.916</v>
      </c>
    </row>
    <row r="361" customFormat="false" ht="12.75" hidden="false" customHeight="false" outlineLevel="0" collapsed="false">
      <c r="A361" s="120" t="n">
        <f aca="false">A360+1</f>
        <v>37247</v>
      </c>
      <c r="B361" s="131" t="str">
        <f aca="false">INDEX('[4]Master Data'!$A$2:$B$8,MATCH(WEEKDAY('TBS Gas MTM'!A361,3),'[4]Master Data'!$A$2:$A$8,0),2)</f>
        <v>Sa</v>
      </c>
      <c r="D361" s="124" t="n">
        <v>0</v>
      </c>
      <c r="E361" s="124" t="n">
        <v>0</v>
      </c>
      <c r="F361" s="124" t="n">
        <v>0</v>
      </c>
      <c r="G361" s="124" t="n">
        <v>0</v>
      </c>
      <c r="I361" s="124" t="n">
        <f aca="false">IF(MONTH($A361)=MONTH($A360),IF(G361=0,I360,G361),G361)</f>
        <v>0</v>
      </c>
      <c r="J361" s="124" t="n">
        <f aca="false">IF(MONTH($A361)=MONTH($A360),SUM(I361-I360),I361)</f>
        <v>0</v>
      </c>
      <c r="K361" s="124" t="n">
        <f aca="false">IF(WEEKDAY(A361,3)&gt;4,0,(IF(A361&lt;K$2,0,IF(A361&lt;=K$3,1,0))))</f>
        <v>0</v>
      </c>
      <c r="L361" s="124" t="n">
        <f aca="false">J361*K361</f>
        <v>0</v>
      </c>
      <c r="M361" s="124" t="n">
        <f aca="false">SUM(J$280:J361)</f>
        <v>0</v>
      </c>
      <c r="N361" s="124" t="n">
        <f aca="false">SUM(J$6:J361)</f>
        <v>-221916</v>
      </c>
      <c r="P361" s="124" t="n">
        <f aca="false">D361/P$3</f>
        <v>0</v>
      </c>
      <c r="Q361" s="124" t="n">
        <f aca="false">E361/P$3</f>
        <v>0</v>
      </c>
      <c r="R361" s="124" t="n">
        <f aca="false">F361/R$3</f>
        <v>0</v>
      </c>
      <c r="S361" s="126" t="n">
        <f aca="false">J361/$R$3</f>
        <v>0</v>
      </c>
      <c r="T361" s="126" t="n">
        <f aca="false">L361/$R$3</f>
        <v>0</v>
      </c>
      <c r="U361" s="126" t="n">
        <f aca="false">I361/$R$3</f>
        <v>0</v>
      </c>
      <c r="V361" s="126" t="n">
        <f aca="false">M361/$R$3</f>
        <v>0</v>
      </c>
      <c r="W361" s="126" t="n">
        <f aca="false">N361/$R$3</f>
        <v>-221.916</v>
      </c>
    </row>
    <row r="362" customFormat="false" ht="12.75" hidden="false" customHeight="false" outlineLevel="0" collapsed="false">
      <c r="A362" s="120" t="n">
        <f aca="false">A361+1</f>
        <v>37248</v>
      </c>
      <c r="B362" s="131" t="str">
        <f aca="false">INDEX('[4]Master Data'!$A$2:$B$8,MATCH(WEEKDAY('TBS Gas MTM'!A362,3),'[4]Master Data'!$A$2:$A$8,0),2)</f>
        <v>Su</v>
      </c>
      <c r="D362" s="124" t="n">
        <v>0</v>
      </c>
      <c r="E362" s="124" t="n">
        <v>0</v>
      </c>
      <c r="F362" s="124" t="n">
        <v>0</v>
      </c>
      <c r="G362" s="124" t="n">
        <v>0</v>
      </c>
      <c r="I362" s="124" t="n">
        <f aca="false">IF(MONTH($A362)=MONTH($A361),IF(G362=0,I361,G362),G362)</f>
        <v>0</v>
      </c>
      <c r="J362" s="124" t="n">
        <f aca="false">IF(MONTH($A362)=MONTH($A361),SUM(I362-I361),I362)</f>
        <v>0</v>
      </c>
      <c r="K362" s="124" t="n">
        <f aca="false">IF(WEEKDAY(A362,3)&gt;4,0,(IF(A362&lt;K$2,0,IF(A362&lt;=K$3,1,0))))</f>
        <v>0</v>
      </c>
      <c r="L362" s="124" t="n">
        <f aca="false">J362*K362</f>
        <v>0</v>
      </c>
      <c r="M362" s="124" t="n">
        <f aca="false">SUM(J$280:J362)</f>
        <v>0</v>
      </c>
      <c r="N362" s="124" t="n">
        <f aca="false">SUM(J$6:J362)</f>
        <v>-221916</v>
      </c>
      <c r="P362" s="124" t="n">
        <f aca="false">D362/P$3</f>
        <v>0</v>
      </c>
      <c r="Q362" s="124" t="n">
        <f aca="false">E362/P$3</f>
        <v>0</v>
      </c>
      <c r="R362" s="124" t="n">
        <f aca="false">F362/R$3</f>
        <v>0</v>
      </c>
      <c r="S362" s="126" t="n">
        <f aca="false">J362/$R$3</f>
        <v>0</v>
      </c>
      <c r="T362" s="126" t="n">
        <f aca="false">L362/$R$3</f>
        <v>0</v>
      </c>
      <c r="U362" s="126" t="n">
        <f aca="false">I362/$R$3</f>
        <v>0</v>
      </c>
      <c r="V362" s="126" t="n">
        <f aca="false">M362/$R$3</f>
        <v>0</v>
      </c>
      <c r="W362" s="126" t="n">
        <f aca="false">N362/$R$3</f>
        <v>-221.916</v>
      </c>
    </row>
    <row r="363" customFormat="false" ht="12.75" hidden="false" customHeight="false" outlineLevel="0" collapsed="false">
      <c r="A363" s="120" t="n">
        <f aca="false">A362+1</f>
        <v>37249</v>
      </c>
      <c r="B363" s="131" t="str">
        <f aca="false">INDEX('[4]Master Data'!$A$2:$B$8,MATCH(WEEKDAY('TBS Gas MTM'!A363,3),'[4]Master Data'!$A$2:$A$8,0),2)</f>
        <v>M</v>
      </c>
      <c r="D363" s="124" t="n">
        <v>0</v>
      </c>
      <c r="E363" s="124" t="n">
        <v>0</v>
      </c>
      <c r="F363" s="124" t="n">
        <v>0</v>
      </c>
      <c r="G363" s="124" t="n">
        <v>0</v>
      </c>
      <c r="I363" s="124" t="n">
        <f aca="false">IF(MONTH($A363)=MONTH($A362),IF(G363=0,I362,G363),G363)</f>
        <v>0</v>
      </c>
      <c r="J363" s="124" t="n">
        <f aca="false">IF(MONTH($A363)=MONTH($A362),SUM(I363-I362),I363)</f>
        <v>0</v>
      </c>
      <c r="K363" s="124" t="n">
        <f aca="false">IF(WEEKDAY(A363,3)&gt;4,0,(IF(A363&lt;K$2,0,IF(A363&lt;=K$3,1,0))))</f>
        <v>0</v>
      </c>
      <c r="L363" s="124" t="n">
        <f aca="false">J363*K363</f>
        <v>0</v>
      </c>
      <c r="M363" s="124" t="n">
        <f aca="false">SUM(J$280:J363)</f>
        <v>0</v>
      </c>
      <c r="N363" s="124" t="n">
        <f aca="false">SUM(J$6:J363)</f>
        <v>-221916</v>
      </c>
      <c r="P363" s="124" t="n">
        <f aca="false">D363/P$3</f>
        <v>0</v>
      </c>
      <c r="Q363" s="124" t="n">
        <f aca="false">E363/P$3</f>
        <v>0</v>
      </c>
      <c r="R363" s="124" t="n">
        <f aca="false">F363/R$3</f>
        <v>0</v>
      </c>
      <c r="S363" s="126" t="n">
        <f aca="false">J363/$R$3</f>
        <v>0</v>
      </c>
      <c r="T363" s="126" t="n">
        <f aca="false">L363/$R$3</f>
        <v>0</v>
      </c>
      <c r="U363" s="126" t="n">
        <f aca="false">I363/$R$3</f>
        <v>0</v>
      </c>
      <c r="V363" s="126" t="n">
        <f aca="false">M363/$R$3</f>
        <v>0</v>
      </c>
      <c r="W363" s="126" t="n">
        <f aca="false">N363/$R$3</f>
        <v>-221.916</v>
      </c>
    </row>
    <row r="364" customFormat="false" ht="12.75" hidden="false" customHeight="false" outlineLevel="0" collapsed="false">
      <c r="A364" s="120" t="n">
        <f aca="false">A363+1</f>
        <v>37250</v>
      </c>
      <c r="B364" s="131" t="str">
        <f aca="false">INDEX('[4]Master Data'!$A$2:$B$8,MATCH(WEEKDAY('TBS Gas MTM'!A364,3),'[4]Master Data'!$A$2:$A$8,0),2)</f>
        <v>T</v>
      </c>
      <c r="D364" s="124" t="n">
        <v>0</v>
      </c>
      <c r="E364" s="124" t="n">
        <v>0</v>
      </c>
      <c r="F364" s="124" t="n">
        <v>0</v>
      </c>
      <c r="G364" s="124" t="n">
        <v>0</v>
      </c>
      <c r="I364" s="124" t="n">
        <f aca="false">IF(MONTH($A364)=MONTH($A363),IF(G364=0,I363,G364),G364)</f>
        <v>0</v>
      </c>
      <c r="J364" s="124" t="n">
        <f aca="false">IF(MONTH($A364)=MONTH($A363),SUM(I364-I363),I364)</f>
        <v>0</v>
      </c>
      <c r="K364" s="124" t="n">
        <f aca="false">IF(WEEKDAY(A364,3)&gt;4,0,(IF(A364&lt;K$2,0,IF(A364&lt;=K$3,1,0))))</f>
        <v>0</v>
      </c>
      <c r="L364" s="124" t="n">
        <f aca="false">J364*K364</f>
        <v>0</v>
      </c>
      <c r="M364" s="124" t="n">
        <f aca="false">SUM(J$280:J364)</f>
        <v>0</v>
      </c>
      <c r="N364" s="124" t="n">
        <f aca="false">SUM(J$6:J364)</f>
        <v>-221916</v>
      </c>
      <c r="P364" s="124" t="n">
        <f aca="false">D364/P$3</f>
        <v>0</v>
      </c>
      <c r="Q364" s="124" t="n">
        <f aca="false">E364/P$3</f>
        <v>0</v>
      </c>
      <c r="R364" s="124" t="n">
        <f aca="false">F364/R$3</f>
        <v>0</v>
      </c>
      <c r="S364" s="126" t="n">
        <f aca="false">J364/$R$3</f>
        <v>0</v>
      </c>
      <c r="T364" s="126" t="n">
        <f aca="false">L364/$R$3</f>
        <v>0</v>
      </c>
      <c r="U364" s="126" t="n">
        <f aca="false">I364/$R$3</f>
        <v>0</v>
      </c>
      <c r="V364" s="126" t="n">
        <f aca="false">M364/$R$3</f>
        <v>0</v>
      </c>
      <c r="W364" s="126" t="n">
        <f aca="false">N364/$R$3</f>
        <v>-221.916</v>
      </c>
    </row>
    <row r="365" customFormat="false" ht="12.75" hidden="false" customHeight="false" outlineLevel="0" collapsed="false">
      <c r="A365" s="120" t="n">
        <f aca="false">A364+1</f>
        <v>37251</v>
      </c>
      <c r="B365" s="131" t="str">
        <f aca="false">INDEX('[4]Master Data'!$A$2:$B$8,MATCH(WEEKDAY('TBS Gas MTM'!A365,3),'[4]Master Data'!$A$2:$A$8,0),2)</f>
        <v>W</v>
      </c>
      <c r="D365" s="124" t="n">
        <v>0</v>
      </c>
      <c r="E365" s="124" t="n">
        <v>0</v>
      </c>
      <c r="F365" s="124" t="n">
        <v>0</v>
      </c>
      <c r="G365" s="124" t="n">
        <v>0</v>
      </c>
      <c r="I365" s="124" t="n">
        <f aca="false">IF(MONTH($A365)=MONTH($A364),IF(G365=0,I364,G365),G365)</f>
        <v>0</v>
      </c>
      <c r="J365" s="124" t="n">
        <f aca="false">IF(MONTH($A365)=MONTH($A364),SUM(I365-I364),I365)</f>
        <v>0</v>
      </c>
      <c r="K365" s="124" t="n">
        <f aca="false">IF(WEEKDAY(A365,3)&gt;4,0,(IF(A365&lt;K$2,0,IF(A365&lt;=K$3,1,0))))</f>
        <v>0</v>
      </c>
      <c r="L365" s="124" t="n">
        <f aca="false">J365*K365</f>
        <v>0</v>
      </c>
      <c r="M365" s="124" t="n">
        <f aca="false">SUM(J$280:J365)</f>
        <v>0</v>
      </c>
      <c r="N365" s="124" t="n">
        <f aca="false">SUM(J$6:J365)</f>
        <v>-221916</v>
      </c>
      <c r="P365" s="124" t="n">
        <f aca="false">D365/P$3</f>
        <v>0</v>
      </c>
      <c r="Q365" s="124" t="n">
        <f aca="false">E365/P$3</f>
        <v>0</v>
      </c>
      <c r="R365" s="124" t="n">
        <f aca="false">F365/R$3</f>
        <v>0</v>
      </c>
      <c r="S365" s="126" t="n">
        <f aca="false">J365/$R$3</f>
        <v>0</v>
      </c>
      <c r="T365" s="126" t="n">
        <f aca="false">L365/$R$3</f>
        <v>0</v>
      </c>
      <c r="U365" s="126" t="n">
        <f aca="false">I365/$R$3</f>
        <v>0</v>
      </c>
      <c r="V365" s="126" t="n">
        <f aca="false">M365/$R$3</f>
        <v>0</v>
      </c>
      <c r="W365" s="126" t="n">
        <f aca="false">N365/$R$3</f>
        <v>-221.916</v>
      </c>
    </row>
    <row r="366" customFormat="false" ht="12.75" hidden="false" customHeight="false" outlineLevel="0" collapsed="false">
      <c r="A366" s="120" t="n">
        <f aca="false">A365+1</f>
        <v>37252</v>
      </c>
      <c r="B366" s="131" t="str">
        <f aca="false">INDEX('[4]Master Data'!$A$2:$B$8,MATCH(WEEKDAY('TBS Gas MTM'!A366,3),'[4]Master Data'!$A$2:$A$8,0),2)</f>
        <v>Th</v>
      </c>
      <c r="D366" s="124" t="n">
        <v>0</v>
      </c>
      <c r="E366" s="124" t="n">
        <v>0</v>
      </c>
      <c r="F366" s="124" t="n">
        <v>0</v>
      </c>
      <c r="G366" s="124" t="n">
        <v>0</v>
      </c>
      <c r="I366" s="124" t="n">
        <f aca="false">IF(MONTH($A366)=MONTH($A365),IF(G366=0,I365,G366),G366)</f>
        <v>0</v>
      </c>
      <c r="J366" s="124" t="n">
        <f aca="false">IF(MONTH($A366)=MONTH($A365),SUM(I366-I365),I366)</f>
        <v>0</v>
      </c>
      <c r="K366" s="124" t="n">
        <f aca="false">IF(WEEKDAY(A366,3)&gt;4,0,(IF(A366&lt;K$2,0,IF(A366&lt;=K$3,1,0))))</f>
        <v>0</v>
      </c>
      <c r="L366" s="124" t="n">
        <f aca="false">J366*K366</f>
        <v>0</v>
      </c>
      <c r="M366" s="124" t="n">
        <f aca="false">SUM(J$280:J366)</f>
        <v>0</v>
      </c>
      <c r="N366" s="124" t="n">
        <f aca="false">SUM(J$6:J366)</f>
        <v>-221916</v>
      </c>
      <c r="P366" s="124" t="n">
        <f aca="false">D366/P$3</f>
        <v>0</v>
      </c>
      <c r="Q366" s="124" t="n">
        <f aca="false">E366/P$3</f>
        <v>0</v>
      </c>
      <c r="R366" s="124" t="n">
        <f aca="false">F366/R$3</f>
        <v>0</v>
      </c>
      <c r="S366" s="126" t="n">
        <f aca="false">J366/$R$3</f>
        <v>0</v>
      </c>
      <c r="T366" s="126" t="n">
        <f aca="false">L366/$R$3</f>
        <v>0</v>
      </c>
      <c r="U366" s="126" t="n">
        <f aca="false">I366/$R$3</f>
        <v>0</v>
      </c>
      <c r="V366" s="126" t="n">
        <f aca="false">M366/$R$3</f>
        <v>0</v>
      </c>
      <c r="W366" s="126" t="n">
        <f aca="false">N366/$R$3</f>
        <v>-221.916</v>
      </c>
    </row>
    <row r="367" customFormat="false" ht="12.75" hidden="false" customHeight="false" outlineLevel="0" collapsed="false">
      <c r="A367" s="120" t="n">
        <f aca="false">A366+1</f>
        <v>37253</v>
      </c>
      <c r="B367" s="131" t="str">
        <f aca="false">INDEX('[4]Master Data'!$A$2:$B$8,MATCH(WEEKDAY('TBS Gas MTM'!A367,3),'[4]Master Data'!$A$2:$A$8,0),2)</f>
        <v>F</v>
      </c>
      <c r="D367" s="124" t="n">
        <v>0</v>
      </c>
      <c r="E367" s="124" t="n">
        <v>0</v>
      </c>
      <c r="F367" s="124" t="n">
        <v>0</v>
      </c>
      <c r="G367" s="124" t="n">
        <v>0</v>
      </c>
      <c r="I367" s="124" t="n">
        <f aca="false">IF(MONTH($A367)=MONTH($A366),IF(G367=0,I366,G367),G367)</f>
        <v>0</v>
      </c>
      <c r="J367" s="124" t="n">
        <f aca="false">IF(MONTH($A367)=MONTH($A366),SUM(I367-I366),I367)</f>
        <v>0</v>
      </c>
      <c r="K367" s="124" t="n">
        <f aca="false">IF(WEEKDAY(A367,3)&gt;4,0,(IF(A367&lt;K$2,0,IF(A367&lt;=K$3,1,0))))</f>
        <v>0</v>
      </c>
      <c r="L367" s="124" t="n">
        <f aca="false">J367*K367</f>
        <v>0</v>
      </c>
      <c r="M367" s="124" t="n">
        <f aca="false">SUM(J$280:J367)</f>
        <v>0</v>
      </c>
      <c r="N367" s="124" t="n">
        <f aca="false">SUM(J$6:J367)</f>
        <v>-221916</v>
      </c>
      <c r="P367" s="124" t="n">
        <f aca="false">D367/P$3</f>
        <v>0</v>
      </c>
      <c r="Q367" s="124" t="n">
        <f aca="false">E367/P$3</f>
        <v>0</v>
      </c>
      <c r="R367" s="124" t="n">
        <f aca="false">F367/R$3</f>
        <v>0</v>
      </c>
      <c r="S367" s="126" t="n">
        <f aca="false">J367/$R$3</f>
        <v>0</v>
      </c>
      <c r="T367" s="126" t="n">
        <f aca="false">L367/$R$3</f>
        <v>0</v>
      </c>
      <c r="U367" s="126" t="n">
        <f aca="false">I367/$R$3</f>
        <v>0</v>
      </c>
      <c r="V367" s="126" t="n">
        <f aca="false">M367/$R$3</f>
        <v>0</v>
      </c>
      <c r="W367" s="126" t="n">
        <f aca="false">N367/$R$3</f>
        <v>-221.916</v>
      </c>
    </row>
    <row r="368" customFormat="false" ht="12.75" hidden="false" customHeight="false" outlineLevel="0" collapsed="false">
      <c r="A368" s="120" t="n">
        <f aca="false">A367+1</f>
        <v>37254</v>
      </c>
      <c r="B368" s="131" t="str">
        <f aca="false">INDEX('[4]Master Data'!$A$2:$B$8,MATCH(WEEKDAY('TBS Gas MTM'!A368,3),'[4]Master Data'!$A$2:$A$8,0),2)</f>
        <v>Sa</v>
      </c>
      <c r="D368" s="124" t="n">
        <v>0</v>
      </c>
      <c r="E368" s="124" t="n">
        <v>0</v>
      </c>
      <c r="F368" s="124" t="n">
        <v>0</v>
      </c>
      <c r="G368" s="124" t="n">
        <v>0</v>
      </c>
      <c r="I368" s="124" t="n">
        <f aca="false">IF(MONTH($A368)=MONTH($A367),IF(G368=0,I367,G368),G368)</f>
        <v>0</v>
      </c>
      <c r="J368" s="124" t="n">
        <f aca="false">IF(MONTH($A368)=MONTH($A367),SUM(I368-I367),I368)</f>
        <v>0</v>
      </c>
      <c r="K368" s="124" t="n">
        <f aca="false">IF(WEEKDAY(A368,3)&gt;4,0,(IF(A368&lt;K$2,0,IF(A368&lt;=K$3,1,0))))</f>
        <v>0</v>
      </c>
      <c r="L368" s="124" t="n">
        <f aca="false">J368*K368</f>
        <v>0</v>
      </c>
      <c r="M368" s="124" t="n">
        <f aca="false">SUM(J$280:J368)</f>
        <v>0</v>
      </c>
      <c r="N368" s="124" t="n">
        <f aca="false">SUM(J$6:J368)</f>
        <v>-221916</v>
      </c>
      <c r="P368" s="124" t="n">
        <f aca="false">D368/P$3</f>
        <v>0</v>
      </c>
      <c r="Q368" s="124" t="n">
        <f aca="false">E368/P$3</f>
        <v>0</v>
      </c>
      <c r="R368" s="124" t="n">
        <f aca="false">F368/R$3</f>
        <v>0</v>
      </c>
      <c r="S368" s="126" t="n">
        <f aca="false">J368/$R$3</f>
        <v>0</v>
      </c>
      <c r="T368" s="126" t="n">
        <f aca="false">L368/$R$3</f>
        <v>0</v>
      </c>
      <c r="U368" s="126" t="n">
        <f aca="false">I368/$R$3</f>
        <v>0</v>
      </c>
      <c r="V368" s="126" t="n">
        <f aca="false">M368/$R$3</f>
        <v>0</v>
      </c>
      <c r="W368" s="126" t="n">
        <f aca="false">N368/$R$3</f>
        <v>-221.916</v>
      </c>
    </row>
    <row r="369" customFormat="false" ht="12.75" hidden="false" customHeight="false" outlineLevel="0" collapsed="false">
      <c r="A369" s="120" t="n">
        <f aca="false">A368+1</f>
        <v>37255</v>
      </c>
      <c r="B369" s="131" t="str">
        <f aca="false">INDEX('[4]Master Data'!$A$2:$B$8,MATCH(WEEKDAY('TBS Gas MTM'!A369,3),'[4]Master Data'!$A$2:$A$8,0),2)</f>
        <v>Su</v>
      </c>
      <c r="D369" s="124" t="n">
        <v>0</v>
      </c>
      <c r="E369" s="124" t="n">
        <v>0</v>
      </c>
      <c r="F369" s="124" t="n">
        <v>0</v>
      </c>
      <c r="G369" s="124" t="n">
        <v>0</v>
      </c>
      <c r="I369" s="124" t="n">
        <f aca="false">IF(MONTH($A369)=MONTH($A368),IF(G369=0,I368,G369),G369)</f>
        <v>0</v>
      </c>
      <c r="J369" s="124" t="n">
        <f aca="false">IF(MONTH($A369)=MONTH($A368),SUM(I369-I368),I369)</f>
        <v>0</v>
      </c>
      <c r="K369" s="124" t="n">
        <f aca="false">IF(WEEKDAY(A369,3)&gt;4,0,(IF(A369&lt;K$2,0,IF(A369&lt;=K$3,1,0))))</f>
        <v>0</v>
      </c>
      <c r="L369" s="124" t="n">
        <f aca="false">J369*K369</f>
        <v>0</v>
      </c>
      <c r="M369" s="124" t="n">
        <f aca="false">SUM(J$280:J369)</f>
        <v>0</v>
      </c>
      <c r="N369" s="124" t="n">
        <f aca="false">SUM(J$6:J369)</f>
        <v>-221916</v>
      </c>
      <c r="P369" s="124" t="n">
        <f aca="false">D369/P$3</f>
        <v>0</v>
      </c>
      <c r="Q369" s="124" t="n">
        <f aca="false">E369/P$3</f>
        <v>0</v>
      </c>
      <c r="R369" s="124" t="n">
        <f aca="false">F369/R$3</f>
        <v>0</v>
      </c>
      <c r="S369" s="126" t="n">
        <f aca="false">J369/$R$3</f>
        <v>0</v>
      </c>
      <c r="T369" s="126" t="n">
        <f aca="false">L369/$R$3</f>
        <v>0</v>
      </c>
      <c r="U369" s="126" t="n">
        <f aca="false">I369/$R$3</f>
        <v>0</v>
      </c>
      <c r="V369" s="126" t="n">
        <f aca="false">M369/$R$3</f>
        <v>0</v>
      </c>
      <c r="W369" s="126" t="n">
        <f aca="false">N369/$R$3</f>
        <v>-221.916</v>
      </c>
    </row>
    <row r="370" customFormat="false" ht="12.75" hidden="false" customHeight="false" outlineLevel="0" collapsed="false">
      <c r="A370" s="120" t="n">
        <f aca="false">A369+1</f>
        <v>37256</v>
      </c>
      <c r="B370" s="131" t="str">
        <f aca="false">INDEX('[4]Master Data'!$A$2:$B$8,MATCH(WEEKDAY('TBS Gas MTM'!A370,3),'[4]Master Data'!$A$2:$A$8,0),2)</f>
        <v>M</v>
      </c>
      <c r="D370" s="124" t="n">
        <v>0</v>
      </c>
      <c r="E370" s="124" t="n">
        <v>0</v>
      </c>
      <c r="F370" s="124" t="n">
        <v>0</v>
      </c>
      <c r="G370" s="124" t="n">
        <v>0</v>
      </c>
      <c r="I370" s="124" t="n">
        <f aca="false">IF(MONTH($A370)=MONTH($A369),IF(G370=0,I369,G370),G370)</f>
        <v>0</v>
      </c>
      <c r="J370" s="124" t="n">
        <f aca="false">IF(MONTH($A370)=MONTH($A369),SUM(I370-I369),I370)</f>
        <v>0</v>
      </c>
      <c r="K370" s="124" t="n">
        <f aca="false">IF(WEEKDAY(A370,3)&gt;4,0,(IF(A370&lt;K$2,0,IF(A370&lt;=K$3,1,0))))</f>
        <v>0</v>
      </c>
      <c r="L370" s="124" t="n">
        <f aca="false">J370*K370</f>
        <v>0</v>
      </c>
      <c r="M370" s="124" t="n">
        <f aca="false">SUM(J$280:J370)</f>
        <v>0</v>
      </c>
      <c r="N370" s="124" t="n">
        <f aca="false">SUM(J$6:J370)</f>
        <v>-221916</v>
      </c>
      <c r="P370" s="124" t="n">
        <f aca="false">D370/P$3</f>
        <v>0</v>
      </c>
      <c r="Q370" s="124" t="n">
        <f aca="false">E370/P$3</f>
        <v>0</v>
      </c>
      <c r="R370" s="124" t="n">
        <f aca="false">F370/R$3</f>
        <v>0</v>
      </c>
      <c r="S370" s="126" t="n">
        <f aca="false">J370/$R$3</f>
        <v>0</v>
      </c>
      <c r="T370" s="126" t="n">
        <f aca="false">L370/$R$3</f>
        <v>0</v>
      </c>
      <c r="U370" s="126" t="n">
        <f aca="false">I370/$R$3</f>
        <v>0</v>
      </c>
      <c r="V370" s="126" t="n">
        <f aca="false">M370/$R$3</f>
        <v>0</v>
      </c>
      <c r="W370" s="126" t="n">
        <f aca="false">N370/$R$3</f>
        <v>-221.916</v>
      </c>
    </row>
    <row r="371" customFormat="false" ht="12.75" hidden="false" customHeight="false" outlineLevel="0" collapsed="false">
      <c r="A371" s="120" t="n">
        <f aca="false">A370+1</f>
        <v>37257</v>
      </c>
      <c r="B371" s="131" t="str">
        <f aca="false">INDEX('[4]Master Data'!$A$2:$B$8,MATCH(WEEKDAY('TBS Gas MTM'!A371,3),'[4]Master Data'!$A$2:$A$8,0),2)</f>
        <v>T</v>
      </c>
      <c r="D371" s="124" t="n">
        <v>0</v>
      </c>
      <c r="E371" s="124" t="n">
        <v>0</v>
      </c>
      <c r="F371" s="124" t="n">
        <v>0</v>
      </c>
      <c r="G371" s="124" t="n">
        <v>0</v>
      </c>
      <c r="I371" s="124" t="n">
        <f aca="false">IF(MONTH($A371)=MONTH($A370),IF(G371=0,I370,G371),G371)</f>
        <v>0</v>
      </c>
      <c r="J371" s="124" t="n">
        <f aca="false">IF(MONTH($A371)=MONTH($A370),SUM(I371-I370),I371)</f>
        <v>0</v>
      </c>
      <c r="K371" s="124" t="n">
        <f aca="false">IF(WEEKDAY(A371,3)&gt;4,0,(IF(A371&lt;K$2,0,IF(A371&lt;=K$3,1,0))))</f>
        <v>0</v>
      </c>
      <c r="L371" s="124" t="n">
        <f aca="false">J371*K371</f>
        <v>0</v>
      </c>
      <c r="M371" s="124" t="n">
        <f aca="false">SUM(J$280:J371)</f>
        <v>0</v>
      </c>
      <c r="N371" s="124" t="n">
        <f aca="false">SUM(J$6:J371)</f>
        <v>-221916</v>
      </c>
      <c r="P371" s="124" t="n">
        <f aca="false">D371/P$3</f>
        <v>0</v>
      </c>
      <c r="Q371" s="124" t="n">
        <f aca="false">E371/P$3</f>
        <v>0</v>
      </c>
      <c r="R371" s="124" t="n">
        <f aca="false">F371/R$3</f>
        <v>0</v>
      </c>
      <c r="S371" s="126" t="n">
        <f aca="false">J371/$R$3</f>
        <v>0</v>
      </c>
      <c r="T371" s="126" t="n">
        <f aca="false">L371/$R$3</f>
        <v>0</v>
      </c>
      <c r="U371" s="126" t="n">
        <f aca="false">I371/$R$3</f>
        <v>0</v>
      </c>
      <c r="V371" s="126" t="n">
        <f aca="false">M371/$R$3</f>
        <v>0</v>
      </c>
      <c r="W371" s="126" t="n">
        <f aca="false">N371/$R$3</f>
        <v>-221.916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K4" activeCellId="0" sqref="K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20" width="7.28"/>
    <col collapsed="false" customWidth="true" hidden="false" outlineLevel="0" max="2" min="2" style="121" width="4.14"/>
    <col collapsed="false" customWidth="true" hidden="false" outlineLevel="0" max="3" min="3" style="122" width="2.7"/>
    <col collapsed="false" customWidth="true" hidden="false" outlineLevel="0" max="7" min="4" style="121" width="14.99"/>
    <col collapsed="false" customWidth="true" hidden="false" outlineLevel="0" max="8" min="8" style="122" width="2.7"/>
    <col collapsed="false" customWidth="true" hidden="false" outlineLevel="0" max="9" min="9" style="123" width="13.14"/>
    <col collapsed="false" customWidth="true" hidden="false" outlineLevel="0" max="10" min="10" style="124" width="13.14"/>
    <col collapsed="false" customWidth="true" hidden="false" outlineLevel="0" max="11" min="11" style="124" width="10.99"/>
    <col collapsed="false" customWidth="true" hidden="false" outlineLevel="0" max="14" min="12" style="124" width="13.14"/>
    <col collapsed="false" customWidth="true" hidden="false" outlineLevel="0" max="15" min="15" style="125" width="2.7"/>
    <col collapsed="false" customWidth="true" hidden="false" outlineLevel="0" max="18" min="16" style="121" width="16.13"/>
    <col collapsed="false" customWidth="true" hidden="false" outlineLevel="0" max="23" min="19" style="126" width="12.7"/>
    <col collapsed="false" customWidth="false" hidden="false" outlineLevel="0" max="257" min="24" style="121" width="9.14"/>
  </cols>
  <sheetData>
    <row r="1" customFormat="false" ht="12.75" hidden="false" customHeight="false" outlineLevel="0" collapsed="false">
      <c r="A1" s="127" t="n">
        <v>1</v>
      </c>
      <c r="B1" s="121" t="n">
        <f aca="false">+A1+1</f>
        <v>2</v>
      </c>
      <c r="C1" s="122" t="n">
        <f aca="false">+B1+1</f>
        <v>3</v>
      </c>
      <c r="D1" s="121" t="n">
        <f aca="false">+C1+1</f>
        <v>4</v>
      </c>
      <c r="E1" s="121" t="n">
        <f aca="false">+D1+1</f>
        <v>5</v>
      </c>
      <c r="F1" s="121" t="n">
        <f aca="false">+E1+1</f>
        <v>6</v>
      </c>
      <c r="G1" s="121" t="n">
        <f aca="false">+F1+1</f>
        <v>7</v>
      </c>
      <c r="H1" s="122" t="n">
        <f aca="false">+G1+1</f>
        <v>8</v>
      </c>
      <c r="I1" s="123" t="n">
        <f aca="false">+H1+1</f>
        <v>9</v>
      </c>
      <c r="J1" s="124" t="n">
        <f aca="false">+I1+1</f>
        <v>10</v>
      </c>
      <c r="K1" s="124" t="n">
        <f aca="false">+J1+1</f>
        <v>11</v>
      </c>
      <c r="L1" s="124" t="n">
        <f aca="false">+K1+1</f>
        <v>12</v>
      </c>
      <c r="M1" s="124" t="n">
        <f aca="false">+L1+1</f>
        <v>13</v>
      </c>
      <c r="N1" s="124" t="n">
        <f aca="false">+M1+1</f>
        <v>14</v>
      </c>
      <c r="O1" s="125" t="n">
        <f aca="false">+N1+1</f>
        <v>15</v>
      </c>
      <c r="P1" s="121" t="n">
        <f aca="false">+O1+1</f>
        <v>16</v>
      </c>
      <c r="Q1" s="121" t="n">
        <f aca="false">+P1+1</f>
        <v>17</v>
      </c>
      <c r="R1" s="121" t="n">
        <f aca="false">+Q1+1</f>
        <v>18</v>
      </c>
      <c r="S1" s="121" t="n">
        <f aca="false">+R1+1</f>
        <v>19</v>
      </c>
      <c r="T1" s="121" t="n">
        <f aca="false">+S1+1</f>
        <v>20</v>
      </c>
      <c r="U1" s="121" t="n">
        <f aca="false">+T1+1</f>
        <v>21</v>
      </c>
      <c r="V1" s="121" t="n">
        <f aca="false">+U1+1</f>
        <v>22</v>
      </c>
      <c r="W1" s="121" t="n">
        <f aca="false">+V1+1</f>
        <v>23</v>
      </c>
    </row>
    <row r="2" customFormat="false" ht="12.75" hidden="false" customHeight="false" outlineLevel="0" collapsed="false">
      <c r="K2" s="128" t="n">
        <f aca="false">WORKDAY(K3,-4)</f>
        <v>37190</v>
      </c>
    </row>
    <row r="3" customFormat="false" ht="12.75" hidden="false" customHeight="false" outlineLevel="0" collapsed="false">
      <c r="K3" s="128" t="n">
        <f aca="false">Summary!B8</f>
        <v>37196</v>
      </c>
      <c r="L3" s="129" t="n">
        <f aca="false">SUM(L6:L371)</f>
        <v>0</v>
      </c>
      <c r="P3" s="124" t="n">
        <v>1000</v>
      </c>
      <c r="Q3" s="124"/>
      <c r="R3" s="124" t="n">
        <v>1000</v>
      </c>
      <c r="S3" s="121"/>
      <c r="T3" s="130" t="n">
        <f aca="false">SUM(T6:T371)</f>
        <v>0</v>
      </c>
    </row>
    <row r="4" customFormat="false" ht="12.75" hidden="false" customHeight="false" outlineLevel="0" collapsed="false">
      <c r="D4" s="131" t="s">
        <v>86</v>
      </c>
      <c r="E4" s="131" t="s">
        <v>86</v>
      </c>
      <c r="F4" s="131" t="s">
        <v>58</v>
      </c>
      <c r="G4" s="131" t="s">
        <v>58</v>
      </c>
      <c r="I4" s="132" t="s">
        <v>58</v>
      </c>
      <c r="J4" s="132"/>
      <c r="K4" s="132"/>
      <c r="L4" s="132"/>
      <c r="M4" s="132"/>
      <c r="N4" s="132"/>
      <c r="O4" s="133"/>
      <c r="P4" s="134" t="s">
        <v>87</v>
      </c>
      <c r="Q4" s="134"/>
      <c r="R4" s="135" t="s">
        <v>60</v>
      </c>
      <c r="S4" s="135"/>
      <c r="T4" s="135"/>
      <c r="U4" s="135"/>
      <c r="V4" s="135"/>
      <c r="W4" s="135"/>
    </row>
    <row r="5" customFormat="false" ht="12.75" hidden="false" customHeight="false" outlineLevel="0" collapsed="false">
      <c r="A5" s="136" t="s">
        <v>61</v>
      </c>
      <c r="B5" s="131" t="s">
        <v>62</v>
      </c>
      <c r="C5" s="137"/>
      <c r="D5" s="138" t="s">
        <v>63</v>
      </c>
      <c r="E5" s="138" t="s">
        <v>64</v>
      </c>
      <c r="F5" s="138" t="s">
        <v>65</v>
      </c>
      <c r="G5" s="138" t="s">
        <v>66</v>
      </c>
      <c r="H5" s="139"/>
      <c r="I5" s="138" t="s">
        <v>67</v>
      </c>
      <c r="J5" s="140" t="s">
        <v>68</v>
      </c>
      <c r="K5" s="140" t="s">
        <v>69</v>
      </c>
      <c r="L5" s="140" t="s">
        <v>70</v>
      </c>
      <c r="M5" s="140" t="s">
        <v>71</v>
      </c>
      <c r="N5" s="140" t="s">
        <v>72</v>
      </c>
      <c r="O5" s="141"/>
      <c r="P5" s="138" t="s">
        <v>63</v>
      </c>
      <c r="Q5" s="138" t="s">
        <v>64</v>
      </c>
      <c r="R5" s="138" t="s">
        <v>65</v>
      </c>
      <c r="S5" s="142" t="s">
        <v>68</v>
      </c>
      <c r="T5" s="140" t="s">
        <v>70</v>
      </c>
      <c r="U5" s="142" t="s">
        <v>66</v>
      </c>
      <c r="V5" s="142" t="s">
        <v>71</v>
      </c>
      <c r="W5" s="142" t="s">
        <v>72</v>
      </c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1"/>
      <c r="AW5" s="131"/>
      <c r="AX5" s="131"/>
      <c r="AY5" s="131"/>
      <c r="AZ5" s="131"/>
      <c r="BA5" s="131"/>
      <c r="BB5" s="131"/>
      <c r="BC5" s="131"/>
      <c r="BD5" s="131"/>
      <c r="BE5" s="131"/>
      <c r="BF5" s="131"/>
      <c r="BG5" s="131"/>
      <c r="BH5" s="131"/>
      <c r="BI5" s="131"/>
      <c r="BJ5" s="131"/>
      <c r="BK5" s="131"/>
      <c r="BL5" s="131"/>
      <c r="BM5" s="131"/>
      <c r="BN5" s="131"/>
      <c r="BO5" s="131"/>
      <c r="BP5" s="131"/>
      <c r="BQ5" s="131"/>
      <c r="BR5" s="131"/>
      <c r="BS5" s="131"/>
      <c r="BT5" s="131"/>
      <c r="BU5" s="131"/>
      <c r="BV5" s="131"/>
      <c r="BW5" s="131"/>
      <c r="BX5" s="131"/>
      <c r="BY5" s="131"/>
      <c r="BZ5" s="131"/>
      <c r="CA5" s="131"/>
      <c r="CB5" s="131"/>
      <c r="CC5" s="131"/>
      <c r="CD5" s="131"/>
      <c r="CE5" s="131"/>
      <c r="CF5" s="131"/>
      <c r="CG5" s="131"/>
      <c r="CH5" s="131"/>
      <c r="CI5" s="131"/>
      <c r="CJ5" s="131"/>
      <c r="CK5" s="131"/>
      <c r="CL5" s="131"/>
      <c r="CM5" s="131"/>
      <c r="CN5" s="131"/>
      <c r="CO5" s="131"/>
      <c r="CP5" s="131"/>
      <c r="CQ5" s="131"/>
      <c r="CR5" s="131"/>
      <c r="CS5" s="131"/>
      <c r="CT5" s="131"/>
      <c r="CU5" s="131"/>
      <c r="CV5" s="131"/>
      <c r="CW5" s="131"/>
      <c r="CX5" s="131"/>
      <c r="CY5" s="131"/>
      <c r="CZ5" s="131"/>
      <c r="DA5" s="131"/>
      <c r="DB5" s="131"/>
      <c r="DC5" s="131"/>
      <c r="DD5" s="131"/>
      <c r="DE5" s="131"/>
      <c r="DF5" s="131"/>
      <c r="DG5" s="131"/>
      <c r="DH5" s="131"/>
      <c r="DI5" s="131"/>
      <c r="DJ5" s="131"/>
      <c r="DK5" s="131"/>
      <c r="DL5" s="131"/>
      <c r="DM5" s="131"/>
      <c r="DN5" s="131"/>
      <c r="DO5" s="131"/>
      <c r="DP5" s="131"/>
      <c r="DQ5" s="131"/>
      <c r="DR5" s="131"/>
      <c r="DS5" s="131"/>
      <c r="DT5" s="131"/>
      <c r="DU5" s="131"/>
      <c r="DV5" s="131"/>
      <c r="DW5" s="131"/>
      <c r="DX5" s="131"/>
      <c r="DY5" s="131"/>
      <c r="DZ5" s="131"/>
      <c r="EA5" s="131"/>
      <c r="EB5" s="131"/>
      <c r="EC5" s="131"/>
      <c r="ED5" s="131"/>
      <c r="EE5" s="131"/>
      <c r="EF5" s="131"/>
      <c r="EG5" s="131"/>
      <c r="EH5" s="131"/>
      <c r="EI5" s="131"/>
      <c r="EJ5" s="131"/>
      <c r="EK5" s="131"/>
      <c r="EL5" s="131"/>
      <c r="EM5" s="131"/>
      <c r="EN5" s="131"/>
      <c r="EO5" s="131"/>
      <c r="EP5" s="131"/>
      <c r="EQ5" s="131"/>
      <c r="ER5" s="131"/>
      <c r="ES5" s="131"/>
      <c r="ET5" s="131"/>
      <c r="EU5" s="131"/>
      <c r="EV5" s="131"/>
      <c r="EW5" s="131"/>
      <c r="EX5" s="131"/>
      <c r="EY5" s="131"/>
      <c r="EZ5" s="131"/>
      <c r="FA5" s="131"/>
      <c r="FB5" s="131"/>
      <c r="FC5" s="131"/>
      <c r="FD5" s="131"/>
      <c r="FE5" s="131"/>
      <c r="FF5" s="131"/>
      <c r="FG5" s="131"/>
      <c r="FH5" s="131"/>
      <c r="FI5" s="131"/>
      <c r="FJ5" s="131"/>
      <c r="FK5" s="131"/>
      <c r="FL5" s="131"/>
      <c r="FM5" s="131"/>
      <c r="FN5" s="131"/>
      <c r="FO5" s="131"/>
      <c r="FP5" s="131"/>
      <c r="FQ5" s="131"/>
      <c r="FR5" s="131"/>
      <c r="FS5" s="131"/>
      <c r="FT5" s="131"/>
      <c r="FU5" s="131"/>
      <c r="FV5" s="131"/>
      <c r="FW5" s="131"/>
      <c r="FX5" s="131"/>
      <c r="FY5" s="131"/>
      <c r="FZ5" s="131"/>
      <c r="GA5" s="131"/>
      <c r="GB5" s="131"/>
      <c r="GC5" s="131"/>
      <c r="GD5" s="131"/>
      <c r="GE5" s="131"/>
      <c r="GF5" s="131"/>
      <c r="GG5" s="131"/>
      <c r="GH5" s="131"/>
      <c r="GI5" s="131"/>
      <c r="GJ5" s="131"/>
      <c r="GK5" s="131"/>
      <c r="GL5" s="131"/>
      <c r="GM5" s="131"/>
      <c r="GN5" s="131"/>
      <c r="GO5" s="131"/>
      <c r="GP5" s="131"/>
      <c r="GQ5" s="131"/>
      <c r="GR5" s="131"/>
      <c r="GS5" s="131"/>
      <c r="GT5" s="131"/>
      <c r="GU5" s="131"/>
      <c r="GV5" s="131"/>
      <c r="GW5" s="131"/>
      <c r="GX5" s="131"/>
      <c r="GY5" s="131"/>
      <c r="GZ5" s="131"/>
      <c r="HA5" s="131"/>
      <c r="HB5" s="131"/>
      <c r="HC5" s="131"/>
      <c r="HD5" s="131"/>
      <c r="HE5" s="131"/>
      <c r="HF5" s="131"/>
      <c r="HG5" s="131"/>
      <c r="HH5" s="131"/>
      <c r="HI5" s="131"/>
      <c r="HJ5" s="131"/>
      <c r="HK5" s="131"/>
      <c r="HL5" s="131"/>
      <c r="HM5" s="131"/>
      <c r="HN5" s="131"/>
      <c r="HO5" s="131"/>
      <c r="HP5" s="131"/>
      <c r="HQ5" s="131"/>
      <c r="HR5" s="131"/>
      <c r="HS5" s="131"/>
      <c r="HT5" s="131"/>
      <c r="HU5" s="131"/>
      <c r="HV5" s="131"/>
      <c r="HW5" s="131"/>
      <c r="HX5" s="131"/>
      <c r="HY5" s="131"/>
      <c r="HZ5" s="131"/>
      <c r="IA5" s="131"/>
      <c r="IB5" s="131"/>
      <c r="IC5" s="131"/>
      <c r="ID5" s="131"/>
      <c r="IE5" s="131"/>
      <c r="IF5" s="131"/>
      <c r="IG5" s="131"/>
      <c r="IH5" s="131"/>
      <c r="II5" s="131"/>
      <c r="IJ5" s="131"/>
      <c r="IK5" s="131"/>
      <c r="IL5" s="131"/>
      <c r="IM5" s="131"/>
      <c r="IN5" s="131"/>
      <c r="IO5" s="131"/>
      <c r="IP5" s="131"/>
      <c r="IQ5" s="131"/>
      <c r="IR5" s="131"/>
      <c r="IS5" s="131"/>
      <c r="IT5" s="131"/>
      <c r="IU5" s="131"/>
      <c r="IV5" s="131"/>
      <c r="IW5" s="131"/>
    </row>
    <row r="6" customFormat="false" ht="12.75" hidden="true" customHeight="false" outlineLevel="0" collapsed="false">
      <c r="A6" s="120" t="n">
        <v>36892</v>
      </c>
      <c r="B6" s="131" t="str">
        <f aca="false">INDEX('[4]Master Data'!$A$2:$B$8,MATCH(WEEKDAY('TBS CRD MTM'!A6,3),'[4]Master Data'!$A$2:$A$8,0),2)</f>
        <v>M</v>
      </c>
      <c r="D6" s="124" t="n">
        <v>0</v>
      </c>
      <c r="E6" s="124" t="n">
        <v>0</v>
      </c>
      <c r="F6" s="124" t="n">
        <v>0</v>
      </c>
      <c r="G6" s="124" t="n">
        <v>0</v>
      </c>
      <c r="I6" s="124" t="n">
        <f aca="false">G6</f>
        <v>0</v>
      </c>
      <c r="J6" s="124" t="n">
        <f aca="false">I6</f>
        <v>0</v>
      </c>
      <c r="K6" s="124" t="n">
        <f aca="false">IF(WEEKDAY(A6,3)&gt;4,0,(IF(A6&lt;K$2,0,IF(A6&lt;=K$3,1,0))))</f>
        <v>0</v>
      </c>
      <c r="L6" s="124" t="n">
        <f aca="false">J6*K6</f>
        <v>0</v>
      </c>
      <c r="M6" s="124" t="n">
        <f aca="false">SUM(J$6:J6)</f>
        <v>0</v>
      </c>
      <c r="N6" s="124" t="n">
        <f aca="false">SUM(J$6:J6)</f>
        <v>0</v>
      </c>
      <c r="P6" s="124" t="n">
        <f aca="false">D6/P$3</f>
        <v>0</v>
      </c>
      <c r="Q6" s="124" t="n">
        <f aca="false">E6/P$3</f>
        <v>0</v>
      </c>
      <c r="R6" s="124" t="n">
        <f aca="false">F6/R$3</f>
        <v>0</v>
      </c>
      <c r="S6" s="126" t="n">
        <f aca="false">J6/$R$3</f>
        <v>0</v>
      </c>
      <c r="T6" s="126" t="n">
        <f aca="false">L6/$R$3</f>
        <v>0</v>
      </c>
      <c r="U6" s="126" t="n">
        <f aca="false">I6/$R$3</f>
        <v>0</v>
      </c>
      <c r="V6" s="126" t="n">
        <f aca="false">M6/$R$3</f>
        <v>0</v>
      </c>
      <c r="W6" s="126" t="n">
        <f aca="false">N6/$R$3</f>
        <v>0</v>
      </c>
    </row>
    <row r="7" customFormat="false" ht="12.75" hidden="true" customHeight="false" outlineLevel="0" collapsed="false">
      <c r="A7" s="120" t="n">
        <f aca="false">A6+1</f>
        <v>36893</v>
      </c>
      <c r="B7" s="131" t="str">
        <f aca="false">INDEX('[4]Master Data'!$A$2:$B$8,MATCH(WEEKDAY('TBS CRD MTM'!A7,3),'[4]Master Data'!$A$2:$A$8,0),2)</f>
        <v>T</v>
      </c>
      <c r="D7" s="124" t="n">
        <v>-369</v>
      </c>
      <c r="E7" s="124" t="n">
        <v>0</v>
      </c>
      <c r="F7" s="124" t="n">
        <v>0</v>
      </c>
      <c r="G7" s="124" t="n">
        <v>-20216</v>
      </c>
      <c r="I7" s="124" t="n">
        <f aca="false">IF(MONTH($A7)=MONTH($A6),IF(G7=0,I6,G7),0)</f>
        <v>-20216</v>
      </c>
      <c r="J7" s="124" t="n">
        <f aca="false">IF(MONTH($A7)=MONTH($A6),SUM(I7-I6),I7)</f>
        <v>-20216</v>
      </c>
      <c r="K7" s="124" t="n">
        <f aca="false">IF(WEEKDAY(A7,3)&gt;4,0,(IF(A7&lt;K$2,0,IF(A7&lt;=K$3,1,0))))</f>
        <v>0</v>
      </c>
      <c r="L7" s="124" t="n">
        <f aca="false">J7*K7</f>
        <v>-0</v>
      </c>
      <c r="M7" s="124" t="n">
        <f aca="false">SUM(J$6:J7)</f>
        <v>-20216</v>
      </c>
      <c r="N7" s="124" t="n">
        <f aca="false">SUM(J$6:J7)</f>
        <v>-20216</v>
      </c>
      <c r="P7" s="124" t="n">
        <f aca="false">D7/P$3</f>
        <v>-0.369</v>
      </c>
      <c r="Q7" s="124" t="n">
        <f aca="false">E7/P$3</f>
        <v>0</v>
      </c>
      <c r="R7" s="124" t="n">
        <f aca="false">F7/R$3</f>
        <v>0</v>
      </c>
      <c r="S7" s="126" t="n">
        <f aca="false">J7/$R$3</f>
        <v>-20.216</v>
      </c>
      <c r="T7" s="126" t="n">
        <f aca="false">L7/$R$3</f>
        <v>-0</v>
      </c>
      <c r="U7" s="126" t="n">
        <f aca="false">I7/$R$3</f>
        <v>-20.216</v>
      </c>
      <c r="V7" s="126" t="n">
        <f aca="false">M7/$R$3</f>
        <v>-20.216</v>
      </c>
      <c r="W7" s="126" t="n">
        <f aca="false">N7/$R$3</f>
        <v>-20.216</v>
      </c>
    </row>
    <row r="8" customFormat="false" ht="12.75" hidden="true" customHeight="false" outlineLevel="0" collapsed="false">
      <c r="A8" s="120" t="n">
        <f aca="false">A7+1</f>
        <v>36894</v>
      </c>
      <c r="B8" s="131" t="str">
        <f aca="false">INDEX('[4]Master Data'!$A$2:$B$8,MATCH(WEEKDAY('TBS CRD MTM'!A8,3),'[4]Master Data'!$A$2:$A$8,0),2)</f>
        <v>W</v>
      </c>
      <c r="D8" s="124" t="n">
        <v>-350</v>
      </c>
      <c r="E8" s="124" t="n">
        <v>0</v>
      </c>
      <c r="F8" s="124" t="n">
        <v>0</v>
      </c>
      <c r="G8" s="124" t="n">
        <v>-543377</v>
      </c>
      <c r="I8" s="124" t="n">
        <f aca="false">IF(MONTH($A8)=MONTH($A7),IF(G8=0,I7,G8),0)</f>
        <v>-543377</v>
      </c>
      <c r="J8" s="124" t="n">
        <f aca="false">IF(MONTH($A8)=MONTH($A7),SUM(I8-I7),I8)</f>
        <v>-523161</v>
      </c>
      <c r="K8" s="124" t="n">
        <f aca="false">IF(WEEKDAY(A8,3)&gt;4,0,(IF(A8&lt;K$2,0,IF(A8&lt;=K$3,1,0))))</f>
        <v>0</v>
      </c>
      <c r="L8" s="124" t="n">
        <f aca="false">J8*K8</f>
        <v>-0</v>
      </c>
      <c r="M8" s="124" t="n">
        <f aca="false">SUM(J$6:J8)</f>
        <v>-543377</v>
      </c>
      <c r="N8" s="124" t="n">
        <f aca="false">SUM(J$6:J8)</f>
        <v>-543377</v>
      </c>
      <c r="P8" s="124" t="n">
        <f aca="false">D8/P$3</f>
        <v>-0.35</v>
      </c>
      <c r="Q8" s="124" t="n">
        <f aca="false">E8/P$3</f>
        <v>0</v>
      </c>
      <c r="R8" s="124" t="n">
        <f aca="false">F8/R$3</f>
        <v>0</v>
      </c>
      <c r="S8" s="126" t="n">
        <f aca="false">J8/$R$3</f>
        <v>-523.161</v>
      </c>
      <c r="T8" s="126" t="n">
        <f aca="false">L8/$R$3</f>
        <v>-0</v>
      </c>
      <c r="U8" s="126" t="n">
        <f aca="false">I8/$R$3</f>
        <v>-543.377</v>
      </c>
      <c r="V8" s="126" t="n">
        <f aca="false">M8/$R$3</f>
        <v>-543.377</v>
      </c>
      <c r="W8" s="126" t="n">
        <f aca="false">N8/$R$3</f>
        <v>-543.377</v>
      </c>
    </row>
    <row r="9" customFormat="false" ht="12.75" hidden="true" customHeight="false" outlineLevel="0" collapsed="false">
      <c r="A9" s="120" t="n">
        <f aca="false">A8+1</f>
        <v>36895</v>
      </c>
      <c r="B9" s="131" t="str">
        <f aca="false">INDEX('[4]Master Data'!$A$2:$B$8,MATCH(WEEKDAY('TBS CRD MTM'!A9,3),'[4]Master Data'!$A$2:$A$8,0),2)</f>
        <v>Th</v>
      </c>
      <c r="D9" s="124" t="n">
        <v>-353</v>
      </c>
      <c r="E9" s="124" t="n">
        <v>0</v>
      </c>
      <c r="F9" s="124" t="n">
        <v>0</v>
      </c>
      <c r="G9" s="124" t="n">
        <v>-579834</v>
      </c>
      <c r="I9" s="124" t="n">
        <f aca="false">IF(MONTH($A9)=MONTH($A8),IF(G9=0,I8,G9),0)</f>
        <v>-579834</v>
      </c>
      <c r="J9" s="124" t="n">
        <f aca="false">IF(MONTH($A9)=MONTH($A8),SUM(I9-I8),I9)</f>
        <v>-36457</v>
      </c>
      <c r="K9" s="124" t="n">
        <f aca="false">IF(WEEKDAY(A9,3)&gt;4,0,(IF(A9&lt;K$2,0,IF(A9&lt;=K$3,1,0))))</f>
        <v>0</v>
      </c>
      <c r="L9" s="124" t="n">
        <f aca="false">J9*K9</f>
        <v>-0</v>
      </c>
      <c r="M9" s="124" t="n">
        <f aca="false">SUM(J$6:J9)</f>
        <v>-579834</v>
      </c>
      <c r="N9" s="124" t="n">
        <f aca="false">SUM(J$6:J9)</f>
        <v>-579834</v>
      </c>
      <c r="P9" s="124" t="n">
        <f aca="false">D9/P$3</f>
        <v>-0.353</v>
      </c>
      <c r="Q9" s="124" t="n">
        <f aca="false">E9/P$3</f>
        <v>0</v>
      </c>
      <c r="R9" s="124" t="n">
        <f aca="false">F9/R$3</f>
        <v>0</v>
      </c>
      <c r="S9" s="126" t="n">
        <f aca="false">J9/$R$3</f>
        <v>-36.457</v>
      </c>
      <c r="T9" s="126" t="n">
        <f aca="false">L9/$R$3</f>
        <v>-0</v>
      </c>
      <c r="U9" s="126" t="n">
        <f aca="false">I9/$R$3</f>
        <v>-579.834</v>
      </c>
      <c r="V9" s="126" t="n">
        <f aca="false">M9/$R$3</f>
        <v>-579.834</v>
      </c>
      <c r="W9" s="126" t="n">
        <f aca="false">N9/$R$3</f>
        <v>-579.834</v>
      </c>
    </row>
    <row r="10" customFormat="false" ht="12.75" hidden="true" customHeight="false" outlineLevel="0" collapsed="false">
      <c r="A10" s="120" t="n">
        <f aca="false">A9+1</f>
        <v>36896</v>
      </c>
      <c r="B10" s="131" t="str">
        <f aca="false">INDEX('[4]Master Data'!$A$2:$B$8,MATCH(WEEKDAY('TBS CRD MTM'!A10,3),'[4]Master Data'!$A$2:$A$8,0),2)</f>
        <v>F</v>
      </c>
      <c r="D10" s="124" t="n">
        <v>-380</v>
      </c>
      <c r="E10" s="124" t="n">
        <v>0</v>
      </c>
      <c r="F10" s="124" t="n">
        <v>0</v>
      </c>
      <c r="G10" s="124" t="n">
        <v>-99538</v>
      </c>
      <c r="I10" s="124" t="n">
        <f aca="false">IF(MONTH($A10)=MONTH($A9),IF(G10=0,I9,G10),0)</f>
        <v>-99538</v>
      </c>
      <c r="J10" s="124" t="n">
        <f aca="false">IF(MONTH($A10)=MONTH($A9),SUM(I10-I9),I10)</f>
        <v>480296</v>
      </c>
      <c r="K10" s="124" t="n">
        <f aca="false">IF(WEEKDAY(A10,3)&gt;4,0,(IF(A10&lt;K$2,0,IF(A10&lt;=K$3,1,0))))</f>
        <v>0</v>
      </c>
      <c r="L10" s="124" t="n">
        <f aca="false">J10*K10</f>
        <v>0</v>
      </c>
      <c r="M10" s="124" t="n">
        <f aca="false">SUM(J$6:J10)</f>
        <v>-99538</v>
      </c>
      <c r="N10" s="124" t="n">
        <f aca="false">SUM(J$6:J10)</f>
        <v>-99538</v>
      </c>
      <c r="P10" s="124" t="n">
        <f aca="false">D10/P$3</f>
        <v>-0.38</v>
      </c>
      <c r="Q10" s="124" t="n">
        <f aca="false">E10/P$3</f>
        <v>0</v>
      </c>
      <c r="R10" s="124" t="n">
        <f aca="false">F10/R$3</f>
        <v>0</v>
      </c>
      <c r="S10" s="126" t="n">
        <f aca="false">J10/$R$3</f>
        <v>480.296</v>
      </c>
      <c r="T10" s="126" t="n">
        <f aca="false">L10/$R$3</f>
        <v>0</v>
      </c>
      <c r="U10" s="126" t="n">
        <f aca="false">I10/$R$3</f>
        <v>-99.538</v>
      </c>
      <c r="V10" s="126" t="n">
        <f aca="false">M10/$R$3</f>
        <v>-99.538</v>
      </c>
      <c r="W10" s="126" t="n">
        <f aca="false">N10/$R$3</f>
        <v>-99.538</v>
      </c>
    </row>
    <row r="11" customFormat="false" ht="12.75" hidden="true" customHeight="false" outlineLevel="0" collapsed="false">
      <c r="A11" s="120" t="n">
        <f aca="false">A10+1</f>
        <v>36897</v>
      </c>
      <c r="B11" s="131" t="str">
        <f aca="false">INDEX('[4]Master Data'!$A$2:$B$8,MATCH(WEEKDAY('TBS CRD MTM'!A11,3),'[4]Master Data'!$A$2:$A$8,0),2)</f>
        <v>Sa</v>
      </c>
      <c r="D11" s="124" t="n">
        <v>0</v>
      </c>
      <c r="E11" s="124" t="n">
        <v>0</v>
      </c>
      <c r="F11" s="124" t="n">
        <v>0</v>
      </c>
      <c r="G11" s="124" t="n">
        <v>0</v>
      </c>
      <c r="I11" s="124" t="n">
        <f aca="false">IF(MONTH($A11)=MONTH($A10),IF(G11=0,I10,G11),0)</f>
        <v>-99538</v>
      </c>
      <c r="J11" s="124" t="n">
        <f aca="false">IF(MONTH($A11)=MONTH($A10),SUM(I11-I10),I11)</f>
        <v>0</v>
      </c>
      <c r="K11" s="124" t="n">
        <f aca="false">IF(WEEKDAY(A11,3)&gt;4,0,(IF(A11&lt;K$2,0,IF(A11&lt;=K$3,1,0))))</f>
        <v>0</v>
      </c>
      <c r="L11" s="124" t="n">
        <f aca="false">J11*K11</f>
        <v>0</v>
      </c>
      <c r="M11" s="124" t="n">
        <f aca="false">SUM(J$6:J11)</f>
        <v>-99538</v>
      </c>
      <c r="N11" s="124" t="n">
        <f aca="false">SUM(J$6:J11)</f>
        <v>-99538</v>
      </c>
      <c r="P11" s="124" t="n">
        <f aca="false">D11/P$3</f>
        <v>0</v>
      </c>
      <c r="Q11" s="124" t="n">
        <f aca="false">E11/P$3</f>
        <v>0</v>
      </c>
      <c r="R11" s="124" t="n">
        <f aca="false">F11/R$3</f>
        <v>0</v>
      </c>
      <c r="S11" s="126" t="n">
        <f aca="false">J11/$R$3</f>
        <v>0</v>
      </c>
      <c r="T11" s="126" t="n">
        <f aca="false">L11/$R$3</f>
        <v>0</v>
      </c>
      <c r="U11" s="126" t="n">
        <f aca="false">I11/$R$3</f>
        <v>-99.538</v>
      </c>
      <c r="V11" s="126" t="n">
        <f aca="false">M11/$R$3</f>
        <v>-99.538</v>
      </c>
      <c r="W11" s="126" t="n">
        <f aca="false">N11/$R$3</f>
        <v>-99.538</v>
      </c>
    </row>
    <row r="12" customFormat="false" ht="12.75" hidden="true" customHeight="false" outlineLevel="0" collapsed="false">
      <c r="A12" s="120" t="n">
        <f aca="false">A11+1</f>
        <v>36898</v>
      </c>
      <c r="B12" s="131" t="str">
        <f aca="false">INDEX('[4]Master Data'!$A$2:$B$8,MATCH(WEEKDAY('TBS CRD MTM'!A12,3),'[4]Master Data'!$A$2:$A$8,0),2)</f>
        <v>Su</v>
      </c>
      <c r="D12" s="124" t="n">
        <v>0</v>
      </c>
      <c r="E12" s="124" t="n">
        <v>0</v>
      </c>
      <c r="F12" s="124" t="n">
        <v>0</v>
      </c>
      <c r="G12" s="124" t="n">
        <v>0</v>
      </c>
      <c r="I12" s="124" t="n">
        <f aca="false">IF(MONTH($A12)=MONTH($A11),IF(G12=0,I11,G12),0)</f>
        <v>-99538</v>
      </c>
      <c r="J12" s="124" t="n">
        <f aca="false">IF(MONTH($A12)=MONTH($A11),SUM(I12-I11),I12)</f>
        <v>0</v>
      </c>
      <c r="K12" s="124" t="n">
        <f aca="false">IF(WEEKDAY(A12,3)&gt;4,0,(IF(A12&lt;K$2,0,IF(A12&lt;=K$3,1,0))))</f>
        <v>0</v>
      </c>
      <c r="L12" s="124" t="n">
        <f aca="false">J12*K12</f>
        <v>0</v>
      </c>
      <c r="M12" s="124" t="n">
        <f aca="false">SUM(J$6:J12)</f>
        <v>-99538</v>
      </c>
      <c r="N12" s="124" t="n">
        <f aca="false">SUM(J$6:J12)</f>
        <v>-99538</v>
      </c>
      <c r="P12" s="124" t="n">
        <f aca="false">D12/P$3</f>
        <v>0</v>
      </c>
      <c r="Q12" s="124" t="n">
        <f aca="false">E12/P$3</f>
        <v>0</v>
      </c>
      <c r="R12" s="124" t="n">
        <f aca="false">F12/R$3</f>
        <v>0</v>
      </c>
      <c r="S12" s="126" t="n">
        <f aca="false">J12/$R$3</f>
        <v>0</v>
      </c>
      <c r="T12" s="126" t="n">
        <f aca="false">L12/$R$3</f>
        <v>0</v>
      </c>
      <c r="U12" s="126" t="n">
        <f aca="false">I12/$R$3</f>
        <v>-99.538</v>
      </c>
      <c r="V12" s="126" t="n">
        <f aca="false">M12/$R$3</f>
        <v>-99.538</v>
      </c>
      <c r="W12" s="126" t="n">
        <f aca="false">N12/$R$3</f>
        <v>-99.538</v>
      </c>
    </row>
    <row r="13" customFormat="false" ht="12.75" hidden="true" customHeight="false" outlineLevel="0" collapsed="false">
      <c r="A13" s="120" t="n">
        <f aca="false">A12+1</f>
        <v>36899</v>
      </c>
      <c r="B13" s="131" t="str">
        <f aca="false">INDEX('[4]Master Data'!$A$2:$B$8,MATCH(WEEKDAY('TBS CRD MTM'!A13,3),'[4]Master Data'!$A$2:$A$8,0),2)</f>
        <v>M</v>
      </c>
      <c r="D13" s="124" t="n">
        <v>-412</v>
      </c>
      <c r="E13" s="124" t="n">
        <v>0</v>
      </c>
      <c r="F13" s="124" t="n">
        <v>0</v>
      </c>
      <c r="G13" s="124" t="n">
        <v>181741</v>
      </c>
      <c r="I13" s="124" t="n">
        <f aca="false">IF(MONTH($A13)=MONTH($A12),IF(G13=0,I12,G13),0)</f>
        <v>181741</v>
      </c>
      <c r="J13" s="124" t="n">
        <f aca="false">IF(MONTH($A13)=MONTH($A12),SUM(I13-I12),I13)</f>
        <v>281279</v>
      </c>
      <c r="K13" s="124" t="n">
        <f aca="false">IF(WEEKDAY(A13,3)&gt;4,0,(IF(A13&lt;K$2,0,IF(A13&lt;=K$3,1,0))))</f>
        <v>0</v>
      </c>
      <c r="L13" s="124" t="n">
        <f aca="false">J13*K13</f>
        <v>0</v>
      </c>
      <c r="M13" s="124" t="n">
        <f aca="false">SUM(J$6:J13)</f>
        <v>181741</v>
      </c>
      <c r="N13" s="124" t="n">
        <f aca="false">SUM(J$6:J13)</f>
        <v>181741</v>
      </c>
      <c r="P13" s="124" t="n">
        <f aca="false">D13/P$3</f>
        <v>-0.412</v>
      </c>
      <c r="Q13" s="124" t="n">
        <f aca="false">E13/P$3</f>
        <v>0</v>
      </c>
      <c r="R13" s="124" t="n">
        <f aca="false">F13/R$3</f>
        <v>0</v>
      </c>
      <c r="S13" s="126" t="n">
        <f aca="false">J13/$R$3</f>
        <v>281.279</v>
      </c>
      <c r="T13" s="126" t="n">
        <f aca="false">L13/$R$3</f>
        <v>0</v>
      </c>
      <c r="U13" s="126" t="n">
        <f aca="false">I13/$R$3</f>
        <v>181.741</v>
      </c>
      <c r="V13" s="126" t="n">
        <f aca="false">M13/$R$3</f>
        <v>181.741</v>
      </c>
      <c r="W13" s="126" t="n">
        <f aca="false">N13/$R$3</f>
        <v>181.741</v>
      </c>
    </row>
    <row r="14" customFormat="false" ht="12.75" hidden="true" customHeight="false" outlineLevel="0" collapsed="false">
      <c r="A14" s="120" t="n">
        <f aca="false">A13+1</f>
        <v>36900</v>
      </c>
      <c r="B14" s="131" t="str">
        <f aca="false">INDEX('[4]Master Data'!$A$2:$B$8,MATCH(WEEKDAY('TBS CRD MTM'!A14,3),'[4]Master Data'!$A$2:$A$8,0),2)</f>
        <v>T</v>
      </c>
      <c r="D14" s="124" t="n">
        <v>-392</v>
      </c>
      <c r="E14" s="124" t="n">
        <v>0</v>
      </c>
      <c r="F14" s="124" t="n">
        <v>0</v>
      </c>
      <c r="G14" s="124" t="n">
        <v>898</v>
      </c>
      <c r="I14" s="124" t="n">
        <f aca="false">IF(MONTH($A14)=MONTH($A13),IF(G14=0,I13,G14),0)</f>
        <v>898</v>
      </c>
      <c r="J14" s="124" t="n">
        <f aca="false">IF(MONTH($A14)=MONTH($A13),SUM(I14-I13),I14)</f>
        <v>-180843</v>
      </c>
      <c r="K14" s="124" t="n">
        <f aca="false">IF(WEEKDAY(A14,3)&gt;4,0,(IF(A14&lt;K$2,0,IF(A14&lt;=K$3,1,0))))</f>
        <v>0</v>
      </c>
      <c r="L14" s="124" t="n">
        <f aca="false">J14*K14</f>
        <v>-0</v>
      </c>
      <c r="M14" s="124" t="n">
        <f aca="false">SUM(J$6:J14)</f>
        <v>898</v>
      </c>
      <c r="N14" s="124" t="n">
        <f aca="false">SUM(J$6:J14)</f>
        <v>898</v>
      </c>
      <c r="P14" s="124" t="n">
        <f aca="false">D14/P$3</f>
        <v>-0.392</v>
      </c>
      <c r="Q14" s="124" t="n">
        <f aca="false">E14/P$3</f>
        <v>0</v>
      </c>
      <c r="R14" s="124" t="n">
        <f aca="false">F14/R$3</f>
        <v>0</v>
      </c>
      <c r="S14" s="126" t="n">
        <f aca="false">J14/$R$3</f>
        <v>-180.843</v>
      </c>
      <c r="T14" s="126" t="n">
        <f aca="false">L14/$R$3</f>
        <v>-0</v>
      </c>
      <c r="U14" s="126" t="n">
        <f aca="false">I14/$R$3</f>
        <v>0.898</v>
      </c>
      <c r="V14" s="126" t="n">
        <f aca="false">M14/$R$3</f>
        <v>0.898</v>
      </c>
      <c r="W14" s="126" t="n">
        <f aca="false">N14/$R$3</f>
        <v>0.898</v>
      </c>
    </row>
    <row r="15" customFormat="false" ht="12.75" hidden="true" customHeight="false" outlineLevel="0" collapsed="false">
      <c r="A15" s="120" t="n">
        <f aca="false">A14+1</f>
        <v>36901</v>
      </c>
      <c r="B15" s="131" t="str">
        <f aca="false">INDEX('[4]Master Data'!$A$2:$B$8,MATCH(WEEKDAY('TBS CRD MTM'!A15,3),'[4]Master Data'!$A$2:$A$8,0),2)</f>
        <v>W</v>
      </c>
      <c r="D15" s="124" t="n">
        <v>-352</v>
      </c>
      <c r="E15" s="124" t="n">
        <v>0</v>
      </c>
      <c r="F15" s="124" t="n">
        <v>0</v>
      </c>
      <c r="G15" s="124" t="n">
        <v>-270340</v>
      </c>
      <c r="I15" s="124" t="n">
        <f aca="false">IF(MONTH($A15)=MONTH($A14),IF(G15=0,I14,G15),0)</f>
        <v>-270340</v>
      </c>
      <c r="J15" s="124" t="n">
        <f aca="false">IF(MONTH($A15)=MONTH($A14),SUM(I15-I14),I15)</f>
        <v>-271238</v>
      </c>
      <c r="K15" s="124" t="n">
        <f aca="false">IF(WEEKDAY(A15,3)&gt;4,0,(IF(A15&lt;K$2,0,IF(A15&lt;=K$3,1,0))))</f>
        <v>0</v>
      </c>
      <c r="L15" s="124" t="n">
        <f aca="false">J15*K15</f>
        <v>-0</v>
      </c>
      <c r="M15" s="124" t="n">
        <f aca="false">SUM(J$6:J15)</f>
        <v>-270340</v>
      </c>
      <c r="N15" s="124" t="n">
        <f aca="false">SUM(J$6:J15)</f>
        <v>-270340</v>
      </c>
      <c r="P15" s="124" t="n">
        <f aca="false">D15/P$3</f>
        <v>-0.352</v>
      </c>
      <c r="Q15" s="124" t="n">
        <f aca="false">E15/P$3</f>
        <v>0</v>
      </c>
      <c r="R15" s="124" t="n">
        <f aca="false">F15/R$3</f>
        <v>0</v>
      </c>
      <c r="S15" s="126" t="n">
        <f aca="false">J15/$R$3</f>
        <v>-271.238</v>
      </c>
      <c r="T15" s="126" t="n">
        <f aca="false">L15/$R$3</f>
        <v>-0</v>
      </c>
      <c r="U15" s="126" t="n">
        <f aca="false">I15/$R$3</f>
        <v>-270.34</v>
      </c>
      <c r="V15" s="126" t="n">
        <f aca="false">M15/$R$3</f>
        <v>-270.34</v>
      </c>
      <c r="W15" s="126" t="n">
        <f aca="false">N15/$R$3</f>
        <v>-270.34</v>
      </c>
    </row>
    <row r="16" customFormat="false" ht="12.75" hidden="true" customHeight="false" outlineLevel="0" collapsed="false">
      <c r="A16" s="120" t="n">
        <f aca="false">A15+1</f>
        <v>36902</v>
      </c>
      <c r="B16" s="131" t="str">
        <f aca="false">INDEX('[4]Master Data'!$A$2:$B$8,MATCH(WEEKDAY('TBS CRD MTM'!A16,3),'[4]Master Data'!$A$2:$A$8,0),2)</f>
        <v>Th</v>
      </c>
      <c r="D16" s="124" t="n">
        <v>-348</v>
      </c>
      <c r="E16" s="124" t="n">
        <v>0</v>
      </c>
      <c r="F16" s="124" t="n">
        <v>0</v>
      </c>
      <c r="G16" s="124" t="n">
        <v>-300418</v>
      </c>
      <c r="I16" s="124" t="n">
        <f aca="false">IF(MONTH($A16)=MONTH($A15),IF(G16=0,I15,G16),0)</f>
        <v>-300418</v>
      </c>
      <c r="J16" s="124" t="n">
        <f aca="false">IF(MONTH($A16)=MONTH($A15),SUM(I16-I15),I16)</f>
        <v>-30078</v>
      </c>
      <c r="K16" s="124" t="n">
        <f aca="false">IF(WEEKDAY(A16,3)&gt;4,0,(IF(A16&lt;K$2,0,IF(A16&lt;=K$3,1,0))))</f>
        <v>0</v>
      </c>
      <c r="L16" s="124" t="n">
        <f aca="false">J16*K16</f>
        <v>-0</v>
      </c>
      <c r="M16" s="124" t="n">
        <f aca="false">SUM(J$6:J16)</f>
        <v>-300418</v>
      </c>
      <c r="N16" s="124" t="n">
        <f aca="false">SUM(J$6:J16)</f>
        <v>-300418</v>
      </c>
      <c r="P16" s="124" t="n">
        <f aca="false">D16/P$3</f>
        <v>-0.348</v>
      </c>
      <c r="Q16" s="124" t="n">
        <f aca="false">E16/P$3</f>
        <v>0</v>
      </c>
      <c r="R16" s="124" t="n">
        <f aca="false">F16/R$3</f>
        <v>0</v>
      </c>
      <c r="S16" s="126" t="n">
        <f aca="false">J16/$R$3</f>
        <v>-30.078</v>
      </c>
      <c r="T16" s="126" t="n">
        <f aca="false">L16/$R$3</f>
        <v>-0</v>
      </c>
      <c r="U16" s="126" t="n">
        <f aca="false">I16/$R$3</f>
        <v>-300.418</v>
      </c>
      <c r="V16" s="126" t="n">
        <f aca="false">M16/$R$3</f>
        <v>-300.418</v>
      </c>
      <c r="W16" s="126" t="n">
        <f aca="false">N16/$R$3</f>
        <v>-300.418</v>
      </c>
    </row>
    <row r="17" customFormat="false" ht="12.75" hidden="true" customHeight="false" outlineLevel="0" collapsed="false">
      <c r="A17" s="120" t="n">
        <f aca="false">A16+1</f>
        <v>36903</v>
      </c>
      <c r="B17" s="131" t="str">
        <f aca="false">INDEX('[4]Master Data'!$A$2:$B$8,MATCH(WEEKDAY('TBS CRD MTM'!A17,3),'[4]Master Data'!$A$2:$A$8,0),2)</f>
        <v>F</v>
      </c>
      <c r="D17" s="124" t="n">
        <v>-341</v>
      </c>
      <c r="E17" s="124" t="n">
        <v>0</v>
      </c>
      <c r="F17" s="124" t="n">
        <v>0</v>
      </c>
      <c r="G17" s="124" t="n">
        <v>-233367</v>
      </c>
      <c r="I17" s="124" t="n">
        <f aca="false">IF(MONTH($A17)=MONTH($A16),IF(G17=0,I16,G17),0)</f>
        <v>-233367</v>
      </c>
      <c r="J17" s="124" t="n">
        <f aca="false">IF(MONTH($A17)=MONTH($A16),SUM(I17-I16),I17)</f>
        <v>67051</v>
      </c>
      <c r="K17" s="124" t="n">
        <f aca="false">IF(WEEKDAY(A17,3)&gt;4,0,(IF(A17&lt;K$2,0,IF(A17&lt;=K$3,1,0))))</f>
        <v>0</v>
      </c>
      <c r="L17" s="124" t="n">
        <f aca="false">J17*K17</f>
        <v>0</v>
      </c>
      <c r="M17" s="124" t="n">
        <f aca="false">SUM(J$6:J17)</f>
        <v>-233367</v>
      </c>
      <c r="N17" s="124" t="n">
        <f aca="false">SUM(J$6:J17)</f>
        <v>-233367</v>
      </c>
      <c r="P17" s="124" t="n">
        <f aca="false">D17/P$3</f>
        <v>-0.341</v>
      </c>
      <c r="Q17" s="124" t="n">
        <f aca="false">E17/P$3</f>
        <v>0</v>
      </c>
      <c r="R17" s="124" t="n">
        <f aca="false">F17/R$3</f>
        <v>0</v>
      </c>
      <c r="S17" s="126" t="n">
        <f aca="false">J17/$R$3</f>
        <v>67.051</v>
      </c>
      <c r="T17" s="126" t="n">
        <f aca="false">L17/$R$3</f>
        <v>0</v>
      </c>
      <c r="U17" s="126" t="n">
        <f aca="false">I17/$R$3</f>
        <v>-233.367</v>
      </c>
      <c r="V17" s="126" t="n">
        <f aca="false">M17/$R$3</f>
        <v>-233.367</v>
      </c>
      <c r="W17" s="126" t="n">
        <f aca="false">N17/$R$3</f>
        <v>-233.367</v>
      </c>
    </row>
    <row r="18" customFormat="false" ht="12.75" hidden="true" customHeight="false" outlineLevel="0" collapsed="false">
      <c r="A18" s="120" t="n">
        <f aca="false">A17+1</f>
        <v>36904</v>
      </c>
      <c r="B18" s="131" t="str">
        <f aca="false">INDEX('[4]Master Data'!$A$2:$B$8,MATCH(WEEKDAY('TBS CRD MTM'!A18,3),'[4]Master Data'!$A$2:$A$8,0),2)</f>
        <v>Sa</v>
      </c>
      <c r="D18" s="124" t="n">
        <v>0</v>
      </c>
      <c r="E18" s="124" t="n">
        <v>0</v>
      </c>
      <c r="F18" s="124" t="n">
        <v>0</v>
      </c>
      <c r="G18" s="124" t="n">
        <v>0</v>
      </c>
      <c r="I18" s="124" t="n">
        <f aca="false">IF(MONTH($A18)=MONTH($A17),IF(G18=0,I17,G18),0)</f>
        <v>-233367</v>
      </c>
      <c r="J18" s="124" t="n">
        <f aca="false">IF(MONTH($A18)=MONTH($A17),SUM(I18-I17),I18)</f>
        <v>0</v>
      </c>
      <c r="K18" s="124" t="n">
        <f aca="false">IF(WEEKDAY(A18,3)&gt;4,0,(IF(A18&lt;K$2,0,IF(A18&lt;=K$3,1,0))))</f>
        <v>0</v>
      </c>
      <c r="L18" s="124" t="n">
        <f aca="false">J18*K18</f>
        <v>0</v>
      </c>
      <c r="M18" s="124" t="n">
        <f aca="false">SUM(J$6:J18)</f>
        <v>-233367</v>
      </c>
      <c r="N18" s="124" t="n">
        <f aca="false">SUM(J$6:J18)</f>
        <v>-233367</v>
      </c>
      <c r="P18" s="124" t="n">
        <f aca="false">D18/P$3</f>
        <v>0</v>
      </c>
      <c r="Q18" s="124" t="n">
        <f aca="false">E18/P$3</f>
        <v>0</v>
      </c>
      <c r="R18" s="124" t="n">
        <f aca="false">F18/R$3</f>
        <v>0</v>
      </c>
      <c r="S18" s="126" t="n">
        <f aca="false">J18/$R$3</f>
        <v>0</v>
      </c>
      <c r="T18" s="126" t="n">
        <f aca="false">L18/$R$3</f>
        <v>0</v>
      </c>
      <c r="U18" s="126" t="n">
        <f aca="false">I18/$R$3</f>
        <v>-233.367</v>
      </c>
      <c r="V18" s="126" t="n">
        <f aca="false">M18/$R$3</f>
        <v>-233.367</v>
      </c>
      <c r="W18" s="126" t="n">
        <f aca="false">N18/$R$3</f>
        <v>-233.367</v>
      </c>
    </row>
    <row r="19" customFormat="false" ht="12.75" hidden="true" customHeight="false" outlineLevel="0" collapsed="false">
      <c r="A19" s="120" t="n">
        <f aca="false">A18+1</f>
        <v>36905</v>
      </c>
      <c r="B19" s="131" t="str">
        <f aca="false">INDEX('[4]Master Data'!$A$2:$B$8,MATCH(WEEKDAY('TBS CRD MTM'!A19,3),'[4]Master Data'!$A$2:$A$8,0),2)</f>
        <v>Su</v>
      </c>
      <c r="D19" s="124" t="n">
        <v>0</v>
      </c>
      <c r="E19" s="124" t="n">
        <v>0</v>
      </c>
      <c r="F19" s="124" t="n">
        <v>0</v>
      </c>
      <c r="G19" s="124" t="n">
        <v>0</v>
      </c>
      <c r="I19" s="124" t="n">
        <f aca="false">IF(MONTH($A19)=MONTH($A18),IF(G19=0,I18,G19),0)</f>
        <v>-233367</v>
      </c>
      <c r="J19" s="124" t="n">
        <f aca="false">IF(MONTH($A19)=MONTH($A18),SUM(I19-I18),I19)</f>
        <v>0</v>
      </c>
      <c r="K19" s="124" t="n">
        <f aca="false">IF(WEEKDAY(A19,3)&gt;4,0,(IF(A19&lt;K$2,0,IF(A19&lt;=K$3,1,0))))</f>
        <v>0</v>
      </c>
      <c r="L19" s="124" t="n">
        <f aca="false">J19*K19</f>
        <v>0</v>
      </c>
      <c r="M19" s="124" t="n">
        <f aca="false">SUM(J$6:J19)</f>
        <v>-233367</v>
      </c>
      <c r="N19" s="124" t="n">
        <f aca="false">SUM(J$6:J19)</f>
        <v>-233367</v>
      </c>
      <c r="P19" s="124" t="n">
        <f aca="false">D19/P$3</f>
        <v>0</v>
      </c>
      <c r="Q19" s="124" t="n">
        <f aca="false">E19/P$3</f>
        <v>0</v>
      </c>
      <c r="R19" s="124" t="n">
        <f aca="false">F19/R$3</f>
        <v>0</v>
      </c>
      <c r="S19" s="126" t="n">
        <f aca="false">J19/$R$3</f>
        <v>0</v>
      </c>
      <c r="T19" s="126" t="n">
        <f aca="false">L19/$R$3</f>
        <v>0</v>
      </c>
      <c r="U19" s="126" t="n">
        <f aca="false">I19/$R$3</f>
        <v>-233.367</v>
      </c>
      <c r="V19" s="126" t="n">
        <f aca="false">M19/$R$3</f>
        <v>-233.367</v>
      </c>
      <c r="W19" s="126" t="n">
        <f aca="false">N19/$R$3</f>
        <v>-233.367</v>
      </c>
    </row>
    <row r="20" customFormat="false" ht="12.75" hidden="true" customHeight="false" outlineLevel="0" collapsed="false">
      <c r="A20" s="120" t="n">
        <f aca="false">A19+1</f>
        <v>36906</v>
      </c>
      <c r="B20" s="131" t="str">
        <f aca="false">INDEX('[4]Master Data'!$A$2:$B$8,MATCH(WEEKDAY('TBS CRD MTM'!A20,3),'[4]Master Data'!$A$2:$A$8,0),2)</f>
        <v>M</v>
      </c>
      <c r="D20" s="124" t="n">
        <v>0</v>
      </c>
      <c r="E20" s="124" t="n">
        <v>0</v>
      </c>
      <c r="F20" s="124" t="n">
        <v>0</v>
      </c>
      <c r="G20" s="124" t="n">
        <v>0</v>
      </c>
      <c r="I20" s="124" t="n">
        <f aca="false">IF(MONTH($A20)=MONTH($A19),IF(G20=0,I19,G20),0)</f>
        <v>-233367</v>
      </c>
      <c r="J20" s="124" t="n">
        <f aca="false">IF(MONTH($A20)=MONTH($A19),SUM(I20-I19),I20)</f>
        <v>0</v>
      </c>
      <c r="K20" s="124" t="n">
        <f aca="false">IF(WEEKDAY(A20,3)&gt;4,0,(IF(A20&lt;K$2,0,IF(A20&lt;=K$3,1,0))))</f>
        <v>0</v>
      </c>
      <c r="L20" s="124" t="n">
        <f aca="false">J20*K20</f>
        <v>0</v>
      </c>
      <c r="M20" s="124" t="n">
        <f aca="false">SUM(J$6:J20)</f>
        <v>-233367</v>
      </c>
      <c r="N20" s="124" t="n">
        <f aca="false">SUM(J$6:J20)</f>
        <v>-233367</v>
      </c>
      <c r="P20" s="124" t="n">
        <f aca="false">D20/P$3</f>
        <v>0</v>
      </c>
      <c r="Q20" s="124" t="n">
        <f aca="false">E20/P$3</f>
        <v>0</v>
      </c>
      <c r="R20" s="124" t="n">
        <f aca="false">F20/R$3</f>
        <v>0</v>
      </c>
      <c r="S20" s="126" t="n">
        <f aca="false">J20/$R$3</f>
        <v>0</v>
      </c>
      <c r="T20" s="126" t="n">
        <f aca="false">L20/$R$3</f>
        <v>0</v>
      </c>
      <c r="U20" s="126" t="n">
        <f aca="false">I20/$R$3</f>
        <v>-233.367</v>
      </c>
      <c r="V20" s="126" t="n">
        <f aca="false">M20/$R$3</f>
        <v>-233.367</v>
      </c>
      <c r="W20" s="126" t="n">
        <f aca="false">N20/$R$3</f>
        <v>-233.367</v>
      </c>
    </row>
    <row r="21" customFormat="false" ht="12.75" hidden="true" customHeight="false" outlineLevel="0" collapsed="false">
      <c r="A21" s="120" t="n">
        <f aca="false">A20+1</f>
        <v>36907</v>
      </c>
      <c r="B21" s="131" t="str">
        <f aca="false">INDEX('[4]Master Data'!$A$2:$B$8,MATCH(WEEKDAY('TBS CRD MTM'!A21,3),'[4]Master Data'!$A$2:$A$8,0),2)</f>
        <v>T</v>
      </c>
      <c r="D21" s="124" t="n">
        <v>-343</v>
      </c>
      <c r="E21" s="124" t="n">
        <v>0</v>
      </c>
      <c r="F21" s="124" t="n">
        <v>0</v>
      </c>
      <c r="G21" s="124" t="n">
        <v>-306468</v>
      </c>
      <c r="I21" s="124" t="n">
        <f aca="false">IF(MONTH($A21)=MONTH($A20),IF(G21=0,I20,G21),0)</f>
        <v>-306468</v>
      </c>
      <c r="J21" s="124" t="n">
        <f aca="false">IF(MONTH($A21)=MONTH($A20),SUM(I21-I20),I21)</f>
        <v>-73101</v>
      </c>
      <c r="K21" s="124" t="n">
        <f aca="false">IF(WEEKDAY(A21,3)&gt;4,0,(IF(A21&lt;K$2,0,IF(A21&lt;=K$3,1,0))))</f>
        <v>0</v>
      </c>
      <c r="L21" s="124" t="n">
        <f aca="false">J21*K21</f>
        <v>-0</v>
      </c>
      <c r="M21" s="124" t="n">
        <f aca="false">SUM(J$6:J21)</f>
        <v>-306468</v>
      </c>
      <c r="N21" s="124" t="n">
        <f aca="false">SUM(J$6:J21)</f>
        <v>-306468</v>
      </c>
      <c r="P21" s="124" t="n">
        <f aca="false">D21/P$3</f>
        <v>-0.343</v>
      </c>
      <c r="Q21" s="124" t="n">
        <f aca="false">E21/P$3</f>
        <v>0</v>
      </c>
      <c r="R21" s="124" t="n">
        <f aca="false">F21/R$3</f>
        <v>0</v>
      </c>
      <c r="S21" s="126" t="n">
        <f aca="false">J21/$R$3</f>
        <v>-73.101</v>
      </c>
      <c r="T21" s="126" t="n">
        <f aca="false">L21/$R$3</f>
        <v>-0</v>
      </c>
      <c r="U21" s="126" t="n">
        <f aca="false">I21/$R$3</f>
        <v>-306.468</v>
      </c>
      <c r="V21" s="126" t="n">
        <f aca="false">M21/$R$3</f>
        <v>-306.468</v>
      </c>
      <c r="W21" s="126" t="n">
        <f aca="false">N21/$R$3</f>
        <v>-306.468</v>
      </c>
    </row>
    <row r="22" customFormat="false" ht="12.75" hidden="true" customHeight="false" outlineLevel="0" collapsed="false">
      <c r="A22" s="120" t="n">
        <f aca="false">A21+1</f>
        <v>36908</v>
      </c>
      <c r="B22" s="131" t="str">
        <f aca="false">INDEX('[4]Master Data'!$A$2:$B$8,MATCH(WEEKDAY('TBS CRD MTM'!A22,3),'[4]Master Data'!$A$2:$A$8,0),2)</f>
        <v>W</v>
      </c>
      <c r="D22" s="124" t="n">
        <v>-358</v>
      </c>
      <c r="E22" s="124" t="n">
        <v>0</v>
      </c>
      <c r="F22" s="124" t="n">
        <v>0</v>
      </c>
      <c r="G22" s="124" t="n">
        <v>-345500</v>
      </c>
      <c r="I22" s="124" t="n">
        <f aca="false">IF(MONTH($A22)=MONTH($A21),IF(G22=0,I21,G22),0)</f>
        <v>-345500</v>
      </c>
      <c r="J22" s="124" t="n">
        <f aca="false">IF(MONTH($A22)=MONTH($A21),SUM(I22-I21),I22)</f>
        <v>-39032</v>
      </c>
      <c r="K22" s="124" t="n">
        <f aca="false">IF(WEEKDAY(A22,3)&gt;4,0,(IF(A22&lt;K$2,0,IF(A22&lt;=K$3,1,0))))</f>
        <v>0</v>
      </c>
      <c r="L22" s="124" t="n">
        <f aca="false">J22*K22</f>
        <v>-0</v>
      </c>
      <c r="M22" s="124" t="n">
        <f aca="false">SUM(J$6:J22)</f>
        <v>-345500</v>
      </c>
      <c r="N22" s="124" t="n">
        <f aca="false">SUM(J$6:J22)</f>
        <v>-345500</v>
      </c>
      <c r="P22" s="124" t="n">
        <f aca="false">D22/P$3</f>
        <v>-0.358</v>
      </c>
      <c r="Q22" s="124" t="n">
        <f aca="false">E22/P$3</f>
        <v>0</v>
      </c>
      <c r="R22" s="124" t="n">
        <f aca="false">F22/R$3</f>
        <v>0</v>
      </c>
      <c r="S22" s="126" t="n">
        <f aca="false">J22/$R$3</f>
        <v>-39.032</v>
      </c>
      <c r="T22" s="126" t="n">
        <f aca="false">L22/$R$3</f>
        <v>-0</v>
      </c>
      <c r="U22" s="126" t="n">
        <f aca="false">I22/$R$3</f>
        <v>-345.5</v>
      </c>
      <c r="V22" s="126" t="n">
        <f aca="false">M22/$R$3</f>
        <v>-345.5</v>
      </c>
      <c r="W22" s="126" t="n">
        <f aca="false">N22/$R$3</f>
        <v>-345.5</v>
      </c>
    </row>
    <row r="23" customFormat="false" ht="12.75" hidden="true" customHeight="false" outlineLevel="0" collapsed="false">
      <c r="A23" s="120" t="n">
        <f aca="false">A22+1</f>
        <v>36909</v>
      </c>
      <c r="B23" s="131" t="str">
        <f aca="false">INDEX('[4]Master Data'!$A$2:$B$8,MATCH(WEEKDAY('TBS CRD MTM'!A23,3),'[4]Master Data'!$A$2:$A$8,0),2)</f>
        <v>Th</v>
      </c>
      <c r="D23" s="124" t="n">
        <v>-349</v>
      </c>
      <c r="E23" s="124" t="n">
        <v>0</v>
      </c>
      <c r="F23" s="124" t="n">
        <v>0</v>
      </c>
      <c r="G23" s="124" t="n">
        <v>-415223</v>
      </c>
      <c r="I23" s="124" t="n">
        <f aca="false">IF(MONTH($A23)=MONTH($A22),IF(G23=0,I22,G23),0)</f>
        <v>-415223</v>
      </c>
      <c r="J23" s="124" t="n">
        <f aca="false">IF(MONTH($A23)=MONTH($A22),SUM(I23-I22),I23)</f>
        <v>-69723</v>
      </c>
      <c r="K23" s="124" t="n">
        <f aca="false">IF(WEEKDAY(A23,3)&gt;4,0,(IF(A23&lt;K$2,0,IF(A23&lt;=K$3,1,0))))</f>
        <v>0</v>
      </c>
      <c r="L23" s="124" t="n">
        <f aca="false">J23*K23</f>
        <v>-0</v>
      </c>
      <c r="M23" s="124" t="n">
        <f aca="false">SUM(J$6:J23)</f>
        <v>-415223</v>
      </c>
      <c r="N23" s="124" t="n">
        <f aca="false">SUM(J$6:J23)</f>
        <v>-415223</v>
      </c>
      <c r="P23" s="124" t="n">
        <f aca="false">D23/P$3</f>
        <v>-0.349</v>
      </c>
      <c r="Q23" s="124" t="n">
        <f aca="false">E23/P$3</f>
        <v>0</v>
      </c>
      <c r="R23" s="124" t="n">
        <f aca="false">F23/R$3</f>
        <v>0</v>
      </c>
      <c r="S23" s="126" t="n">
        <f aca="false">J23/$R$3</f>
        <v>-69.723</v>
      </c>
      <c r="T23" s="126" t="n">
        <f aca="false">L23/$R$3</f>
        <v>-0</v>
      </c>
      <c r="U23" s="126" t="n">
        <f aca="false">I23/$R$3</f>
        <v>-415.223</v>
      </c>
      <c r="V23" s="126" t="n">
        <f aca="false">M23/$R$3</f>
        <v>-415.223</v>
      </c>
      <c r="W23" s="126" t="n">
        <f aca="false">N23/$R$3</f>
        <v>-415.223</v>
      </c>
    </row>
    <row r="24" customFormat="false" ht="12.75" hidden="true" customHeight="false" outlineLevel="0" collapsed="false">
      <c r="A24" s="120" t="n">
        <f aca="false">A23+1</f>
        <v>36910</v>
      </c>
      <c r="B24" s="131" t="str">
        <f aca="false">INDEX('[4]Master Data'!$A$2:$B$8,MATCH(WEEKDAY('TBS CRD MTM'!A24,3),'[4]Master Data'!$A$2:$A$8,0),2)</f>
        <v>F</v>
      </c>
      <c r="D24" s="124" t="n">
        <v>-346</v>
      </c>
      <c r="E24" s="124" t="n">
        <v>0</v>
      </c>
      <c r="F24" s="124" t="n">
        <v>0</v>
      </c>
      <c r="G24" s="124" t="n">
        <v>-697754</v>
      </c>
      <c r="I24" s="124" t="n">
        <f aca="false">IF(MONTH($A24)=MONTH($A23),IF(G24=0,I23,G24),0)</f>
        <v>-697754</v>
      </c>
      <c r="J24" s="124" t="n">
        <f aca="false">IF(MONTH($A24)=MONTH($A23),SUM(I24-I23),I24)</f>
        <v>-282531</v>
      </c>
      <c r="K24" s="124" t="n">
        <f aca="false">IF(WEEKDAY(A24,3)&gt;4,0,(IF(A24&lt;K$2,0,IF(A24&lt;=K$3,1,0))))</f>
        <v>0</v>
      </c>
      <c r="L24" s="124" t="n">
        <f aca="false">J24*K24</f>
        <v>-0</v>
      </c>
      <c r="M24" s="124" t="n">
        <f aca="false">SUM(J$6:J24)</f>
        <v>-697754</v>
      </c>
      <c r="N24" s="124" t="n">
        <f aca="false">SUM(J$6:J24)</f>
        <v>-697754</v>
      </c>
      <c r="P24" s="124" t="n">
        <f aca="false">D24/P$3</f>
        <v>-0.346</v>
      </c>
      <c r="Q24" s="124" t="n">
        <f aca="false">E24/P$3</f>
        <v>0</v>
      </c>
      <c r="R24" s="124" t="n">
        <f aca="false">F24/R$3</f>
        <v>0</v>
      </c>
      <c r="S24" s="126" t="n">
        <f aca="false">J24/$R$3</f>
        <v>-282.531</v>
      </c>
      <c r="T24" s="126" t="n">
        <f aca="false">L24/$R$3</f>
        <v>-0</v>
      </c>
      <c r="U24" s="126" t="n">
        <f aca="false">I24/$R$3</f>
        <v>-697.754</v>
      </c>
      <c r="V24" s="126" t="n">
        <f aca="false">M24/$R$3</f>
        <v>-697.754</v>
      </c>
      <c r="W24" s="126" t="n">
        <f aca="false">N24/$R$3</f>
        <v>-697.754</v>
      </c>
    </row>
    <row r="25" customFormat="false" ht="12.75" hidden="true" customHeight="false" outlineLevel="0" collapsed="false">
      <c r="A25" s="120" t="n">
        <f aca="false">A24+1</f>
        <v>36911</v>
      </c>
      <c r="B25" s="131" t="str">
        <f aca="false">INDEX('[4]Master Data'!$A$2:$B$8,MATCH(WEEKDAY('TBS CRD MTM'!A25,3),'[4]Master Data'!$A$2:$A$8,0),2)</f>
        <v>Sa</v>
      </c>
      <c r="D25" s="124" t="n">
        <v>0</v>
      </c>
      <c r="E25" s="124" t="n">
        <v>0</v>
      </c>
      <c r="F25" s="124" t="n">
        <v>0</v>
      </c>
      <c r="G25" s="124" t="n">
        <v>0</v>
      </c>
      <c r="I25" s="124" t="n">
        <f aca="false">IF(MONTH($A25)=MONTH($A24),IF(G25=0,I24,G25),0)</f>
        <v>-697754</v>
      </c>
      <c r="J25" s="124" t="n">
        <f aca="false">IF(MONTH($A25)=MONTH($A24),SUM(I25-I24),I25)</f>
        <v>0</v>
      </c>
      <c r="K25" s="124" t="n">
        <f aca="false">IF(WEEKDAY(A25,3)&gt;4,0,(IF(A25&lt;K$2,0,IF(A25&lt;=K$3,1,0))))</f>
        <v>0</v>
      </c>
      <c r="L25" s="124" t="n">
        <f aca="false">J25*K25</f>
        <v>0</v>
      </c>
      <c r="M25" s="124" t="n">
        <f aca="false">SUM(J$6:J25)</f>
        <v>-697754</v>
      </c>
      <c r="N25" s="124" t="n">
        <f aca="false">SUM(J$6:J25)</f>
        <v>-697754</v>
      </c>
      <c r="P25" s="124" t="n">
        <f aca="false">D25/P$3</f>
        <v>0</v>
      </c>
      <c r="Q25" s="124" t="n">
        <f aca="false">E25/P$3</f>
        <v>0</v>
      </c>
      <c r="R25" s="124" t="n">
        <f aca="false">F25/R$3</f>
        <v>0</v>
      </c>
      <c r="S25" s="126" t="n">
        <f aca="false">J25/$R$3</f>
        <v>0</v>
      </c>
      <c r="T25" s="126" t="n">
        <f aca="false">L25/$R$3</f>
        <v>0</v>
      </c>
      <c r="U25" s="126" t="n">
        <f aca="false">I25/$R$3</f>
        <v>-697.754</v>
      </c>
      <c r="V25" s="126" t="n">
        <f aca="false">M25/$R$3</f>
        <v>-697.754</v>
      </c>
      <c r="W25" s="126" t="n">
        <f aca="false">N25/$R$3</f>
        <v>-697.754</v>
      </c>
    </row>
    <row r="26" customFormat="false" ht="12.75" hidden="true" customHeight="false" outlineLevel="0" collapsed="false">
      <c r="A26" s="120" t="n">
        <f aca="false">A25+1</f>
        <v>36912</v>
      </c>
      <c r="B26" s="131" t="str">
        <f aca="false">INDEX('[4]Master Data'!$A$2:$B$8,MATCH(WEEKDAY('TBS CRD MTM'!A26,3),'[4]Master Data'!$A$2:$A$8,0),2)</f>
        <v>Su</v>
      </c>
      <c r="D26" s="124" t="n">
        <v>0</v>
      </c>
      <c r="E26" s="124" t="n">
        <v>0</v>
      </c>
      <c r="F26" s="124" t="n">
        <v>0</v>
      </c>
      <c r="G26" s="124" t="n">
        <v>0</v>
      </c>
      <c r="I26" s="124" t="n">
        <f aca="false">IF(MONTH($A26)=MONTH($A25),IF(G26=0,I25,G26),0)</f>
        <v>-697754</v>
      </c>
      <c r="J26" s="124" t="n">
        <f aca="false">IF(MONTH($A26)=MONTH($A25),SUM(I26-I25),I26)</f>
        <v>0</v>
      </c>
      <c r="K26" s="124" t="n">
        <f aca="false">IF(WEEKDAY(A26,3)&gt;4,0,(IF(A26&lt;K$2,0,IF(A26&lt;=K$3,1,0))))</f>
        <v>0</v>
      </c>
      <c r="L26" s="124" t="n">
        <f aca="false">J26*K26</f>
        <v>0</v>
      </c>
      <c r="M26" s="124" t="n">
        <f aca="false">SUM(J$6:J26)</f>
        <v>-697754</v>
      </c>
      <c r="N26" s="124" t="n">
        <f aca="false">SUM(J$6:J26)</f>
        <v>-697754</v>
      </c>
      <c r="P26" s="124" t="n">
        <f aca="false">D26/P$3</f>
        <v>0</v>
      </c>
      <c r="Q26" s="124" t="n">
        <f aca="false">E26/P$3</f>
        <v>0</v>
      </c>
      <c r="R26" s="124" t="n">
        <f aca="false">F26/R$3</f>
        <v>0</v>
      </c>
      <c r="S26" s="126" t="n">
        <f aca="false">J26/$R$3</f>
        <v>0</v>
      </c>
      <c r="T26" s="126" t="n">
        <f aca="false">L26/$R$3</f>
        <v>0</v>
      </c>
      <c r="U26" s="126" t="n">
        <f aca="false">I26/$R$3</f>
        <v>-697.754</v>
      </c>
      <c r="V26" s="126" t="n">
        <f aca="false">M26/$R$3</f>
        <v>-697.754</v>
      </c>
      <c r="W26" s="126" t="n">
        <f aca="false">N26/$R$3</f>
        <v>-697.754</v>
      </c>
    </row>
    <row r="27" customFormat="false" ht="12.75" hidden="true" customHeight="false" outlineLevel="0" collapsed="false">
      <c r="A27" s="120" t="n">
        <f aca="false">A26+1</f>
        <v>36913</v>
      </c>
      <c r="B27" s="131" t="str">
        <f aca="false">INDEX('[4]Master Data'!$A$2:$B$8,MATCH(WEEKDAY('TBS CRD MTM'!A27,3),'[4]Master Data'!$A$2:$A$8,0),2)</f>
        <v>M</v>
      </c>
      <c r="D27" s="124" t="n">
        <v>-379</v>
      </c>
      <c r="E27" s="124" t="n">
        <v>0</v>
      </c>
      <c r="F27" s="124" t="n">
        <v>0</v>
      </c>
      <c r="G27" s="124" t="n">
        <v>-289833</v>
      </c>
      <c r="I27" s="124" t="n">
        <f aca="false">IF(MONTH($A27)=MONTH($A26),IF(G27=0,I26,G27),0)</f>
        <v>-289833</v>
      </c>
      <c r="J27" s="124" t="n">
        <f aca="false">IF(MONTH($A27)=MONTH($A26),SUM(I27-I26),I27)</f>
        <v>407921</v>
      </c>
      <c r="K27" s="124" t="n">
        <f aca="false">IF(WEEKDAY(A27,3)&gt;4,0,(IF(A27&lt;K$2,0,IF(A27&lt;=K$3,1,0))))</f>
        <v>0</v>
      </c>
      <c r="L27" s="124" t="n">
        <f aca="false">J27*K27</f>
        <v>0</v>
      </c>
      <c r="M27" s="124" t="n">
        <f aca="false">SUM(J$6:J27)</f>
        <v>-289833</v>
      </c>
      <c r="N27" s="124" t="n">
        <f aca="false">SUM(J$6:J27)</f>
        <v>-289833</v>
      </c>
      <c r="P27" s="124" t="n">
        <f aca="false">D27/P$3</f>
        <v>-0.379</v>
      </c>
      <c r="Q27" s="124" t="n">
        <f aca="false">E27/P$3</f>
        <v>0</v>
      </c>
      <c r="R27" s="124" t="n">
        <f aca="false">F27/R$3</f>
        <v>0</v>
      </c>
      <c r="S27" s="126" t="n">
        <f aca="false">J27/$R$3</f>
        <v>407.921</v>
      </c>
      <c r="T27" s="126" t="n">
        <f aca="false">L27/$R$3</f>
        <v>0</v>
      </c>
      <c r="U27" s="126" t="n">
        <f aca="false">I27/$R$3</f>
        <v>-289.833</v>
      </c>
      <c r="V27" s="126" t="n">
        <f aca="false">M27/$R$3</f>
        <v>-289.833</v>
      </c>
      <c r="W27" s="126" t="n">
        <f aca="false">N27/$R$3</f>
        <v>-289.833</v>
      </c>
    </row>
    <row r="28" customFormat="false" ht="12.75" hidden="true" customHeight="false" outlineLevel="0" collapsed="false">
      <c r="A28" s="120" t="n">
        <f aca="false">A27+1</f>
        <v>36914</v>
      </c>
      <c r="B28" s="131" t="str">
        <f aca="false">INDEX('[4]Master Data'!$A$2:$B$8,MATCH(WEEKDAY('TBS CRD MTM'!A28,3),'[4]Master Data'!$A$2:$A$8,0),2)</f>
        <v>T</v>
      </c>
      <c r="D28" s="124" t="n">
        <v>-364</v>
      </c>
      <c r="E28" s="124" t="n">
        <v>0</v>
      </c>
      <c r="F28" s="124" t="n">
        <v>0</v>
      </c>
      <c r="G28" s="124" t="n">
        <v>-424641</v>
      </c>
      <c r="I28" s="124" t="n">
        <f aca="false">IF(MONTH($A28)=MONTH($A27),IF(G28=0,I27,G28),0)</f>
        <v>-424641</v>
      </c>
      <c r="J28" s="124" t="n">
        <f aca="false">IF(MONTH($A28)=MONTH($A27),SUM(I28-I27),I28)</f>
        <v>-134808</v>
      </c>
      <c r="K28" s="124" t="n">
        <f aca="false">IF(WEEKDAY(A28,3)&gt;4,0,(IF(A28&lt;K$2,0,IF(A28&lt;=K$3,1,0))))</f>
        <v>0</v>
      </c>
      <c r="L28" s="124" t="n">
        <f aca="false">J28*K28</f>
        <v>-0</v>
      </c>
      <c r="M28" s="124" t="n">
        <f aca="false">SUM(J$6:J28)</f>
        <v>-424641</v>
      </c>
      <c r="N28" s="124" t="n">
        <f aca="false">SUM(J$6:J28)</f>
        <v>-424641</v>
      </c>
      <c r="P28" s="124" t="n">
        <f aca="false">D28/P$3</f>
        <v>-0.364</v>
      </c>
      <c r="Q28" s="124" t="n">
        <f aca="false">E28/P$3</f>
        <v>0</v>
      </c>
      <c r="R28" s="124" t="n">
        <f aca="false">F28/R$3</f>
        <v>0</v>
      </c>
      <c r="S28" s="126" t="n">
        <f aca="false">J28/$R$3</f>
        <v>-134.808</v>
      </c>
      <c r="T28" s="126" t="n">
        <f aca="false">L28/$R$3</f>
        <v>-0</v>
      </c>
      <c r="U28" s="126" t="n">
        <f aca="false">I28/$R$3</f>
        <v>-424.641</v>
      </c>
      <c r="V28" s="126" t="n">
        <f aca="false">M28/$R$3</f>
        <v>-424.641</v>
      </c>
      <c r="W28" s="126" t="n">
        <f aca="false">N28/$R$3</f>
        <v>-424.641</v>
      </c>
    </row>
    <row r="29" customFormat="false" ht="12.75" hidden="true" customHeight="false" outlineLevel="0" collapsed="false">
      <c r="A29" s="120" t="n">
        <f aca="false">A28+1</f>
        <v>36915</v>
      </c>
      <c r="B29" s="131" t="str">
        <f aca="false">INDEX('[4]Master Data'!$A$2:$B$8,MATCH(WEEKDAY('TBS CRD MTM'!A29,3),'[4]Master Data'!$A$2:$A$8,0),2)</f>
        <v>W</v>
      </c>
      <c r="D29" s="124" t="n">
        <v>-372</v>
      </c>
      <c r="E29" s="124" t="n">
        <v>0</v>
      </c>
      <c r="F29" s="124" t="n">
        <v>0</v>
      </c>
      <c r="G29" s="124" t="n">
        <v>-341315</v>
      </c>
      <c r="I29" s="124" t="n">
        <f aca="false">IF(MONTH($A29)=MONTH($A28),IF(G29=0,I28,G29),0)</f>
        <v>-341315</v>
      </c>
      <c r="J29" s="124" t="n">
        <f aca="false">IF(MONTH($A29)=MONTH($A28),SUM(I29-I28),I29)</f>
        <v>83326</v>
      </c>
      <c r="K29" s="124" t="n">
        <f aca="false">IF(WEEKDAY(A29,3)&gt;4,0,(IF(A29&lt;K$2,0,IF(A29&lt;=K$3,1,0))))</f>
        <v>0</v>
      </c>
      <c r="L29" s="124" t="n">
        <f aca="false">J29*K29</f>
        <v>0</v>
      </c>
      <c r="M29" s="124" t="n">
        <f aca="false">SUM(J$6:J29)</f>
        <v>-341315</v>
      </c>
      <c r="N29" s="124" t="n">
        <f aca="false">SUM(J$6:J29)</f>
        <v>-341315</v>
      </c>
      <c r="P29" s="124" t="n">
        <f aca="false">D29/P$3</f>
        <v>-0.372</v>
      </c>
      <c r="Q29" s="124" t="n">
        <f aca="false">E29/P$3</f>
        <v>0</v>
      </c>
      <c r="R29" s="124" t="n">
        <f aca="false">F29/R$3</f>
        <v>0</v>
      </c>
      <c r="S29" s="126" t="n">
        <f aca="false">J29/$R$3</f>
        <v>83.326</v>
      </c>
      <c r="T29" s="126" t="n">
        <f aca="false">L29/$R$3</f>
        <v>0</v>
      </c>
      <c r="U29" s="126" t="n">
        <f aca="false">I29/$R$3</f>
        <v>-341.315</v>
      </c>
      <c r="V29" s="126" t="n">
        <f aca="false">M29/$R$3</f>
        <v>-341.315</v>
      </c>
      <c r="W29" s="126" t="n">
        <f aca="false">N29/$R$3</f>
        <v>-341.315</v>
      </c>
    </row>
    <row r="30" customFormat="false" ht="12.75" hidden="true" customHeight="false" outlineLevel="0" collapsed="false">
      <c r="A30" s="120" t="n">
        <f aca="false">A29+1</f>
        <v>36916</v>
      </c>
      <c r="B30" s="131" t="str">
        <f aca="false">INDEX('[4]Master Data'!$A$2:$B$8,MATCH(WEEKDAY('TBS CRD MTM'!A30,3),'[4]Master Data'!$A$2:$A$8,0),2)</f>
        <v>Th</v>
      </c>
      <c r="D30" s="124" t="n">
        <v>-368</v>
      </c>
      <c r="E30" s="124" t="n">
        <v>0</v>
      </c>
      <c r="F30" s="124" t="n">
        <v>0</v>
      </c>
      <c r="G30" s="124" t="n">
        <v>-429128</v>
      </c>
      <c r="I30" s="124" t="n">
        <f aca="false">IF(MONTH($A30)=MONTH($A29),IF(G30=0,I29,G30),0)</f>
        <v>-429128</v>
      </c>
      <c r="J30" s="124" t="n">
        <f aca="false">IF(MONTH($A30)=MONTH($A29),SUM(I30-I29),I30)</f>
        <v>-87813</v>
      </c>
      <c r="K30" s="124" t="n">
        <f aca="false">IF(WEEKDAY(A30,3)&gt;4,0,(IF(A30&lt;K$2,0,IF(A30&lt;=K$3,1,0))))</f>
        <v>0</v>
      </c>
      <c r="L30" s="124" t="n">
        <f aca="false">J30*K30</f>
        <v>-0</v>
      </c>
      <c r="M30" s="124" t="n">
        <f aca="false">SUM(J$6:J30)</f>
        <v>-429128</v>
      </c>
      <c r="N30" s="124" t="n">
        <f aca="false">SUM(J$6:J30)</f>
        <v>-429128</v>
      </c>
      <c r="P30" s="124" t="n">
        <f aca="false">D30/P$3</f>
        <v>-0.368</v>
      </c>
      <c r="Q30" s="124" t="n">
        <f aca="false">E30/P$3</f>
        <v>0</v>
      </c>
      <c r="R30" s="124" t="n">
        <f aca="false">F30/R$3</f>
        <v>0</v>
      </c>
      <c r="S30" s="126" t="n">
        <f aca="false">J30/$R$3</f>
        <v>-87.813</v>
      </c>
      <c r="T30" s="126" t="n">
        <f aca="false">L30/$R$3</f>
        <v>-0</v>
      </c>
      <c r="U30" s="126" t="n">
        <f aca="false">I30/$R$3</f>
        <v>-429.128</v>
      </c>
      <c r="V30" s="126" t="n">
        <f aca="false">M30/$R$3</f>
        <v>-429.128</v>
      </c>
      <c r="W30" s="126" t="n">
        <f aca="false">N30/$R$3</f>
        <v>-429.128</v>
      </c>
    </row>
    <row r="31" customFormat="false" ht="12.75" hidden="true" customHeight="false" outlineLevel="0" collapsed="false">
      <c r="A31" s="120" t="n">
        <f aca="false">A30+1</f>
        <v>36917</v>
      </c>
      <c r="B31" s="131" t="str">
        <f aca="false">INDEX('[4]Master Data'!$A$2:$B$8,MATCH(WEEKDAY('TBS CRD MTM'!A31,3),'[4]Master Data'!$A$2:$A$8,0),2)</f>
        <v>F</v>
      </c>
      <c r="D31" s="124" t="n">
        <v>-362</v>
      </c>
      <c r="E31" s="124" t="n">
        <v>0</v>
      </c>
      <c r="F31" s="124" t="n">
        <v>0</v>
      </c>
      <c r="G31" s="124" t="n">
        <v>-487401</v>
      </c>
      <c r="I31" s="124" t="n">
        <f aca="false">IF(MONTH($A31)=MONTH($A30),IF(G31=0,I30,G31),0)</f>
        <v>-487401</v>
      </c>
      <c r="J31" s="124" t="n">
        <f aca="false">IF(MONTH($A31)=MONTH($A30),SUM(I31-I30),I31)</f>
        <v>-58273</v>
      </c>
      <c r="K31" s="124" t="n">
        <f aca="false">IF(WEEKDAY(A31,3)&gt;4,0,(IF(A31&lt;K$2,0,IF(A31&lt;=K$3,1,0))))</f>
        <v>0</v>
      </c>
      <c r="L31" s="124" t="n">
        <f aca="false">J31*K31</f>
        <v>-0</v>
      </c>
      <c r="M31" s="124" t="n">
        <f aca="false">SUM(J$6:J31)</f>
        <v>-487401</v>
      </c>
      <c r="N31" s="124" t="n">
        <f aca="false">SUM(J$6:J31)</f>
        <v>-487401</v>
      </c>
      <c r="P31" s="124" t="n">
        <f aca="false">D31/P$3</f>
        <v>-0.362</v>
      </c>
      <c r="Q31" s="124" t="n">
        <f aca="false">E31/P$3</f>
        <v>0</v>
      </c>
      <c r="R31" s="124" t="n">
        <f aca="false">F31/R$3</f>
        <v>0</v>
      </c>
      <c r="S31" s="126" t="n">
        <f aca="false">J31/$R$3</f>
        <v>-58.273</v>
      </c>
      <c r="T31" s="126" t="n">
        <f aca="false">L31/$R$3</f>
        <v>-0</v>
      </c>
      <c r="U31" s="126" t="n">
        <f aca="false">I31/$R$3</f>
        <v>-487.401</v>
      </c>
      <c r="V31" s="126" t="n">
        <f aca="false">M31/$R$3</f>
        <v>-487.401</v>
      </c>
      <c r="W31" s="126" t="n">
        <f aca="false">N31/$R$3</f>
        <v>-487.401</v>
      </c>
    </row>
    <row r="32" customFormat="false" ht="12.75" hidden="true" customHeight="false" outlineLevel="0" collapsed="false">
      <c r="A32" s="120" t="n">
        <f aca="false">A31+1</f>
        <v>36918</v>
      </c>
      <c r="B32" s="131" t="str">
        <f aca="false">INDEX('[4]Master Data'!$A$2:$B$8,MATCH(WEEKDAY('TBS CRD MTM'!A32,3),'[4]Master Data'!$A$2:$A$8,0),2)</f>
        <v>Sa</v>
      </c>
      <c r="D32" s="124" t="n">
        <v>0</v>
      </c>
      <c r="E32" s="124" t="n">
        <v>0</v>
      </c>
      <c r="F32" s="124" t="n">
        <v>0</v>
      </c>
      <c r="G32" s="124" t="n">
        <v>0</v>
      </c>
      <c r="I32" s="124" t="n">
        <f aca="false">IF(MONTH($A32)=MONTH($A31),IF(G32=0,I31,G32),0)</f>
        <v>-487401</v>
      </c>
      <c r="J32" s="124" t="n">
        <f aca="false">IF(MONTH($A32)=MONTH($A31),SUM(I32-I31),I32)</f>
        <v>0</v>
      </c>
      <c r="K32" s="124" t="n">
        <f aca="false">IF(WEEKDAY(A32,3)&gt;4,0,(IF(A32&lt;K$2,0,IF(A32&lt;=K$3,1,0))))</f>
        <v>0</v>
      </c>
      <c r="L32" s="124" t="n">
        <f aca="false">J32*K32</f>
        <v>0</v>
      </c>
      <c r="M32" s="124" t="n">
        <f aca="false">SUM(J$6:J32)</f>
        <v>-487401</v>
      </c>
      <c r="N32" s="124" t="n">
        <f aca="false">SUM(J$6:J32)</f>
        <v>-487401</v>
      </c>
      <c r="P32" s="124" t="n">
        <f aca="false">D32/P$3</f>
        <v>0</v>
      </c>
      <c r="Q32" s="124" t="n">
        <f aca="false">E32/P$3</f>
        <v>0</v>
      </c>
      <c r="R32" s="124" t="n">
        <f aca="false">F32/R$3</f>
        <v>0</v>
      </c>
      <c r="S32" s="126" t="n">
        <f aca="false">J32/$R$3</f>
        <v>0</v>
      </c>
      <c r="T32" s="126" t="n">
        <f aca="false">L32/$R$3</f>
        <v>0</v>
      </c>
      <c r="U32" s="126" t="n">
        <f aca="false">I32/$R$3</f>
        <v>-487.401</v>
      </c>
      <c r="V32" s="126" t="n">
        <f aca="false">M32/$R$3</f>
        <v>-487.401</v>
      </c>
      <c r="W32" s="126" t="n">
        <f aca="false">N32/$R$3</f>
        <v>-487.401</v>
      </c>
    </row>
    <row r="33" customFormat="false" ht="12.75" hidden="true" customHeight="false" outlineLevel="0" collapsed="false">
      <c r="A33" s="120" t="n">
        <f aca="false">A32+1</f>
        <v>36919</v>
      </c>
      <c r="B33" s="131" t="str">
        <f aca="false">INDEX('[4]Master Data'!$A$2:$B$8,MATCH(WEEKDAY('TBS CRD MTM'!A33,3),'[4]Master Data'!$A$2:$A$8,0),2)</f>
        <v>Su</v>
      </c>
      <c r="D33" s="124" t="n">
        <v>0</v>
      </c>
      <c r="E33" s="124" t="n">
        <v>0</v>
      </c>
      <c r="F33" s="124" t="n">
        <v>0</v>
      </c>
      <c r="G33" s="124" t="n">
        <v>0</v>
      </c>
      <c r="I33" s="124" t="n">
        <f aca="false">IF(MONTH($A33)=MONTH($A32),IF(G33=0,I32,G33),0)</f>
        <v>-487401</v>
      </c>
      <c r="J33" s="124" t="n">
        <f aca="false">IF(MONTH($A33)=MONTH($A32),SUM(I33-I32),I33)</f>
        <v>0</v>
      </c>
      <c r="K33" s="124" t="n">
        <f aca="false">IF(WEEKDAY(A33,3)&gt;4,0,(IF(A33&lt;K$2,0,IF(A33&lt;=K$3,1,0))))</f>
        <v>0</v>
      </c>
      <c r="L33" s="124" t="n">
        <f aca="false">J33*K33</f>
        <v>0</v>
      </c>
      <c r="M33" s="124" t="n">
        <f aca="false">SUM(J$6:J33)</f>
        <v>-487401</v>
      </c>
      <c r="N33" s="124" t="n">
        <f aca="false">SUM(J$6:J33)</f>
        <v>-487401</v>
      </c>
      <c r="P33" s="124" t="n">
        <f aca="false">D33/P$3</f>
        <v>0</v>
      </c>
      <c r="Q33" s="124" t="n">
        <f aca="false">E33/P$3</f>
        <v>0</v>
      </c>
      <c r="R33" s="124" t="n">
        <f aca="false">F33/R$3</f>
        <v>0</v>
      </c>
      <c r="S33" s="126" t="n">
        <f aca="false">J33/$R$3</f>
        <v>0</v>
      </c>
      <c r="T33" s="126" t="n">
        <f aca="false">L33/$R$3</f>
        <v>0</v>
      </c>
      <c r="U33" s="126" t="n">
        <f aca="false">I33/$R$3</f>
        <v>-487.401</v>
      </c>
      <c r="V33" s="126" t="n">
        <f aca="false">M33/$R$3</f>
        <v>-487.401</v>
      </c>
      <c r="W33" s="126" t="n">
        <f aca="false">N33/$R$3</f>
        <v>-487.401</v>
      </c>
    </row>
    <row r="34" customFormat="false" ht="12.75" hidden="true" customHeight="false" outlineLevel="0" collapsed="false">
      <c r="A34" s="120" t="n">
        <f aca="false">A33+1</f>
        <v>36920</v>
      </c>
      <c r="B34" s="131" t="str">
        <f aca="false">INDEX('[4]Master Data'!$A$2:$B$8,MATCH(WEEKDAY('TBS CRD MTM'!A34,3),'[4]Master Data'!$A$2:$A$8,0),2)</f>
        <v>M</v>
      </c>
      <c r="D34" s="124" t="n">
        <v>-380</v>
      </c>
      <c r="E34" s="124" t="n">
        <v>0</v>
      </c>
      <c r="F34" s="124" t="n">
        <v>0</v>
      </c>
      <c r="G34" s="124" t="n">
        <v>-394429</v>
      </c>
      <c r="I34" s="124" t="n">
        <f aca="false">IF(MONTH($A34)=MONTH($A33),IF(G34=0,I33,G34),0)</f>
        <v>-394429</v>
      </c>
      <c r="J34" s="124" t="n">
        <f aca="false">IF(MONTH($A34)=MONTH($A33),SUM(I34-I33),I34)</f>
        <v>92972</v>
      </c>
      <c r="K34" s="124" t="n">
        <f aca="false">IF(WEEKDAY(A34,3)&gt;4,0,(IF(A34&lt;K$2,0,IF(A34&lt;=K$3,1,0))))</f>
        <v>0</v>
      </c>
      <c r="L34" s="124" t="n">
        <f aca="false">J34*K34</f>
        <v>0</v>
      </c>
      <c r="M34" s="124" t="n">
        <f aca="false">SUM(J$6:J34)</f>
        <v>-394429</v>
      </c>
      <c r="N34" s="124" t="n">
        <f aca="false">SUM(J$6:J34)</f>
        <v>-394429</v>
      </c>
      <c r="P34" s="124" t="n">
        <f aca="false">D34/P$3</f>
        <v>-0.38</v>
      </c>
      <c r="Q34" s="124" t="n">
        <f aca="false">E34/P$3</f>
        <v>0</v>
      </c>
      <c r="R34" s="124" t="n">
        <f aca="false">F34/R$3</f>
        <v>0</v>
      </c>
      <c r="S34" s="126" t="n">
        <f aca="false">J34/$R$3</f>
        <v>92.972</v>
      </c>
      <c r="T34" s="126" t="n">
        <f aca="false">L34/$R$3</f>
        <v>0</v>
      </c>
      <c r="U34" s="126" t="n">
        <f aca="false">I34/$R$3</f>
        <v>-394.429</v>
      </c>
      <c r="V34" s="126" t="n">
        <f aca="false">M34/$R$3</f>
        <v>-394.429</v>
      </c>
      <c r="W34" s="126" t="n">
        <f aca="false">N34/$R$3</f>
        <v>-394.429</v>
      </c>
    </row>
    <row r="35" customFormat="false" ht="12.75" hidden="true" customHeight="false" outlineLevel="0" collapsed="false">
      <c r="A35" s="120" t="n">
        <f aca="false">A34+1</f>
        <v>36921</v>
      </c>
      <c r="B35" s="131" t="str">
        <f aca="false">INDEX('[4]Master Data'!$A$2:$B$8,MATCH(WEEKDAY('TBS CRD MTM'!A35,3),'[4]Master Data'!$A$2:$A$8,0),2)</f>
        <v>T</v>
      </c>
      <c r="D35" s="124" t="n">
        <v>-383</v>
      </c>
      <c r="E35" s="124" t="n">
        <v>0</v>
      </c>
      <c r="F35" s="124" t="n">
        <v>0</v>
      </c>
      <c r="G35" s="124" t="n">
        <v>-464010</v>
      </c>
      <c r="I35" s="124" t="n">
        <f aca="false">IF(MONTH($A35)=MONTH($A34),IF(G35=0,I34,G35),0)</f>
        <v>-464010</v>
      </c>
      <c r="J35" s="124" t="n">
        <f aca="false">IF(MONTH($A35)=MONTH($A34),SUM(I35-I34),I35)</f>
        <v>-69581</v>
      </c>
      <c r="K35" s="124" t="n">
        <f aca="false">IF(WEEKDAY(A35,3)&gt;4,0,(IF(A35&lt;K$2,0,IF(A35&lt;=K$3,1,0))))</f>
        <v>0</v>
      </c>
      <c r="L35" s="124" t="n">
        <f aca="false">J35*K35</f>
        <v>-0</v>
      </c>
      <c r="M35" s="124" t="n">
        <f aca="false">SUM(J$6:J35)</f>
        <v>-464010</v>
      </c>
      <c r="N35" s="124" t="n">
        <f aca="false">SUM(J$6:J35)</f>
        <v>-464010</v>
      </c>
      <c r="P35" s="124" t="n">
        <f aca="false">D35/P$3</f>
        <v>-0.383</v>
      </c>
      <c r="Q35" s="124" t="n">
        <f aca="false">E35/P$3</f>
        <v>0</v>
      </c>
      <c r="R35" s="124" t="n">
        <f aca="false">F35/R$3</f>
        <v>0</v>
      </c>
      <c r="S35" s="126" t="n">
        <f aca="false">J35/$R$3</f>
        <v>-69.581</v>
      </c>
      <c r="T35" s="126" t="n">
        <f aca="false">L35/$R$3</f>
        <v>-0</v>
      </c>
      <c r="U35" s="126" t="n">
        <f aca="false">I35/$R$3</f>
        <v>-464.01</v>
      </c>
      <c r="V35" s="126" t="n">
        <f aca="false">M35/$R$3</f>
        <v>-464.01</v>
      </c>
      <c r="W35" s="126" t="n">
        <f aca="false">N35/$R$3</f>
        <v>-464.01</v>
      </c>
    </row>
    <row r="36" customFormat="false" ht="12.75" hidden="false" customHeight="false" outlineLevel="0" collapsed="false">
      <c r="A36" s="120" t="n">
        <f aca="false">A35+1</f>
        <v>36922</v>
      </c>
      <c r="B36" s="131" t="str">
        <f aca="false">INDEX('[4]Master Data'!$A$2:$B$8,MATCH(WEEKDAY('TBS CRD MTM'!A36,3),'[4]Master Data'!$A$2:$A$8,0),2)</f>
        <v>W</v>
      </c>
      <c r="D36" s="124" t="n">
        <v>-390</v>
      </c>
      <c r="E36" s="124" t="n">
        <v>0</v>
      </c>
      <c r="F36" s="124" t="n">
        <v>0</v>
      </c>
      <c r="G36" s="124" t="n">
        <v>-483627</v>
      </c>
      <c r="I36" s="124" t="n">
        <f aca="false">IF(MONTH($A36)=MONTH($A35),IF(G36=0,I35,G36),0)</f>
        <v>-483627</v>
      </c>
      <c r="J36" s="124" t="n">
        <f aca="false">IF(MONTH($A36)=MONTH($A35),SUM(I36-I35),I36)</f>
        <v>-19617</v>
      </c>
      <c r="K36" s="124" t="n">
        <f aca="false">IF(WEEKDAY(A36,3)&gt;4,0,(IF(A36&lt;K$2,0,IF(A36&lt;=K$3,1,0))))</f>
        <v>0</v>
      </c>
      <c r="L36" s="124" t="n">
        <f aca="false">J36*K36</f>
        <v>-0</v>
      </c>
      <c r="M36" s="124" t="n">
        <f aca="false">SUM(J$6:J36)</f>
        <v>-483627</v>
      </c>
      <c r="N36" s="124" t="n">
        <f aca="false">SUM(J$6:J36)</f>
        <v>-483627</v>
      </c>
      <c r="P36" s="148" t="n">
        <f aca="false">D36/P$3</f>
        <v>-0.39</v>
      </c>
      <c r="Q36" s="124" t="n">
        <f aca="false">E36/P$3</f>
        <v>0</v>
      </c>
      <c r="R36" s="124" t="n">
        <f aca="false">F36/R$3</f>
        <v>0</v>
      </c>
      <c r="S36" s="126" t="n">
        <f aca="false">J36/$R$3</f>
        <v>-19.617</v>
      </c>
      <c r="T36" s="126" t="n">
        <f aca="false">L36/$R$3</f>
        <v>-0</v>
      </c>
      <c r="U36" s="126" t="n">
        <f aca="false">I36/$R$3</f>
        <v>-483.627</v>
      </c>
      <c r="V36" s="126" t="n">
        <f aca="false">M36/$R$3</f>
        <v>-483.627</v>
      </c>
      <c r="W36" s="126" t="n">
        <f aca="false">N36/$R$3</f>
        <v>-483.627</v>
      </c>
    </row>
    <row r="37" customFormat="false" ht="12.75" hidden="true" customHeight="false" outlineLevel="0" collapsed="false">
      <c r="A37" s="120" t="n">
        <f aca="false">A36+1</f>
        <v>36923</v>
      </c>
      <c r="B37" s="131" t="str">
        <f aca="false">INDEX('[4]Master Data'!$A$2:$B$8,MATCH(WEEKDAY('TBS CRD MTM'!A37,3),'[4]Master Data'!$A$2:$A$8,0),2)</f>
        <v>Th</v>
      </c>
      <c r="D37" s="124" t="n">
        <v>-374</v>
      </c>
      <c r="E37" s="124" t="n">
        <v>0</v>
      </c>
      <c r="F37" s="124" t="n">
        <v>0</v>
      </c>
      <c r="G37" s="124" t="n">
        <v>-222176</v>
      </c>
      <c r="I37" s="124" t="n">
        <f aca="false">IF(MONTH($A37)=MONTH($A36),IF(G37=0,I36,G37),G37)</f>
        <v>-222176</v>
      </c>
      <c r="J37" s="124" t="n">
        <f aca="false">IF(MONTH($A37)=MONTH($A36),SUM(I37-I36),I37)</f>
        <v>-222176</v>
      </c>
      <c r="K37" s="124" t="n">
        <f aca="false">IF(WEEKDAY(A37,3)&gt;4,0,(IF(A37&lt;K$2,0,IF(A37&lt;=K$3,1,0))))</f>
        <v>0</v>
      </c>
      <c r="L37" s="124" t="n">
        <f aca="false">J37*K37</f>
        <v>-0</v>
      </c>
      <c r="M37" s="124" t="n">
        <f aca="false">SUM(J$6:J37)</f>
        <v>-705803</v>
      </c>
      <c r="N37" s="124" t="n">
        <f aca="false">SUM(J$6:J37)</f>
        <v>-705803</v>
      </c>
      <c r="P37" s="148" t="n">
        <f aca="false">D37/P$3</f>
        <v>-0.374</v>
      </c>
      <c r="Q37" s="124" t="n">
        <f aca="false">E37/P$3</f>
        <v>0</v>
      </c>
      <c r="R37" s="124" t="n">
        <f aca="false">F37/R$3</f>
        <v>0</v>
      </c>
      <c r="S37" s="126" t="n">
        <f aca="false">J37/$R$3</f>
        <v>-222.176</v>
      </c>
      <c r="T37" s="126" t="n">
        <f aca="false">L37/$R$3</f>
        <v>-0</v>
      </c>
      <c r="U37" s="126" t="n">
        <f aca="false">I37/$R$3</f>
        <v>-222.176</v>
      </c>
      <c r="V37" s="126" t="n">
        <f aca="false">M37/$R$3</f>
        <v>-705.803</v>
      </c>
      <c r="W37" s="126" t="n">
        <f aca="false">N37/$R$3</f>
        <v>-705.803</v>
      </c>
    </row>
    <row r="38" customFormat="false" ht="12.75" hidden="true" customHeight="false" outlineLevel="0" collapsed="false">
      <c r="A38" s="120" t="n">
        <f aca="false">A37+1</f>
        <v>36924</v>
      </c>
      <c r="B38" s="131" t="str">
        <f aca="false">INDEX('[4]Master Data'!$A$2:$B$8,MATCH(WEEKDAY('TBS CRD MTM'!A38,3),'[4]Master Data'!$A$2:$A$8,0),2)</f>
        <v>F</v>
      </c>
      <c r="D38" s="124" t="n">
        <v>-345</v>
      </c>
      <c r="E38" s="124" t="n">
        <v>0</v>
      </c>
      <c r="F38" s="124" t="n">
        <v>0</v>
      </c>
      <c r="G38" s="124" t="n">
        <v>-368655</v>
      </c>
      <c r="I38" s="124" t="n">
        <f aca="false">IF(MONTH($A38)=MONTH($A37),IF(G38=0,I37,G38),G38)</f>
        <v>-368655</v>
      </c>
      <c r="J38" s="124" t="n">
        <f aca="false">IF(MONTH($A38)=MONTH($A37),SUM(I38-I37),I38)</f>
        <v>-146479</v>
      </c>
      <c r="K38" s="124" t="n">
        <f aca="false">IF(WEEKDAY(A38,3)&gt;4,0,(IF(A38&lt;K$2,0,IF(A38&lt;=K$3,1,0))))</f>
        <v>0</v>
      </c>
      <c r="L38" s="124" t="n">
        <f aca="false">J38*K38</f>
        <v>-0</v>
      </c>
      <c r="M38" s="124" t="n">
        <f aca="false">SUM(J$6:J38)</f>
        <v>-852282</v>
      </c>
      <c r="N38" s="124" t="n">
        <f aca="false">SUM(J$6:J38)</f>
        <v>-852282</v>
      </c>
      <c r="P38" s="148" t="n">
        <f aca="false">D38/P$3</f>
        <v>-0.345</v>
      </c>
      <c r="Q38" s="124" t="n">
        <f aca="false">E38/P$3</f>
        <v>0</v>
      </c>
      <c r="R38" s="124" t="n">
        <f aca="false">F38/R$3</f>
        <v>0</v>
      </c>
      <c r="S38" s="126" t="n">
        <f aca="false">J38/$R$3</f>
        <v>-146.479</v>
      </c>
      <c r="T38" s="126" t="n">
        <f aca="false">L38/$R$3</f>
        <v>-0</v>
      </c>
      <c r="U38" s="126" t="n">
        <f aca="false">I38/$R$3</f>
        <v>-368.655</v>
      </c>
      <c r="V38" s="126" t="n">
        <f aca="false">M38/$R$3</f>
        <v>-852.282</v>
      </c>
      <c r="W38" s="126" t="n">
        <f aca="false">N38/$R$3</f>
        <v>-852.282</v>
      </c>
    </row>
    <row r="39" customFormat="false" ht="12.75" hidden="true" customHeight="false" outlineLevel="0" collapsed="false">
      <c r="A39" s="120" t="n">
        <f aca="false">A38+1</f>
        <v>36925</v>
      </c>
      <c r="B39" s="131" t="str">
        <f aca="false">INDEX('[4]Master Data'!$A$2:$B$8,MATCH(WEEKDAY('TBS CRD MTM'!A39,3),'[4]Master Data'!$A$2:$A$8,0),2)</f>
        <v>Sa</v>
      </c>
      <c r="D39" s="124" t="n">
        <v>0</v>
      </c>
      <c r="E39" s="124" t="n">
        <v>0</v>
      </c>
      <c r="F39" s="124" t="n">
        <v>0</v>
      </c>
      <c r="G39" s="124" t="n">
        <v>0</v>
      </c>
      <c r="I39" s="124" t="n">
        <f aca="false">IF(MONTH($A39)=MONTH($A38),IF(G39=0,I38,G39),G39)</f>
        <v>-368655</v>
      </c>
      <c r="J39" s="124" t="n">
        <f aca="false">IF(MONTH($A39)=MONTH($A38),SUM(I39-I38),I39)</f>
        <v>0</v>
      </c>
      <c r="K39" s="124" t="n">
        <f aca="false">IF(WEEKDAY(A39,3)&gt;4,0,(IF(A39&lt;K$2,0,IF(A39&lt;=K$3,1,0))))</f>
        <v>0</v>
      </c>
      <c r="L39" s="124" t="n">
        <f aca="false">J39*K39</f>
        <v>0</v>
      </c>
      <c r="M39" s="124" t="n">
        <f aca="false">SUM(J$6:J39)</f>
        <v>-852282</v>
      </c>
      <c r="N39" s="124" t="n">
        <f aca="false">SUM(J$6:J39)</f>
        <v>-852282</v>
      </c>
      <c r="P39" s="148" t="n">
        <f aca="false">D39/P$3</f>
        <v>0</v>
      </c>
      <c r="Q39" s="124" t="n">
        <f aca="false">E39/P$3</f>
        <v>0</v>
      </c>
      <c r="R39" s="124" t="n">
        <f aca="false">F39/R$3</f>
        <v>0</v>
      </c>
      <c r="S39" s="126" t="n">
        <f aca="false">J39/$R$3</f>
        <v>0</v>
      </c>
      <c r="T39" s="126" t="n">
        <f aca="false">L39/$R$3</f>
        <v>0</v>
      </c>
      <c r="U39" s="126" t="n">
        <f aca="false">I39/$R$3</f>
        <v>-368.655</v>
      </c>
      <c r="V39" s="126" t="n">
        <f aca="false">M39/$R$3</f>
        <v>-852.282</v>
      </c>
      <c r="W39" s="126" t="n">
        <f aca="false">N39/$R$3</f>
        <v>-852.282</v>
      </c>
    </row>
    <row r="40" customFormat="false" ht="12.75" hidden="true" customHeight="false" outlineLevel="0" collapsed="false">
      <c r="A40" s="120" t="n">
        <f aca="false">A39+1</f>
        <v>36926</v>
      </c>
      <c r="B40" s="131" t="str">
        <f aca="false">INDEX('[4]Master Data'!$A$2:$B$8,MATCH(WEEKDAY('TBS CRD MTM'!A40,3),'[4]Master Data'!$A$2:$A$8,0),2)</f>
        <v>Su</v>
      </c>
      <c r="D40" s="124" t="n">
        <v>0</v>
      </c>
      <c r="E40" s="124" t="n">
        <v>0</v>
      </c>
      <c r="F40" s="124" t="n">
        <v>0</v>
      </c>
      <c r="G40" s="124" t="n">
        <v>0</v>
      </c>
      <c r="I40" s="124" t="n">
        <f aca="false">IF(MONTH($A40)=MONTH($A39),IF(G40=0,I39,G40),G40)</f>
        <v>-368655</v>
      </c>
      <c r="J40" s="124" t="n">
        <f aca="false">IF(MONTH($A40)=MONTH($A39),SUM(I40-I39),I40)</f>
        <v>0</v>
      </c>
      <c r="K40" s="124" t="n">
        <f aca="false">IF(WEEKDAY(A40,3)&gt;4,0,(IF(A40&lt;K$2,0,IF(A40&lt;=K$3,1,0))))</f>
        <v>0</v>
      </c>
      <c r="L40" s="124" t="n">
        <f aca="false">J40*K40</f>
        <v>0</v>
      </c>
      <c r="M40" s="124" t="n">
        <f aca="false">SUM(J$6:J40)</f>
        <v>-852282</v>
      </c>
      <c r="N40" s="124" t="n">
        <f aca="false">SUM(J$6:J40)</f>
        <v>-852282</v>
      </c>
      <c r="P40" s="148" t="n">
        <f aca="false">D40/P$3</f>
        <v>0</v>
      </c>
      <c r="Q40" s="124" t="n">
        <f aca="false">E40/P$3</f>
        <v>0</v>
      </c>
      <c r="R40" s="124" t="n">
        <f aca="false">F40/R$3</f>
        <v>0</v>
      </c>
      <c r="S40" s="126" t="n">
        <f aca="false">J40/$R$3</f>
        <v>0</v>
      </c>
      <c r="T40" s="126" t="n">
        <f aca="false">L40/$R$3</f>
        <v>0</v>
      </c>
      <c r="U40" s="126" t="n">
        <f aca="false">I40/$R$3</f>
        <v>-368.655</v>
      </c>
      <c r="V40" s="126" t="n">
        <f aca="false">M40/$R$3</f>
        <v>-852.282</v>
      </c>
      <c r="W40" s="126" t="n">
        <f aca="false">N40/$R$3</f>
        <v>-852.282</v>
      </c>
    </row>
    <row r="41" customFormat="false" ht="12.75" hidden="true" customHeight="false" outlineLevel="0" collapsed="false">
      <c r="A41" s="120" t="n">
        <f aca="false">A40+1</f>
        <v>36927</v>
      </c>
      <c r="B41" s="131" t="str">
        <f aca="false">INDEX('[4]Master Data'!$A$2:$B$8,MATCH(WEEKDAY('TBS CRD MTM'!A41,3),'[4]Master Data'!$A$2:$A$8,0),2)</f>
        <v>M</v>
      </c>
      <c r="D41" s="124" t="n">
        <v>-360</v>
      </c>
      <c r="E41" s="124" t="n">
        <v>0</v>
      </c>
      <c r="F41" s="124" t="n">
        <v>0</v>
      </c>
      <c r="G41" s="124" t="n">
        <v>-216078</v>
      </c>
      <c r="I41" s="124" t="n">
        <f aca="false">IF(MONTH($A41)=MONTH($A40),IF(G41=0,I40,G41),G41)</f>
        <v>-216078</v>
      </c>
      <c r="J41" s="124" t="n">
        <f aca="false">IF(MONTH($A41)=MONTH($A40),SUM(I41-I40),I41)</f>
        <v>152577</v>
      </c>
      <c r="K41" s="124" t="n">
        <f aca="false">IF(WEEKDAY(A41,3)&gt;4,0,(IF(A41&lt;K$2,0,IF(A41&lt;=K$3,1,0))))</f>
        <v>0</v>
      </c>
      <c r="L41" s="124" t="n">
        <f aca="false">J41*K41</f>
        <v>0</v>
      </c>
      <c r="M41" s="124" t="n">
        <f aca="false">SUM(J$6:J41)</f>
        <v>-699705</v>
      </c>
      <c r="N41" s="124" t="n">
        <f aca="false">SUM(J$6:J41)</f>
        <v>-699705</v>
      </c>
      <c r="P41" s="148" t="n">
        <f aca="false">D41/P$3</f>
        <v>-0.36</v>
      </c>
      <c r="Q41" s="124" t="n">
        <f aca="false">E41/P$3</f>
        <v>0</v>
      </c>
      <c r="R41" s="124" t="n">
        <f aca="false">F41/R$3</f>
        <v>0</v>
      </c>
      <c r="S41" s="126" t="n">
        <f aca="false">J41/$R$3</f>
        <v>152.577</v>
      </c>
      <c r="T41" s="126" t="n">
        <f aca="false">L41/$R$3</f>
        <v>0</v>
      </c>
      <c r="U41" s="126" t="n">
        <f aca="false">I41/$R$3</f>
        <v>-216.078</v>
      </c>
      <c r="V41" s="126" t="n">
        <f aca="false">M41/$R$3</f>
        <v>-699.705</v>
      </c>
      <c r="W41" s="126" t="n">
        <f aca="false">N41/$R$3</f>
        <v>-699.705</v>
      </c>
    </row>
    <row r="42" customFormat="false" ht="12.75" hidden="true" customHeight="false" outlineLevel="0" collapsed="false">
      <c r="A42" s="120" t="n">
        <f aca="false">A41+1</f>
        <v>36928</v>
      </c>
      <c r="B42" s="131" t="str">
        <f aca="false">INDEX('[4]Master Data'!$A$2:$B$8,MATCH(WEEKDAY('TBS CRD MTM'!A42,3),'[4]Master Data'!$A$2:$A$8,0),2)</f>
        <v>T</v>
      </c>
      <c r="D42" s="124" t="n">
        <v>-365</v>
      </c>
      <c r="E42" s="124" t="n">
        <v>0</v>
      </c>
      <c r="F42" s="124" t="n">
        <v>0</v>
      </c>
      <c r="G42" s="124" t="n">
        <v>-185029</v>
      </c>
      <c r="I42" s="124" t="n">
        <f aca="false">IF(MONTH($A42)=MONTH($A41),IF(G42=0,I41,G42),G42)</f>
        <v>-185029</v>
      </c>
      <c r="J42" s="124" t="n">
        <f aca="false">IF(MONTH($A42)=MONTH($A41),SUM(I42-I41),I42)</f>
        <v>31049</v>
      </c>
      <c r="K42" s="124" t="n">
        <f aca="false">IF(WEEKDAY(A42,3)&gt;4,0,(IF(A42&lt;K$2,0,IF(A42&lt;=K$3,1,0))))</f>
        <v>0</v>
      </c>
      <c r="L42" s="124" t="n">
        <f aca="false">J42*K42</f>
        <v>0</v>
      </c>
      <c r="M42" s="124" t="n">
        <f aca="false">SUM(J$6:J42)</f>
        <v>-668656</v>
      </c>
      <c r="N42" s="124" t="n">
        <f aca="false">SUM(J$6:J42)</f>
        <v>-668656</v>
      </c>
      <c r="P42" s="148" t="n">
        <f aca="false">D42/P$3</f>
        <v>-0.365</v>
      </c>
      <c r="Q42" s="124" t="n">
        <f aca="false">E42/P$3</f>
        <v>0</v>
      </c>
      <c r="R42" s="124" t="n">
        <f aca="false">F42/R$3</f>
        <v>0</v>
      </c>
      <c r="S42" s="126" t="n">
        <f aca="false">J42/$R$3</f>
        <v>31.049</v>
      </c>
      <c r="T42" s="126" t="n">
        <f aca="false">L42/$R$3</f>
        <v>0</v>
      </c>
      <c r="U42" s="126" t="n">
        <f aca="false">I42/$R$3</f>
        <v>-185.029</v>
      </c>
      <c r="V42" s="126" t="n">
        <f aca="false">M42/$R$3</f>
        <v>-668.656</v>
      </c>
      <c r="W42" s="126" t="n">
        <f aca="false">N42/$R$3</f>
        <v>-668.656</v>
      </c>
    </row>
    <row r="43" customFormat="false" ht="12.75" hidden="true" customHeight="false" outlineLevel="0" collapsed="false">
      <c r="A43" s="120" t="n">
        <f aca="false">A42+1</f>
        <v>36929</v>
      </c>
      <c r="B43" s="131" t="str">
        <f aca="false">INDEX('[4]Master Data'!$A$2:$B$8,MATCH(WEEKDAY('TBS CRD MTM'!A43,3),'[4]Master Data'!$A$2:$A$8,0),2)</f>
        <v>W</v>
      </c>
      <c r="D43" s="124" t="n">
        <v>-338</v>
      </c>
      <c r="E43" s="124" t="n">
        <v>0</v>
      </c>
      <c r="F43" s="124" t="n">
        <v>0</v>
      </c>
      <c r="G43" s="124" t="n">
        <v>-443026</v>
      </c>
      <c r="I43" s="124" t="n">
        <f aca="false">IF(MONTH($A43)=MONTH($A42),IF(G43=0,I42,G43),G43)</f>
        <v>-443026</v>
      </c>
      <c r="J43" s="124" t="n">
        <f aca="false">IF(MONTH($A43)=MONTH($A42),SUM(I43-I42),I43)</f>
        <v>-257997</v>
      </c>
      <c r="K43" s="124" t="n">
        <f aca="false">IF(WEEKDAY(A43,3)&gt;4,0,(IF(A43&lt;K$2,0,IF(A43&lt;=K$3,1,0))))</f>
        <v>0</v>
      </c>
      <c r="L43" s="124" t="n">
        <f aca="false">J43*K43</f>
        <v>-0</v>
      </c>
      <c r="M43" s="124" t="n">
        <f aca="false">SUM(J$6:J43)</f>
        <v>-926653</v>
      </c>
      <c r="N43" s="124" t="n">
        <f aca="false">SUM(J$6:J43)</f>
        <v>-926653</v>
      </c>
      <c r="P43" s="148" t="n">
        <f aca="false">D43/P$3</f>
        <v>-0.338</v>
      </c>
      <c r="Q43" s="124" t="n">
        <f aca="false">E43/P$3</f>
        <v>0</v>
      </c>
      <c r="R43" s="124" t="n">
        <f aca="false">F43/R$3</f>
        <v>0</v>
      </c>
      <c r="S43" s="126" t="n">
        <f aca="false">J43/$R$3</f>
        <v>-257.997</v>
      </c>
      <c r="T43" s="126" t="n">
        <f aca="false">L43/$R$3</f>
        <v>-0</v>
      </c>
      <c r="U43" s="126" t="n">
        <f aca="false">I43/$R$3</f>
        <v>-443.026</v>
      </c>
      <c r="V43" s="126" t="n">
        <f aca="false">M43/$R$3</f>
        <v>-926.653</v>
      </c>
      <c r="W43" s="126" t="n">
        <f aca="false">N43/$R$3</f>
        <v>-926.653</v>
      </c>
    </row>
    <row r="44" customFormat="false" ht="12.75" hidden="true" customHeight="false" outlineLevel="0" collapsed="false">
      <c r="A44" s="120" t="n">
        <f aca="false">A43+1</f>
        <v>36930</v>
      </c>
      <c r="B44" s="131" t="str">
        <f aca="false">INDEX('[4]Master Data'!$A$2:$B$8,MATCH(WEEKDAY('TBS CRD MTM'!A44,3),'[4]Master Data'!$A$2:$A$8,0),2)</f>
        <v>Th</v>
      </c>
      <c r="D44" s="124" t="n">
        <v>-339</v>
      </c>
      <c r="E44" s="124" t="n">
        <v>0</v>
      </c>
      <c r="F44" s="124" t="n">
        <v>0</v>
      </c>
      <c r="G44" s="124" t="n">
        <v>-412009</v>
      </c>
      <c r="I44" s="124" t="n">
        <f aca="false">IF(MONTH($A44)=MONTH($A43),IF(G44=0,I43,G44),G44)</f>
        <v>-412009</v>
      </c>
      <c r="J44" s="124" t="n">
        <f aca="false">IF(MONTH($A44)=MONTH($A43),SUM(I44-I43),I44)</f>
        <v>31017</v>
      </c>
      <c r="K44" s="124" t="n">
        <f aca="false">IF(WEEKDAY(A44,3)&gt;4,0,(IF(A44&lt;K$2,0,IF(A44&lt;=K$3,1,0))))</f>
        <v>0</v>
      </c>
      <c r="L44" s="124" t="n">
        <f aca="false">J44*K44</f>
        <v>0</v>
      </c>
      <c r="M44" s="124" t="n">
        <f aca="false">SUM(J$6:J44)</f>
        <v>-895636</v>
      </c>
      <c r="N44" s="124" t="n">
        <f aca="false">SUM(J$6:J44)</f>
        <v>-895636</v>
      </c>
      <c r="P44" s="148" t="n">
        <f aca="false">D44/P$3</f>
        <v>-0.339</v>
      </c>
      <c r="Q44" s="124" t="n">
        <f aca="false">E44/P$3</f>
        <v>0</v>
      </c>
      <c r="R44" s="124" t="n">
        <f aca="false">F44/R$3</f>
        <v>0</v>
      </c>
      <c r="S44" s="126" t="n">
        <f aca="false">J44/$R$3</f>
        <v>31.017</v>
      </c>
      <c r="T44" s="126" t="n">
        <f aca="false">L44/$R$3</f>
        <v>0</v>
      </c>
      <c r="U44" s="126" t="n">
        <f aca="false">I44/$R$3</f>
        <v>-412.009</v>
      </c>
      <c r="V44" s="126" t="n">
        <f aca="false">M44/$R$3</f>
        <v>-895.636</v>
      </c>
      <c r="W44" s="126" t="n">
        <f aca="false">N44/$R$3</f>
        <v>-895.636</v>
      </c>
    </row>
    <row r="45" customFormat="false" ht="12.75" hidden="true" customHeight="false" outlineLevel="0" collapsed="false">
      <c r="A45" s="120" t="n">
        <f aca="false">A44+1</f>
        <v>36931</v>
      </c>
      <c r="B45" s="131" t="str">
        <f aca="false">INDEX('[4]Master Data'!$A$2:$B$8,MATCH(WEEKDAY('TBS CRD MTM'!A45,3),'[4]Master Data'!$A$2:$A$8,0),2)</f>
        <v>F</v>
      </c>
      <c r="D45" s="124" t="n">
        <v>-351</v>
      </c>
      <c r="E45" s="124" t="n">
        <v>0</v>
      </c>
      <c r="F45" s="124" t="n">
        <v>0</v>
      </c>
      <c r="G45" s="124" t="n">
        <v>-326742</v>
      </c>
      <c r="I45" s="124" t="n">
        <f aca="false">IF(MONTH($A45)=MONTH($A44),IF(G45=0,I44,G45),G45)</f>
        <v>-326742</v>
      </c>
      <c r="J45" s="124" t="n">
        <f aca="false">IF(MONTH($A45)=MONTH($A44),SUM(I45-I44),I45)</f>
        <v>85267</v>
      </c>
      <c r="K45" s="124" t="n">
        <f aca="false">IF(WEEKDAY(A45,3)&gt;4,0,(IF(A45&lt;K$2,0,IF(A45&lt;=K$3,1,0))))</f>
        <v>0</v>
      </c>
      <c r="L45" s="124" t="n">
        <f aca="false">J45*K45</f>
        <v>0</v>
      </c>
      <c r="M45" s="124" t="n">
        <f aca="false">SUM(J$6:J45)</f>
        <v>-810369</v>
      </c>
      <c r="N45" s="124" t="n">
        <f aca="false">SUM(J$6:J45)</f>
        <v>-810369</v>
      </c>
      <c r="P45" s="148" t="n">
        <f aca="false">D45/P$3</f>
        <v>-0.351</v>
      </c>
      <c r="Q45" s="124" t="n">
        <f aca="false">E45/P$3</f>
        <v>0</v>
      </c>
      <c r="R45" s="124" t="n">
        <f aca="false">F45/R$3</f>
        <v>0</v>
      </c>
      <c r="S45" s="126" t="n">
        <f aca="false">J45/$R$3</f>
        <v>85.267</v>
      </c>
      <c r="T45" s="126" t="n">
        <f aca="false">L45/$R$3</f>
        <v>0</v>
      </c>
      <c r="U45" s="126" t="n">
        <f aca="false">I45/$R$3</f>
        <v>-326.742</v>
      </c>
      <c r="V45" s="126" t="n">
        <f aca="false">M45/$R$3</f>
        <v>-810.369</v>
      </c>
      <c r="W45" s="126" t="n">
        <f aca="false">N45/$R$3</f>
        <v>-810.369</v>
      </c>
    </row>
    <row r="46" customFormat="false" ht="12.75" hidden="true" customHeight="false" outlineLevel="0" collapsed="false">
      <c r="A46" s="120" t="n">
        <f aca="false">A45+1</f>
        <v>36932</v>
      </c>
      <c r="B46" s="131" t="str">
        <f aca="false">INDEX('[4]Master Data'!$A$2:$B$8,MATCH(WEEKDAY('TBS CRD MTM'!A46,3),'[4]Master Data'!$A$2:$A$8,0),2)</f>
        <v>Sa</v>
      </c>
      <c r="D46" s="124" t="n">
        <v>0</v>
      </c>
      <c r="E46" s="124" t="n">
        <v>0</v>
      </c>
      <c r="F46" s="124" t="n">
        <v>0</v>
      </c>
      <c r="G46" s="124" t="n">
        <v>0</v>
      </c>
      <c r="I46" s="124" t="n">
        <f aca="false">IF(MONTH($A46)=MONTH($A45),IF(G46=0,I45,G46),G46)</f>
        <v>-326742</v>
      </c>
      <c r="J46" s="124" t="n">
        <f aca="false">IF(MONTH($A46)=MONTH($A45),SUM(I46-I45),I46)</f>
        <v>0</v>
      </c>
      <c r="K46" s="124" t="n">
        <f aca="false">IF(WEEKDAY(A46,3)&gt;4,0,(IF(A46&lt;K$2,0,IF(A46&lt;=K$3,1,0))))</f>
        <v>0</v>
      </c>
      <c r="L46" s="124" t="n">
        <f aca="false">J46*K46</f>
        <v>0</v>
      </c>
      <c r="M46" s="124" t="n">
        <f aca="false">SUM(J$6:J46)</f>
        <v>-810369</v>
      </c>
      <c r="N46" s="124" t="n">
        <f aca="false">SUM(J$6:J46)</f>
        <v>-810369</v>
      </c>
      <c r="P46" s="148" t="n">
        <f aca="false">D46/P$3</f>
        <v>0</v>
      </c>
      <c r="Q46" s="124" t="n">
        <f aca="false">E46/P$3</f>
        <v>0</v>
      </c>
      <c r="R46" s="124" t="n">
        <f aca="false">F46/R$3</f>
        <v>0</v>
      </c>
      <c r="S46" s="126" t="n">
        <f aca="false">J46/$R$3</f>
        <v>0</v>
      </c>
      <c r="T46" s="126" t="n">
        <f aca="false">L46/$R$3</f>
        <v>0</v>
      </c>
      <c r="U46" s="126" t="n">
        <f aca="false">I46/$R$3</f>
        <v>-326.742</v>
      </c>
      <c r="V46" s="126" t="n">
        <f aca="false">M46/$R$3</f>
        <v>-810.369</v>
      </c>
      <c r="W46" s="126" t="n">
        <f aca="false">N46/$R$3</f>
        <v>-810.369</v>
      </c>
    </row>
    <row r="47" customFormat="false" ht="12.75" hidden="true" customHeight="false" outlineLevel="0" collapsed="false">
      <c r="A47" s="120" t="n">
        <f aca="false">A46+1</f>
        <v>36933</v>
      </c>
      <c r="B47" s="131" t="str">
        <f aca="false">INDEX('[4]Master Data'!$A$2:$B$8,MATCH(WEEKDAY('TBS CRD MTM'!A47,3),'[4]Master Data'!$A$2:$A$8,0),2)</f>
        <v>Su</v>
      </c>
      <c r="D47" s="124" t="n">
        <v>0</v>
      </c>
      <c r="E47" s="124" t="n">
        <v>0</v>
      </c>
      <c r="F47" s="124" t="n">
        <v>0</v>
      </c>
      <c r="G47" s="124" t="n">
        <v>0</v>
      </c>
      <c r="I47" s="124" t="n">
        <f aca="false">IF(MONTH($A47)=MONTH($A46),IF(G47=0,I46,G47),G47)</f>
        <v>-326742</v>
      </c>
      <c r="J47" s="124" t="n">
        <f aca="false">IF(MONTH($A47)=MONTH($A46),SUM(I47-I46),I47)</f>
        <v>0</v>
      </c>
      <c r="K47" s="124" t="n">
        <f aca="false">IF(WEEKDAY(A47,3)&gt;4,0,(IF(A47&lt;K$2,0,IF(A47&lt;=K$3,1,0))))</f>
        <v>0</v>
      </c>
      <c r="L47" s="124" t="n">
        <f aca="false">J47*K47</f>
        <v>0</v>
      </c>
      <c r="M47" s="124" t="n">
        <f aca="false">SUM(J$6:J47)</f>
        <v>-810369</v>
      </c>
      <c r="N47" s="124" t="n">
        <f aca="false">SUM(J$6:J47)</f>
        <v>-810369</v>
      </c>
      <c r="P47" s="148" t="n">
        <f aca="false">D47/P$3</f>
        <v>0</v>
      </c>
      <c r="Q47" s="124" t="n">
        <f aca="false">E47/P$3</f>
        <v>0</v>
      </c>
      <c r="R47" s="124" t="n">
        <f aca="false">F47/R$3</f>
        <v>0</v>
      </c>
      <c r="S47" s="126" t="n">
        <f aca="false">J47/$R$3</f>
        <v>0</v>
      </c>
      <c r="T47" s="126" t="n">
        <f aca="false">L47/$R$3</f>
        <v>0</v>
      </c>
      <c r="U47" s="126" t="n">
        <f aca="false">I47/$R$3</f>
        <v>-326.742</v>
      </c>
      <c r="V47" s="126" t="n">
        <f aca="false">M47/$R$3</f>
        <v>-810.369</v>
      </c>
      <c r="W47" s="126" t="n">
        <f aca="false">N47/$R$3</f>
        <v>-810.369</v>
      </c>
    </row>
    <row r="48" customFormat="false" ht="12.75" hidden="true" customHeight="false" outlineLevel="0" collapsed="false">
      <c r="A48" s="120" t="n">
        <f aca="false">A47+1</f>
        <v>36934</v>
      </c>
      <c r="B48" s="131" t="str">
        <f aca="false">INDEX('[4]Master Data'!$A$2:$B$8,MATCH(WEEKDAY('TBS CRD MTM'!A48,3),'[4]Master Data'!$A$2:$A$8,0),2)</f>
        <v>M</v>
      </c>
      <c r="D48" s="124" t="n">
        <v>-357</v>
      </c>
      <c r="E48" s="124" t="n">
        <v>0</v>
      </c>
      <c r="F48" s="124" t="n">
        <v>0</v>
      </c>
      <c r="G48" s="124" t="n">
        <v>-262337</v>
      </c>
      <c r="I48" s="124" t="n">
        <f aca="false">IF(MONTH($A48)=MONTH($A47),IF(G48=0,I47,G48),G48)</f>
        <v>-262337</v>
      </c>
      <c r="J48" s="124" t="n">
        <f aca="false">IF(MONTH($A48)=MONTH($A47),SUM(I48-I47),I48)</f>
        <v>64405</v>
      </c>
      <c r="K48" s="124" t="n">
        <f aca="false">IF(WEEKDAY(A48,3)&gt;4,0,(IF(A48&lt;K$2,0,IF(A48&lt;=K$3,1,0))))</f>
        <v>0</v>
      </c>
      <c r="L48" s="124" t="n">
        <f aca="false">J48*K48</f>
        <v>0</v>
      </c>
      <c r="M48" s="124" t="n">
        <f aca="false">SUM(J$6:J48)</f>
        <v>-745964</v>
      </c>
      <c r="N48" s="124" t="n">
        <f aca="false">SUM(J$6:J48)</f>
        <v>-745964</v>
      </c>
      <c r="P48" s="148" t="n">
        <f aca="false">D48/P$3</f>
        <v>-0.357</v>
      </c>
      <c r="Q48" s="124" t="n">
        <f aca="false">E48/P$3</f>
        <v>0</v>
      </c>
      <c r="R48" s="124" t="n">
        <f aca="false">F48/R$3</f>
        <v>0</v>
      </c>
      <c r="S48" s="126" t="n">
        <f aca="false">J48/$R$3</f>
        <v>64.405</v>
      </c>
      <c r="T48" s="126" t="n">
        <f aca="false">L48/$R$3</f>
        <v>0</v>
      </c>
      <c r="U48" s="126" t="n">
        <f aca="false">I48/$R$3</f>
        <v>-262.337</v>
      </c>
      <c r="V48" s="126" t="n">
        <f aca="false">M48/$R$3</f>
        <v>-745.964</v>
      </c>
      <c r="W48" s="126" t="n">
        <f aca="false">N48/$R$3</f>
        <v>-745.964</v>
      </c>
    </row>
    <row r="49" customFormat="false" ht="12.75" hidden="true" customHeight="false" outlineLevel="0" collapsed="false">
      <c r="A49" s="120" t="n">
        <f aca="false">A48+1</f>
        <v>36935</v>
      </c>
      <c r="B49" s="131" t="str">
        <f aca="false">INDEX('[4]Master Data'!$A$2:$B$8,MATCH(WEEKDAY('TBS CRD MTM'!A49,3),'[4]Master Data'!$A$2:$A$8,0),2)</f>
        <v>T</v>
      </c>
      <c r="D49" s="124" t="n">
        <v>-351</v>
      </c>
      <c r="E49" s="124" t="n">
        <v>0</v>
      </c>
      <c r="F49" s="124" t="n">
        <v>0</v>
      </c>
      <c r="G49" s="124" t="n">
        <v>-377004</v>
      </c>
      <c r="I49" s="124" t="n">
        <f aca="false">IF(MONTH($A49)=MONTH($A48),IF(G49=0,I48,G49),G49)</f>
        <v>-377004</v>
      </c>
      <c r="J49" s="124" t="n">
        <f aca="false">IF(MONTH($A49)=MONTH($A48),SUM(I49-I48),I49)</f>
        <v>-114667</v>
      </c>
      <c r="K49" s="124" t="n">
        <f aca="false">IF(WEEKDAY(A49,3)&gt;4,0,(IF(A49&lt;K$2,0,IF(A49&lt;=K$3,1,0))))</f>
        <v>0</v>
      </c>
      <c r="L49" s="124" t="n">
        <f aca="false">J49*K49</f>
        <v>-0</v>
      </c>
      <c r="M49" s="124" t="n">
        <f aca="false">SUM(J$6:J49)</f>
        <v>-860631</v>
      </c>
      <c r="N49" s="124" t="n">
        <f aca="false">SUM(J$6:J49)</f>
        <v>-860631</v>
      </c>
      <c r="P49" s="148" t="n">
        <f aca="false">D49/P$3</f>
        <v>-0.351</v>
      </c>
      <c r="Q49" s="124" t="n">
        <f aca="false">E49/P$3</f>
        <v>0</v>
      </c>
      <c r="R49" s="124" t="n">
        <f aca="false">F49/R$3</f>
        <v>0</v>
      </c>
      <c r="S49" s="126" t="n">
        <f aca="false">J49/$R$3</f>
        <v>-114.667</v>
      </c>
      <c r="T49" s="126" t="n">
        <f aca="false">L49/$R$3</f>
        <v>-0</v>
      </c>
      <c r="U49" s="126" t="n">
        <f aca="false">I49/$R$3</f>
        <v>-377.004</v>
      </c>
      <c r="V49" s="126" t="n">
        <f aca="false">M49/$R$3</f>
        <v>-860.631</v>
      </c>
      <c r="W49" s="126" t="n">
        <f aca="false">N49/$R$3</f>
        <v>-860.631</v>
      </c>
    </row>
    <row r="50" customFormat="false" ht="12.75" hidden="true" customHeight="false" outlineLevel="0" collapsed="false">
      <c r="A50" s="120" t="n">
        <f aca="false">A49+1</f>
        <v>36936</v>
      </c>
      <c r="B50" s="131" t="str">
        <f aca="false">INDEX('[4]Master Data'!$A$2:$B$8,MATCH(WEEKDAY('TBS CRD MTM'!A50,3),'[4]Master Data'!$A$2:$A$8,0),2)</f>
        <v>W</v>
      </c>
      <c r="D50" s="124" t="n">
        <v>-361</v>
      </c>
      <c r="E50" s="124" t="n">
        <v>0</v>
      </c>
      <c r="F50" s="124" t="n">
        <v>0</v>
      </c>
      <c r="G50" s="124" t="n">
        <v>-193048</v>
      </c>
      <c r="I50" s="124" t="n">
        <f aca="false">IF(MONTH($A50)=MONTH($A49),IF(G50=0,I49,G50),G50)</f>
        <v>-193048</v>
      </c>
      <c r="J50" s="124" t="n">
        <f aca="false">IF(MONTH($A50)=MONTH($A49),SUM(I50-I49),I50)</f>
        <v>183956</v>
      </c>
      <c r="K50" s="124" t="n">
        <f aca="false">IF(WEEKDAY(A50,3)&gt;4,0,(IF(A50&lt;K$2,0,IF(A50&lt;=K$3,1,0))))</f>
        <v>0</v>
      </c>
      <c r="L50" s="124" t="n">
        <f aca="false">J50*K50</f>
        <v>0</v>
      </c>
      <c r="M50" s="124" t="n">
        <f aca="false">SUM(J$6:J50)</f>
        <v>-676675</v>
      </c>
      <c r="N50" s="124" t="n">
        <f aca="false">SUM(J$6:J50)</f>
        <v>-676675</v>
      </c>
      <c r="P50" s="148" t="n">
        <f aca="false">D50/P$3</f>
        <v>-0.361</v>
      </c>
      <c r="Q50" s="124" t="n">
        <f aca="false">E50/P$3</f>
        <v>0</v>
      </c>
      <c r="R50" s="124" t="n">
        <f aca="false">F50/R$3</f>
        <v>0</v>
      </c>
      <c r="S50" s="126" t="n">
        <f aca="false">J50/$R$3</f>
        <v>183.956</v>
      </c>
      <c r="T50" s="126" t="n">
        <f aca="false">L50/$R$3</f>
        <v>0</v>
      </c>
      <c r="U50" s="126" t="n">
        <f aca="false">I50/$R$3</f>
        <v>-193.048</v>
      </c>
      <c r="V50" s="126" t="n">
        <f aca="false">M50/$R$3</f>
        <v>-676.675</v>
      </c>
      <c r="W50" s="126" t="n">
        <f aca="false">N50/$R$3</f>
        <v>-676.675</v>
      </c>
    </row>
    <row r="51" customFormat="false" ht="12.75" hidden="true" customHeight="false" outlineLevel="0" collapsed="false">
      <c r="A51" s="120" t="n">
        <f aca="false">A50+1</f>
        <v>36937</v>
      </c>
      <c r="B51" s="131" t="str">
        <f aca="false">INDEX('[4]Master Data'!$A$2:$B$8,MATCH(WEEKDAY('TBS CRD MTM'!A51,3),'[4]Master Data'!$A$2:$A$8,0),2)</f>
        <v>Th</v>
      </c>
      <c r="D51" s="124" t="n">
        <v>-365</v>
      </c>
      <c r="E51" s="124" t="n">
        <v>0</v>
      </c>
      <c r="F51" s="124" t="n">
        <v>0</v>
      </c>
      <c r="G51" s="124" t="n">
        <v>-108000</v>
      </c>
      <c r="I51" s="124" t="n">
        <f aca="false">IF(MONTH($A51)=MONTH($A50),IF(G51=0,I50,G51),G51)</f>
        <v>-108000</v>
      </c>
      <c r="J51" s="124" t="n">
        <f aca="false">IF(MONTH($A51)=MONTH($A50),SUM(I51-I50),I51)</f>
        <v>85048</v>
      </c>
      <c r="K51" s="124" t="n">
        <f aca="false">IF(WEEKDAY(A51,3)&gt;4,0,(IF(A51&lt;K$2,0,IF(A51&lt;=K$3,1,0))))</f>
        <v>0</v>
      </c>
      <c r="L51" s="124" t="n">
        <f aca="false">J51*K51</f>
        <v>0</v>
      </c>
      <c r="M51" s="124" t="n">
        <f aca="false">SUM(J$6:J51)</f>
        <v>-591627</v>
      </c>
      <c r="N51" s="124" t="n">
        <f aca="false">SUM(J$6:J51)</f>
        <v>-591627</v>
      </c>
      <c r="P51" s="148" t="n">
        <f aca="false">D51/P$3</f>
        <v>-0.365</v>
      </c>
      <c r="Q51" s="124" t="n">
        <f aca="false">E51/P$3</f>
        <v>0</v>
      </c>
      <c r="R51" s="124" t="n">
        <f aca="false">F51/R$3</f>
        <v>0</v>
      </c>
      <c r="S51" s="126" t="n">
        <f aca="false">J51/$R$3</f>
        <v>85.048</v>
      </c>
      <c r="T51" s="126" t="n">
        <f aca="false">L51/$R$3</f>
        <v>0</v>
      </c>
      <c r="U51" s="126" t="n">
        <f aca="false">I51/$R$3</f>
        <v>-108</v>
      </c>
      <c r="V51" s="126" t="n">
        <f aca="false">M51/$R$3</f>
        <v>-591.627</v>
      </c>
      <c r="W51" s="126" t="n">
        <f aca="false">N51/$R$3</f>
        <v>-591.627</v>
      </c>
    </row>
    <row r="52" customFormat="false" ht="12.75" hidden="true" customHeight="false" outlineLevel="0" collapsed="false">
      <c r="A52" s="120" t="n">
        <f aca="false">A51+1</f>
        <v>36938</v>
      </c>
      <c r="B52" s="131" t="str">
        <f aca="false">INDEX('[4]Master Data'!$A$2:$B$8,MATCH(WEEKDAY('TBS CRD MTM'!A52,3),'[4]Master Data'!$A$2:$A$8,0),2)</f>
        <v>F</v>
      </c>
      <c r="D52" s="124" t="n">
        <v>-370</v>
      </c>
      <c r="E52" s="124" t="n">
        <v>0</v>
      </c>
      <c r="F52" s="124" t="n">
        <v>0</v>
      </c>
      <c r="G52" s="124" t="n">
        <v>-122329</v>
      </c>
      <c r="I52" s="124" t="n">
        <f aca="false">IF(MONTH($A52)=MONTH($A51),IF(G52=0,I51,G52),G52)</f>
        <v>-122329</v>
      </c>
      <c r="J52" s="124" t="n">
        <f aca="false">IF(MONTH($A52)=MONTH($A51),SUM(I52-I51),I52)</f>
        <v>-14329</v>
      </c>
      <c r="K52" s="124" t="n">
        <f aca="false">IF(WEEKDAY(A52,3)&gt;4,0,(IF(A52&lt;K$2,0,IF(A52&lt;=K$3,1,0))))</f>
        <v>0</v>
      </c>
      <c r="L52" s="124" t="n">
        <f aca="false">J52*K52</f>
        <v>-0</v>
      </c>
      <c r="M52" s="124" t="n">
        <f aca="false">SUM(J$6:J52)</f>
        <v>-605956</v>
      </c>
      <c r="N52" s="124" t="n">
        <f aca="false">SUM(J$6:J52)</f>
        <v>-605956</v>
      </c>
      <c r="P52" s="148" t="n">
        <f aca="false">D52/P$3</f>
        <v>-0.37</v>
      </c>
      <c r="Q52" s="124" t="n">
        <f aca="false">E52/P$3</f>
        <v>0</v>
      </c>
      <c r="R52" s="124" t="n">
        <f aca="false">F52/R$3</f>
        <v>0</v>
      </c>
      <c r="S52" s="126" t="n">
        <f aca="false">J52/$R$3</f>
        <v>-14.329</v>
      </c>
      <c r="T52" s="126" t="n">
        <f aca="false">L52/$R$3</f>
        <v>-0</v>
      </c>
      <c r="U52" s="126" t="n">
        <f aca="false">I52/$R$3</f>
        <v>-122.329</v>
      </c>
      <c r="V52" s="126" t="n">
        <f aca="false">M52/$R$3</f>
        <v>-605.956</v>
      </c>
      <c r="W52" s="126" t="n">
        <f aca="false">N52/$R$3</f>
        <v>-605.956</v>
      </c>
    </row>
    <row r="53" customFormat="false" ht="12.75" hidden="true" customHeight="false" outlineLevel="0" collapsed="false">
      <c r="A53" s="120" t="n">
        <f aca="false">A52+1</f>
        <v>36939</v>
      </c>
      <c r="B53" s="131" t="str">
        <f aca="false">INDEX('[4]Master Data'!$A$2:$B$8,MATCH(WEEKDAY('TBS CRD MTM'!A53,3),'[4]Master Data'!$A$2:$A$8,0),2)</f>
        <v>Sa</v>
      </c>
      <c r="D53" s="124" t="n">
        <v>0</v>
      </c>
      <c r="E53" s="124" t="n">
        <v>0</v>
      </c>
      <c r="F53" s="124" t="n">
        <v>0</v>
      </c>
      <c r="G53" s="124" t="n">
        <v>0</v>
      </c>
      <c r="I53" s="124" t="n">
        <f aca="false">IF(MONTH($A53)=MONTH($A52),IF(G53=0,I52,G53),G53)</f>
        <v>-122329</v>
      </c>
      <c r="J53" s="124" t="n">
        <f aca="false">IF(MONTH($A53)=MONTH($A52),SUM(I53-I52),I53)</f>
        <v>0</v>
      </c>
      <c r="K53" s="124" t="n">
        <f aca="false">IF(WEEKDAY(A53,3)&gt;4,0,(IF(A53&lt;K$2,0,IF(A53&lt;=K$3,1,0))))</f>
        <v>0</v>
      </c>
      <c r="L53" s="124" t="n">
        <f aca="false">J53*K53</f>
        <v>0</v>
      </c>
      <c r="M53" s="124" t="n">
        <f aca="false">SUM(J$6:J53)</f>
        <v>-605956</v>
      </c>
      <c r="N53" s="124" t="n">
        <f aca="false">SUM(J$6:J53)</f>
        <v>-605956</v>
      </c>
      <c r="P53" s="148" t="n">
        <f aca="false">D53/P$3</f>
        <v>0</v>
      </c>
      <c r="Q53" s="124" t="n">
        <f aca="false">E53/P$3</f>
        <v>0</v>
      </c>
      <c r="R53" s="124" t="n">
        <f aca="false">F53/R$3</f>
        <v>0</v>
      </c>
      <c r="S53" s="126" t="n">
        <f aca="false">J53/$R$3</f>
        <v>0</v>
      </c>
      <c r="T53" s="126" t="n">
        <f aca="false">L53/$R$3</f>
        <v>0</v>
      </c>
      <c r="U53" s="126" t="n">
        <f aca="false">I53/$R$3</f>
        <v>-122.329</v>
      </c>
      <c r="V53" s="126" t="n">
        <f aca="false">M53/$R$3</f>
        <v>-605.956</v>
      </c>
      <c r="W53" s="126" t="n">
        <f aca="false">N53/$R$3</f>
        <v>-605.956</v>
      </c>
    </row>
    <row r="54" customFormat="false" ht="12.75" hidden="true" customHeight="false" outlineLevel="0" collapsed="false">
      <c r="A54" s="120" t="n">
        <f aca="false">A53+1</f>
        <v>36940</v>
      </c>
      <c r="B54" s="131" t="str">
        <f aca="false">INDEX('[4]Master Data'!$A$2:$B$8,MATCH(WEEKDAY('TBS CRD MTM'!A54,3),'[4]Master Data'!$A$2:$A$8,0),2)</f>
        <v>Su</v>
      </c>
      <c r="D54" s="124" t="n">
        <v>0</v>
      </c>
      <c r="E54" s="124" t="n">
        <v>0</v>
      </c>
      <c r="F54" s="124" t="n">
        <v>0</v>
      </c>
      <c r="G54" s="124" t="n">
        <v>0</v>
      </c>
      <c r="I54" s="124" t="n">
        <f aca="false">IF(MONTH($A54)=MONTH($A53),IF(G54=0,I53,G54),G54)</f>
        <v>-122329</v>
      </c>
      <c r="J54" s="124" t="n">
        <f aca="false">IF(MONTH($A54)=MONTH($A53),SUM(I54-I53),I54)</f>
        <v>0</v>
      </c>
      <c r="K54" s="124" t="n">
        <f aca="false">IF(WEEKDAY(A54,3)&gt;4,0,(IF(A54&lt;K$2,0,IF(A54&lt;=K$3,1,0))))</f>
        <v>0</v>
      </c>
      <c r="L54" s="124" t="n">
        <f aca="false">J54*K54</f>
        <v>0</v>
      </c>
      <c r="M54" s="124" t="n">
        <f aca="false">SUM(J$6:J54)</f>
        <v>-605956</v>
      </c>
      <c r="N54" s="124" t="n">
        <f aca="false">SUM(J$6:J54)</f>
        <v>-605956</v>
      </c>
      <c r="P54" s="148" t="n">
        <f aca="false">D54/P$3</f>
        <v>0</v>
      </c>
      <c r="Q54" s="124" t="n">
        <f aca="false">E54/P$3</f>
        <v>0</v>
      </c>
      <c r="R54" s="124" t="n">
        <f aca="false">F54/R$3</f>
        <v>0</v>
      </c>
      <c r="S54" s="126" t="n">
        <f aca="false">J54/$R$3</f>
        <v>0</v>
      </c>
      <c r="T54" s="126" t="n">
        <f aca="false">L54/$R$3</f>
        <v>0</v>
      </c>
      <c r="U54" s="126" t="n">
        <f aca="false">I54/$R$3</f>
        <v>-122.329</v>
      </c>
      <c r="V54" s="126" t="n">
        <f aca="false">M54/$R$3</f>
        <v>-605.956</v>
      </c>
      <c r="W54" s="126" t="n">
        <f aca="false">N54/$R$3</f>
        <v>-605.956</v>
      </c>
    </row>
    <row r="55" customFormat="false" ht="12.75" hidden="true" customHeight="false" outlineLevel="0" collapsed="false">
      <c r="A55" s="120" t="n">
        <f aca="false">A54+1</f>
        <v>36941</v>
      </c>
      <c r="B55" s="131" t="str">
        <f aca="false">INDEX('[4]Master Data'!$A$2:$B$8,MATCH(WEEKDAY('TBS CRD MTM'!A55,3),'[4]Master Data'!$A$2:$A$8,0),2)</f>
        <v>M</v>
      </c>
      <c r="D55" s="124" t="n">
        <v>0</v>
      </c>
      <c r="E55" s="124" t="n">
        <v>0</v>
      </c>
      <c r="F55" s="124" t="n">
        <v>0</v>
      </c>
      <c r="G55" s="124" t="n">
        <v>0</v>
      </c>
      <c r="I55" s="124" t="n">
        <f aca="false">IF(MONTH($A55)=MONTH($A54),IF(G55=0,I54,G55),G55)</f>
        <v>-122329</v>
      </c>
      <c r="J55" s="124" t="n">
        <f aca="false">IF(MONTH($A55)=MONTH($A54),SUM(I55-I54),I55)</f>
        <v>0</v>
      </c>
      <c r="K55" s="124" t="n">
        <f aca="false">IF(WEEKDAY(A55,3)&gt;4,0,(IF(A55&lt;K$2,0,IF(A55&lt;=K$3,1,0))))</f>
        <v>0</v>
      </c>
      <c r="L55" s="124" t="n">
        <f aca="false">J55*K55</f>
        <v>0</v>
      </c>
      <c r="M55" s="124" t="n">
        <f aca="false">SUM(J$6:J55)</f>
        <v>-605956</v>
      </c>
      <c r="N55" s="124" t="n">
        <f aca="false">SUM(J$6:J55)</f>
        <v>-605956</v>
      </c>
      <c r="P55" s="148" t="n">
        <f aca="false">D55/P$3</f>
        <v>0</v>
      </c>
      <c r="Q55" s="124" t="n">
        <f aca="false">E55/P$3</f>
        <v>0</v>
      </c>
      <c r="R55" s="124" t="n">
        <f aca="false">F55/R$3</f>
        <v>0</v>
      </c>
      <c r="S55" s="126" t="n">
        <f aca="false">J55/$R$3</f>
        <v>0</v>
      </c>
      <c r="T55" s="126" t="n">
        <f aca="false">L55/$R$3</f>
        <v>0</v>
      </c>
      <c r="U55" s="126" t="n">
        <f aca="false">I55/$R$3</f>
        <v>-122.329</v>
      </c>
      <c r="V55" s="126" t="n">
        <f aca="false">M55/$R$3</f>
        <v>-605.956</v>
      </c>
      <c r="W55" s="126" t="n">
        <f aca="false">N55/$R$3</f>
        <v>-605.956</v>
      </c>
    </row>
    <row r="56" customFormat="false" ht="12.75" hidden="true" customHeight="false" outlineLevel="0" collapsed="false">
      <c r="A56" s="120" t="n">
        <f aca="false">A55+1</f>
        <v>36942</v>
      </c>
      <c r="B56" s="131" t="str">
        <f aca="false">INDEX('[4]Master Data'!$A$2:$B$8,MATCH(WEEKDAY('TBS CRD MTM'!A56,3),'[4]Master Data'!$A$2:$A$8,0),2)</f>
        <v>T</v>
      </c>
      <c r="D56" s="124" t="n">
        <v>-373</v>
      </c>
      <c r="E56" s="124" t="n">
        <v>0</v>
      </c>
      <c r="F56" s="124" t="n">
        <v>0</v>
      </c>
      <c r="G56" s="124" t="n">
        <v>-98559</v>
      </c>
      <c r="I56" s="124" t="n">
        <f aca="false">IF(MONTH($A56)=MONTH($A55),IF(G56=0,I55,G56),G56)</f>
        <v>-98559</v>
      </c>
      <c r="J56" s="124" t="n">
        <f aca="false">IF(MONTH($A56)=MONTH($A55),SUM(I56-I55),I56)</f>
        <v>23770</v>
      </c>
      <c r="K56" s="124" t="n">
        <f aca="false">IF(WEEKDAY(A56,3)&gt;4,0,(IF(A56&lt;K$2,0,IF(A56&lt;=K$3,1,0))))</f>
        <v>0</v>
      </c>
      <c r="L56" s="124" t="n">
        <f aca="false">J56*K56</f>
        <v>0</v>
      </c>
      <c r="M56" s="124" t="n">
        <f aca="false">SUM(J$6:J56)</f>
        <v>-582186</v>
      </c>
      <c r="N56" s="124" t="n">
        <f aca="false">SUM(J$6:J56)</f>
        <v>-582186</v>
      </c>
      <c r="P56" s="148" t="n">
        <f aca="false">D56/P$3</f>
        <v>-0.373</v>
      </c>
      <c r="Q56" s="124" t="n">
        <f aca="false">E56/P$3</f>
        <v>0</v>
      </c>
      <c r="R56" s="124" t="n">
        <f aca="false">F56/R$3</f>
        <v>0</v>
      </c>
      <c r="S56" s="126" t="n">
        <f aca="false">J56/$R$3</f>
        <v>23.77</v>
      </c>
      <c r="T56" s="126" t="n">
        <f aca="false">L56/$R$3</f>
        <v>0</v>
      </c>
      <c r="U56" s="126" t="n">
        <f aca="false">I56/$R$3</f>
        <v>-98.559</v>
      </c>
      <c r="V56" s="126" t="n">
        <f aca="false">M56/$R$3</f>
        <v>-582.186</v>
      </c>
      <c r="W56" s="126" t="n">
        <f aca="false">N56/$R$3</f>
        <v>-582.186</v>
      </c>
    </row>
    <row r="57" customFormat="false" ht="12.75" hidden="true" customHeight="false" outlineLevel="0" collapsed="false">
      <c r="A57" s="120" t="n">
        <f aca="false">A56+1</f>
        <v>36943</v>
      </c>
      <c r="B57" s="131" t="str">
        <f aca="false">INDEX('[4]Master Data'!$A$2:$B$8,MATCH(WEEKDAY('TBS CRD MTM'!A57,3),'[4]Master Data'!$A$2:$A$8,0),2)</f>
        <v>W</v>
      </c>
      <c r="D57" s="124" t="n">
        <v>-382</v>
      </c>
      <c r="E57" s="124" t="n">
        <v>0</v>
      </c>
      <c r="F57" s="124" t="n">
        <v>0</v>
      </c>
      <c r="G57" s="124" t="n">
        <v>29103</v>
      </c>
      <c r="I57" s="124" t="n">
        <f aca="false">IF(MONTH($A57)=MONTH($A56),IF(G57=0,I56,G57),G57)</f>
        <v>29103</v>
      </c>
      <c r="J57" s="124" t="n">
        <f aca="false">IF(MONTH($A57)=MONTH($A56),SUM(I57-I56),I57)</f>
        <v>127662</v>
      </c>
      <c r="K57" s="124" t="n">
        <f aca="false">IF(WEEKDAY(A57,3)&gt;4,0,(IF(A57&lt;K$2,0,IF(A57&lt;=K$3,1,0))))</f>
        <v>0</v>
      </c>
      <c r="L57" s="124" t="n">
        <f aca="false">J57*K57</f>
        <v>0</v>
      </c>
      <c r="M57" s="124" t="n">
        <f aca="false">SUM(J$6:J57)</f>
        <v>-454524</v>
      </c>
      <c r="N57" s="124" t="n">
        <f aca="false">SUM(J$6:J57)</f>
        <v>-454524</v>
      </c>
      <c r="P57" s="148" t="n">
        <f aca="false">D57/P$3</f>
        <v>-0.382</v>
      </c>
      <c r="Q57" s="124" t="n">
        <f aca="false">E57/P$3</f>
        <v>0</v>
      </c>
      <c r="R57" s="124" t="n">
        <f aca="false">F57/R$3</f>
        <v>0</v>
      </c>
      <c r="S57" s="126" t="n">
        <f aca="false">J57/$R$3</f>
        <v>127.662</v>
      </c>
      <c r="T57" s="126" t="n">
        <f aca="false">L57/$R$3</f>
        <v>0</v>
      </c>
      <c r="U57" s="126" t="n">
        <f aca="false">I57/$R$3</f>
        <v>29.103</v>
      </c>
      <c r="V57" s="126" t="n">
        <f aca="false">M57/$R$3</f>
        <v>-454.524</v>
      </c>
      <c r="W57" s="126" t="n">
        <f aca="false">N57/$R$3</f>
        <v>-454.524</v>
      </c>
    </row>
    <row r="58" customFormat="false" ht="12.75" hidden="true" customHeight="false" outlineLevel="0" collapsed="false">
      <c r="A58" s="120" t="n">
        <f aca="false">A57+1</f>
        <v>36944</v>
      </c>
      <c r="B58" s="131" t="str">
        <f aca="false">INDEX('[4]Master Data'!$A$2:$B$8,MATCH(WEEKDAY('TBS CRD MTM'!A58,3),'[4]Master Data'!$A$2:$A$8,0),2)</f>
        <v>Th</v>
      </c>
      <c r="D58" s="124" t="n">
        <v>-372</v>
      </c>
      <c r="E58" s="124" t="n">
        <v>0</v>
      </c>
      <c r="F58" s="124" t="n">
        <v>0</v>
      </c>
      <c r="G58" s="124" t="n">
        <v>-70041</v>
      </c>
      <c r="I58" s="124" t="n">
        <f aca="false">IF(MONTH($A58)=MONTH($A57),IF(G58=0,I57,G58),G58)</f>
        <v>-70041</v>
      </c>
      <c r="J58" s="124" t="n">
        <f aca="false">IF(MONTH($A58)=MONTH($A57),SUM(I58-I57),I58)</f>
        <v>-99144</v>
      </c>
      <c r="K58" s="124" t="n">
        <f aca="false">IF(WEEKDAY(A58,3)&gt;4,0,(IF(A58&lt;K$2,0,IF(A58&lt;=K$3,1,0))))</f>
        <v>0</v>
      </c>
      <c r="L58" s="124" t="n">
        <f aca="false">J58*K58</f>
        <v>-0</v>
      </c>
      <c r="M58" s="124" t="n">
        <f aca="false">SUM(J$6:J58)</f>
        <v>-553668</v>
      </c>
      <c r="N58" s="124" t="n">
        <f aca="false">SUM(J$6:J58)</f>
        <v>-553668</v>
      </c>
      <c r="P58" s="148" t="n">
        <f aca="false">D58/P$3</f>
        <v>-0.372</v>
      </c>
      <c r="Q58" s="124" t="n">
        <f aca="false">E58/P$3</f>
        <v>0</v>
      </c>
      <c r="R58" s="124" t="n">
        <f aca="false">F58/R$3</f>
        <v>0</v>
      </c>
      <c r="S58" s="126" t="n">
        <f aca="false">J58/$R$3</f>
        <v>-99.144</v>
      </c>
      <c r="T58" s="126" t="n">
        <f aca="false">L58/$R$3</f>
        <v>-0</v>
      </c>
      <c r="U58" s="126" t="n">
        <f aca="false">I58/$R$3</f>
        <v>-70.041</v>
      </c>
      <c r="V58" s="126" t="n">
        <f aca="false">M58/$R$3</f>
        <v>-553.668</v>
      </c>
      <c r="W58" s="126" t="n">
        <f aca="false">N58/$R$3</f>
        <v>-553.668</v>
      </c>
    </row>
    <row r="59" customFormat="false" ht="12.75" hidden="true" customHeight="false" outlineLevel="0" collapsed="false">
      <c r="A59" s="120" t="n">
        <f aca="false">A58+1</f>
        <v>36945</v>
      </c>
      <c r="B59" s="131" t="str">
        <f aca="false">INDEX('[4]Master Data'!$A$2:$B$8,MATCH(WEEKDAY('TBS CRD MTM'!A59,3),'[4]Master Data'!$A$2:$A$8,0),2)</f>
        <v>F</v>
      </c>
      <c r="D59" s="124" t="n">
        <v>-370</v>
      </c>
      <c r="E59" s="124" t="n">
        <v>0</v>
      </c>
      <c r="F59" s="124" t="n">
        <v>0</v>
      </c>
      <c r="G59" s="124" t="n">
        <v>-125728</v>
      </c>
      <c r="I59" s="124" t="n">
        <f aca="false">IF(MONTH($A59)=MONTH($A58),IF(G59=0,I58,G59),G59)</f>
        <v>-125728</v>
      </c>
      <c r="J59" s="124" t="n">
        <f aca="false">IF(MONTH($A59)=MONTH($A58),SUM(I59-I58),I59)</f>
        <v>-55687</v>
      </c>
      <c r="K59" s="124" t="n">
        <f aca="false">IF(WEEKDAY(A59,3)&gt;4,0,(IF(A59&lt;K$2,0,IF(A59&lt;=K$3,1,0))))</f>
        <v>0</v>
      </c>
      <c r="L59" s="124" t="n">
        <f aca="false">J59*K59</f>
        <v>-0</v>
      </c>
      <c r="M59" s="124" t="n">
        <f aca="false">SUM(J$6:J59)</f>
        <v>-609355</v>
      </c>
      <c r="N59" s="124" t="n">
        <f aca="false">SUM(J$6:J59)</f>
        <v>-609355</v>
      </c>
      <c r="P59" s="148" t="n">
        <f aca="false">D59/P$3</f>
        <v>-0.37</v>
      </c>
      <c r="Q59" s="124" t="n">
        <f aca="false">E59/P$3</f>
        <v>0</v>
      </c>
      <c r="R59" s="124" t="n">
        <f aca="false">F59/R$3</f>
        <v>0</v>
      </c>
      <c r="S59" s="126" t="n">
        <f aca="false">J59/$R$3</f>
        <v>-55.687</v>
      </c>
      <c r="T59" s="126" t="n">
        <f aca="false">L59/$R$3</f>
        <v>-0</v>
      </c>
      <c r="U59" s="126" t="n">
        <f aca="false">I59/$R$3</f>
        <v>-125.728</v>
      </c>
      <c r="V59" s="126" t="n">
        <f aca="false">M59/$R$3</f>
        <v>-609.355</v>
      </c>
      <c r="W59" s="126" t="n">
        <f aca="false">N59/$R$3</f>
        <v>-609.355</v>
      </c>
    </row>
    <row r="60" customFormat="false" ht="12.75" hidden="true" customHeight="false" outlineLevel="0" collapsed="false">
      <c r="A60" s="120" t="n">
        <f aca="false">A59+1</f>
        <v>36946</v>
      </c>
      <c r="B60" s="131" t="str">
        <f aca="false">INDEX('[4]Master Data'!$A$2:$B$8,MATCH(WEEKDAY('TBS CRD MTM'!A60,3),'[4]Master Data'!$A$2:$A$8,0),2)</f>
        <v>Sa</v>
      </c>
      <c r="D60" s="124" t="n">
        <v>0</v>
      </c>
      <c r="E60" s="124" t="n">
        <v>0</v>
      </c>
      <c r="F60" s="124" t="n">
        <v>0</v>
      </c>
      <c r="G60" s="124" t="n">
        <v>0</v>
      </c>
      <c r="I60" s="124" t="n">
        <f aca="false">IF(MONTH($A60)=MONTH($A59),IF(G60=0,I59,G60),G60)</f>
        <v>-125728</v>
      </c>
      <c r="J60" s="124" t="n">
        <f aca="false">IF(MONTH($A60)=MONTH($A59),SUM(I60-I59),I60)</f>
        <v>0</v>
      </c>
      <c r="K60" s="124" t="n">
        <f aca="false">IF(WEEKDAY(A60,3)&gt;4,0,(IF(A60&lt;K$2,0,IF(A60&lt;=K$3,1,0))))</f>
        <v>0</v>
      </c>
      <c r="L60" s="124" t="n">
        <f aca="false">J60*K60</f>
        <v>0</v>
      </c>
      <c r="M60" s="124" t="n">
        <f aca="false">SUM(J$6:J60)</f>
        <v>-609355</v>
      </c>
      <c r="N60" s="124" t="n">
        <f aca="false">SUM(J$6:J60)</f>
        <v>-609355</v>
      </c>
      <c r="P60" s="148" t="n">
        <f aca="false">D60/P$3</f>
        <v>0</v>
      </c>
      <c r="Q60" s="124" t="n">
        <f aca="false">E60/P$3</f>
        <v>0</v>
      </c>
      <c r="R60" s="124" t="n">
        <f aca="false">F60/R$3</f>
        <v>0</v>
      </c>
      <c r="S60" s="126" t="n">
        <f aca="false">J60/$R$3</f>
        <v>0</v>
      </c>
      <c r="T60" s="126" t="n">
        <f aca="false">L60/$R$3</f>
        <v>0</v>
      </c>
      <c r="U60" s="126" t="n">
        <f aca="false">I60/$R$3</f>
        <v>-125.728</v>
      </c>
      <c r="V60" s="126" t="n">
        <f aca="false">M60/$R$3</f>
        <v>-609.355</v>
      </c>
      <c r="W60" s="126" t="n">
        <f aca="false">N60/$R$3</f>
        <v>-609.355</v>
      </c>
    </row>
    <row r="61" customFormat="false" ht="12.75" hidden="true" customHeight="false" outlineLevel="0" collapsed="false">
      <c r="A61" s="120" t="n">
        <f aca="false">A60+1</f>
        <v>36947</v>
      </c>
      <c r="B61" s="131" t="str">
        <f aca="false">INDEX('[4]Master Data'!$A$2:$B$8,MATCH(WEEKDAY('TBS CRD MTM'!A61,3),'[4]Master Data'!$A$2:$A$8,0),2)</f>
        <v>Su</v>
      </c>
      <c r="D61" s="124" t="n">
        <v>0</v>
      </c>
      <c r="E61" s="124" t="n">
        <v>0</v>
      </c>
      <c r="F61" s="124" t="n">
        <v>0</v>
      </c>
      <c r="G61" s="124" t="n">
        <v>0</v>
      </c>
      <c r="I61" s="124" t="n">
        <f aca="false">IF(MONTH($A61)=MONTH($A60),IF(G61=0,I60,G61),G61)</f>
        <v>-125728</v>
      </c>
      <c r="J61" s="124" t="n">
        <f aca="false">IF(MONTH($A61)=MONTH($A60),SUM(I61-I60),I61)</f>
        <v>0</v>
      </c>
      <c r="K61" s="124" t="n">
        <f aca="false">IF(WEEKDAY(A61,3)&gt;4,0,(IF(A61&lt;K$2,0,IF(A61&lt;=K$3,1,0))))</f>
        <v>0</v>
      </c>
      <c r="L61" s="124" t="n">
        <f aca="false">J61*K61</f>
        <v>0</v>
      </c>
      <c r="M61" s="124" t="n">
        <f aca="false">SUM(J$6:J61)</f>
        <v>-609355</v>
      </c>
      <c r="N61" s="124" t="n">
        <f aca="false">SUM(J$6:J61)</f>
        <v>-609355</v>
      </c>
      <c r="P61" s="148" t="n">
        <f aca="false">D61/P$3</f>
        <v>0</v>
      </c>
      <c r="Q61" s="124" t="n">
        <f aca="false">E61/P$3</f>
        <v>0</v>
      </c>
      <c r="R61" s="124" t="n">
        <f aca="false">F61/R$3</f>
        <v>0</v>
      </c>
      <c r="S61" s="126" t="n">
        <f aca="false">J61/$R$3</f>
        <v>0</v>
      </c>
      <c r="T61" s="126" t="n">
        <f aca="false">L61/$R$3</f>
        <v>0</v>
      </c>
      <c r="U61" s="126" t="n">
        <f aca="false">I61/$R$3</f>
        <v>-125.728</v>
      </c>
      <c r="V61" s="126" t="n">
        <f aca="false">M61/$R$3</f>
        <v>-609.355</v>
      </c>
      <c r="W61" s="126" t="n">
        <f aca="false">N61/$R$3</f>
        <v>-609.355</v>
      </c>
    </row>
    <row r="62" customFormat="false" ht="12.75" hidden="true" customHeight="false" outlineLevel="0" collapsed="false">
      <c r="A62" s="120" t="n">
        <f aca="false">A61+1</f>
        <v>36948</v>
      </c>
      <c r="B62" s="131" t="str">
        <f aca="false">INDEX('[4]Master Data'!$A$2:$B$8,MATCH(WEEKDAY('TBS CRD MTM'!A62,3),'[4]Master Data'!$A$2:$A$8,0),2)</f>
        <v>M</v>
      </c>
      <c r="D62" s="124" t="n">
        <v>-378</v>
      </c>
      <c r="E62" s="124" t="n">
        <v>0</v>
      </c>
      <c r="F62" s="124" t="n">
        <v>0</v>
      </c>
      <c r="G62" s="124" t="n">
        <v>-73506</v>
      </c>
      <c r="I62" s="124" t="n">
        <f aca="false">IF(MONTH($A62)=MONTH($A61),IF(G62=0,I61,G62),G62)</f>
        <v>-73506</v>
      </c>
      <c r="J62" s="124" t="n">
        <f aca="false">IF(MONTH($A62)=MONTH($A61),SUM(I62-I61),I62)</f>
        <v>52222</v>
      </c>
      <c r="K62" s="124" t="n">
        <f aca="false">IF(WEEKDAY(A62,3)&gt;4,0,(IF(A62&lt;K$2,0,IF(A62&lt;=K$3,1,0))))</f>
        <v>0</v>
      </c>
      <c r="L62" s="124" t="n">
        <f aca="false">J62*K62</f>
        <v>0</v>
      </c>
      <c r="M62" s="124" t="n">
        <f aca="false">SUM(J$6:J62)</f>
        <v>-557133</v>
      </c>
      <c r="N62" s="124" t="n">
        <f aca="false">SUM(J$6:J62)</f>
        <v>-557133</v>
      </c>
      <c r="P62" s="148" t="n">
        <f aca="false">D62/P$3</f>
        <v>-0.378</v>
      </c>
      <c r="Q62" s="124" t="n">
        <f aca="false">E62/P$3</f>
        <v>0</v>
      </c>
      <c r="R62" s="124" t="n">
        <f aca="false">F62/R$3</f>
        <v>0</v>
      </c>
      <c r="S62" s="126" t="n">
        <f aca="false">J62/$R$3</f>
        <v>52.222</v>
      </c>
      <c r="T62" s="126" t="n">
        <f aca="false">L62/$R$3</f>
        <v>0</v>
      </c>
      <c r="U62" s="126" t="n">
        <f aca="false">I62/$R$3</f>
        <v>-73.506</v>
      </c>
      <c r="V62" s="126" t="n">
        <f aca="false">M62/$R$3</f>
        <v>-557.133</v>
      </c>
      <c r="W62" s="126" t="n">
        <f aca="false">N62/$R$3</f>
        <v>-557.133</v>
      </c>
    </row>
    <row r="63" customFormat="false" ht="12.75" hidden="true" customHeight="false" outlineLevel="0" collapsed="false">
      <c r="A63" s="120" t="n">
        <f aca="false">A62+1</f>
        <v>36949</v>
      </c>
      <c r="B63" s="131" t="str">
        <f aca="false">INDEX('[4]Master Data'!$A$2:$B$8,MATCH(WEEKDAY('TBS CRD MTM'!A63,3),'[4]Master Data'!$A$2:$A$8,0),2)</f>
        <v>T</v>
      </c>
      <c r="D63" s="124" t="n">
        <v>-378</v>
      </c>
      <c r="E63" s="124" t="n">
        <v>0</v>
      </c>
      <c r="F63" s="124" t="n">
        <v>0</v>
      </c>
      <c r="G63" s="124" t="n">
        <v>-153932</v>
      </c>
      <c r="I63" s="124" t="n">
        <f aca="false">IF(MONTH($A63)=MONTH($A62),IF(G63=0,I62,G63),G63)</f>
        <v>-153932</v>
      </c>
      <c r="J63" s="124" t="n">
        <f aca="false">IF(MONTH($A63)=MONTH($A62),SUM(I63-I62),I63)</f>
        <v>-80426</v>
      </c>
      <c r="K63" s="124" t="n">
        <f aca="false">IF(WEEKDAY(A63,3)&gt;4,0,(IF(A63&lt;K$2,0,IF(A63&lt;=K$3,1,0))))</f>
        <v>0</v>
      </c>
      <c r="L63" s="124" t="n">
        <f aca="false">J63*K63</f>
        <v>-0</v>
      </c>
      <c r="M63" s="124" t="n">
        <f aca="false">SUM(J$6:J63)</f>
        <v>-637559</v>
      </c>
      <c r="N63" s="124" t="n">
        <f aca="false">SUM(J$6:J63)</f>
        <v>-637559</v>
      </c>
      <c r="P63" s="148" t="n">
        <f aca="false">D63/P$3</f>
        <v>-0.378</v>
      </c>
      <c r="Q63" s="124" t="n">
        <f aca="false">E63/P$3</f>
        <v>0</v>
      </c>
      <c r="R63" s="124" t="n">
        <f aca="false">F63/R$3</f>
        <v>0</v>
      </c>
      <c r="S63" s="126" t="n">
        <f aca="false">J63/$R$3</f>
        <v>-80.426</v>
      </c>
      <c r="T63" s="126" t="n">
        <f aca="false">L63/$R$3</f>
        <v>-0</v>
      </c>
      <c r="U63" s="126" t="n">
        <f aca="false">I63/$R$3</f>
        <v>-153.932</v>
      </c>
      <c r="V63" s="126" t="n">
        <f aca="false">M63/$R$3</f>
        <v>-637.559</v>
      </c>
      <c r="W63" s="126" t="n">
        <f aca="false">N63/$R$3</f>
        <v>-637.559</v>
      </c>
    </row>
    <row r="64" customFormat="false" ht="12.75" hidden="false" customHeight="false" outlineLevel="0" collapsed="false">
      <c r="A64" s="120" t="n">
        <f aca="false">A63+1</f>
        <v>36950</v>
      </c>
      <c r="B64" s="131" t="str">
        <f aca="false">INDEX('[4]Master Data'!$A$2:$B$8,MATCH(WEEKDAY('TBS CRD MTM'!A64,3),'[4]Master Data'!$A$2:$A$8,0),2)</f>
        <v>W</v>
      </c>
      <c r="D64" s="124" t="n">
        <v>-396</v>
      </c>
      <c r="E64" s="124" t="n">
        <v>0</v>
      </c>
      <c r="F64" s="124" t="n">
        <v>0</v>
      </c>
      <c r="G64" s="124" t="n">
        <v>47706</v>
      </c>
      <c r="I64" s="124" t="n">
        <f aca="false">IF(MONTH($A64)=MONTH($A63),IF(G64=0,I63,G64),G64)</f>
        <v>47706</v>
      </c>
      <c r="J64" s="124" t="n">
        <f aca="false">IF(MONTH($A64)=MONTH($A63),SUM(I64-I63),I64)</f>
        <v>201638</v>
      </c>
      <c r="K64" s="124" t="n">
        <f aca="false">IF(WEEKDAY(A64,3)&gt;4,0,(IF(A64&lt;K$2,0,IF(A64&lt;=K$3,1,0))))</f>
        <v>0</v>
      </c>
      <c r="L64" s="124" t="n">
        <f aca="false">J64*K64</f>
        <v>0</v>
      </c>
      <c r="M64" s="124" t="n">
        <f aca="false">SUM(J$6:J64)</f>
        <v>-435921</v>
      </c>
      <c r="N64" s="124" t="n">
        <f aca="false">SUM(J$6:J64)</f>
        <v>-435921</v>
      </c>
      <c r="P64" s="148" t="n">
        <f aca="false">D64/P$3</f>
        <v>-0.396</v>
      </c>
      <c r="Q64" s="124" t="n">
        <f aca="false">E64/P$3</f>
        <v>0</v>
      </c>
      <c r="R64" s="124" t="n">
        <f aca="false">F64/R$3</f>
        <v>0</v>
      </c>
      <c r="S64" s="126" t="n">
        <f aca="false">J64/$R$3</f>
        <v>201.638</v>
      </c>
      <c r="T64" s="126" t="n">
        <f aca="false">L64/$R$3</f>
        <v>0</v>
      </c>
      <c r="U64" s="126" t="n">
        <f aca="false">I64/$R$3</f>
        <v>47.706</v>
      </c>
      <c r="V64" s="126" t="n">
        <f aca="false">M64/$R$3</f>
        <v>-435.921</v>
      </c>
      <c r="W64" s="126" t="n">
        <f aca="false">N64/$R$3</f>
        <v>-435.921</v>
      </c>
    </row>
    <row r="65" customFormat="false" ht="12.75" hidden="false" customHeight="false" outlineLevel="0" collapsed="false">
      <c r="A65" s="120" t="n">
        <f aca="false">A64+1</f>
        <v>36951</v>
      </c>
      <c r="B65" s="131" t="str">
        <f aca="false">INDEX('[4]Master Data'!$A$2:$B$8,MATCH(WEEKDAY('TBS CRD MTM'!A65,3),'[4]Master Data'!$A$2:$A$8,0),2)</f>
        <v>Th</v>
      </c>
      <c r="D65" s="124" t="n">
        <v>-389</v>
      </c>
      <c r="E65" s="124" t="n">
        <v>0</v>
      </c>
      <c r="F65" s="124" t="n">
        <v>0</v>
      </c>
      <c r="G65" s="124" t="n">
        <v>-108113</v>
      </c>
      <c r="I65" s="124" t="n">
        <f aca="false">IF(MONTH($A65)=MONTH($A64),IF(G65=0,I64,G65),G65)</f>
        <v>-108113</v>
      </c>
      <c r="J65" s="124" t="n">
        <f aca="false">IF(MONTH($A65)=MONTH($A64),SUM(I65-I64),I65)</f>
        <v>-108113</v>
      </c>
      <c r="K65" s="124" t="n">
        <f aca="false">IF(WEEKDAY(A65,3)&gt;4,0,(IF(A65&lt;K$2,0,IF(A65&lt;=K$3,1,0))))</f>
        <v>0</v>
      </c>
      <c r="L65" s="124" t="n">
        <f aca="false">J65*K65</f>
        <v>-0</v>
      </c>
      <c r="M65" s="124" t="n">
        <f aca="false">SUM(J$6:J65)</f>
        <v>-544034</v>
      </c>
      <c r="N65" s="124" t="n">
        <f aca="false">SUM(J$6:J65)</f>
        <v>-544034</v>
      </c>
      <c r="P65" s="148" t="n">
        <f aca="false">D65/P$3</f>
        <v>-0.389</v>
      </c>
      <c r="Q65" s="124" t="n">
        <f aca="false">E65/P$3</f>
        <v>0</v>
      </c>
      <c r="R65" s="124" t="n">
        <f aca="false">F65/R$3</f>
        <v>0</v>
      </c>
      <c r="S65" s="126" t="n">
        <f aca="false">J65/$R$3</f>
        <v>-108.113</v>
      </c>
      <c r="T65" s="126" t="n">
        <f aca="false">L65/$R$3</f>
        <v>-0</v>
      </c>
      <c r="U65" s="126" t="n">
        <f aca="false">I65/$R$3</f>
        <v>-108.113</v>
      </c>
      <c r="V65" s="126" t="n">
        <f aca="false">M65/$R$3</f>
        <v>-544.034</v>
      </c>
      <c r="W65" s="126" t="n">
        <f aca="false">N65/$R$3</f>
        <v>-544.034</v>
      </c>
    </row>
    <row r="66" customFormat="false" ht="12.75" hidden="false" customHeight="false" outlineLevel="0" collapsed="false">
      <c r="A66" s="120" t="n">
        <f aca="false">A65+1</f>
        <v>36952</v>
      </c>
      <c r="B66" s="131" t="str">
        <f aca="false">INDEX('[4]Master Data'!$A$2:$B$8,MATCH(WEEKDAY('TBS CRD MTM'!A66,3),'[4]Master Data'!$A$2:$A$8,0),2)</f>
        <v>F</v>
      </c>
      <c r="D66" s="124" t="n">
        <v>-383</v>
      </c>
      <c r="E66" s="124" t="n">
        <v>0</v>
      </c>
      <c r="F66" s="124" t="n">
        <v>0</v>
      </c>
      <c r="G66" s="124" t="n">
        <v>-97022</v>
      </c>
      <c r="I66" s="124" t="n">
        <f aca="false">IF(MONTH($A66)=MONTH($A65),IF(G66=0,I65,G66),G66)</f>
        <v>-97022</v>
      </c>
      <c r="J66" s="124" t="n">
        <f aca="false">IF(MONTH($A66)=MONTH($A65),SUM(I66-I65),I66)</f>
        <v>11091</v>
      </c>
      <c r="K66" s="124" t="n">
        <f aca="false">IF(WEEKDAY(A66,3)&gt;4,0,(IF(A66&lt;K$2,0,IF(A66&lt;=K$3,1,0))))</f>
        <v>0</v>
      </c>
      <c r="L66" s="124" t="n">
        <f aca="false">J66*K66</f>
        <v>0</v>
      </c>
      <c r="M66" s="124" t="n">
        <f aca="false">SUM(J$6:J66)</f>
        <v>-532943</v>
      </c>
      <c r="N66" s="124" t="n">
        <f aca="false">SUM(J$6:J66)</f>
        <v>-532943</v>
      </c>
      <c r="P66" s="148" t="n">
        <f aca="false">D66/P$3</f>
        <v>-0.383</v>
      </c>
      <c r="Q66" s="124" t="n">
        <f aca="false">E66/P$3</f>
        <v>0</v>
      </c>
      <c r="R66" s="124" t="n">
        <f aca="false">F66/R$3</f>
        <v>0</v>
      </c>
      <c r="S66" s="126" t="n">
        <f aca="false">J66/$R$3</f>
        <v>11.091</v>
      </c>
      <c r="T66" s="126" t="n">
        <f aca="false">L66/$R$3</f>
        <v>0</v>
      </c>
      <c r="U66" s="126" t="n">
        <f aca="false">I66/$R$3</f>
        <v>-97.022</v>
      </c>
      <c r="V66" s="126" t="n">
        <f aca="false">M66/$R$3</f>
        <v>-532.943</v>
      </c>
      <c r="W66" s="126" t="n">
        <f aca="false">N66/$R$3</f>
        <v>-532.943</v>
      </c>
    </row>
    <row r="67" customFormat="false" ht="12.75" hidden="false" customHeight="false" outlineLevel="0" collapsed="false">
      <c r="A67" s="120" t="n">
        <f aca="false">A66+1</f>
        <v>36953</v>
      </c>
      <c r="B67" s="131" t="str">
        <f aca="false">INDEX('[4]Master Data'!$A$2:$B$8,MATCH(WEEKDAY('TBS CRD MTM'!A67,3),'[4]Master Data'!$A$2:$A$8,0),2)</f>
        <v>Sa</v>
      </c>
      <c r="D67" s="124" t="n">
        <v>0</v>
      </c>
      <c r="E67" s="124" t="n">
        <v>0</v>
      </c>
      <c r="F67" s="124" t="n">
        <v>0</v>
      </c>
      <c r="G67" s="124" t="n">
        <v>0</v>
      </c>
      <c r="I67" s="124" t="n">
        <f aca="false">IF(MONTH($A67)=MONTH($A66),IF(G67=0,I66,G67),G67)</f>
        <v>-97022</v>
      </c>
      <c r="J67" s="124" t="n">
        <f aca="false">IF(MONTH($A67)=MONTH($A66),SUM(I67-I66),I67)</f>
        <v>0</v>
      </c>
      <c r="K67" s="124" t="n">
        <f aca="false">IF(WEEKDAY(A67,3)&gt;4,0,(IF(A67&lt;K$2,0,IF(A67&lt;=K$3,1,0))))</f>
        <v>0</v>
      </c>
      <c r="L67" s="124" t="n">
        <f aca="false">J67*K67</f>
        <v>0</v>
      </c>
      <c r="M67" s="124" t="n">
        <f aca="false">SUM(J$6:J67)</f>
        <v>-532943</v>
      </c>
      <c r="N67" s="124" t="n">
        <f aca="false">SUM(J$6:J67)</f>
        <v>-532943</v>
      </c>
      <c r="P67" s="148" t="n">
        <f aca="false">D67/P$3</f>
        <v>0</v>
      </c>
      <c r="Q67" s="124" t="n">
        <f aca="false">E67/P$3</f>
        <v>0</v>
      </c>
      <c r="R67" s="124" t="n">
        <f aca="false">F67/R$3</f>
        <v>0</v>
      </c>
      <c r="S67" s="126" t="n">
        <f aca="false">J67/$R$3</f>
        <v>0</v>
      </c>
      <c r="T67" s="126" t="n">
        <f aca="false">L67/$R$3</f>
        <v>0</v>
      </c>
      <c r="U67" s="126" t="n">
        <f aca="false">I67/$R$3</f>
        <v>-97.022</v>
      </c>
      <c r="V67" s="126" t="n">
        <f aca="false">M67/$R$3</f>
        <v>-532.943</v>
      </c>
      <c r="W67" s="126" t="n">
        <f aca="false">N67/$R$3</f>
        <v>-532.943</v>
      </c>
    </row>
    <row r="68" customFormat="false" ht="12.75" hidden="false" customHeight="false" outlineLevel="0" collapsed="false">
      <c r="A68" s="120" t="n">
        <f aca="false">A67+1</f>
        <v>36954</v>
      </c>
      <c r="B68" s="131" t="str">
        <f aca="false">INDEX('[4]Master Data'!$A$2:$B$8,MATCH(WEEKDAY('TBS CRD MTM'!A68,3),'[4]Master Data'!$A$2:$A$8,0),2)</f>
        <v>Su</v>
      </c>
      <c r="D68" s="124" t="n">
        <v>0</v>
      </c>
      <c r="E68" s="124" t="n">
        <v>0</v>
      </c>
      <c r="F68" s="124" t="n">
        <v>0</v>
      </c>
      <c r="G68" s="124" t="n">
        <v>0</v>
      </c>
      <c r="I68" s="124" t="n">
        <f aca="false">IF(MONTH($A68)=MONTH($A67),IF(G68=0,I67,G68),G68)</f>
        <v>-97022</v>
      </c>
      <c r="J68" s="124" t="n">
        <f aca="false">IF(MONTH($A68)=MONTH($A67),SUM(I68-I67),I68)</f>
        <v>0</v>
      </c>
      <c r="K68" s="124" t="n">
        <f aca="false">IF(WEEKDAY(A68,3)&gt;4,0,(IF(A68&lt;K$2,0,IF(A68&lt;=K$3,1,0))))</f>
        <v>0</v>
      </c>
      <c r="L68" s="124" t="n">
        <f aca="false">J68*K68</f>
        <v>0</v>
      </c>
      <c r="M68" s="124" t="n">
        <f aca="false">SUM(J$6:J68)</f>
        <v>-532943</v>
      </c>
      <c r="N68" s="124" t="n">
        <f aca="false">SUM(J$6:J68)</f>
        <v>-532943</v>
      </c>
      <c r="P68" s="148" t="n">
        <f aca="false">D68/P$3</f>
        <v>0</v>
      </c>
      <c r="Q68" s="124" t="n">
        <f aca="false">E68/P$3</f>
        <v>0</v>
      </c>
      <c r="R68" s="124" t="n">
        <f aca="false">F68/R$3</f>
        <v>0</v>
      </c>
      <c r="S68" s="126" t="n">
        <f aca="false">J68/$R$3</f>
        <v>0</v>
      </c>
      <c r="T68" s="126" t="n">
        <f aca="false">L68/$R$3</f>
        <v>0</v>
      </c>
      <c r="U68" s="126" t="n">
        <f aca="false">I68/$R$3</f>
        <v>-97.022</v>
      </c>
      <c r="V68" s="126" t="n">
        <f aca="false">M68/$R$3</f>
        <v>-532.943</v>
      </c>
      <c r="W68" s="126" t="n">
        <f aca="false">N68/$R$3</f>
        <v>-532.943</v>
      </c>
    </row>
    <row r="69" customFormat="false" ht="12.75" hidden="false" customHeight="false" outlineLevel="0" collapsed="false">
      <c r="A69" s="120" t="n">
        <f aca="false">A68+1</f>
        <v>36955</v>
      </c>
      <c r="B69" s="131" t="str">
        <f aca="false">INDEX('[4]Master Data'!$A$2:$B$8,MATCH(WEEKDAY('TBS CRD MTM'!A69,3),'[4]Master Data'!$A$2:$A$8,0),2)</f>
        <v>M</v>
      </c>
      <c r="D69" s="124" t="n">
        <v>-375</v>
      </c>
      <c r="E69" s="124" t="n">
        <v>0</v>
      </c>
      <c r="F69" s="124" t="n">
        <v>0</v>
      </c>
      <c r="G69" s="124" t="n">
        <v>-189014</v>
      </c>
      <c r="I69" s="124" t="n">
        <f aca="false">IF(MONTH($A69)=MONTH($A68),IF(G69=0,I68,G69),G69)</f>
        <v>-189014</v>
      </c>
      <c r="J69" s="124" t="n">
        <f aca="false">IF(MONTH($A69)=MONTH($A68),SUM(I69-I68),I69)</f>
        <v>-91992</v>
      </c>
      <c r="K69" s="124" t="n">
        <f aca="false">IF(WEEKDAY(A69,3)&gt;4,0,(IF(A69&lt;K$2,0,IF(A69&lt;=K$3,1,0))))</f>
        <v>0</v>
      </c>
      <c r="L69" s="124" t="n">
        <f aca="false">J69*K69</f>
        <v>-0</v>
      </c>
      <c r="M69" s="124" t="n">
        <f aca="false">SUM(J$6:J69)</f>
        <v>-624935</v>
      </c>
      <c r="N69" s="124" t="n">
        <f aca="false">SUM(J$6:J69)</f>
        <v>-624935</v>
      </c>
      <c r="P69" s="148" t="n">
        <f aca="false">D69/P$3</f>
        <v>-0.375</v>
      </c>
      <c r="Q69" s="124" t="n">
        <f aca="false">E69/P$3</f>
        <v>0</v>
      </c>
      <c r="R69" s="124" t="n">
        <f aca="false">F69/R$3</f>
        <v>0</v>
      </c>
      <c r="S69" s="126" t="n">
        <f aca="false">J69/$R$3</f>
        <v>-91.992</v>
      </c>
      <c r="T69" s="126" t="n">
        <f aca="false">L69/$R$3</f>
        <v>-0</v>
      </c>
      <c r="U69" s="126" t="n">
        <f aca="false">I69/$R$3</f>
        <v>-189.014</v>
      </c>
      <c r="V69" s="126" t="n">
        <f aca="false">M69/$R$3</f>
        <v>-624.935</v>
      </c>
      <c r="W69" s="126" t="n">
        <f aca="false">N69/$R$3</f>
        <v>-624.935</v>
      </c>
    </row>
    <row r="70" customFormat="false" ht="12.75" hidden="false" customHeight="false" outlineLevel="0" collapsed="false">
      <c r="A70" s="120" t="n">
        <f aca="false">A69+1</f>
        <v>36956</v>
      </c>
      <c r="B70" s="131" t="str">
        <f aca="false">INDEX('[4]Master Data'!$A$2:$B$8,MATCH(WEEKDAY('TBS CRD MTM'!A70,3),'[4]Master Data'!$A$2:$A$8,0),2)</f>
        <v>T</v>
      </c>
      <c r="D70" s="124" t="n">
        <v>-365</v>
      </c>
      <c r="E70" s="124" t="n">
        <v>0</v>
      </c>
      <c r="F70" s="124" t="n">
        <v>0</v>
      </c>
      <c r="G70" s="124" t="n">
        <v>-181195</v>
      </c>
      <c r="I70" s="124" t="n">
        <f aca="false">IF(MONTH($A70)=MONTH($A69),IF(G70=0,I69,G70),G70)</f>
        <v>-181195</v>
      </c>
      <c r="J70" s="124" t="n">
        <f aca="false">IF(MONTH($A70)=MONTH($A69),SUM(I70-I69),I70)</f>
        <v>7819</v>
      </c>
      <c r="K70" s="124" t="n">
        <f aca="false">IF(WEEKDAY(A70,3)&gt;4,0,(IF(A70&lt;K$2,0,IF(A70&lt;=K$3,1,0))))</f>
        <v>0</v>
      </c>
      <c r="L70" s="124" t="n">
        <f aca="false">J70*K70</f>
        <v>0</v>
      </c>
      <c r="M70" s="124" t="n">
        <f aca="false">SUM(J$6:J70)</f>
        <v>-617116</v>
      </c>
      <c r="N70" s="124" t="n">
        <f aca="false">SUM(J$6:J70)</f>
        <v>-617116</v>
      </c>
      <c r="P70" s="148" t="n">
        <f aca="false">D70/P$3</f>
        <v>-0.365</v>
      </c>
      <c r="Q70" s="124" t="n">
        <f aca="false">E70/P$3</f>
        <v>0</v>
      </c>
      <c r="R70" s="124" t="n">
        <f aca="false">F70/R$3</f>
        <v>0</v>
      </c>
      <c r="S70" s="126" t="n">
        <f aca="false">J70/$R$3</f>
        <v>7.819</v>
      </c>
      <c r="T70" s="126" t="n">
        <f aca="false">L70/$R$3</f>
        <v>0</v>
      </c>
      <c r="U70" s="126" t="n">
        <f aca="false">I70/$R$3</f>
        <v>-181.195</v>
      </c>
      <c r="V70" s="126" t="n">
        <f aca="false">M70/$R$3</f>
        <v>-617.116</v>
      </c>
      <c r="W70" s="126" t="n">
        <f aca="false">N70/$R$3</f>
        <v>-617.116</v>
      </c>
    </row>
    <row r="71" customFormat="false" ht="12.75" hidden="false" customHeight="false" outlineLevel="0" collapsed="false">
      <c r="A71" s="120" t="n">
        <f aca="false">A70+1</f>
        <v>36957</v>
      </c>
      <c r="B71" s="131" t="str">
        <f aca="false">INDEX('[4]Master Data'!$A$2:$B$8,MATCH(WEEKDAY('TBS CRD MTM'!A71,3),'[4]Master Data'!$A$2:$A$8,0),2)</f>
        <v>W</v>
      </c>
      <c r="D71" s="124" t="n">
        <v>-346</v>
      </c>
      <c r="E71" s="124" t="n">
        <v>0</v>
      </c>
      <c r="F71" s="124" t="n">
        <v>0</v>
      </c>
      <c r="G71" s="124" t="n">
        <v>-418252</v>
      </c>
      <c r="I71" s="124" t="n">
        <f aca="false">IF(MONTH($A71)=MONTH($A70),IF(G71=0,I70,G71),G71)</f>
        <v>-418252</v>
      </c>
      <c r="J71" s="124" t="n">
        <f aca="false">IF(MONTH($A71)=MONTH($A70),SUM(I71-I70),I71)</f>
        <v>-237057</v>
      </c>
      <c r="K71" s="124" t="n">
        <f aca="false">IF(WEEKDAY(A71,3)&gt;4,0,(IF(A71&lt;K$2,0,IF(A71&lt;=K$3,1,0))))</f>
        <v>0</v>
      </c>
      <c r="L71" s="124" t="n">
        <f aca="false">J71*K71</f>
        <v>-0</v>
      </c>
      <c r="M71" s="124" t="n">
        <f aca="false">SUM(J$6:J71)</f>
        <v>-854173</v>
      </c>
      <c r="N71" s="124" t="n">
        <f aca="false">SUM(J$6:J71)</f>
        <v>-854173</v>
      </c>
      <c r="P71" s="148" t="n">
        <f aca="false">D71/P$3</f>
        <v>-0.346</v>
      </c>
      <c r="Q71" s="124" t="n">
        <f aca="false">E71/P$3</f>
        <v>0</v>
      </c>
      <c r="R71" s="124" t="n">
        <f aca="false">F71/R$3</f>
        <v>0</v>
      </c>
      <c r="S71" s="126" t="n">
        <f aca="false">J71/$R$3</f>
        <v>-237.057</v>
      </c>
      <c r="T71" s="126" t="n">
        <f aca="false">L71/$R$3</f>
        <v>-0</v>
      </c>
      <c r="U71" s="126" t="n">
        <f aca="false">I71/$R$3</f>
        <v>-418.252</v>
      </c>
      <c r="V71" s="126" t="n">
        <f aca="false">M71/$R$3</f>
        <v>-854.173</v>
      </c>
      <c r="W71" s="126" t="n">
        <f aca="false">N71/$R$3</f>
        <v>-854.173</v>
      </c>
    </row>
    <row r="72" customFormat="false" ht="12.75" hidden="false" customHeight="false" outlineLevel="0" collapsed="false">
      <c r="A72" s="120" t="n">
        <f aca="false">A71+1</f>
        <v>36958</v>
      </c>
      <c r="B72" s="131" t="str">
        <f aca="false">INDEX('[4]Master Data'!$A$2:$B$8,MATCH(WEEKDAY('TBS CRD MTM'!A72,3),'[4]Master Data'!$A$2:$A$8,0),2)</f>
        <v>Th</v>
      </c>
      <c r="D72" s="124" t="n">
        <v>-357</v>
      </c>
      <c r="E72" s="124" t="n">
        <v>0</v>
      </c>
      <c r="F72" s="124" t="n">
        <v>0</v>
      </c>
      <c r="G72" s="124" t="n">
        <v>-272530</v>
      </c>
      <c r="I72" s="124" t="n">
        <f aca="false">IF(MONTH($A72)=MONTH($A71),IF(G72=0,I71,G72),G72)</f>
        <v>-272530</v>
      </c>
      <c r="J72" s="124" t="n">
        <f aca="false">IF(MONTH($A72)=MONTH($A71),SUM(I72-I71),I72)</f>
        <v>145722</v>
      </c>
      <c r="K72" s="124" t="n">
        <f aca="false">IF(WEEKDAY(A72,3)&gt;4,0,(IF(A72&lt;K$2,0,IF(A72&lt;=K$3,1,0))))</f>
        <v>0</v>
      </c>
      <c r="L72" s="124" t="n">
        <f aca="false">J72*K72</f>
        <v>0</v>
      </c>
      <c r="M72" s="124" t="n">
        <f aca="false">SUM(J$6:J72)</f>
        <v>-708451</v>
      </c>
      <c r="N72" s="124" t="n">
        <f aca="false">SUM(J$6:J72)</f>
        <v>-708451</v>
      </c>
      <c r="P72" s="148" t="n">
        <f aca="false">D72/P$3</f>
        <v>-0.357</v>
      </c>
      <c r="Q72" s="124" t="n">
        <f aca="false">E72/P$3</f>
        <v>0</v>
      </c>
      <c r="R72" s="124" t="n">
        <f aca="false">F72/R$3</f>
        <v>0</v>
      </c>
      <c r="S72" s="126" t="n">
        <f aca="false">J72/$R$3</f>
        <v>145.722</v>
      </c>
      <c r="T72" s="126" t="n">
        <f aca="false">L72/$R$3</f>
        <v>0</v>
      </c>
      <c r="U72" s="126" t="n">
        <f aca="false">I72/$R$3</f>
        <v>-272.53</v>
      </c>
      <c r="V72" s="126" t="n">
        <f aca="false">M72/$R$3</f>
        <v>-708.451</v>
      </c>
      <c r="W72" s="126" t="n">
        <f aca="false">N72/$R$3</f>
        <v>-708.451</v>
      </c>
    </row>
    <row r="73" customFormat="false" ht="12.75" hidden="false" customHeight="false" outlineLevel="0" collapsed="false">
      <c r="A73" s="120" t="n">
        <f aca="false">A72+1</f>
        <v>36959</v>
      </c>
      <c r="B73" s="131" t="str">
        <f aca="false">INDEX('[4]Master Data'!$A$2:$B$8,MATCH(WEEKDAY('TBS CRD MTM'!A73,3),'[4]Master Data'!$A$2:$A$8,0),2)</f>
        <v>F</v>
      </c>
      <c r="D73" s="124" t="n">
        <v>-355</v>
      </c>
      <c r="E73" s="124" t="n">
        <v>0</v>
      </c>
      <c r="F73" s="124" t="n">
        <v>0</v>
      </c>
      <c r="G73" s="124" t="n">
        <v>-288502</v>
      </c>
      <c r="I73" s="124" t="n">
        <f aca="false">IF(MONTH($A73)=MONTH($A72),IF(G73=0,I72,G73),G73)</f>
        <v>-288502</v>
      </c>
      <c r="J73" s="124" t="n">
        <f aca="false">IF(MONTH($A73)=MONTH($A72),SUM(I73-I72),I73)</f>
        <v>-15972</v>
      </c>
      <c r="K73" s="124" t="n">
        <f aca="false">IF(WEEKDAY(A73,3)&gt;4,0,(IF(A73&lt;K$2,0,IF(A73&lt;=K$3,1,0))))</f>
        <v>0</v>
      </c>
      <c r="L73" s="124" t="n">
        <f aca="false">J73*K73</f>
        <v>-0</v>
      </c>
      <c r="M73" s="124" t="n">
        <f aca="false">SUM(J$6:J73)</f>
        <v>-724423</v>
      </c>
      <c r="N73" s="124" t="n">
        <f aca="false">SUM(J$6:J73)</f>
        <v>-724423</v>
      </c>
      <c r="P73" s="148" t="n">
        <f aca="false">D73/P$3</f>
        <v>-0.355</v>
      </c>
      <c r="Q73" s="124" t="n">
        <f aca="false">E73/P$3</f>
        <v>0</v>
      </c>
      <c r="R73" s="124" t="n">
        <f aca="false">F73/R$3</f>
        <v>0</v>
      </c>
      <c r="S73" s="126" t="n">
        <f aca="false">J73/$R$3</f>
        <v>-15.972</v>
      </c>
      <c r="T73" s="126" t="n">
        <f aca="false">L73/$R$3</f>
        <v>-0</v>
      </c>
      <c r="U73" s="126" t="n">
        <f aca="false">I73/$R$3</f>
        <v>-288.502</v>
      </c>
      <c r="V73" s="126" t="n">
        <f aca="false">M73/$R$3</f>
        <v>-724.423</v>
      </c>
      <c r="W73" s="126" t="n">
        <f aca="false">N73/$R$3</f>
        <v>-724.423</v>
      </c>
    </row>
    <row r="74" customFormat="false" ht="12.75" hidden="false" customHeight="false" outlineLevel="0" collapsed="false">
      <c r="A74" s="120" t="n">
        <f aca="false">A73+1</f>
        <v>36960</v>
      </c>
      <c r="B74" s="131" t="str">
        <f aca="false">INDEX('[4]Master Data'!$A$2:$B$8,MATCH(WEEKDAY('TBS CRD MTM'!A74,3),'[4]Master Data'!$A$2:$A$8,0),2)</f>
        <v>Sa</v>
      </c>
      <c r="D74" s="124" t="n">
        <v>0</v>
      </c>
      <c r="E74" s="124" t="n">
        <v>0</v>
      </c>
      <c r="F74" s="124" t="n">
        <v>0</v>
      </c>
      <c r="G74" s="124" t="n">
        <v>0</v>
      </c>
      <c r="I74" s="124" t="n">
        <f aca="false">IF(MONTH($A74)=MONTH($A73),IF(G74=0,I73,G74),G74)</f>
        <v>-288502</v>
      </c>
      <c r="J74" s="124" t="n">
        <f aca="false">IF(MONTH($A74)=MONTH($A73),SUM(I74-I73),I74)</f>
        <v>0</v>
      </c>
      <c r="K74" s="124" t="n">
        <f aca="false">IF(WEEKDAY(A74,3)&gt;4,0,(IF(A74&lt;K$2,0,IF(A74&lt;=K$3,1,0))))</f>
        <v>0</v>
      </c>
      <c r="L74" s="124" t="n">
        <f aca="false">J74*K74</f>
        <v>0</v>
      </c>
      <c r="M74" s="124" t="n">
        <f aca="false">SUM(J$6:J74)</f>
        <v>-724423</v>
      </c>
      <c r="N74" s="124" t="n">
        <f aca="false">SUM(J$6:J74)</f>
        <v>-724423</v>
      </c>
      <c r="P74" s="148" t="n">
        <f aca="false">D74/P$3</f>
        <v>0</v>
      </c>
      <c r="Q74" s="124" t="n">
        <f aca="false">E74/P$3</f>
        <v>0</v>
      </c>
      <c r="R74" s="124" t="n">
        <f aca="false">F74/R$3</f>
        <v>0</v>
      </c>
      <c r="S74" s="126" t="n">
        <f aca="false">J74/$R$3</f>
        <v>0</v>
      </c>
      <c r="T74" s="126" t="n">
        <f aca="false">L74/$R$3</f>
        <v>0</v>
      </c>
      <c r="U74" s="126" t="n">
        <f aca="false">I74/$R$3</f>
        <v>-288.502</v>
      </c>
      <c r="V74" s="126" t="n">
        <f aca="false">M74/$R$3</f>
        <v>-724.423</v>
      </c>
      <c r="W74" s="126" t="n">
        <f aca="false">N74/$R$3</f>
        <v>-724.423</v>
      </c>
    </row>
    <row r="75" customFormat="false" ht="12.75" hidden="false" customHeight="false" outlineLevel="0" collapsed="false">
      <c r="A75" s="120" t="n">
        <f aca="false">A74+1</f>
        <v>36961</v>
      </c>
      <c r="B75" s="131" t="str">
        <f aca="false">INDEX('[4]Master Data'!$A$2:$B$8,MATCH(WEEKDAY('TBS CRD MTM'!A75,3),'[4]Master Data'!$A$2:$A$8,0),2)</f>
        <v>Su</v>
      </c>
      <c r="D75" s="124" t="n">
        <v>0</v>
      </c>
      <c r="E75" s="124" t="n">
        <v>0</v>
      </c>
      <c r="F75" s="124" t="n">
        <v>0</v>
      </c>
      <c r="G75" s="124" t="n">
        <v>0</v>
      </c>
      <c r="I75" s="124" t="n">
        <f aca="false">IF(MONTH($A75)=MONTH($A74),IF(G75=0,I74,G75),G75)</f>
        <v>-288502</v>
      </c>
      <c r="J75" s="124" t="n">
        <f aca="false">IF(MONTH($A75)=MONTH($A74),SUM(I75-I74),I75)</f>
        <v>0</v>
      </c>
      <c r="K75" s="124" t="n">
        <f aca="false">IF(WEEKDAY(A75,3)&gt;4,0,(IF(A75&lt;K$2,0,IF(A75&lt;=K$3,1,0))))</f>
        <v>0</v>
      </c>
      <c r="L75" s="124" t="n">
        <f aca="false">J75*K75</f>
        <v>0</v>
      </c>
      <c r="M75" s="124" t="n">
        <f aca="false">SUM(J$6:J75)</f>
        <v>-724423</v>
      </c>
      <c r="N75" s="124" t="n">
        <f aca="false">SUM(J$6:J75)</f>
        <v>-724423</v>
      </c>
      <c r="P75" s="148" t="n">
        <f aca="false">D75/P$3</f>
        <v>0</v>
      </c>
      <c r="Q75" s="124" t="n">
        <f aca="false">E75/P$3</f>
        <v>0</v>
      </c>
      <c r="R75" s="124" t="n">
        <f aca="false">F75/R$3</f>
        <v>0</v>
      </c>
      <c r="S75" s="126" t="n">
        <f aca="false">J75/$R$3</f>
        <v>0</v>
      </c>
      <c r="T75" s="126" t="n">
        <f aca="false">L75/$R$3</f>
        <v>0</v>
      </c>
      <c r="U75" s="126" t="n">
        <f aca="false">I75/$R$3</f>
        <v>-288.502</v>
      </c>
      <c r="V75" s="126" t="n">
        <f aca="false">M75/$R$3</f>
        <v>-724.423</v>
      </c>
      <c r="W75" s="126" t="n">
        <f aca="false">N75/$R$3</f>
        <v>-724.423</v>
      </c>
    </row>
    <row r="76" customFormat="false" ht="12.75" hidden="false" customHeight="false" outlineLevel="0" collapsed="false">
      <c r="A76" s="120" t="n">
        <f aca="false">A75+1</f>
        <v>36962</v>
      </c>
      <c r="B76" s="131" t="str">
        <f aca="false">INDEX('[4]Master Data'!$A$2:$B$8,MATCH(WEEKDAY('TBS CRD MTM'!A76,3),'[4]Master Data'!$A$2:$A$8,0),2)</f>
        <v>M</v>
      </c>
      <c r="D76" s="124" t="n">
        <v>-347</v>
      </c>
      <c r="E76" s="124" t="n">
        <v>0</v>
      </c>
      <c r="F76" s="124" t="n">
        <v>0</v>
      </c>
      <c r="G76" s="124" t="n">
        <v>-334978</v>
      </c>
      <c r="I76" s="124" t="n">
        <f aca="false">IF(MONTH($A76)=MONTH($A75),IF(G76=0,I75,G76),G76)</f>
        <v>-334978</v>
      </c>
      <c r="J76" s="124" t="n">
        <f aca="false">IF(MONTH($A76)=MONTH($A75),SUM(I76-I75),I76)</f>
        <v>-46476</v>
      </c>
      <c r="K76" s="124" t="n">
        <f aca="false">IF(WEEKDAY(A76,3)&gt;4,0,(IF(A76&lt;K$2,0,IF(A76&lt;=K$3,1,0))))</f>
        <v>0</v>
      </c>
      <c r="L76" s="124" t="n">
        <f aca="false">J76*K76</f>
        <v>-0</v>
      </c>
      <c r="M76" s="124" t="n">
        <f aca="false">SUM(J$6:J76)</f>
        <v>-770899</v>
      </c>
      <c r="N76" s="124" t="n">
        <f aca="false">SUM(J$6:J76)</f>
        <v>-770899</v>
      </c>
      <c r="P76" s="148" t="n">
        <f aca="false">D76/P$3</f>
        <v>-0.347</v>
      </c>
      <c r="Q76" s="124" t="n">
        <f aca="false">E76/P$3</f>
        <v>0</v>
      </c>
      <c r="R76" s="124" t="n">
        <f aca="false">F76/R$3</f>
        <v>0</v>
      </c>
      <c r="S76" s="126" t="n">
        <f aca="false">J76/$R$3</f>
        <v>-46.476</v>
      </c>
      <c r="T76" s="126" t="n">
        <f aca="false">L76/$R$3</f>
        <v>-0</v>
      </c>
      <c r="U76" s="126" t="n">
        <f aca="false">I76/$R$3</f>
        <v>-334.978</v>
      </c>
      <c r="V76" s="126" t="n">
        <f aca="false">M76/$R$3</f>
        <v>-770.899</v>
      </c>
      <c r="W76" s="126" t="n">
        <f aca="false">N76/$R$3</f>
        <v>-770.899</v>
      </c>
    </row>
    <row r="77" customFormat="false" ht="12.75" hidden="false" customHeight="false" outlineLevel="0" collapsed="false">
      <c r="A77" s="120" t="n">
        <f aca="false">A76+1</f>
        <v>36963</v>
      </c>
      <c r="B77" s="131" t="str">
        <f aca="false">INDEX('[4]Master Data'!$A$2:$B$8,MATCH(WEEKDAY('TBS CRD MTM'!A77,3),'[4]Master Data'!$A$2:$A$8,0),2)</f>
        <v>T</v>
      </c>
      <c r="D77" s="124" t="n">
        <v>-355</v>
      </c>
      <c r="E77" s="124" t="n">
        <v>0</v>
      </c>
      <c r="F77" s="124" t="n">
        <v>0</v>
      </c>
      <c r="G77" s="124" t="n">
        <v>-128751</v>
      </c>
      <c r="I77" s="124" t="n">
        <f aca="false">IF(MONTH($A77)=MONTH($A76),IF(G77=0,I76,G77),G77)</f>
        <v>-128751</v>
      </c>
      <c r="J77" s="124" t="n">
        <f aca="false">IF(MONTH($A77)=MONTH($A76),SUM(I77-I76),I77)</f>
        <v>206227</v>
      </c>
      <c r="K77" s="124" t="n">
        <f aca="false">IF(WEEKDAY(A77,3)&gt;4,0,(IF(A77&lt;K$2,0,IF(A77&lt;=K$3,1,0))))</f>
        <v>0</v>
      </c>
      <c r="L77" s="124" t="n">
        <f aca="false">J77*K77</f>
        <v>0</v>
      </c>
      <c r="M77" s="124" t="n">
        <f aca="false">SUM(J$6:J77)</f>
        <v>-564672</v>
      </c>
      <c r="N77" s="124" t="n">
        <f aca="false">SUM(J$6:J77)</f>
        <v>-564672</v>
      </c>
      <c r="P77" s="148" t="n">
        <f aca="false">D77/P$3</f>
        <v>-0.355</v>
      </c>
      <c r="Q77" s="124" t="n">
        <f aca="false">E77/P$3</f>
        <v>0</v>
      </c>
      <c r="R77" s="124" t="n">
        <f aca="false">F77/R$3</f>
        <v>0</v>
      </c>
      <c r="S77" s="126" t="n">
        <f aca="false">J77/$R$3</f>
        <v>206.227</v>
      </c>
      <c r="T77" s="126" t="n">
        <f aca="false">L77/$R$3</f>
        <v>0</v>
      </c>
      <c r="U77" s="126" t="n">
        <f aca="false">I77/$R$3</f>
        <v>-128.751</v>
      </c>
      <c r="V77" s="126" t="n">
        <f aca="false">M77/$R$3</f>
        <v>-564.672</v>
      </c>
      <c r="W77" s="126" t="n">
        <f aca="false">N77/$R$3</f>
        <v>-564.672</v>
      </c>
    </row>
    <row r="78" customFormat="false" ht="12.75" hidden="false" customHeight="false" outlineLevel="0" collapsed="false">
      <c r="A78" s="120" t="n">
        <f aca="false">A77+1</f>
        <v>36964</v>
      </c>
      <c r="B78" s="131" t="str">
        <f aca="false">INDEX('[4]Master Data'!$A$2:$B$8,MATCH(WEEKDAY('TBS CRD MTM'!A78,3),'[4]Master Data'!$A$2:$A$8,0),2)</f>
        <v>W</v>
      </c>
      <c r="D78" s="124" t="n">
        <v>-610</v>
      </c>
      <c r="E78" s="124" t="n">
        <v>0</v>
      </c>
      <c r="F78" s="124" t="n">
        <v>0</v>
      </c>
      <c r="G78" s="124" t="n">
        <v>-44735</v>
      </c>
      <c r="I78" s="124" t="n">
        <f aca="false">IF(MONTH($A78)=MONTH($A77),IF(G78=0,I77,G78),G78)</f>
        <v>-44735</v>
      </c>
      <c r="J78" s="124" t="n">
        <f aca="false">IF(MONTH($A78)=MONTH($A77),SUM(I78-I77),I78)</f>
        <v>84016</v>
      </c>
      <c r="K78" s="124" t="n">
        <f aca="false">IF(WEEKDAY(A78,3)&gt;4,0,(IF(A78&lt;K$2,0,IF(A78&lt;=K$3,1,0))))</f>
        <v>0</v>
      </c>
      <c r="L78" s="124" t="n">
        <f aca="false">J78*K78</f>
        <v>0</v>
      </c>
      <c r="M78" s="124" t="n">
        <f aca="false">SUM(J$6:J78)</f>
        <v>-480656</v>
      </c>
      <c r="N78" s="124" t="n">
        <f aca="false">SUM(J$6:J78)</f>
        <v>-480656</v>
      </c>
      <c r="P78" s="148" t="n">
        <f aca="false">D78/P$3</f>
        <v>-0.61</v>
      </c>
      <c r="Q78" s="124" t="n">
        <f aca="false">E78/P$3</f>
        <v>0</v>
      </c>
      <c r="R78" s="124" t="n">
        <f aca="false">F78/R$3</f>
        <v>0</v>
      </c>
      <c r="S78" s="126" t="n">
        <f aca="false">J78/$R$3</f>
        <v>84.016</v>
      </c>
      <c r="T78" s="126" t="n">
        <f aca="false">L78/$R$3</f>
        <v>0</v>
      </c>
      <c r="U78" s="126" t="n">
        <f aca="false">I78/$R$3</f>
        <v>-44.735</v>
      </c>
      <c r="V78" s="126" t="n">
        <f aca="false">M78/$R$3</f>
        <v>-480.656</v>
      </c>
      <c r="W78" s="126" t="n">
        <f aca="false">N78/$R$3</f>
        <v>-480.656</v>
      </c>
    </row>
    <row r="79" customFormat="false" ht="12.75" hidden="false" customHeight="false" outlineLevel="0" collapsed="false">
      <c r="A79" s="120" t="n">
        <f aca="false">A78+1</f>
        <v>36965</v>
      </c>
      <c r="B79" s="131" t="str">
        <f aca="false">INDEX('[4]Master Data'!$A$2:$B$8,MATCH(WEEKDAY('TBS CRD MTM'!A79,3),'[4]Master Data'!$A$2:$A$8,0),2)</f>
        <v>Th</v>
      </c>
      <c r="D79" s="124" t="n">
        <v>-599</v>
      </c>
      <c r="E79" s="124" t="n">
        <v>0</v>
      </c>
      <c r="F79" s="124" t="n">
        <v>0</v>
      </c>
      <c r="G79" s="124" t="n">
        <v>-435564</v>
      </c>
      <c r="I79" s="124" t="n">
        <f aca="false">IF(MONTH($A79)=MONTH($A78),IF(G79=0,I78,G79),G79)</f>
        <v>-435564</v>
      </c>
      <c r="J79" s="124" t="n">
        <f aca="false">IF(MONTH($A79)=MONTH($A78),SUM(I79-I78),I79)</f>
        <v>-390829</v>
      </c>
      <c r="K79" s="124" t="n">
        <f aca="false">IF(WEEKDAY(A79,3)&gt;4,0,(IF(A79&lt;K$2,0,IF(A79&lt;=K$3,1,0))))</f>
        <v>0</v>
      </c>
      <c r="L79" s="124" t="n">
        <f aca="false">J79*K79</f>
        <v>-0</v>
      </c>
      <c r="M79" s="124" t="n">
        <f aca="false">SUM(J$6:J79)</f>
        <v>-871485</v>
      </c>
      <c r="N79" s="124" t="n">
        <f aca="false">SUM(J$6:J79)</f>
        <v>-871485</v>
      </c>
      <c r="P79" s="148" t="n">
        <f aca="false">D79/P$3</f>
        <v>-0.599</v>
      </c>
      <c r="Q79" s="124" t="n">
        <f aca="false">E79/P$3</f>
        <v>0</v>
      </c>
      <c r="R79" s="124" t="n">
        <f aca="false">F79/R$3</f>
        <v>0</v>
      </c>
      <c r="S79" s="126" t="n">
        <f aca="false">J79/$R$3</f>
        <v>-390.829</v>
      </c>
      <c r="T79" s="126" t="n">
        <f aca="false">L79/$R$3</f>
        <v>-0</v>
      </c>
      <c r="U79" s="126" t="n">
        <f aca="false">I79/$R$3</f>
        <v>-435.564</v>
      </c>
      <c r="V79" s="126" t="n">
        <f aca="false">M79/$R$3</f>
        <v>-871.485</v>
      </c>
      <c r="W79" s="126" t="n">
        <f aca="false">N79/$R$3</f>
        <v>-871.485</v>
      </c>
    </row>
    <row r="80" customFormat="false" ht="12.75" hidden="false" customHeight="false" outlineLevel="0" collapsed="false">
      <c r="A80" s="120" t="n">
        <f aca="false">A79+1</f>
        <v>36966</v>
      </c>
      <c r="B80" s="131" t="str">
        <f aca="false">INDEX('[4]Master Data'!$A$2:$B$8,MATCH(WEEKDAY('TBS CRD MTM'!A80,3),'[4]Master Data'!$A$2:$A$8,0),2)</f>
        <v>F</v>
      </c>
      <c r="D80" s="124" t="n">
        <v>-609</v>
      </c>
      <c r="E80" s="124" t="n">
        <v>0</v>
      </c>
      <c r="F80" s="124" t="n">
        <v>0</v>
      </c>
      <c r="G80" s="124" t="n">
        <v>-230300</v>
      </c>
      <c r="I80" s="124" t="n">
        <f aca="false">IF(MONTH($A80)=MONTH($A79),IF(G80=0,I79,G80),G80)</f>
        <v>-230300</v>
      </c>
      <c r="J80" s="124" t="n">
        <f aca="false">IF(MONTH($A80)=MONTH($A79),SUM(I80-I79),I80)</f>
        <v>205264</v>
      </c>
      <c r="K80" s="124" t="n">
        <f aca="false">IF(WEEKDAY(A80,3)&gt;4,0,(IF(A80&lt;K$2,0,IF(A80&lt;=K$3,1,0))))</f>
        <v>0</v>
      </c>
      <c r="L80" s="124" t="n">
        <f aca="false">J80*K80</f>
        <v>0</v>
      </c>
      <c r="M80" s="124" t="n">
        <f aca="false">SUM(J$6:J80)</f>
        <v>-666221</v>
      </c>
      <c r="N80" s="124" t="n">
        <f aca="false">SUM(J$6:J80)</f>
        <v>-666221</v>
      </c>
      <c r="P80" s="148" t="n">
        <f aca="false">D80/P$3</f>
        <v>-0.609</v>
      </c>
      <c r="Q80" s="124" t="n">
        <f aca="false">E80/P$3</f>
        <v>0</v>
      </c>
      <c r="R80" s="124" t="n">
        <f aca="false">F80/R$3</f>
        <v>0</v>
      </c>
      <c r="S80" s="126" t="n">
        <f aca="false">J80/$R$3</f>
        <v>205.264</v>
      </c>
      <c r="T80" s="126" t="n">
        <f aca="false">L80/$R$3</f>
        <v>0</v>
      </c>
      <c r="U80" s="126" t="n">
        <f aca="false">I80/$R$3</f>
        <v>-230.3</v>
      </c>
      <c r="V80" s="126" t="n">
        <f aca="false">M80/$R$3</f>
        <v>-666.221</v>
      </c>
      <c r="W80" s="126" t="n">
        <f aca="false">N80/$R$3</f>
        <v>-666.221</v>
      </c>
    </row>
    <row r="81" customFormat="false" ht="12.75" hidden="false" customHeight="false" outlineLevel="0" collapsed="false">
      <c r="A81" s="120" t="n">
        <f aca="false">A80+1</f>
        <v>36967</v>
      </c>
      <c r="B81" s="131" t="str">
        <f aca="false">INDEX('[4]Master Data'!$A$2:$B$8,MATCH(WEEKDAY('TBS CRD MTM'!A81,3),'[4]Master Data'!$A$2:$A$8,0),2)</f>
        <v>Sa</v>
      </c>
      <c r="D81" s="124" t="n">
        <v>0</v>
      </c>
      <c r="E81" s="124" t="n">
        <v>0</v>
      </c>
      <c r="F81" s="124" t="n">
        <v>0</v>
      </c>
      <c r="G81" s="124" t="n">
        <v>0</v>
      </c>
      <c r="I81" s="124" t="n">
        <f aca="false">IF(MONTH($A81)=MONTH($A80),IF(G81=0,I80,G81),G81)</f>
        <v>-230300</v>
      </c>
      <c r="J81" s="124" t="n">
        <f aca="false">IF(MONTH($A81)=MONTH($A80),SUM(I81-I80),I81)</f>
        <v>0</v>
      </c>
      <c r="K81" s="124" t="n">
        <f aca="false">IF(WEEKDAY(A81,3)&gt;4,0,(IF(A81&lt;K$2,0,IF(A81&lt;=K$3,1,0))))</f>
        <v>0</v>
      </c>
      <c r="L81" s="124" t="n">
        <f aca="false">J81*K81</f>
        <v>0</v>
      </c>
      <c r="M81" s="124" t="n">
        <f aca="false">SUM(J$6:J81)</f>
        <v>-666221</v>
      </c>
      <c r="N81" s="124" t="n">
        <f aca="false">SUM(J$6:J81)</f>
        <v>-666221</v>
      </c>
      <c r="P81" s="148" t="n">
        <f aca="false">D81/P$3</f>
        <v>0</v>
      </c>
      <c r="Q81" s="124" t="n">
        <f aca="false">E81/P$3</f>
        <v>0</v>
      </c>
      <c r="R81" s="124" t="n">
        <f aca="false">F81/R$3</f>
        <v>0</v>
      </c>
      <c r="S81" s="126" t="n">
        <f aca="false">J81/$R$3</f>
        <v>0</v>
      </c>
      <c r="T81" s="126" t="n">
        <f aca="false">L81/$R$3</f>
        <v>0</v>
      </c>
      <c r="U81" s="126" t="n">
        <f aca="false">I81/$R$3</f>
        <v>-230.3</v>
      </c>
      <c r="V81" s="126" t="n">
        <f aca="false">M81/$R$3</f>
        <v>-666.221</v>
      </c>
      <c r="W81" s="126" t="n">
        <f aca="false">N81/$R$3</f>
        <v>-666.221</v>
      </c>
    </row>
    <row r="82" customFormat="false" ht="12.75" hidden="false" customHeight="false" outlineLevel="0" collapsed="false">
      <c r="A82" s="120" t="n">
        <f aca="false">A81+1</f>
        <v>36968</v>
      </c>
      <c r="B82" s="131" t="str">
        <f aca="false">INDEX('[4]Master Data'!$A$2:$B$8,MATCH(WEEKDAY('TBS CRD MTM'!A82,3),'[4]Master Data'!$A$2:$A$8,0),2)</f>
        <v>Su</v>
      </c>
      <c r="D82" s="124" t="n">
        <v>0</v>
      </c>
      <c r="E82" s="124" t="n">
        <v>0</v>
      </c>
      <c r="F82" s="124" t="n">
        <v>0</v>
      </c>
      <c r="G82" s="124" t="n">
        <v>0</v>
      </c>
      <c r="I82" s="124" t="n">
        <f aca="false">IF(MONTH($A82)=MONTH($A81),IF(G82=0,I81,G82),G82)</f>
        <v>-230300</v>
      </c>
      <c r="J82" s="124" t="n">
        <f aca="false">IF(MONTH($A82)=MONTH($A81),SUM(I82-I81),I82)</f>
        <v>0</v>
      </c>
      <c r="K82" s="124" t="n">
        <f aca="false">IF(WEEKDAY(A82,3)&gt;4,0,(IF(A82&lt;K$2,0,IF(A82&lt;=K$3,1,0))))</f>
        <v>0</v>
      </c>
      <c r="L82" s="124" t="n">
        <f aca="false">J82*K82</f>
        <v>0</v>
      </c>
      <c r="M82" s="124" t="n">
        <f aca="false">SUM(J$6:J82)</f>
        <v>-666221</v>
      </c>
      <c r="N82" s="124" t="n">
        <f aca="false">SUM(J$6:J82)</f>
        <v>-666221</v>
      </c>
      <c r="P82" s="148" t="n">
        <f aca="false">D82/P$3</f>
        <v>0</v>
      </c>
      <c r="Q82" s="124" t="n">
        <f aca="false">E82/P$3</f>
        <v>0</v>
      </c>
      <c r="R82" s="124" t="n">
        <f aca="false">F82/R$3</f>
        <v>0</v>
      </c>
      <c r="S82" s="126" t="n">
        <f aca="false">J82/$R$3</f>
        <v>0</v>
      </c>
      <c r="T82" s="126" t="n">
        <f aca="false">L82/$R$3</f>
        <v>0</v>
      </c>
      <c r="U82" s="126" t="n">
        <f aca="false">I82/$R$3</f>
        <v>-230.3</v>
      </c>
      <c r="V82" s="126" t="n">
        <f aca="false">M82/$R$3</f>
        <v>-666.221</v>
      </c>
      <c r="W82" s="126" t="n">
        <f aca="false">N82/$R$3</f>
        <v>-666.221</v>
      </c>
    </row>
    <row r="83" customFormat="false" ht="12.75" hidden="false" customHeight="false" outlineLevel="0" collapsed="false">
      <c r="A83" s="120" t="n">
        <f aca="false">A82+1</f>
        <v>36969</v>
      </c>
      <c r="B83" s="131" t="str">
        <f aca="false">INDEX('[4]Master Data'!$A$2:$B$8,MATCH(WEEKDAY('TBS CRD MTM'!A83,3),'[4]Master Data'!$A$2:$A$8,0),2)</f>
        <v>M</v>
      </c>
      <c r="D83" s="124" t="n">
        <v>-605</v>
      </c>
      <c r="E83" s="124" t="n">
        <v>0</v>
      </c>
      <c r="F83" s="124" t="n">
        <v>0</v>
      </c>
      <c r="G83" s="124" t="n">
        <v>-392165</v>
      </c>
      <c r="I83" s="124" t="n">
        <f aca="false">IF(MONTH($A83)=MONTH($A82),IF(G83=0,I82,G83),G83)</f>
        <v>-392165</v>
      </c>
      <c r="J83" s="124" t="n">
        <f aca="false">IF(MONTH($A83)=MONTH($A82),SUM(I83-I82),I83)</f>
        <v>-161865</v>
      </c>
      <c r="K83" s="124" t="n">
        <f aca="false">IF(WEEKDAY(A83,3)&gt;4,0,(IF(A83&lt;K$2,0,IF(A83&lt;=K$3,1,0))))</f>
        <v>0</v>
      </c>
      <c r="L83" s="124" t="n">
        <f aca="false">J83*K83</f>
        <v>-0</v>
      </c>
      <c r="M83" s="124" t="n">
        <f aca="false">SUM(J$6:J83)</f>
        <v>-828086</v>
      </c>
      <c r="N83" s="124" t="n">
        <f aca="false">SUM(J$6:J83)</f>
        <v>-828086</v>
      </c>
      <c r="P83" s="148" t="n">
        <f aca="false">D83/P$3</f>
        <v>-0.605</v>
      </c>
      <c r="Q83" s="124" t="n">
        <f aca="false">E83/P$3</f>
        <v>0</v>
      </c>
      <c r="R83" s="124" t="n">
        <f aca="false">F83/R$3</f>
        <v>0</v>
      </c>
      <c r="S83" s="126" t="n">
        <f aca="false">J83/$R$3</f>
        <v>-161.865</v>
      </c>
      <c r="T83" s="126" t="n">
        <f aca="false">L83/$R$3</f>
        <v>-0</v>
      </c>
      <c r="U83" s="126" t="n">
        <f aca="false">I83/$R$3</f>
        <v>-392.165</v>
      </c>
      <c r="V83" s="126" t="n">
        <f aca="false">M83/$R$3</f>
        <v>-828.086</v>
      </c>
      <c r="W83" s="126" t="n">
        <f aca="false">N83/$R$3</f>
        <v>-828.086</v>
      </c>
    </row>
    <row r="84" customFormat="false" ht="12.75" hidden="false" customHeight="false" outlineLevel="0" collapsed="false">
      <c r="A84" s="120" t="n">
        <f aca="false">A83+1</f>
        <v>36970</v>
      </c>
      <c r="B84" s="131" t="str">
        <f aca="false">INDEX('[4]Master Data'!$A$2:$B$8,MATCH(WEEKDAY('TBS CRD MTM'!A84,3),'[4]Master Data'!$A$2:$A$8,0),2)</f>
        <v>T</v>
      </c>
      <c r="D84" s="124" t="n">
        <v>-622</v>
      </c>
      <c r="E84" s="124" t="n">
        <v>0</v>
      </c>
      <c r="F84" s="124" t="n">
        <v>0</v>
      </c>
      <c r="G84" s="124" t="n">
        <v>-150858</v>
      </c>
      <c r="I84" s="124" t="n">
        <f aca="false">IF(MONTH($A84)=MONTH($A83),IF(G84=0,I83,G84),G84)</f>
        <v>-150858</v>
      </c>
      <c r="J84" s="124" t="n">
        <f aca="false">IF(MONTH($A84)=MONTH($A83),SUM(I84-I83),I84)</f>
        <v>241307</v>
      </c>
      <c r="K84" s="124" t="n">
        <f aca="false">IF(WEEKDAY(A84,3)&gt;4,0,(IF(A84&lt;K$2,0,IF(A84&lt;=K$3,1,0))))</f>
        <v>0</v>
      </c>
      <c r="L84" s="124" t="n">
        <f aca="false">J84*K84</f>
        <v>0</v>
      </c>
      <c r="M84" s="124" t="n">
        <f aca="false">SUM(J$6:J84)</f>
        <v>-586779</v>
      </c>
      <c r="N84" s="124" t="n">
        <f aca="false">SUM(J$6:J84)</f>
        <v>-586779</v>
      </c>
      <c r="P84" s="148" t="n">
        <f aca="false">D84/P$3</f>
        <v>-0.622</v>
      </c>
      <c r="Q84" s="124" t="n">
        <f aca="false">E84/P$3</f>
        <v>0</v>
      </c>
      <c r="R84" s="124" t="n">
        <f aca="false">F84/R$3</f>
        <v>0</v>
      </c>
      <c r="S84" s="126" t="n">
        <f aca="false">J84/$R$3</f>
        <v>241.307</v>
      </c>
      <c r="T84" s="126" t="n">
        <f aca="false">L84/$R$3</f>
        <v>0</v>
      </c>
      <c r="U84" s="126" t="n">
        <f aca="false">I84/$R$3</f>
        <v>-150.858</v>
      </c>
      <c r="V84" s="126" t="n">
        <f aca="false">M84/$R$3</f>
        <v>-586.779</v>
      </c>
      <c r="W84" s="126" t="n">
        <f aca="false">N84/$R$3</f>
        <v>-586.779</v>
      </c>
    </row>
    <row r="85" customFormat="false" ht="12.75" hidden="false" customHeight="false" outlineLevel="0" collapsed="false">
      <c r="A85" s="120" t="n">
        <f aca="false">A84+1</f>
        <v>36971</v>
      </c>
      <c r="B85" s="131" t="str">
        <f aca="false">INDEX('[4]Master Data'!$A$2:$B$8,MATCH(WEEKDAY('TBS CRD MTM'!A85,3),'[4]Master Data'!$A$2:$A$8,0),2)</f>
        <v>W</v>
      </c>
      <c r="D85" s="124" t="n">
        <v>-591</v>
      </c>
      <c r="E85" s="124" t="n">
        <v>0</v>
      </c>
      <c r="F85" s="124" t="n">
        <v>0</v>
      </c>
      <c r="G85" s="124" t="n">
        <v>-80936</v>
      </c>
      <c r="I85" s="124" t="n">
        <f aca="false">IF(MONTH($A85)=MONTH($A84),IF(G85=0,I84,G85),G85)</f>
        <v>-80936</v>
      </c>
      <c r="J85" s="124" t="n">
        <f aca="false">IF(MONTH($A85)=MONTH($A84),SUM(I85-I84),I85)</f>
        <v>69922</v>
      </c>
      <c r="K85" s="124" t="n">
        <f aca="false">IF(WEEKDAY(A85,3)&gt;4,0,(IF(A85&lt;K$2,0,IF(A85&lt;=K$3,1,0))))</f>
        <v>0</v>
      </c>
      <c r="L85" s="124" t="n">
        <f aca="false">J85*K85</f>
        <v>0</v>
      </c>
      <c r="M85" s="124" t="n">
        <f aca="false">SUM(J$6:J85)</f>
        <v>-516857</v>
      </c>
      <c r="N85" s="124" t="n">
        <f aca="false">SUM(J$6:J85)</f>
        <v>-516857</v>
      </c>
      <c r="P85" s="148" t="n">
        <f aca="false">D85/P$3</f>
        <v>-0.591</v>
      </c>
      <c r="Q85" s="124" t="n">
        <f aca="false">E85/P$3</f>
        <v>0</v>
      </c>
      <c r="R85" s="124" t="n">
        <f aca="false">F85/R$3</f>
        <v>0</v>
      </c>
      <c r="S85" s="126" t="n">
        <f aca="false">J85/$R$3</f>
        <v>69.922</v>
      </c>
      <c r="T85" s="126" t="n">
        <f aca="false">L85/$R$3</f>
        <v>0</v>
      </c>
      <c r="U85" s="126" t="n">
        <f aca="false">I85/$R$3</f>
        <v>-80.936</v>
      </c>
      <c r="V85" s="126" t="n">
        <f aca="false">M85/$R$3</f>
        <v>-516.857</v>
      </c>
      <c r="W85" s="126" t="n">
        <f aca="false">N85/$R$3</f>
        <v>-516.857</v>
      </c>
    </row>
    <row r="86" customFormat="false" ht="12.75" hidden="false" customHeight="false" outlineLevel="0" collapsed="false">
      <c r="A86" s="120" t="n">
        <f aca="false">A85+1</f>
        <v>36972</v>
      </c>
      <c r="B86" s="131" t="str">
        <f aca="false">INDEX('[4]Master Data'!$A$2:$B$8,MATCH(WEEKDAY('TBS CRD MTM'!A86,3),'[4]Master Data'!$A$2:$A$8,0),2)</f>
        <v>Th</v>
      </c>
      <c r="D86" s="153" t="n">
        <v>0</v>
      </c>
      <c r="E86" s="124" t="n">
        <v>0</v>
      </c>
      <c r="F86" s="124" t="n">
        <v>0</v>
      </c>
      <c r="G86" s="124" t="n">
        <v>-940936</v>
      </c>
      <c r="I86" s="124" t="n">
        <f aca="false">IF(MONTH($A86)=MONTH($A85),IF(G86=0,I85,G86),G86)</f>
        <v>-940936</v>
      </c>
      <c r="J86" s="124" t="n">
        <f aca="false">IF(MONTH($A86)=MONTH($A85),SUM(I86-I85),I86)</f>
        <v>-860000</v>
      </c>
      <c r="K86" s="124" t="n">
        <f aca="false">IF(WEEKDAY(A86,3)&gt;4,0,(IF(A86&lt;K$2,0,IF(A86&lt;=K$3,1,0))))</f>
        <v>0</v>
      </c>
      <c r="L86" s="124" t="n">
        <f aca="false">J86*K86</f>
        <v>-0</v>
      </c>
      <c r="M86" s="124" t="n">
        <f aca="false">SUM(J$6:J86)</f>
        <v>-1376857</v>
      </c>
      <c r="N86" s="124" t="n">
        <f aca="false">SUM(J$6:J86)</f>
        <v>-1376857</v>
      </c>
      <c r="P86" s="148" t="n">
        <f aca="false">D86/P$3</f>
        <v>0</v>
      </c>
      <c r="Q86" s="124" t="n">
        <f aca="false">E86/P$3</f>
        <v>0</v>
      </c>
      <c r="R86" s="124" t="n">
        <f aca="false">F86/R$3</f>
        <v>0</v>
      </c>
      <c r="S86" s="126" t="n">
        <f aca="false">J86/$R$3</f>
        <v>-860</v>
      </c>
      <c r="T86" s="126" t="n">
        <f aca="false">L86/$R$3</f>
        <v>-0</v>
      </c>
      <c r="U86" s="126" t="n">
        <f aca="false">I86/$R$3</f>
        <v>-940.936</v>
      </c>
      <c r="V86" s="126" t="n">
        <f aca="false">M86/$R$3</f>
        <v>-1376.857</v>
      </c>
      <c r="W86" s="126" t="n">
        <f aca="false">N86/$R$3</f>
        <v>-1376.857</v>
      </c>
    </row>
    <row r="87" customFormat="false" ht="12.75" hidden="false" customHeight="false" outlineLevel="0" collapsed="false">
      <c r="A87" s="120" t="n">
        <f aca="false">A86+1</f>
        <v>36973</v>
      </c>
      <c r="B87" s="131" t="str">
        <f aca="false">INDEX('[4]Master Data'!$A$2:$B$8,MATCH(WEEKDAY('TBS CRD MTM'!A87,3),'[4]Master Data'!$A$2:$A$8,0),2)</f>
        <v>F</v>
      </c>
      <c r="D87" s="124" t="n">
        <v>0</v>
      </c>
      <c r="E87" s="124" t="n">
        <v>0</v>
      </c>
      <c r="F87" s="124" t="n">
        <v>0</v>
      </c>
      <c r="G87" s="124" t="n">
        <v>0</v>
      </c>
      <c r="I87" s="124" t="n">
        <f aca="false">IF(MONTH($A87)=MONTH($A86),IF(G87=0,I86,G87),G87)</f>
        <v>-940936</v>
      </c>
      <c r="J87" s="124" t="n">
        <f aca="false">IF(MONTH($A87)=MONTH($A86),SUM(I87-I86),I87)</f>
        <v>0</v>
      </c>
      <c r="K87" s="124" t="n">
        <f aca="false">IF(WEEKDAY(A87,3)&gt;4,0,(IF(A87&lt;K$2,0,IF(A87&lt;=K$3,1,0))))</f>
        <v>0</v>
      </c>
      <c r="L87" s="124" t="n">
        <f aca="false">J87*K87</f>
        <v>0</v>
      </c>
      <c r="M87" s="124" t="n">
        <f aca="false">SUM(J$6:J87)</f>
        <v>-1376857</v>
      </c>
      <c r="N87" s="124" t="n">
        <f aca="false">SUM(J$6:J87)</f>
        <v>-1376857</v>
      </c>
      <c r="P87" s="148" t="n">
        <f aca="false">D87/P$3</f>
        <v>0</v>
      </c>
      <c r="Q87" s="124" t="n">
        <f aca="false">E87/P$3</f>
        <v>0</v>
      </c>
      <c r="R87" s="124" t="n">
        <f aca="false">F87/R$3</f>
        <v>0</v>
      </c>
      <c r="S87" s="126" t="n">
        <f aca="false">J87/$R$3</f>
        <v>0</v>
      </c>
      <c r="T87" s="126" t="n">
        <f aca="false">L87/$R$3</f>
        <v>0</v>
      </c>
      <c r="U87" s="126" t="n">
        <f aca="false">I87/$R$3</f>
        <v>-940.936</v>
      </c>
      <c r="V87" s="126" t="n">
        <f aca="false">M87/$R$3</f>
        <v>-1376.857</v>
      </c>
      <c r="W87" s="126" t="n">
        <f aca="false">N87/$R$3</f>
        <v>-1376.857</v>
      </c>
    </row>
    <row r="88" customFormat="false" ht="12.75" hidden="false" customHeight="false" outlineLevel="0" collapsed="false">
      <c r="A88" s="120" t="n">
        <f aca="false">A87+1</f>
        <v>36974</v>
      </c>
      <c r="B88" s="131" t="str">
        <f aca="false">INDEX('[4]Master Data'!$A$2:$B$8,MATCH(WEEKDAY('TBS CRD MTM'!A88,3),'[4]Master Data'!$A$2:$A$8,0),2)</f>
        <v>Sa</v>
      </c>
      <c r="D88" s="124" t="n">
        <v>0</v>
      </c>
      <c r="E88" s="124" t="n">
        <v>0</v>
      </c>
      <c r="F88" s="124" t="n">
        <v>0</v>
      </c>
      <c r="G88" s="124" t="n">
        <v>0</v>
      </c>
      <c r="I88" s="124" t="n">
        <f aca="false">IF(MONTH($A88)=MONTH($A87),IF(G88=0,I87,G88),G88)</f>
        <v>-940936</v>
      </c>
      <c r="J88" s="124" t="n">
        <f aca="false">IF(MONTH($A88)=MONTH($A87),SUM(I88-I87),I88)</f>
        <v>0</v>
      </c>
      <c r="K88" s="124" t="n">
        <f aca="false">IF(WEEKDAY(A88,3)&gt;4,0,(IF(A88&lt;K$2,0,IF(A88&lt;=K$3,1,0))))</f>
        <v>0</v>
      </c>
      <c r="L88" s="124" t="n">
        <f aca="false">J88*K88</f>
        <v>0</v>
      </c>
      <c r="M88" s="124" t="n">
        <f aca="false">SUM(J$6:J88)</f>
        <v>-1376857</v>
      </c>
      <c r="N88" s="124" t="n">
        <f aca="false">SUM(J$6:J88)</f>
        <v>-1376857</v>
      </c>
      <c r="P88" s="148" t="n">
        <f aca="false">D88/P$3</f>
        <v>0</v>
      </c>
      <c r="Q88" s="124" t="n">
        <f aca="false">E88/P$3</f>
        <v>0</v>
      </c>
      <c r="R88" s="124" t="n">
        <f aca="false">F88/R$3</f>
        <v>0</v>
      </c>
      <c r="S88" s="126" t="n">
        <f aca="false">J88/$R$3</f>
        <v>0</v>
      </c>
      <c r="T88" s="126" t="n">
        <f aca="false">L88/$R$3</f>
        <v>0</v>
      </c>
      <c r="U88" s="126" t="n">
        <f aca="false">I88/$R$3</f>
        <v>-940.936</v>
      </c>
      <c r="V88" s="126" t="n">
        <f aca="false">M88/$R$3</f>
        <v>-1376.857</v>
      </c>
      <c r="W88" s="126" t="n">
        <f aca="false">N88/$R$3</f>
        <v>-1376.857</v>
      </c>
    </row>
    <row r="89" customFormat="false" ht="12.75" hidden="false" customHeight="false" outlineLevel="0" collapsed="false">
      <c r="A89" s="120" t="n">
        <f aca="false">A88+1</f>
        <v>36975</v>
      </c>
      <c r="B89" s="131" t="str">
        <f aca="false">INDEX('[4]Master Data'!$A$2:$B$8,MATCH(WEEKDAY('TBS CRD MTM'!A89,3),'[4]Master Data'!$A$2:$A$8,0),2)</f>
        <v>Su</v>
      </c>
      <c r="D89" s="124" t="n">
        <v>0</v>
      </c>
      <c r="E89" s="124" t="n">
        <v>0</v>
      </c>
      <c r="F89" s="124" t="n">
        <v>0</v>
      </c>
      <c r="G89" s="124" t="n">
        <v>0</v>
      </c>
      <c r="I89" s="124" t="n">
        <f aca="false">IF(MONTH($A89)=MONTH($A88),IF(G89=0,I88,G89),G89)</f>
        <v>-940936</v>
      </c>
      <c r="J89" s="124" t="n">
        <f aca="false">IF(MONTH($A89)=MONTH($A88),SUM(I89-I88),I89)</f>
        <v>0</v>
      </c>
      <c r="K89" s="124" t="n">
        <f aca="false">IF(WEEKDAY(A89,3)&gt;4,0,(IF(A89&lt;K$2,0,IF(A89&lt;=K$3,1,0))))</f>
        <v>0</v>
      </c>
      <c r="L89" s="124" t="n">
        <f aca="false">J89*K89</f>
        <v>0</v>
      </c>
      <c r="M89" s="124" t="n">
        <f aca="false">SUM(J$6:J89)</f>
        <v>-1376857</v>
      </c>
      <c r="N89" s="124" t="n">
        <f aca="false">SUM(J$6:J89)</f>
        <v>-1376857</v>
      </c>
      <c r="P89" s="148" t="n">
        <f aca="false">D89/P$3</f>
        <v>0</v>
      </c>
      <c r="Q89" s="124" t="n">
        <f aca="false">E89/P$3</f>
        <v>0</v>
      </c>
      <c r="R89" s="124" t="n">
        <f aca="false">F89/R$3</f>
        <v>0</v>
      </c>
      <c r="S89" s="126" t="n">
        <f aca="false">J89/$R$3</f>
        <v>0</v>
      </c>
      <c r="T89" s="126" t="n">
        <f aca="false">L89/$R$3</f>
        <v>0</v>
      </c>
      <c r="U89" s="126" t="n">
        <f aca="false">I89/$R$3</f>
        <v>-940.936</v>
      </c>
      <c r="V89" s="126" t="n">
        <f aca="false">M89/$R$3</f>
        <v>-1376.857</v>
      </c>
      <c r="W89" s="126" t="n">
        <f aca="false">N89/$R$3</f>
        <v>-1376.857</v>
      </c>
    </row>
    <row r="90" customFormat="false" ht="12.75" hidden="false" customHeight="false" outlineLevel="0" collapsed="false">
      <c r="A90" s="120" t="n">
        <f aca="false">A89+1</f>
        <v>36976</v>
      </c>
      <c r="B90" s="131" t="str">
        <f aca="false">INDEX('[4]Master Data'!$A$2:$B$8,MATCH(WEEKDAY('TBS CRD MTM'!A90,3),'[4]Master Data'!$A$2:$A$8,0),2)</f>
        <v>M</v>
      </c>
      <c r="D90" s="124" t="n">
        <v>0</v>
      </c>
      <c r="E90" s="124" t="n">
        <v>0</v>
      </c>
      <c r="F90" s="124" t="n">
        <v>0</v>
      </c>
      <c r="G90" s="124" t="n">
        <v>0</v>
      </c>
      <c r="I90" s="124" t="n">
        <f aca="false">IF(MONTH($A90)=MONTH($A89),IF(G90=0,I89,G90),G90)</f>
        <v>-940936</v>
      </c>
      <c r="J90" s="124" t="n">
        <f aca="false">IF(MONTH($A90)=MONTH($A89),SUM(I90-I89),I90)</f>
        <v>0</v>
      </c>
      <c r="K90" s="124" t="n">
        <f aca="false">IF(WEEKDAY(A90,3)&gt;4,0,(IF(A90&lt;K$2,0,IF(A90&lt;=K$3,1,0))))</f>
        <v>0</v>
      </c>
      <c r="L90" s="124" t="n">
        <f aca="false">J90*K90</f>
        <v>0</v>
      </c>
      <c r="M90" s="124" t="n">
        <f aca="false">SUM(J$6:J90)</f>
        <v>-1376857</v>
      </c>
      <c r="N90" s="124" t="n">
        <f aca="false">SUM(J$6:J90)</f>
        <v>-1376857</v>
      </c>
      <c r="P90" s="148" t="n">
        <f aca="false">D90/P$3</f>
        <v>0</v>
      </c>
      <c r="Q90" s="124" t="n">
        <f aca="false">E90/P$3</f>
        <v>0</v>
      </c>
      <c r="R90" s="124" t="n">
        <f aca="false">F90/R$3</f>
        <v>0</v>
      </c>
      <c r="S90" s="126" t="n">
        <f aca="false">J90/$R$3</f>
        <v>0</v>
      </c>
      <c r="T90" s="126" t="n">
        <f aca="false">L90/$R$3</f>
        <v>0</v>
      </c>
      <c r="U90" s="126" t="n">
        <f aca="false">I90/$R$3</f>
        <v>-940.936</v>
      </c>
      <c r="V90" s="126" t="n">
        <f aca="false">M90/$R$3</f>
        <v>-1376.857</v>
      </c>
      <c r="W90" s="126" t="n">
        <f aca="false">N90/$R$3</f>
        <v>-1376.857</v>
      </c>
    </row>
    <row r="91" customFormat="false" ht="12.75" hidden="false" customHeight="false" outlineLevel="0" collapsed="false">
      <c r="A91" s="120" t="n">
        <f aca="false">A90+1</f>
        <v>36977</v>
      </c>
      <c r="B91" s="131" t="str">
        <f aca="false">INDEX('[4]Master Data'!$A$2:$B$8,MATCH(WEEKDAY('TBS CRD MTM'!A91,3),'[4]Master Data'!$A$2:$A$8,0),2)</f>
        <v>T</v>
      </c>
      <c r="D91" s="124" t="n">
        <v>0</v>
      </c>
      <c r="E91" s="124" t="n">
        <v>0</v>
      </c>
      <c r="F91" s="124" t="n">
        <v>0</v>
      </c>
      <c r="G91" s="124" t="n">
        <v>0</v>
      </c>
      <c r="I91" s="124" t="n">
        <f aca="false">IF(MONTH($A91)=MONTH($A90),IF(G91=0,I90,G91),G91)</f>
        <v>-940936</v>
      </c>
      <c r="J91" s="124" t="n">
        <f aca="false">IF(MONTH($A91)=MONTH($A90),SUM(I91-I90),I91)</f>
        <v>0</v>
      </c>
      <c r="K91" s="124" t="n">
        <f aca="false">IF(WEEKDAY(A91,3)&gt;4,0,(IF(A91&lt;K$2,0,IF(A91&lt;=K$3,1,0))))</f>
        <v>0</v>
      </c>
      <c r="L91" s="124" t="n">
        <f aca="false">J91*K91</f>
        <v>0</v>
      </c>
      <c r="M91" s="124" t="n">
        <f aca="false">SUM(J$6:J91)</f>
        <v>-1376857</v>
      </c>
      <c r="N91" s="124" t="n">
        <f aca="false">SUM(J$6:J91)</f>
        <v>-1376857</v>
      </c>
      <c r="P91" s="148" t="n">
        <f aca="false">D91/P$3</f>
        <v>0</v>
      </c>
      <c r="Q91" s="124" t="n">
        <f aca="false">E91/P$3</f>
        <v>0</v>
      </c>
      <c r="R91" s="124" t="n">
        <f aca="false">F91/R$3</f>
        <v>0</v>
      </c>
      <c r="S91" s="126" t="n">
        <f aca="false">J91/$R$3</f>
        <v>0</v>
      </c>
      <c r="T91" s="126" t="n">
        <f aca="false">L91/$R$3</f>
        <v>0</v>
      </c>
      <c r="U91" s="126" t="n">
        <f aca="false">I91/$R$3</f>
        <v>-940.936</v>
      </c>
      <c r="V91" s="126" t="n">
        <f aca="false">M91/$R$3</f>
        <v>-1376.857</v>
      </c>
      <c r="W91" s="126" t="n">
        <f aca="false">N91/$R$3</f>
        <v>-1376.857</v>
      </c>
    </row>
    <row r="92" customFormat="false" ht="12.75" hidden="false" customHeight="false" outlineLevel="0" collapsed="false">
      <c r="A92" s="120" t="n">
        <f aca="false">A91+1</f>
        <v>36978</v>
      </c>
      <c r="B92" s="131" t="str">
        <f aca="false">INDEX('[4]Master Data'!$A$2:$B$8,MATCH(WEEKDAY('TBS CRD MTM'!A92,3),'[4]Master Data'!$A$2:$A$8,0),2)</f>
        <v>W</v>
      </c>
      <c r="D92" s="124" t="n">
        <v>0</v>
      </c>
      <c r="E92" s="124" t="n">
        <v>0</v>
      </c>
      <c r="F92" s="124" t="n">
        <v>0</v>
      </c>
      <c r="G92" s="124" t="n">
        <v>0</v>
      </c>
      <c r="I92" s="124" t="n">
        <f aca="false">IF(MONTH($A92)=MONTH($A91),IF(G92=0,I91,G92),G92)</f>
        <v>-940936</v>
      </c>
      <c r="J92" s="124" t="n">
        <f aca="false">IF(MONTH($A92)=MONTH($A91),SUM(I92-I91),I92)</f>
        <v>0</v>
      </c>
      <c r="K92" s="124" t="n">
        <f aca="false">IF(WEEKDAY(A92,3)&gt;4,0,(IF(A92&lt;K$2,0,IF(A92&lt;=K$3,1,0))))</f>
        <v>0</v>
      </c>
      <c r="L92" s="124" t="n">
        <f aca="false">J92*K92</f>
        <v>0</v>
      </c>
      <c r="M92" s="124" t="n">
        <f aca="false">SUM(J$6:J92)</f>
        <v>-1376857</v>
      </c>
      <c r="N92" s="124" t="n">
        <f aca="false">SUM(J$6:J92)</f>
        <v>-1376857</v>
      </c>
      <c r="P92" s="148" t="n">
        <f aca="false">D92/P$3</f>
        <v>0</v>
      </c>
      <c r="Q92" s="124" t="n">
        <f aca="false">E92/P$3</f>
        <v>0</v>
      </c>
      <c r="R92" s="124" t="n">
        <f aca="false">F92/R$3</f>
        <v>0</v>
      </c>
      <c r="S92" s="126" t="n">
        <f aca="false">J92/$R$3</f>
        <v>0</v>
      </c>
      <c r="T92" s="126" t="n">
        <f aca="false">L92/$R$3</f>
        <v>0</v>
      </c>
      <c r="U92" s="126" t="n">
        <f aca="false">I92/$R$3</f>
        <v>-940.936</v>
      </c>
      <c r="V92" s="126" t="n">
        <f aca="false">M92/$R$3</f>
        <v>-1376.857</v>
      </c>
      <c r="W92" s="126" t="n">
        <f aca="false">N92/$R$3</f>
        <v>-1376.857</v>
      </c>
    </row>
    <row r="93" customFormat="false" ht="12.75" hidden="false" customHeight="false" outlineLevel="0" collapsed="false">
      <c r="A93" s="120" t="n">
        <f aca="false">A92+1</f>
        <v>36979</v>
      </c>
      <c r="B93" s="131" t="str">
        <f aca="false">INDEX('[4]Master Data'!$A$2:$B$8,MATCH(WEEKDAY('TBS CRD MTM'!A93,3),'[4]Master Data'!$A$2:$A$8,0),2)</f>
        <v>Th</v>
      </c>
      <c r="D93" s="124" t="n">
        <v>0</v>
      </c>
      <c r="E93" s="124" t="n">
        <v>0</v>
      </c>
      <c r="F93" s="124" t="n">
        <v>0</v>
      </c>
      <c r="G93" s="124" t="n">
        <v>0</v>
      </c>
      <c r="I93" s="124" t="n">
        <f aca="false">IF(MONTH($A93)=MONTH($A92),IF(G93=0,I92,G93),G93)</f>
        <v>-940936</v>
      </c>
      <c r="J93" s="124" t="n">
        <f aca="false">IF(MONTH($A93)=MONTH($A92),SUM(I93-I92),I93)</f>
        <v>0</v>
      </c>
      <c r="K93" s="124" t="n">
        <f aca="false">IF(WEEKDAY(A93,3)&gt;4,0,(IF(A93&lt;K$2,0,IF(A93&lt;=K$3,1,0))))</f>
        <v>0</v>
      </c>
      <c r="L93" s="124" t="n">
        <f aca="false">J93*K93</f>
        <v>0</v>
      </c>
      <c r="M93" s="124" t="n">
        <f aca="false">SUM(J$6:J93)</f>
        <v>-1376857</v>
      </c>
      <c r="N93" s="124" t="n">
        <f aca="false">SUM(J$6:J93)</f>
        <v>-1376857</v>
      </c>
      <c r="P93" s="148" t="n">
        <f aca="false">D93/P$3</f>
        <v>0</v>
      </c>
      <c r="Q93" s="124" t="n">
        <f aca="false">E93/P$3</f>
        <v>0</v>
      </c>
      <c r="R93" s="124" t="n">
        <f aca="false">F93/R$3</f>
        <v>0</v>
      </c>
      <c r="S93" s="126" t="n">
        <f aca="false">J93/$R$3</f>
        <v>0</v>
      </c>
      <c r="T93" s="126" t="n">
        <f aca="false">L93/$R$3</f>
        <v>0</v>
      </c>
      <c r="U93" s="126" t="n">
        <f aca="false">I93/$R$3</f>
        <v>-940.936</v>
      </c>
      <c r="V93" s="126" t="n">
        <f aca="false">M93/$R$3</f>
        <v>-1376.857</v>
      </c>
      <c r="W93" s="126" t="n">
        <f aca="false">N93/$R$3</f>
        <v>-1376.857</v>
      </c>
    </row>
    <row r="94" customFormat="false" ht="12.75" hidden="false" customHeight="false" outlineLevel="0" collapsed="false">
      <c r="A94" s="120" t="n">
        <f aca="false">A93+1</f>
        <v>36980</v>
      </c>
      <c r="B94" s="131" t="str">
        <f aca="false">INDEX('[4]Master Data'!$A$2:$B$8,MATCH(WEEKDAY('TBS CRD MTM'!A94,3),'[4]Master Data'!$A$2:$A$8,0),2)</f>
        <v>F</v>
      </c>
      <c r="D94" s="124" t="n">
        <v>0</v>
      </c>
      <c r="E94" s="124" t="n">
        <v>0</v>
      </c>
      <c r="F94" s="124" t="n">
        <v>0</v>
      </c>
      <c r="G94" s="124" t="n">
        <v>0</v>
      </c>
      <c r="I94" s="124" t="n">
        <f aca="false">IF(MONTH($A94)=MONTH($A93),IF(G94=0,I93,G94),G94)</f>
        <v>-940936</v>
      </c>
      <c r="J94" s="124" t="n">
        <f aca="false">IF(MONTH($A94)=MONTH($A93),SUM(I94-I93),I94)</f>
        <v>0</v>
      </c>
      <c r="K94" s="124" t="n">
        <f aca="false">IF(WEEKDAY(A94,3)&gt;4,0,(IF(A94&lt;K$2,0,IF(A94&lt;=K$3,1,0))))</f>
        <v>0</v>
      </c>
      <c r="L94" s="124" t="n">
        <f aca="false">J94*K94</f>
        <v>0</v>
      </c>
      <c r="M94" s="124" t="n">
        <f aca="false">SUM(J$6:J94)</f>
        <v>-1376857</v>
      </c>
      <c r="N94" s="124" t="n">
        <f aca="false">SUM(J$6:J94)</f>
        <v>-1376857</v>
      </c>
      <c r="P94" s="148" t="n">
        <f aca="false">D94/P$3</f>
        <v>0</v>
      </c>
      <c r="Q94" s="124" t="n">
        <f aca="false">E94/P$3</f>
        <v>0</v>
      </c>
      <c r="R94" s="124" t="n">
        <f aca="false">F94/R$3</f>
        <v>0</v>
      </c>
      <c r="S94" s="126" t="n">
        <f aca="false">J94/$R$3</f>
        <v>0</v>
      </c>
      <c r="T94" s="126" t="n">
        <f aca="false">L94/$R$3</f>
        <v>0</v>
      </c>
      <c r="U94" s="126" t="n">
        <f aca="false">I94/$R$3</f>
        <v>-940.936</v>
      </c>
      <c r="V94" s="126" t="n">
        <f aca="false">M94/$R$3</f>
        <v>-1376.857</v>
      </c>
      <c r="W94" s="126" t="n">
        <f aca="false">N94/$R$3</f>
        <v>-1376.857</v>
      </c>
    </row>
    <row r="95" customFormat="false" ht="12.75" hidden="false" customHeight="false" outlineLevel="0" collapsed="false">
      <c r="A95" s="120" t="n">
        <f aca="false">A94+1</f>
        <v>36981</v>
      </c>
      <c r="B95" s="131" t="str">
        <f aca="false">INDEX('[4]Master Data'!$A$2:$B$8,MATCH(WEEKDAY('TBS CRD MTM'!A95,3),'[4]Master Data'!$A$2:$A$8,0),2)</f>
        <v>Sa</v>
      </c>
      <c r="D95" s="124" t="n">
        <v>0</v>
      </c>
      <c r="E95" s="124" t="n">
        <v>0</v>
      </c>
      <c r="F95" s="124" t="n">
        <v>0</v>
      </c>
      <c r="G95" s="124" t="n">
        <v>0</v>
      </c>
      <c r="I95" s="124" t="n">
        <f aca="false">IF(MONTH($A95)=MONTH($A94),IF(G95=0,I94,G95),G95)</f>
        <v>-940936</v>
      </c>
      <c r="J95" s="124" t="n">
        <f aca="false">IF(MONTH($A95)=MONTH($A94),SUM(I95-I94),I95)</f>
        <v>0</v>
      </c>
      <c r="K95" s="124" t="n">
        <f aca="false">IF(WEEKDAY(A95,3)&gt;4,0,(IF(A95&lt;K$2,0,IF(A95&lt;=K$3,1,0))))</f>
        <v>0</v>
      </c>
      <c r="L95" s="124" t="n">
        <f aca="false">J95*K95</f>
        <v>0</v>
      </c>
      <c r="M95" s="124" t="n">
        <f aca="false">SUM(J$6:J95)</f>
        <v>-1376857</v>
      </c>
      <c r="N95" s="124" t="n">
        <f aca="false">SUM(J$6:J95)</f>
        <v>-1376857</v>
      </c>
      <c r="P95" s="148" t="n">
        <f aca="false">D95/P$3</f>
        <v>0</v>
      </c>
      <c r="Q95" s="124" t="n">
        <f aca="false">E95/P$3</f>
        <v>0</v>
      </c>
      <c r="R95" s="124" t="n">
        <f aca="false">F95/R$3</f>
        <v>0</v>
      </c>
      <c r="S95" s="126" t="n">
        <f aca="false">J95/$R$3</f>
        <v>0</v>
      </c>
      <c r="T95" s="126" t="n">
        <f aca="false">L95/$R$3</f>
        <v>0</v>
      </c>
      <c r="U95" s="126" t="n">
        <f aca="false">I95/$R$3</f>
        <v>-940.936</v>
      </c>
      <c r="V95" s="126" t="n">
        <f aca="false">M95/$R$3</f>
        <v>-1376.857</v>
      </c>
      <c r="W95" s="126" t="n">
        <f aca="false">N95/$R$3</f>
        <v>-1376.857</v>
      </c>
    </row>
    <row r="96" customFormat="false" ht="12.75" hidden="false" customHeight="false" outlineLevel="0" collapsed="false">
      <c r="A96" s="120" t="n">
        <f aca="false">A95+1</f>
        <v>36982</v>
      </c>
      <c r="B96" s="131" t="str">
        <f aca="false">INDEX('[4]Master Data'!$A$2:$B$8,MATCH(WEEKDAY('TBS CRD MTM'!A96,3),'[4]Master Data'!$A$2:$A$8,0),2)</f>
        <v>Su</v>
      </c>
      <c r="D96" s="124" t="n">
        <v>0</v>
      </c>
      <c r="E96" s="124" t="n">
        <v>0</v>
      </c>
      <c r="F96" s="124" t="n">
        <v>0</v>
      </c>
      <c r="G96" s="124" t="n">
        <v>0</v>
      </c>
      <c r="I96" s="124" t="n">
        <f aca="false">IF(MONTH($A96)=MONTH($A95),IF(G96=0,I95,G96),G96)</f>
        <v>0</v>
      </c>
      <c r="J96" s="124" t="n">
        <f aca="false">IF(MONTH($A96)=MONTH($A95),SUM(I96-I95),I96)</f>
        <v>0</v>
      </c>
      <c r="K96" s="124" t="n">
        <f aca="false">IF(WEEKDAY(A96,3)&gt;4,0,(IF(A96&lt;K$2,0,IF(A96&lt;=K$3,1,0))))</f>
        <v>0</v>
      </c>
      <c r="L96" s="124" t="n">
        <f aca="false">J96*K96</f>
        <v>0</v>
      </c>
      <c r="M96" s="124" t="n">
        <f aca="false">SUM(J$6:J96)</f>
        <v>-1376857</v>
      </c>
      <c r="N96" s="124" t="n">
        <f aca="false">SUM(J$6:J96)</f>
        <v>-1376857</v>
      </c>
      <c r="P96" s="148" t="n">
        <f aca="false">D96/P$3</f>
        <v>0</v>
      </c>
      <c r="Q96" s="124" t="n">
        <f aca="false">E96/P$3</f>
        <v>0</v>
      </c>
      <c r="R96" s="124" t="n">
        <f aca="false">F96/R$3</f>
        <v>0</v>
      </c>
      <c r="S96" s="126" t="n">
        <f aca="false">J96/$R$3</f>
        <v>0</v>
      </c>
      <c r="T96" s="126" t="n">
        <f aca="false">L96/$R$3</f>
        <v>0</v>
      </c>
      <c r="U96" s="126" t="n">
        <f aca="false">I96/$R$3</f>
        <v>0</v>
      </c>
      <c r="V96" s="126" t="n">
        <f aca="false">M96/$R$3</f>
        <v>-1376.857</v>
      </c>
      <c r="W96" s="126" t="n">
        <f aca="false">N96/$R$3</f>
        <v>-1376.857</v>
      </c>
    </row>
    <row r="97" customFormat="false" ht="12.75" hidden="false" customHeight="false" outlineLevel="0" collapsed="false">
      <c r="A97" s="120" t="n">
        <f aca="false">A96+1</f>
        <v>36983</v>
      </c>
      <c r="B97" s="131" t="str">
        <f aca="false">INDEX('[4]Master Data'!$A$2:$B$8,MATCH(WEEKDAY('TBS CRD MTM'!A97,3),'[4]Master Data'!$A$2:$A$8,0),2)</f>
        <v>M</v>
      </c>
      <c r="D97" s="124" t="n">
        <v>0</v>
      </c>
      <c r="E97" s="124" t="n">
        <v>0</v>
      </c>
      <c r="F97" s="124" t="n">
        <v>0</v>
      </c>
      <c r="G97" s="124" t="n">
        <v>0</v>
      </c>
      <c r="I97" s="124" t="n">
        <f aca="false">IF(MONTH($A97)=MONTH($A96),IF(G97=0,I96,G97),G97)</f>
        <v>0</v>
      </c>
      <c r="J97" s="124" t="n">
        <f aca="false">IF(MONTH($A97)=MONTH($A96),SUM(I97-I96),I97)</f>
        <v>0</v>
      </c>
      <c r="K97" s="124" t="n">
        <f aca="false">IF(WEEKDAY(A97,3)&gt;4,0,(IF(A97&lt;K$2,0,IF(A97&lt;=K$3,1,0))))</f>
        <v>0</v>
      </c>
      <c r="L97" s="124" t="n">
        <f aca="false">J97*K97</f>
        <v>0</v>
      </c>
      <c r="M97" s="124" t="n">
        <f aca="false">SUM(J$97:J97)</f>
        <v>0</v>
      </c>
      <c r="N97" s="124" t="n">
        <f aca="false">SUM(J$6:J97)</f>
        <v>-1376857</v>
      </c>
      <c r="P97" s="148" t="n">
        <f aca="false">D97/P$3</f>
        <v>0</v>
      </c>
      <c r="Q97" s="124" t="n">
        <f aca="false">E97/P$3</f>
        <v>0</v>
      </c>
      <c r="R97" s="124" t="n">
        <f aca="false">F97/R$3</f>
        <v>0</v>
      </c>
      <c r="S97" s="126" t="n">
        <f aca="false">J97/$R$3</f>
        <v>0</v>
      </c>
      <c r="T97" s="126" t="n">
        <f aca="false">L97/$R$3</f>
        <v>0</v>
      </c>
      <c r="U97" s="126" t="n">
        <f aca="false">I97/$R$3</f>
        <v>0</v>
      </c>
      <c r="V97" s="126" t="n">
        <f aca="false">M97/$R$3</f>
        <v>0</v>
      </c>
      <c r="W97" s="126" t="n">
        <f aca="false">N97/$R$3</f>
        <v>-1376.857</v>
      </c>
    </row>
    <row r="98" customFormat="false" ht="12.75" hidden="false" customHeight="false" outlineLevel="0" collapsed="false">
      <c r="A98" s="120" t="n">
        <f aca="false">A97+1</f>
        <v>36984</v>
      </c>
      <c r="B98" s="131" t="str">
        <f aca="false">INDEX('[4]Master Data'!$A$2:$B$8,MATCH(WEEKDAY('TBS CRD MTM'!A98,3),'[4]Master Data'!$A$2:$A$8,0),2)</f>
        <v>T</v>
      </c>
      <c r="D98" s="124" t="n">
        <v>0</v>
      </c>
      <c r="E98" s="124" t="n">
        <v>0</v>
      </c>
      <c r="F98" s="124" t="n">
        <v>0</v>
      </c>
      <c r="G98" s="124" t="n">
        <v>0</v>
      </c>
      <c r="I98" s="124" t="n">
        <f aca="false">IF(MONTH($A98)=MONTH($A97),IF(G98=0,I97,G98),G98)</f>
        <v>0</v>
      </c>
      <c r="J98" s="124" t="n">
        <f aca="false">IF(MONTH($A98)=MONTH($A97),SUM(I98-I97),I98)</f>
        <v>0</v>
      </c>
      <c r="K98" s="124" t="n">
        <f aca="false">IF(WEEKDAY(A98,3)&gt;4,0,(IF(A98&lt;K$2,0,IF(A98&lt;=K$3,1,0))))</f>
        <v>0</v>
      </c>
      <c r="L98" s="124" t="n">
        <f aca="false">J98*K98</f>
        <v>0</v>
      </c>
      <c r="M98" s="124" t="n">
        <f aca="false">SUM(J$97:J98)</f>
        <v>0</v>
      </c>
      <c r="N98" s="124" t="n">
        <f aca="false">SUM(J$6:J98)</f>
        <v>-1376857</v>
      </c>
      <c r="P98" s="148" t="n">
        <f aca="false">D98/P$3</f>
        <v>0</v>
      </c>
      <c r="Q98" s="124" t="n">
        <f aca="false">E98/P$3</f>
        <v>0</v>
      </c>
      <c r="R98" s="124" t="n">
        <f aca="false">F98/R$3</f>
        <v>0</v>
      </c>
      <c r="S98" s="126" t="n">
        <f aca="false">J98/$R$3</f>
        <v>0</v>
      </c>
      <c r="T98" s="126" t="n">
        <f aca="false">L98/$R$3</f>
        <v>0</v>
      </c>
      <c r="U98" s="126" t="n">
        <f aca="false">I98/$R$3</f>
        <v>0</v>
      </c>
      <c r="V98" s="126" t="n">
        <f aca="false">M98/$R$3</f>
        <v>0</v>
      </c>
      <c r="W98" s="126" t="n">
        <f aca="false">N98/$R$3</f>
        <v>-1376.857</v>
      </c>
    </row>
    <row r="99" customFormat="false" ht="12.75" hidden="false" customHeight="false" outlineLevel="0" collapsed="false">
      <c r="A99" s="120" t="n">
        <f aca="false">A98+1</f>
        <v>36985</v>
      </c>
      <c r="B99" s="131" t="str">
        <f aca="false">INDEX('[4]Master Data'!$A$2:$B$8,MATCH(WEEKDAY('TBS CRD MTM'!A99,3),'[4]Master Data'!$A$2:$A$8,0),2)</f>
        <v>W</v>
      </c>
      <c r="D99" s="124" t="n">
        <v>0</v>
      </c>
      <c r="E99" s="124" t="n">
        <v>0</v>
      </c>
      <c r="F99" s="124" t="n">
        <v>0</v>
      </c>
      <c r="G99" s="124" t="n">
        <v>0</v>
      </c>
      <c r="I99" s="124" t="n">
        <f aca="false">IF(MONTH($A99)=MONTH($A98),IF(G99=0,I98,G99),G99)</f>
        <v>0</v>
      </c>
      <c r="J99" s="124" t="n">
        <f aca="false">IF(MONTH($A99)=MONTH($A98),SUM(I99-I98),I99)</f>
        <v>0</v>
      </c>
      <c r="K99" s="124" t="n">
        <f aca="false">IF(WEEKDAY(A99,3)&gt;4,0,(IF(A99&lt;K$2,0,IF(A99&lt;=K$3,1,0))))</f>
        <v>0</v>
      </c>
      <c r="L99" s="124" t="n">
        <f aca="false">J99*K99</f>
        <v>0</v>
      </c>
      <c r="M99" s="124" t="n">
        <f aca="false">SUM(J$97:J99)</f>
        <v>0</v>
      </c>
      <c r="N99" s="124" t="n">
        <f aca="false">SUM(J$6:J99)</f>
        <v>-1376857</v>
      </c>
      <c r="P99" s="148" t="n">
        <f aca="false">D99/P$3</f>
        <v>0</v>
      </c>
      <c r="Q99" s="124" t="n">
        <f aca="false">E99/P$3</f>
        <v>0</v>
      </c>
      <c r="R99" s="124" t="n">
        <f aca="false">F99/R$3</f>
        <v>0</v>
      </c>
      <c r="S99" s="126" t="n">
        <f aca="false">J99/$R$3</f>
        <v>0</v>
      </c>
      <c r="T99" s="126" t="n">
        <f aca="false">L99/$R$3</f>
        <v>0</v>
      </c>
      <c r="U99" s="126" t="n">
        <f aca="false">I99/$R$3</f>
        <v>0</v>
      </c>
      <c r="V99" s="126" t="n">
        <f aca="false">M99/$R$3</f>
        <v>0</v>
      </c>
      <c r="W99" s="126" t="n">
        <f aca="false">N99/$R$3</f>
        <v>-1376.857</v>
      </c>
    </row>
    <row r="100" customFormat="false" ht="12.75" hidden="false" customHeight="false" outlineLevel="0" collapsed="false">
      <c r="A100" s="120" t="n">
        <f aca="false">A99+1</f>
        <v>36986</v>
      </c>
      <c r="B100" s="131" t="str">
        <f aca="false">INDEX('[4]Master Data'!$A$2:$B$8,MATCH(WEEKDAY('TBS CRD MTM'!A100,3),'[4]Master Data'!$A$2:$A$8,0),2)</f>
        <v>Th</v>
      </c>
      <c r="D100" s="124" t="n">
        <v>0</v>
      </c>
      <c r="E100" s="124" t="n">
        <v>0</v>
      </c>
      <c r="F100" s="124" t="n">
        <v>0</v>
      </c>
      <c r="G100" s="124" t="n">
        <v>0</v>
      </c>
      <c r="I100" s="124" t="n">
        <f aca="false">IF(MONTH($A100)=MONTH($A99),IF(G100=0,I99,G100),G100)</f>
        <v>0</v>
      </c>
      <c r="J100" s="124" t="n">
        <f aca="false">IF(MONTH($A100)=MONTH($A99),SUM(I100-I99),I100)</f>
        <v>0</v>
      </c>
      <c r="K100" s="124" t="n">
        <f aca="false">IF(WEEKDAY(A100,3)&gt;4,0,(IF(A100&lt;K$2,0,IF(A100&lt;=K$3,1,0))))</f>
        <v>0</v>
      </c>
      <c r="L100" s="124" t="n">
        <f aca="false">J100*K100</f>
        <v>0</v>
      </c>
      <c r="M100" s="124" t="n">
        <f aca="false">SUM(J$97:J100)</f>
        <v>0</v>
      </c>
      <c r="N100" s="124" t="n">
        <f aca="false">SUM(J$6:J100)</f>
        <v>-1376857</v>
      </c>
      <c r="P100" s="148" t="n">
        <f aca="false">D100/P$3</f>
        <v>0</v>
      </c>
      <c r="Q100" s="124" t="n">
        <f aca="false">E100/P$3</f>
        <v>0</v>
      </c>
      <c r="R100" s="124" t="n">
        <f aca="false">F100/R$3</f>
        <v>0</v>
      </c>
      <c r="S100" s="126" t="n">
        <f aca="false">J100/$R$3</f>
        <v>0</v>
      </c>
      <c r="T100" s="126" t="n">
        <f aca="false">L100/$R$3</f>
        <v>0</v>
      </c>
      <c r="U100" s="126" t="n">
        <f aca="false">I100/$R$3</f>
        <v>0</v>
      </c>
      <c r="V100" s="126" t="n">
        <f aca="false">M100/$R$3</f>
        <v>0</v>
      </c>
      <c r="W100" s="126" t="n">
        <f aca="false">N100/$R$3</f>
        <v>-1376.857</v>
      </c>
    </row>
    <row r="101" customFormat="false" ht="12.75" hidden="false" customHeight="false" outlineLevel="0" collapsed="false">
      <c r="A101" s="120" t="n">
        <f aca="false">A100+1</f>
        <v>36987</v>
      </c>
      <c r="B101" s="131" t="str">
        <f aca="false">INDEX('[4]Master Data'!$A$2:$B$8,MATCH(WEEKDAY('TBS CRD MTM'!A101,3),'[4]Master Data'!$A$2:$A$8,0),2)</f>
        <v>F</v>
      </c>
      <c r="D101" s="124" t="n">
        <v>0</v>
      </c>
      <c r="E101" s="124" t="n">
        <v>0</v>
      </c>
      <c r="F101" s="124" t="n">
        <v>0</v>
      </c>
      <c r="G101" s="124" t="n">
        <v>0</v>
      </c>
      <c r="I101" s="124" t="n">
        <f aca="false">IF(MONTH($A101)=MONTH($A100),IF(G101=0,I100,G101),G101)</f>
        <v>0</v>
      </c>
      <c r="J101" s="124" t="n">
        <f aca="false">IF(MONTH($A101)=MONTH($A100),SUM(I101-I100),I101)</f>
        <v>0</v>
      </c>
      <c r="K101" s="124" t="n">
        <f aca="false">IF(WEEKDAY(A101,3)&gt;4,0,(IF(A101&lt;K$2,0,IF(A101&lt;=K$3,1,0))))</f>
        <v>0</v>
      </c>
      <c r="L101" s="124" t="n">
        <f aca="false">J101*K101</f>
        <v>0</v>
      </c>
      <c r="M101" s="124" t="n">
        <f aca="false">SUM(J$97:J101)</f>
        <v>0</v>
      </c>
      <c r="N101" s="124" t="n">
        <f aca="false">SUM(J$6:J101)</f>
        <v>-1376857</v>
      </c>
      <c r="P101" s="148" t="n">
        <f aca="false">D101/P$3</f>
        <v>0</v>
      </c>
      <c r="Q101" s="124" t="n">
        <f aca="false">E101/P$3</f>
        <v>0</v>
      </c>
      <c r="R101" s="124" t="n">
        <f aca="false">F101/R$3</f>
        <v>0</v>
      </c>
      <c r="S101" s="126" t="n">
        <f aca="false">J101/$R$3</f>
        <v>0</v>
      </c>
      <c r="T101" s="126" t="n">
        <f aca="false">L101/$R$3</f>
        <v>0</v>
      </c>
      <c r="U101" s="126" t="n">
        <f aca="false">I101/$R$3</f>
        <v>0</v>
      </c>
      <c r="V101" s="126" t="n">
        <f aca="false">M101/$R$3</f>
        <v>0</v>
      </c>
      <c r="W101" s="126" t="n">
        <f aca="false">N101/$R$3</f>
        <v>-1376.857</v>
      </c>
    </row>
    <row r="102" customFormat="false" ht="12.75" hidden="false" customHeight="false" outlineLevel="0" collapsed="false">
      <c r="A102" s="120" t="n">
        <f aca="false">A101+1</f>
        <v>36988</v>
      </c>
      <c r="B102" s="131" t="str">
        <f aca="false">INDEX('[4]Master Data'!$A$2:$B$8,MATCH(WEEKDAY('TBS CRD MTM'!A102,3),'[4]Master Data'!$A$2:$A$8,0),2)</f>
        <v>Sa</v>
      </c>
      <c r="D102" s="124" t="n">
        <v>0</v>
      </c>
      <c r="E102" s="124" t="n">
        <v>0</v>
      </c>
      <c r="F102" s="124" t="n">
        <v>0</v>
      </c>
      <c r="G102" s="124" t="n">
        <v>0</v>
      </c>
      <c r="I102" s="124" t="n">
        <f aca="false">IF(MONTH($A102)=MONTH($A101),IF(G102=0,I101,G102),G102)</f>
        <v>0</v>
      </c>
      <c r="J102" s="124" t="n">
        <f aca="false">IF(MONTH($A102)=MONTH($A101),SUM(I102-I101),I102)</f>
        <v>0</v>
      </c>
      <c r="K102" s="124" t="n">
        <f aca="false">IF(WEEKDAY(A102,3)&gt;4,0,(IF(A102&lt;K$2,0,IF(A102&lt;=K$3,1,0))))</f>
        <v>0</v>
      </c>
      <c r="L102" s="124" t="n">
        <f aca="false">J102*K102</f>
        <v>0</v>
      </c>
      <c r="M102" s="124" t="n">
        <f aca="false">SUM(J$97:J102)</f>
        <v>0</v>
      </c>
      <c r="N102" s="124" t="n">
        <f aca="false">SUM(J$6:J102)</f>
        <v>-1376857</v>
      </c>
      <c r="P102" s="148" t="n">
        <f aca="false">D102/P$3</f>
        <v>0</v>
      </c>
      <c r="Q102" s="124" t="n">
        <f aca="false">E102/P$3</f>
        <v>0</v>
      </c>
      <c r="R102" s="124" t="n">
        <f aca="false">F102/R$3</f>
        <v>0</v>
      </c>
      <c r="S102" s="126" t="n">
        <f aca="false">J102/$R$3</f>
        <v>0</v>
      </c>
      <c r="T102" s="126" t="n">
        <f aca="false">L102/$R$3</f>
        <v>0</v>
      </c>
      <c r="U102" s="126" t="n">
        <f aca="false">I102/$R$3</f>
        <v>0</v>
      </c>
      <c r="V102" s="126" t="n">
        <f aca="false">M102/$R$3</f>
        <v>0</v>
      </c>
      <c r="W102" s="126" t="n">
        <f aca="false">N102/$R$3</f>
        <v>-1376.857</v>
      </c>
    </row>
    <row r="103" customFormat="false" ht="12.75" hidden="false" customHeight="false" outlineLevel="0" collapsed="false">
      <c r="A103" s="120" t="n">
        <f aca="false">A102+1</f>
        <v>36989</v>
      </c>
      <c r="B103" s="131" t="str">
        <f aca="false">INDEX('[4]Master Data'!$A$2:$B$8,MATCH(WEEKDAY('TBS CRD MTM'!A103,3),'[4]Master Data'!$A$2:$A$8,0),2)</f>
        <v>Su</v>
      </c>
      <c r="D103" s="124" t="n">
        <v>0</v>
      </c>
      <c r="E103" s="124" t="n">
        <v>0</v>
      </c>
      <c r="F103" s="124" t="n">
        <v>0</v>
      </c>
      <c r="G103" s="124" t="n">
        <v>0</v>
      </c>
      <c r="I103" s="124" t="n">
        <f aca="false">IF(MONTH($A103)=MONTH($A102),IF(G103=0,I102,G103),G103)</f>
        <v>0</v>
      </c>
      <c r="J103" s="124" t="n">
        <f aca="false">IF(MONTH($A103)=MONTH($A102),SUM(I103-I102),I103)</f>
        <v>0</v>
      </c>
      <c r="K103" s="124" t="n">
        <f aca="false">IF(WEEKDAY(A103,3)&gt;4,0,(IF(A103&lt;K$2,0,IF(A103&lt;=K$3,1,0))))</f>
        <v>0</v>
      </c>
      <c r="L103" s="124" t="n">
        <f aca="false">J103*K103</f>
        <v>0</v>
      </c>
      <c r="M103" s="124" t="n">
        <f aca="false">SUM(J$97:J103)</f>
        <v>0</v>
      </c>
      <c r="N103" s="124" t="n">
        <f aca="false">SUM(J$6:J103)</f>
        <v>-1376857</v>
      </c>
      <c r="P103" s="148" t="n">
        <f aca="false">D103/P$3</f>
        <v>0</v>
      </c>
      <c r="Q103" s="124" t="n">
        <f aca="false">E103/P$3</f>
        <v>0</v>
      </c>
      <c r="R103" s="124" t="n">
        <f aca="false">F103/R$3</f>
        <v>0</v>
      </c>
      <c r="S103" s="126" t="n">
        <f aca="false">J103/$R$3</f>
        <v>0</v>
      </c>
      <c r="T103" s="126" t="n">
        <f aca="false">L103/$R$3</f>
        <v>0</v>
      </c>
      <c r="U103" s="126" t="n">
        <f aca="false">I103/$R$3</f>
        <v>0</v>
      </c>
      <c r="V103" s="126" t="n">
        <f aca="false">M103/$R$3</f>
        <v>0</v>
      </c>
      <c r="W103" s="126" t="n">
        <f aca="false">N103/$R$3</f>
        <v>-1376.857</v>
      </c>
    </row>
    <row r="104" customFormat="false" ht="12.75" hidden="false" customHeight="false" outlineLevel="0" collapsed="false">
      <c r="A104" s="120" t="n">
        <f aca="false">A103+1</f>
        <v>36990</v>
      </c>
      <c r="B104" s="131" t="str">
        <f aca="false">INDEX('[4]Master Data'!$A$2:$B$8,MATCH(WEEKDAY('TBS CRD MTM'!A104,3),'[4]Master Data'!$A$2:$A$8,0),2)</f>
        <v>M</v>
      </c>
      <c r="D104" s="124" t="n">
        <v>0</v>
      </c>
      <c r="E104" s="124" t="n">
        <v>0</v>
      </c>
      <c r="F104" s="124" t="n">
        <v>0</v>
      </c>
      <c r="G104" s="124" t="n">
        <v>0</v>
      </c>
      <c r="I104" s="124" t="n">
        <f aca="false">IF(MONTH($A104)=MONTH($A103),IF(G104=0,I103,G104),G104)</f>
        <v>0</v>
      </c>
      <c r="J104" s="124" t="n">
        <f aca="false">IF(MONTH($A104)=MONTH($A103),SUM(I104-I103),I104)</f>
        <v>0</v>
      </c>
      <c r="K104" s="124" t="n">
        <f aca="false">IF(WEEKDAY(A104,3)&gt;4,0,(IF(A104&lt;K$2,0,IF(A104&lt;=K$3,1,0))))</f>
        <v>0</v>
      </c>
      <c r="L104" s="124" t="n">
        <f aca="false">J104*K104</f>
        <v>0</v>
      </c>
      <c r="M104" s="124" t="n">
        <f aca="false">SUM(J$97:J104)</f>
        <v>0</v>
      </c>
      <c r="N104" s="124" t="n">
        <f aca="false">SUM(J$6:J104)</f>
        <v>-1376857</v>
      </c>
      <c r="P104" s="148" t="n">
        <f aca="false">D104/P$3</f>
        <v>0</v>
      </c>
      <c r="Q104" s="124" t="n">
        <f aca="false">E104/P$3</f>
        <v>0</v>
      </c>
      <c r="R104" s="124" t="n">
        <f aca="false">F104/R$3</f>
        <v>0</v>
      </c>
      <c r="S104" s="126" t="n">
        <f aca="false">J104/$R$3</f>
        <v>0</v>
      </c>
      <c r="T104" s="126" t="n">
        <f aca="false">L104/$R$3</f>
        <v>0</v>
      </c>
      <c r="U104" s="126" t="n">
        <f aca="false">I104/$R$3</f>
        <v>0</v>
      </c>
      <c r="V104" s="126" t="n">
        <f aca="false">M104/$R$3</f>
        <v>0</v>
      </c>
      <c r="W104" s="126" t="n">
        <f aca="false">N104/$R$3</f>
        <v>-1376.857</v>
      </c>
    </row>
    <row r="105" customFormat="false" ht="12.75" hidden="false" customHeight="false" outlineLevel="0" collapsed="false">
      <c r="A105" s="120" t="n">
        <f aca="false">A104+1</f>
        <v>36991</v>
      </c>
      <c r="B105" s="131" t="str">
        <f aca="false">INDEX('[4]Master Data'!$A$2:$B$8,MATCH(WEEKDAY('TBS CRD MTM'!A105,3),'[4]Master Data'!$A$2:$A$8,0),2)</f>
        <v>T</v>
      </c>
      <c r="D105" s="124" t="n">
        <v>0</v>
      </c>
      <c r="E105" s="124" t="n">
        <v>0</v>
      </c>
      <c r="F105" s="124" t="n">
        <v>0</v>
      </c>
      <c r="G105" s="124" t="n">
        <v>0</v>
      </c>
      <c r="I105" s="124" t="n">
        <f aca="false">IF(MONTH($A105)=MONTH($A104),IF(G105=0,I104,G105),G105)</f>
        <v>0</v>
      </c>
      <c r="J105" s="124" t="n">
        <f aca="false">IF(MONTH($A105)=MONTH($A104),SUM(I105-I104),I105)</f>
        <v>0</v>
      </c>
      <c r="K105" s="124" t="n">
        <f aca="false">IF(WEEKDAY(A105,3)&gt;4,0,(IF(A105&lt;K$2,0,IF(A105&lt;=K$3,1,0))))</f>
        <v>0</v>
      </c>
      <c r="L105" s="124" t="n">
        <f aca="false">J105*K105</f>
        <v>0</v>
      </c>
      <c r="M105" s="124" t="n">
        <f aca="false">SUM(J$97:J105)</f>
        <v>0</v>
      </c>
      <c r="N105" s="124" t="n">
        <f aca="false">SUM(J$6:J105)</f>
        <v>-1376857</v>
      </c>
      <c r="P105" s="148" t="n">
        <f aca="false">D105/P$3</f>
        <v>0</v>
      </c>
      <c r="Q105" s="124" t="n">
        <f aca="false">E105/P$3</f>
        <v>0</v>
      </c>
      <c r="R105" s="124" t="n">
        <f aca="false">F105/R$3</f>
        <v>0</v>
      </c>
      <c r="S105" s="126" t="n">
        <f aca="false">J105/$R$3</f>
        <v>0</v>
      </c>
      <c r="T105" s="126" t="n">
        <f aca="false">L105/$R$3</f>
        <v>0</v>
      </c>
      <c r="U105" s="126" t="n">
        <f aca="false">I105/$R$3</f>
        <v>0</v>
      </c>
      <c r="V105" s="126" t="n">
        <f aca="false">M105/$R$3</f>
        <v>0</v>
      </c>
      <c r="W105" s="126" t="n">
        <f aca="false">N105/$R$3</f>
        <v>-1376.857</v>
      </c>
    </row>
    <row r="106" customFormat="false" ht="12.75" hidden="false" customHeight="false" outlineLevel="0" collapsed="false">
      <c r="A106" s="120" t="n">
        <f aca="false">A105+1</f>
        <v>36992</v>
      </c>
      <c r="B106" s="131" t="str">
        <f aca="false">INDEX('[4]Master Data'!$A$2:$B$8,MATCH(WEEKDAY('TBS CRD MTM'!A106,3),'[4]Master Data'!$A$2:$A$8,0),2)</f>
        <v>W</v>
      </c>
      <c r="D106" s="124" t="n">
        <v>0</v>
      </c>
      <c r="E106" s="124" t="n">
        <v>0</v>
      </c>
      <c r="F106" s="124" t="n">
        <v>0</v>
      </c>
      <c r="G106" s="124" t="n">
        <v>0</v>
      </c>
      <c r="I106" s="124" t="n">
        <f aca="false">IF(MONTH($A106)=MONTH($A105),IF(G106=0,I105,G106),G106)</f>
        <v>0</v>
      </c>
      <c r="J106" s="124" t="n">
        <f aca="false">IF(MONTH($A106)=MONTH($A105),SUM(I106-I105),I106)</f>
        <v>0</v>
      </c>
      <c r="K106" s="124" t="n">
        <f aca="false">IF(WEEKDAY(A106,3)&gt;4,0,(IF(A106&lt;K$2,0,IF(A106&lt;=K$3,1,0))))</f>
        <v>0</v>
      </c>
      <c r="L106" s="124" t="n">
        <f aca="false">J106*K106</f>
        <v>0</v>
      </c>
      <c r="M106" s="124" t="n">
        <f aca="false">SUM(J$97:J106)</f>
        <v>0</v>
      </c>
      <c r="N106" s="124" t="n">
        <f aca="false">SUM(J$6:J106)</f>
        <v>-1376857</v>
      </c>
      <c r="P106" s="148" t="n">
        <f aca="false">D106/P$3</f>
        <v>0</v>
      </c>
      <c r="Q106" s="124" t="n">
        <f aca="false">E106/P$3</f>
        <v>0</v>
      </c>
      <c r="R106" s="124" t="n">
        <f aca="false">F106/R$3</f>
        <v>0</v>
      </c>
      <c r="S106" s="126" t="n">
        <f aca="false">J106/$R$3</f>
        <v>0</v>
      </c>
      <c r="T106" s="126" t="n">
        <f aca="false">L106/$R$3</f>
        <v>0</v>
      </c>
      <c r="U106" s="126" t="n">
        <f aca="false">I106/$R$3</f>
        <v>0</v>
      </c>
      <c r="V106" s="126" t="n">
        <f aca="false">M106/$R$3</f>
        <v>0</v>
      </c>
      <c r="W106" s="126" t="n">
        <f aca="false">N106/$R$3</f>
        <v>-1376.857</v>
      </c>
    </row>
    <row r="107" customFormat="false" ht="12.75" hidden="false" customHeight="false" outlineLevel="0" collapsed="false">
      <c r="A107" s="120" t="n">
        <f aca="false">A106+1</f>
        <v>36993</v>
      </c>
      <c r="B107" s="131" t="str">
        <f aca="false">INDEX('[4]Master Data'!$A$2:$B$8,MATCH(WEEKDAY('TBS CRD MTM'!A107,3),'[4]Master Data'!$A$2:$A$8,0),2)</f>
        <v>Th</v>
      </c>
      <c r="D107" s="124" t="n">
        <v>0</v>
      </c>
      <c r="E107" s="124" t="n">
        <v>0</v>
      </c>
      <c r="F107" s="124" t="n">
        <v>0</v>
      </c>
      <c r="G107" s="124" t="n">
        <v>0</v>
      </c>
      <c r="I107" s="124" t="n">
        <f aca="false">IF(MONTH($A107)=MONTH($A106),IF(G107=0,I106,G107),G107)</f>
        <v>0</v>
      </c>
      <c r="J107" s="124" t="n">
        <f aca="false">IF(MONTH($A107)=MONTH($A106),SUM(I107-I106),I107)</f>
        <v>0</v>
      </c>
      <c r="K107" s="124" t="n">
        <f aca="false">IF(WEEKDAY(A107,3)&gt;4,0,(IF(A107&lt;K$2,0,IF(A107&lt;=K$3,1,0))))</f>
        <v>0</v>
      </c>
      <c r="L107" s="124" t="n">
        <f aca="false">J107*K107</f>
        <v>0</v>
      </c>
      <c r="M107" s="124" t="n">
        <f aca="false">SUM(J$97:J107)</f>
        <v>0</v>
      </c>
      <c r="N107" s="124" t="n">
        <f aca="false">SUM(J$6:J107)</f>
        <v>-1376857</v>
      </c>
      <c r="P107" s="148" t="n">
        <f aca="false">D107/P$3</f>
        <v>0</v>
      </c>
      <c r="Q107" s="124" t="n">
        <f aca="false">E107/P$3</f>
        <v>0</v>
      </c>
      <c r="R107" s="124" t="n">
        <f aca="false">F107/R$3</f>
        <v>0</v>
      </c>
      <c r="S107" s="126" t="n">
        <f aca="false">J107/$R$3</f>
        <v>0</v>
      </c>
      <c r="T107" s="126" t="n">
        <f aca="false">L107/$R$3</f>
        <v>0</v>
      </c>
      <c r="U107" s="126" t="n">
        <f aca="false">I107/$R$3</f>
        <v>0</v>
      </c>
      <c r="V107" s="126" t="n">
        <f aca="false">M107/$R$3</f>
        <v>0</v>
      </c>
      <c r="W107" s="126" t="n">
        <f aca="false">N107/$R$3</f>
        <v>-1376.857</v>
      </c>
    </row>
    <row r="108" customFormat="false" ht="12.75" hidden="false" customHeight="false" outlineLevel="0" collapsed="false">
      <c r="A108" s="120" t="n">
        <f aca="false">A107+1</f>
        <v>36994</v>
      </c>
      <c r="B108" s="131" t="str">
        <f aca="false">INDEX('[4]Master Data'!$A$2:$B$8,MATCH(WEEKDAY('TBS CRD MTM'!A108,3),'[4]Master Data'!$A$2:$A$8,0),2)</f>
        <v>F</v>
      </c>
      <c r="D108" s="124" t="n">
        <v>0</v>
      </c>
      <c r="E108" s="124" t="n">
        <v>0</v>
      </c>
      <c r="F108" s="124" t="n">
        <v>0</v>
      </c>
      <c r="G108" s="124" t="n">
        <v>0</v>
      </c>
      <c r="I108" s="124" t="n">
        <f aca="false">IF(MONTH($A108)=MONTH($A107),IF(G108=0,I107,G108),G108)</f>
        <v>0</v>
      </c>
      <c r="J108" s="124" t="n">
        <f aca="false">IF(MONTH($A108)=MONTH($A107),SUM(I108-I107),I108)</f>
        <v>0</v>
      </c>
      <c r="K108" s="124" t="n">
        <f aca="false">IF(WEEKDAY(A108,3)&gt;4,0,(IF(A108&lt;K$2,0,IF(A108&lt;=K$3,1,0))))</f>
        <v>0</v>
      </c>
      <c r="L108" s="124" t="n">
        <f aca="false">J108*K108</f>
        <v>0</v>
      </c>
      <c r="M108" s="124" t="n">
        <f aca="false">SUM(J$97:J108)</f>
        <v>0</v>
      </c>
      <c r="N108" s="124" t="n">
        <f aca="false">SUM(J$6:J108)</f>
        <v>-1376857</v>
      </c>
      <c r="P108" s="148" t="n">
        <f aca="false">D108/P$3</f>
        <v>0</v>
      </c>
      <c r="Q108" s="124" t="n">
        <f aca="false">E108/P$3</f>
        <v>0</v>
      </c>
      <c r="R108" s="124" t="n">
        <f aca="false">F108/R$3</f>
        <v>0</v>
      </c>
      <c r="S108" s="126" t="n">
        <f aca="false">J108/$R$3</f>
        <v>0</v>
      </c>
      <c r="T108" s="126" t="n">
        <f aca="false">L108/$R$3</f>
        <v>0</v>
      </c>
      <c r="U108" s="126" t="n">
        <f aca="false">I108/$R$3</f>
        <v>0</v>
      </c>
      <c r="V108" s="126" t="n">
        <f aca="false">M108/$R$3</f>
        <v>0</v>
      </c>
      <c r="W108" s="126" t="n">
        <f aca="false">N108/$R$3</f>
        <v>-1376.857</v>
      </c>
    </row>
    <row r="109" customFormat="false" ht="12.75" hidden="false" customHeight="false" outlineLevel="0" collapsed="false">
      <c r="A109" s="120" t="n">
        <f aca="false">A108+1</f>
        <v>36995</v>
      </c>
      <c r="B109" s="131" t="str">
        <f aca="false">INDEX('[4]Master Data'!$A$2:$B$8,MATCH(WEEKDAY('TBS CRD MTM'!A109,3),'[4]Master Data'!$A$2:$A$8,0),2)</f>
        <v>Sa</v>
      </c>
      <c r="D109" s="124" t="n">
        <v>0</v>
      </c>
      <c r="E109" s="124" t="n">
        <v>0</v>
      </c>
      <c r="F109" s="124" t="n">
        <v>0</v>
      </c>
      <c r="G109" s="124" t="n">
        <v>0</v>
      </c>
      <c r="I109" s="124" t="n">
        <f aca="false">IF(MONTH($A109)=MONTH($A108),IF(G109=0,I108,G109),G109)</f>
        <v>0</v>
      </c>
      <c r="J109" s="124" t="n">
        <f aca="false">IF(MONTH($A109)=MONTH($A108),SUM(I109-I108),I109)</f>
        <v>0</v>
      </c>
      <c r="K109" s="124" t="n">
        <f aca="false">IF(WEEKDAY(A109,3)&gt;4,0,(IF(A109&lt;K$2,0,IF(A109&lt;=K$3,1,0))))</f>
        <v>0</v>
      </c>
      <c r="L109" s="124" t="n">
        <f aca="false">J109*K109</f>
        <v>0</v>
      </c>
      <c r="M109" s="124" t="n">
        <f aca="false">SUM(J$97:J109)</f>
        <v>0</v>
      </c>
      <c r="N109" s="124" t="n">
        <f aca="false">SUM(J$6:J109)</f>
        <v>-1376857</v>
      </c>
      <c r="P109" s="148" t="n">
        <f aca="false">D109/P$3</f>
        <v>0</v>
      </c>
      <c r="Q109" s="124" t="n">
        <f aca="false">E109/P$3</f>
        <v>0</v>
      </c>
      <c r="R109" s="124" t="n">
        <f aca="false">F109/R$3</f>
        <v>0</v>
      </c>
      <c r="S109" s="126" t="n">
        <f aca="false">J109/$R$3</f>
        <v>0</v>
      </c>
      <c r="T109" s="126" t="n">
        <f aca="false">L109/$R$3</f>
        <v>0</v>
      </c>
      <c r="U109" s="126" t="n">
        <f aca="false">I109/$R$3</f>
        <v>0</v>
      </c>
      <c r="V109" s="126" t="n">
        <f aca="false">M109/$R$3</f>
        <v>0</v>
      </c>
      <c r="W109" s="126" t="n">
        <f aca="false">N109/$R$3</f>
        <v>-1376.857</v>
      </c>
    </row>
    <row r="110" customFormat="false" ht="12.75" hidden="false" customHeight="false" outlineLevel="0" collapsed="false">
      <c r="A110" s="120" t="n">
        <f aca="false">A109+1</f>
        <v>36996</v>
      </c>
      <c r="B110" s="131" t="str">
        <f aca="false">INDEX('[4]Master Data'!$A$2:$B$8,MATCH(WEEKDAY('TBS CRD MTM'!A110,3),'[4]Master Data'!$A$2:$A$8,0),2)</f>
        <v>Su</v>
      </c>
      <c r="D110" s="124" t="n">
        <v>0</v>
      </c>
      <c r="E110" s="124" t="n">
        <v>0</v>
      </c>
      <c r="F110" s="124" t="n">
        <v>0</v>
      </c>
      <c r="G110" s="124" t="n">
        <v>0</v>
      </c>
      <c r="I110" s="124" t="n">
        <f aca="false">IF(MONTH($A110)=MONTH($A109),IF(G110=0,I109,G110),G110)</f>
        <v>0</v>
      </c>
      <c r="J110" s="124" t="n">
        <f aca="false">IF(MONTH($A110)=MONTH($A109),SUM(I110-I109),I110)</f>
        <v>0</v>
      </c>
      <c r="K110" s="124" t="n">
        <f aca="false">IF(WEEKDAY(A110,3)&gt;4,0,(IF(A110&lt;K$2,0,IF(A110&lt;=K$3,1,0))))</f>
        <v>0</v>
      </c>
      <c r="L110" s="124" t="n">
        <f aca="false">J110*K110</f>
        <v>0</v>
      </c>
      <c r="M110" s="124" t="n">
        <f aca="false">SUM(J$97:J110)</f>
        <v>0</v>
      </c>
      <c r="N110" s="124" t="n">
        <f aca="false">SUM(J$6:J110)</f>
        <v>-1376857</v>
      </c>
      <c r="P110" s="148" t="n">
        <f aca="false">D110/P$3</f>
        <v>0</v>
      </c>
      <c r="Q110" s="124" t="n">
        <f aca="false">E110/P$3</f>
        <v>0</v>
      </c>
      <c r="R110" s="124" t="n">
        <f aca="false">F110/R$3</f>
        <v>0</v>
      </c>
      <c r="S110" s="126" t="n">
        <f aca="false">J110/$R$3</f>
        <v>0</v>
      </c>
      <c r="T110" s="126" t="n">
        <f aca="false">L110/$R$3</f>
        <v>0</v>
      </c>
      <c r="U110" s="126" t="n">
        <f aca="false">I110/$R$3</f>
        <v>0</v>
      </c>
      <c r="V110" s="126" t="n">
        <f aca="false">M110/$R$3</f>
        <v>0</v>
      </c>
      <c r="W110" s="126" t="n">
        <f aca="false">N110/$R$3</f>
        <v>-1376.857</v>
      </c>
    </row>
    <row r="111" customFormat="false" ht="12.75" hidden="false" customHeight="false" outlineLevel="0" collapsed="false">
      <c r="A111" s="120" t="n">
        <f aca="false">A110+1</f>
        <v>36997</v>
      </c>
      <c r="B111" s="131" t="str">
        <f aca="false">INDEX('[4]Master Data'!$A$2:$B$8,MATCH(WEEKDAY('TBS CRD MTM'!A111,3),'[4]Master Data'!$A$2:$A$8,0),2)</f>
        <v>M</v>
      </c>
      <c r="D111" s="124" t="n">
        <v>0</v>
      </c>
      <c r="E111" s="124" t="n">
        <v>0</v>
      </c>
      <c r="F111" s="124" t="n">
        <v>0</v>
      </c>
      <c r="G111" s="124" t="n">
        <v>0</v>
      </c>
      <c r="I111" s="124" t="n">
        <f aca="false">IF(MONTH($A111)=MONTH($A110),IF(G111=0,I110,G111),G111)</f>
        <v>0</v>
      </c>
      <c r="J111" s="124" t="n">
        <f aca="false">IF(MONTH($A111)=MONTH($A110),SUM(I111-I110),I111)</f>
        <v>0</v>
      </c>
      <c r="K111" s="124" t="n">
        <f aca="false">IF(WEEKDAY(A111,3)&gt;4,0,(IF(A111&lt;K$2,0,IF(A111&lt;=K$3,1,0))))</f>
        <v>0</v>
      </c>
      <c r="L111" s="124" t="n">
        <f aca="false">J111*K111</f>
        <v>0</v>
      </c>
      <c r="M111" s="124" t="n">
        <f aca="false">SUM(J$97:J111)</f>
        <v>0</v>
      </c>
      <c r="N111" s="124" t="n">
        <f aca="false">SUM(J$6:J111)</f>
        <v>-1376857</v>
      </c>
      <c r="P111" s="148" t="n">
        <f aca="false">D111/P$3</f>
        <v>0</v>
      </c>
      <c r="Q111" s="124" t="n">
        <f aca="false">E111/P$3</f>
        <v>0</v>
      </c>
      <c r="R111" s="124" t="n">
        <f aca="false">F111/R$3</f>
        <v>0</v>
      </c>
      <c r="S111" s="126" t="n">
        <f aca="false">J111/$R$3</f>
        <v>0</v>
      </c>
      <c r="T111" s="126" t="n">
        <f aca="false">L111/$R$3</f>
        <v>0</v>
      </c>
      <c r="U111" s="126" t="n">
        <f aca="false">I111/$R$3</f>
        <v>0</v>
      </c>
      <c r="V111" s="126" t="n">
        <f aca="false">M111/$R$3</f>
        <v>0</v>
      </c>
      <c r="W111" s="126" t="n">
        <f aca="false">N111/$R$3</f>
        <v>-1376.857</v>
      </c>
    </row>
    <row r="112" customFormat="false" ht="12.75" hidden="false" customHeight="false" outlineLevel="0" collapsed="false">
      <c r="A112" s="120" t="n">
        <f aca="false">A111+1</f>
        <v>36998</v>
      </c>
      <c r="B112" s="131" t="str">
        <f aca="false">INDEX('[4]Master Data'!$A$2:$B$8,MATCH(WEEKDAY('TBS CRD MTM'!A112,3),'[4]Master Data'!$A$2:$A$8,0),2)</f>
        <v>T</v>
      </c>
      <c r="D112" s="124" t="n">
        <v>0</v>
      </c>
      <c r="E112" s="124" t="n">
        <v>0</v>
      </c>
      <c r="F112" s="124" t="n">
        <v>0</v>
      </c>
      <c r="G112" s="124" t="n">
        <v>0</v>
      </c>
      <c r="I112" s="124" t="n">
        <f aca="false">IF(MONTH($A112)=MONTH($A111),IF(G112=0,I111,G112),G112)</f>
        <v>0</v>
      </c>
      <c r="J112" s="124" t="n">
        <f aca="false">IF(MONTH($A112)=MONTH($A111),SUM(I112-I111),I112)</f>
        <v>0</v>
      </c>
      <c r="K112" s="124" t="n">
        <f aca="false">IF(WEEKDAY(A112,3)&gt;4,0,(IF(A112&lt;K$2,0,IF(A112&lt;=K$3,1,0))))</f>
        <v>0</v>
      </c>
      <c r="L112" s="124" t="n">
        <f aca="false">J112*K112</f>
        <v>0</v>
      </c>
      <c r="M112" s="124" t="n">
        <f aca="false">SUM(J$97:J112)</f>
        <v>0</v>
      </c>
      <c r="N112" s="124" t="n">
        <f aca="false">SUM(J$6:J112)</f>
        <v>-1376857</v>
      </c>
      <c r="P112" s="148" t="n">
        <f aca="false">D112/P$3</f>
        <v>0</v>
      </c>
      <c r="Q112" s="124" t="n">
        <f aca="false">E112/P$3</f>
        <v>0</v>
      </c>
      <c r="R112" s="124" t="n">
        <f aca="false">F112/R$3</f>
        <v>0</v>
      </c>
      <c r="S112" s="126" t="n">
        <f aca="false">J112/$R$3</f>
        <v>0</v>
      </c>
      <c r="T112" s="126" t="n">
        <f aca="false">L112/$R$3</f>
        <v>0</v>
      </c>
      <c r="U112" s="126" t="n">
        <f aca="false">I112/$R$3</f>
        <v>0</v>
      </c>
      <c r="V112" s="126" t="n">
        <f aca="false">M112/$R$3</f>
        <v>0</v>
      </c>
      <c r="W112" s="126" t="n">
        <f aca="false">N112/$R$3</f>
        <v>-1376.857</v>
      </c>
    </row>
    <row r="113" customFormat="false" ht="12.75" hidden="false" customHeight="false" outlineLevel="0" collapsed="false">
      <c r="A113" s="120" t="n">
        <f aca="false">A112+1</f>
        <v>36999</v>
      </c>
      <c r="B113" s="131" t="str">
        <f aca="false">INDEX('[4]Master Data'!$A$2:$B$8,MATCH(WEEKDAY('TBS CRD MTM'!A113,3),'[4]Master Data'!$A$2:$A$8,0),2)</f>
        <v>W</v>
      </c>
      <c r="D113" s="124" t="n">
        <v>0</v>
      </c>
      <c r="E113" s="124" t="n">
        <v>0</v>
      </c>
      <c r="F113" s="124" t="n">
        <v>0</v>
      </c>
      <c r="G113" s="124" t="n">
        <v>0</v>
      </c>
      <c r="I113" s="124" t="n">
        <f aca="false">IF(MONTH($A113)=MONTH($A112),IF(G113=0,I112,G113),G113)</f>
        <v>0</v>
      </c>
      <c r="J113" s="124" t="n">
        <f aca="false">IF(MONTH($A113)=MONTH($A112),SUM(I113-I112),I113)</f>
        <v>0</v>
      </c>
      <c r="K113" s="124" t="n">
        <f aca="false">IF(WEEKDAY(A113,3)&gt;4,0,(IF(A113&lt;K$2,0,IF(A113&lt;=K$3,1,0))))</f>
        <v>0</v>
      </c>
      <c r="L113" s="124" t="n">
        <f aca="false">J113*K113</f>
        <v>0</v>
      </c>
      <c r="M113" s="124" t="n">
        <f aca="false">SUM(J$97:J113)</f>
        <v>0</v>
      </c>
      <c r="N113" s="124" t="n">
        <f aca="false">SUM(J$6:J113)</f>
        <v>-1376857</v>
      </c>
      <c r="P113" s="148" t="n">
        <f aca="false">D113/P$3</f>
        <v>0</v>
      </c>
      <c r="Q113" s="124" t="n">
        <f aca="false">E113/P$3</f>
        <v>0</v>
      </c>
      <c r="R113" s="124" t="n">
        <f aca="false">F113/R$3</f>
        <v>0</v>
      </c>
      <c r="S113" s="126" t="n">
        <f aca="false">J113/$R$3</f>
        <v>0</v>
      </c>
      <c r="T113" s="126" t="n">
        <f aca="false">L113/$R$3</f>
        <v>0</v>
      </c>
      <c r="U113" s="126" t="n">
        <f aca="false">I113/$R$3</f>
        <v>0</v>
      </c>
      <c r="V113" s="126" t="n">
        <f aca="false">M113/$R$3</f>
        <v>0</v>
      </c>
      <c r="W113" s="126" t="n">
        <f aca="false">N113/$R$3</f>
        <v>-1376.857</v>
      </c>
    </row>
    <row r="114" customFormat="false" ht="12.75" hidden="false" customHeight="false" outlineLevel="0" collapsed="false">
      <c r="A114" s="120" t="n">
        <f aca="false">A113+1</f>
        <v>37000</v>
      </c>
      <c r="B114" s="131" t="str">
        <f aca="false">INDEX('[4]Master Data'!$A$2:$B$8,MATCH(WEEKDAY('TBS CRD MTM'!A114,3),'[4]Master Data'!$A$2:$A$8,0),2)</f>
        <v>Th</v>
      </c>
      <c r="D114" s="124" t="n">
        <v>0</v>
      </c>
      <c r="E114" s="124" t="n">
        <v>0</v>
      </c>
      <c r="F114" s="124" t="n">
        <v>0</v>
      </c>
      <c r="G114" s="124" t="n">
        <v>0</v>
      </c>
      <c r="I114" s="124" t="n">
        <f aca="false">IF(MONTH($A114)=MONTH($A113),IF(G114=0,I113,G114),G114)</f>
        <v>0</v>
      </c>
      <c r="J114" s="124" t="n">
        <f aca="false">IF(MONTH($A114)=MONTH($A113),SUM(I114-I113),I114)</f>
        <v>0</v>
      </c>
      <c r="K114" s="124" t="n">
        <f aca="false">IF(WEEKDAY(A114,3)&gt;4,0,(IF(A114&lt;K$2,0,IF(A114&lt;=K$3,1,0))))</f>
        <v>0</v>
      </c>
      <c r="L114" s="124" t="n">
        <f aca="false">J114*K114</f>
        <v>0</v>
      </c>
      <c r="M114" s="124" t="n">
        <f aca="false">SUM(J$97:J114)</f>
        <v>0</v>
      </c>
      <c r="N114" s="124" t="n">
        <f aca="false">SUM(J$6:J114)</f>
        <v>-1376857</v>
      </c>
      <c r="P114" s="148" t="n">
        <f aca="false">D114/P$3</f>
        <v>0</v>
      </c>
      <c r="Q114" s="124" t="n">
        <f aca="false">E114/P$3</f>
        <v>0</v>
      </c>
      <c r="R114" s="124" t="n">
        <f aca="false">F114/R$3</f>
        <v>0</v>
      </c>
      <c r="S114" s="126" t="n">
        <f aca="false">J114/$R$3</f>
        <v>0</v>
      </c>
      <c r="T114" s="126" t="n">
        <f aca="false">L114/$R$3</f>
        <v>0</v>
      </c>
      <c r="U114" s="126" t="n">
        <f aca="false">I114/$R$3</f>
        <v>0</v>
      </c>
      <c r="V114" s="126" t="n">
        <f aca="false">M114/$R$3</f>
        <v>0</v>
      </c>
      <c r="W114" s="126" t="n">
        <f aca="false">N114/$R$3</f>
        <v>-1376.857</v>
      </c>
    </row>
    <row r="115" customFormat="false" ht="12.75" hidden="false" customHeight="false" outlineLevel="0" collapsed="false">
      <c r="A115" s="120" t="n">
        <f aca="false">A114+1</f>
        <v>37001</v>
      </c>
      <c r="B115" s="131" t="str">
        <f aca="false">INDEX('[4]Master Data'!$A$2:$B$8,MATCH(WEEKDAY('TBS CRD MTM'!A115,3),'[4]Master Data'!$A$2:$A$8,0),2)</f>
        <v>F</v>
      </c>
      <c r="D115" s="124" t="n">
        <v>0</v>
      </c>
      <c r="E115" s="124" t="n">
        <v>0</v>
      </c>
      <c r="F115" s="124" t="n">
        <v>0</v>
      </c>
      <c r="G115" s="124" t="n">
        <v>0</v>
      </c>
      <c r="I115" s="124" t="n">
        <f aca="false">IF(MONTH($A115)=MONTH($A114),IF(G115=0,I114,G115),G115)</f>
        <v>0</v>
      </c>
      <c r="J115" s="124" t="n">
        <f aca="false">IF(MONTH($A115)=MONTH($A114),SUM(I115-I114),I115)</f>
        <v>0</v>
      </c>
      <c r="K115" s="124" t="n">
        <f aca="false">IF(WEEKDAY(A115,3)&gt;4,0,(IF(A115&lt;K$2,0,IF(A115&lt;=K$3,1,0))))</f>
        <v>0</v>
      </c>
      <c r="L115" s="124" t="n">
        <f aca="false">J115*K115</f>
        <v>0</v>
      </c>
      <c r="M115" s="124" t="n">
        <f aca="false">SUM(J$97:J115)</f>
        <v>0</v>
      </c>
      <c r="N115" s="124" t="n">
        <f aca="false">SUM(J$6:J115)</f>
        <v>-1376857</v>
      </c>
      <c r="P115" s="148" t="n">
        <f aca="false">D115/P$3</f>
        <v>0</v>
      </c>
      <c r="Q115" s="124" t="n">
        <f aca="false">E115/P$3</f>
        <v>0</v>
      </c>
      <c r="R115" s="124" t="n">
        <f aca="false">F115/R$3</f>
        <v>0</v>
      </c>
      <c r="S115" s="126" t="n">
        <f aca="false">J115/$R$3</f>
        <v>0</v>
      </c>
      <c r="T115" s="126" t="n">
        <f aca="false">L115/$R$3</f>
        <v>0</v>
      </c>
      <c r="U115" s="126" t="n">
        <f aca="false">I115/$R$3</f>
        <v>0</v>
      </c>
      <c r="V115" s="126" t="n">
        <f aca="false">M115/$R$3</f>
        <v>0</v>
      </c>
      <c r="W115" s="126" t="n">
        <f aca="false">N115/$R$3</f>
        <v>-1376.857</v>
      </c>
    </row>
    <row r="116" customFormat="false" ht="12.75" hidden="false" customHeight="false" outlineLevel="0" collapsed="false">
      <c r="A116" s="120" t="n">
        <f aca="false">A115+1</f>
        <v>37002</v>
      </c>
      <c r="B116" s="131" t="str">
        <f aca="false">INDEX('[4]Master Data'!$A$2:$B$8,MATCH(WEEKDAY('TBS CRD MTM'!A116,3),'[4]Master Data'!$A$2:$A$8,0),2)</f>
        <v>Sa</v>
      </c>
      <c r="D116" s="124" t="n">
        <v>0</v>
      </c>
      <c r="E116" s="124" t="n">
        <v>0</v>
      </c>
      <c r="F116" s="124" t="n">
        <v>0</v>
      </c>
      <c r="G116" s="124" t="n">
        <v>0</v>
      </c>
      <c r="I116" s="124" t="n">
        <f aca="false">IF(MONTH($A116)=MONTH($A115),IF(G116=0,I115,G116),G116)</f>
        <v>0</v>
      </c>
      <c r="J116" s="124" t="n">
        <f aca="false">IF(MONTH($A116)=MONTH($A115),SUM(I116-I115),I116)</f>
        <v>0</v>
      </c>
      <c r="K116" s="124" t="n">
        <f aca="false">IF(WEEKDAY(A116,3)&gt;4,0,(IF(A116&lt;K$2,0,IF(A116&lt;=K$3,1,0))))</f>
        <v>0</v>
      </c>
      <c r="L116" s="124" t="n">
        <f aca="false">J116*K116</f>
        <v>0</v>
      </c>
      <c r="M116" s="124" t="n">
        <f aca="false">SUM(J$97:J116)</f>
        <v>0</v>
      </c>
      <c r="N116" s="124" t="n">
        <f aca="false">SUM(J$6:J116)</f>
        <v>-1376857</v>
      </c>
      <c r="P116" s="148" t="n">
        <f aca="false">D116/P$3</f>
        <v>0</v>
      </c>
      <c r="Q116" s="124" t="n">
        <f aca="false">E116/P$3</f>
        <v>0</v>
      </c>
      <c r="R116" s="124" t="n">
        <f aca="false">F116/R$3</f>
        <v>0</v>
      </c>
      <c r="S116" s="126" t="n">
        <f aca="false">J116/$R$3</f>
        <v>0</v>
      </c>
      <c r="T116" s="126" t="n">
        <f aca="false">L116/$R$3</f>
        <v>0</v>
      </c>
      <c r="U116" s="126" t="n">
        <f aca="false">I116/$R$3</f>
        <v>0</v>
      </c>
      <c r="V116" s="126" t="n">
        <f aca="false">M116/$R$3</f>
        <v>0</v>
      </c>
      <c r="W116" s="126" t="n">
        <f aca="false">N116/$R$3</f>
        <v>-1376.857</v>
      </c>
    </row>
    <row r="117" customFormat="false" ht="12.75" hidden="false" customHeight="false" outlineLevel="0" collapsed="false">
      <c r="A117" s="120" t="n">
        <f aca="false">A116+1</f>
        <v>37003</v>
      </c>
      <c r="B117" s="131" t="str">
        <f aca="false">INDEX('[4]Master Data'!$A$2:$B$8,MATCH(WEEKDAY('TBS CRD MTM'!A117,3),'[4]Master Data'!$A$2:$A$8,0),2)</f>
        <v>Su</v>
      </c>
      <c r="D117" s="124" t="n">
        <v>0</v>
      </c>
      <c r="E117" s="124" t="n">
        <v>0</v>
      </c>
      <c r="F117" s="124" t="n">
        <v>0</v>
      </c>
      <c r="G117" s="124" t="n">
        <v>0</v>
      </c>
      <c r="I117" s="124" t="n">
        <f aca="false">IF(MONTH($A117)=MONTH($A116),IF(G117=0,I116,G117),G117)</f>
        <v>0</v>
      </c>
      <c r="J117" s="124" t="n">
        <f aca="false">IF(MONTH($A117)=MONTH($A116),SUM(I117-I116),I117)</f>
        <v>0</v>
      </c>
      <c r="K117" s="124" t="n">
        <f aca="false">IF(WEEKDAY(A117,3)&gt;4,0,(IF(A117&lt;K$2,0,IF(A117&lt;=K$3,1,0))))</f>
        <v>0</v>
      </c>
      <c r="L117" s="124" t="n">
        <f aca="false">J117*K117</f>
        <v>0</v>
      </c>
      <c r="M117" s="124" t="n">
        <f aca="false">SUM(J$97:J117)</f>
        <v>0</v>
      </c>
      <c r="N117" s="124" t="n">
        <f aca="false">SUM(J$6:J117)</f>
        <v>-1376857</v>
      </c>
      <c r="P117" s="148" t="n">
        <f aca="false">D117/P$3</f>
        <v>0</v>
      </c>
      <c r="Q117" s="124" t="n">
        <f aca="false">E117/P$3</f>
        <v>0</v>
      </c>
      <c r="R117" s="124" t="n">
        <f aca="false">F117/R$3</f>
        <v>0</v>
      </c>
      <c r="S117" s="126" t="n">
        <f aca="false">J117/$R$3</f>
        <v>0</v>
      </c>
      <c r="T117" s="126" t="n">
        <f aca="false">L117/$R$3</f>
        <v>0</v>
      </c>
      <c r="U117" s="126" t="n">
        <f aca="false">I117/$R$3</f>
        <v>0</v>
      </c>
      <c r="V117" s="126" t="n">
        <f aca="false">M117/$R$3</f>
        <v>0</v>
      </c>
      <c r="W117" s="126" t="n">
        <f aca="false">N117/$R$3</f>
        <v>-1376.857</v>
      </c>
    </row>
    <row r="118" customFormat="false" ht="12.75" hidden="false" customHeight="false" outlineLevel="0" collapsed="false">
      <c r="A118" s="120" t="n">
        <f aca="false">A117+1</f>
        <v>37004</v>
      </c>
      <c r="B118" s="131" t="str">
        <f aca="false">INDEX('[4]Master Data'!$A$2:$B$8,MATCH(WEEKDAY('TBS CRD MTM'!A118,3),'[4]Master Data'!$A$2:$A$8,0),2)</f>
        <v>M</v>
      </c>
      <c r="D118" s="124" t="n">
        <v>0</v>
      </c>
      <c r="E118" s="124" t="n">
        <v>0</v>
      </c>
      <c r="F118" s="124" t="n">
        <v>0</v>
      </c>
      <c r="G118" s="124" t="n">
        <v>0</v>
      </c>
      <c r="I118" s="124" t="n">
        <f aca="false">IF(MONTH($A118)=MONTH($A117),IF(G118=0,I117,G118),G118)</f>
        <v>0</v>
      </c>
      <c r="J118" s="124" t="n">
        <f aca="false">IF(MONTH($A118)=MONTH($A117),SUM(I118-I117),I118)</f>
        <v>0</v>
      </c>
      <c r="K118" s="124" t="n">
        <f aca="false">IF(WEEKDAY(A118,3)&gt;4,0,(IF(A118&lt;K$2,0,IF(A118&lt;=K$3,1,0))))</f>
        <v>0</v>
      </c>
      <c r="L118" s="124" t="n">
        <f aca="false">J118*K118</f>
        <v>0</v>
      </c>
      <c r="M118" s="124" t="n">
        <f aca="false">SUM(J$97:J118)</f>
        <v>0</v>
      </c>
      <c r="N118" s="124" t="n">
        <f aca="false">SUM(J$6:J118)</f>
        <v>-1376857</v>
      </c>
      <c r="P118" s="148" t="n">
        <f aca="false">D118/P$3</f>
        <v>0</v>
      </c>
      <c r="Q118" s="124" t="n">
        <f aca="false">E118/P$3</f>
        <v>0</v>
      </c>
      <c r="R118" s="124" t="n">
        <f aca="false">F118/R$3</f>
        <v>0</v>
      </c>
      <c r="S118" s="126" t="n">
        <f aca="false">J118/$R$3</f>
        <v>0</v>
      </c>
      <c r="T118" s="126" t="n">
        <f aca="false">L118/$R$3</f>
        <v>0</v>
      </c>
      <c r="U118" s="126" t="n">
        <f aca="false">I118/$R$3</f>
        <v>0</v>
      </c>
      <c r="V118" s="126" t="n">
        <f aca="false">M118/$R$3</f>
        <v>0</v>
      </c>
      <c r="W118" s="126" t="n">
        <f aca="false">N118/$R$3</f>
        <v>-1376.857</v>
      </c>
    </row>
    <row r="119" customFormat="false" ht="12.75" hidden="false" customHeight="false" outlineLevel="0" collapsed="false">
      <c r="A119" s="120" t="n">
        <f aca="false">A118+1</f>
        <v>37005</v>
      </c>
      <c r="B119" s="131" t="str">
        <f aca="false">INDEX('[4]Master Data'!$A$2:$B$8,MATCH(WEEKDAY('TBS CRD MTM'!A119,3),'[4]Master Data'!$A$2:$A$8,0),2)</f>
        <v>T</v>
      </c>
      <c r="D119" s="124" t="n">
        <v>0</v>
      </c>
      <c r="E119" s="124" t="n">
        <v>0</v>
      </c>
      <c r="F119" s="124" t="n">
        <v>0</v>
      </c>
      <c r="G119" s="124" t="n">
        <v>0</v>
      </c>
      <c r="I119" s="124" t="n">
        <f aca="false">IF(MONTH($A119)=MONTH($A118),IF(G119=0,I118,G119),G119)</f>
        <v>0</v>
      </c>
      <c r="J119" s="124" t="n">
        <f aca="false">IF(MONTH($A119)=MONTH($A118),SUM(I119-I118),I119)</f>
        <v>0</v>
      </c>
      <c r="K119" s="124" t="n">
        <f aca="false">IF(WEEKDAY(A119,3)&gt;4,0,(IF(A119&lt;K$2,0,IF(A119&lt;=K$3,1,0))))</f>
        <v>0</v>
      </c>
      <c r="L119" s="124" t="n">
        <f aca="false">J119*K119</f>
        <v>0</v>
      </c>
      <c r="M119" s="124" t="n">
        <f aca="false">SUM(J$97:J119)</f>
        <v>0</v>
      </c>
      <c r="N119" s="124" t="n">
        <f aca="false">SUM(J$6:J119)</f>
        <v>-1376857</v>
      </c>
      <c r="P119" s="148" t="n">
        <f aca="false">D119/P$3</f>
        <v>0</v>
      </c>
      <c r="Q119" s="124" t="n">
        <f aca="false">E119/P$3</f>
        <v>0</v>
      </c>
      <c r="R119" s="124" t="n">
        <f aca="false">F119/R$3</f>
        <v>0</v>
      </c>
      <c r="S119" s="126" t="n">
        <f aca="false">J119/$R$3</f>
        <v>0</v>
      </c>
      <c r="T119" s="126" t="n">
        <f aca="false">L119/$R$3</f>
        <v>0</v>
      </c>
      <c r="U119" s="126" t="n">
        <f aca="false">I119/$R$3</f>
        <v>0</v>
      </c>
      <c r="V119" s="126" t="n">
        <f aca="false">M119/$R$3</f>
        <v>0</v>
      </c>
      <c r="W119" s="126" t="n">
        <f aca="false">N119/$R$3</f>
        <v>-1376.857</v>
      </c>
    </row>
    <row r="120" customFormat="false" ht="12.75" hidden="false" customHeight="false" outlineLevel="0" collapsed="false">
      <c r="A120" s="120" t="n">
        <f aca="false">A119+1</f>
        <v>37006</v>
      </c>
      <c r="B120" s="131" t="str">
        <f aca="false">INDEX('[4]Master Data'!$A$2:$B$8,MATCH(WEEKDAY('TBS CRD MTM'!A120,3),'[4]Master Data'!$A$2:$A$8,0),2)</f>
        <v>W</v>
      </c>
      <c r="D120" s="124" t="n">
        <v>0</v>
      </c>
      <c r="E120" s="124" t="n">
        <v>0</v>
      </c>
      <c r="F120" s="124" t="n">
        <v>0</v>
      </c>
      <c r="G120" s="124" t="n">
        <v>0</v>
      </c>
      <c r="I120" s="124" t="n">
        <f aca="false">IF(MONTH($A120)=MONTH($A119),IF(G120=0,I119,G120),G120)</f>
        <v>0</v>
      </c>
      <c r="J120" s="124" t="n">
        <f aca="false">IF(MONTH($A120)=MONTH($A119),SUM(I120-I119),I120)</f>
        <v>0</v>
      </c>
      <c r="K120" s="124" t="n">
        <f aca="false">IF(WEEKDAY(A120,3)&gt;4,0,(IF(A120&lt;K$2,0,IF(A120&lt;=K$3,1,0))))</f>
        <v>0</v>
      </c>
      <c r="L120" s="124" t="n">
        <f aca="false">J120*K120</f>
        <v>0</v>
      </c>
      <c r="M120" s="124" t="n">
        <f aca="false">SUM(J$97:J120)</f>
        <v>0</v>
      </c>
      <c r="N120" s="124" t="n">
        <f aca="false">SUM(J$6:J120)</f>
        <v>-1376857</v>
      </c>
      <c r="P120" s="148" t="n">
        <f aca="false">D120/P$3</f>
        <v>0</v>
      </c>
      <c r="Q120" s="124" t="n">
        <f aca="false">E120/P$3</f>
        <v>0</v>
      </c>
      <c r="R120" s="124" t="n">
        <f aca="false">F120/R$3</f>
        <v>0</v>
      </c>
      <c r="S120" s="126" t="n">
        <f aca="false">J120/$R$3</f>
        <v>0</v>
      </c>
      <c r="T120" s="126" t="n">
        <f aca="false">L120/$R$3</f>
        <v>0</v>
      </c>
      <c r="U120" s="126" t="n">
        <f aca="false">I120/$R$3</f>
        <v>0</v>
      </c>
      <c r="V120" s="126" t="n">
        <f aca="false">M120/$R$3</f>
        <v>0</v>
      </c>
      <c r="W120" s="126" t="n">
        <f aca="false">N120/$R$3</f>
        <v>-1376.857</v>
      </c>
    </row>
    <row r="121" customFormat="false" ht="12.75" hidden="false" customHeight="false" outlineLevel="0" collapsed="false">
      <c r="A121" s="120" t="n">
        <f aca="false">A120+1</f>
        <v>37007</v>
      </c>
      <c r="B121" s="131" t="str">
        <f aca="false">INDEX('[4]Master Data'!$A$2:$B$8,MATCH(WEEKDAY('TBS CRD MTM'!A121,3),'[4]Master Data'!$A$2:$A$8,0),2)</f>
        <v>Th</v>
      </c>
      <c r="D121" s="124" t="n">
        <v>0</v>
      </c>
      <c r="E121" s="124" t="n">
        <v>0</v>
      </c>
      <c r="F121" s="124" t="n">
        <v>0</v>
      </c>
      <c r="G121" s="124" t="n">
        <v>0</v>
      </c>
      <c r="I121" s="124" t="n">
        <f aca="false">IF(MONTH($A121)=MONTH($A120),IF(G121=0,I120,G121),G121)</f>
        <v>0</v>
      </c>
      <c r="J121" s="124" t="n">
        <f aca="false">IF(MONTH($A121)=MONTH($A120),SUM(I121-I120),I121)</f>
        <v>0</v>
      </c>
      <c r="K121" s="124" t="n">
        <f aca="false">IF(WEEKDAY(A121,3)&gt;4,0,(IF(A121&lt;K$2,0,IF(A121&lt;=K$3,1,0))))</f>
        <v>0</v>
      </c>
      <c r="L121" s="124" t="n">
        <f aca="false">J121*K121</f>
        <v>0</v>
      </c>
      <c r="M121" s="124" t="n">
        <f aca="false">SUM(J$97:J121)</f>
        <v>0</v>
      </c>
      <c r="N121" s="124" t="n">
        <f aca="false">SUM(J$6:J121)</f>
        <v>-1376857</v>
      </c>
      <c r="P121" s="148" t="n">
        <f aca="false">D121/P$3</f>
        <v>0</v>
      </c>
      <c r="Q121" s="124" t="n">
        <f aca="false">E121/P$3</f>
        <v>0</v>
      </c>
      <c r="R121" s="124" t="n">
        <f aca="false">F121/R$3</f>
        <v>0</v>
      </c>
      <c r="S121" s="126" t="n">
        <f aca="false">J121/$R$3</f>
        <v>0</v>
      </c>
      <c r="T121" s="126" t="n">
        <f aca="false">L121/$R$3</f>
        <v>0</v>
      </c>
      <c r="U121" s="126" t="n">
        <f aca="false">I121/$R$3</f>
        <v>0</v>
      </c>
      <c r="V121" s="126" t="n">
        <f aca="false">M121/$R$3</f>
        <v>0</v>
      </c>
      <c r="W121" s="126" t="n">
        <f aca="false">N121/$R$3</f>
        <v>-1376.857</v>
      </c>
    </row>
    <row r="122" customFormat="false" ht="12.75" hidden="false" customHeight="false" outlineLevel="0" collapsed="false">
      <c r="A122" s="120" t="n">
        <f aca="false">A121+1</f>
        <v>37008</v>
      </c>
      <c r="B122" s="131" t="str">
        <f aca="false">INDEX('[4]Master Data'!$A$2:$B$8,MATCH(WEEKDAY('TBS CRD MTM'!A122,3),'[4]Master Data'!$A$2:$A$8,0),2)</f>
        <v>F</v>
      </c>
      <c r="D122" s="124" t="n">
        <v>0</v>
      </c>
      <c r="E122" s="124" t="n">
        <v>0</v>
      </c>
      <c r="F122" s="124" t="n">
        <v>0</v>
      </c>
      <c r="G122" s="124" t="n">
        <v>0</v>
      </c>
      <c r="I122" s="124" t="n">
        <f aca="false">IF(MONTH($A122)=MONTH($A121),IF(G122=0,I121,G122),G122)</f>
        <v>0</v>
      </c>
      <c r="J122" s="124" t="n">
        <f aca="false">IF(MONTH($A122)=MONTH($A121),SUM(I122-I121),I122)</f>
        <v>0</v>
      </c>
      <c r="K122" s="124" t="n">
        <f aca="false">IF(WEEKDAY(A122,3)&gt;4,0,(IF(A122&lt;K$2,0,IF(A122&lt;=K$3,1,0))))</f>
        <v>0</v>
      </c>
      <c r="L122" s="124" t="n">
        <f aca="false">J122*K122</f>
        <v>0</v>
      </c>
      <c r="M122" s="124" t="n">
        <f aca="false">SUM(J$97:J122)</f>
        <v>0</v>
      </c>
      <c r="N122" s="124" t="n">
        <f aca="false">SUM(J$6:J122)</f>
        <v>-1376857</v>
      </c>
      <c r="P122" s="148" t="n">
        <f aca="false">D122/P$3</f>
        <v>0</v>
      </c>
      <c r="Q122" s="124" t="n">
        <f aca="false">E122/P$3</f>
        <v>0</v>
      </c>
      <c r="R122" s="124" t="n">
        <f aca="false">F122/R$3</f>
        <v>0</v>
      </c>
      <c r="S122" s="126" t="n">
        <f aca="false">J122/$R$3</f>
        <v>0</v>
      </c>
      <c r="T122" s="126" t="n">
        <f aca="false">L122/$R$3</f>
        <v>0</v>
      </c>
      <c r="U122" s="126" t="n">
        <f aca="false">I122/$R$3</f>
        <v>0</v>
      </c>
      <c r="V122" s="126" t="n">
        <f aca="false">M122/$R$3</f>
        <v>0</v>
      </c>
      <c r="W122" s="126" t="n">
        <f aca="false">N122/$R$3</f>
        <v>-1376.857</v>
      </c>
    </row>
    <row r="123" customFormat="false" ht="12.75" hidden="false" customHeight="false" outlineLevel="0" collapsed="false">
      <c r="A123" s="120" t="n">
        <f aca="false">A122+1</f>
        <v>37009</v>
      </c>
      <c r="B123" s="131" t="str">
        <f aca="false">INDEX('[4]Master Data'!$A$2:$B$8,MATCH(WEEKDAY('TBS CRD MTM'!A123,3),'[4]Master Data'!$A$2:$A$8,0),2)</f>
        <v>Sa</v>
      </c>
      <c r="D123" s="124" t="n">
        <v>0</v>
      </c>
      <c r="E123" s="124" t="n">
        <v>0</v>
      </c>
      <c r="F123" s="124" t="n">
        <v>0</v>
      </c>
      <c r="G123" s="124" t="n">
        <v>0</v>
      </c>
      <c r="I123" s="124" t="n">
        <f aca="false">IF(MONTH($A123)=MONTH($A122),IF(G123=0,I122,G123),G123)</f>
        <v>0</v>
      </c>
      <c r="J123" s="124" t="n">
        <f aca="false">IF(MONTH($A123)=MONTH($A122),SUM(I123-I122),I123)</f>
        <v>0</v>
      </c>
      <c r="K123" s="124" t="n">
        <f aca="false">IF(WEEKDAY(A123,3)&gt;4,0,(IF(A123&lt;K$2,0,IF(A123&lt;=K$3,1,0))))</f>
        <v>0</v>
      </c>
      <c r="L123" s="124" t="n">
        <f aca="false">J123*K123</f>
        <v>0</v>
      </c>
      <c r="M123" s="124" t="n">
        <f aca="false">SUM(J$97:J123)</f>
        <v>0</v>
      </c>
      <c r="N123" s="124" t="n">
        <f aca="false">SUM(J$6:J123)</f>
        <v>-1376857</v>
      </c>
      <c r="P123" s="148" t="n">
        <f aca="false">D123/P$3</f>
        <v>0</v>
      </c>
      <c r="Q123" s="124" t="n">
        <f aca="false">E123/P$3</f>
        <v>0</v>
      </c>
      <c r="R123" s="124" t="n">
        <f aca="false">F123/R$3</f>
        <v>0</v>
      </c>
      <c r="S123" s="126" t="n">
        <f aca="false">J123/$R$3</f>
        <v>0</v>
      </c>
      <c r="T123" s="126" t="n">
        <f aca="false">L123/$R$3</f>
        <v>0</v>
      </c>
      <c r="U123" s="126" t="n">
        <f aca="false">I123/$R$3</f>
        <v>0</v>
      </c>
      <c r="V123" s="126" t="n">
        <f aca="false">M123/$R$3</f>
        <v>0</v>
      </c>
      <c r="W123" s="126" t="n">
        <f aca="false">N123/$R$3</f>
        <v>-1376.857</v>
      </c>
    </row>
    <row r="124" customFormat="false" ht="12.75" hidden="false" customHeight="false" outlineLevel="0" collapsed="false">
      <c r="A124" s="120" t="n">
        <f aca="false">A123+1</f>
        <v>37010</v>
      </c>
      <c r="B124" s="131" t="str">
        <f aca="false">INDEX('[4]Master Data'!$A$2:$B$8,MATCH(WEEKDAY('TBS CRD MTM'!A124,3),'[4]Master Data'!$A$2:$A$8,0),2)</f>
        <v>Su</v>
      </c>
      <c r="D124" s="124" t="n">
        <v>0</v>
      </c>
      <c r="E124" s="124" t="n">
        <v>0</v>
      </c>
      <c r="F124" s="124" t="n">
        <v>0</v>
      </c>
      <c r="G124" s="124" t="n">
        <v>0</v>
      </c>
      <c r="I124" s="124" t="n">
        <f aca="false">IF(MONTH($A124)=MONTH($A123),IF(G124=0,I123,G124),G124)</f>
        <v>0</v>
      </c>
      <c r="J124" s="124" t="n">
        <f aca="false">IF(MONTH($A124)=MONTH($A123),SUM(I124-I123),I124)</f>
        <v>0</v>
      </c>
      <c r="K124" s="124" t="n">
        <f aca="false">IF(WEEKDAY(A124,3)&gt;4,0,(IF(A124&lt;K$2,0,IF(A124&lt;=K$3,1,0))))</f>
        <v>0</v>
      </c>
      <c r="L124" s="124" t="n">
        <f aca="false">J124*K124</f>
        <v>0</v>
      </c>
      <c r="M124" s="124" t="n">
        <f aca="false">SUM(J$97:J124)</f>
        <v>0</v>
      </c>
      <c r="N124" s="124" t="n">
        <f aca="false">SUM(J$6:J124)</f>
        <v>-1376857</v>
      </c>
      <c r="P124" s="148" t="n">
        <f aca="false">D124/P$3</f>
        <v>0</v>
      </c>
      <c r="Q124" s="124" t="n">
        <f aca="false">E124/P$3</f>
        <v>0</v>
      </c>
      <c r="R124" s="124" t="n">
        <f aca="false">F124/R$3</f>
        <v>0</v>
      </c>
      <c r="S124" s="126" t="n">
        <f aca="false">J124/$R$3</f>
        <v>0</v>
      </c>
      <c r="T124" s="126" t="n">
        <f aca="false">L124/$R$3</f>
        <v>0</v>
      </c>
      <c r="U124" s="126" t="n">
        <f aca="false">I124/$R$3</f>
        <v>0</v>
      </c>
      <c r="V124" s="126" t="n">
        <f aca="false">M124/$R$3</f>
        <v>0</v>
      </c>
      <c r="W124" s="126" t="n">
        <f aca="false">N124/$R$3</f>
        <v>-1376.857</v>
      </c>
    </row>
    <row r="125" customFormat="false" ht="12.75" hidden="false" customHeight="false" outlineLevel="0" collapsed="false">
      <c r="A125" s="120" t="n">
        <f aca="false">A124+1</f>
        <v>37011</v>
      </c>
      <c r="B125" s="131" t="str">
        <f aca="false">INDEX('[4]Master Data'!$A$2:$B$8,MATCH(WEEKDAY('TBS CRD MTM'!A125,3),'[4]Master Data'!$A$2:$A$8,0),2)</f>
        <v>M</v>
      </c>
      <c r="D125" s="124" t="n">
        <v>0</v>
      </c>
      <c r="E125" s="124" t="n">
        <v>0</v>
      </c>
      <c r="F125" s="124" t="n">
        <v>0</v>
      </c>
      <c r="G125" s="124" t="n">
        <v>0</v>
      </c>
      <c r="I125" s="124" t="n">
        <f aca="false">IF(MONTH($A125)=MONTH($A124),IF(G125=0,I124,G125),G125)</f>
        <v>0</v>
      </c>
      <c r="J125" s="124" t="n">
        <f aca="false">IF(MONTH($A125)=MONTH($A124),SUM(I125-I124),I125)</f>
        <v>0</v>
      </c>
      <c r="K125" s="124" t="n">
        <f aca="false">IF(WEEKDAY(A125,3)&gt;4,0,(IF(A125&lt;K$2,0,IF(A125&lt;=K$3,1,0))))</f>
        <v>0</v>
      </c>
      <c r="L125" s="124" t="n">
        <f aca="false">J125*K125</f>
        <v>0</v>
      </c>
      <c r="M125" s="124" t="n">
        <f aca="false">SUM(J$97:J125)</f>
        <v>0</v>
      </c>
      <c r="N125" s="124" t="n">
        <f aca="false">SUM(J$6:J125)</f>
        <v>-1376857</v>
      </c>
      <c r="P125" s="148" t="n">
        <f aca="false">D125/P$3</f>
        <v>0</v>
      </c>
      <c r="Q125" s="124" t="n">
        <f aca="false">E125/P$3</f>
        <v>0</v>
      </c>
      <c r="R125" s="124" t="n">
        <f aca="false">F125/R$3</f>
        <v>0</v>
      </c>
      <c r="S125" s="126" t="n">
        <f aca="false">J125/$R$3</f>
        <v>0</v>
      </c>
      <c r="T125" s="126" t="n">
        <f aca="false">L125/$R$3</f>
        <v>0</v>
      </c>
      <c r="U125" s="126" t="n">
        <f aca="false">I125/$R$3</f>
        <v>0</v>
      </c>
      <c r="V125" s="126" t="n">
        <f aca="false">M125/$R$3</f>
        <v>0</v>
      </c>
      <c r="W125" s="126" t="n">
        <f aca="false">N125/$R$3</f>
        <v>-1376.857</v>
      </c>
    </row>
    <row r="126" customFormat="false" ht="12.75" hidden="false" customHeight="false" outlineLevel="0" collapsed="false">
      <c r="A126" s="120" t="n">
        <f aca="false">A125+1</f>
        <v>37012</v>
      </c>
      <c r="B126" s="131" t="str">
        <f aca="false">INDEX('[4]Master Data'!$A$2:$B$8,MATCH(WEEKDAY('TBS CRD MTM'!A126,3),'[4]Master Data'!$A$2:$A$8,0),2)</f>
        <v>T</v>
      </c>
      <c r="D126" s="124" t="n">
        <v>0</v>
      </c>
      <c r="E126" s="124" t="n">
        <v>0</v>
      </c>
      <c r="F126" s="124" t="n">
        <v>0</v>
      </c>
      <c r="G126" s="124" t="n">
        <v>0</v>
      </c>
      <c r="I126" s="124" t="n">
        <f aca="false">IF(MONTH($A126)=MONTH($A125),IF(G126=0,I125,G126),G126)</f>
        <v>0</v>
      </c>
      <c r="J126" s="124" t="n">
        <f aca="false">IF(MONTH($A126)=MONTH($A125),SUM(I126-I125),I126)</f>
        <v>0</v>
      </c>
      <c r="K126" s="124" t="n">
        <f aca="false">IF(WEEKDAY(A126,3)&gt;4,0,(IF(A126&lt;K$2,0,IF(A126&lt;=K$3,1,0))))</f>
        <v>0</v>
      </c>
      <c r="L126" s="124" t="n">
        <f aca="false">J126*K126</f>
        <v>0</v>
      </c>
      <c r="M126" s="124" t="n">
        <f aca="false">SUM(J$97:J126)</f>
        <v>0</v>
      </c>
      <c r="N126" s="124" t="n">
        <f aca="false">SUM(J$6:J126)</f>
        <v>-1376857</v>
      </c>
      <c r="P126" s="148" t="n">
        <f aca="false">D126/P$3</f>
        <v>0</v>
      </c>
      <c r="Q126" s="124" t="n">
        <f aca="false">E126/P$3</f>
        <v>0</v>
      </c>
      <c r="R126" s="124" t="n">
        <f aca="false">F126/R$3</f>
        <v>0</v>
      </c>
      <c r="S126" s="126" t="n">
        <f aca="false">J126/$R$3</f>
        <v>0</v>
      </c>
      <c r="T126" s="126" t="n">
        <f aca="false">L126/$R$3</f>
        <v>0</v>
      </c>
      <c r="U126" s="126" t="n">
        <f aca="false">I126/$R$3</f>
        <v>0</v>
      </c>
      <c r="V126" s="126" t="n">
        <f aca="false">M126/$R$3</f>
        <v>0</v>
      </c>
      <c r="W126" s="126" t="n">
        <f aca="false">N126/$R$3</f>
        <v>-1376.857</v>
      </c>
    </row>
    <row r="127" customFormat="false" ht="12.75" hidden="false" customHeight="false" outlineLevel="0" collapsed="false">
      <c r="A127" s="120" t="n">
        <f aca="false">A126+1</f>
        <v>37013</v>
      </c>
      <c r="B127" s="131" t="str">
        <f aca="false">INDEX('[4]Master Data'!$A$2:$B$8,MATCH(WEEKDAY('TBS CRD MTM'!A127,3),'[4]Master Data'!$A$2:$A$8,0),2)</f>
        <v>W</v>
      </c>
      <c r="D127" s="124" t="n">
        <v>0</v>
      </c>
      <c r="E127" s="124" t="n">
        <v>0</v>
      </c>
      <c r="F127" s="124" t="n">
        <v>0</v>
      </c>
      <c r="G127" s="124" t="n">
        <v>0</v>
      </c>
      <c r="I127" s="124" t="n">
        <f aca="false">IF(MONTH($A127)=MONTH($A126),IF(G127=0,I126,G127),G127)</f>
        <v>0</v>
      </c>
      <c r="J127" s="124" t="n">
        <f aca="false">IF(MONTH($A127)=MONTH($A126),SUM(I127-I126),I127)</f>
        <v>0</v>
      </c>
      <c r="K127" s="124" t="n">
        <f aca="false">IF(WEEKDAY(A127,3)&gt;4,0,(IF(A127&lt;K$2,0,IF(A127&lt;=K$3,1,0))))</f>
        <v>0</v>
      </c>
      <c r="L127" s="124" t="n">
        <f aca="false">J127*K127</f>
        <v>0</v>
      </c>
      <c r="M127" s="124" t="n">
        <f aca="false">SUM(J$97:J127)</f>
        <v>0</v>
      </c>
      <c r="N127" s="124" t="n">
        <f aca="false">SUM(J$6:J127)</f>
        <v>-1376857</v>
      </c>
      <c r="P127" s="148" t="n">
        <f aca="false">D127/P$3</f>
        <v>0</v>
      </c>
      <c r="Q127" s="124" t="n">
        <f aca="false">E127/P$3</f>
        <v>0</v>
      </c>
      <c r="R127" s="124" t="n">
        <f aca="false">F127/R$3</f>
        <v>0</v>
      </c>
      <c r="S127" s="126" t="n">
        <f aca="false">J127/$R$3</f>
        <v>0</v>
      </c>
      <c r="T127" s="126" t="n">
        <f aca="false">L127/$R$3</f>
        <v>0</v>
      </c>
      <c r="U127" s="126" t="n">
        <f aca="false">I127/$R$3</f>
        <v>0</v>
      </c>
      <c r="V127" s="126" t="n">
        <f aca="false">M127/$R$3</f>
        <v>0</v>
      </c>
      <c r="W127" s="126" t="n">
        <f aca="false">N127/$R$3</f>
        <v>-1376.857</v>
      </c>
    </row>
    <row r="128" customFormat="false" ht="12.75" hidden="false" customHeight="false" outlineLevel="0" collapsed="false">
      <c r="A128" s="120" t="n">
        <f aca="false">A127+1</f>
        <v>37014</v>
      </c>
      <c r="B128" s="131" t="str">
        <f aca="false">INDEX('[4]Master Data'!$A$2:$B$8,MATCH(WEEKDAY('TBS CRD MTM'!A128,3),'[4]Master Data'!$A$2:$A$8,0),2)</f>
        <v>Th</v>
      </c>
      <c r="D128" s="124" t="n">
        <v>0</v>
      </c>
      <c r="E128" s="124" t="n">
        <v>0</v>
      </c>
      <c r="F128" s="124" t="n">
        <v>0</v>
      </c>
      <c r="G128" s="124" t="n">
        <v>0</v>
      </c>
      <c r="I128" s="124" t="n">
        <f aca="false">IF(MONTH($A128)=MONTH($A127),IF(G128=0,I127,G128),G128)</f>
        <v>0</v>
      </c>
      <c r="J128" s="124" t="n">
        <f aca="false">IF(MONTH($A128)=MONTH($A127),SUM(I128-I127),I128)</f>
        <v>0</v>
      </c>
      <c r="K128" s="124" t="n">
        <f aca="false">IF(WEEKDAY(A128,3)&gt;4,0,(IF(A128&lt;K$2,0,IF(A128&lt;=K$3,1,0))))</f>
        <v>0</v>
      </c>
      <c r="L128" s="124" t="n">
        <f aca="false">J128*K128</f>
        <v>0</v>
      </c>
      <c r="M128" s="124" t="n">
        <f aca="false">SUM(J$97:J128)</f>
        <v>0</v>
      </c>
      <c r="N128" s="124" t="n">
        <f aca="false">SUM(J$6:J128)</f>
        <v>-1376857</v>
      </c>
      <c r="P128" s="148" t="n">
        <f aca="false">D128/P$3</f>
        <v>0</v>
      </c>
      <c r="Q128" s="124" t="n">
        <f aca="false">E128/P$3</f>
        <v>0</v>
      </c>
      <c r="R128" s="124" t="n">
        <f aca="false">F128/R$3</f>
        <v>0</v>
      </c>
      <c r="S128" s="126" t="n">
        <f aca="false">J128/$R$3</f>
        <v>0</v>
      </c>
      <c r="T128" s="126" t="n">
        <f aca="false">L128/$R$3</f>
        <v>0</v>
      </c>
      <c r="U128" s="126" t="n">
        <f aca="false">I128/$R$3</f>
        <v>0</v>
      </c>
      <c r="V128" s="126" t="n">
        <f aca="false">M128/$R$3</f>
        <v>0</v>
      </c>
      <c r="W128" s="126" t="n">
        <f aca="false">N128/$R$3</f>
        <v>-1376.857</v>
      </c>
    </row>
    <row r="129" customFormat="false" ht="12.75" hidden="false" customHeight="false" outlineLevel="0" collapsed="false">
      <c r="A129" s="120" t="n">
        <f aca="false">A128+1</f>
        <v>37015</v>
      </c>
      <c r="B129" s="131" t="str">
        <f aca="false">INDEX('[4]Master Data'!$A$2:$B$8,MATCH(WEEKDAY('TBS CRD MTM'!A129,3),'[4]Master Data'!$A$2:$A$8,0),2)</f>
        <v>F</v>
      </c>
      <c r="D129" s="124" t="n">
        <v>0</v>
      </c>
      <c r="E129" s="124" t="n">
        <v>0</v>
      </c>
      <c r="F129" s="124" t="n">
        <v>0</v>
      </c>
      <c r="G129" s="124" t="n">
        <v>0</v>
      </c>
      <c r="I129" s="124" t="n">
        <f aca="false">IF(MONTH($A129)=MONTH($A128),IF(G129=0,I128,G129),G129)</f>
        <v>0</v>
      </c>
      <c r="J129" s="124" t="n">
        <f aca="false">IF(MONTH($A129)=MONTH($A128),SUM(I129-I128),I129)</f>
        <v>0</v>
      </c>
      <c r="K129" s="124" t="n">
        <f aca="false">IF(WEEKDAY(A129,3)&gt;4,0,(IF(A129&lt;K$2,0,IF(A129&lt;=K$3,1,0))))</f>
        <v>0</v>
      </c>
      <c r="L129" s="124" t="n">
        <f aca="false">J129*K129</f>
        <v>0</v>
      </c>
      <c r="M129" s="124" t="n">
        <f aca="false">SUM(J$97:J129)</f>
        <v>0</v>
      </c>
      <c r="N129" s="124" t="n">
        <f aca="false">SUM(J$6:J129)</f>
        <v>-1376857</v>
      </c>
      <c r="P129" s="148" t="n">
        <f aca="false">D129/P$3</f>
        <v>0</v>
      </c>
      <c r="Q129" s="124" t="n">
        <f aca="false">E129/P$3</f>
        <v>0</v>
      </c>
      <c r="R129" s="124" t="n">
        <f aca="false">F129/R$3</f>
        <v>0</v>
      </c>
      <c r="S129" s="126" t="n">
        <f aca="false">J129/$R$3</f>
        <v>0</v>
      </c>
      <c r="T129" s="126" t="n">
        <f aca="false">L129/$R$3</f>
        <v>0</v>
      </c>
      <c r="U129" s="126" t="n">
        <f aca="false">I129/$R$3</f>
        <v>0</v>
      </c>
      <c r="V129" s="126" t="n">
        <f aca="false">M129/$R$3</f>
        <v>0</v>
      </c>
      <c r="W129" s="126" t="n">
        <f aca="false">N129/$R$3</f>
        <v>-1376.857</v>
      </c>
    </row>
    <row r="130" customFormat="false" ht="12.75" hidden="false" customHeight="false" outlineLevel="0" collapsed="false">
      <c r="A130" s="120" t="n">
        <f aca="false">A129+1</f>
        <v>37016</v>
      </c>
      <c r="B130" s="131" t="str">
        <f aca="false">INDEX('[4]Master Data'!$A$2:$B$8,MATCH(WEEKDAY('TBS CRD MTM'!A130,3),'[4]Master Data'!$A$2:$A$8,0),2)</f>
        <v>Sa</v>
      </c>
      <c r="D130" s="124" t="n">
        <v>0</v>
      </c>
      <c r="E130" s="124" t="n">
        <v>0</v>
      </c>
      <c r="F130" s="124" t="n">
        <v>0</v>
      </c>
      <c r="G130" s="124" t="n">
        <v>0</v>
      </c>
      <c r="I130" s="124" t="n">
        <f aca="false">IF(MONTH($A130)=MONTH($A129),IF(G130=0,I129,G130),G130)</f>
        <v>0</v>
      </c>
      <c r="J130" s="124" t="n">
        <f aca="false">IF(MONTH($A130)=MONTH($A129),SUM(I130-I129),I130)</f>
        <v>0</v>
      </c>
      <c r="K130" s="124" t="n">
        <f aca="false">IF(WEEKDAY(A130,3)&gt;4,0,(IF(A130&lt;K$2,0,IF(A130&lt;=K$3,1,0))))</f>
        <v>0</v>
      </c>
      <c r="L130" s="124" t="n">
        <f aca="false">J130*K130</f>
        <v>0</v>
      </c>
      <c r="M130" s="124" t="n">
        <f aca="false">SUM(J$97:J130)</f>
        <v>0</v>
      </c>
      <c r="N130" s="124" t="n">
        <f aca="false">SUM(J$6:J130)</f>
        <v>-1376857</v>
      </c>
      <c r="P130" s="148" t="n">
        <f aca="false">D130/P$3</f>
        <v>0</v>
      </c>
      <c r="Q130" s="124" t="n">
        <f aca="false">E130/P$3</f>
        <v>0</v>
      </c>
      <c r="R130" s="124" t="n">
        <f aca="false">F130/R$3</f>
        <v>0</v>
      </c>
      <c r="S130" s="126" t="n">
        <f aca="false">J130/$R$3</f>
        <v>0</v>
      </c>
      <c r="T130" s="126" t="n">
        <f aca="false">L130/$R$3</f>
        <v>0</v>
      </c>
      <c r="U130" s="126" t="n">
        <f aca="false">I130/$R$3</f>
        <v>0</v>
      </c>
      <c r="V130" s="126" t="n">
        <f aca="false">M130/$R$3</f>
        <v>0</v>
      </c>
      <c r="W130" s="126" t="n">
        <f aca="false">N130/$R$3</f>
        <v>-1376.857</v>
      </c>
    </row>
    <row r="131" customFormat="false" ht="12.75" hidden="false" customHeight="false" outlineLevel="0" collapsed="false">
      <c r="A131" s="120" t="n">
        <f aca="false">A130+1</f>
        <v>37017</v>
      </c>
      <c r="B131" s="131" t="str">
        <f aca="false">INDEX('[4]Master Data'!$A$2:$B$8,MATCH(WEEKDAY('TBS CRD MTM'!A131,3),'[4]Master Data'!$A$2:$A$8,0),2)</f>
        <v>Su</v>
      </c>
      <c r="D131" s="124" t="n">
        <v>0</v>
      </c>
      <c r="E131" s="124" t="n">
        <v>0</v>
      </c>
      <c r="F131" s="124" t="n">
        <v>0</v>
      </c>
      <c r="G131" s="124" t="n">
        <v>0</v>
      </c>
      <c r="I131" s="124" t="n">
        <f aca="false">IF(MONTH($A131)=MONTH($A130),IF(G131=0,I130,G131),G131)</f>
        <v>0</v>
      </c>
      <c r="J131" s="124" t="n">
        <f aca="false">IF(MONTH($A131)=MONTH($A130),SUM(I131-I130),I131)</f>
        <v>0</v>
      </c>
      <c r="K131" s="124" t="n">
        <f aca="false">IF(WEEKDAY(A131,3)&gt;4,0,(IF(A131&lt;K$2,0,IF(A131&lt;=K$3,1,0))))</f>
        <v>0</v>
      </c>
      <c r="L131" s="124" t="n">
        <f aca="false">J131*K131</f>
        <v>0</v>
      </c>
      <c r="M131" s="124" t="n">
        <f aca="false">SUM(J$97:J131)</f>
        <v>0</v>
      </c>
      <c r="N131" s="124" t="n">
        <f aca="false">SUM(J$6:J131)</f>
        <v>-1376857</v>
      </c>
      <c r="P131" s="148" t="n">
        <f aca="false">D131/P$3</f>
        <v>0</v>
      </c>
      <c r="Q131" s="124" t="n">
        <f aca="false">E131/P$3</f>
        <v>0</v>
      </c>
      <c r="R131" s="124" t="n">
        <f aca="false">F131/R$3</f>
        <v>0</v>
      </c>
      <c r="S131" s="126" t="n">
        <f aca="false">J131/$R$3</f>
        <v>0</v>
      </c>
      <c r="T131" s="126" t="n">
        <f aca="false">L131/$R$3</f>
        <v>0</v>
      </c>
      <c r="U131" s="126" t="n">
        <f aca="false">I131/$R$3</f>
        <v>0</v>
      </c>
      <c r="V131" s="126" t="n">
        <f aca="false">M131/$R$3</f>
        <v>0</v>
      </c>
      <c r="W131" s="126" t="n">
        <f aca="false">N131/$R$3</f>
        <v>-1376.857</v>
      </c>
    </row>
    <row r="132" customFormat="false" ht="12.75" hidden="false" customHeight="false" outlineLevel="0" collapsed="false">
      <c r="A132" s="120" t="n">
        <f aca="false">A131+1</f>
        <v>37018</v>
      </c>
      <c r="B132" s="131" t="str">
        <f aca="false">INDEX('[4]Master Data'!$A$2:$B$8,MATCH(WEEKDAY('TBS CRD MTM'!A132,3),'[4]Master Data'!$A$2:$A$8,0),2)</f>
        <v>M</v>
      </c>
      <c r="D132" s="124" t="n">
        <v>0</v>
      </c>
      <c r="E132" s="124" t="n">
        <v>0</v>
      </c>
      <c r="F132" s="124" t="n">
        <v>0</v>
      </c>
      <c r="G132" s="124" t="n">
        <v>0</v>
      </c>
      <c r="I132" s="124" t="n">
        <f aca="false">IF(MONTH($A132)=MONTH($A131),IF(G132=0,I131,G132),G132)</f>
        <v>0</v>
      </c>
      <c r="J132" s="124" t="n">
        <f aca="false">IF(MONTH($A132)=MONTH($A131),SUM(I132-I131),I132)</f>
        <v>0</v>
      </c>
      <c r="K132" s="124" t="n">
        <f aca="false">IF(WEEKDAY(A132,3)&gt;4,0,(IF(A132&lt;K$2,0,IF(A132&lt;=K$3,1,0))))</f>
        <v>0</v>
      </c>
      <c r="L132" s="124" t="n">
        <f aca="false">J132*K132</f>
        <v>0</v>
      </c>
      <c r="M132" s="124" t="n">
        <f aca="false">SUM(J$97:J132)</f>
        <v>0</v>
      </c>
      <c r="N132" s="124" t="n">
        <f aca="false">SUM(J$6:J132)</f>
        <v>-1376857</v>
      </c>
      <c r="P132" s="148" t="n">
        <f aca="false">D132/P$3</f>
        <v>0</v>
      </c>
      <c r="Q132" s="124" t="n">
        <f aca="false">E132/P$3</f>
        <v>0</v>
      </c>
      <c r="R132" s="124" t="n">
        <f aca="false">F132/R$3</f>
        <v>0</v>
      </c>
      <c r="S132" s="126" t="n">
        <f aca="false">J132/$R$3</f>
        <v>0</v>
      </c>
      <c r="T132" s="126" t="n">
        <f aca="false">L132/$R$3</f>
        <v>0</v>
      </c>
      <c r="U132" s="126" t="n">
        <f aca="false">I132/$R$3</f>
        <v>0</v>
      </c>
      <c r="V132" s="126" t="n">
        <f aca="false">M132/$R$3</f>
        <v>0</v>
      </c>
      <c r="W132" s="126" t="n">
        <f aca="false">N132/$R$3</f>
        <v>-1376.857</v>
      </c>
    </row>
    <row r="133" customFormat="false" ht="12.75" hidden="false" customHeight="false" outlineLevel="0" collapsed="false">
      <c r="A133" s="120" t="n">
        <f aca="false">A132+1</f>
        <v>37019</v>
      </c>
      <c r="B133" s="131" t="str">
        <f aca="false">INDEX('[4]Master Data'!$A$2:$B$8,MATCH(WEEKDAY('TBS CRD MTM'!A133,3),'[4]Master Data'!$A$2:$A$8,0),2)</f>
        <v>T</v>
      </c>
      <c r="D133" s="124" t="n">
        <v>0</v>
      </c>
      <c r="E133" s="124" t="n">
        <v>0</v>
      </c>
      <c r="F133" s="124" t="n">
        <v>0</v>
      </c>
      <c r="G133" s="124" t="n">
        <v>0</v>
      </c>
      <c r="I133" s="124" t="n">
        <f aca="false">IF(MONTH($A133)=MONTH($A132),IF(G133=0,I132,G133),G133)</f>
        <v>0</v>
      </c>
      <c r="J133" s="124" t="n">
        <f aca="false">IF(MONTH($A133)=MONTH($A132),SUM(I133-I132),I133)</f>
        <v>0</v>
      </c>
      <c r="K133" s="124" t="n">
        <f aca="false">IF(WEEKDAY(A133,3)&gt;4,0,(IF(A133&lt;K$2,0,IF(A133&lt;=K$3,1,0))))</f>
        <v>0</v>
      </c>
      <c r="L133" s="124" t="n">
        <f aca="false">J133*K133</f>
        <v>0</v>
      </c>
      <c r="M133" s="124" t="n">
        <f aca="false">SUM(J$97:J133)</f>
        <v>0</v>
      </c>
      <c r="N133" s="124" t="n">
        <f aca="false">SUM(J$6:J133)</f>
        <v>-1376857</v>
      </c>
      <c r="P133" s="148" t="n">
        <f aca="false">D133/P$3</f>
        <v>0</v>
      </c>
      <c r="Q133" s="124" t="n">
        <f aca="false">E133/P$3</f>
        <v>0</v>
      </c>
      <c r="R133" s="124" t="n">
        <f aca="false">F133/R$3</f>
        <v>0</v>
      </c>
      <c r="S133" s="126" t="n">
        <f aca="false">J133/$R$3</f>
        <v>0</v>
      </c>
      <c r="T133" s="126" t="n">
        <f aca="false">L133/$R$3</f>
        <v>0</v>
      </c>
      <c r="U133" s="126" t="n">
        <f aca="false">I133/$R$3</f>
        <v>0</v>
      </c>
      <c r="V133" s="126" t="n">
        <f aca="false">M133/$R$3</f>
        <v>0</v>
      </c>
      <c r="W133" s="126" t="n">
        <f aca="false">N133/$R$3</f>
        <v>-1376.857</v>
      </c>
    </row>
    <row r="134" customFormat="false" ht="12.75" hidden="false" customHeight="false" outlineLevel="0" collapsed="false">
      <c r="A134" s="120" t="n">
        <f aca="false">A133+1</f>
        <v>37020</v>
      </c>
      <c r="B134" s="131" t="str">
        <f aca="false">INDEX('[4]Master Data'!$A$2:$B$8,MATCH(WEEKDAY('TBS CRD MTM'!A134,3),'[4]Master Data'!$A$2:$A$8,0),2)</f>
        <v>W</v>
      </c>
      <c r="D134" s="124" t="n">
        <v>0</v>
      </c>
      <c r="E134" s="124" t="n">
        <v>0</v>
      </c>
      <c r="F134" s="124" t="n">
        <v>0</v>
      </c>
      <c r="G134" s="124" t="n">
        <v>0</v>
      </c>
      <c r="I134" s="124" t="n">
        <f aca="false">IF(MONTH($A134)=MONTH($A133),IF(G134=0,I133,G134),G134)</f>
        <v>0</v>
      </c>
      <c r="J134" s="124" t="n">
        <f aca="false">IF(MONTH($A134)=MONTH($A133),SUM(I134-I133),I134)</f>
        <v>0</v>
      </c>
      <c r="K134" s="124" t="n">
        <f aca="false">IF(WEEKDAY(A134,3)&gt;4,0,(IF(A134&lt;K$2,0,IF(A134&lt;=K$3,1,0))))</f>
        <v>0</v>
      </c>
      <c r="L134" s="124" t="n">
        <f aca="false">J134*K134</f>
        <v>0</v>
      </c>
      <c r="M134" s="124" t="n">
        <f aca="false">SUM(J$97:J134)</f>
        <v>0</v>
      </c>
      <c r="N134" s="124" t="n">
        <f aca="false">SUM(J$6:J134)</f>
        <v>-1376857</v>
      </c>
      <c r="P134" s="148" t="n">
        <f aca="false">D134/P$3</f>
        <v>0</v>
      </c>
      <c r="Q134" s="124" t="n">
        <f aca="false">E134/P$3</f>
        <v>0</v>
      </c>
      <c r="R134" s="124" t="n">
        <f aca="false">F134/R$3</f>
        <v>0</v>
      </c>
      <c r="S134" s="126" t="n">
        <f aca="false">J134/$R$3</f>
        <v>0</v>
      </c>
      <c r="T134" s="126" t="n">
        <f aca="false">L134/$R$3</f>
        <v>0</v>
      </c>
      <c r="U134" s="126" t="n">
        <f aca="false">I134/$R$3</f>
        <v>0</v>
      </c>
      <c r="V134" s="126" t="n">
        <f aca="false">M134/$R$3</f>
        <v>0</v>
      </c>
      <c r="W134" s="126" t="n">
        <f aca="false">N134/$R$3</f>
        <v>-1376.857</v>
      </c>
    </row>
    <row r="135" customFormat="false" ht="12.75" hidden="false" customHeight="false" outlineLevel="0" collapsed="false">
      <c r="A135" s="120" t="n">
        <f aca="false">A134+1</f>
        <v>37021</v>
      </c>
      <c r="B135" s="131" t="str">
        <f aca="false">INDEX('[4]Master Data'!$A$2:$B$8,MATCH(WEEKDAY('TBS CRD MTM'!A135,3),'[4]Master Data'!$A$2:$A$8,0),2)</f>
        <v>Th</v>
      </c>
      <c r="D135" s="124" t="n">
        <v>0</v>
      </c>
      <c r="E135" s="124" t="n">
        <v>0</v>
      </c>
      <c r="F135" s="124" t="n">
        <v>0</v>
      </c>
      <c r="G135" s="124" t="n">
        <v>0</v>
      </c>
      <c r="I135" s="124" t="n">
        <f aca="false">IF(MONTH($A135)=MONTH($A134),IF(G135=0,I134,G135),G135)</f>
        <v>0</v>
      </c>
      <c r="J135" s="124" t="n">
        <f aca="false">IF(MONTH($A135)=MONTH($A134),SUM(I135-I134),I135)</f>
        <v>0</v>
      </c>
      <c r="K135" s="124" t="n">
        <f aca="false">IF(WEEKDAY(A135,3)&gt;4,0,(IF(A135&lt;K$2,0,IF(A135&lt;=K$3,1,0))))</f>
        <v>0</v>
      </c>
      <c r="L135" s="124" t="n">
        <f aca="false">J135*K135</f>
        <v>0</v>
      </c>
      <c r="M135" s="124" t="n">
        <f aca="false">SUM(J$97:J135)</f>
        <v>0</v>
      </c>
      <c r="N135" s="124" t="n">
        <f aca="false">SUM(J$6:J135)</f>
        <v>-1376857</v>
      </c>
      <c r="P135" s="148" t="n">
        <f aca="false">D135/P$3</f>
        <v>0</v>
      </c>
      <c r="Q135" s="124" t="n">
        <f aca="false">E135/P$3</f>
        <v>0</v>
      </c>
      <c r="R135" s="124" t="n">
        <f aca="false">F135/R$3</f>
        <v>0</v>
      </c>
      <c r="S135" s="126" t="n">
        <f aca="false">J135/$R$3</f>
        <v>0</v>
      </c>
      <c r="T135" s="126" t="n">
        <f aca="false">L135/$R$3</f>
        <v>0</v>
      </c>
      <c r="U135" s="126" t="n">
        <f aca="false">I135/$R$3</f>
        <v>0</v>
      </c>
      <c r="V135" s="126" t="n">
        <f aca="false">M135/$R$3</f>
        <v>0</v>
      </c>
      <c r="W135" s="126" t="n">
        <f aca="false">N135/$R$3</f>
        <v>-1376.857</v>
      </c>
    </row>
    <row r="136" customFormat="false" ht="12.75" hidden="false" customHeight="false" outlineLevel="0" collapsed="false">
      <c r="A136" s="120" t="n">
        <f aca="false">A135+1</f>
        <v>37022</v>
      </c>
      <c r="B136" s="131" t="str">
        <f aca="false">INDEX('[4]Master Data'!$A$2:$B$8,MATCH(WEEKDAY('TBS CRD MTM'!A136,3),'[4]Master Data'!$A$2:$A$8,0),2)</f>
        <v>F</v>
      </c>
      <c r="D136" s="124" t="n">
        <v>0</v>
      </c>
      <c r="E136" s="124" t="n">
        <v>0</v>
      </c>
      <c r="F136" s="124" t="n">
        <v>0</v>
      </c>
      <c r="G136" s="124" t="n">
        <v>0</v>
      </c>
      <c r="I136" s="124" t="n">
        <f aca="false">IF(MONTH($A136)=MONTH($A135),IF(G136=0,I135,G136),G136)</f>
        <v>0</v>
      </c>
      <c r="J136" s="124" t="n">
        <f aca="false">IF(MONTH($A136)=MONTH($A135),SUM(I136-I135),I136)</f>
        <v>0</v>
      </c>
      <c r="K136" s="124" t="n">
        <f aca="false">IF(WEEKDAY(A136,3)&gt;4,0,(IF(A136&lt;K$2,0,IF(A136&lt;=K$3,1,0))))</f>
        <v>0</v>
      </c>
      <c r="L136" s="124" t="n">
        <f aca="false">J136*K136</f>
        <v>0</v>
      </c>
      <c r="M136" s="124" t="n">
        <f aca="false">SUM(J$97:J136)</f>
        <v>0</v>
      </c>
      <c r="N136" s="124" t="n">
        <f aca="false">SUM(J$6:J136)</f>
        <v>-1376857</v>
      </c>
      <c r="P136" s="148" t="n">
        <f aca="false">D136/P$3</f>
        <v>0</v>
      </c>
      <c r="Q136" s="124" t="n">
        <f aca="false">E136/P$3</f>
        <v>0</v>
      </c>
      <c r="R136" s="124" t="n">
        <f aca="false">F136/R$3</f>
        <v>0</v>
      </c>
      <c r="S136" s="126" t="n">
        <f aca="false">J136/$R$3</f>
        <v>0</v>
      </c>
      <c r="T136" s="126" t="n">
        <f aca="false">L136/$R$3</f>
        <v>0</v>
      </c>
      <c r="U136" s="126" t="n">
        <f aca="false">I136/$R$3</f>
        <v>0</v>
      </c>
      <c r="V136" s="126" t="n">
        <f aca="false">M136/$R$3</f>
        <v>0</v>
      </c>
      <c r="W136" s="126" t="n">
        <f aca="false">N136/$R$3</f>
        <v>-1376.857</v>
      </c>
    </row>
    <row r="137" customFormat="false" ht="12.75" hidden="false" customHeight="false" outlineLevel="0" collapsed="false">
      <c r="A137" s="120" t="n">
        <f aca="false">A136+1</f>
        <v>37023</v>
      </c>
      <c r="B137" s="131" t="str">
        <f aca="false">INDEX('[4]Master Data'!$A$2:$B$8,MATCH(WEEKDAY('TBS CRD MTM'!A137,3),'[4]Master Data'!$A$2:$A$8,0),2)</f>
        <v>Sa</v>
      </c>
      <c r="D137" s="124" t="n">
        <v>0</v>
      </c>
      <c r="E137" s="124" t="n">
        <v>0</v>
      </c>
      <c r="F137" s="124" t="n">
        <v>0</v>
      </c>
      <c r="G137" s="124" t="n">
        <v>0</v>
      </c>
      <c r="I137" s="124" t="n">
        <f aca="false">IF(MONTH($A137)=MONTH($A136),IF(G137=0,I136,G137),G137)</f>
        <v>0</v>
      </c>
      <c r="J137" s="124" t="n">
        <f aca="false">IF(MONTH($A137)=MONTH($A136),SUM(I137-I136),I137)</f>
        <v>0</v>
      </c>
      <c r="K137" s="124" t="n">
        <f aca="false">IF(WEEKDAY(A137,3)&gt;4,0,(IF(A137&lt;K$2,0,IF(A137&lt;=K$3,1,0))))</f>
        <v>0</v>
      </c>
      <c r="L137" s="124" t="n">
        <f aca="false">J137*K137</f>
        <v>0</v>
      </c>
      <c r="M137" s="124" t="n">
        <f aca="false">SUM(J$97:J137)</f>
        <v>0</v>
      </c>
      <c r="N137" s="124" t="n">
        <f aca="false">SUM(J$6:J137)</f>
        <v>-1376857</v>
      </c>
      <c r="P137" s="148" t="n">
        <f aca="false">D137/P$3</f>
        <v>0</v>
      </c>
      <c r="Q137" s="124" t="n">
        <f aca="false">E137/P$3</f>
        <v>0</v>
      </c>
      <c r="R137" s="124" t="n">
        <f aca="false">F137/R$3</f>
        <v>0</v>
      </c>
      <c r="S137" s="126" t="n">
        <f aca="false">J137/$R$3</f>
        <v>0</v>
      </c>
      <c r="T137" s="126" t="n">
        <f aca="false">L137/$R$3</f>
        <v>0</v>
      </c>
      <c r="U137" s="126" t="n">
        <f aca="false">I137/$R$3</f>
        <v>0</v>
      </c>
      <c r="V137" s="126" t="n">
        <f aca="false">M137/$R$3</f>
        <v>0</v>
      </c>
      <c r="W137" s="126" t="n">
        <f aca="false">N137/$R$3</f>
        <v>-1376.857</v>
      </c>
    </row>
    <row r="138" customFormat="false" ht="12.75" hidden="false" customHeight="false" outlineLevel="0" collapsed="false">
      <c r="A138" s="120" t="n">
        <f aca="false">A137+1</f>
        <v>37024</v>
      </c>
      <c r="B138" s="131" t="str">
        <f aca="false">INDEX('[4]Master Data'!$A$2:$B$8,MATCH(WEEKDAY('TBS CRD MTM'!A138,3),'[4]Master Data'!$A$2:$A$8,0),2)</f>
        <v>Su</v>
      </c>
      <c r="D138" s="124" t="n">
        <v>0</v>
      </c>
      <c r="E138" s="124" t="n">
        <v>0</v>
      </c>
      <c r="F138" s="124" t="n">
        <v>0</v>
      </c>
      <c r="G138" s="124" t="n">
        <v>0</v>
      </c>
      <c r="I138" s="124" t="n">
        <f aca="false">IF(MONTH($A138)=MONTH($A137),IF(G138=0,I137,G138),G138)</f>
        <v>0</v>
      </c>
      <c r="J138" s="124" t="n">
        <f aca="false">IF(MONTH($A138)=MONTH($A137),SUM(I138-I137),I138)</f>
        <v>0</v>
      </c>
      <c r="K138" s="124" t="n">
        <f aca="false">IF(WEEKDAY(A138,3)&gt;4,0,(IF(A138&lt;K$2,0,IF(A138&lt;=K$3,1,0))))</f>
        <v>0</v>
      </c>
      <c r="L138" s="124" t="n">
        <f aca="false">J138*K138</f>
        <v>0</v>
      </c>
      <c r="M138" s="124" t="n">
        <f aca="false">SUM(J$97:J138)</f>
        <v>0</v>
      </c>
      <c r="N138" s="124" t="n">
        <f aca="false">SUM(J$6:J138)</f>
        <v>-1376857</v>
      </c>
      <c r="P138" s="148" t="n">
        <f aca="false">D138/P$3</f>
        <v>0</v>
      </c>
      <c r="Q138" s="124" t="n">
        <f aca="false">E138/P$3</f>
        <v>0</v>
      </c>
      <c r="R138" s="124" t="n">
        <f aca="false">F138/R$3</f>
        <v>0</v>
      </c>
      <c r="S138" s="126" t="n">
        <f aca="false">J138/$R$3</f>
        <v>0</v>
      </c>
      <c r="T138" s="126" t="n">
        <f aca="false">L138/$R$3</f>
        <v>0</v>
      </c>
      <c r="U138" s="126" t="n">
        <f aca="false">I138/$R$3</f>
        <v>0</v>
      </c>
      <c r="V138" s="126" t="n">
        <f aca="false">M138/$R$3</f>
        <v>0</v>
      </c>
      <c r="W138" s="126" t="n">
        <f aca="false">N138/$R$3</f>
        <v>-1376.857</v>
      </c>
    </row>
    <row r="139" customFormat="false" ht="12.75" hidden="false" customHeight="false" outlineLevel="0" collapsed="false">
      <c r="A139" s="120" t="n">
        <f aca="false">A138+1</f>
        <v>37025</v>
      </c>
      <c r="B139" s="131" t="str">
        <f aca="false">INDEX('[4]Master Data'!$A$2:$B$8,MATCH(WEEKDAY('TBS CRD MTM'!A139,3),'[4]Master Data'!$A$2:$A$8,0),2)</f>
        <v>M</v>
      </c>
      <c r="D139" s="124" t="n">
        <v>0</v>
      </c>
      <c r="E139" s="124" t="n">
        <v>0</v>
      </c>
      <c r="F139" s="124" t="n">
        <v>0</v>
      </c>
      <c r="G139" s="124" t="n">
        <v>0</v>
      </c>
      <c r="I139" s="124" t="n">
        <f aca="false">IF(MONTH($A139)=MONTH($A138),IF(G139=0,I138,G139),G139)</f>
        <v>0</v>
      </c>
      <c r="J139" s="124" t="n">
        <f aca="false">IF(MONTH($A139)=MONTH($A138),SUM(I139-I138),I139)</f>
        <v>0</v>
      </c>
      <c r="K139" s="124" t="n">
        <f aca="false">IF(WEEKDAY(A139,3)&gt;4,0,(IF(A139&lt;K$2,0,IF(A139&lt;=K$3,1,0))))</f>
        <v>0</v>
      </c>
      <c r="L139" s="124" t="n">
        <f aca="false">J139*K139</f>
        <v>0</v>
      </c>
      <c r="M139" s="124" t="n">
        <f aca="false">SUM(J$97:J139)</f>
        <v>0</v>
      </c>
      <c r="N139" s="124" t="n">
        <f aca="false">SUM(J$6:J139)</f>
        <v>-1376857</v>
      </c>
      <c r="P139" s="148" t="n">
        <f aca="false">D139/P$3</f>
        <v>0</v>
      </c>
      <c r="Q139" s="124" t="n">
        <f aca="false">E139/P$3</f>
        <v>0</v>
      </c>
      <c r="R139" s="124" t="n">
        <f aca="false">F139/R$3</f>
        <v>0</v>
      </c>
      <c r="S139" s="126" t="n">
        <f aca="false">J139/$R$3</f>
        <v>0</v>
      </c>
      <c r="T139" s="126" t="n">
        <f aca="false">L139/$R$3</f>
        <v>0</v>
      </c>
      <c r="U139" s="126" t="n">
        <f aca="false">I139/$R$3</f>
        <v>0</v>
      </c>
      <c r="V139" s="126" t="n">
        <f aca="false">M139/$R$3</f>
        <v>0</v>
      </c>
      <c r="W139" s="126" t="n">
        <f aca="false">N139/$R$3</f>
        <v>-1376.857</v>
      </c>
    </row>
    <row r="140" customFormat="false" ht="12.75" hidden="false" customHeight="false" outlineLevel="0" collapsed="false">
      <c r="A140" s="120" t="n">
        <f aca="false">A139+1</f>
        <v>37026</v>
      </c>
      <c r="B140" s="131" t="str">
        <f aca="false">INDEX('[4]Master Data'!$A$2:$B$8,MATCH(WEEKDAY('TBS CRD MTM'!A140,3),'[4]Master Data'!$A$2:$A$8,0),2)</f>
        <v>T</v>
      </c>
      <c r="D140" s="124" t="n">
        <v>0</v>
      </c>
      <c r="E140" s="124" t="n">
        <v>0</v>
      </c>
      <c r="F140" s="124" t="n">
        <v>0</v>
      </c>
      <c r="G140" s="124" t="n">
        <v>0</v>
      </c>
      <c r="I140" s="124" t="n">
        <f aca="false">IF(MONTH($A140)=MONTH($A139),IF(G140=0,I139,G140),G140)</f>
        <v>0</v>
      </c>
      <c r="J140" s="124" t="n">
        <f aca="false">IF(MONTH($A140)=MONTH($A139),SUM(I140-I139),I140)</f>
        <v>0</v>
      </c>
      <c r="K140" s="124" t="n">
        <f aca="false">IF(WEEKDAY(A140,3)&gt;4,0,(IF(A140&lt;K$2,0,IF(A140&lt;=K$3,1,0))))</f>
        <v>0</v>
      </c>
      <c r="L140" s="124" t="n">
        <f aca="false">J140*K140</f>
        <v>0</v>
      </c>
      <c r="M140" s="124" t="n">
        <f aca="false">SUM(J$97:J140)</f>
        <v>0</v>
      </c>
      <c r="N140" s="124" t="n">
        <f aca="false">SUM(J$6:J140)</f>
        <v>-1376857</v>
      </c>
      <c r="P140" s="148" t="n">
        <f aca="false">D140/P$3</f>
        <v>0</v>
      </c>
      <c r="Q140" s="124" t="n">
        <f aca="false">E140/P$3</f>
        <v>0</v>
      </c>
      <c r="R140" s="124" t="n">
        <f aca="false">F140/R$3</f>
        <v>0</v>
      </c>
      <c r="S140" s="126" t="n">
        <f aca="false">J140/$R$3</f>
        <v>0</v>
      </c>
      <c r="T140" s="126" t="n">
        <f aca="false">L140/$R$3</f>
        <v>0</v>
      </c>
      <c r="U140" s="126" t="n">
        <f aca="false">I140/$R$3</f>
        <v>0</v>
      </c>
      <c r="V140" s="126" t="n">
        <f aca="false">M140/$R$3</f>
        <v>0</v>
      </c>
      <c r="W140" s="126" t="n">
        <f aca="false">N140/$R$3</f>
        <v>-1376.857</v>
      </c>
    </row>
    <row r="141" customFormat="false" ht="12.75" hidden="false" customHeight="false" outlineLevel="0" collapsed="false">
      <c r="A141" s="120" t="n">
        <f aca="false">A140+1</f>
        <v>37027</v>
      </c>
      <c r="B141" s="131" t="str">
        <f aca="false">INDEX('[4]Master Data'!$A$2:$B$8,MATCH(WEEKDAY('TBS CRD MTM'!A141,3),'[4]Master Data'!$A$2:$A$8,0),2)</f>
        <v>W</v>
      </c>
      <c r="D141" s="124" t="n">
        <v>0</v>
      </c>
      <c r="E141" s="124" t="n">
        <v>0</v>
      </c>
      <c r="F141" s="124" t="n">
        <v>0</v>
      </c>
      <c r="G141" s="124" t="n">
        <v>0</v>
      </c>
      <c r="I141" s="124" t="n">
        <f aca="false">IF(MONTH($A141)=MONTH($A140),IF(G141=0,I140,G141),G141)</f>
        <v>0</v>
      </c>
      <c r="J141" s="124" t="n">
        <f aca="false">IF(MONTH($A141)=MONTH($A140),SUM(I141-I140),I141)</f>
        <v>0</v>
      </c>
      <c r="K141" s="124" t="n">
        <f aca="false">IF(WEEKDAY(A141,3)&gt;4,0,(IF(A141&lt;K$2,0,IF(A141&lt;=K$3,1,0))))</f>
        <v>0</v>
      </c>
      <c r="L141" s="124" t="n">
        <f aca="false">J141*K141</f>
        <v>0</v>
      </c>
      <c r="M141" s="124" t="n">
        <f aca="false">SUM(J$97:J141)</f>
        <v>0</v>
      </c>
      <c r="N141" s="124" t="n">
        <f aca="false">SUM(J$6:J141)</f>
        <v>-1376857</v>
      </c>
      <c r="P141" s="148" t="n">
        <f aca="false">D141/P$3</f>
        <v>0</v>
      </c>
      <c r="Q141" s="124" t="n">
        <f aca="false">E141/P$3</f>
        <v>0</v>
      </c>
      <c r="R141" s="124" t="n">
        <f aca="false">F141/R$3</f>
        <v>0</v>
      </c>
      <c r="S141" s="126" t="n">
        <f aca="false">J141/$R$3</f>
        <v>0</v>
      </c>
      <c r="T141" s="126" t="n">
        <f aca="false">L141/$R$3</f>
        <v>0</v>
      </c>
      <c r="U141" s="126" t="n">
        <f aca="false">I141/$R$3</f>
        <v>0</v>
      </c>
      <c r="V141" s="126" t="n">
        <f aca="false">M141/$R$3</f>
        <v>0</v>
      </c>
      <c r="W141" s="126" t="n">
        <f aca="false">N141/$R$3</f>
        <v>-1376.857</v>
      </c>
    </row>
    <row r="142" customFormat="false" ht="12.75" hidden="false" customHeight="false" outlineLevel="0" collapsed="false">
      <c r="A142" s="120" t="n">
        <f aca="false">A141+1</f>
        <v>37028</v>
      </c>
      <c r="B142" s="131" t="str">
        <f aca="false">INDEX('[4]Master Data'!$A$2:$B$8,MATCH(WEEKDAY('TBS CRD MTM'!A142,3),'[4]Master Data'!$A$2:$A$8,0),2)</f>
        <v>Th</v>
      </c>
      <c r="D142" s="124" t="n">
        <v>0</v>
      </c>
      <c r="E142" s="124" t="n">
        <v>0</v>
      </c>
      <c r="F142" s="124" t="n">
        <v>0</v>
      </c>
      <c r="G142" s="124" t="n">
        <v>0</v>
      </c>
      <c r="I142" s="124" t="n">
        <f aca="false">IF(MONTH($A142)=MONTH($A141),IF(G142=0,I141,G142),G142)</f>
        <v>0</v>
      </c>
      <c r="J142" s="124" t="n">
        <f aca="false">IF(MONTH($A142)=MONTH($A141),SUM(I142-I141),I142)</f>
        <v>0</v>
      </c>
      <c r="K142" s="124" t="n">
        <f aca="false">IF(WEEKDAY(A142,3)&gt;4,0,(IF(A142&lt;K$2,0,IF(A142&lt;=K$3,1,0))))</f>
        <v>0</v>
      </c>
      <c r="L142" s="124" t="n">
        <f aca="false">J142*K142</f>
        <v>0</v>
      </c>
      <c r="M142" s="124" t="n">
        <f aca="false">SUM(J$97:J142)</f>
        <v>0</v>
      </c>
      <c r="N142" s="124" t="n">
        <f aca="false">SUM(J$6:J142)</f>
        <v>-1376857</v>
      </c>
      <c r="P142" s="148" t="n">
        <f aca="false">D142/P$3</f>
        <v>0</v>
      </c>
      <c r="Q142" s="124" t="n">
        <f aca="false">E142/P$3</f>
        <v>0</v>
      </c>
      <c r="R142" s="124" t="n">
        <f aca="false">F142/R$3</f>
        <v>0</v>
      </c>
      <c r="S142" s="126" t="n">
        <f aca="false">J142/$R$3</f>
        <v>0</v>
      </c>
      <c r="T142" s="126" t="n">
        <f aca="false">L142/$R$3</f>
        <v>0</v>
      </c>
      <c r="U142" s="126" t="n">
        <f aca="false">I142/$R$3</f>
        <v>0</v>
      </c>
      <c r="V142" s="126" t="n">
        <f aca="false">M142/$R$3</f>
        <v>0</v>
      </c>
      <c r="W142" s="126" t="n">
        <f aca="false">N142/$R$3</f>
        <v>-1376.857</v>
      </c>
    </row>
    <row r="143" customFormat="false" ht="12.75" hidden="false" customHeight="false" outlineLevel="0" collapsed="false">
      <c r="A143" s="120" t="n">
        <f aca="false">A142+1</f>
        <v>37029</v>
      </c>
      <c r="B143" s="131" t="str">
        <f aca="false">INDEX('[4]Master Data'!$A$2:$B$8,MATCH(WEEKDAY('TBS CRD MTM'!A143,3),'[4]Master Data'!$A$2:$A$8,0),2)</f>
        <v>F</v>
      </c>
      <c r="D143" s="124" t="n">
        <v>0</v>
      </c>
      <c r="E143" s="124" t="n">
        <v>0</v>
      </c>
      <c r="F143" s="124" t="n">
        <v>0</v>
      </c>
      <c r="G143" s="124" t="n">
        <v>0</v>
      </c>
      <c r="I143" s="124" t="n">
        <f aca="false">IF(MONTH($A143)=MONTH($A142),IF(G143=0,I142,G143),G143)</f>
        <v>0</v>
      </c>
      <c r="J143" s="124" t="n">
        <f aca="false">IF(MONTH($A143)=MONTH($A142),SUM(I143-I142),I143)</f>
        <v>0</v>
      </c>
      <c r="K143" s="124" t="n">
        <f aca="false">IF(WEEKDAY(A143,3)&gt;4,0,(IF(A143&lt;K$2,0,IF(A143&lt;=K$3,1,0))))</f>
        <v>0</v>
      </c>
      <c r="L143" s="124" t="n">
        <f aca="false">J143*K143</f>
        <v>0</v>
      </c>
      <c r="M143" s="124" t="n">
        <f aca="false">SUM(J$97:J143)</f>
        <v>0</v>
      </c>
      <c r="N143" s="124" t="n">
        <f aca="false">SUM(J$6:J143)</f>
        <v>-1376857</v>
      </c>
      <c r="P143" s="148" t="n">
        <f aca="false">D143/P$3</f>
        <v>0</v>
      </c>
      <c r="Q143" s="124" t="n">
        <f aca="false">E143/P$3</f>
        <v>0</v>
      </c>
      <c r="R143" s="124" t="n">
        <f aca="false">F143/R$3</f>
        <v>0</v>
      </c>
      <c r="S143" s="126" t="n">
        <f aca="false">J143/$R$3</f>
        <v>0</v>
      </c>
      <c r="T143" s="126" t="n">
        <f aca="false">L143/$R$3</f>
        <v>0</v>
      </c>
      <c r="U143" s="126" t="n">
        <f aca="false">I143/$R$3</f>
        <v>0</v>
      </c>
      <c r="V143" s="126" t="n">
        <f aca="false">M143/$R$3</f>
        <v>0</v>
      </c>
      <c r="W143" s="126" t="n">
        <f aca="false">N143/$R$3</f>
        <v>-1376.857</v>
      </c>
    </row>
    <row r="144" customFormat="false" ht="12.75" hidden="false" customHeight="false" outlineLevel="0" collapsed="false">
      <c r="A144" s="120" t="n">
        <f aca="false">A143+1</f>
        <v>37030</v>
      </c>
      <c r="B144" s="131" t="str">
        <f aca="false">INDEX('[4]Master Data'!$A$2:$B$8,MATCH(WEEKDAY('TBS CRD MTM'!A144,3),'[4]Master Data'!$A$2:$A$8,0),2)</f>
        <v>Sa</v>
      </c>
      <c r="D144" s="124" t="n">
        <v>0</v>
      </c>
      <c r="E144" s="124" t="n">
        <v>0</v>
      </c>
      <c r="F144" s="124" t="n">
        <v>0</v>
      </c>
      <c r="G144" s="124" t="n">
        <v>0</v>
      </c>
      <c r="I144" s="124" t="n">
        <f aca="false">IF(MONTH($A144)=MONTH($A143),IF(G144=0,I143,G144),G144)</f>
        <v>0</v>
      </c>
      <c r="J144" s="124" t="n">
        <f aca="false">IF(MONTH($A144)=MONTH($A143),SUM(I144-I143),I144)</f>
        <v>0</v>
      </c>
      <c r="K144" s="124" t="n">
        <f aca="false">IF(WEEKDAY(A144,3)&gt;4,0,(IF(A144&lt;K$2,0,IF(A144&lt;=K$3,1,0))))</f>
        <v>0</v>
      </c>
      <c r="L144" s="124" t="n">
        <f aca="false">J144*K144</f>
        <v>0</v>
      </c>
      <c r="M144" s="124" t="n">
        <f aca="false">SUM(J$97:J144)</f>
        <v>0</v>
      </c>
      <c r="N144" s="124" t="n">
        <f aca="false">SUM(J$6:J144)</f>
        <v>-1376857</v>
      </c>
      <c r="P144" s="148" t="n">
        <f aca="false">D144/P$3</f>
        <v>0</v>
      </c>
      <c r="Q144" s="124" t="n">
        <f aca="false">E144/P$3</f>
        <v>0</v>
      </c>
      <c r="R144" s="124" t="n">
        <f aca="false">F144/R$3</f>
        <v>0</v>
      </c>
      <c r="S144" s="126" t="n">
        <f aca="false">J144/$R$3</f>
        <v>0</v>
      </c>
      <c r="T144" s="126" t="n">
        <f aca="false">L144/$R$3</f>
        <v>0</v>
      </c>
      <c r="U144" s="126" t="n">
        <f aca="false">I144/$R$3</f>
        <v>0</v>
      </c>
      <c r="V144" s="126" t="n">
        <f aca="false">M144/$R$3</f>
        <v>0</v>
      </c>
      <c r="W144" s="126" t="n">
        <f aca="false">N144/$R$3</f>
        <v>-1376.857</v>
      </c>
    </row>
    <row r="145" customFormat="false" ht="12.75" hidden="false" customHeight="false" outlineLevel="0" collapsed="false">
      <c r="A145" s="120" t="n">
        <f aca="false">A144+1</f>
        <v>37031</v>
      </c>
      <c r="B145" s="131" t="str">
        <f aca="false">INDEX('[4]Master Data'!$A$2:$B$8,MATCH(WEEKDAY('TBS CRD MTM'!A145,3),'[4]Master Data'!$A$2:$A$8,0),2)</f>
        <v>Su</v>
      </c>
      <c r="D145" s="124" t="n">
        <v>0</v>
      </c>
      <c r="E145" s="124" t="n">
        <v>0</v>
      </c>
      <c r="F145" s="124" t="n">
        <v>0</v>
      </c>
      <c r="G145" s="124" t="n">
        <v>0</v>
      </c>
      <c r="I145" s="124" t="n">
        <f aca="false">IF(MONTH($A145)=MONTH($A144),IF(G145=0,I144,G145),G145)</f>
        <v>0</v>
      </c>
      <c r="J145" s="124" t="n">
        <f aca="false">IF(MONTH($A145)=MONTH($A144),SUM(I145-I144),I145)</f>
        <v>0</v>
      </c>
      <c r="K145" s="124" t="n">
        <f aca="false">IF(WEEKDAY(A145,3)&gt;4,0,(IF(A145&lt;K$2,0,IF(A145&lt;=K$3,1,0))))</f>
        <v>0</v>
      </c>
      <c r="L145" s="124" t="n">
        <f aca="false">J145*K145</f>
        <v>0</v>
      </c>
      <c r="M145" s="124" t="n">
        <f aca="false">SUM(J$97:J145)</f>
        <v>0</v>
      </c>
      <c r="N145" s="124" t="n">
        <f aca="false">SUM(J$6:J145)</f>
        <v>-1376857</v>
      </c>
      <c r="P145" s="148" t="n">
        <f aca="false">D145/P$3</f>
        <v>0</v>
      </c>
      <c r="Q145" s="124" t="n">
        <f aca="false">E145/P$3</f>
        <v>0</v>
      </c>
      <c r="R145" s="124" t="n">
        <f aca="false">F145/R$3</f>
        <v>0</v>
      </c>
      <c r="S145" s="126" t="n">
        <f aca="false">J145/$R$3</f>
        <v>0</v>
      </c>
      <c r="T145" s="126" t="n">
        <f aca="false">L145/$R$3</f>
        <v>0</v>
      </c>
      <c r="U145" s="126" t="n">
        <f aca="false">I145/$R$3</f>
        <v>0</v>
      </c>
      <c r="V145" s="126" t="n">
        <f aca="false">M145/$R$3</f>
        <v>0</v>
      </c>
      <c r="W145" s="126" t="n">
        <f aca="false">N145/$R$3</f>
        <v>-1376.857</v>
      </c>
    </row>
    <row r="146" customFormat="false" ht="12.75" hidden="false" customHeight="false" outlineLevel="0" collapsed="false">
      <c r="A146" s="120" t="n">
        <f aca="false">A145+1</f>
        <v>37032</v>
      </c>
      <c r="B146" s="131" t="str">
        <f aca="false">INDEX('[4]Master Data'!$A$2:$B$8,MATCH(WEEKDAY('TBS CRD MTM'!A146,3),'[4]Master Data'!$A$2:$A$8,0),2)</f>
        <v>M</v>
      </c>
      <c r="D146" s="124" t="n">
        <v>0</v>
      </c>
      <c r="E146" s="124" t="n">
        <v>0</v>
      </c>
      <c r="F146" s="124" t="n">
        <v>0</v>
      </c>
      <c r="G146" s="124" t="n">
        <v>0</v>
      </c>
      <c r="I146" s="124" t="n">
        <f aca="false">IF(MONTH($A146)=MONTH($A145),IF(G146=0,I145,G146),G146)</f>
        <v>0</v>
      </c>
      <c r="J146" s="124" t="n">
        <f aca="false">IF(MONTH($A146)=MONTH($A145),SUM(I146-I145),I146)</f>
        <v>0</v>
      </c>
      <c r="K146" s="124" t="n">
        <f aca="false">IF(WEEKDAY(A146,3)&gt;4,0,(IF(A146&lt;K$2,0,IF(A146&lt;=K$3,1,0))))</f>
        <v>0</v>
      </c>
      <c r="L146" s="124" t="n">
        <f aca="false">J146*K146</f>
        <v>0</v>
      </c>
      <c r="M146" s="124" t="n">
        <f aca="false">SUM(J$97:J146)</f>
        <v>0</v>
      </c>
      <c r="N146" s="124" t="n">
        <f aca="false">SUM(J$6:J146)</f>
        <v>-1376857</v>
      </c>
      <c r="P146" s="148" t="n">
        <f aca="false">D146/P$3</f>
        <v>0</v>
      </c>
      <c r="Q146" s="124" t="n">
        <f aca="false">E146/P$3</f>
        <v>0</v>
      </c>
      <c r="R146" s="124" t="n">
        <f aca="false">F146/R$3</f>
        <v>0</v>
      </c>
      <c r="S146" s="126" t="n">
        <f aca="false">J146/$R$3</f>
        <v>0</v>
      </c>
      <c r="T146" s="126" t="n">
        <f aca="false">L146/$R$3</f>
        <v>0</v>
      </c>
      <c r="U146" s="126" t="n">
        <f aca="false">I146/$R$3</f>
        <v>0</v>
      </c>
      <c r="V146" s="126" t="n">
        <f aca="false">M146/$R$3</f>
        <v>0</v>
      </c>
      <c r="W146" s="126" t="n">
        <f aca="false">N146/$R$3</f>
        <v>-1376.857</v>
      </c>
    </row>
    <row r="147" customFormat="false" ht="12.75" hidden="false" customHeight="false" outlineLevel="0" collapsed="false">
      <c r="A147" s="120" t="n">
        <f aca="false">A146+1</f>
        <v>37033</v>
      </c>
      <c r="B147" s="131" t="str">
        <f aca="false">INDEX('[4]Master Data'!$A$2:$B$8,MATCH(WEEKDAY('TBS CRD MTM'!A147,3),'[4]Master Data'!$A$2:$A$8,0),2)</f>
        <v>T</v>
      </c>
      <c r="D147" s="124" t="n">
        <v>0</v>
      </c>
      <c r="E147" s="124" t="n">
        <v>0</v>
      </c>
      <c r="F147" s="124" t="n">
        <v>0</v>
      </c>
      <c r="G147" s="124" t="n">
        <v>0</v>
      </c>
      <c r="I147" s="124" t="n">
        <f aca="false">IF(MONTH($A147)=MONTH($A146),IF(G147=0,I146,G147),G147)</f>
        <v>0</v>
      </c>
      <c r="J147" s="124" t="n">
        <f aca="false">IF(MONTH($A147)=MONTH($A146),SUM(I147-I146),I147)</f>
        <v>0</v>
      </c>
      <c r="K147" s="124" t="n">
        <f aca="false">IF(WEEKDAY(A147,3)&gt;4,0,(IF(A147&lt;K$2,0,IF(A147&lt;=K$3,1,0))))</f>
        <v>0</v>
      </c>
      <c r="L147" s="124" t="n">
        <f aca="false">J147*K147</f>
        <v>0</v>
      </c>
      <c r="M147" s="124" t="n">
        <f aca="false">SUM(J$97:J147)</f>
        <v>0</v>
      </c>
      <c r="N147" s="124" t="n">
        <f aca="false">SUM(J$6:J147)</f>
        <v>-1376857</v>
      </c>
      <c r="P147" s="148" t="n">
        <f aca="false">D147/P$3</f>
        <v>0</v>
      </c>
      <c r="Q147" s="124" t="n">
        <f aca="false">E147/P$3</f>
        <v>0</v>
      </c>
      <c r="R147" s="124" t="n">
        <f aca="false">F147/R$3</f>
        <v>0</v>
      </c>
      <c r="S147" s="126" t="n">
        <f aca="false">J147/$R$3</f>
        <v>0</v>
      </c>
      <c r="T147" s="126" t="n">
        <f aca="false">L147/$R$3</f>
        <v>0</v>
      </c>
      <c r="U147" s="126" t="n">
        <f aca="false">I147/$R$3</f>
        <v>0</v>
      </c>
      <c r="V147" s="126" t="n">
        <f aca="false">M147/$R$3</f>
        <v>0</v>
      </c>
      <c r="W147" s="126" t="n">
        <f aca="false">N147/$R$3</f>
        <v>-1376.857</v>
      </c>
    </row>
    <row r="148" customFormat="false" ht="12.75" hidden="false" customHeight="false" outlineLevel="0" collapsed="false">
      <c r="A148" s="120" t="n">
        <f aca="false">A147+1</f>
        <v>37034</v>
      </c>
      <c r="B148" s="131" t="str">
        <f aca="false">INDEX('[4]Master Data'!$A$2:$B$8,MATCH(WEEKDAY('TBS CRD MTM'!A148,3),'[4]Master Data'!$A$2:$A$8,0),2)</f>
        <v>W</v>
      </c>
      <c r="D148" s="124" t="n">
        <v>0</v>
      </c>
      <c r="E148" s="124" t="n">
        <v>0</v>
      </c>
      <c r="F148" s="124" t="n">
        <v>0</v>
      </c>
      <c r="G148" s="124" t="n">
        <v>0</v>
      </c>
      <c r="I148" s="124" t="n">
        <f aca="false">IF(MONTH($A148)=MONTH($A147),IF(G148=0,I147,G148),G148)</f>
        <v>0</v>
      </c>
      <c r="J148" s="124" t="n">
        <f aca="false">IF(MONTH($A148)=MONTH($A147),SUM(I148-I147),I148)</f>
        <v>0</v>
      </c>
      <c r="K148" s="124" t="n">
        <f aca="false">IF(WEEKDAY(A148,3)&gt;4,0,(IF(A148&lt;K$2,0,IF(A148&lt;=K$3,1,0))))</f>
        <v>0</v>
      </c>
      <c r="L148" s="124" t="n">
        <f aca="false">J148*K148</f>
        <v>0</v>
      </c>
      <c r="M148" s="124" t="n">
        <f aca="false">SUM(J$97:J148)</f>
        <v>0</v>
      </c>
      <c r="N148" s="124" t="n">
        <f aca="false">SUM(J$6:J148)</f>
        <v>-1376857</v>
      </c>
      <c r="P148" s="148" t="n">
        <f aca="false">D148/P$3</f>
        <v>0</v>
      </c>
      <c r="Q148" s="124" t="n">
        <f aca="false">E148/P$3</f>
        <v>0</v>
      </c>
      <c r="R148" s="124" t="n">
        <f aca="false">F148/R$3</f>
        <v>0</v>
      </c>
      <c r="S148" s="126" t="n">
        <f aca="false">J148/$R$3</f>
        <v>0</v>
      </c>
      <c r="T148" s="126" t="n">
        <f aca="false">L148/$R$3</f>
        <v>0</v>
      </c>
      <c r="U148" s="126" t="n">
        <f aca="false">I148/$R$3</f>
        <v>0</v>
      </c>
      <c r="V148" s="126" t="n">
        <f aca="false">M148/$R$3</f>
        <v>0</v>
      </c>
      <c r="W148" s="126" t="n">
        <f aca="false">N148/$R$3</f>
        <v>-1376.857</v>
      </c>
    </row>
    <row r="149" customFormat="false" ht="12.75" hidden="false" customHeight="false" outlineLevel="0" collapsed="false">
      <c r="A149" s="120" t="n">
        <f aca="false">A148+1</f>
        <v>37035</v>
      </c>
      <c r="B149" s="131" t="str">
        <f aca="false">INDEX('[4]Master Data'!$A$2:$B$8,MATCH(WEEKDAY('TBS CRD MTM'!A149,3),'[4]Master Data'!$A$2:$A$8,0),2)</f>
        <v>Th</v>
      </c>
      <c r="D149" s="124" t="n">
        <v>0</v>
      </c>
      <c r="E149" s="124" t="n">
        <v>0</v>
      </c>
      <c r="F149" s="124" t="n">
        <v>0</v>
      </c>
      <c r="G149" s="124" t="n">
        <v>0</v>
      </c>
      <c r="I149" s="124" t="n">
        <f aca="false">IF(MONTH($A149)=MONTH($A148),IF(G149=0,I148,G149),G149)</f>
        <v>0</v>
      </c>
      <c r="J149" s="124" t="n">
        <f aca="false">IF(MONTH($A149)=MONTH($A148),SUM(I149-I148),I149)</f>
        <v>0</v>
      </c>
      <c r="K149" s="124" t="n">
        <f aca="false">IF(WEEKDAY(A149,3)&gt;4,0,(IF(A149&lt;K$2,0,IF(A149&lt;=K$3,1,0))))</f>
        <v>0</v>
      </c>
      <c r="L149" s="124" t="n">
        <f aca="false">J149*K149</f>
        <v>0</v>
      </c>
      <c r="M149" s="124" t="n">
        <f aca="false">SUM(J$97:J149)</f>
        <v>0</v>
      </c>
      <c r="N149" s="124" t="n">
        <f aca="false">SUM(J$6:J149)</f>
        <v>-1376857</v>
      </c>
      <c r="P149" s="148" t="n">
        <f aca="false">D149/P$3</f>
        <v>0</v>
      </c>
      <c r="Q149" s="124" t="n">
        <f aca="false">E149/P$3</f>
        <v>0</v>
      </c>
      <c r="R149" s="124" t="n">
        <f aca="false">F149/R$3</f>
        <v>0</v>
      </c>
      <c r="S149" s="126" t="n">
        <f aca="false">J149/$R$3</f>
        <v>0</v>
      </c>
      <c r="T149" s="126" t="n">
        <f aca="false">L149/$R$3</f>
        <v>0</v>
      </c>
      <c r="U149" s="126" t="n">
        <f aca="false">I149/$R$3</f>
        <v>0</v>
      </c>
      <c r="V149" s="126" t="n">
        <f aca="false">M149/$R$3</f>
        <v>0</v>
      </c>
      <c r="W149" s="126" t="n">
        <f aca="false">N149/$R$3</f>
        <v>-1376.857</v>
      </c>
    </row>
    <row r="150" customFormat="false" ht="12.75" hidden="false" customHeight="false" outlineLevel="0" collapsed="false">
      <c r="A150" s="120" t="n">
        <f aca="false">A149+1</f>
        <v>37036</v>
      </c>
      <c r="B150" s="131" t="str">
        <f aca="false">INDEX('[4]Master Data'!$A$2:$B$8,MATCH(WEEKDAY('TBS CRD MTM'!A150,3),'[4]Master Data'!$A$2:$A$8,0),2)</f>
        <v>F</v>
      </c>
      <c r="D150" s="124" t="n">
        <v>0</v>
      </c>
      <c r="E150" s="124" t="n">
        <v>0</v>
      </c>
      <c r="F150" s="124" t="n">
        <v>0</v>
      </c>
      <c r="G150" s="124" t="n">
        <v>0</v>
      </c>
      <c r="I150" s="124" t="n">
        <f aca="false">IF(MONTH($A150)=MONTH($A149),IF(G150=0,I149,G150),G150)</f>
        <v>0</v>
      </c>
      <c r="J150" s="124" t="n">
        <f aca="false">IF(MONTH($A150)=MONTH($A149),SUM(I150-I149),I150)</f>
        <v>0</v>
      </c>
      <c r="K150" s="124" t="n">
        <f aca="false">IF(WEEKDAY(A150,3)&gt;4,0,(IF(A150&lt;K$2,0,IF(A150&lt;=K$3,1,0))))</f>
        <v>0</v>
      </c>
      <c r="L150" s="124" t="n">
        <f aca="false">J150*K150</f>
        <v>0</v>
      </c>
      <c r="M150" s="124" t="n">
        <f aca="false">SUM(J$97:J150)</f>
        <v>0</v>
      </c>
      <c r="N150" s="124" t="n">
        <f aca="false">SUM(J$6:J150)</f>
        <v>-1376857</v>
      </c>
      <c r="P150" s="148" t="n">
        <f aca="false">D150/P$3</f>
        <v>0</v>
      </c>
      <c r="Q150" s="124" t="n">
        <f aca="false">E150/P$3</f>
        <v>0</v>
      </c>
      <c r="R150" s="124" t="n">
        <f aca="false">F150/R$3</f>
        <v>0</v>
      </c>
      <c r="S150" s="126" t="n">
        <f aca="false">J150/$R$3</f>
        <v>0</v>
      </c>
      <c r="T150" s="126" t="n">
        <f aca="false">L150/$R$3</f>
        <v>0</v>
      </c>
      <c r="U150" s="126" t="n">
        <f aca="false">I150/$R$3</f>
        <v>0</v>
      </c>
      <c r="V150" s="126" t="n">
        <f aca="false">M150/$R$3</f>
        <v>0</v>
      </c>
      <c r="W150" s="126" t="n">
        <f aca="false">N150/$R$3</f>
        <v>-1376.857</v>
      </c>
    </row>
    <row r="151" customFormat="false" ht="12.75" hidden="false" customHeight="false" outlineLevel="0" collapsed="false">
      <c r="A151" s="120" t="n">
        <f aca="false">A150+1</f>
        <v>37037</v>
      </c>
      <c r="B151" s="131" t="str">
        <f aca="false">INDEX('[4]Master Data'!$A$2:$B$8,MATCH(WEEKDAY('TBS CRD MTM'!A151,3),'[4]Master Data'!$A$2:$A$8,0),2)</f>
        <v>Sa</v>
      </c>
      <c r="D151" s="124" t="n">
        <v>0</v>
      </c>
      <c r="E151" s="124" t="n">
        <v>0</v>
      </c>
      <c r="F151" s="124" t="n">
        <v>0</v>
      </c>
      <c r="G151" s="124" t="n">
        <v>0</v>
      </c>
      <c r="I151" s="124" t="n">
        <f aca="false">IF(MONTH($A151)=MONTH($A150),IF(G151=0,I150,G151),G151)</f>
        <v>0</v>
      </c>
      <c r="J151" s="124" t="n">
        <f aca="false">IF(MONTH($A151)=MONTH($A150),SUM(I151-I150),I151)</f>
        <v>0</v>
      </c>
      <c r="K151" s="124" t="n">
        <f aca="false">IF(WEEKDAY(A151,3)&gt;4,0,(IF(A151&lt;K$2,0,IF(A151&lt;=K$3,1,0))))</f>
        <v>0</v>
      </c>
      <c r="L151" s="124" t="n">
        <f aca="false">J151*K151</f>
        <v>0</v>
      </c>
      <c r="M151" s="124" t="n">
        <f aca="false">SUM(J$97:J151)</f>
        <v>0</v>
      </c>
      <c r="N151" s="124" t="n">
        <f aca="false">SUM(J$6:J151)</f>
        <v>-1376857</v>
      </c>
      <c r="P151" s="148" t="n">
        <f aca="false">D151/P$3</f>
        <v>0</v>
      </c>
      <c r="Q151" s="124" t="n">
        <f aca="false">E151/P$3</f>
        <v>0</v>
      </c>
      <c r="R151" s="124" t="n">
        <f aca="false">F151/R$3</f>
        <v>0</v>
      </c>
      <c r="S151" s="126" t="n">
        <f aca="false">J151/$R$3</f>
        <v>0</v>
      </c>
      <c r="T151" s="126" t="n">
        <f aca="false">L151/$R$3</f>
        <v>0</v>
      </c>
      <c r="U151" s="126" t="n">
        <f aca="false">I151/$R$3</f>
        <v>0</v>
      </c>
      <c r="V151" s="126" t="n">
        <f aca="false">M151/$R$3</f>
        <v>0</v>
      </c>
      <c r="W151" s="126" t="n">
        <f aca="false">N151/$R$3</f>
        <v>-1376.857</v>
      </c>
    </row>
    <row r="152" customFormat="false" ht="12.75" hidden="false" customHeight="false" outlineLevel="0" collapsed="false">
      <c r="A152" s="120" t="n">
        <f aca="false">A151+1</f>
        <v>37038</v>
      </c>
      <c r="B152" s="131" t="str">
        <f aca="false">INDEX('[4]Master Data'!$A$2:$B$8,MATCH(WEEKDAY('TBS CRD MTM'!A152,3),'[4]Master Data'!$A$2:$A$8,0),2)</f>
        <v>Su</v>
      </c>
      <c r="D152" s="124" t="n">
        <v>0</v>
      </c>
      <c r="E152" s="124" t="n">
        <v>0</v>
      </c>
      <c r="F152" s="124" t="n">
        <v>0</v>
      </c>
      <c r="G152" s="124" t="n">
        <v>0</v>
      </c>
      <c r="I152" s="124" t="n">
        <f aca="false">IF(MONTH($A152)=MONTH($A151),IF(G152=0,I151,G152),G152)</f>
        <v>0</v>
      </c>
      <c r="J152" s="124" t="n">
        <f aca="false">IF(MONTH($A152)=MONTH($A151),SUM(I152-I151),I152)</f>
        <v>0</v>
      </c>
      <c r="K152" s="124" t="n">
        <f aca="false">IF(WEEKDAY(A152,3)&gt;4,0,(IF(A152&lt;K$2,0,IF(A152&lt;=K$3,1,0))))</f>
        <v>0</v>
      </c>
      <c r="L152" s="124" t="n">
        <f aca="false">J152*K152</f>
        <v>0</v>
      </c>
      <c r="M152" s="124" t="n">
        <f aca="false">SUM(J$97:J152)</f>
        <v>0</v>
      </c>
      <c r="N152" s="124" t="n">
        <f aca="false">SUM(J$6:J152)</f>
        <v>-1376857</v>
      </c>
      <c r="P152" s="148" t="n">
        <f aca="false">D152/P$3</f>
        <v>0</v>
      </c>
      <c r="Q152" s="124" t="n">
        <f aca="false">E152/P$3</f>
        <v>0</v>
      </c>
      <c r="R152" s="124" t="n">
        <f aca="false">F152/R$3</f>
        <v>0</v>
      </c>
      <c r="S152" s="126" t="n">
        <f aca="false">J152/$R$3</f>
        <v>0</v>
      </c>
      <c r="T152" s="126" t="n">
        <f aca="false">L152/$R$3</f>
        <v>0</v>
      </c>
      <c r="U152" s="126" t="n">
        <f aca="false">I152/$R$3</f>
        <v>0</v>
      </c>
      <c r="V152" s="126" t="n">
        <f aca="false">M152/$R$3</f>
        <v>0</v>
      </c>
      <c r="W152" s="126" t="n">
        <f aca="false">N152/$R$3</f>
        <v>-1376.857</v>
      </c>
    </row>
    <row r="153" customFormat="false" ht="12.75" hidden="false" customHeight="false" outlineLevel="0" collapsed="false">
      <c r="A153" s="120" t="n">
        <f aca="false">A152+1</f>
        <v>37039</v>
      </c>
      <c r="B153" s="131" t="str">
        <f aca="false">INDEX('[4]Master Data'!$A$2:$B$8,MATCH(WEEKDAY('TBS CRD MTM'!A153,3),'[4]Master Data'!$A$2:$A$8,0),2)</f>
        <v>M</v>
      </c>
      <c r="D153" s="124" t="n">
        <v>0</v>
      </c>
      <c r="E153" s="124" t="n">
        <v>0</v>
      </c>
      <c r="F153" s="124" t="n">
        <v>0</v>
      </c>
      <c r="G153" s="124" t="n">
        <v>0</v>
      </c>
      <c r="I153" s="124" t="n">
        <f aca="false">IF(MONTH($A153)=MONTH($A152),IF(G153=0,I152,G153),G153)</f>
        <v>0</v>
      </c>
      <c r="J153" s="124" t="n">
        <f aca="false">IF(MONTH($A153)=MONTH($A152),SUM(I153-I152),I153)</f>
        <v>0</v>
      </c>
      <c r="K153" s="124" t="n">
        <f aca="false">IF(WEEKDAY(A153,3)&gt;4,0,(IF(A153&lt;K$2,0,IF(A153&lt;=K$3,1,0))))</f>
        <v>0</v>
      </c>
      <c r="L153" s="124" t="n">
        <f aca="false">J153*K153</f>
        <v>0</v>
      </c>
      <c r="M153" s="124" t="n">
        <f aca="false">SUM(J$97:J153)</f>
        <v>0</v>
      </c>
      <c r="N153" s="124" t="n">
        <f aca="false">SUM(J$6:J153)</f>
        <v>-1376857</v>
      </c>
      <c r="P153" s="148" t="n">
        <f aca="false">D153/P$3</f>
        <v>0</v>
      </c>
      <c r="Q153" s="124" t="n">
        <f aca="false">E153/P$3</f>
        <v>0</v>
      </c>
      <c r="R153" s="124" t="n">
        <f aca="false">F153/R$3</f>
        <v>0</v>
      </c>
      <c r="S153" s="126" t="n">
        <f aca="false">J153/$R$3</f>
        <v>0</v>
      </c>
      <c r="T153" s="126" t="n">
        <f aca="false">L153/$R$3</f>
        <v>0</v>
      </c>
      <c r="U153" s="126" t="n">
        <f aca="false">I153/$R$3</f>
        <v>0</v>
      </c>
      <c r="V153" s="126" t="n">
        <f aca="false">M153/$R$3</f>
        <v>0</v>
      </c>
      <c r="W153" s="126" t="n">
        <f aca="false">N153/$R$3</f>
        <v>-1376.857</v>
      </c>
    </row>
    <row r="154" customFormat="false" ht="12.75" hidden="false" customHeight="false" outlineLevel="0" collapsed="false">
      <c r="A154" s="120" t="n">
        <f aca="false">A153+1</f>
        <v>37040</v>
      </c>
      <c r="B154" s="131" t="str">
        <f aca="false">INDEX('[4]Master Data'!$A$2:$B$8,MATCH(WEEKDAY('TBS CRD MTM'!A154,3),'[4]Master Data'!$A$2:$A$8,0),2)</f>
        <v>T</v>
      </c>
      <c r="D154" s="124" t="n">
        <v>0</v>
      </c>
      <c r="E154" s="124" t="n">
        <v>0</v>
      </c>
      <c r="F154" s="124" t="n">
        <v>0</v>
      </c>
      <c r="G154" s="124" t="n">
        <v>0</v>
      </c>
      <c r="I154" s="124" t="n">
        <f aca="false">IF(MONTH($A154)=MONTH($A153),IF(G154=0,I153,G154),G154)</f>
        <v>0</v>
      </c>
      <c r="J154" s="124" t="n">
        <f aca="false">IF(MONTH($A154)=MONTH($A153),SUM(I154-I153),I154)</f>
        <v>0</v>
      </c>
      <c r="K154" s="124" t="n">
        <f aca="false">IF(WEEKDAY(A154,3)&gt;4,0,(IF(A154&lt;K$2,0,IF(A154&lt;=K$3,1,0))))</f>
        <v>0</v>
      </c>
      <c r="L154" s="124" t="n">
        <f aca="false">J154*K154</f>
        <v>0</v>
      </c>
      <c r="M154" s="124" t="n">
        <f aca="false">SUM(J$97:J154)</f>
        <v>0</v>
      </c>
      <c r="N154" s="124" t="n">
        <f aca="false">SUM(J$6:J154)</f>
        <v>-1376857</v>
      </c>
      <c r="P154" s="148" t="n">
        <f aca="false">D154/P$3</f>
        <v>0</v>
      </c>
      <c r="Q154" s="124" t="n">
        <f aca="false">E154/P$3</f>
        <v>0</v>
      </c>
      <c r="R154" s="124" t="n">
        <f aca="false">F154/R$3</f>
        <v>0</v>
      </c>
      <c r="S154" s="126" t="n">
        <f aca="false">J154/$R$3</f>
        <v>0</v>
      </c>
      <c r="T154" s="126" t="n">
        <f aca="false">L154/$R$3</f>
        <v>0</v>
      </c>
      <c r="U154" s="126" t="n">
        <f aca="false">I154/$R$3</f>
        <v>0</v>
      </c>
      <c r="V154" s="126" t="n">
        <f aca="false">M154/$R$3</f>
        <v>0</v>
      </c>
      <c r="W154" s="126" t="n">
        <f aca="false">N154/$R$3</f>
        <v>-1376.857</v>
      </c>
    </row>
    <row r="155" customFormat="false" ht="12.75" hidden="false" customHeight="false" outlineLevel="0" collapsed="false">
      <c r="A155" s="120" t="n">
        <f aca="false">A154+1</f>
        <v>37041</v>
      </c>
      <c r="B155" s="131" t="str">
        <f aca="false">INDEX('[4]Master Data'!$A$2:$B$8,MATCH(WEEKDAY('TBS CRD MTM'!A155,3),'[4]Master Data'!$A$2:$A$8,0),2)</f>
        <v>W</v>
      </c>
      <c r="D155" s="124" t="n">
        <v>0</v>
      </c>
      <c r="E155" s="124" t="n">
        <v>0</v>
      </c>
      <c r="F155" s="124" t="n">
        <v>0</v>
      </c>
      <c r="G155" s="124" t="n">
        <v>0</v>
      </c>
      <c r="I155" s="124" t="n">
        <f aca="false">IF(MONTH($A155)=MONTH($A154),IF(G155=0,I154,G155),G155)</f>
        <v>0</v>
      </c>
      <c r="J155" s="124" t="n">
        <f aca="false">IF(MONTH($A155)=MONTH($A154),SUM(I155-I154),I155)</f>
        <v>0</v>
      </c>
      <c r="K155" s="124" t="n">
        <f aca="false">IF(WEEKDAY(A155,3)&gt;4,0,(IF(A155&lt;K$2,0,IF(A155&lt;=K$3,1,0))))</f>
        <v>0</v>
      </c>
      <c r="L155" s="124" t="n">
        <f aca="false">J155*K155</f>
        <v>0</v>
      </c>
      <c r="M155" s="124" t="n">
        <f aca="false">SUM(J$97:J155)</f>
        <v>0</v>
      </c>
      <c r="N155" s="124" t="n">
        <f aca="false">SUM(J$6:J155)</f>
        <v>-1376857</v>
      </c>
      <c r="P155" s="148" t="n">
        <f aca="false">D155/P$3</f>
        <v>0</v>
      </c>
      <c r="Q155" s="124" t="n">
        <f aca="false">E155/P$3</f>
        <v>0</v>
      </c>
      <c r="R155" s="124" t="n">
        <f aca="false">F155/R$3</f>
        <v>0</v>
      </c>
      <c r="S155" s="126" t="n">
        <f aca="false">J155/$R$3</f>
        <v>0</v>
      </c>
      <c r="T155" s="126" t="n">
        <f aca="false">L155/$R$3</f>
        <v>0</v>
      </c>
      <c r="U155" s="126" t="n">
        <f aca="false">I155/$R$3</f>
        <v>0</v>
      </c>
      <c r="V155" s="126" t="n">
        <f aca="false">M155/$R$3</f>
        <v>0</v>
      </c>
      <c r="W155" s="126" t="n">
        <f aca="false">N155/$R$3</f>
        <v>-1376.857</v>
      </c>
    </row>
    <row r="156" customFormat="false" ht="12.75" hidden="false" customHeight="false" outlineLevel="0" collapsed="false">
      <c r="A156" s="120" t="n">
        <f aca="false">A155+1</f>
        <v>37042</v>
      </c>
      <c r="B156" s="131" t="str">
        <f aca="false">INDEX('[4]Master Data'!$A$2:$B$8,MATCH(WEEKDAY('TBS CRD MTM'!A156,3),'[4]Master Data'!$A$2:$A$8,0),2)</f>
        <v>Th</v>
      </c>
      <c r="D156" s="124" t="n">
        <v>0</v>
      </c>
      <c r="E156" s="124" t="n">
        <v>0</v>
      </c>
      <c r="F156" s="124" t="n">
        <v>0</v>
      </c>
      <c r="G156" s="124" t="n">
        <v>0</v>
      </c>
      <c r="I156" s="124" t="n">
        <f aca="false">IF(MONTH($A156)=MONTH($A155),IF(G156=0,I155,G156),G156)</f>
        <v>0</v>
      </c>
      <c r="J156" s="124" t="n">
        <f aca="false">IF(MONTH($A156)=MONTH($A155),SUM(I156-I155),I156)</f>
        <v>0</v>
      </c>
      <c r="K156" s="124" t="n">
        <f aca="false">IF(WEEKDAY(A156,3)&gt;4,0,(IF(A156&lt;K$2,0,IF(A156&lt;=K$3,1,0))))</f>
        <v>0</v>
      </c>
      <c r="L156" s="124" t="n">
        <f aca="false">J156*K156</f>
        <v>0</v>
      </c>
      <c r="M156" s="124" t="n">
        <f aca="false">SUM(J$97:J156)</f>
        <v>0</v>
      </c>
      <c r="N156" s="124" t="n">
        <f aca="false">SUM(J$6:J156)</f>
        <v>-1376857</v>
      </c>
      <c r="P156" s="148" t="n">
        <f aca="false">D156/P$3</f>
        <v>0</v>
      </c>
      <c r="Q156" s="124" t="n">
        <f aca="false">E156/P$3</f>
        <v>0</v>
      </c>
      <c r="R156" s="124" t="n">
        <f aca="false">F156/R$3</f>
        <v>0</v>
      </c>
      <c r="S156" s="126" t="n">
        <f aca="false">J156/$R$3</f>
        <v>0</v>
      </c>
      <c r="T156" s="126" t="n">
        <f aca="false">L156/$R$3</f>
        <v>0</v>
      </c>
      <c r="U156" s="126" t="n">
        <f aca="false">I156/$R$3</f>
        <v>0</v>
      </c>
      <c r="V156" s="126" t="n">
        <f aca="false">M156/$R$3</f>
        <v>0</v>
      </c>
      <c r="W156" s="126" t="n">
        <f aca="false">N156/$R$3</f>
        <v>-1376.857</v>
      </c>
    </row>
    <row r="157" customFormat="false" ht="12.75" hidden="false" customHeight="false" outlineLevel="0" collapsed="false">
      <c r="A157" s="120" t="n">
        <f aca="false">A156+1</f>
        <v>37043</v>
      </c>
      <c r="B157" s="131" t="str">
        <f aca="false">INDEX('[4]Master Data'!$A$2:$B$8,MATCH(WEEKDAY('TBS CRD MTM'!A157,3),'[4]Master Data'!$A$2:$A$8,0),2)</f>
        <v>F</v>
      </c>
      <c r="D157" s="124" t="n">
        <v>0</v>
      </c>
      <c r="E157" s="124" t="n">
        <v>0</v>
      </c>
      <c r="F157" s="124" t="n">
        <v>0</v>
      </c>
      <c r="G157" s="124" t="n">
        <v>0</v>
      </c>
      <c r="I157" s="124" t="n">
        <f aca="false">IF(MONTH($A157)=MONTH($A156),IF(G157=0,I156,G157),G157)</f>
        <v>0</v>
      </c>
      <c r="J157" s="124" t="n">
        <f aca="false">IF(MONTH($A157)=MONTH($A156),SUM(I157-I156),I157)</f>
        <v>0</v>
      </c>
      <c r="K157" s="124" t="n">
        <f aca="false">IF(WEEKDAY(A157,3)&gt;4,0,(IF(A157&lt;K$2,0,IF(A157&lt;=K$3,1,0))))</f>
        <v>0</v>
      </c>
      <c r="L157" s="124" t="n">
        <f aca="false">J157*K157</f>
        <v>0</v>
      </c>
      <c r="M157" s="124" t="n">
        <f aca="false">SUM(J$97:J157)</f>
        <v>0</v>
      </c>
      <c r="N157" s="124" t="n">
        <f aca="false">SUM(J$6:J157)</f>
        <v>-1376857</v>
      </c>
      <c r="P157" s="148" t="n">
        <f aca="false">D157/P$3</f>
        <v>0</v>
      </c>
      <c r="Q157" s="124" t="n">
        <f aca="false">E157/P$3</f>
        <v>0</v>
      </c>
      <c r="R157" s="124" t="n">
        <f aca="false">F157/R$3</f>
        <v>0</v>
      </c>
      <c r="S157" s="126" t="n">
        <f aca="false">J157/$R$3</f>
        <v>0</v>
      </c>
      <c r="T157" s="126" t="n">
        <f aca="false">L157/$R$3</f>
        <v>0</v>
      </c>
      <c r="U157" s="126" t="n">
        <f aca="false">I157/$R$3</f>
        <v>0</v>
      </c>
      <c r="V157" s="126" t="n">
        <f aca="false">M157/$R$3</f>
        <v>0</v>
      </c>
      <c r="W157" s="126" t="n">
        <f aca="false">N157/$R$3</f>
        <v>-1376.857</v>
      </c>
    </row>
    <row r="158" customFormat="false" ht="12.75" hidden="false" customHeight="false" outlineLevel="0" collapsed="false">
      <c r="A158" s="120" t="n">
        <f aca="false">A157+1</f>
        <v>37044</v>
      </c>
      <c r="B158" s="131" t="str">
        <f aca="false">INDEX('[4]Master Data'!$A$2:$B$8,MATCH(WEEKDAY('TBS CRD MTM'!A158,3),'[4]Master Data'!$A$2:$A$8,0),2)</f>
        <v>Sa</v>
      </c>
      <c r="D158" s="124" t="n">
        <v>0</v>
      </c>
      <c r="E158" s="124" t="n">
        <v>0</v>
      </c>
      <c r="F158" s="124" t="n">
        <v>0</v>
      </c>
      <c r="G158" s="124" t="n">
        <v>0</v>
      </c>
      <c r="I158" s="124" t="n">
        <f aca="false">IF(MONTH($A158)=MONTH($A157),IF(G158=0,I157,G158),G158)</f>
        <v>0</v>
      </c>
      <c r="J158" s="124" t="n">
        <f aca="false">IF(MONTH($A158)=MONTH($A157),SUM(I158-I157),I158)</f>
        <v>0</v>
      </c>
      <c r="K158" s="124" t="n">
        <f aca="false">IF(WEEKDAY(A158,3)&gt;4,0,(IF(A158&lt;K$2,0,IF(A158&lt;=K$3,1,0))))</f>
        <v>0</v>
      </c>
      <c r="L158" s="124" t="n">
        <f aca="false">J158*K158</f>
        <v>0</v>
      </c>
      <c r="M158" s="124" t="n">
        <f aca="false">SUM(J$97:J158)</f>
        <v>0</v>
      </c>
      <c r="N158" s="124" t="n">
        <f aca="false">SUM(J$6:J158)</f>
        <v>-1376857</v>
      </c>
      <c r="P158" s="148" t="n">
        <f aca="false">D158/P$3</f>
        <v>0</v>
      </c>
      <c r="Q158" s="124" t="n">
        <f aca="false">E158/P$3</f>
        <v>0</v>
      </c>
      <c r="R158" s="124" t="n">
        <f aca="false">F158/R$3</f>
        <v>0</v>
      </c>
      <c r="S158" s="126" t="n">
        <f aca="false">J158/$R$3</f>
        <v>0</v>
      </c>
      <c r="T158" s="126" t="n">
        <f aca="false">L158/$R$3</f>
        <v>0</v>
      </c>
      <c r="U158" s="126" t="n">
        <f aca="false">I158/$R$3</f>
        <v>0</v>
      </c>
      <c r="V158" s="126" t="n">
        <f aca="false">M158/$R$3</f>
        <v>0</v>
      </c>
      <c r="W158" s="126" t="n">
        <f aca="false">N158/$R$3</f>
        <v>-1376.857</v>
      </c>
    </row>
    <row r="159" customFormat="false" ht="12.75" hidden="false" customHeight="false" outlineLevel="0" collapsed="false">
      <c r="A159" s="120" t="n">
        <f aca="false">A158+1</f>
        <v>37045</v>
      </c>
      <c r="B159" s="131" t="str">
        <f aca="false">INDEX('[4]Master Data'!$A$2:$B$8,MATCH(WEEKDAY('TBS CRD MTM'!A159,3),'[4]Master Data'!$A$2:$A$8,0),2)</f>
        <v>Su</v>
      </c>
      <c r="D159" s="124" t="n">
        <v>0</v>
      </c>
      <c r="E159" s="124" t="n">
        <v>0</v>
      </c>
      <c r="F159" s="124" t="n">
        <v>0</v>
      </c>
      <c r="G159" s="124" t="n">
        <v>0</v>
      </c>
      <c r="I159" s="124" t="n">
        <f aca="false">IF(MONTH($A159)=MONTH($A158),IF(G159=0,I158,G159),G159)</f>
        <v>0</v>
      </c>
      <c r="J159" s="124" t="n">
        <f aca="false">IF(MONTH($A159)=MONTH($A158),SUM(I159-I158),I159)</f>
        <v>0</v>
      </c>
      <c r="K159" s="124" t="n">
        <f aca="false">IF(WEEKDAY(A159,3)&gt;4,0,(IF(A159&lt;K$2,0,IF(A159&lt;=K$3,1,0))))</f>
        <v>0</v>
      </c>
      <c r="L159" s="124" t="n">
        <f aca="false">J159*K159</f>
        <v>0</v>
      </c>
      <c r="M159" s="124" t="n">
        <f aca="false">SUM(J$97:J159)</f>
        <v>0</v>
      </c>
      <c r="N159" s="124" t="n">
        <f aca="false">SUM(J$6:J159)</f>
        <v>-1376857</v>
      </c>
      <c r="P159" s="148" t="n">
        <f aca="false">D159/P$3</f>
        <v>0</v>
      </c>
      <c r="Q159" s="124" t="n">
        <f aca="false">E159/P$3</f>
        <v>0</v>
      </c>
      <c r="R159" s="124" t="n">
        <f aca="false">F159/R$3</f>
        <v>0</v>
      </c>
      <c r="S159" s="126" t="n">
        <f aca="false">J159/$R$3</f>
        <v>0</v>
      </c>
      <c r="T159" s="126" t="n">
        <f aca="false">L159/$R$3</f>
        <v>0</v>
      </c>
      <c r="U159" s="126" t="n">
        <f aca="false">I159/$R$3</f>
        <v>0</v>
      </c>
      <c r="V159" s="126" t="n">
        <f aca="false">M159/$R$3</f>
        <v>0</v>
      </c>
      <c r="W159" s="126" t="n">
        <f aca="false">N159/$R$3</f>
        <v>-1376.857</v>
      </c>
    </row>
    <row r="160" customFormat="false" ht="12.75" hidden="false" customHeight="false" outlineLevel="0" collapsed="false">
      <c r="A160" s="120" t="n">
        <f aca="false">A159+1</f>
        <v>37046</v>
      </c>
      <c r="B160" s="131" t="str">
        <f aca="false">INDEX('[4]Master Data'!$A$2:$B$8,MATCH(WEEKDAY('TBS CRD MTM'!A160,3),'[4]Master Data'!$A$2:$A$8,0),2)</f>
        <v>M</v>
      </c>
      <c r="D160" s="124" t="n">
        <v>0</v>
      </c>
      <c r="E160" s="124" t="n">
        <v>0</v>
      </c>
      <c r="F160" s="124" t="n">
        <v>0</v>
      </c>
      <c r="G160" s="124" t="n">
        <v>0</v>
      </c>
      <c r="I160" s="124" t="n">
        <f aca="false">IF(MONTH($A160)=MONTH($A159),IF(G160=0,I159,G160),G160)</f>
        <v>0</v>
      </c>
      <c r="J160" s="124" t="n">
        <f aca="false">IF(MONTH($A160)=MONTH($A159),SUM(I160-I159),I160)</f>
        <v>0</v>
      </c>
      <c r="K160" s="124" t="n">
        <f aca="false">IF(WEEKDAY(A160,3)&gt;4,0,(IF(A160&lt;K$2,0,IF(A160&lt;=K$3,1,0))))</f>
        <v>0</v>
      </c>
      <c r="L160" s="124" t="n">
        <f aca="false">J160*K160</f>
        <v>0</v>
      </c>
      <c r="M160" s="124" t="n">
        <f aca="false">SUM(J$97:J160)</f>
        <v>0</v>
      </c>
      <c r="N160" s="124" t="n">
        <f aca="false">SUM(J$6:J160)</f>
        <v>-1376857</v>
      </c>
      <c r="P160" s="148" t="n">
        <f aca="false">D160/P$3</f>
        <v>0</v>
      </c>
      <c r="Q160" s="124" t="n">
        <f aca="false">E160/P$3</f>
        <v>0</v>
      </c>
      <c r="R160" s="124" t="n">
        <f aca="false">F160/R$3</f>
        <v>0</v>
      </c>
      <c r="S160" s="126" t="n">
        <f aca="false">J160/$R$3</f>
        <v>0</v>
      </c>
      <c r="T160" s="126" t="n">
        <f aca="false">L160/$R$3</f>
        <v>0</v>
      </c>
      <c r="U160" s="126" t="n">
        <f aca="false">I160/$R$3</f>
        <v>0</v>
      </c>
      <c r="V160" s="126" t="n">
        <f aca="false">M160/$R$3</f>
        <v>0</v>
      </c>
      <c r="W160" s="126" t="n">
        <f aca="false">N160/$R$3</f>
        <v>-1376.857</v>
      </c>
    </row>
    <row r="161" customFormat="false" ht="12.75" hidden="false" customHeight="false" outlineLevel="0" collapsed="false">
      <c r="A161" s="120" t="n">
        <f aca="false">A160+1</f>
        <v>37047</v>
      </c>
      <c r="B161" s="131" t="str">
        <f aca="false">INDEX('[4]Master Data'!$A$2:$B$8,MATCH(WEEKDAY('TBS CRD MTM'!A161,3),'[4]Master Data'!$A$2:$A$8,0),2)</f>
        <v>T</v>
      </c>
      <c r="D161" s="124" t="n">
        <v>0</v>
      </c>
      <c r="E161" s="124" t="n">
        <v>0</v>
      </c>
      <c r="F161" s="124" t="n">
        <v>0</v>
      </c>
      <c r="G161" s="124" t="n">
        <v>0</v>
      </c>
      <c r="I161" s="124" t="n">
        <f aca="false">IF(MONTH($A161)=MONTH($A160),IF(G161=0,I160,G161),G161)</f>
        <v>0</v>
      </c>
      <c r="J161" s="124" t="n">
        <f aca="false">IF(MONTH($A161)=MONTH($A160),SUM(I161-I160),I161)</f>
        <v>0</v>
      </c>
      <c r="K161" s="124" t="n">
        <f aca="false">IF(WEEKDAY(A161,3)&gt;4,0,(IF(A161&lt;K$2,0,IF(A161&lt;=K$3,1,0))))</f>
        <v>0</v>
      </c>
      <c r="L161" s="124" t="n">
        <f aca="false">J161*K161</f>
        <v>0</v>
      </c>
      <c r="M161" s="124" t="n">
        <f aca="false">SUM(J$97:J161)</f>
        <v>0</v>
      </c>
      <c r="N161" s="124" t="n">
        <f aca="false">SUM(J$6:J161)</f>
        <v>-1376857</v>
      </c>
      <c r="P161" s="148" t="n">
        <f aca="false">D161/P$3</f>
        <v>0</v>
      </c>
      <c r="Q161" s="124" t="n">
        <f aca="false">E161/P$3</f>
        <v>0</v>
      </c>
      <c r="R161" s="124" t="n">
        <f aca="false">F161/R$3</f>
        <v>0</v>
      </c>
      <c r="S161" s="126" t="n">
        <f aca="false">J161/$R$3</f>
        <v>0</v>
      </c>
      <c r="T161" s="126" t="n">
        <f aca="false">L161/$R$3</f>
        <v>0</v>
      </c>
      <c r="U161" s="126" t="n">
        <f aca="false">I161/$R$3</f>
        <v>0</v>
      </c>
      <c r="V161" s="126" t="n">
        <f aca="false">M161/$R$3</f>
        <v>0</v>
      </c>
      <c r="W161" s="126" t="n">
        <f aca="false">N161/$R$3</f>
        <v>-1376.857</v>
      </c>
    </row>
    <row r="162" customFormat="false" ht="12.75" hidden="false" customHeight="false" outlineLevel="0" collapsed="false">
      <c r="A162" s="120" t="n">
        <f aca="false">A161+1</f>
        <v>37048</v>
      </c>
      <c r="B162" s="131" t="str">
        <f aca="false">INDEX('[4]Master Data'!$A$2:$B$8,MATCH(WEEKDAY('TBS CRD MTM'!A162,3),'[4]Master Data'!$A$2:$A$8,0),2)</f>
        <v>W</v>
      </c>
      <c r="D162" s="124" t="n">
        <v>0</v>
      </c>
      <c r="E162" s="124" t="n">
        <v>0</v>
      </c>
      <c r="F162" s="124" t="n">
        <v>0</v>
      </c>
      <c r="G162" s="124" t="n">
        <v>0</v>
      </c>
      <c r="I162" s="124" t="n">
        <f aca="false">IF(MONTH($A162)=MONTH($A161),IF(G162=0,I161,G162),G162)</f>
        <v>0</v>
      </c>
      <c r="J162" s="124" t="n">
        <f aca="false">IF(MONTH($A162)=MONTH($A161),SUM(I162-I161),I162)</f>
        <v>0</v>
      </c>
      <c r="K162" s="124" t="n">
        <f aca="false">IF(WEEKDAY(A162,3)&gt;4,0,(IF(A162&lt;K$2,0,IF(A162&lt;=K$3,1,0))))</f>
        <v>0</v>
      </c>
      <c r="L162" s="124" t="n">
        <f aca="false">J162*K162</f>
        <v>0</v>
      </c>
      <c r="M162" s="124" t="n">
        <f aca="false">SUM(J$97:J162)</f>
        <v>0</v>
      </c>
      <c r="N162" s="124" t="n">
        <f aca="false">SUM(J$6:J162)</f>
        <v>-1376857</v>
      </c>
      <c r="P162" s="148" t="n">
        <f aca="false">D162/P$3</f>
        <v>0</v>
      </c>
      <c r="Q162" s="124" t="n">
        <f aca="false">E162/P$3</f>
        <v>0</v>
      </c>
      <c r="R162" s="124" t="n">
        <f aca="false">F162/R$3</f>
        <v>0</v>
      </c>
      <c r="S162" s="126" t="n">
        <f aca="false">J162/$R$3</f>
        <v>0</v>
      </c>
      <c r="T162" s="126" t="n">
        <f aca="false">L162/$R$3</f>
        <v>0</v>
      </c>
      <c r="U162" s="126" t="n">
        <f aca="false">I162/$R$3</f>
        <v>0</v>
      </c>
      <c r="V162" s="126" t="n">
        <f aca="false">M162/$R$3</f>
        <v>0</v>
      </c>
      <c r="W162" s="126" t="n">
        <f aca="false">N162/$R$3</f>
        <v>-1376.857</v>
      </c>
    </row>
    <row r="163" customFormat="false" ht="12.75" hidden="false" customHeight="false" outlineLevel="0" collapsed="false">
      <c r="A163" s="120" t="n">
        <f aca="false">A162+1</f>
        <v>37049</v>
      </c>
      <c r="B163" s="131" t="str">
        <f aca="false">INDEX('[4]Master Data'!$A$2:$B$8,MATCH(WEEKDAY('TBS CRD MTM'!A163,3),'[4]Master Data'!$A$2:$A$8,0),2)</f>
        <v>Th</v>
      </c>
      <c r="D163" s="124" t="n">
        <v>0</v>
      </c>
      <c r="E163" s="124" t="n">
        <v>0</v>
      </c>
      <c r="F163" s="124" t="n">
        <v>0</v>
      </c>
      <c r="G163" s="124" t="n">
        <v>0</v>
      </c>
      <c r="I163" s="124" t="n">
        <f aca="false">IF(MONTH($A163)=MONTH($A162),IF(G163=0,I162,G163),G163)</f>
        <v>0</v>
      </c>
      <c r="J163" s="124" t="n">
        <f aca="false">IF(MONTH($A163)=MONTH($A162),SUM(I163-I162),I163)</f>
        <v>0</v>
      </c>
      <c r="K163" s="124" t="n">
        <f aca="false">IF(WEEKDAY(A163,3)&gt;4,0,(IF(A163&lt;K$2,0,IF(A163&lt;=K$3,1,0))))</f>
        <v>0</v>
      </c>
      <c r="L163" s="124" t="n">
        <f aca="false">J163*K163</f>
        <v>0</v>
      </c>
      <c r="M163" s="124" t="n">
        <f aca="false">SUM(J$97:J163)</f>
        <v>0</v>
      </c>
      <c r="N163" s="124" t="n">
        <f aca="false">SUM(J$6:J163)</f>
        <v>-1376857</v>
      </c>
      <c r="P163" s="148" t="n">
        <f aca="false">D163/P$3</f>
        <v>0</v>
      </c>
      <c r="Q163" s="124" t="n">
        <f aca="false">E163/P$3</f>
        <v>0</v>
      </c>
      <c r="R163" s="124" t="n">
        <f aca="false">F163/R$3</f>
        <v>0</v>
      </c>
      <c r="S163" s="126" t="n">
        <f aca="false">J163/$R$3</f>
        <v>0</v>
      </c>
      <c r="T163" s="126" t="n">
        <f aca="false">L163/$R$3</f>
        <v>0</v>
      </c>
      <c r="U163" s="126" t="n">
        <f aca="false">I163/$R$3</f>
        <v>0</v>
      </c>
      <c r="V163" s="126" t="n">
        <f aca="false">M163/$R$3</f>
        <v>0</v>
      </c>
      <c r="W163" s="126" t="n">
        <f aca="false">N163/$R$3</f>
        <v>-1376.857</v>
      </c>
    </row>
    <row r="164" customFormat="false" ht="12.75" hidden="false" customHeight="false" outlineLevel="0" collapsed="false">
      <c r="A164" s="120" t="n">
        <f aca="false">A163+1</f>
        <v>37050</v>
      </c>
      <c r="B164" s="131" t="str">
        <f aca="false">INDEX('[4]Master Data'!$A$2:$B$8,MATCH(WEEKDAY('TBS CRD MTM'!A164,3),'[4]Master Data'!$A$2:$A$8,0),2)</f>
        <v>F</v>
      </c>
      <c r="D164" s="124" t="n">
        <v>0</v>
      </c>
      <c r="E164" s="124" t="n">
        <v>0</v>
      </c>
      <c r="F164" s="124" t="n">
        <v>0</v>
      </c>
      <c r="G164" s="124" t="n">
        <v>0</v>
      </c>
      <c r="I164" s="124" t="n">
        <f aca="false">IF(MONTH($A164)=MONTH($A163),IF(G164=0,I163,G164),G164)</f>
        <v>0</v>
      </c>
      <c r="J164" s="124" t="n">
        <f aca="false">IF(MONTH($A164)=MONTH($A163),SUM(I164-I163),I164)</f>
        <v>0</v>
      </c>
      <c r="K164" s="124" t="n">
        <f aca="false">IF(WEEKDAY(A164,3)&gt;4,0,(IF(A164&lt;K$2,0,IF(A164&lt;=K$3,1,0))))</f>
        <v>0</v>
      </c>
      <c r="L164" s="124" t="n">
        <f aca="false">J164*K164</f>
        <v>0</v>
      </c>
      <c r="M164" s="124" t="n">
        <f aca="false">SUM(J$97:J164)</f>
        <v>0</v>
      </c>
      <c r="N164" s="124" t="n">
        <f aca="false">SUM(J$6:J164)</f>
        <v>-1376857</v>
      </c>
      <c r="P164" s="148" t="n">
        <f aca="false">D164/P$3</f>
        <v>0</v>
      </c>
      <c r="Q164" s="124" t="n">
        <f aca="false">E164/P$3</f>
        <v>0</v>
      </c>
      <c r="R164" s="124" t="n">
        <f aca="false">F164/R$3</f>
        <v>0</v>
      </c>
      <c r="S164" s="126" t="n">
        <f aca="false">J164/$R$3</f>
        <v>0</v>
      </c>
      <c r="T164" s="126" t="n">
        <f aca="false">L164/$R$3</f>
        <v>0</v>
      </c>
      <c r="U164" s="126" t="n">
        <f aca="false">I164/$R$3</f>
        <v>0</v>
      </c>
      <c r="V164" s="126" t="n">
        <f aca="false">M164/$R$3</f>
        <v>0</v>
      </c>
      <c r="W164" s="126" t="n">
        <f aca="false">N164/$R$3</f>
        <v>-1376.857</v>
      </c>
    </row>
    <row r="165" customFormat="false" ht="12.75" hidden="false" customHeight="false" outlineLevel="0" collapsed="false">
      <c r="A165" s="120" t="n">
        <f aca="false">A164+1</f>
        <v>37051</v>
      </c>
      <c r="B165" s="131" t="str">
        <f aca="false">INDEX('[4]Master Data'!$A$2:$B$8,MATCH(WEEKDAY('TBS CRD MTM'!A165,3),'[4]Master Data'!$A$2:$A$8,0),2)</f>
        <v>Sa</v>
      </c>
      <c r="D165" s="124" t="n">
        <v>0</v>
      </c>
      <c r="E165" s="124" t="n">
        <v>0</v>
      </c>
      <c r="F165" s="124" t="n">
        <v>0</v>
      </c>
      <c r="G165" s="124" t="n">
        <v>0</v>
      </c>
      <c r="I165" s="124" t="n">
        <f aca="false">IF(MONTH($A165)=MONTH($A164),IF(G165=0,I164,G165),G165)</f>
        <v>0</v>
      </c>
      <c r="J165" s="124" t="n">
        <f aca="false">IF(MONTH($A165)=MONTH($A164),SUM(I165-I164),I165)</f>
        <v>0</v>
      </c>
      <c r="K165" s="124" t="n">
        <f aca="false">IF(WEEKDAY(A165,3)&gt;4,0,(IF(A165&lt;K$2,0,IF(A165&lt;=K$3,1,0))))</f>
        <v>0</v>
      </c>
      <c r="L165" s="124" t="n">
        <f aca="false">J165*K165</f>
        <v>0</v>
      </c>
      <c r="M165" s="124" t="n">
        <f aca="false">SUM(J$97:J165)</f>
        <v>0</v>
      </c>
      <c r="N165" s="124" t="n">
        <f aca="false">SUM(J$6:J165)</f>
        <v>-1376857</v>
      </c>
      <c r="P165" s="148" t="n">
        <f aca="false">D165/P$3</f>
        <v>0</v>
      </c>
      <c r="Q165" s="124" t="n">
        <f aca="false">E165/P$3</f>
        <v>0</v>
      </c>
      <c r="R165" s="124" t="n">
        <f aca="false">F165/R$3</f>
        <v>0</v>
      </c>
      <c r="S165" s="126" t="n">
        <f aca="false">J165/$R$3</f>
        <v>0</v>
      </c>
      <c r="T165" s="126" t="n">
        <f aca="false">L165/$R$3</f>
        <v>0</v>
      </c>
      <c r="U165" s="126" t="n">
        <f aca="false">I165/$R$3</f>
        <v>0</v>
      </c>
      <c r="V165" s="126" t="n">
        <f aca="false">M165/$R$3</f>
        <v>0</v>
      </c>
      <c r="W165" s="126" t="n">
        <f aca="false">N165/$R$3</f>
        <v>-1376.857</v>
      </c>
    </row>
    <row r="166" customFormat="false" ht="12.75" hidden="false" customHeight="false" outlineLevel="0" collapsed="false">
      <c r="A166" s="120" t="n">
        <f aca="false">A165+1</f>
        <v>37052</v>
      </c>
      <c r="B166" s="131" t="str">
        <f aca="false">INDEX('[4]Master Data'!$A$2:$B$8,MATCH(WEEKDAY('TBS CRD MTM'!A166,3),'[4]Master Data'!$A$2:$A$8,0),2)</f>
        <v>Su</v>
      </c>
      <c r="D166" s="124" t="n">
        <v>0</v>
      </c>
      <c r="E166" s="124" t="n">
        <v>0</v>
      </c>
      <c r="F166" s="124" t="n">
        <v>0</v>
      </c>
      <c r="G166" s="124" t="n">
        <v>0</v>
      </c>
      <c r="I166" s="124" t="n">
        <f aca="false">IF(MONTH($A166)=MONTH($A165),IF(G166=0,I165,G166),G166)</f>
        <v>0</v>
      </c>
      <c r="J166" s="124" t="n">
        <f aca="false">IF(MONTH($A166)=MONTH($A165),SUM(I166-I165),I166)</f>
        <v>0</v>
      </c>
      <c r="K166" s="124" t="n">
        <f aca="false">IF(WEEKDAY(A166,3)&gt;4,0,(IF(A166&lt;K$2,0,IF(A166&lt;=K$3,1,0))))</f>
        <v>0</v>
      </c>
      <c r="L166" s="124" t="n">
        <f aca="false">J166*K166</f>
        <v>0</v>
      </c>
      <c r="M166" s="124" t="n">
        <f aca="false">SUM(J$97:J166)</f>
        <v>0</v>
      </c>
      <c r="N166" s="124" t="n">
        <f aca="false">SUM(J$6:J166)</f>
        <v>-1376857</v>
      </c>
      <c r="P166" s="148" t="n">
        <f aca="false">D166/P$3</f>
        <v>0</v>
      </c>
      <c r="Q166" s="124" t="n">
        <f aca="false">E166/P$3</f>
        <v>0</v>
      </c>
      <c r="R166" s="124" t="n">
        <f aca="false">F166/R$3</f>
        <v>0</v>
      </c>
      <c r="S166" s="126" t="n">
        <f aca="false">J166/$R$3</f>
        <v>0</v>
      </c>
      <c r="T166" s="126" t="n">
        <f aca="false">L166/$R$3</f>
        <v>0</v>
      </c>
      <c r="U166" s="126" t="n">
        <f aca="false">I166/$R$3</f>
        <v>0</v>
      </c>
      <c r="V166" s="126" t="n">
        <f aca="false">M166/$R$3</f>
        <v>0</v>
      </c>
      <c r="W166" s="126" t="n">
        <f aca="false">N166/$R$3</f>
        <v>-1376.857</v>
      </c>
    </row>
    <row r="167" customFormat="false" ht="12.75" hidden="false" customHeight="false" outlineLevel="0" collapsed="false">
      <c r="A167" s="120" t="n">
        <f aca="false">A166+1</f>
        <v>37053</v>
      </c>
      <c r="B167" s="131" t="str">
        <f aca="false">INDEX('[4]Master Data'!$A$2:$B$8,MATCH(WEEKDAY('TBS CRD MTM'!A167,3),'[4]Master Data'!$A$2:$A$8,0),2)</f>
        <v>M</v>
      </c>
      <c r="D167" s="124" t="n">
        <v>0</v>
      </c>
      <c r="E167" s="124" t="n">
        <v>0</v>
      </c>
      <c r="F167" s="124" t="n">
        <v>0</v>
      </c>
      <c r="G167" s="124" t="n">
        <v>0</v>
      </c>
      <c r="I167" s="124" t="n">
        <f aca="false">IF(MONTH($A167)=MONTH($A166),IF(G167=0,I166,G167),G167)</f>
        <v>0</v>
      </c>
      <c r="J167" s="124" t="n">
        <f aca="false">IF(MONTH($A167)=MONTH($A166),SUM(I167-I166),I167)</f>
        <v>0</v>
      </c>
      <c r="K167" s="124" t="n">
        <f aca="false">IF(WEEKDAY(A167,3)&gt;4,0,(IF(A167&lt;K$2,0,IF(A167&lt;=K$3,1,0))))</f>
        <v>0</v>
      </c>
      <c r="L167" s="124" t="n">
        <f aca="false">J167*K167</f>
        <v>0</v>
      </c>
      <c r="M167" s="124" t="n">
        <f aca="false">SUM(J$97:J167)</f>
        <v>0</v>
      </c>
      <c r="N167" s="124" t="n">
        <f aca="false">SUM(J$6:J167)</f>
        <v>-1376857</v>
      </c>
      <c r="P167" s="148" t="n">
        <f aca="false">D167/P$3</f>
        <v>0</v>
      </c>
      <c r="Q167" s="124" t="n">
        <f aca="false">E167/P$3</f>
        <v>0</v>
      </c>
      <c r="R167" s="124" t="n">
        <f aca="false">F167/R$3</f>
        <v>0</v>
      </c>
      <c r="S167" s="126" t="n">
        <f aca="false">J167/$R$3</f>
        <v>0</v>
      </c>
      <c r="T167" s="126" t="n">
        <f aca="false">L167/$R$3</f>
        <v>0</v>
      </c>
      <c r="U167" s="126" t="n">
        <f aca="false">I167/$R$3</f>
        <v>0</v>
      </c>
      <c r="V167" s="126" t="n">
        <f aca="false">M167/$R$3</f>
        <v>0</v>
      </c>
      <c r="W167" s="126" t="n">
        <f aca="false">N167/$R$3</f>
        <v>-1376.857</v>
      </c>
    </row>
    <row r="168" customFormat="false" ht="12.75" hidden="false" customHeight="false" outlineLevel="0" collapsed="false">
      <c r="A168" s="120" t="n">
        <f aca="false">A167+1</f>
        <v>37054</v>
      </c>
      <c r="B168" s="131" t="str">
        <f aca="false">INDEX('[4]Master Data'!$A$2:$B$8,MATCH(WEEKDAY('TBS CRD MTM'!A168,3),'[4]Master Data'!$A$2:$A$8,0),2)</f>
        <v>T</v>
      </c>
      <c r="D168" s="124" t="n">
        <v>0</v>
      </c>
      <c r="E168" s="124" t="n">
        <v>0</v>
      </c>
      <c r="F168" s="124" t="n">
        <v>0</v>
      </c>
      <c r="G168" s="124" t="n">
        <v>0</v>
      </c>
      <c r="I168" s="124" t="n">
        <f aca="false">IF(MONTH($A168)=MONTH($A167),IF(G168=0,I167,G168),G168)</f>
        <v>0</v>
      </c>
      <c r="J168" s="124" t="n">
        <f aca="false">IF(MONTH($A168)=MONTH($A167),SUM(I168-I167),I168)</f>
        <v>0</v>
      </c>
      <c r="K168" s="124" t="n">
        <f aca="false">IF(WEEKDAY(A168,3)&gt;4,0,(IF(A168&lt;K$2,0,IF(A168&lt;=K$3,1,0))))</f>
        <v>0</v>
      </c>
      <c r="L168" s="124" t="n">
        <f aca="false">J168*K168</f>
        <v>0</v>
      </c>
      <c r="M168" s="124" t="n">
        <f aca="false">SUM(J$97:J168)</f>
        <v>0</v>
      </c>
      <c r="N168" s="124" t="n">
        <f aca="false">SUM(J$6:J168)</f>
        <v>-1376857</v>
      </c>
      <c r="P168" s="148" t="n">
        <f aca="false">D168/P$3</f>
        <v>0</v>
      </c>
      <c r="Q168" s="124" t="n">
        <f aca="false">E168/P$3</f>
        <v>0</v>
      </c>
      <c r="R168" s="124" t="n">
        <f aca="false">F168/R$3</f>
        <v>0</v>
      </c>
      <c r="S168" s="126" t="n">
        <f aca="false">J168/$R$3</f>
        <v>0</v>
      </c>
      <c r="T168" s="126" t="n">
        <f aca="false">L168/$R$3</f>
        <v>0</v>
      </c>
      <c r="U168" s="126" t="n">
        <f aca="false">I168/$R$3</f>
        <v>0</v>
      </c>
      <c r="V168" s="126" t="n">
        <f aca="false">M168/$R$3</f>
        <v>0</v>
      </c>
      <c r="W168" s="126" t="n">
        <f aca="false">N168/$R$3</f>
        <v>-1376.857</v>
      </c>
    </row>
    <row r="169" customFormat="false" ht="12.75" hidden="false" customHeight="false" outlineLevel="0" collapsed="false">
      <c r="A169" s="120" t="n">
        <f aca="false">A168+1</f>
        <v>37055</v>
      </c>
      <c r="B169" s="131" t="str">
        <f aca="false">INDEX('[4]Master Data'!$A$2:$B$8,MATCH(WEEKDAY('TBS CRD MTM'!A169,3),'[4]Master Data'!$A$2:$A$8,0),2)</f>
        <v>W</v>
      </c>
      <c r="D169" s="124" t="n">
        <v>0</v>
      </c>
      <c r="E169" s="124" t="n">
        <v>0</v>
      </c>
      <c r="F169" s="124" t="n">
        <v>0</v>
      </c>
      <c r="G169" s="124" t="n">
        <v>0</v>
      </c>
      <c r="I169" s="124" t="n">
        <f aca="false">IF(MONTH($A169)=MONTH($A168),IF(G169=0,I168,G169),G169)</f>
        <v>0</v>
      </c>
      <c r="J169" s="124" t="n">
        <f aca="false">IF(MONTH($A169)=MONTH($A168),SUM(I169-I168),I169)</f>
        <v>0</v>
      </c>
      <c r="K169" s="124" t="n">
        <f aca="false">IF(WEEKDAY(A169,3)&gt;4,0,(IF(A169&lt;K$2,0,IF(A169&lt;=K$3,1,0))))</f>
        <v>0</v>
      </c>
      <c r="L169" s="124" t="n">
        <f aca="false">J169*K169</f>
        <v>0</v>
      </c>
      <c r="M169" s="124" t="n">
        <f aca="false">SUM(J$97:J169)</f>
        <v>0</v>
      </c>
      <c r="N169" s="124" t="n">
        <f aca="false">SUM(J$6:J169)</f>
        <v>-1376857</v>
      </c>
      <c r="P169" s="148" t="n">
        <f aca="false">D169/P$3</f>
        <v>0</v>
      </c>
      <c r="Q169" s="124" t="n">
        <f aca="false">E169/P$3</f>
        <v>0</v>
      </c>
      <c r="R169" s="124" t="n">
        <f aca="false">F169/R$3</f>
        <v>0</v>
      </c>
      <c r="S169" s="126" t="n">
        <f aca="false">J169/$R$3</f>
        <v>0</v>
      </c>
      <c r="T169" s="126" t="n">
        <f aca="false">L169/$R$3</f>
        <v>0</v>
      </c>
      <c r="U169" s="126" t="n">
        <f aca="false">I169/$R$3</f>
        <v>0</v>
      </c>
      <c r="V169" s="126" t="n">
        <f aca="false">M169/$R$3</f>
        <v>0</v>
      </c>
      <c r="W169" s="126" t="n">
        <f aca="false">N169/$R$3</f>
        <v>-1376.857</v>
      </c>
    </row>
    <row r="170" customFormat="false" ht="12.75" hidden="false" customHeight="false" outlineLevel="0" collapsed="false">
      <c r="A170" s="120" t="n">
        <f aca="false">A169+1</f>
        <v>37056</v>
      </c>
      <c r="B170" s="131" t="str">
        <f aca="false">INDEX('[4]Master Data'!$A$2:$B$8,MATCH(WEEKDAY('TBS CRD MTM'!A170,3),'[4]Master Data'!$A$2:$A$8,0),2)</f>
        <v>Th</v>
      </c>
      <c r="D170" s="124" t="n">
        <v>0</v>
      </c>
      <c r="E170" s="124" t="n">
        <v>0</v>
      </c>
      <c r="F170" s="124" t="n">
        <v>0</v>
      </c>
      <c r="G170" s="124" t="n">
        <v>0</v>
      </c>
      <c r="I170" s="124" t="n">
        <f aca="false">IF(MONTH($A170)=MONTH($A169),IF(G170=0,I169,G170),G170)</f>
        <v>0</v>
      </c>
      <c r="J170" s="124" t="n">
        <f aca="false">IF(MONTH($A170)=MONTH($A169),SUM(I170-I169),I170)</f>
        <v>0</v>
      </c>
      <c r="K170" s="124" t="n">
        <f aca="false">IF(WEEKDAY(A170,3)&gt;4,0,(IF(A170&lt;K$2,0,IF(A170&lt;=K$3,1,0))))</f>
        <v>0</v>
      </c>
      <c r="L170" s="124" t="n">
        <f aca="false">J170*K170</f>
        <v>0</v>
      </c>
      <c r="M170" s="124" t="n">
        <f aca="false">SUM(J$97:J170)</f>
        <v>0</v>
      </c>
      <c r="N170" s="124" t="n">
        <f aca="false">SUM(J$6:J170)</f>
        <v>-1376857</v>
      </c>
      <c r="P170" s="148" t="n">
        <f aca="false">D170/P$3</f>
        <v>0</v>
      </c>
      <c r="Q170" s="124" t="n">
        <f aca="false">E170/P$3</f>
        <v>0</v>
      </c>
      <c r="R170" s="124" t="n">
        <f aca="false">F170/R$3</f>
        <v>0</v>
      </c>
      <c r="S170" s="126" t="n">
        <f aca="false">J170/$R$3</f>
        <v>0</v>
      </c>
      <c r="T170" s="126" t="n">
        <f aca="false">L170/$R$3</f>
        <v>0</v>
      </c>
      <c r="U170" s="126" t="n">
        <f aca="false">I170/$R$3</f>
        <v>0</v>
      </c>
      <c r="V170" s="126" t="n">
        <f aca="false">M170/$R$3</f>
        <v>0</v>
      </c>
      <c r="W170" s="126" t="n">
        <f aca="false">N170/$R$3</f>
        <v>-1376.857</v>
      </c>
    </row>
    <row r="171" customFormat="false" ht="12.75" hidden="false" customHeight="false" outlineLevel="0" collapsed="false">
      <c r="A171" s="120" t="n">
        <f aca="false">A170+1</f>
        <v>37057</v>
      </c>
      <c r="B171" s="131" t="str">
        <f aca="false">INDEX('[4]Master Data'!$A$2:$B$8,MATCH(WEEKDAY('TBS CRD MTM'!A171,3),'[4]Master Data'!$A$2:$A$8,0),2)</f>
        <v>F</v>
      </c>
      <c r="D171" s="124" t="n">
        <v>0</v>
      </c>
      <c r="E171" s="124" t="n">
        <v>0</v>
      </c>
      <c r="F171" s="124" t="n">
        <v>0</v>
      </c>
      <c r="G171" s="124" t="n">
        <v>0</v>
      </c>
      <c r="I171" s="124" t="n">
        <f aca="false">IF(MONTH($A171)=MONTH($A170),IF(G171=0,I170,G171),G171)</f>
        <v>0</v>
      </c>
      <c r="J171" s="124" t="n">
        <f aca="false">IF(MONTH($A171)=MONTH($A170),SUM(I171-I170),I171)</f>
        <v>0</v>
      </c>
      <c r="K171" s="124" t="n">
        <f aca="false">IF(WEEKDAY(A171,3)&gt;4,0,(IF(A171&lt;K$2,0,IF(A171&lt;=K$3,1,0))))</f>
        <v>0</v>
      </c>
      <c r="L171" s="124" t="n">
        <f aca="false">J171*K171</f>
        <v>0</v>
      </c>
      <c r="M171" s="124" t="n">
        <f aca="false">SUM(J$97:J171)</f>
        <v>0</v>
      </c>
      <c r="N171" s="124" t="n">
        <f aca="false">SUM(J$6:J171)</f>
        <v>-1376857</v>
      </c>
      <c r="P171" s="148" t="n">
        <f aca="false">D171/P$3</f>
        <v>0</v>
      </c>
      <c r="Q171" s="124" t="n">
        <f aca="false">E171/P$3</f>
        <v>0</v>
      </c>
      <c r="R171" s="124" t="n">
        <f aca="false">F171/R$3</f>
        <v>0</v>
      </c>
      <c r="S171" s="126" t="n">
        <f aca="false">J171/$R$3</f>
        <v>0</v>
      </c>
      <c r="T171" s="126" t="n">
        <f aca="false">L171/$R$3</f>
        <v>0</v>
      </c>
      <c r="U171" s="126" t="n">
        <f aca="false">I171/$R$3</f>
        <v>0</v>
      </c>
      <c r="V171" s="126" t="n">
        <f aca="false">M171/$R$3</f>
        <v>0</v>
      </c>
      <c r="W171" s="126" t="n">
        <f aca="false">N171/$R$3</f>
        <v>-1376.857</v>
      </c>
    </row>
    <row r="172" customFormat="false" ht="12.75" hidden="false" customHeight="false" outlineLevel="0" collapsed="false">
      <c r="A172" s="120" t="n">
        <f aca="false">A171+1</f>
        <v>37058</v>
      </c>
      <c r="B172" s="131" t="str">
        <f aca="false">INDEX('[4]Master Data'!$A$2:$B$8,MATCH(WEEKDAY('TBS CRD MTM'!A172,3),'[4]Master Data'!$A$2:$A$8,0),2)</f>
        <v>Sa</v>
      </c>
      <c r="D172" s="124" t="n">
        <v>0</v>
      </c>
      <c r="E172" s="124" t="n">
        <v>0</v>
      </c>
      <c r="F172" s="124" t="n">
        <v>0</v>
      </c>
      <c r="G172" s="124" t="n">
        <v>0</v>
      </c>
      <c r="I172" s="124" t="n">
        <f aca="false">IF(MONTH($A172)=MONTH($A171),IF(G172=0,I171,G172),G172)</f>
        <v>0</v>
      </c>
      <c r="J172" s="124" t="n">
        <f aca="false">IF(MONTH($A172)=MONTH($A171),SUM(I172-I171),I172)</f>
        <v>0</v>
      </c>
      <c r="K172" s="124" t="n">
        <f aca="false">IF(WEEKDAY(A172,3)&gt;4,0,(IF(A172&lt;K$2,0,IF(A172&lt;=K$3,1,0))))</f>
        <v>0</v>
      </c>
      <c r="L172" s="124" t="n">
        <f aca="false">J172*K172</f>
        <v>0</v>
      </c>
      <c r="M172" s="124" t="n">
        <f aca="false">SUM(J$97:J172)</f>
        <v>0</v>
      </c>
      <c r="N172" s="124" t="n">
        <f aca="false">SUM(J$6:J172)</f>
        <v>-1376857</v>
      </c>
      <c r="P172" s="148" t="n">
        <f aca="false">D172/P$3</f>
        <v>0</v>
      </c>
      <c r="Q172" s="124" t="n">
        <f aca="false">E172/P$3</f>
        <v>0</v>
      </c>
      <c r="R172" s="124" t="n">
        <f aca="false">F172/R$3</f>
        <v>0</v>
      </c>
      <c r="S172" s="126" t="n">
        <f aca="false">J172/$R$3</f>
        <v>0</v>
      </c>
      <c r="T172" s="126" t="n">
        <f aca="false">L172/$R$3</f>
        <v>0</v>
      </c>
      <c r="U172" s="126" t="n">
        <f aca="false">I172/$R$3</f>
        <v>0</v>
      </c>
      <c r="V172" s="126" t="n">
        <f aca="false">M172/$R$3</f>
        <v>0</v>
      </c>
      <c r="W172" s="126" t="n">
        <f aca="false">N172/$R$3</f>
        <v>-1376.857</v>
      </c>
    </row>
    <row r="173" customFormat="false" ht="12.75" hidden="false" customHeight="false" outlineLevel="0" collapsed="false">
      <c r="A173" s="120" t="n">
        <f aca="false">A172+1</f>
        <v>37059</v>
      </c>
      <c r="B173" s="131" t="str">
        <f aca="false">INDEX('[4]Master Data'!$A$2:$B$8,MATCH(WEEKDAY('TBS CRD MTM'!A173,3),'[4]Master Data'!$A$2:$A$8,0),2)</f>
        <v>Su</v>
      </c>
      <c r="D173" s="124" t="n">
        <v>0</v>
      </c>
      <c r="E173" s="124" t="n">
        <v>0</v>
      </c>
      <c r="F173" s="124" t="n">
        <v>0</v>
      </c>
      <c r="G173" s="124" t="n">
        <v>0</v>
      </c>
      <c r="I173" s="124" t="n">
        <f aca="false">IF(MONTH($A173)=MONTH($A172),IF(G173=0,I172,G173),G173)</f>
        <v>0</v>
      </c>
      <c r="J173" s="124" t="n">
        <f aca="false">IF(MONTH($A173)=MONTH($A172),SUM(I173-I172),I173)</f>
        <v>0</v>
      </c>
      <c r="K173" s="124" t="n">
        <f aca="false">IF(WEEKDAY(A173,3)&gt;4,0,(IF(A173&lt;K$2,0,IF(A173&lt;=K$3,1,0))))</f>
        <v>0</v>
      </c>
      <c r="L173" s="124" t="n">
        <f aca="false">J173*K173</f>
        <v>0</v>
      </c>
      <c r="M173" s="124" t="n">
        <f aca="false">SUM(J$97:J173)</f>
        <v>0</v>
      </c>
      <c r="N173" s="124" t="n">
        <f aca="false">SUM(J$6:J173)</f>
        <v>-1376857</v>
      </c>
      <c r="P173" s="148" t="n">
        <f aca="false">D173/P$3</f>
        <v>0</v>
      </c>
      <c r="Q173" s="124" t="n">
        <f aca="false">E173/P$3</f>
        <v>0</v>
      </c>
      <c r="R173" s="124" t="n">
        <f aca="false">F173/R$3</f>
        <v>0</v>
      </c>
      <c r="S173" s="126" t="n">
        <f aca="false">J173/$R$3</f>
        <v>0</v>
      </c>
      <c r="T173" s="126" t="n">
        <f aca="false">L173/$R$3</f>
        <v>0</v>
      </c>
      <c r="U173" s="126" t="n">
        <f aca="false">I173/$R$3</f>
        <v>0</v>
      </c>
      <c r="V173" s="126" t="n">
        <f aca="false">M173/$R$3</f>
        <v>0</v>
      </c>
      <c r="W173" s="126" t="n">
        <f aca="false">N173/$R$3</f>
        <v>-1376.857</v>
      </c>
    </row>
    <row r="174" customFormat="false" ht="12.75" hidden="false" customHeight="false" outlineLevel="0" collapsed="false">
      <c r="A174" s="120" t="n">
        <f aca="false">A173+1</f>
        <v>37060</v>
      </c>
      <c r="B174" s="131" t="str">
        <f aca="false">INDEX('[4]Master Data'!$A$2:$B$8,MATCH(WEEKDAY('TBS CRD MTM'!A174,3),'[4]Master Data'!$A$2:$A$8,0),2)</f>
        <v>M</v>
      </c>
      <c r="D174" s="124" t="n">
        <v>0</v>
      </c>
      <c r="E174" s="124" t="n">
        <v>0</v>
      </c>
      <c r="F174" s="124" t="n">
        <v>0</v>
      </c>
      <c r="G174" s="124" t="n">
        <v>0</v>
      </c>
      <c r="I174" s="124" t="n">
        <f aca="false">IF(MONTH($A174)=MONTH($A173),IF(G174=0,I173,G174),G174)</f>
        <v>0</v>
      </c>
      <c r="J174" s="124" t="n">
        <f aca="false">IF(MONTH($A174)=MONTH($A173),SUM(I174-I173),I174)</f>
        <v>0</v>
      </c>
      <c r="K174" s="124" t="n">
        <f aca="false">IF(WEEKDAY(A174,3)&gt;4,0,(IF(A174&lt;K$2,0,IF(A174&lt;=K$3,1,0))))</f>
        <v>0</v>
      </c>
      <c r="L174" s="124" t="n">
        <f aca="false">J174*K174</f>
        <v>0</v>
      </c>
      <c r="M174" s="124" t="n">
        <f aca="false">SUM(J$97:J174)</f>
        <v>0</v>
      </c>
      <c r="N174" s="124" t="n">
        <f aca="false">SUM(J$6:J174)</f>
        <v>-1376857</v>
      </c>
      <c r="P174" s="148" t="n">
        <f aca="false">D174/P$3</f>
        <v>0</v>
      </c>
      <c r="Q174" s="124" t="n">
        <f aca="false">E174/P$3</f>
        <v>0</v>
      </c>
      <c r="R174" s="124" t="n">
        <f aca="false">F174/R$3</f>
        <v>0</v>
      </c>
      <c r="S174" s="126" t="n">
        <f aca="false">J174/$R$3</f>
        <v>0</v>
      </c>
      <c r="T174" s="126" t="n">
        <f aca="false">L174/$R$3</f>
        <v>0</v>
      </c>
      <c r="U174" s="126" t="n">
        <f aca="false">I174/$R$3</f>
        <v>0</v>
      </c>
      <c r="V174" s="126" t="n">
        <f aca="false">M174/$R$3</f>
        <v>0</v>
      </c>
      <c r="W174" s="126" t="n">
        <f aca="false">N174/$R$3</f>
        <v>-1376.857</v>
      </c>
    </row>
    <row r="175" customFormat="false" ht="12.75" hidden="false" customHeight="false" outlineLevel="0" collapsed="false">
      <c r="A175" s="120" t="n">
        <f aca="false">A174+1</f>
        <v>37061</v>
      </c>
      <c r="B175" s="131" t="str">
        <f aca="false">INDEX('[4]Master Data'!$A$2:$B$8,MATCH(WEEKDAY('TBS CRD MTM'!A175,3),'[4]Master Data'!$A$2:$A$8,0),2)</f>
        <v>T</v>
      </c>
      <c r="D175" s="124" t="n">
        <v>0</v>
      </c>
      <c r="E175" s="124" t="n">
        <v>0</v>
      </c>
      <c r="F175" s="124" t="n">
        <v>0</v>
      </c>
      <c r="G175" s="124" t="n">
        <v>0</v>
      </c>
      <c r="I175" s="124" t="n">
        <f aca="false">IF(MONTH($A175)=MONTH($A174),IF(G175=0,I174,G175),G175)</f>
        <v>0</v>
      </c>
      <c r="J175" s="124" t="n">
        <f aca="false">IF(MONTH($A175)=MONTH($A174),SUM(I175-I174),I175)</f>
        <v>0</v>
      </c>
      <c r="K175" s="124" t="n">
        <f aca="false">IF(WEEKDAY(A175,3)&gt;4,0,(IF(A175&lt;K$2,0,IF(A175&lt;=K$3,1,0))))</f>
        <v>0</v>
      </c>
      <c r="L175" s="124" t="n">
        <f aca="false">J175*K175</f>
        <v>0</v>
      </c>
      <c r="M175" s="124" t="n">
        <f aca="false">SUM(J$97:J175)</f>
        <v>0</v>
      </c>
      <c r="N175" s="124" t="n">
        <f aca="false">SUM(J$6:J175)</f>
        <v>-1376857</v>
      </c>
      <c r="P175" s="148" t="n">
        <f aca="false">D175/P$3</f>
        <v>0</v>
      </c>
      <c r="Q175" s="124" t="n">
        <f aca="false">E175/P$3</f>
        <v>0</v>
      </c>
      <c r="R175" s="124" t="n">
        <f aca="false">F175/R$3</f>
        <v>0</v>
      </c>
      <c r="S175" s="126" t="n">
        <f aca="false">J175/$R$3</f>
        <v>0</v>
      </c>
      <c r="T175" s="126" t="n">
        <f aca="false">L175/$R$3</f>
        <v>0</v>
      </c>
      <c r="U175" s="126" t="n">
        <f aca="false">I175/$R$3</f>
        <v>0</v>
      </c>
      <c r="V175" s="126" t="n">
        <f aca="false">M175/$R$3</f>
        <v>0</v>
      </c>
      <c r="W175" s="126" t="n">
        <f aca="false">N175/$R$3</f>
        <v>-1376.857</v>
      </c>
    </row>
    <row r="176" customFormat="false" ht="12.75" hidden="false" customHeight="false" outlineLevel="0" collapsed="false">
      <c r="A176" s="120" t="n">
        <f aca="false">A175+1</f>
        <v>37062</v>
      </c>
      <c r="B176" s="131" t="str">
        <f aca="false">INDEX('[4]Master Data'!$A$2:$B$8,MATCH(WEEKDAY('TBS CRD MTM'!A176,3),'[4]Master Data'!$A$2:$A$8,0),2)</f>
        <v>W</v>
      </c>
      <c r="D176" s="124" t="n">
        <v>0</v>
      </c>
      <c r="E176" s="124" t="n">
        <v>0</v>
      </c>
      <c r="F176" s="124" t="n">
        <v>0</v>
      </c>
      <c r="G176" s="124" t="n">
        <v>0</v>
      </c>
      <c r="I176" s="124" t="n">
        <f aca="false">IF(MONTH($A176)=MONTH($A175),IF(G176=0,I175,G176),G176)</f>
        <v>0</v>
      </c>
      <c r="J176" s="124" t="n">
        <f aca="false">IF(MONTH($A176)=MONTH($A175),SUM(I176-I175),I176)</f>
        <v>0</v>
      </c>
      <c r="K176" s="124" t="n">
        <f aca="false">IF(WEEKDAY(A176,3)&gt;4,0,(IF(A176&lt;K$2,0,IF(A176&lt;=K$3,1,0))))</f>
        <v>0</v>
      </c>
      <c r="L176" s="124" t="n">
        <f aca="false">J176*K176</f>
        <v>0</v>
      </c>
      <c r="M176" s="124" t="n">
        <f aca="false">SUM(J$97:J176)</f>
        <v>0</v>
      </c>
      <c r="N176" s="124" t="n">
        <f aca="false">SUM(J$6:J176)</f>
        <v>-1376857</v>
      </c>
      <c r="P176" s="148" t="n">
        <f aca="false">D176/P$3</f>
        <v>0</v>
      </c>
      <c r="Q176" s="124" t="n">
        <f aca="false">E176/P$3</f>
        <v>0</v>
      </c>
      <c r="R176" s="124" t="n">
        <f aca="false">F176/R$3</f>
        <v>0</v>
      </c>
      <c r="S176" s="126" t="n">
        <f aca="false">J176/$R$3</f>
        <v>0</v>
      </c>
      <c r="T176" s="126" t="n">
        <f aca="false">L176/$R$3</f>
        <v>0</v>
      </c>
      <c r="U176" s="126" t="n">
        <f aca="false">I176/$R$3</f>
        <v>0</v>
      </c>
      <c r="V176" s="126" t="n">
        <f aca="false">M176/$R$3</f>
        <v>0</v>
      </c>
      <c r="W176" s="126" t="n">
        <f aca="false">N176/$R$3</f>
        <v>-1376.857</v>
      </c>
    </row>
    <row r="177" customFormat="false" ht="12.75" hidden="false" customHeight="false" outlineLevel="0" collapsed="false">
      <c r="A177" s="120" t="n">
        <f aca="false">A176+1</f>
        <v>37063</v>
      </c>
      <c r="B177" s="131" t="str">
        <f aca="false">INDEX('[4]Master Data'!$A$2:$B$8,MATCH(WEEKDAY('TBS CRD MTM'!A177,3),'[4]Master Data'!$A$2:$A$8,0),2)</f>
        <v>Th</v>
      </c>
      <c r="D177" s="124" t="n">
        <v>0</v>
      </c>
      <c r="E177" s="124" t="n">
        <v>0</v>
      </c>
      <c r="F177" s="124" t="n">
        <v>0</v>
      </c>
      <c r="G177" s="124" t="n">
        <v>0</v>
      </c>
      <c r="I177" s="124" t="n">
        <f aca="false">IF(MONTH($A177)=MONTH($A176),IF(G177=0,I176,G177),G177)</f>
        <v>0</v>
      </c>
      <c r="J177" s="124" t="n">
        <f aca="false">IF(MONTH($A177)=MONTH($A176),SUM(I177-I176),I177)</f>
        <v>0</v>
      </c>
      <c r="K177" s="124" t="n">
        <f aca="false">IF(WEEKDAY(A177,3)&gt;4,0,(IF(A177&lt;K$2,0,IF(A177&lt;=K$3,1,0))))</f>
        <v>0</v>
      </c>
      <c r="L177" s="124" t="n">
        <f aca="false">J177*K177</f>
        <v>0</v>
      </c>
      <c r="M177" s="124" t="n">
        <f aca="false">SUM(J$97:J177)</f>
        <v>0</v>
      </c>
      <c r="N177" s="124" t="n">
        <f aca="false">SUM(J$6:J177)</f>
        <v>-1376857</v>
      </c>
      <c r="P177" s="148" t="n">
        <f aca="false">D177/P$3</f>
        <v>0</v>
      </c>
      <c r="Q177" s="124" t="n">
        <f aca="false">E177/P$3</f>
        <v>0</v>
      </c>
      <c r="R177" s="124" t="n">
        <f aca="false">F177/R$3</f>
        <v>0</v>
      </c>
      <c r="S177" s="126" t="n">
        <f aca="false">J177/$R$3</f>
        <v>0</v>
      </c>
      <c r="T177" s="126" t="n">
        <f aca="false">L177/$R$3</f>
        <v>0</v>
      </c>
      <c r="U177" s="126" t="n">
        <f aca="false">I177/$R$3</f>
        <v>0</v>
      </c>
      <c r="V177" s="126" t="n">
        <f aca="false">M177/$R$3</f>
        <v>0</v>
      </c>
      <c r="W177" s="126" t="n">
        <f aca="false">N177/$R$3</f>
        <v>-1376.857</v>
      </c>
    </row>
    <row r="178" customFormat="false" ht="12.75" hidden="false" customHeight="false" outlineLevel="0" collapsed="false">
      <c r="A178" s="120" t="n">
        <f aca="false">A177+1</f>
        <v>37064</v>
      </c>
      <c r="B178" s="131" t="str">
        <f aca="false">INDEX('[4]Master Data'!$A$2:$B$8,MATCH(WEEKDAY('TBS CRD MTM'!A178,3),'[4]Master Data'!$A$2:$A$8,0),2)</f>
        <v>F</v>
      </c>
      <c r="D178" s="124" t="n">
        <v>0</v>
      </c>
      <c r="E178" s="124" t="n">
        <v>0</v>
      </c>
      <c r="F178" s="124" t="n">
        <v>0</v>
      </c>
      <c r="G178" s="124" t="n">
        <v>0</v>
      </c>
      <c r="I178" s="124" t="n">
        <f aca="false">IF(MONTH($A178)=MONTH($A177),IF(G178=0,I177,G178),G178)</f>
        <v>0</v>
      </c>
      <c r="J178" s="124" t="n">
        <f aca="false">IF(MONTH($A178)=MONTH($A177),SUM(I178-I177),I178)</f>
        <v>0</v>
      </c>
      <c r="K178" s="124" t="n">
        <f aca="false">IF(WEEKDAY(A178,3)&gt;4,0,(IF(A178&lt;K$2,0,IF(A178&lt;=K$3,1,0))))</f>
        <v>0</v>
      </c>
      <c r="L178" s="124" t="n">
        <f aca="false">J178*K178</f>
        <v>0</v>
      </c>
      <c r="M178" s="124" t="n">
        <f aca="false">SUM(J$97:J178)</f>
        <v>0</v>
      </c>
      <c r="N178" s="124" t="n">
        <f aca="false">SUM(J$6:J178)</f>
        <v>-1376857</v>
      </c>
      <c r="P178" s="148" t="n">
        <f aca="false">D178/P$3</f>
        <v>0</v>
      </c>
      <c r="Q178" s="124" t="n">
        <f aca="false">E178/P$3</f>
        <v>0</v>
      </c>
      <c r="R178" s="124" t="n">
        <f aca="false">F178/R$3</f>
        <v>0</v>
      </c>
      <c r="S178" s="126" t="n">
        <f aca="false">J178/$R$3</f>
        <v>0</v>
      </c>
      <c r="T178" s="126" t="n">
        <f aca="false">L178/$R$3</f>
        <v>0</v>
      </c>
      <c r="U178" s="126" t="n">
        <f aca="false">I178/$R$3</f>
        <v>0</v>
      </c>
      <c r="V178" s="126" t="n">
        <f aca="false">M178/$R$3</f>
        <v>0</v>
      </c>
      <c r="W178" s="126" t="n">
        <f aca="false">N178/$R$3</f>
        <v>-1376.857</v>
      </c>
    </row>
    <row r="179" customFormat="false" ht="12.75" hidden="false" customHeight="false" outlineLevel="0" collapsed="false">
      <c r="A179" s="120" t="n">
        <f aca="false">A178+1</f>
        <v>37065</v>
      </c>
      <c r="B179" s="131" t="str">
        <f aca="false">INDEX('[4]Master Data'!$A$2:$B$8,MATCH(WEEKDAY('TBS CRD MTM'!A179,3),'[4]Master Data'!$A$2:$A$8,0),2)</f>
        <v>Sa</v>
      </c>
      <c r="D179" s="124" t="n">
        <v>0</v>
      </c>
      <c r="E179" s="124" t="n">
        <v>0</v>
      </c>
      <c r="F179" s="124" t="n">
        <v>0</v>
      </c>
      <c r="G179" s="124" t="n">
        <v>0</v>
      </c>
      <c r="I179" s="124" t="n">
        <f aca="false">IF(MONTH($A179)=MONTH($A178),IF(G179=0,I178,G179),G179)</f>
        <v>0</v>
      </c>
      <c r="J179" s="124" t="n">
        <f aca="false">IF(MONTH($A179)=MONTH($A178),SUM(I179-I178),I179)</f>
        <v>0</v>
      </c>
      <c r="K179" s="124" t="n">
        <f aca="false">IF(WEEKDAY(A179,3)&gt;4,0,(IF(A179&lt;K$2,0,IF(A179&lt;=K$3,1,0))))</f>
        <v>0</v>
      </c>
      <c r="L179" s="124" t="n">
        <f aca="false">J179*K179</f>
        <v>0</v>
      </c>
      <c r="M179" s="124" t="n">
        <f aca="false">SUM(J$97:J179)</f>
        <v>0</v>
      </c>
      <c r="N179" s="124" t="n">
        <f aca="false">SUM(J$6:J179)</f>
        <v>-1376857</v>
      </c>
      <c r="P179" s="148" t="n">
        <f aca="false">D179/P$3</f>
        <v>0</v>
      </c>
      <c r="Q179" s="124" t="n">
        <f aca="false">E179/P$3</f>
        <v>0</v>
      </c>
      <c r="R179" s="124" t="n">
        <f aca="false">F179/R$3</f>
        <v>0</v>
      </c>
      <c r="S179" s="126" t="n">
        <f aca="false">J179/$R$3</f>
        <v>0</v>
      </c>
      <c r="T179" s="126" t="n">
        <f aca="false">L179/$R$3</f>
        <v>0</v>
      </c>
      <c r="U179" s="126" t="n">
        <f aca="false">I179/$R$3</f>
        <v>0</v>
      </c>
      <c r="V179" s="126" t="n">
        <f aca="false">M179/$R$3</f>
        <v>0</v>
      </c>
      <c r="W179" s="126" t="n">
        <f aca="false">N179/$R$3</f>
        <v>-1376.857</v>
      </c>
    </row>
    <row r="180" customFormat="false" ht="12.75" hidden="false" customHeight="false" outlineLevel="0" collapsed="false">
      <c r="A180" s="120" t="n">
        <f aca="false">A179+1</f>
        <v>37066</v>
      </c>
      <c r="B180" s="131" t="str">
        <f aca="false">INDEX('[4]Master Data'!$A$2:$B$8,MATCH(WEEKDAY('TBS CRD MTM'!A180,3),'[4]Master Data'!$A$2:$A$8,0),2)</f>
        <v>Su</v>
      </c>
      <c r="D180" s="124" t="n">
        <v>0</v>
      </c>
      <c r="E180" s="124" t="n">
        <v>0</v>
      </c>
      <c r="F180" s="124" t="n">
        <v>0</v>
      </c>
      <c r="G180" s="124" t="n">
        <v>0</v>
      </c>
      <c r="I180" s="124" t="n">
        <f aca="false">IF(MONTH($A180)=MONTH($A179),IF(G180=0,I179,G180),G180)</f>
        <v>0</v>
      </c>
      <c r="J180" s="124" t="n">
        <f aca="false">IF(MONTH($A180)=MONTH($A179),SUM(I180-I179),I180)</f>
        <v>0</v>
      </c>
      <c r="K180" s="124" t="n">
        <f aca="false">IF(WEEKDAY(A180,3)&gt;4,0,(IF(A180&lt;K$2,0,IF(A180&lt;=K$3,1,0))))</f>
        <v>0</v>
      </c>
      <c r="L180" s="124" t="n">
        <f aca="false">J180*K180</f>
        <v>0</v>
      </c>
      <c r="M180" s="124" t="n">
        <f aca="false">SUM(J$97:J180)</f>
        <v>0</v>
      </c>
      <c r="N180" s="124" t="n">
        <f aca="false">SUM(J$6:J180)</f>
        <v>-1376857</v>
      </c>
      <c r="P180" s="148" t="n">
        <f aca="false">D180/P$3</f>
        <v>0</v>
      </c>
      <c r="Q180" s="124" t="n">
        <f aca="false">E180/P$3</f>
        <v>0</v>
      </c>
      <c r="R180" s="124" t="n">
        <f aca="false">F180/R$3</f>
        <v>0</v>
      </c>
      <c r="S180" s="126" t="n">
        <f aca="false">J180/$R$3</f>
        <v>0</v>
      </c>
      <c r="T180" s="126" t="n">
        <f aca="false">L180/$R$3</f>
        <v>0</v>
      </c>
      <c r="U180" s="126" t="n">
        <f aca="false">I180/$R$3</f>
        <v>0</v>
      </c>
      <c r="V180" s="126" t="n">
        <f aca="false">M180/$R$3</f>
        <v>0</v>
      </c>
      <c r="W180" s="126" t="n">
        <f aca="false">N180/$R$3</f>
        <v>-1376.857</v>
      </c>
    </row>
    <row r="181" customFormat="false" ht="12.75" hidden="false" customHeight="false" outlineLevel="0" collapsed="false">
      <c r="A181" s="120" t="n">
        <f aca="false">A180+1</f>
        <v>37067</v>
      </c>
      <c r="B181" s="131" t="str">
        <f aca="false">INDEX('[4]Master Data'!$A$2:$B$8,MATCH(WEEKDAY('TBS CRD MTM'!A181,3),'[4]Master Data'!$A$2:$A$8,0),2)</f>
        <v>M</v>
      </c>
      <c r="D181" s="124" t="n">
        <v>0</v>
      </c>
      <c r="E181" s="124" t="n">
        <v>0</v>
      </c>
      <c r="F181" s="124" t="n">
        <v>0</v>
      </c>
      <c r="G181" s="124" t="n">
        <v>0</v>
      </c>
      <c r="I181" s="124" t="n">
        <f aca="false">IF(MONTH($A181)=MONTH($A180),IF(G181=0,I180,G181),G181)</f>
        <v>0</v>
      </c>
      <c r="J181" s="124" t="n">
        <f aca="false">IF(MONTH($A181)=MONTH($A180),SUM(I181-I180),I181)</f>
        <v>0</v>
      </c>
      <c r="K181" s="124" t="n">
        <f aca="false">IF(WEEKDAY(A181,3)&gt;4,0,(IF(A181&lt;K$2,0,IF(A181&lt;=K$3,1,0))))</f>
        <v>0</v>
      </c>
      <c r="L181" s="124" t="n">
        <f aca="false">J181*K181</f>
        <v>0</v>
      </c>
      <c r="M181" s="124" t="n">
        <f aca="false">SUM(J$97:J181)</f>
        <v>0</v>
      </c>
      <c r="N181" s="124" t="n">
        <f aca="false">SUM(J$6:J181)</f>
        <v>-1376857</v>
      </c>
      <c r="P181" s="148" t="n">
        <f aca="false">D181/P$3</f>
        <v>0</v>
      </c>
      <c r="Q181" s="124" t="n">
        <f aca="false">E181/P$3</f>
        <v>0</v>
      </c>
      <c r="R181" s="124" t="n">
        <f aca="false">F181/R$3</f>
        <v>0</v>
      </c>
      <c r="S181" s="126" t="n">
        <f aca="false">J181/$R$3</f>
        <v>0</v>
      </c>
      <c r="T181" s="126" t="n">
        <f aca="false">L181/$R$3</f>
        <v>0</v>
      </c>
      <c r="U181" s="126" t="n">
        <f aca="false">I181/$R$3</f>
        <v>0</v>
      </c>
      <c r="V181" s="126" t="n">
        <f aca="false">M181/$R$3</f>
        <v>0</v>
      </c>
      <c r="W181" s="126" t="n">
        <f aca="false">N181/$R$3</f>
        <v>-1376.857</v>
      </c>
    </row>
    <row r="182" customFormat="false" ht="12.75" hidden="false" customHeight="false" outlineLevel="0" collapsed="false">
      <c r="A182" s="120" t="n">
        <f aca="false">A181+1</f>
        <v>37068</v>
      </c>
      <c r="B182" s="131" t="str">
        <f aca="false">INDEX('[4]Master Data'!$A$2:$B$8,MATCH(WEEKDAY('TBS CRD MTM'!A182,3),'[4]Master Data'!$A$2:$A$8,0),2)</f>
        <v>T</v>
      </c>
      <c r="D182" s="124" t="n">
        <v>0</v>
      </c>
      <c r="E182" s="124" t="n">
        <v>0</v>
      </c>
      <c r="F182" s="124" t="n">
        <v>0</v>
      </c>
      <c r="G182" s="124" t="n">
        <v>0</v>
      </c>
      <c r="I182" s="124" t="n">
        <f aca="false">IF(MONTH($A182)=MONTH($A181),IF(G182=0,I181,G182),G182)</f>
        <v>0</v>
      </c>
      <c r="J182" s="124" t="n">
        <f aca="false">IF(MONTH($A182)=MONTH($A181),SUM(I182-I181),I182)</f>
        <v>0</v>
      </c>
      <c r="K182" s="124" t="n">
        <f aca="false">IF(WEEKDAY(A182,3)&gt;4,0,(IF(A182&lt;K$2,0,IF(A182&lt;=K$3,1,0))))</f>
        <v>0</v>
      </c>
      <c r="L182" s="124" t="n">
        <f aca="false">J182*K182</f>
        <v>0</v>
      </c>
      <c r="M182" s="124" t="n">
        <f aca="false">SUM(J$97:J182)</f>
        <v>0</v>
      </c>
      <c r="N182" s="124" t="n">
        <f aca="false">SUM(J$6:J182)</f>
        <v>-1376857</v>
      </c>
      <c r="P182" s="148" t="n">
        <f aca="false">D182/P$3</f>
        <v>0</v>
      </c>
      <c r="Q182" s="124" t="n">
        <f aca="false">E182/P$3</f>
        <v>0</v>
      </c>
      <c r="R182" s="124" t="n">
        <f aca="false">F182/R$3</f>
        <v>0</v>
      </c>
      <c r="S182" s="126" t="n">
        <f aca="false">J182/$R$3</f>
        <v>0</v>
      </c>
      <c r="T182" s="126" t="n">
        <f aca="false">L182/$R$3</f>
        <v>0</v>
      </c>
      <c r="U182" s="126" t="n">
        <f aca="false">I182/$R$3</f>
        <v>0</v>
      </c>
      <c r="V182" s="126" t="n">
        <f aca="false">M182/$R$3</f>
        <v>0</v>
      </c>
      <c r="W182" s="126" t="n">
        <f aca="false">N182/$R$3</f>
        <v>-1376.857</v>
      </c>
    </row>
    <row r="183" customFormat="false" ht="12.75" hidden="false" customHeight="false" outlineLevel="0" collapsed="false">
      <c r="A183" s="120" t="n">
        <f aca="false">A182+1</f>
        <v>37069</v>
      </c>
      <c r="B183" s="131" t="str">
        <f aca="false">INDEX('[4]Master Data'!$A$2:$B$8,MATCH(WEEKDAY('TBS CRD MTM'!A183,3),'[4]Master Data'!$A$2:$A$8,0),2)</f>
        <v>W</v>
      </c>
      <c r="D183" s="124" t="n">
        <v>0</v>
      </c>
      <c r="E183" s="124" t="n">
        <v>0</v>
      </c>
      <c r="F183" s="124" t="n">
        <v>0</v>
      </c>
      <c r="G183" s="124" t="n">
        <v>0</v>
      </c>
      <c r="I183" s="124" t="n">
        <f aca="false">IF(MONTH($A183)=MONTH($A182),IF(G183=0,I182,G183),G183)</f>
        <v>0</v>
      </c>
      <c r="J183" s="124" t="n">
        <f aca="false">IF(MONTH($A183)=MONTH($A182),SUM(I183-I182),I183)</f>
        <v>0</v>
      </c>
      <c r="K183" s="124" t="n">
        <f aca="false">IF(WEEKDAY(A183,3)&gt;4,0,(IF(A183&lt;K$2,0,IF(A183&lt;=K$3,1,0))))</f>
        <v>0</v>
      </c>
      <c r="L183" s="124" t="n">
        <f aca="false">J183*K183</f>
        <v>0</v>
      </c>
      <c r="M183" s="124" t="n">
        <f aca="false">SUM(J$97:J183)</f>
        <v>0</v>
      </c>
      <c r="N183" s="124" t="n">
        <f aca="false">SUM(J$6:J183)</f>
        <v>-1376857</v>
      </c>
      <c r="P183" s="148" t="n">
        <f aca="false">D183/P$3</f>
        <v>0</v>
      </c>
      <c r="Q183" s="124" t="n">
        <f aca="false">E183/P$3</f>
        <v>0</v>
      </c>
      <c r="R183" s="124" t="n">
        <f aca="false">F183/R$3</f>
        <v>0</v>
      </c>
      <c r="S183" s="126" t="n">
        <f aca="false">J183/$R$3</f>
        <v>0</v>
      </c>
      <c r="T183" s="126" t="n">
        <f aca="false">L183/$R$3</f>
        <v>0</v>
      </c>
      <c r="U183" s="126" t="n">
        <f aca="false">I183/$R$3</f>
        <v>0</v>
      </c>
      <c r="V183" s="126" t="n">
        <f aca="false">M183/$R$3</f>
        <v>0</v>
      </c>
      <c r="W183" s="126" t="n">
        <f aca="false">N183/$R$3</f>
        <v>-1376.857</v>
      </c>
    </row>
    <row r="184" customFormat="false" ht="12.75" hidden="false" customHeight="false" outlineLevel="0" collapsed="false">
      <c r="A184" s="120" t="n">
        <f aca="false">A183+1</f>
        <v>37070</v>
      </c>
      <c r="B184" s="131" t="str">
        <f aca="false">INDEX('[4]Master Data'!$A$2:$B$8,MATCH(WEEKDAY('TBS CRD MTM'!A184,3),'[4]Master Data'!$A$2:$A$8,0),2)</f>
        <v>Th</v>
      </c>
      <c r="D184" s="124" t="n">
        <v>0</v>
      </c>
      <c r="E184" s="124" t="n">
        <v>0</v>
      </c>
      <c r="F184" s="124" t="n">
        <v>0</v>
      </c>
      <c r="G184" s="124" t="n">
        <v>0</v>
      </c>
      <c r="I184" s="124" t="n">
        <f aca="false">IF(MONTH($A184)=MONTH($A183),IF(G184=0,I183,G184),G184)</f>
        <v>0</v>
      </c>
      <c r="J184" s="124" t="n">
        <f aca="false">IF(MONTH($A184)=MONTH($A183),SUM(I184-I183),I184)</f>
        <v>0</v>
      </c>
      <c r="K184" s="124" t="n">
        <f aca="false">IF(WEEKDAY(A184,3)&gt;4,0,(IF(A184&lt;K$2,0,IF(A184&lt;=K$3,1,0))))</f>
        <v>0</v>
      </c>
      <c r="L184" s="124" t="n">
        <f aca="false">J184*K184</f>
        <v>0</v>
      </c>
      <c r="M184" s="124" t="n">
        <f aca="false">SUM(J$97:J184)</f>
        <v>0</v>
      </c>
      <c r="N184" s="124" t="n">
        <f aca="false">SUM(J$6:J184)</f>
        <v>-1376857</v>
      </c>
      <c r="P184" s="148" t="n">
        <f aca="false">D184/P$3</f>
        <v>0</v>
      </c>
      <c r="Q184" s="124" t="n">
        <f aca="false">E184/P$3</f>
        <v>0</v>
      </c>
      <c r="R184" s="124" t="n">
        <f aca="false">F184/R$3</f>
        <v>0</v>
      </c>
      <c r="S184" s="126" t="n">
        <f aca="false">J184/$R$3</f>
        <v>0</v>
      </c>
      <c r="T184" s="126" t="n">
        <f aca="false">L184/$R$3</f>
        <v>0</v>
      </c>
      <c r="U184" s="126" t="n">
        <f aca="false">I184/$R$3</f>
        <v>0</v>
      </c>
      <c r="V184" s="126" t="n">
        <f aca="false">M184/$R$3</f>
        <v>0</v>
      </c>
      <c r="W184" s="126" t="n">
        <f aca="false">N184/$R$3</f>
        <v>-1376.857</v>
      </c>
    </row>
    <row r="185" customFormat="false" ht="12.75" hidden="false" customHeight="false" outlineLevel="0" collapsed="false">
      <c r="A185" s="120" t="n">
        <f aca="false">A184+1</f>
        <v>37071</v>
      </c>
      <c r="B185" s="131" t="str">
        <f aca="false">INDEX('[4]Master Data'!$A$2:$B$8,MATCH(WEEKDAY('TBS CRD MTM'!A185,3),'[4]Master Data'!$A$2:$A$8,0),2)</f>
        <v>F</v>
      </c>
      <c r="D185" s="124" t="n">
        <v>0</v>
      </c>
      <c r="E185" s="124" t="n">
        <v>0</v>
      </c>
      <c r="F185" s="124" t="n">
        <v>0</v>
      </c>
      <c r="G185" s="124" t="n">
        <v>0</v>
      </c>
      <c r="I185" s="124" t="n">
        <f aca="false">IF(MONTH($A185)=MONTH($A184),IF(G185=0,I184,G185),G185)</f>
        <v>0</v>
      </c>
      <c r="J185" s="124" t="n">
        <f aca="false">IF(MONTH($A185)=MONTH($A184),SUM(I185-I184),I185)</f>
        <v>0</v>
      </c>
      <c r="K185" s="124" t="n">
        <f aca="false">IF(WEEKDAY(A185,3)&gt;4,0,(IF(A185&lt;K$2,0,IF(A185&lt;=K$3,1,0))))</f>
        <v>0</v>
      </c>
      <c r="L185" s="124" t="n">
        <f aca="false">J185*K185</f>
        <v>0</v>
      </c>
      <c r="M185" s="124" t="n">
        <f aca="false">SUM(J$97:J185)</f>
        <v>0</v>
      </c>
      <c r="N185" s="124" t="n">
        <f aca="false">SUM(J$6:J185)</f>
        <v>-1376857</v>
      </c>
      <c r="P185" s="148" t="n">
        <f aca="false">D185/P$3</f>
        <v>0</v>
      </c>
      <c r="Q185" s="124" t="n">
        <f aca="false">E185/P$3</f>
        <v>0</v>
      </c>
      <c r="R185" s="124" t="n">
        <f aca="false">F185/R$3</f>
        <v>0</v>
      </c>
      <c r="S185" s="126" t="n">
        <f aca="false">J185/$R$3</f>
        <v>0</v>
      </c>
      <c r="T185" s="126" t="n">
        <f aca="false">L185/$R$3</f>
        <v>0</v>
      </c>
      <c r="U185" s="126" t="n">
        <f aca="false">I185/$R$3</f>
        <v>0</v>
      </c>
      <c r="V185" s="126" t="n">
        <f aca="false">M185/$R$3</f>
        <v>0</v>
      </c>
      <c r="W185" s="126" t="n">
        <f aca="false">N185/$R$3</f>
        <v>-1376.857</v>
      </c>
    </row>
    <row r="186" customFormat="false" ht="12.75" hidden="false" customHeight="false" outlineLevel="0" collapsed="false">
      <c r="A186" s="120" t="n">
        <f aca="false">A185+1</f>
        <v>37072</v>
      </c>
      <c r="B186" s="131" t="str">
        <f aca="false">INDEX('[4]Master Data'!$A$2:$B$8,MATCH(WEEKDAY('TBS CRD MTM'!A186,3),'[4]Master Data'!$A$2:$A$8,0),2)</f>
        <v>Sa</v>
      </c>
      <c r="D186" s="124" t="n">
        <v>0</v>
      </c>
      <c r="E186" s="124" t="n">
        <v>0</v>
      </c>
      <c r="F186" s="124" t="n">
        <v>0</v>
      </c>
      <c r="G186" s="124" t="n">
        <v>0</v>
      </c>
      <c r="I186" s="124" t="n">
        <f aca="false">IF(MONTH($A186)=MONTH($A185),IF(G186=0,I185,G186),G186)</f>
        <v>0</v>
      </c>
      <c r="J186" s="124" t="n">
        <f aca="false">IF(MONTH($A186)=MONTH($A185),SUM(I186-I185),I186)</f>
        <v>0</v>
      </c>
      <c r="K186" s="124" t="n">
        <f aca="false">IF(WEEKDAY(A186,3)&gt;4,0,(IF(A186&lt;K$2,0,IF(A186&lt;=K$3,1,0))))</f>
        <v>0</v>
      </c>
      <c r="L186" s="124" t="n">
        <f aca="false">J186*K186</f>
        <v>0</v>
      </c>
      <c r="M186" s="124" t="n">
        <f aca="false">SUM(J$97:J186)</f>
        <v>0</v>
      </c>
      <c r="N186" s="124" t="n">
        <f aca="false">SUM(J$6:J186)</f>
        <v>-1376857</v>
      </c>
      <c r="P186" s="148" t="n">
        <f aca="false">D186/P$3</f>
        <v>0</v>
      </c>
      <c r="Q186" s="124" t="n">
        <f aca="false">E186/P$3</f>
        <v>0</v>
      </c>
      <c r="R186" s="124" t="n">
        <f aca="false">F186/R$3</f>
        <v>0</v>
      </c>
      <c r="S186" s="126" t="n">
        <f aca="false">J186/$R$3</f>
        <v>0</v>
      </c>
      <c r="T186" s="126" t="n">
        <f aca="false">L186/$R$3</f>
        <v>0</v>
      </c>
      <c r="U186" s="126" t="n">
        <f aca="false">I186/$R$3</f>
        <v>0</v>
      </c>
      <c r="V186" s="126" t="n">
        <f aca="false">M186/$R$3</f>
        <v>0</v>
      </c>
      <c r="W186" s="126" t="n">
        <f aca="false">N186/$R$3</f>
        <v>-1376.857</v>
      </c>
    </row>
    <row r="187" customFormat="false" ht="12.75" hidden="false" customHeight="false" outlineLevel="0" collapsed="false">
      <c r="A187" s="120" t="n">
        <f aca="false">A186+1</f>
        <v>37073</v>
      </c>
      <c r="B187" s="131" t="str">
        <f aca="false">INDEX('[4]Master Data'!$A$2:$B$8,MATCH(WEEKDAY('TBS CRD MTM'!A187,3),'[4]Master Data'!$A$2:$A$8,0),2)</f>
        <v>Su</v>
      </c>
      <c r="D187" s="124" t="n">
        <v>0</v>
      </c>
      <c r="E187" s="124" t="n">
        <v>0</v>
      </c>
      <c r="F187" s="124" t="n">
        <v>0</v>
      </c>
      <c r="G187" s="124" t="n">
        <v>0</v>
      </c>
      <c r="I187" s="124" t="n">
        <f aca="false">IF(MONTH($A187)=MONTH($A186),IF(G187=0,I186,G187),G187)</f>
        <v>0</v>
      </c>
      <c r="J187" s="124" t="n">
        <f aca="false">IF(MONTH($A187)=MONTH($A186),SUM(I187-I186),I187)</f>
        <v>0</v>
      </c>
      <c r="K187" s="124" t="n">
        <f aca="false">IF(WEEKDAY(A187,3)&gt;4,0,(IF(A187&lt;K$2,0,IF(A187&lt;=K$3,1,0))))</f>
        <v>0</v>
      </c>
      <c r="L187" s="124" t="n">
        <f aca="false">J187*K187</f>
        <v>0</v>
      </c>
      <c r="M187" s="124" t="n">
        <f aca="false">SUM(J$97:J187)</f>
        <v>0</v>
      </c>
      <c r="N187" s="124" t="n">
        <f aca="false">SUM(J$6:J187)</f>
        <v>-1376857</v>
      </c>
      <c r="P187" s="148" t="n">
        <f aca="false">D187/P$3</f>
        <v>0</v>
      </c>
      <c r="Q187" s="124" t="n">
        <f aca="false">E187/P$3</f>
        <v>0</v>
      </c>
      <c r="R187" s="124" t="n">
        <f aca="false">F187/R$3</f>
        <v>0</v>
      </c>
      <c r="S187" s="126" t="n">
        <f aca="false">J187/$R$3</f>
        <v>0</v>
      </c>
      <c r="T187" s="126" t="n">
        <f aca="false">L187/$R$3</f>
        <v>0</v>
      </c>
      <c r="U187" s="126" t="n">
        <f aca="false">I187/$R$3</f>
        <v>0</v>
      </c>
      <c r="V187" s="126" t="n">
        <f aca="false">M187/$R$3</f>
        <v>0</v>
      </c>
      <c r="W187" s="126" t="n">
        <f aca="false">N187/$R$3</f>
        <v>-1376.857</v>
      </c>
    </row>
    <row r="188" customFormat="false" ht="12.75" hidden="false" customHeight="false" outlineLevel="0" collapsed="false">
      <c r="A188" s="120" t="n">
        <f aca="false">A187+1</f>
        <v>37074</v>
      </c>
      <c r="B188" s="131" t="str">
        <f aca="false">INDEX('[4]Master Data'!$A$2:$B$8,MATCH(WEEKDAY('TBS CRD MTM'!A188,3),'[4]Master Data'!$A$2:$A$8,0),2)</f>
        <v>M</v>
      </c>
      <c r="D188" s="124" t="n">
        <v>0</v>
      </c>
      <c r="E188" s="124" t="n">
        <v>0</v>
      </c>
      <c r="F188" s="124" t="n">
        <v>0</v>
      </c>
      <c r="G188" s="124" t="n">
        <v>0</v>
      </c>
      <c r="I188" s="124" t="n">
        <f aca="false">IF(MONTH($A188)=MONTH($A187),IF(G188=0,I187,G188),G188)</f>
        <v>0</v>
      </c>
      <c r="J188" s="124" t="n">
        <f aca="false">IF(MONTH($A188)=MONTH($A187),SUM(I188-I187),I188)</f>
        <v>0</v>
      </c>
      <c r="K188" s="124" t="n">
        <f aca="false">IF(WEEKDAY(A188,3)&gt;4,0,(IF(A188&lt;K$2,0,IF(A188&lt;=K$3,1,0))))</f>
        <v>0</v>
      </c>
      <c r="L188" s="124" t="n">
        <f aca="false">J188*K188</f>
        <v>0</v>
      </c>
      <c r="M188" s="124" t="n">
        <f aca="false">SUM(J$188:J188)</f>
        <v>0</v>
      </c>
      <c r="N188" s="124" t="n">
        <f aca="false">SUM(J$6:J188)</f>
        <v>-1376857</v>
      </c>
      <c r="P188" s="148" t="n">
        <f aca="false">D188/P$3</f>
        <v>0</v>
      </c>
      <c r="Q188" s="124" t="n">
        <f aca="false">E188/P$3</f>
        <v>0</v>
      </c>
      <c r="R188" s="124" t="n">
        <f aca="false">F188/R$3</f>
        <v>0</v>
      </c>
      <c r="S188" s="126" t="n">
        <f aca="false">J188/$R$3</f>
        <v>0</v>
      </c>
      <c r="T188" s="126" t="n">
        <f aca="false">L188/$R$3</f>
        <v>0</v>
      </c>
      <c r="U188" s="126" t="n">
        <f aca="false">I188/$R$3</f>
        <v>0</v>
      </c>
      <c r="V188" s="126" t="n">
        <f aca="false">M188/$R$3</f>
        <v>0</v>
      </c>
      <c r="W188" s="126" t="n">
        <f aca="false">N188/$R$3</f>
        <v>-1376.857</v>
      </c>
    </row>
    <row r="189" customFormat="false" ht="12.75" hidden="false" customHeight="false" outlineLevel="0" collapsed="false">
      <c r="A189" s="120" t="n">
        <f aca="false">A188+1</f>
        <v>37075</v>
      </c>
      <c r="B189" s="131" t="str">
        <f aca="false">INDEX('[4]Master Data'!$A$2:$B$8,MATCH(WEEKDAY('TBS CRD MTM'!A189,3),'[4]Master Data'!$A$2:$A$8,0),2)</f>
        <v>T</v>
      </c>
      <c r="D189" s="124" t="n">
        <v>0</v>
      </c>
      <c r="E189" s="124" t="n">
        <v>0</v>
      </c>
      <c r="F189" s="124" t="n">
        <v>0</v>
      </c>
      <c r="G189" s="124" t="n">
        <v>0</v>
      </c>
      <c r="I189" s="124" t="n">
        <f aca="false">IF(MONTH($A189)=MONTH($A188),IF(G189=0,I188,G189),G189)</f>
        <v>0</v>
      </c>
      <c r="J189" s="124" t="n">
        <f aca="false">IF(MONTH($A189)=MONTH($A188),SUM(I189-I188),I189)</f>
        <v>0</v>
      </c>
      <c r="K189" s="124" t="n">
        <f aca="false">IF(WEEKDAY(A189,3)&gt;4,0,(IF(A189&lt;K$2,0,IF(A189&lt;=K$3,1,0))))</f>
        <v>0</v>
      </c>
      <c r="L189" s="124" t="n">
        <f aca="false">J189*K189</f>
        <v>0</v>
      </c>
      <c r="M189" s="124" t="n">
        <f aca="false">SUM(J$188:J189)</f>
        <v>0</v>
      </c>
      <c r="N189" s="124" t="n">
        <f aca="false">SUM(J$6:J189)</f>
        <v>-1376857</v>
      </c>
      <c r="P189" s="148" t="n">
        <f aca="false">D189/P$3</f>
        <v>0</v>
      </c>
      <c r="Q189" s="124" t="n">
        <f aca="false">E189/P$3</f>
        <v>0</v>
      </c>
      <c r="R189" s="124" t="n">
        <f aca="false">F189/R$3</f>
        <v>0</v>
      </c>
      <c r="S189" s="126" t="n">
        <f aca="false">J189/$R$3</f>
        <v>0</v>
      </c>
      <c r="T189" s="126" t="n">
        <f aca="false">L189/$R$3</f>
        <v>0</v>
      </c>
      <c r="U189" s="126" t="n">
        <f aca="false">I189/$R$3</f>
        <v>0</v>
      </c>
      <c r="V189" s="126" t="n">
        <f aca="false">M189/$R$3</f>
        <v>0</v>
      </c>
      <c r="W189" s="126" t="n">
        <f aca="false">N189/$R$3</f>
        <v>-1376.857</v>
      </c>
    </row>
    <row r="190" customFormat="false" ht="12.75" hidden="false" customHeight="false" outlineLevel="0" collapsed="false">
      <c r="A190" s="120" t="n">
        <f aca="false">A189+1</f>
        <v>37076</v>
      </c>
      <c r="B190" s="131" t="str">
        <f aca="false">INDEX('[4]Master Data'!$A$2:$B$8,MATCH(WEEKDAY('TBS CRD MTM'!A190,3),'[4]Master Data'!$A$2:$A$8,0),2)</f>
        <v>W</v>
      </c>
      <c r="D190" s="124" t="n">
        <v>0</v>
      </c>
      <c r="E190" s="124" t="n">
        <v>0</v>
      </c>
      <c r="F190" s="124" t="n">
        <v>0</v>
      </c>
      <c r="G190" s="124" t="n">
        <v>0</v>
      </c>
      <c r="I190" s="124" t="n">
        <f aca="false">IF(MONTH($A190)=MONTH($A189),IF(G190=0,I189,G190),G190)</f>
        <v>0</v>
      </c>
      <c r="J190" s="124" t="n">
        <f aca="false">IF(MONTH($A190)=MONTH($A189),SUM(I190-I189),I190)</f>
        <v>0</v>
      </c>
      <c r="K190" s="124" t="n">
        <f aca="false">IF(WEEKDAY(A190,3)&gt;4,0,(IF(A190&lt;K$2,0,IF(A190&lt;=K$3,1,0))))</f>
        <v>0</v>
      </c>
      <c r="L190" s="124" t="n">
        <f aca="false">J190*K190</f>
        <v>0</v>
      </c>
      <c r="M190" s="124" t="n">
        <f aca="false">SUM(J$188:J190)</f>
        <v>0</v>
      </c>
      <c r="N190" s="124" t="n">
        <f aca="false">SUM(J$6:J190)</f>
        <v>-1376857</v>
      </c>
      <c r="P190" s="148" t="n">
        <f aca="false">D190/P$3</f>
        <v>0</v>
      </c>
      <c r="Q190" s="124" t="n">
        <f aca="false">E190/P$3</f>
        <v>0</v>
      </c>
      <c r="R190" s="124" t="n">
        <f aca="false">F190/R$3</f>
        <v>0</v>
      </c>
      <c r="S190" s="126" t="n">
        <f aca="false">J190/$R$3</f>
        <v>0</v>
      </c>
      <c r="T190" s="126" t="n">
        <f aca="false">L190/$R$3</f>
        <v>0</v>
      </c>
      <c r="U190" s="126" t="n">
        <f aca="false">I190/$R$3</f>
        <v>0</v>
      </c>
      <c r="V190" s="126" t="n">
        <f aca="false">M190/$R$3</f>
        <v>0</v>
      </c>
      <c r="W190" s="126" t="n">
        <f aca="false">N190/$R$3</f>
        <v>-1376.857</v>
      </c>
    </row>
    <row r="191" customFormat="false" ht="12.75" hidden="false" customHeight="false" outlineLevel="0" collapsed="false">
      <c r="A191" s="120" t="n">
        <f aca="false">A190+1</f>
        <v>37077</v>
      </c>
      <c r="B191" s="131" t="str">
        <f aca="false">INDEX('[4]Master Data'!$A$2:$B$8,MATCH(WEEKDAY('TBS CRD MTM'!A191,3),'[4]Master Data'!$A$2:$A$8,0),2)</f>
        <v>Th</v>
      </c>
      <c r="D191" s="124" t="n">
        <v>0</v>
      </c>
      <c r="E191" s="124" t="n">
        <v>0</v>
      </c>
      <c r="F191" s="124" t="n">
        <v>0</v>
      </c>
      <c r="G191" s="124" t="n">
        <v>0</v>
      </c>
      <c r="I191" s="124" t="n">
        <f aca="false">IF(MONTH($A191)=MONTH($A190),IF(G191=0,I190,G191),G191)</f>
        <v>0</v>
      </c>
      <c r="J191" s="124" t="n">
        <f aca="false">IF(MONTH($A191)=MONTH($A190),SUM(I191-I190),I191)</f>
        <v>0</v>
      </c>
      <c r="K191" s="124" t="n">
        <f aca="false">IF(WEEKDAY(A191,3)&gt;4,0,(IF(A191&lt;K$2,0,IF(A191&lt;=K$3,1,0))))</f>
        <v>0</v>
      </c>
      <c r="L191" s="124" t="n">
        <f aca="false">J191*K191</f>
        <v>0</v>
      </c>
      <c r="M191" s="124" t="n">
        <f aca="false">SUM(J$188:J191)</f>
        <v>0</v>
      </c>
      <c r="N191" s="124" t="n">
        <f aca="false">SUM(J$6:J191)</f>
        <v>-1376857</v>
      </c>
      <c r="P191" s="148" t="n">
        <f aca="false">D191/P$3</f>
        <v>0</v>
      </c>
      <c r="Q191" s="124" t="n">
        <f aca="false">E191/P$3</f>
        <v>0</v>
      </c>
      <c r="R191" s="124" t="n">
        <f aca="false">F191/R$3</f>
        <v>0</v>
      </c>
      <c r="S191" s="126" t="n">
        <f aca="false">J191/$R$3</f>
        <v>0</v>
      </c>
      <c r="T191" s="126" t="n">
        <f aca="false">L191/$R$3</f>
        <v>0</v>
      </c>
      <c r="U191" s="126" t="n">
        <f aca="false">I191/$R$3</f>
        <v>0</v>
      </c>
      <c r="V191" s="126" t="n">
        <f aca="false">M191/$R$3</f>
        <v>0</v>
      </c>
      <c r="W191" s="126" t="n">
        <f aca="false">N191/$R$3</f>
        <v>-1376.857</v>
      </c>
    </row>
    <row r="192" customFormat="false" ht="12.75" hidden="false" customHeight="false" outlineLevel="0" collapsed="false">
      <c r="A192" s="120" t="n">
        <f aca="false">A191+1</f>
        <v>37078</v>
      </c>
      <c r="B192" s="131" t="str">
        <f aca="false">INDEX('[4]Master Data'!$A$2:$B$8,MATCH(WEEKDAY('TBS CRD MTM'!A192,3),'[4]Master Data'!$A$2:$A$8,0),2)</f>
        <v>F</v>
      </c>
      <c r="D192" s="124" t="n">
        <v>0</v>
      </c>
      <c r="E192" s="124" t="n">
        <v>0</v>
      </c>
      <c r="F192" s="124" t="n">
        <v>0</v>
      </c>
      <c r="G192" s="124" t="n">
        <v>0</v>
      </c>
      <c r="I192" s="124" t="n">
        <f aca="false">IF(MONTH($A192)=MONTH($A191),IF(G192=0,I191,G192),G192)</f>
        <v>0</v>
      </c>
      <c r="J192" s="124" t="n">
        <f aca="false">IF(MONTH($A192)=MONTH($A191),SUM(I192-I191),I192)</f>
        <v>0</v>
      </c>
      <c r="K192" s="124" t="n">
        <f aca="false">IF(WEEKDAY(A192,3)&gt;4,0,(IF(A192&lt;K$2,0,IF(A192&lt;=K$3,1,0))))</f>
        <v>0</v>
      </c>
      <c r="L192" s="124" t="n">
        <f aca="false">J192*K192</f>
        <v>0</v>
      </c>
      <c r="M192" s="124" t="n">
        <f aca="false">SUM(J$188:J192)</f>
        <v>0</v>
      </c>
      <c r="N192" s="124" t="n">
        <f aca="false">SUM(J$6:J192)</f>
        <v>-1376857</v>
      </c>
      <c r="P192" s="148" t="n">
        <f aca="false">D192/P$3</f>
        <v>0</v>
      </c>
      <c r="Q192" s="124" t="n">
        <f aca="false">E192/P$3</f>
        <v>0</v>
      </c>
      <c r="R192" s="124" t="n">
        <f aca="false">F192/R$3</f>
        <v>0</v>
      </c>
      <c r="S192" s="126" t="n">
        <f aca="false">J192/$R$3</f>
        <v>0</v>
      </c>
      <c r="T192" s="126" t="n">
        <f aca="false">L192/$R$3</f>
        <v>0</v>
      </c>
      <c r="U192" s="126" t="n">
        <f aca="false">I192/$R$3</f>
        <v>0</v>
      </c>
      <c r="V192" s="126" t="n">
        <f aca="false">M192/$R$3</f>
        <v>0</v>
      </c>
      <c r="W192" s="126" t="n">
        <f aca="false">N192/$R$3</f>
        <v>-1376.857</v>
      </c>
    </row>
    <row r="193" customFormat="false" ht="12.75" hidden="false" customHeight="false" outlineLevel="0" collapsed="false">
      <c r="A193" s="120" t="n">
        <f aca="false">A192+1</f>
        <v>37079</v>
      </c>
      <c r="B193" s="131" t="str">
        <f aca="false">INDEX('[4]Master Data'!$A$2:$B$8,MATCH(WEEKDAY('TBS CRD MTM'!A193,3),'[4]Master Data'!$A$2:$A$8,0),2)</f>
        <v>Sa</v>
      </c>
      <c r="D193" s="124" t="n">
        <v>0</v>
      </c>
      <c r="E193" s="124" t="n">
        <v>0</v>
      </c>
      <c r="F193" s="124" t="n">
        <v>0</v>
      </c>
      <c r="G193" s="124" t="n">
        <v>0</v>
      </c>
      <c r="I193" s="124" t="n">
        <f aca="false">IF(MONTH($A193)=MONTH($A192),IF(G193=0,I192,G193),G193)</f>
        <v>0</v>
      </c>
      <c r="J193" s="124" t="n">
        <f aca="false">IF(MONTH($A193)=MONTH($A192),SUM(I193-I192),I193)</f>
        <v>0</v>
      </c>
      <c r="K193" s="124" t="n">
        <f aca="false">IF(WEEKDAY(A193,3)&gt;4,0,(IF(A193&lt;K$2,0,IF(A193&lt;=K$3,1,0))))</f>
        <v>0</v>
      </c>
      <c r="L193" s="124" t="n">
        <f aca="false">J193*K193</f>
        <v>0</v>
      </c>
      <c r="M193" s="124" t="n">
        <f aca="false">SUM(J$188:J193)</f>
        <v>0</v>
      </c>
      <c r="N193" s="124" t="n">
        <f aca="false">SUM(J$6:J193)</f>
        <v>-1376857</v>
      </c>
      <c r="P193" s="148" t="n">
        <f aca="false">D193/P$3</f>
        <v>0</v>
      </c>
      <c r="Q193" s="124" t="n">
        <f aca="false">E193/P$3</f>
        <v>0</v>
      </c>
      <c r="R193" s="124" t="n">
        <f aca="false">F193/R$3</f>
        <v>0</v>
      </c>
      <c r="S193" s="126" t="n">
        <f aca="false">J193/$R$3</f>
        <v>0</v>
      </c>
      <c r="T193" s="126" t="n">
        <f aca="false">L193/$R$3</f>
        <v>0</v>
      </c>
      <c r="U193" s="126" t="n">
        <f aca="false">I193/$R$3</f>
        <v>0</v>
      </c>
      <c r="V193" s="126" t="n">
        <f aca="false">M193/$R$3</f>
        <v>0</v>
      </c>
      <c r="W193" s="126" t="n">
        <f aca="false">N193/$R$3</f>
        <v>-1376.857</v>
      </c>
    </row>
    <row r="194" customFormat="false" ht="12.75" hidden="false" customHeight="false" outlineLevel="0" collapsed="false">
      <c r="A194" s="120" t="n">
        <f aca="false">A193+1</f>
        <v>37080</v>
      </c>
      <c r="B194" s="131" t="str">
        <f aca="false">INDEX('[4]Master Data'!$A$2:$B$8,MATCH(WEEKDAY('TBS CRD MTM'!A194,3),'[4]Master Data'!$A$2:$A$8,0),2)</f>
        <v>Su</v>
      </c>
      <c r="D194" s="124" t="n">
        <v>0</v>
      </c>
      <c r="E194" s="124" t="n">
        <v>0</v>
      </c>
      <c r="F194" s="124" t="n">
        <v>0</v>
      </c>
      <c r="G194" s="124" t="n">
        <v>0</v>
      </c>
      <c r="I194" s="124" t="n">
        <f aca="false">IF(MONTH($A194)=MONTH($A193),IF(G194=0,I193,G194),G194)</f>
        <v>0</v>
      </c>
      <c r="J194" s="124" t="n">
        <f aca="false">IF(MONTH($A194)=MONTH($A193),SUM(I194-I193),I194)</f>
        <v>0</v>
      </c>
      <c r="K194" s="124" t="n">
        <f aca="false">IF(WEEKDAY(A194,3)&gt;4,0,(IF(A194&lt;K$2,0,IF(A194&lt;=K$3,1,0))))</f>
        <v>0</v>
      </c>
      <c r="L194" s="124" t="n">
        <f aca="false">J194*K194</f>
        <v>0</v>
      </c>
      <c r="M194" s="124" t="n">
        <f aca="false">SUM(J$188:J194)</f>
        <v>0</v>
      </c>
      <c r="N194" s="124" t="n">
        <f aca="false">SUM(J$6:J194)</f>
        <v>-1376857</v>
      </c>
      <c r="P194" s="148" t="n">
        <f aca="false">D194/P$3</f>
        <v>0</v>
      </c>
      <c r="Q194" s="124" t="n">
        <f aca="false">E194/P$3</f>
        <v>0</v>
      </c>
      <c r="R194" s="124" t="n">
        <f aca="false">F194/R$3</f>
        <v>0</v>
      </c>
      <c r="S194" s="126" t="n">
        <f aca="false">J194/$R$3</f>
        <v>0</v>
      </c>
      <c r="T194" s="126" t="n">
        <f aca="false">L194/$R$3</f>
        <v>0</v>
      </c>
      <c r="U194" s="126" t="n">
        <f aca="false">I194/$R$3</f>
        <v>0</v>
      </c>
      <c r="V194" s="126" t="n">
        <f aca="false">M194/$R$3</f>
        <v>0</v>
      </c>
      <c r="W194" s="126" t="n">
        <f aca="false">N194/$R$3</f>
        <v>-1376.857</v>
      </c>
    </row>
    <row r="195" customFormat="false" ht="12.75" hidden="false" customHeight="false" outlineLevel="0" collapsed="false">
      <c r="A195" s="120" t="n">
        <f aca="false">A194+1</f>
        <v>37081</v>
      </c>
      <c r="B195" s="131" t="str">
        <f aca="false">INDEX('[4]Master Data'!$A$2:$B$8,MATCH(WEEKDAY('TBS CRD MTM'!A195,3),'[4]Master Data'!$A$2:$A$8,0),2)</f>
        <v>M</v>
      </c>
      <c r="D195" s="124" t="n">
        <v>0</v>
      </c>
      <c r="E195" s="124" t="n">
        <v>0</v>
      </c>
      <c r="F195" s="124" t="n">
        <v>0</v>
      </c>
      <c r="G195" s="124" t="n">
        <v>0</v>
      </c>
      <c r="I195" s="124" t="n">
        <f aca="false">IF(MONTH($A195)=MONTH($A194),IF(G195=0,I194,G195),G195)</f>
        <v>0</v>
      </c>
      <c r="J195" s="124" t="n">
        <f aca="false">IF(MONTH($A195)=MONTH($A194),SUM(I195-I194),I195)</f>
        <v>0</v>
      </c>
      <c r="K195" s="124" t="n">
        <f aca="false">IF(WEEKDAY(A195,3)&gt;4,0,(IF(A195&lt;K$2,0,IF(A195&lt;=K$3,1,0))))</f>
        <v>0</v>
      </c>
      <c r="L195" s="124" t="n">
        <f aca="false">J195*K195</f>
        <v>0</v>
      </c>
      <c r="M195" s="124" t="n">
        <f aca="false">SUM(J$188:J195)</f>
        <v>0</v>
      </c>
      <c r="N195" s="124" t="n">
        <f aca="false">SUM(J$6:J195)</f>
        <v>-1376857</v>
      </c>
      <c r="P195" s="148" t="n">
        <f aca="false">D195/P$3</f>
        <v>0</v>
      </c>
      <c r="Q195" s="124" t="n">
        <f aca="false">E195/P$3</f>
        <v>0</v>
      </c>
      <c r="R195" s="124" t="n">
        <f aca="false">F195/R$3</f>
        <v>0</v>
      </c>
      <c r="S195" s="126" t="n">
        <f aca="false">J195/$R$3</f>
        <v>0</v>
      </c>
      <c r="T195" s="126" t="n">
        <f aca="false">L195/$R$3</f>
        <v>0</v>
      </c>
      <c r="U195" s="126" t="n">
        <f aca="false">I195/$R$3</f>
        <v>0</v>
      </c>
      <c r="V195" s="126" t="n">
        <f aca="false">M195/$R$3</f>
        <v>0</v>
      </c>
      <c r="W195" s="126" t="n">
        <f aca="false">N195/$R$3</f>
        <v>-1376.857</v>
      </c>
    </row>
    <row r="196" customFormat="false" ht="12.75" hidden="false" customHeight="false" outlineLevel="0" collapsed="false">
      <c r="A196" s="120" t="n">
        <f aca="false">A195+1</f>
        <v>37082</v>
      </c>
      <c r="B196" s="131" t="str">
        <f aca="false">INDEX('[4]Master Data'!$A$2:$B$8,MATCH(WEEKDAY('TBS CRD MTM'!A196,3),'[4]Master Data'!$A$2:$A$8,0),2)</f>
        <v>T</v>
      </c>
      <c r="D196" s="124" t="n">
        <v>0</v>
      </c>
      <c r="E196" s="124" t="n">
        <v>0</v>
      </c>
      <c r="F196" s="124" t="n">
        <v>0</v>
      </c>
      <c r="G196" s="124" t="n">
        <v>0</v>
      </c>
      <c r="I196" s="124" t="n">
        <f aca="false">IF(MONTH($A196)=MONTH($A195),IF(G196=0,I195,G196),G196)</f>
        <v>0</v>
      </c>
      <c r="J196" s="124" t="n">
        <f aca="false">IF(MONTH($A196)=MONTH($A195),SUM(I196-I195),I196)</f>
        <v>0</v>
      </c>
      <c r="K196" s="124" t="n">
        <f aca="false">IF(WEEKDAY(A196,3)&gt;4,0,(IF(A196&lt;K$2,0,IF(A196&lt;=K$3,1,0))))</f>
        <v>0</v>
      </c>
      <c r="L196" s="124" t="n">
        <f aca="false">J196*K196</f>
        <v>0</v>
      </c>
      <c r="M196" s="124" t="n">
        <f aca="false">SUM(J$188:J196)</f>
        <v>0</v>
      </c>
      <c r="N196" s="124" t="n">
        <f aca="false">SUM(J$6:J196)</f>
        <v>-1376857</v>
      </c>
      <c r="P196" s="148" t="n">
        <f aca="false">D196/P$3</f>
        <v>0</v>
      </c>
      <c r="Q196" s="124" t="n">
        <f aca="false">E196/P$3</f>
        <v>0</v>
      </c>
      <c r="R196" s="124" t="n">
        <f aca="false">F196/R$3</f>
        <v>0</v>
      </c>
      <c r="S196" s="126" t="n">
        <f aca="false">J196/$R$3</f>
        <v>0</v>
      </c>
      <c r="T196" s="126" t="n">
        <f aca="false">L196/$R$3</f>
        <v>0</v>
      </c>
      <c r="U196" s="126" t="n">
        <f aca="false">I196/$R$3</f>
        <v>0</v>
      </c>
      <c r="V196" s="126" t="n">
        <f aca="false">M196/$R$3</f>
        <v>0</v>
      </c>
      <c r="W196" s="126" t="n">
        <f aca="false">N196/$R$3</f>
        <v>-1376.857</v>
      </c>
    </row>
    <row r="197" customFormat="false" ht="12.75" hidden="false" customHeight="false" outlineLevel="0" collapsed="false">
      <c r="A197" s="120" t="n">
        <f aca="false">A196+1</f>
        <v>37083</v>
      </c>
      <c r="B197" s="131" t="str">
        <f aca="false">INDEX('[4]Master Data'!$A$2:$B$8,MATCH(WEEKDAY('TBS CRD MTM'!A197,3),'[4]Master Data'!$A$2:$A$8,0),2)</f>
        <v>W</v>
      </c>
      <c r="D197" s="124" t="n">
        <v>0</v>
      </c>
      <c r="E197" s="124" t="n">
        <v>0</v>
      </c>
      <c r="F197" s="124" t="n">
        <v>0</v>
      </c>
      <c r="G197" s="124" t="n">
        <v>0</v>
      </c>
      <c r="I197" s="124" t="n">
        <f aca="false">IF(MONTH($A197)=MONTH($A196),IF(G197=0,I196,G197),G197)</f>
        <v>0</v>
      </c>
      <c r="J197" s="124" t="n">
        <f aca="false">IF(MONTH($A197)=MONTH($A196),SUM(I197-I196),I197)</f>
        <v>0</v>
      </c>
      <c r="K197" s="124" t="n">
        <f aca="false">IF(WEEKDAY(A197,3)&gt;4,0,(IF(A197&lt;K$2,0,IF(A197&lt;=K$3,1,0))))</f>
        <v>0</v>
      </c>
      <c r="L197" s="124" t="n">
        <f aca="false">J197*K197</f>
        <v>0</v>
      </c>
      <c r="M197" s="124" t="n">
        <f aca="false">SUM(J$188:J197)</f>
        <v>0</v>
      </c>
      <c r="N197" s="124" t="n">
        <f aca="false">SUM(J$6:J197)</f>
        <v>-1376857</v>
      </c>
      <c r="P197" s="148" t="n">
        <f aca="false">D197/P$3</f>
        <v>0</v>
      </c>
      <c r="Q197" s="124" t="n">
        <f aca="false">E197/P$3</f>
        <v>0</v>
      </c>
      <c r="R197" s="124" t="n">
        <f aca="false">F197/R$3</f>
        <v>0</v>
      </c>
      <c r="S197" s="126" t="n">
        <f aca="false">J197/$R$3</f>
        <v>0</v>
      </c>
      <c r="T197" s="126" t="n">
        <f aca="false">L197/$R$3</f>
        <v>0</v>
      </c>
      <c r="U197" s="126" t="n">
        <f aca="false">I197/$R$3</f>
        <v>0</v>
      </c>
      <c r="V197" s="126" t="n">
        <f aca="false">M197/$R$3</f>
        <v>0</v>
      </c>
      <c r="W197" s="126" t="n">
        <f aca="false">N197/$R$3</f>
        <v>-1376.857</v>
      </c>
    </row>
    <row r="198" customFormat="false" ht="12.75" hidden="false" customHeight="false" outlineLevel="0" collapsed="false">
      <c r="A198" s="120" t="n">
        <f aca="false">A197+1</f>
        <v>37084</v>
      </c>
      <c r="B198" s="131" t="str">
        <f aca="false">INDEX('[4]Master Data'!$A$2:$B$8,MATCH(WEEKDAY('TBS CRD MTM'!A198,3),'[4]Master Data'!$A$2:$A$8,0),2)</f>
        <v>Th</v>
      </c>
      <c r="D198" s="124" t="n">
        <v>0</v>
      </c>
      <c r="E198" s="124" t="n">
        <v>0</v>
      </c>
      <c r="F198" s="124" t="n">
        <v>0</v>
      </c>
      <c r="G198" s="124" t="n">
        <v>0</v>
      </c>
      <c r="I198" s="124" t="n">
        <f aca="false">IF(MONTH($A198)=MONTH($A197),IF(G198=0,I197,G198),G198)</f>
        <v>0</v>
      </c>
      <c r="J198" s="124" t="n">
        <f aca="false">IF(MONTH($A198)=MONTH($A197),SUM(I198-I197),I198)</f>
        <v>0</v>
      </c>
      <c r="K198" s="124" t="n">
        <f aca="false">IF(WEEKDAY(A198,3)&gt;4,0,(IF(A198&lt;K$2,0,IF(A198&lt;=K$3,1,0))))</f>
        <v>0</v>
      </c>
      <c r="L198" s="124" t="n">
        <f aca="false">J198*K198</f>
        <v>0</v>
      </c>
      <c r="M198" s="124" t="n">
        <f aca="false">SUM(J$188:J198)</f>
        <v>0</v>
      </c>
      <c r="N198" s="124" t="n">
        <f aca="false">SUM(J$6:J198)</f>
        <v>-1376857</v>
      </c>
      <c r="P198" s="148" t="n">
        <f aca="false">D198/P$3</f>
        <v>0</v>
      </c>
      <c r="Q198" s="124" t="n">
        <f aca="false">E198/P$3</f>
        <v>0</v>
      </c>
      <c r="R198" s="124" t="n">
        <f aca="false">F198/R$3</f>
        <v>0</v>
      </c>
      <c r="S198" s="126" t="n">
        <f aca="false">J198/$R$3</f>
        <v>0</v>
      </c>
      <c r="T198" s="126" t="n">
        <f aca="false">L198/$R$3</f>
        <v>0</v>
      </c>
      <c r="U198" s="126" t="n">
        <f aca="false">I198/$R$3</f>
        <v>0</v>
      </c>
      <c r="V198" s="126" t="n">
        <f aca="false">M198/$R$3</f>
        <v>0</v>
      </c>
      <c r="W198" s="126" t="n">
        <f aca="false">N198/$R$3</f>
        <v>-1376.857</v>
      </c>
    </row>
    <row r="199" customFormat="false" ht="12.75" hidden="false" customHeight="false" outlineLevel="0" collapsed="false">
      <c r="A199" s="120" t="n">
        <f aca="false">A198+1</f>
        <v>37085</v>
      </c>
      <c r="B199" s="131" t="str">
        <f aca="false">INDEX('[4]Master Data'!$A$2:$B$8,MATCH(WEEKDAY('TBS CRD MTM'!A199,3),'[4]Master Data'!$A$2:$A$8,0),2)</f>
        <v>F</v>
      </c>
      <c r="D199" s="124" t="n">
        <v>0</v>
      </c>
      <c r="E199" s="124" t="n">
        <v>0</v>
      </c>
      <c r="F199" s="124" t="n">
        <v>0</v>
      </c>
      <c r="G199" s="124" t="n">
        <v>0</v>
      </c>
      <c r="I199" s="124" t="n">
        <f aca="false">IF(MONTH($A199)=MONTH($A198),IF(G199=0,I198,G199),G199)</f>
        <v>0</v>
      </c>
      <c r="J199" s="124" t="n">
        <f aca="false">IF(MONTH($A199)=MONTH($A198),SUM(I199-I198),I199)</f>
        <v>0</v>
      </c>
      <c r="K199" s="124" t="n">
        <f aca="false">IF(WEEKDAY(A199,3)&gt;4,0,(IF(A199&lt;K$2,0,IF(A199&lt;=K$3,1,0))))</f>
        <v>0</v>
      </c>
      <c r="L199" s="124" t="n">
        <f aca="false">J199*K199</f>
        <v>0</v>
      </c>
      <c r="M199" s="124" t="n">
        <f aca="false">SUM(J$188:J199)</f>
        <v>0</v>
      </c>
      <c r="N199" s="124" t="n">
        <f aca="false">SUM(J$6:J199)</f>
        <v>-1376857</v>
      </c>
      <c r="P199" s="148" t="n">
        <f aca="false">D199/P$3</f>
        <v>0</v>
      </c>
      <c r="Q199" s="124" t="n">
        <f aca="false">E199/P$3</f>
        <v>0</v>
      </c>
      <c r="R199" s="124" t="n">
        <f aca="false">F199/R$3</f>
        <v>0</v>
      </c>
      <c r="S199" s="126" t="n">
        <f aca="false">J199/$R$3</f>
        <v>0</v>
      </c>
      <c r="T199" s="126" t="n">
        <f aca="false">L199/$R$3</f>
        <v>0</v>
      </c>
      <c r="U199" s="126" t="n">
        <f aca="false">I199/$R$3</f>
        <v>0</v>
      </c>
      <c r="V199" s="126" t="n">
        <f aca="false">M199/$R$3</f>
        <v>0</v>
      </c>
      <c r="W199" s="126" t="n">
        <f aca="false">N199/$R$3</f>
        <v>-1376.857</v>
      </c>
    </row>
    <row r="200" customFormat="false" ht="12.75" hidden="false" customHeight="false" outlineLevel="0" collapsed="false">
      <c r="A200" s="120" t="n">
        <f aca="false">A199+1</f>
        <v>37086</v>
      </c>
      <c r="B200" s="131" t="str">
        <f aca="false">INDEX('[4]Master Data'!$A$2:$B$8,MATCH(WEEKDAY('TBS CRD MTM'!A200,3),'[4]Master Data'!$A$2:$A$8,0),2)</f>
        <v>Sa</v>
      </c>
      <c r="D200" s="124" t="n">
        <v>0</v>
      </c>
      <c r="E200" s="124" t="n">
        <v>0</v>
      </c>
      <c r="F200" s="124" t="n">
        <v>0</v>
      </c>
      <c r="G200" s="124" t="n">
        <v>0</v>
      </c>
      <c r="I200" s="124" t="n">
        <f aca="false">IF(MONTH($A200)=MONTH($A199),IF(G200=0,I199,G200),G200)</f>
        <v>0</v>
      </c>
      <c r="J200" s="124" t="n">
        <f aca="false">IF(MONTH($A200)=MONTH($A199),SUM(I200-I199),I200)</f>
        <v>0</v>
      </c>
      <c r="K200" s="124" t="n">
        <f aca="false">IF(WEEKDAY(A200,3)&gt;4,0,(IF(A200&lt;K$2,0,IF(A200&lt;=K$3,1,0))))</f>
        <v>0</v>
      </c>
      <c r="L200" s="124" t="n">
        <f aca="false">J200*K200</f>
        <v>0</v>
      </c>
      <c r="M200" s="124" t="n">
        <f aca="false">SUM(J$188:J200)</f>
        <v>0</v>
      </c>
      <c r="N200" s="124" t="n">
        <f aca="false">SUM(J$6:J200)</f>
        <v>-1376857</v>
      </c>
      <c r="P200" s="148" t="n">
        <f aca="false">D200/P$3</f>
        <v>0</v>
      </c>
      <c r="Q200" s="124" t="n">
        <f aca="false">E200/P$3</f>
        <v>0</v>
      </c>
      <c r="R200" s="124" t="n">
        <f aca="false">F200/R$3</f>
        <v>0</v>
      </c>
      <c r="S200" s="126" t="n">
        <f aca="false">J200/$R$3</f>
        <v>0</v>
      </c>
      <c r="T200" s="126" t="n">
        <f aca="false">L200/$R$3</f>
        <v>0</v>
      </c>
      <c r="U200" s="126" t="n">
        <f aca="false">I200/$R$3</f>
        <v>0</v>
      </c>
      <c r="V200" s="126" t="n">
        <f aca="false">M200/$R$3</f>
        <v>0</v>
      </c>
      <c r="W200" s="126" t="n">
        <f aca="false">N200/$R$3</f>
        <v>-1376.857</v>
      </c>
    </row>
    <row r="201" customFormat="false" ht="12.75" hidden="false" customHeight="false" outlineLevel="0" collapsed="false">
      <c r="A201" s="120" t="n">
        <f aca="false">A200+1</f>
        <v>37087</v>
      </c>
      <c r="B201" s="131" t="str">
        <f aca="false">INDEX('[4]Master Data'!$A$2:$B$8,MATCH(WEEKDAY('TBS CRD MTM'!A201,3),'[4]Master Data'!$A$2:$A$8,0),2)</f>
        <v>Su</v>
      </c>
      <c r="D201" s="124" t="n">
        <v>0</v>
      </c>
      <c r="E201" s="124" t="n">
        <v>0</v>
      </c>
      <c r="F201" s="124" t="n">
        <v>0</v>
      </c>
      <c r="G201" s="124" t="n">
        <v>0</v>
      </c>
      <c r="I201" s="124" t="n">
        <f aca="false">IF(MONTH($A201)=MONTH($A200),IF(G201=0,I200,G201),G201)</f>
        <v>0</v>
      </c>
      <c r="J201" s="124" t="n">
        <f aca="false">IF(MONTH($A201)=MONTH($A200),SUM(I201-I200),I201)</f>
        <v>0</v>
      </c>
      <c r="K201" s="124" t="n">
        <f aca="false">IF(WEEKDAY(A201,3)&gt;4,0,(IF(A201&lt;K$2,0,IF(A201&lt;=K$3,1,0))))</f>
        <v>0</v>
      </c>
      <c r="L201" s="124" t="n">
        <f aca="false">J201*K201</f>
        <v>0</v>
      </c>
      <c r="M201" s="124" t="n">
        <f aca="false">SUM(J$188:J201)</f>
        <v>0</v>
      </c>
      <c r="N201" s="124" t="n">
        <f aca="false">SUM(J$6:J201)</f>
        <v>-1376857</v>
      </c>
      <c r="P201" s="148" t="n">
        <f aca="false">D201/P$3</f>
        <v>0</v>
      </c>
      <c r="Q201" s="124" t="n">
        <f aca="false">E201/P$3</f>
        <v>0</v>
      </c>
      <c r="R201" s="124" t="n">
        <f aca="false">F201/R$3</f>
        <v>0</v>
      </c>
      <c r="S201" s="126" t="n">
        <f aca="false">J201/$R$3</f>
        <v>0</v>
      </c>
      <c r="T201" s="126" t="n">
        <f aca="false">L201/$R$3</f>
        <v>0</v>
      </c>
      <c r="U201" s="126" t="n">
        <f aca="false">I201/$R$3</f>
        <v>0</v>
      </c>
      <c r="V201" s="126" t="n">
        <f aca="false">M201/$R$3</f>
        <v>0</v>
      </c>
      <c r="W201" s="126" t="n">
        <f aca="false">N201/$R$3</f>
        <v>-1376.857</v>
      </c>
    </row>
    <row r="202" customFormat="false" ht="12.75" hidden="false" customHeight="false" outlineLevel="0" collapsed="false">
      <c r="A202" s="120" t="n">
        <f aca="false">A201+1</f>
        <v>37088</v>
      </c>
      <c r="B202" s="131" t="str">
        <f aca="false">INDEX('[4]Master Data'!$A$2:$B$8,MATCH(WEEKDAY('TBS CRD MTM'!A202,3),'[4]Master Data'!$A$2:$A$8,0),2)</f>
        <v>M</v>
      </c>
      <c r="D202" s="124" t="n">
        <v>0</v>
      </c>
      <c r="E202" s="124" t="n">
        <v>0</v>
      </c>
      <c r="F202" s="124" t="n">
        <v>0</v>
      </c>
      <c r="G202" s="124" t="n">
        <v>0</v>
      </c>
      <c r="I202" s="124" t="n">
        <f aca="false">IF(MONTH($A202)=MONTH($A201),IF(G202=0,I201,G202),G202)</f>
        <v>0</v>
      </c>
      <c r="J202" s="124" t="n">
        <f aca="false">IF(MONTH($A202)=MONTH($A201),SUM(I202-I201),I202)</f>
        <v>0</v>
      </c>
      <c r="K202" s="124" t="n">
        <f aca="false">IF(WEEKDAY(A202,3)&gt;4,0,(IF(A202&lt;K$2,0,IF(A202&lt;=K$3,1,0))))</f>
        <v>0</v>
      </c>
      <c r="L202" s="124" t="n">
        <f aca="false">J202*K202</f>
        <v>0</v>
      </c>
      <c r="M202" s="124" t="n">
        <f aca="false">SUM(J$188:J202)</f>
        <v>0</v>
      </c>
      <c r="N202" s="124" t="n">
        <f aca="false">SUM(J$6:J202)</f>
        <v>-1376857</v>
      </c>
      <c r="P202" s="148" t="n">
        <f aca="false">D202/P$3</f>
        <v>0</v>
      </c>
      <c r="Q202" s="124" t="n">
        <f aca="false">E202/P$3</f>
        <v>0</v>
      </c>
      <c r="R202" s="124" t="n">
        <f aca="false">F202/R$3</f>
        <v>0</v>
      </c>
      <c r="S202" s="126" t="n">
        <f aca="false">J202/$R$3</f>
        <v>0</v>
      </c>
      <c r="T202" s="126" t="n">
        <f aca="false">L202/$R$3</f>
        <v>0</v>
      </c>
      <c r="U202" s="126" t="n">
        <f aca="false">I202/$R$3</f>
        <v>0</v>
      </c>
      <c r="V202" s="126" t="n">
        <f aca="false">M202/$R$3</f>
        <v>0</v>
      </c>
      <c r="W202" s="126" t="n">
        <f aca="false">N202/$R$3</f>
        <v>-1376.857</v>
      </c>
    </row>
    <row r="203" customFormat="false" ht="12.75" hidden="false" customHeight="false" outlineLevel="0" collapsed="false">
      <c r="A203" s="120" t="n">
        <f aca="false">A202+1</f>
        <v>37089</v>
      </c>
      <c r="B203" s="131" t="str">
        <f aca="false">INDEX('[4]Master Data'!$A$2:$B$8,MATCH(WEEKDAY('TBS CRD MTM'!A203,3),'[4]Master Data'!$A$2:$A$8,0),2)</f>
        <v>T</v>
      </c>
      <c r="D203" s="124" t="n">
        <v>0</v>
      </c>
      <c r="E203" s="124" t="n">
        <v>0</v>
      </c>
      <c r="F203" s="124" t="n">
        <v>0</v>
      </c>
      <c r="G203" s="124" t="n">
        <v>0</v>
      </c>
      <c r="I203" s="124" t="n">
        <f aca="false">IF(MONTH($A203)=MONTH($A202),IF(G203=0,I202,G203),G203)</f>
        <v>0</v>
      </c>
      <c r="J203" s="124" t="n">
        <f aca="false">IF(MONTH($A203)=MONTH($A202),SUM(I203-I202),I203)</f>
        <v>0</v>
      </c>
      <c r="K203" s="124" t="n">
        <f aca="false">IF(WEEKDAY(A203,3)&gt;4,0,(IF(A203&lt;K$2,0,IF(A203&lt;=K$3,1,0))))</f>
        <v>0</v>
      </c>
      <c r="L203" s="124" t="n">
        <f aca="false">J203*K203</f>
        <v>0</v>
      </c>
      <c r="M203" s="124" t="n">
        <f aca="false">SUM(J$188:J203)</f>
        <v>0</v>
      </c>
      <c r="N203" s="124" t="n">
        <f aca="false">SUM(J$6:J203)</f>
        <v>-1376857</v>
      </c>
      <c r="P203" s="148" t="n">
        <f aca="false">D203/P$3</f>
        <v>0</v>
      </c>
      <c r="Q203" s="124" t="n">
        <f aca="false">E203/P$3</f>
        <v>0</v>
      </c>
      <c r="R203" s="124" t="n">
        <f aca="false">F203/R$3</f>
        <v>0</v>
      </c>
      <c r="S203" s="126" t="n">
        <f aca="false">J203/$R$3</f>
        <v>0</v>
      </c>
      <c r="T203" s="126" t="n">
        <f aca="false">L203/$R$3</f>
        <v>0</v>
      </c>
      <c r="U203" s="126" t="n">
        <f aca="false">I203/$R$3</f>
        <v>0</v>
      </c>
      <c r="V203" s="126" t="n">
        <f aca="false">M203/$R$3</f>
        <v>0</v>
      </c>
      <c r="W203" s="126" t="n">
        <f aca="false">N203/$R$3</f>
        <v>-1376.857</v>
      </c>
    </row>
    <row r="204" customFormat="false" ht="12.75" hidden="false" customHeight="false" outlineLevel="0" collapsed="false">
      <c r="A204" s="120" t="n">
        <f aca="false">A203+1</f>
        <v>37090</v>
      </c>
      <c r="B204" s="131" t="str">
        <f aca="false">INDEX('[4]Master Data'!$A$2:$B$8,MATCH(WEEKDAY('TBS CRD MTM'!A204,3),'[4]Master Data'!$A$2:$A$8,0),2)</f>
        <v>W</v>
      </c>
      <c r="D204" s="124" t="n">
        <v>0</v>
      </c>
      <c r="E204" s="124" t="n">
        <v>0</v>
      </c>
      <c r="F204" s="124" t="n">
        <v>0</v>
      </c>
      <c r="G204" s="124" t="n">
        <v>0</v>
      </c>
      <c r="I204" s="124" t="n">
        <f aca="false">IF(MONTH($A204)=MONTH($A203),IF(G204=0,I203,G204),G204)</f>
        <v>0</v>
      </c>
      <c r="J204" s="124" t="n">
        <f aca="false">IF(MONTH($A204)=MONTH($A203),SUM(I204-I203),I204)</f>
        <v>0</v>
      </c>
      <c r="K204" s="124" t="n">
        <f aca="false">IF(WEEKDAY(A204,3)&gt;4,0,(IF(A204&lt;K$2,0,IF(A204&lt;=K$3,1,0))))</f>
        <v>0</v>
      </c>
      <c r="L204" s="124" t="n">
        <f aca="false">J204*K204</f>
        <v>0</v>
      </c>
      <c r="M204" s="124" t="n">
        <f aca="false">SUM(J$188:J204)</f>
        <v>0</v>
      </c>
      <c r="N204" s="124" t="n">
        <f aca="false">SUM(J$6:J204)</f>
        <v>-1376857</v>
      </c>
      <c r="P204" s="148" t="n">
        <f aca="false">D204/P$3</f>
        <v>0</v>
      </c>
      <c r="Q204" s="124" t="n">
        <f aca="false">E204/P$3</f>
        <v>0</v>
      </c>
      <c r="R204" s="124" t="n">
        <f aca="false">F204/R$3</f>
        <v>0</v>
      </c>
      <c r="S204" s="126" t="n">
        <f aca="false">J204/$R$3</f>
        <v>0</v>
      </c>
      <c r="T204" s="126" t="n">
        <f aca="false">L204/$R$3</f>
        <v>0</v>
      </c>
      <c r="U204" s="126" t="n">
        <f aca="false">I204/$R$3</f>
        <v>0</v>
      </c>
      <c r="V204" s="126" t="n">
        <f aca="false">M204/$R$3</f>
        <v>0</v>
      </c>
      <c r="W204" s="126" t="n">
        <f aca="false">N204/$R$3</f>
        <v>-1376.857</v>
      </c>
    </row>
    <row r="205" customFormat="false" ht="12.75" hidden="false" customHeight="false" outlineLevel="0" collapsed="false">
      <c r="A205" s="120" t="n">
        <f aca="false">A204+1</f>
        <v>37091</v>
      </c>
      <c r="B205" s="131" t="str">
        <f aca="false">INDEX('[4]Master Data'!$A$2:$B$8,MATCH(WEEKDAY('TBS CRD MTM'!A205,3),'[4]Master Data'!$A$2:$A$8,0),2)</f>
        <v>Th</v>
      </c>
      <c r="D205" s="124" t="n">
        <v>0</v>
      </c>
      <c r="E205" s="124" t="n">
        <v>0</v>
      </c>
      <c r="F205" s="124" t="n">
        <v>0</v>
      </c>
      <c r="G205" s="124" t="n">
        <v>0</v>
      </c>
      <c r="I205" s="124" t="n">
        <f aca="false">IF(MONTH($A205)=MONTH($A204),IF(G205=0,I204,G205),G205)</f>
        <v>0</v>
      </c>
      <c r="J205" s="124" t="n">
        <f aca="false">IF(MONTH($A205)=MONTH($A204),SUM(I205-I204),I205)</f>
        <v>0</v>
      </c>
      <c r="K205" s="124" t="n">
        <f aca="false">IF(WEEKDAY(A205,3)&gt;4,0,(IF(A205&lt;K$2,0,IF(A205&lt;=K$3,1,0))))</f>
        <v>0</v>
      </c>
      <c r="L205" s="124" t="n">
        <f aca="false">J205*K205</f>
        <v>0</v>
      </c>
      <c r="M205" s="124" t="n">
        <f aca="false">SUM(J$188:J205)</f>
        <v>0</v>
      </c>
      <c r="N205" s="124" t="n">
        <f aca="false">SUM(J$6:J205)</f>
        <v>-1376857</v>
      </c>
      <c r="P205" s="148" t="n">
        <f aca="false">D205/P$3</f>
        <v>0</v>
      </c>
      <c r="Q205" s="124" t="n">
        <f aca="false">E205/P$3</f>
        <v>0</v>
      </c>
      <c r="R205" s="124" t="n">
        <f aca="false">F205/R$3</f>
        <v>0</v>
      </c>
      <c r="S205" s="126" t="n">
        <f aca="false">J205/$R$3</f>
        <v>0</v>
      </c>
      <c r="T205" s="126" t="n">
        <f aca="false">L205/$R$3</f>
        <v>0</v>
      </c>
      <c r="U205" s="126" t="n">
        <f aca="false">I205/$R$3</f>
        <v>0</v>
      </c>
      <c r="V205" s="126" t="n">
        <f aca="false">M205/$R$3</f>
        <v>0</v>
      </c>
      <c r="W205" s="126" t="n">
        <f aca="false">N205/$R$3</f>
        <v>-1376.857</v>
      </c>
    </row>
    <row r="206" customFormat="false" ht="12.75" hidden="false" customHeight="false" outlineLevel="0" collapsed="false">
      <c r="A206" s="120" t="n">
        <f aca="false">A205+1</f>
        <v>37092</v>
      </c>
      <c r="B206" s="131" t="str">
        <f aca="false">INDEX('[4]Master Data'!$A$2:$B$8,MATCH(WEEKDAY('TBS CRD MTM'!A206,3),'[4]Master Data'!$A$2:$A$8,0),2)</f>
        <v>F</v>
      </c>
      <c r="D206" s="124" t="n">
        <v>0</v>
      </c>
      <c r="E206" s="124" t="n">
        <v>0</v>
      </c>
      <c r="F206" s="124" t="n">
        <v>0</v>
      </c>
      <c r="G206" s="124" t="n">
        <v>0</v>
      </c>
      <c r="I206" s="124" t="n">
        <f aca="false">IF(MONTH($A206)=MONTH($A205),IF(G206=0,I205,G206),G206)</f>
        <v>0</v>
      </c>
      <c r="J206" s="124" t="n">
        <f aca="false">IF(MONTH($A206)=MONTH($A205),SUM(I206-I205),I206)</f>
        <v>0</v>
      </c>
      <c r="K206" s="124" t="n">
        <f aca="false">IF(WEEKDAY(A206,3)&gt;4,0,(IF(A206&lt;K$2,0,IF(A206&lt;=K$3,1,0))))</f>
        <v>0</v>
      </c>
      <c r="L206" s="124" t="n">
        <f aca="false">J206*K206</f>
        <v>0</v>
      </c>
      <c r="M206" s="124" t="n">
        <f aca="false">SUM(J$188:J206)</f>
        <v>0</v>
      </c>
      <c r="N206" s="124" t="n">
        <f aca="false">SUM(J$6:J206)</f>
        <v>-1376857</v>
      </c>
      <c r="P206" s="148" t="n">
        <f aca="false">D206/P$3</f>
        <v>0</v>
      </c>
      <c r="Q206" s="124" t="n">
        <f aca="false">E206/P$3</f>
        <v>0</v>
      </c>
      <c r="R206" s="124" t="n">
        <f aca="false">F206/R$3</f>
        <v>0</v>
      </c>
      <c r="S206" s="126" t="n">
        <f aca="false">J206/$R$3</f>
        <v>0</v>
      </c>
      <c r="T206" s="126" t="n">
        <f aca="false">L206/$R$3</f>
        <v>0</v>
      </c>
      <c r="U206" s="126" t="n">
        <f aca="false">I206/$R$3</f>
        <v>0</v>
      </c>
      <c r="V206" s="126" t="n">
        <f aca="false">M206/$R$3</f>
        <v>0</v>
      </c>
      <c r="W206" s="126" t="n">
        <f aca="false">N206/$R$3</f>
        <v>-1376.857</v>
      </c>
    </row>
    <row r="207" customFormat="false" ht="12.75" hidden="false" customHeight="false" outlineLevel="0" collapsed="false">
      <c r="A207" s="120" t="n">
        <f aca="false">A206+1</f>
        <v>37093</v>
      </c>
      <c r="B207" s="131" t="str">
        <f aca="false">INDEX('[4]Master Data'!$A$2:$B$8,MATCH(WEEKDAY('TBS CRD MTM'!A207,3),'[4]Master Data'!$A$2:$A$8,0),2)</f>
        <v>Sa</v>
      </c>
      <c r="D207" s="124" t="n">
        <v>0</v>
      </c>
      <c r="E207" s="124" t="n">
        <v>0</v>
      </c>
      <c r="F207" s="124" t="n">
        <v>0</v>
      </c>
      <c r="G207" s="124" t="n">
        <v>0</v>
      </c>
      <c r="I207" s="124" t="n">
        <f aca="false">IF(MONTH($A207)=MONTH($A206),IF(G207=0,I206,G207),G207)</f>
        <v>0</v>
      </c>
      <c r="J207" s="124" t="n">
        <f aca="false">IF(MONTH($A207)=MONTH($A206),SUM(I207-I206),I207)</f>
        <v>0</v>
      </c>
      <c r="K207" s="124" t="n">
        <f aca="false">IF(WEEKDAY(A207,3)&gt;4,0,(IF(A207&lt;K$2,0,IF(A207&lt;=K$3,1,0))))</f>
        <v>0</v>
      </c>
      <c r="L207" s="124" t="n">
        <f aca="false">J207*K207</f>
        <v>0</v>
      </c>
      <c r="M207" s="124" t="n">
        <f aca="false">SUM(J$188:J207)</f>
        <v>0</v>
      </c>
      <c r="N207" s="124" t="n">
        <f aca="false">SUM(J$6:J207)</f>
        <v>-1376857</v>
      </c>
      <c r="P207" s="148" t="n">
        <f aca="false">D207/P$3</f>
        <v>0</v>
      </c>
      <c r="Q207" s="124" t="n">
        <f aca="false">E207/P$3</f>
        <v>0</v>
      </c>
      <c r="R207" s="124" t="n">
        <f aca="false">F207/R$3</f>
        <v>0</v>
      </c>
      <c r="S207" s="126" t="n">
        <f aca="false">J207/$R$3</f>
        <v>0</v>
      </c>
      <c r="T207" s="126" t="n">
        <f aca="false">L207/$R$3</f>
        <v>0</v>
      </c>
      <c r="U207" s="126" t="n">
        <f aca="false">I207/$R$3</f>
        <v>0</v>
      </c>
      <c r="V207" s="126" t="n">
        <f aca="false">M207/$R$3</f>
        <v>0</v>
      </c>
      <c r="W207" s="126" t="n">
        <f aca="false">N207/$R$3</f>
        <v>-1376.857</v>
      </c>
    </row>
    <row r="208" customFormat="false" ht="12.75" hidden="false" customHeight="false" outlineLevel="0" collapsed="false">
      <c r="A208" s="120" t="n">
        <f aca="false">A207+1</f>
        <v>37094</v>
      </c>
      <c r="B208" s="131" t="str">
        <f aca="false">INDEX('[4]Master Data'!$A$2:$B$8,MATCH(WEEKDAY('TBS CRD MTM'!A208,3),'[4]Master Data'!$A$2:$A$8,0),2)</f>
        <v>Su</v>
      </c>
      <c r="D208" s="124" t="n">
        <v>0</v>
      </c>
      <c r="E208" s="124" t="n">
        <v>0</v>
      </c>
      <c r="F208" s="124" t="n">
        <v>0</v>
      </c>
      <c r="G208" s="124" t="n">
        <v>0</v>
      </c>
      <c r="I208" s="124" t="n">
        <f aca="false">IF(MONTH($A208)=MONTH($A207),IF(G208=0,I207,G208),G208)</f>
        <v>0</v>
      </c>
      <c r="J208" s="124" t="n">
        <f aca="false">IF(MONTH($A208)=MONTH($A207),SUM(I208-I207),I208)</f>
        <v>0</v>
      </c>
      <c r="K208" s="124" t="n">
        <f aca="false">IF(WEEKDAY(A208,3)&gt;4,0,(IF(A208&lt;K$2,0,IF(A208&lt;=K$3,1,0))))</f>
        <v>0</v>
      </c>
      <c r="L208" s="124" t="n">
        <f aca="false">J208*K208</f>
        <v>0</v>
      </c>
      <c r="M208" s="124" t="n">
        <f aca="false">SUM(J$188:J208)</f>
        <v>0</v>
      </c>
      <c r="N208" s="124" t="n">
        <f aca="false">SUM(J$6:J208)</f>
        <v>-1376857</v>
      </c>
      <c r="P208" s="148" t="n">
        <f aca="false">D208/P$3</f>
        <v>0</v>
      </c>
      <c r="Q208" s="124" t="n">
        <f aca="false">E208/P$3</f>
        <v>0</v>
      </c>
      <c r="R208" s="124" t="n">
        <f aca="false">F208/R$3</f>
        <v>0</v>
      </c>
      <c r="S208" s="126" t="n">
        <f aca="false">J208/$R$3</f>
        <v>0</v>
      </c>
      <c r="T208" s="126" t="n">
        <f aca="false">L208/$R$3</f>
        <v>0</v>
      </c>
      <c r="U208" s="126" t="n">
        <f aca="false">I208/$R$3</f>
        <v>0</v>
      </c>
      <c r="V208" s="126" t="n">
        <f aca="false">M208/$R$3</f>
        <v>0</v>
      </c>
      <c r="W208" s="126" t="n">
        <f aca="false">N208/$R$3</f>
        <v>-1376.857</v>
      </c>
    </row>
    <row r="209" customFormat="false" ht="12.75" hidden="false" customHeight="false" outlineLevel="0" collapsed="false">
      <c r="A209" s="120" t="n">
        <f aca="false">A208+1</f>
        <v>37095</v>
      </c>
      <c r="B209" s="131" t="str">
        <f aca="false">INDEX('[4]Master Data'!$A$2:$B$8,MATCH(WEEKDAY('TBS CRD MTM'!A209,3),'[4]Master Data'!$A$2:$A$8,0),2)</f>
        <v>M</v>
      </c>
      <c r="D209" s="124" t="n">
        <v>0</v>
      </c>
      <c r="E209" s="124" t="n">
        <v>0</v>
      </c>
      <c r="F209" s="124" t="n">
        <v>0</v>
      </c>
      <c r="G209" s="124" t="n">
        <v>0</v>
      </c>
      <c r="I209" s="124" t="n">
        <f aca="false">IF(MONTH($A209)=MONTH($A208),IF(G209=0,I208,G209),G209)</f>
        <v>0</v>
      </c>
      <c r="J209" s="124" t="n">
        <f aca="false">IF(MONTH($A209)=MONTH($A208),SUM(I209-I208),I209)</f>
        <v>0</v>
      </c>
      <c r="K209" s="124" t="n">
        <f aca="false">IF(WEEKDAY(A209,3)&gt;4,0,(IF(A209&lt;K$2,0,IF(A209&lt;=K$3,1,0))))</f>
        <v>0</v>
      </c>
      <c r="L209" s="124" t="n">
        <f aca="false">J209*K209</f>
        <v>0</v>
      </c>
      <c r="M209" s="124" t="n">
        <f aca="false">SUM(J$188:J209)</f>
        <v>0</v>
      </c>
      <c r="N209" s="124" t="n">
        <f aca="false">SUM(J$6:J209)</f>
        <v>-1376857</v>
      </c>
      <c r="P209" s="148" t="n">
        <f aca="false">D209/P$3</f>
        <v>0</v>
      </c>
      <c r="Q209" s="124" t="n">
        <f aca="false">E209/P$3</f>
        <v>0</v>
      </c>
      <c r="R209" s="124" t="n">
        <f aca="false">F209/R$3</f>
        <v>0</v>
      </c>
      <c r="S209" s="126" t="n">
        <f aca="false">J209/$R$3</f>
        <v>0</v>
      </c>
      <c r="T209" s="126" t="n">
        <f aca="false">L209/$R$3</f>
        <v>0</v>
      </c>
      <c r="U209" s="126" t="n">
        <f aca="false">I209/$R$3</f>
        <v>0</v>
      </c>
      <c r="V209" s="126" t="n">
        <f aca="false">M209/$R$3</f>
        <v>0</v>
      </c>
      <c r="W209" s="126" t="n">
        <f aca="false">N209/$R$3</f>
        <v>-1376.857</v>
      </c>
    </row>
    <row r="210" customFormat="false" ht="12.75" hidden="false" customHeight="false" outlineLevel="0" collapsed="false">
      <c r="A210" s="120" t="n">
        <f aca="false">A209+1</f>
        <v>37096</v>
      </c>
      <c r="B210" s="131" t="str">
        <f aca="false">INDEX('[4]Master Data'!$A$2:$B$8,MATCH(WEEKDAY('TBS CRD MTM'!A210,3),'[4]Master Data'!$A$2:$A$8,0),2)</f>
        <v>T</v>
      </c>
      <c r="D210" s="124" t="n">
        <v>0</v>
      </c>
      <c r="E210" s="124" t="n">
        <v>0</v>
      </c>
      <c r="F210" s="124" t="n">
        <v>0</v>
      </c>
      <c r="G210" s="124" t="n">
        <v>0</v>
      </c>
      <c r="I210" s="124" t="n">
        <f aca="false">IF(MONTH($A210)=MONTH($A209),IF(G210=0,I209,G210),G210)</f>
        <v>0</v>
      </c>
      <c r="J210" s="124" t="n">
        <f aca="false">IF(MONTH($A210)=MONTH($A209),SUM(I210-I209),I210)</f>
        <v>0</v>
      </c>
      <c r="K210" s="124" t="n">
        <f aca="false">IF(WEEKDAY(A210,3)&gt;4,0,(IF(A210&lt;K$2,0,IF(A210&lt;=K$3,1,0))))</f>
        <v>0</v>
      </c>
      <c r="L210" s="124" t="n">
        <f aca="false">J210*K210</f>
        <v>0</v>
      </c>
      <c r="M210" s="124" t="n">
        <f aca="false">SUM(J$188:J210)</f>
        <v>0</v>
      </c>
      <c r="N210" s="124" t="n">
        <f aca="false">SUM(J$6:J210)</f>
        <v>-1376857</v>
      </c>
      <c r="P210" s="148" t="n">
        <f aca="false">D210/P$3</f>
        <v>0</v>
      </c>
      <c r="Q210" s="124" t="n">
        <f aca="false">E210/P$3</f>
        <v>0</v>
      </c>
      <c r="R210" s="124" t="n">
        <f aca="false">F210/R$3</f>
        <v>0</v>
      </c>
      <c r="S210" s="126" t="n">
        <f aca="false">J210/$R$3</f>
        <v>0</v>
      </c>
      <c r="T210" s="126" t="n">
        <f aca="false">L210/$R$3</f>
        <v>0</v>
      </c>
      <c r="U210" s="126" t="n">
        <f aca="false">I210/$R$3</f>
        <v>0</v>
      </c>
      <c r="V210" s="126" t="n">
        <f aca="false">M210/$R$3</f>
        <v>0</v>
      </c>
      <c r="W210" s="126" t="n">
        <f aca="false">N210/$R$3</f>
        <v>-1376.857</v>
      </c>
    </row>
    <row r="211" customFormat="false" ht="12.75" hidden="false" customHeight="false" outlineLevel="0" collapsed="false">
      <c r="A211" s="120" t="n">
        <f aca="false">A210+1</f>
        <v>37097</v>
      </c>
      <c r="B211" s="131" t="str">
        <f aca="false">INDEX('[4]Master Data'!$A$2:$B$8,MATCH(WEEKDAY('TBS CRD MTM'!A211,3),'[4]Master Data'!$A$2:$A$8,0),2)</f>
        <v>W</v>
      </c>
      <c r="D211" s="124" t="n">
        <v>0</v>
      </c>
      <c r="E211" s="124" t="n">
        <v>0</v>
      </c>
      <c r="F211" s="124" t="n">
        <v>0</v>
      </c>
      <c r="G211" s="124" t="n">
        <v>0</v>
      </c>
      <c r="I211" s="124" t="n">
        <f aca="false">IF(MONTH($A211)=MONTH($A210),IF(G211=0,I210,G211),G211)</f>
        <v>0</v>
      </c>
      <c r="J211" s="124" t="n">
        <f aca="false">IF(MONTH($A211)=MONTH($A210),SUM(I211-I210),I211)</f>
        <v>0</v>
      </c>
      <c r="K211" s="124" t="n">
        <f aca="false">IF(WEEKDAY(A211,3)&gt;4,0,(IF(A211&lt;K$2,0,IF(A211&lt;=K$3,1,0))))</f>
        <v>0</v>
      </c>
      <c r="L211" s="124" t="n">
        <f aca="false">J211*K211</f>
        <v>0</v>
      </c>
      <c r="M211" s="124" t="n">
        <f aca="false">SUM(J$188:J211)</f>
        <v>0</v>
      </c>
      <c r="N211" s="124" t="n">
        <f aca="false">SUM(J$6:J211)</f>
        <v>-1376857</v>
      </c>
      <c r="P211" s="148" t="n">
        <f aca="false">D211/P$3</f>
        <v>0</v>
      </c>
      <c r="Q211" s="124" t="n">
        <f aca="false">E211/P$3</f>
        <v>0</v>
      </c>
      <c r="R211" s="124" t="n">
        <f aca="false">F211/R$3</f>
        <v>0</v>
      </c>
      <c r="S211" s="126" t="n">
        <f aca="false">J211/$R$3</f>
        <v>0</v>
      </c>
      <c r="T211" s="126" t="n">
        <f aca="false">L211/$R$3</f>
        <v>0</v>
      </c>
      <c r="U211" s="126" t="n">
        <f aca="false">I211/$R$3</f>
        <v>0</v>
      </c>
      <c r="V211" s="126" t="n">
        <f aca="false">M211/$R$3</f>
        <v>0</v>
      </c>
      <c r="W211" s="126" t="n">
        <f aca="false">N211/$R$3</f>
        <v>-1376.857</v>
      </c>
    </row>
    <row r="212" customFormat="false" ht="12.75" hidden="false" customHeight="false" outlineLevel="0" collapsed="false">
      <c r="A212" s="120" t="n">
        <f aca="false">A211+1</f>
        <v>37098</v>
      </c>
      <c r="B212" s="131" t="str">
        <f aca="false">INDEX('[4]Master Data'!$A$2:$B$8,MATCH(WEEKDAY('TBS CRD MTM'!A212,3),'[4]Master Data'!$A$2:$A$8,0),2)</f>
        <v>Th</v>
      </c>
      <c r="D212" s="124" t="n">
        <v>0</v>
      </c>
      <c r="E212" s="124" t="n">
        <v>0</v>
      </c>
      <c r="F212" s="124" t="n">
        <v>0</v>
      </c>
      <c r="G212" s="124" t="n">
        <v>0</v>
      </c>
      <c r="I212" s="124" t="n">
        <f aca="false">IF(MONTH($A212)=MONTH($A211),IF(G212=0,I211,G212),G212)</f>
        <v>0</v>
      </c>
      <c r="J212" s="124" t="n">
        <f aca="false">IF(MONTH($A212)=MONTH($A211),SUM(I212-I211),I212)</f>
        <v>0</v>
      </c>
      <c r="K212" s="124" t="n">
        <f aca="false">IF(WEEKDAY(A212,3)&gt;4,0,(IF(A212&lt;K$2,0,IF(A212&lt;=K$3,1,0))))</f>
        <v>0</v>
      </c>
      <c r="L212" s="124" t="n">
        <f aca="false">J212*K212</f>
        <v>0</v>
      </c>
      <c r="M212" s="124" t="n">
        <f aca="false">SUM(J$188:J212)</f>
        <v>0</v>
      </c>
      <c r="N212" s="124" t="n">
        <f aca="false">SUM(J$6:J212)</f>
        <v>-1376857</v>
      </c>
      <c r="P212" s="148" t="n">
        <f aca="false">D212/P$3</f>
        <v>0</v>
      </c>
      <c r="Q212" s="124" t="n">
        <f aca="false">E212/P$3</f>
        <v>0</v>
      </c>
      <c r="R212" s="124" t="n">
        <f aca="false">F212/R$3</f>
        <v>0</v>
      </c>
      <c r="S212" s="126" t="n">
        <f aca="false">J212/$R$3</f>
        <v>0</v>
      </c>
      <c r="T212" s="126" t="n">
        <f aca="false">L212/$R$3</f>
        <v>0</v>
      </c>
      <c r="U212" s="126" t="n">
        <f aca="false">I212/$R$3</f>
        <v>0</v>
      </c>
      <c r="V212" s="126" t="n">
        <f aca="false">M212/$R$3</f>
        <v>0</v>
      </c>
      <c r="W212" s="126" t="n">
        <f aca="false">N212/$R$3</f>
        <v>-1376.857</v>
      </c>
    </row>
    <row r="213" customFormat="false" ht="12.75" hidden="false" customHeight="false" outlineLevel="0" collapsed="false">
      <c r="A213" s="120" t="n">
        <f aca="false">A212+1</f>
        <v>37099</v>
      </c>
      <c r="B213" s="131" t="str">
        <f aca="false">INDEX('[4]Master Data'!$A$2:$B$8,MATCH(WEEKDAY('TBS CRD MTM'!A213,3),'[4]Master Data'!$A$2:$A$8,0),2)</f>
        <v>F</v>
      </c>
      <c r="D213" s="124" t="n">
        <v>0</v>
      </c>
      <c r="E213" s="124" t="n">
        <v>0</v>
      </c>
      <c r="F213" s="124" t="n">
        <v>0</v>
      </c>
      <c r="G213" s="124" t="n">
        <v>0</v>
      </c>
      <c r="I213" s="124" t="n">
        <f aca="false">IF(MONTH($A213)=MONTH($A212),IF(G213=0,I212,G213),G213)</f>
        <v>0</v>
      </c>
      <c r="J213" s="124" t="n">
        <f aca="false">IF(MONTH($A213)=MONTH($A212),SUM(I213-I212),I213)</f>
        <v>0</v>
      </c>
      <c r="K213" s="124" t="n">
        <f aca="false">IF(WEEKDAY(A213,3)&gt;4,0,(IF(A213&lt;K$2,0,IF(A213&lt;=K$3,1,0))))</f>
        <v>0</v>
      </c>
      <c r="L213" s="124" t="n">
        <f aca="false">J213*K213</f>
        <v>0</v>
      </c>
      <c r="M213" s="124" t="n">
        <f aca="false">SUM(J$188:J213)</f>
        <v>0</v>
      </c>
      <c r="N213" s="124" t="n">
        <f aca="false">SUM(J$6:J213)</f>
        <v>-1376857</v>
      </c>
      <c r="P213" s="148" t="n">
        <f aca="false">D213/P$3</f>
        <v>0</v>
      </c>
      <c r="Q213" s="124" t="n">
        <f aca="false">E213/P$3</f>
        <v>0</v>
      </c>
      <c r="R213" s="124" t="n">
        <f aca="false">F213/R$3</f>
        <v>0</v>
      </c>
      <c r="S213" s="126" t="n">
        <f aca="false">J213/$R$3</f>
        <v>0</v>
      </c>
      <c r="T213" s="126" t="n">
        <f aca="false">L213/$R$3</f>
        <v>0</v>
      </c>
      <c r="U213" s="126" t="n">
        <f aca="false">I213/$R$3</f>
        <v>0</v>
      </c>
      <c r="V213" s="126" t="n">
        <f aca="false">M213/$R$3</f>
        <v>0</v>
      </c>
      <c r="W213" s="126" t="n">
        <f aca="false">N213/$R$3</f>
        <v>-1376.857</v>
      </c>
    </row>
    <row r="214" customFormat="false" ht="12.75" hidden="false" customHeight="false" outlineLevel="0" collapsed="false">
      <c r="A214" s="120" t="n">
        <f aca="false">A213+1</f>
        <v>37100</v>
      </c>
      <c r="B214" s="131" t="str">
        <f aca="false">INDEX('[4]Master Data'!$A$2:$B$8,MATCH(WEEKDAY('TBS CRD MTM'!A214,3),'[4]Master Data'!$A$2:$A$8,0),2)</f>
        <v>Sa</v>
      </c>
      <c r="D214" s="124" t="n">
        <v>0</v>
      </c>
      <c r="E214" s="124" t="n">
        <v>0</v>
      </c>
      <c r="F214" s="124" t="n">
        <v>0</v>
      </c>
      <c r="G214" s="124" t="n">
        <v>0</v>
      </c>
      <c r="I214" s="124" t="n">
        <f aca="false">IF(MONTH($A214)=MONTH($A213),IF(G214=0,I213,G214),G214)</f>
        <v>0</v>
      </c>
      <c r="J214" s="124" t="n">
        <f aca="false">IF(MONTH($A214)=MONTH($A213),SUM(I214-I213),I214)</f>
        <v>0</v>
      </c>
      <c r="K214" s="124" t="n">
        <f aca="false">IF(WEEKDAY(A214,3)&gt;4,0,(IF(A214&lt;K$2,0,IF(A214&lt;=K$3,1,0))))</f>
        <v>0</v>
      </c>
      <c r="L214" s="124" t="n">
        <f aca="false">J214*K214</f>
        <v>0</v>
      </c>
      <c r="M214" s="124" t="n">
        <f aca="false">SUM(J$188:J214)</f>
        <v>0</v>
      </c>
      <c r="N214" s="124" t="n">
        <f aca="false">SUM(J$6:J214)</f>
        <v>-1376857</v>
      </c>
      <c r="P214" s="148" t="n">
        <f aca="false">D214/P$3</f>
        <v>0</v>
      </c>
      <c r="Q214" s="124" t="n">
        <f aca="false">E214/P$3</f>
        <v>0</v>
      </c>
      <c r="R214" s="124" t="n">
        <f aca="false">F214/R$3</f>
        <v>0</v>
      </c>
      <c r="S214" s="126" t="n">
        <f aca="false">J214/$R$3</f>
        <v>0</v>
      </c>
      <c r="T214" s="126" t="n">
        <f aca="false">L214/$R$3</f>
        <v>0</v>
      </c>
      <c r="U214" s="126" t="n">
        <f aca="false">I214/$R$3</f>
        <v>0</v>
      </c>
      <c r="V214" s="126" t="n">
        <f aca="false">M214/$R$3</f>
        <v>0</v>
      </c>
      <c r="W214" s="126" t="n">
        <f aca="false">N214/$R$3</f>
        <v>-1376.857</v>
      </c>
    </row>
    <row r="215" customFormat="false" ht="12.75" hidden="false" customHeight="false" outlineLevel="0" collapsed="false">
      <c r="A215" s="120" t="n">
        <f aca="false">A214+1</f>
        <v>37101</v>
      </c>
      <c r="B215" s="131" t="str">
        <f aca="false">INDEX('[4]Master Data'!$A$2:$B$8,MATCH(WEEKDAY('TBS CRD MTM'!A215,3),'[4]Master Data'!$A$2:$A$8,0),2)</f>
        <v>Su</v>
      </c>
      <c r="D215" s="124" t="n">
        <v>0</v>
      </c>
      <c r="E215" s="124" t="n">
        <v>0</v>
      </c>
      <c r="F215" s="124" t="n">
        <v>0</v>
      </c>
      <c r="G215" s="124" t="n">
        <v>0</v>
      </c>
      <c r="I215" s="124" t="n">
        <f aca="false">IF(MONTH($A215)=MONTH($A214),IF(G215=0,I214,G215),G215)</f>
        <v>0</v>
      </c>
      <c r="J215" s="124" t="n">
        <f aca="false">IF(MONTH($A215)=MONTH($A214),SUM(I215-I214),I215)</f>
        <v>0</v>
      </c>
      <c r="K215" s="124" t="n">
        <f aca="false">IF(WEEKDAY(A215,3)&gt;4,0,(IF(A215&lt;K$2,0,IF(A215&lt;=K$3,1,0))))</f>
        <v>0</v>
      </c>
      <c r="L215" s="124" t="n">
        <f aca="false">J215*K215</f>
        <v>0</v>
      </c>
      <c r="M215" s="124" t="n">
        <f aca="false">SUM(J$188:J215)</f>
        <v>0</v>
      </c>
      <c r="N215" s="124" t="n">
        <f aca="false">SUM(J$6:J215)</f>
        <v>-1376857</v>
      </c>
      <c r="P215" s="148" t="n">
        <f aca="false">D215/P$3</f>
        <v>0</v>
      </c>
      <c r="Q215" s="124" t="n">
        <f aca="false">E215/P$3</f>
        <v>0</v>
      </c>
      <c r="R215" s="124" t="n">
        <f aca="false">F215/R$3</f>
        <v>0</v>
      </c>
      <c r="S215" s="126" t="n">
        <f aca="false">J215/$R$3</f>
        <v>0</v>
      </c>
      <c r="T215" s="126" t="n">
        <f aca="false">L215/$R$3</f>
        <v>0</v>
      </c>
      <c r="U215" s="126" t="n">
        <f aca="false">I215/$R$3</f>
        <v>0</v>
      </c>
      <c r="V215" s="126" t="n">
        <f aca="false">M215/$R$3</f>
        <v>0</v>
      </c>
      <c r="W215" s="126" t="n">
        <f aca="false">N215/$R$3</f>
        <v>-1376.857</v>
      </c>
    </row>
    <row r="216" customFormat="false" ht="12.75" hidden="false" customHeight="false" outlineLevel="0" collapsed="false">
      <c r="A216" s="120" t="n">
        <f aca="false">A215+1</f>
        <v>37102</v>
      </c>
      <c r="B216" s="131" t="str">
        <f aca="false">INDEX('[4]Master Data'!$A$2:$B$8,MATCH(WEEKDAY('TBS CRD MTM'!A216,3),'[4]Master Data'!$A$2:$A$8,0),2)</f>
        <v>M</v>
      </c>
      <c r="D216" s="124" t="n">
        <v>0</v>
      </c>
      <c r="E216" s="124" t="n">
        <v>0</v>
      </c>
      <c r="F216" s="124" t="n">
        <v>0</v>
      </c>
      <c r="G216" s="124" t="n">
        <v>0</v>
      </c>
      <c r="I216" s="124" t="n">
        <f aca="false">IF(MONTH($A216)=MONTH($A215),IF(G216=0,I215,G216),G216)</f>
        <v>0</v>
      </c>
      <c r="J216" s="124" t="n">
        <f aca="false">IF(MONTH($A216)=MONTH($A215),SUM(I216-I215),I216)</f>
        <v>0</v>
      </c>
      <c r="K216" s="124" t="n">
        <f aca="false">IF(WEEKDAY(A216,3)&gt;4,0,(IF(A216&lt;K$2,0,IF(A216&lt;=K$3,1,0))))</f>
        <v>0</v>
      </c>
      <c r="L216" s="124" t="n">
        <f aca="false">J216*K216</f>
        <v>0</v>
      </c>
      <c r="M216" s="124" t="n">
        <f aca="false">SUM(J$188:J216)</f>
        <v>0</v>
      </c>
      <c r="N216" s="124" t="n">
        <f aca="false">SUM(J$6:J216)</f>
        <v>-1376857</v>
      </c>
      <c r="P216" s="148" t="n">
        <f aca="false">D216/P$3</f>
        <v>0</v>
      </c>
      <c r="Q216" s="124" t="n">
        <f aca="false">E216/P$3</f>
        <v>0</v>
      </c>
      <c r="R216" s="124" t="n">
        <f aca="false">F216/R$3</f>
        <v>0</v>
      </c>
      <c r="S216" s="126" t="n">
        <f aca="false">J216/$R$3</f>
        <v>0</v>
      </c>
      <c r="T216" s="126" t="n">
        <f aca="false">L216/$R$3</f>
        <v>0</v>
      </c>
      <c r="U216" s="126" t="n">
        <f aca="false">I216/$R$3</f>
        <v>0</v>
      </c>
      <c r="V216" s="126" t="n">
        <f aca="false">M216/$R$3</f>
        <v>0</v>
      </c>
      <c r="W216" s="126" t="n">
        <f aca="false">N216/$R$3</f>
        <v>-1376.857</v>
      </c>
    </row>
    <row r="217" customFormat="false" ht="12.75" hidden="false" customHeight="false" outlineLevel="0" collapsed="false">
      <c r="A217" s="120" t="n">
        <f aca="false">A216+1</f>
        <v>37103</v>
      </c>
      <c r="B217" s="131" t="str">
        <f aca="false">INDEX('[4]Master Data'!$A$2:$B$8,MATCH(WEEKDAY('TBS CRD MTM'!A217,3),'[4]Master Data'!$A$2:$A$8,0),2)</f>
        <v>T</v>
      </c>
      <c r="D217" s="124" t="n">
        <v>0</v>
      </c>
      <c r="E217" s="124" t="n">
        <v>0</v>
      </c>
      <c r="F217" s="124" t="n">
        <v>0</v>
      </c>
      <c r="G217" s="124" t="n">
        <v>0</v>
      </c>
      <c r="I217" s="124" t="n">
        <f aca="false">IF(MONTH($A217)=MONTH($A216),IF(G217=0,I216,G217),G217)</f>
        <v>0</v>
      </c>
      <c r="J217" s="124" t="n">
        <f aca="false">IF(MONTH($A217)=MONTH($A216),SUM(I217-I216),I217)</f>
        <v>0</v>
      </c>
      <c r="K217" s="124" t="n">
        <f aca="false">IF(WEEKDAY(A217,3)&gt;4,0,(IF(A217&lt;K$2,0,IF(A217&lt;=K$3,1,0))))</f>
        <v>0</v>
      </c>
      <c r="L217" s="124" t="n">
        <f aca="false">J217*K217</f>
        <v>0</v>
      </c>
      <c r="M217" s="124" t="n">
        <f aca="false">SUM(J$188:J217)</f>
        <v>0</v>
      </c>
      <c r="N217" s="124" t="n">
        <f aca="false">SUM(J$6:J217)</f>
        <v>-1376857</v>
      </c>
      <c r="P217" s="148" t="n">
        <f aca="false">D217/P$3</f>
        <v>0</v>
      </c>
      <c r="Q217" s="124" t="n">
        <f aca="false">E217/P$3</f>
        <v>0</v>
      </c>
      <c r="R217" s="124" t="n">
        <f aca="false">F217/R$3</f>
        <v>0</v>
      </c>
      <c r="S217" s="126" t="n">
        <f aca="false">J217/$R$3</f>
        <v>0</v>
      </c>
      <c r="T217" s="126" t="n">
        <f aca="false">L217/$R$3</f>
        <v>0</v>
      </c>
      <c r="U217" s="126" t="n">
        <f aca="false">I217/$R$3</f>
        <v>0</v>
      </c>
      <c r="V217" s="126" t="n">
        <f aca="false">M217/$R$3</f>
        <v>0</v>
      </c>
      <c r="W217" s="126" t="n">
        <f aca="false">N217/$R$3</f>
        <v>-1376.857</v>
      </c>
    </row>
    <row r="218" customFormat="false" ht="12.75" hidden="false" customHeight="false" outlineLevel="0" collapsed="false">
      <c r="A218" s="120" t="n">
        <f aca="false">A217+1</f>
        <v>37104</v>
      </c>
      <c r="B218" s="131" t="str">
        <f aca="false">INDEX('[4]Master Data'!$A$2:$B$8,MATCH(WEEKDAY('TBS CRD MTM'!A218,3),'[4]Master Data'!$A$2:$A$8,0),2)</f>
        <v>W</v>
      </c>
      <c r="D218" s="124" t="n">
        <v>0</v>
      </c>
      <c r="E218" s="124" t="n">
        <v>0</v>
      </c>
      <c r="F218" s="124" t="n">
        <v>0</v>
      </c>
      <c r="G218" s="124" t="n">
        <v>0</v>
      </c>
      <c r="I218" s="124" t="n">
        <f aca="false">IF(MONTH($A218)=MONTH($A217),IF(G218=0,I217,G218),G218)</f>
        <v>0</v>
      </c>
      <c r="J218" s="124" t="n">
        <f aca="false">IF(MONTH($A218)=MONTH($A217),SUM(I218-I217),I218)</f>
        <v>0</v>
      </c>
      <c r="K218" s="124" t="n">
        <f aca="false">IF(WEEKDAY(A218,3)&gt;4,0,(IF(A218&lt;K$2,0,IF(A218&lt;=K$3,1,0))))</f>
        <v>0</v>
      </c>
      <c r="L218" s="124" t="n">
        <f aca="false">J218*K218</f>
        <v>0</v>
      </c>
      <c r="M218" s="124" t="n">
        <f aca="false">SUM(J$188:J218)</f>
        <v>0</v>
      </c>
      <c r="N218" s="124" t="n">
        <f aca="false">SUM(J$6:J218)</f>
        <v>-1376857</v>
      </c>
      <c r="P218" s="148" t="n">
        <f aca="false">D218/P$3</f>
        <v>0</v>
      </c>
      <c r="Q218" s="124" t="n">
        <f aca="false">E218/P$3</f>
        <v>0</v>
      </c>
      <c r="R218" s="124" t="n">
        <f aca="false">F218/R$3</f>
        <v>0</v>
      </c>
      <c r="S218" s="126" t="n">
        <f aca="false">J218/$R$3</f>
        <v>0</v>
      </c>
      <c r="T218" s="126" t="n">
        <f aca="false">L218/$R$3</f>
        <v>0</v>
      </c>
      <c r="U218" s="126" t="n">
        <f aca="false">I218/$R$3</f>
        <v>0</v>
      </c>
      <c r="V218" s="126" t="n">
        <f aca="false">M218/$R$3</f>
        <v>0</v>
      </c>
      <c r="W218" s="126" t="n">
        <f aca="false">N218/$R$3</f>
        <v>-1376.857</v>
      </c>
    </row>
    <row r="219" customFormat="false" ht="12.75" hidden="false" customHeight="false" outlineLevel="0" collapsed="false">
      <c r="A219" s="120" t="n">
        <f aca="false">A218+1</f>
        <v>37105</v>
      </c>
      <c r="B219" s="131" t="str">
        <f aca="false">INDEX('[4]Master Data'!$A$2:$B$8,MATCH(WEEKDAY('TBS CRD MTM'!A219,3),'[4]Master Data'!$A$2:$A$8,0),2)</f>
        <v>Th</v>
      </c>
      <c r="D219" s="124" t="n">
        <v>0</v>
      </c>
      <c r="E219" s="124" t="n">
        <v>0</v>
      </c>
      <c r="F219" s="124" t="n">
        <v>0</v>
      </c>
      <c r="G219" s="124" t="n">
        <v>0</v>
      </c>
      <c r="I219" s="124" t="n">
        <f aca="false">IF(MONTH($A219)=MONTH($A218),IF(G219=0,I218,G219),G219)</f>
        <v>0</v>
      </c>
      <c r="J219" s="124" t="n">
        <f aca="false">IF(MONTH($A219)=MONTH($A218),SUM(I219-I218),I219)</f>
        <v>0</v>
      </c>
      <c r="K219" s="124" t="n">
        <f aca="false">IF(WEEKDAY(A219,3)&gt;4,0,(IF(A219&lt;K$2,0,IF(A219&lt;=K$3,1,0))))</f>
        <v>0</v>
      </c>
      <c r="L219" s="124" t="n">
        <f aca="false">J219*K219</f>
        <v>0</v>
      </c>
      <c r="M219" s="124" t="n">
        <f aca="false">SUM(J$188:J219)</f>
        <v>0</v>
      </c>
      <c r="N219" s="124" t="n">
        <f aca="false">SUM(J$6:J219)</f>
        <v>-1376857</v>
      </c>
      <c r="P219" s="148" t="n">
        <f aca="false">D219/P$3</f>
        <v>0</v>
      </c>
      <c r="Q219" s="124" t="n">
        <f aca="false">E219/P$3</f>
        <v>0</v>
      </c>
      <c r="R219" s="124" t="n">
        <f aca="false">F219/R$3</f>
        <v>0</v>
      </c>
      <c r="S219" s="126" t="n">
        <f aca="false">J219/$R$3</f>
        <v>0</v>
      </c>
      <c r="T219" s="126" t="n">
        <f aca="false">L219/$R$3</f>
        <v>0</v>
      </c>
      <c r="U219" s="126" t="n">
        <f aca="false">I219/$R$3</f>
        <v>0</v>
      </c>
      <c r="V219" s="126" t="n">
        <f aca="false">M219/$R$3</f>
        <v>0</v>
      </c>
      <c r="W219" s="126" t="n">
        <f aca="false">N219/$R$3</f>
        <v>-1376.857</v>
      </c>
    </row>
    <row r="220" customFormat="false" ht="12.75" hidden="false" customHeight="false" outlineLevel="0" collapsed="false">
      <c r="A220" s="120" t="n">
        <f aca="false">A219+1</f>
        <v>37106</v>
      </c>
      <c r="B220" s="131" t="str">
        <f aca="false">INDEX('[4]Master Data'!$A$2:$B$8,MATCH(WEEKDAY('TBS CRD MTM'!A220,3),'[4]Master Data'!$A$2:$A$8,0),2)</f>
        <v>F</v>
      </c>
      <c r="D220" s="124" t="n">
        <v>0</v>
      </c>
      <c r="E220" s="124" t="n">
        <v>0</v>
      </c>
      <c r="F220" s="124" t="n">
        <v>0</v>
      </c>
      <c r="G220" s="124" t="n">
        <v>0</v>
      </c>
      <c r="I220" s="124" t="n">
        <f aca="false">IF(MONTH($A220)=MONTH($A219),IF(G220=0,I219,G220),G220)</f>
        <v>0</v>
      </c>
      <c r="J220" s="124" t="n">
        <f aca="false">IF(MONTH($A220)=MONTH($A219),SUM(I220-I219),I220)</f>
        <v>0</v>
      </c>
      <c r="K220" s="124" t="n">
        <f aca="false">IF(WEEKDAY(A220,3)&gt;4,0,(IF(A220&lt;K$2,0,IF(A220&lt;=K$3,1,0))))</f>
        <v>0</v>
      </c>
      <c r="L220" s="124" t="n">
        <f aca="false">J220*K220</f>
        <v>0</v>
      </c>
      <c r="M220" s="124" t="n">
        <f aca="false">SUM(J$188:J220)</f>
        <v>0</v>
      </c>
      <c r="N220" s="124" t="n">
        <f aca="false">SUM(J$6:J220)</f>
        <v>-1376857</v>
      </c>
      <c r="P220" s="148" t="n">
        <f aca="false">D220/P$3</f>
        <v>0</v>
      </c>
      <c r="Q220" s="124" t="n">
        <f aca="false">E220/P$3</f>
        <v>0</v>
      </c>
      <c r="R220" s="124" t="n">
        <f aca="false">F220/R$3</f>
        <v>0</v>
      </c>
      <c r="S220" s="126" t="n">
        <f aca="false">J220/$R$3</f>
        <v>0</v>
      </c>
      <c r="T220" s="126" t="n">
        <f aca="false">L220/$R$3</f>
        <v>0</v>
      </c>
      <c r="U220" s="126" t="n">
        <f aca="false">I220/$R$3</f>
        <v>0</v>
      </c>
      <c r="V220" s="126" t="n">
        <f aca="false">M220/$R$3</f>
        <v>0</v>
      </c>
      <c r="W220" s="126" t="n">
        <f aca="false">N220/$R$3</f>
        <v>-1376.857</v>
      </c>
    </row>
    <row r="221" customFormat="false" ht="12.75" hidden="false" customHeight="false" outlineLevel="0" collapsed="false">
      <c r="A221" s="120" t="n">
        <f aca="false">A220+1</f>
        <v>37107</v>
      </c>
      <c r="B221" s="131" t="str">
        <f aca="false">INDEX('[4]Master Data'!$A$2:$B$8,MATCH(WEEKDAY('TBS CRD MTM'!A221,3),'[4]Master Data'!$A$2:$A$8,0),2)</f>
        <v>Sa</v>
      </c>
      <c r="D221" s="124" t="n">
        <v>0</v>
      </c>
      <c r="E221" s="124" t="n">
        <v>0</v>
      </c>
      <c r="F221" s="124" t="n">
        <v>0</v>
      </c>
      <c r="G221" s="124" t="n">
        <v>0</v>
      </c>
      <c r="I221" s="124" t="n">
        <f aca="false">IF(MONTH($A221)=MONTH($A220),IF(G221=0,I220,G221),G221)</f>
        <v>0</v>
      </c>
      <c r="J221" s="124" t="n">
        <f aca="false">IF(MONTH($A221)=MONTH($A220),SUM(I221-I220),I221)</f>
        <v>0</v>
      </c>
      <c r="K221" s="124" t="n">
        <f aca="false">IF(WEEKDAY(A221,3)&gt;4,0,(IF(A221&lt;K$2,0,IF(A221&lt;=K$3,1,0))))</f>
        <v>0</v>
      </c>
      <c r="L221" s="124" t="n">
        <f aca="false">J221*K221</f>
        <v>0</v>
      </c>
      <c r="M221" s="124" t="n">
        <f aca="false">SUM(J$188:J221)</f>
        <v>0</v>
      </c>
      <c r="N221" s="124" t="n">
        <f aca="false">SUM(J$6:J221)</f>
        <v>-1376857</v>
      </c>
      <c r="P221" s="148" t="n">
        <f aca="false">D221/P$3</f>
        <v>0</v>
      </c>
      <c r="Q221" s="124" t="n">
        <f aca="false">E221/P$3</f>
        <v>0</v>
      </c>
      <c r="R221" s="124" t="n">
        <f aca="false">F221/R$3</f>
        <v>0</v>
      </c>
      <c r="S221" s="126" t="n">
        <f aca="false">J221/$R$3</f>
        <v>0</v>
      </c>
      <c r="T221" s="126" t="n">
        <f aca="false">L221/$R$3</f>
        <v>0</v>
      </c>
      <c r="U221" s="126" t="n">
        <f aca="false">I221/$R$3</f>
        <v>0</v>
      </c>
      <c r="V221" s="126" t="n">
        <f aca="false">M221/$R$3</f>
        <v>0</v>
      </c>
      <c r="W221" s="126" t="n">
        <f aca="false">N221/$R$3</f>
        <v>-1376.857</v>
      </c>
    </row>
    <row r="222" customFormat="false" ht="12.75" hidden="false" customHeight="false" outlineLevel="0" collapsed="false">
      <c r="A222" s="120" t="n">
        <f aca="false">A221+1</f>
        <v>37108</v>
      </c>
      <c r="B222" s="131" t="str">
        <f aca="false">INDEX('[4]Master Data'!$A$2:$B$8,MATCH(WEEKDAY('TBS CRD MTM'!A222,3),'[4]Master Data'!$A$2:$A$8,0),2)</f>
        <v>Su</v>
      </c>
      <c r="D222" s="124" t="n">
        <v>0</v>
      </c>
      <c r="E222" s="124" t="n">
        <v>0</v>
      </c>
      <c r="F222" s="124" t="n">
        <v>0</v>
      </c>
      <c r="G222" s="124" t="n">
        <v>0</v>
      </c>
      <c r="I222" s="124" t="n">
        <f aca="false">IF(MONTH($A222)=MONTH($A221),IF(G222=0,I221,G222),G222)</f>
        <v>0</v>
      </c>
      <c r="J222" s="124" t="n">
        <f aca="false">IF(MONTH($A222)=MONTH($A221),SUM(I222-I221),I222)</f>
        <v>0</v>
      </c>
      <c r="K222" s="124" t="n">
        <f aca="false">IF(WEEKDAY(A222,3)&gt;4,0,(IF(A222&lt;K$2,0,IF(A222&lt;=K$3,1,0))))</f>
        <v>0</v>
      </c>
      <c r="L222" s="124" t="n">
        <f aca="false">J222*K222</f>
        <v>0</v>
      </c>
      <c r="M222" s="124" t="n">
        <f aca="false">SUM(J$188:J222)</f>
        <v>0</v>
      </c>
      <c r="N222" s="124" t="n">
        <f aca="false">SUM(J$6:J222)</f>
        <v>-1376857</v>
      </c>
      <c r="P222" s="148" t="n">
        <f aca="false">D222/P$3</f>
        <v>0</v>
      </c>
      <c r="Q222" s="124" t="n">
        <f aca="false">E222/P$3</f>
        <v>0</v>
      </c>
      <c r="R222" s="124" t="n">
        <f aca="false">F222/R$3</f>
        <v>0</v>
      </c>
      <c r="S222" s="126" t="n">
        <f aca="false">J222/$R$3</f>
        <v>0</v>
      </c>
      <c r="T222" s="126" t="n">
        <f aca="false">L222/$R$3</f>
        <v>0</v>
      </c>
      <c r="U222" s="126" t="n">
        <f aca="false">I222/$R$3</f>
        <v>0</v>
      </c>
      <c r="V222" s="126" t="n">
        <f aca="false">M222/$R$3</f>
        <v>0</v>
      </c>
      <c r="W222" s="126" t="n">
        <f aca="false">N222/$R$3</f>
        <v>-1376.857</v>
      </c>
    </row>
    <row r="223" customFormat="false" ht="12.75" hidden="false" customHeight="false" outlineLevel="0" collapsed="false">
      <c r="A223" s="120" t="n">
        <f aca="false">A222+1</f>
        <v>37109</v>
      </c>
      <c r="B223" s="131" t="str">
        <f aca="false">INDEX('[4]Master Data'!$A$2:$B$8,MATCH(WEEKDAY('TBS CRD MTM'!A223,3),'[4]Master Data'!$A$2:$A$8,0),2)</f>
        <v>M</v>
      </c>
      <c r="D223" s="124" t="n">
        <v>0</v>
      </c>
      <c r="E223" s="124" t="n">
        <v>0</v>
      </c>
      <c r="F223" s="124" t="n">
        <v>0</v>
      </c>
      <c r="G223" s="124" t="n">
        <v>0</v>
      </c>
      <c r="I223" s="124" t="n">
        <f aca="false">IF(MONTH($A223)=MONTH($A222),IF(G223=0,I222,G223),G223)</f>
        <v>0</v>
      </c>
      <c r="J223" s="124" t="n">
        <f aca="false">IF(MONTH($A223)=MONTH($A222),SUM(I223-I222),I223)</f>
        <v>0</v>
      </c>
      <c r="K223" s="124" t="n">
        <f aca="false">IF(WEEKDAY(A223,3)&gt;4,0,(IF(A223&lt;K$2,0,IF(A223&lt;=K$3,1,0))))</f>
        <v>0</v>
      </c>
      <c r="L223" s="124" t="n">
        <f aca="false">J223*K223</f>
        <v>0</v>
      </c>
      <c r="M223" s="124" t="n">
        <f aca="false">SUM(J$188:J223)</f>
        <v>0</v>
      </c>
      <c r="N223" s="124" t="n">
        <f aca="false">SUM(J$6:J223)</f>
        <v>-1376857</v>
      </c>
      <c r="P223" s="148" t="n">
        <f aca="false">D223/P$3</f>
        <v>0</v>
      </c>
      <c r="Q223" s="124" t="n">
        <f aca="false">E223/P$3</f>
        <v>0</v>
      </c>
      <c r="R223" s="124" t="n">
        <f aca="false">F223/R$3</f>
        <v>0</v>
      </c>
      <c r="S223" s="126" t="n">
        <f aca="false">J223/$R$3</f>
        <v>0</v>
      </c>
      <c r="T223" s="126" t="n">
        <f aca="false">L223/$R$3</f>
        <v>0</v>
      </c>
      <c r="U223" s="126" t="n">
        <f aca="false">I223/$R$3</f>
        <v>0</v>
      </c>
      <c r="V223" s="126" t="n">
        <f aca="false">M223/$R$3</f>
        <v>0</v>
      </c>
      <c r="W223" s="126" t="n">
        <f aca="false">N223/$R$3</f>
        <v>-1376.857</v>
      </c>
    </row>
    <row r="224" customFormat="false" ht="12.75" hidden="false" customHeight="false" outlineLevel="0" collapsed="false">
      <c r="A224" s="120" t="n">
        <f aca="false">A223+1</f>
        <v>37110</v>
      </c>
      <c r="B224" s="131" t="str">
        <f aca="false">INDEX('[4]Master Data'!$A$2:$B$8,MATCH(WEEKDAY('TBS CRD MTM'!A224,3),'[4]Master Data'!$A$2:$A$8,0),2)</f>
        <v>T</v>
      </c>
      <c r="D224" s="124" t="n">
        <v>0</v>
      </c>
      <c r="E224" s="124" t="n">
        <v>0</v>
      </c>
      <c r="F224" s="124" t="n">
        <v>0</v>
      </c>
      <c r="G224" s="124" t="n">
        <v>0</v>
      </c>
      <c r="I224" s="124" t="n">
        <f aca="false">IF(MONTH($A224)=MONTH($A223),IF(G224=0,I223,G224),G224)</f>
        <v>0</v>
      </c>
      <c r="J224" s="124" t="n">
        <f aca="false">IF(MONTH($A224)=MONTH($A223),SUM(I224-I223),I224)</f>
        <v>0</v>
      </c>
      <c r="K224" s="124" t="n">
        <f aca="false">IF(WEEKDAY(A224,3)&gt;4,0,(IF(A224&lt;K$2,0,IF(A224&lt;=K$3,1,0))))</f>
        <v>0</v>
      </c>
      <c r="L224" s="124" t="n">
        <f aca="false">J224*K224</f>
        <v>0</v>
      </c>
      <c r="M224" s="124" t="n">
        <f aca="false">SUM(J$188:J224)</f>
        <v>0</v>
      </c>
      <c r="N224" s="124" t="n">
        <f aca="false">SUM(J$6:J224)</f>
        <v>-1376857</v>
      </c>
      <c r="P224" s="148" t="n">
        <f aca="false">D224/P$3</f>
        <v>0</v>
      </c>
      <c r="Q224" s="124" t="n">
        <f aca="false">E224/P$3</f>
        <v>0</v>
      </c>
      <c r="R224" s="124" t="n">
        <f aca="false">F224/R$3</f>
        <v>0</v>
      </c>
      <c r="S224" s="126" t="n">
        <f aca="false">J224/$R$3</f>
        <v>0</v>
      </c>
      <c r="T224" s="126" t="n">
        <f aca="false">L224/$R$3</f>
        <v>0</v>
      </c>
      <c r="U224" s="126" t="n">
        <f aca="false">I224/$R$3</f>
        <v>0</v>
      </c>
      <c r="V224" s="126" t="n">
        <f aca="false">M224/$R$3</f>
        <v>0</v>
      </c>
      <c r="W224" s="126" t="n">
        <f aca="false">N224/$R$3</f>
        <v>-1376.857</v>
      </c>
    </row>
    <row r="225" customFormat="false" ht="12.75" hidden="false" customHeight="false" outlineLevel="0" collapsed="false">
      <c r="A225" s="120" t="n">
        <f aca="false">A224+1</f>
        <v>37111</v>
      </c>
      <c r="B225" s="131" t="str">
        <f aca="false">INDEX('[4]Master Data'!$A$2:$B$8,MATCH(WEEKDAY('TBS CRD MTM'!A225,3),'[4]Master Data'!$A$2:$A$8,0),2)</f>
        <v>W</v>
      </c>
      <c r="D225" s="124" t="n">
        <v>0</v>
      </c>
      <c r="E225" s="124" t="n">
        <v>0</v>
      </c>
      <c r="F225" s="124" t="n">
        <v>0</v>
      </c>
      <c r="G225" s="124" t="n">
        <v>0</v>
      </c>
      <c r="I225" s="124" t="n">
        <f aca="false">IF(MONTH($A225)=MONTH($A224),IF(G225=0,I224,G225),G225)</f>
        <v>0</v>
      </c>
      <c r="J225" s="124" t="n">
        <f aca="false">IF(MONTH($A225)=MONTH($A224),SUM(I225-I224),I225)</f>
        <v>0</v>
      </c>
      <c r="K225" s="124" t="n">
        <f aca="false">IF(WEEKDAY(A225,3)&gt;4,0,(IF(A225&lt;K$2,0,IF(A225&lt;=K$3,1,0))))</f>
        <v>0</v>
      </c>
      <c r="L225" s="124" t="n">
        <f aca="false">J225*K225</f>
        <v>0</v>
      </c>
      <c r="M225" s="124" t="n">
        <f aca="false">SUM(J$188:J225)</f>
        <v>0</v>
      </c>
      <c r="N225" s="124" t="n">
        <f aca="false">SUM(J$6:J225)</f>
        <v>-1376857</v>
      </c>
      <c r="P225" s="148" t="n">
        <f aca="false">D225/P$3</f>
        <v>0</v>
      </c>
      <c r="Q225" s="124" t="n">
        <f aca="false">E225/P$3</f>
        <v>0</v>
      </c>
      <c r="R225" s="124" t="n">
        <f aca="false">F225/R$3</f>
        <v>0</v>
      </c>
      <c r="S225" s="126" t="n">
        <f aca="false">J225/$R$3</f>
        <v>0</v>
      </c>
      <c r="T225" s="126" t="n">
        <f aca="false">L225/$R$3</f>
        <v>0</v>
      </c>
      <c r="U225" s="126" t="n">
        <f aca="false">I225/$R$3</f>
        <v>0</v>
      </c>
      <c r="V225" s="126" t="n">
        <f aca="false">M225/$R$3</f>
        <v>0</v>
      </c>
      <c r="W225" s="126" t="n">
        <f aca="false">N225/$R$3</f>
        <v>-1376.857</v>
      </c>
    </row>
    <row r="226" customFormat="false" ht="12.75" hidden="false" customHeight="false" outlineLevel="0" collapsed="false">
      <c r="A226" s="120" t="n">
        <f aca="false">A225+1</f>
        <v>37112</v>
      </c>
      <c r="B226" s="131" t="str">
        <f aca="false">INDEX('[4]Master Data'!$A$2:$B$8,MATCH(WEEKDAY('TBS CRD MTM'!A226,3),'[4]Master Data'!$A$2:$A$8,0),2)</f>
        <v>Th</v>
      </c>
      <c r="D226" s="124" t="n">
        <v>0</v>
      </c>
      <c r="E226" s="124" t="n">
        <v>0</v>
      </c>
      <c r="F226" s="124" t="n">
        <v>0</v>
      </c>
      <c r="G226" s="124" t="n">
        <v>0</v>
      </c>
      <c r="I226" s="124" t="n">
        <f aca="false">IF(MONTH($A226)=MONTH($A225),IF(G226=0,I225,G226),G226)</f>
        <v>0</v>
      </c>
      <c r="J226" s="124" t="n">
        <f aca="false">IF(MONTH($A226)=MONTH($A225),SUM(I226-I225),I226)</f>
        <v>0</v>
      </c>
      <c r="K226" s="124" t="n">
        <f aca="false">IF(WEEKDAY(A226,3)&gt;4,0,(IF(A226&lt;K$2,0,IF(A226&lt;=K$3,1,0))))</f>
        <v>0</v>
      </c>
      <c r="L226" s="124" t="n">
        <f aca="false">J226*K226</f>
        <v>0</v>
      </c>
      <c r="M226" s="124" t="n">
        <f aca="false">SUM(J$188:J226)</f>
        <v>0</v>
      </c>
      <c r="N226" s="124" t="n">
        <f aca="false">SUM(J$6:J226)</f>
        <v>-1376857</v>
      </c>
      <c r="P226" s="148" t="n">
        <f aca="false">D226/P$3</f>
        <v>0</v>
      </c>
      <c r="Q226" s="124" t="n">
        <f aca="false">E226/P$3</f>
        <v>0</v>
      </c>
      <c r="R226" s="124" t="n">
        <f aca="false">F226/R$3</f>
        <v>0</v>
      </c>
      <c r="S226" s="126" t="n">
        <f aca="false">J226/$R$3</f>
        <v>0</v>
      </c>
      <c r="T226" s="126" t="n">
        <f aca="false">L226/$R$3</f>
        <v>0</v>
      </c>
      <c r="U226" s="126" t="n">
        <f aca="false">I226/$R$3</f>
        <v>0</v>
      </c>
      <c r="V226" s="126" t="n">
        <f aca="false">M226/$R$3</f>
        <v>0</v>
      </c>
      <c r="W226" s="126" t="n">
        <f aca="false">N226/$R$3</f>
        <v>-1376.857</v>
      </c>
    </row>
    <row r="227" customFormat="false" ht="12.75" hidden="false" customHeight="false" outlineLevel="0" collapsed="false">
      <c r="A227" s="120" t="n">
        <f aca="false">A226+1</f>
        <v>37113</v>
      </c>
      <c r="B227" s="131" t="str">
        <f aca="false">INDEX('[4]Master Data'!$A$2:$B$8,MATCH(WEEKDAY('TBS CRD MTM'!A227,3),'[4]Master Data'!$A$2:$A$8,0),2)</f>
        <v>F</v>
      </c>
      <c r="D227" s="124" t="n">
        <v>0</v>
      </c>
      <c r="E227" s="124" t="n">
        <v>0</v>
      </c>
      <c r="F227" s="124" t="n">
        <v>0</v>
      </c>
      <c r="G227" s="124" t="n">
        <v>0</v>
      </c>
      <c r="I227" s="124" t="n">
        <f aca="false">IF(MONTH($A227)=MONTH($A226),IF(G227=0,I226,G227),G227)</f>
        <v>0</v>
      </c>
      <c r="J227" s="124" t="n">
        <f aca="false">IF(MONTH($A227)=MONTH($A226),SUM(I227-I226),I227)</f>
        <v>0</v>
      </c>
      <c r="K227" s="124" t="n">
        <f aca="false">IF(WEEKDAY(A227,3)&gt;4,0,(IF(A227&lt;K$2,0,IF(A227&lt;=K$3,1,0))))</f>
        <v>0</v>
      </c>
      <c r="L227" s="124" t="n">
        <f aca="false">J227*K227</f>
        <v>0</v>
      </c>
      <c r="M227" s="124" t="n">
        <f aca="false">SUM(J$188:J227)</f>
        <v>0</v>
      </c>
      <c r="N227" s="124" t="n">
        <f aca="false">SUM(J$6:J227)</f>
        <v>-1376857</v>
      </c>
      <c r="P227" s="148" t="n">
        <f aca="false">D227/P$3</f>
        <v>0</v>
      </c>
      <c r="Q227" s="124" t="n">
        <f aca="false">E227/P$3</f>
        <v>0</v>
      </c>
      <c r="R227" s="124" t="n">
        <f aca="false">F227/R$3</f>
        <v>0</v>
      </c>
      <c r="S227" s="126" t="n">
        <f aca="false">J227/$R$3</f>
        <v>0</v>
      </c>
      <c r="T227" s="126" t="n">
        <f aca="false">L227/$R$3</f>
        <v>0</v>
      </c>
      <c r="U227" s="126" t="n">
        <f aca="false">I227/$R$3</f>
        <v>0</v>
      </c>
      <c r="V227" s="126" t="n">
        <f aca="false">M227/$R$3</f>
        <v>0</v>
      </c>
      <c r="W227" s="126" t="n">
        <f aca="false">N227/$R$3</f>
        <v>-1376.857</v>
      </c>
    </row>
    <row r="228" customFormat="false" ht="12.75" hidden="false" customHeight="false" outlineLevel="0" collapsed="false">
      <c r="A228" s="120" t="n">
        <f aca="false">A227+1</f>
        <v>37114</v>
      </c>
      <c r="B228" s="131" t="str">
        <f aca="false">INDEX('[4]Master Data'!$A$2:$B$8,MATCH(WEEKDAY('TBS CRD MTM'!A228,3),'[4]Master Data'!$A$2:$A$8,0),2)</f>
        <v>Sa</v>
      </c>
      <c r="D228" s="124" t="n">
        <v>0</v>
      </c>
      <c r="E228" s="124" t="n">
        <v>0</v>
      </c>
      <c r="F228" s="124" t="n">
        <v>0</v>
      </c>
      <c r="G228" s="124" t="n">
        <v>0</v>
      </c>
      <c r="I228" s="124" t="n">
        <f aca="false">IF(MONTH($A228)=MONTH($A227),IF(G228=0,I227,G228),G228)</f>
        <v>0</v>
      </c>
      <c r="J228" s="124" t="n">
        <f aca="false">IF(MONTH($A228)=MONTH($A227),SUM(I228-I227),I228)</f>
        <v>0</v>
      </c>
      <c r="K228" s="124" t="n">
        <f aca="false">IF(WEEKDAY(A228,3)&gt;4,0,(IF(A228&lt;K$2,0,IF(A228&lt;=K$3,1,0))))</f>
        <v>0</v>
      </c>
      <c r="L228" s="124" t="n">
        <f aca="false">J228*K228</f>
        <v>0</v>
      </c>
      <c r="M228" s="124" t="n">
        <f aca="false">SUM(J$188:J228)</f>
        <v>0</v>
      </c>
      <c r="N228" s="124" t="n">
        <f aca="false">SUM(J$6:J228)</f>
        <v>-1376857</v>
      </c>
      <c r="P228" s="148" t="n">
        <f aca="false">D228/P$3</f>
        <v>0</v>
      </c>
      <c r="Q228" s="124" t="n">
        <f aca="false">E228/P$3</f>
        <v>0</v>
      </c>
      <c r="R228" s="124" t="n">
        <f aca="false">F228/R$3</f>
        <v>0</v>
      </c>
      <c r="S228" s="126" t="n">
        <f aca="false">J228/$R$3</f>
        <v>0</v>
      </c>
      <c r="T228" s="126" t="n">
        <f aca="false">L228/$R$3</f>
        <v>0</v>
      </c>
      <c r="U228" s="126" t="n">
        <f aca="false">I228/$R$3</f>
        <v>0</v>
      </c>
      <c r="V228" s="126" t="n">
        <f aca="false">M228/$R$3</f>
        <v>0</v>
      </c>
      <c r="W228" s="126" t="n">
        <f aca="false">N228/$R$3</f>
        <v>-1376.857</v>
      </c>
    </row>
    <row r="229" customFormat="false" ht="12.75" hidden="false" customHeight="false" outlineLevel="0" collapsed="false">
      <c r="A229" s="120" t="n">
        <f aca="false">A228+1</f>
        <v>37115</v>
      </c>
      <c r="B229" s="131" t="str">
        <f aca="false">INDEX('[4]Master Data'!$A$2:$B$8,MATCH(WEEKDAY('TBS CRD MTM'!A229,3),'[4]Master Data'!$A$2:$A$8,0),2)</f>
        <v>Su</v>
      </c>
      <c r="D229" s="124" t="n">
        <v>0</v>
      </c>
      <c r="E229" s="124" t="n">
        <v>0</v>
      </c>
      <c r="F229" s="124" t="n">
        <v>0</v>
      </c>
      <c r="G229" s="124" t="n">
        <v>0</v>
      </c>
      <c r="I229" s="124" t="n">
        <f aca="false">IF(MONTH($A229)=MONTH($A228),IF(G229=0,I228,G229),G229)</f>
        <v>0</v>
      </c>
      <c r="J229" s="124" t="n">
        <f aca="false">IF(MONTH($A229)=MONTH($A228),SUM(I229-I228),I229)</f>
        <v>0</v>
      </c>
      <c r="K229" s="124" t="n">
        <f aca="false">IF(WEEKDAY(A229,3)&gt;4,0,(IF(A229&lt;K$2,0,IF(A229&lt;=K$3,1,0))))</f>
        <v>0</v>
      </c>
      <c r="L229" s="124" t="n">
        <f aca="false">J229*K229</f>
        <v>0</v>
      </c>
      <c r="M229" s="124" t="n">
        <f aca="false">SUM(J$188:J229)</f>
        <v>0</v>
      </c>
      <c r="N229" s="124" t="n">
        <f aca="false">SUM(J$6:J229)</f>
        <v>-1376857</v>
      </c>
      <c r="P229" s="148" t="n">
        <f aca="false">D229/P$3</f>
        <v>0</v>
      </c>
      <c r="Q229" s="124" t="n">
        <f aca="false">E229/P$3</f>
        <v>0</v>
      </c>
      <c r="R229" s="124" t="n">
        <f aca="false">F229/R$3</f>
        <v>0</v>
      </c>
      <c r="S229" s="126" t="n">
        <f aca="false">J229/$R$3</f>
        <v>0</v>
      </c>
      <c r="T229" s="126" t="n">
        <f aca="false">L229/$R$3</f>
        <v>0</v>
      </c>
      <c r="U229" s="126" t="n">
        <f aca="false">I229/$R$3</f>
        <v>0</v>
      </c>
      <c r="V229" s="126" t="n">
        <f aca="false">M229/$R$3</f>
        <v>0</v>
      </c>
      <c r="W229" s="126" t="n">
        <f aca="false">N229/$R$3</f>
        <v>-1376.857</v>
      </c>
    </row>
    <row r="230" customFormat="false" ht="12.75" hidden="false" customHeight="false" outlineLevel="0" collapsed="false">
      <c r="A230" s="120" t="n">
        <f aca="false">A229+1</f>
        <v>37116</v>
      </c>
      <c r="B230" s="131" t="str">
        <f aca="false">INDEX('[4]Master Data'!$A$2:$B$8,MATCH(WEEKDAY('TBS CRD MTM'!A230,3),'[4]Master Data'!$A$2:$A$8,0),2)</f>
        <v>M</v>
      </c>
      <c r="D230" s="124" t="n">
        <v>0</v>
      </c>
      <c r="E230" s="124" t="n">
        <v>0</v>
      </c>
      <c r="F230" s="124" t="n">
        <v>0</v>
      </c>
      <c r="G230" s="124" t="n">
        <v>0</v>
      </c>
      <c r="I230" s="124" t="n">
        <f aca="false">IF(MONTH($A230)=MONTH($A229),IF(G230=0,I229,G230),G230)</f>
        <v>0</v>
      </c>
      <c r="J230" s="124" t="n">
        <f aca="false">IF(MONTH($A230)=MONTH($A229),SUM(I230-I229),I230)</f>
        <v>0</v>
      </c>
      <c r="K230" s="124" t="n">
        <f aca="false">IF(WEEKDAY(A230,3)&gt;4,0,(IF(A230&lt;K$2,0,IF(A230&lt;=K$3,1,0))))</f>
        <v>0</v>
      </c>
      <c r="L230" s="124" t="n">
        <f aca="false">J230*K230</f>
        <v>0</v>
      </c>
      <c r="M230" s="124" t="n">
        <f aca="false">SUM(J$188:J230)</f>
        <v>0</v>
      </c>
      <c r="N230" s="124" t="n">
        <f aca="false">SUM(J$6:J230)</f>
        <v>-1376857</v>
      </c>
      <c r="P230" s="148" t="n">
        <f aca="false">D230/P$3</f>
        <v>0</v>
      </c>
      <c r="Q230" s="124" t="n">
        <f aca="false">E230/P$3</f>
        <v>0</v>
      </c>
      <c r="R230" s="124" t="n">
        <f aca="false">F230/R$3</f>
        <v>0</v>
      </c>
      <c r="S230" s="126" t="n">
        <f aca="false">J230/$R$3</f>
        <v>0</v>
      </c>
      <c r="T230" s="126" t="n">
        <f aca="false">L230/$R$3</f>
        <v>0</v>
      </c>
      <c r="U230" s="126" t="n">
        <f aca="false">I230/$R$3</f>
        <v>0</v>
      </c>
      <c r="V230" s="126" t="n">
        <f aca="false">M230/$R$3</f>
        <v>0</v>
      </c>
      <c r="W230" s="126" t="n">
        <f aca="false">N230/$R$3</f>
        <v>-1376.857</v>
      </c>
    </row>
    <row r="231" customFormat="false" ht="12.75" hidden="false" customHeight="false" outlineLevel="0" collapsed="false">
      <c r="A231" s="120" t="n">
        <f aca="false">A230+1</f>
        <v>37117</v>
      </c>
      <c r="B231" s="131" t="str">
        <f aca="false">INDEX('[4]Master Data'!$A$2:$B$8,MATCH(WEEKDAY('TBS CRD MTM'!A231,3),'[4]Master Data'!$A$2:$A$8,0),2)</f>
        <v>T</v>
      </c>
      <c r="D231" s="124" t="n">
        <v>0</v>
      </c>
      <c r="E231" s="124" t="n">
        <v>0</v>
      </c>
      <c r="F231" s="124" t="n">
        <v>0</v>
      </c>
      <c r="G231" s="124" t="n">
        <v>0</v>
      </c>
      <c r="I231" s="124" t="n">
        <f aca="false">IF(MONTH($A231)=MONTH($A230),IF(G231=0,I230,G231),G231)</f>
        <v>0</v>
      </c>
      <c r="J231" s="124" t="n">
        <f aca="false">IF(MONTH($A231)=MONTH($A230),SUM(I231-I230),I231)</f>
        <v>0</v>
      </c>
      <c r="K231" s="124" t="n">
        <f aca="false">IF(WEEKDAY(A231,3)&gt;4,0,(IF(A231&lt;K$2,0,IF(A231&lt;=K$3,1,0))))</f>
        <v>0</v>
      </c>
      <c r="L231" s="124" t="n">
        <f aca="false">J231*K231</f>
        <v>0</v>
      </c>
      <c r="M231" s="124" t="n">
        <f aca="false">SUM(J$188:J231)</f>
        <v>0</v>
      </c>
      <c r="N231" s="124" t="n">
        <f aca="false">SUM(J$6:J231)</f>
        <v>-1376857</v>
      </c>
      <c r="P231" s="148" t="n">
        <f aca="false">D231/P$3</f>
        <v>0</v>
      </c>
      <c r="Q231" s="124" t="n">
        <f aca="false">E231/P$3</f>
        <v>0</v>
      </c>
      <c r="R231" s="124" t="n">
        <f aca="false">F231/R$3</f>
        <v>0</v>
      </c>
      <c r="S231" s="126" t="n">
        <f aca="false">J231/$R$3</f>
        <v>0</v>
      </c>
      <c r="T231" s="126" t="n">
        <f aca="false">L231/$R$3</f>
        <v>0</v>
      </c>
      <c r="U231" s="126" t="n">
        <f aca="false">I231/$R$3</f>
        <v>0</v>
      </c>
      <c r="V231" s="126" t="n">
        <f aca="false">M231/$R$3</f>
        <v>0</v>
      </c>
      <c r="W231" s="126" t="n">
        <f aca="false">N231/$R$3</f>
        <v>-1376.857</v>
      </c>
    </row>
    <row r="232" customFormat="false" ht="12.75" hidden="false" customHeight="false" outlineLevel="0" collapsed="false">
      <c r="A232" s="120" t="n">
        <f aca="false">A231+1</f>
        <v>37118</v>
      </c>
      <c r="B232" s="131" t="str">
        <f aca="false">INDEX('[4]Master Data'!$A$2:$B$8,MATCH(WEEKDAY('TBS CRD MTM'!A232,3),'[4]Master Data'!$A$2:$A$8,0),2)</f>
        <v>W</v>
      </c>
      <c r="D232" s="124" t="n">
        <v>0</v>
      </c>
      <c r="E232" s="124" t="n">
        <v>0</v>
      </c>
      <c r="F232" s="124" t="n">
        <v>0</v>
      </c>
      <c r="G232" s="124" t="n">
        <v>0</v>
      </c>
      <c r="I232" s="124" t="n">
        <f aca="false">IF(MONTH($A232)=MONTH($A231),IF(G232=0,I231,G232),G232)</f>
        <v>0</v>
      </c>
      <c r="J232" s="124" t="n">
        <f aca="false">IF(MONTH($A232)=MONTH($A231),SUM(I232-I231),I232)</f>
        <v>0</v>
      </c>
      <c r="K232" s="124" t="n">
        <f aca="false">IF(WEEKDAY(A232,3)&gt;4,0,(IF(A232&lt;K$2,0,IF(A232&lt;=K$3,1,0))))</f>
        <v>0</v>
      </c>
      <c r="L232" s="124" t="n">
        <f aca="false">J232*K232</f>
        <v>0</v>
      </c>
      <c r="M232" s="124" t="n">
        <f aca="false">SUM(J$188:J232)</f>
        <v>0</v>
      </c>
      <c r="N232" s="124" t="n">
        <f aca="false">SUM(J$6:J232)</f>
        <v>-1376857</v>
      </c>
      <c r="P232" s="148" t="n">
        <f aca="false">D232/P$3</f>
        <v>0</v>
      </c>
      <c r="Q232" s="124" t="n">
        <f aca="false">E232/P$3</f>
        <v>0</v>
      </c>
      <c r="R232" s="124" t="n">
        <f aca="false">F232/R$3</f>
        <v>0</v>
      </c>
      <c r="S232" s="126" t="n">
        <f aca="false">J232/$R$3</f>
        <v>0</v>
      </c>
      <c r="T232" s="126" t="n">
        <f aca="false">L232/$R$3</f>
        <v>0</v>
      </c>
      <c r="U232" s="126" t="n">
        <f aca="false">I232/$R$3</f>
        <v>0</v>
      </c>
      <c r="V232" s="126" t="n">
        <f aca="false">M232/$R$3</f>
        <v>0</v>
      </c>
      <c r="W232" s="126" t="n">
        <f aca="false">N232/$R$3</f>
        <v>-1376.857</v>
      </c>
    </row>
    <row r="233" customFormat="false" ht="12.75" hidden="false" customHeight="false" outlineLevel="0" collapsed="false">
      <c r="A233" s="120" t="n">
        <f aca="false">A232+1</f>
        <v>37119</v>
      </c>
      <c r="B233" s="131" t="str">
        <f aca="false">INDEX('[4]Master Data'!$A$2:$B$8,MATCH(WEEKDAY('TBS CRD MTM'!A233,3),'[4]Master Data'!$A$2:$A$8,0),2)</f>
        <v>Th</v>
      </c>
      <c r="D233" s="124" t="n">
        <v>0</v>
      </c>
      <c r="E233" s="124" t="n">
        <v>0</v>
      </c>
      <c r="F233" s="124" t="n">
        <v>0</v>
      </c>
      <c r="G233" s="124" t="n">
        <v>0</v>
      </c>
      <c r="I233" s="124" t="n">
        <f aca="false">IF(MONTH($A233)=MONTH($A232),IF(G233=0,I232,G233),G233)</f>
        <v>0</v>
      </c>
      <c r="J233" s="124" t="n">
        <f aca="false">IF(MONTH($A233)=MONTH($A232),SUM(I233-I232),I233)</f>
        <v>0</v>
      </c>
      <c r="K233" s="124" t="n">
        <f aca="false">IF(WEEKDAY(A233,3)&gt;4,0,(IF(A233&lt;K$2,0,IF(A233&lt;=K$3,1,0))))</f>
        <v>0</v>
      </c>
      <c r="L233" s="124" t="n">
        <f aca="false">J233*K233</f>
        <v>0</v>
      </c>
      <c r="M233" s="124" t="n">
        <f aca="false">SUM(J$188:J233)</f>
        <v>0</v>
      </c>
      <c r="N233" s="124" t="n">
        <f aca="false">SUM(J$6:J233)</f>
        <v>-1376857</v>
      </c>
      <c r="P233" s="148" t="n">
        <f aca="false">D233/P$3</f>
        <v>0</v>
      </c>
      <c r="Q233" s="124" t="n">
        <f aca="false">E233/P$3</f>
        <v>0</v>
      </c>
      <c r="R233" s="124" t="n">
        <f aca="false">F233/R$3</f>
        <v>0</v>
      </c>
      <c r="S233" s="126" t="n">
        <f aca="false">J233/$R$3</f>
        <v>0</v>
      </c>
      <c r="T233" s="126" t="n">
        <f aca="false">L233/$R$3</f>
        <v>0</v>
      </c>
      <c r="U233" s="126" t="n">
        <f aca="false">I233/$R$3</f>
        <v>0</v>
      </c>
      <c r="V233" s="126" t="n">
        <f aca="false">M233/$R$3</f>
        <v>0</v>
      </c>
      <c r="W233" s="126" t="n">
        <f aca="false">N233/$R$3</f>
        <v>-1376.857</v>
      </c>
    </row>
    <row r="234" customFormat="false" ht="12.75" hidden="false" customHeight="false" outlineLevel="0" collapsed="false">
      <c r="A234" s="120" t="n">
        <f aca="false">A233+1</f>
        <v>37120</v>
      </c>
      <c r="B234" s="131" t="str">
        <f aca="false">INDEX('[4]Master Data'!$A$2:$B$8,MATCH(WEEKDAY('TBS CRD MTM'!A234,3),'[4]Master Data'!$A$2:$A$8,0),2)</f>
        <v>F</v>
      </c>
      <c r="D234" s="124" t="n">
        <v>0</v>
      </c>
      <c r="E234" s="124" t="n">
        <v>0</v>
      </c>
      <c r="F234" s="124" t="n">
        <v>0</v>
      </c>
      <c r="G234" s="124" t="n">
        <v>0</v>
      </c>
      <c r="I234" s="124" t="n">
        <f aca="false">IF(MONTH($A234)=MONTH($A233),IF(G234=0,I233,G234),G234)</f>
        <v>0</v>
      </c>
      <c r="J234" s="124" t="n">
        <f aca="false">IF(MONTH($A234)=MONTH($A233),SUM(I234-I233),I234)</f>
        <v>0</v>
      </c>
      <c r="K234" s="124" t="n">
        <f aca="false">IF(WEEKDAY(A234,3)&gt;4,0,(IF(A234&lt;K$2,0,IF(A234&lt;=K$3,1,0))))</f>
        <v>0</v>
      </c>
      <c r="L234" s="124" t="n">
        <f aca="false">J234*K234</f>
        <v>0</v>
      </c>
      <c r="M234" s="124" t="n">
        <f aca="false">SUM(J$188:J234)</f>
        <v>0</v>
      </c>
      <c r="N234" s="124" t="n">
        <f aca="false">SUM(J$6:J234)</f>
        <v>-1376857</v>
      </c>
      <c r="P234" s="148" t="n">
        <f aca="false">D234/P$3</f>
        <v>0</v>
      </c>
      <c r="Q234" s="124" t="n">
        <f aca="false">E234/P$3</f>
        <v>0</v>
      </c>
      <c r="R234" s="124" t="n">
        <f aca="false">F234/R$3</f>
        <v>0</v>
      </c>
      <c r="S234" s="126" t="n">
        <f aca="false">J234/$R$3</f>
        <v>0</v>
      </c>
      <c r="T234" s="126" t="n">
        <f aca="false">L234/$R$3</f>
        <v>0</v>
      </c>
      <c r="U234" s="126" t="n">
        <f aca="false">I234/$R$3</f>
        <v>0</v>
      </c>
      <c r="V234" s="126" t="n">
        <f aca="false">M234/$R$3</f>
        <v>0</v>
      </c>
      <c r="W234" s="126" t="n">
        <f aca="false">N234/$R$3</f>
        <v>-1376.857</v>
      </c>
    </row>
    <row r="235" customFormat="false" ht="12.75" hidden="false" customHeight="false" outlineLevel="0" collapsed="false">
      <c r="A235" s="120" t="n">
        <f aca="false">A234+1</f>
        <v>37121</v>
      </c>
      <c r="B235" s="131" t="str">
        <f aca="false">INDEX('[4]Master Data'!$A$2:$B$8,MATCH(WEEKDAY('TBS CRD MTM'!A235,3),'[4]Master Data'!$A$2:$A$8,0),2)</f>
        <v>Sa</v>
      </c>
      <c r="D235" s="124" t="n">
        <v>0</v>
      </c>
      <c r="E235" s="124" t="n">
        <v>0</v>
      </c>
      <c r="F235" s="124" t="n">
        <v>0</v>
      </c>
      <c r="G235" s="124" t="n">
        <v>0</v>
      </c>
      <c r="I235" s="124" t="n">
        <f aca="false">IF(MONTH($A235)=MONTH($A234),IF(G235=0,I234,G235),G235)</f>
        <v>0</v>
      </c>
      <c r="J235" s="124" t="n">
        <f aca="false">IF(MONTH($A235)=MONTH($A234),SUM(I235-I234),I235)</f>
        <v>0</v>
      </c>
      <c r="K235" s="124" t="n">
        <f aca="false">IF(WEEKDAY(A235,3)&gt;4,0,(IF(A235&lt;K$2,0,IF(A235&lt;=K$3,1,0))))</f>
        <v>0</v>
      </c>
      <c r="L235" s="124" t="n">
        <f aca="false">J235*K235</f>
        <v>0</v>
      </c>
      <c r="M235" s="124" t="n">
        <f aca="false">SUM(J$188:J235)</f>
        <v>0</v>
      </c>
      <c r="N235" s="124" t="n">
        <f aca="false">SUM(J$6:J235)</f>
        <v>-1376857</v>
      </c>
      <c r="P235" s="148" t="n">
        <f aca="false">D235/P$3</f>
        <v>0</v>
      </c>
      <c r="Q235" s="124" t="n">
        <f aca="false">E235/P$3</f>
        <v>0</v>
      </c>
      <c r="R235" s="124" t="n">
        <f aca="false">F235/R$3</f>
        <v>0</v>
      </c>
      <c r="S235" s="126" t="n">
        <f aca="false">J235/$R$3</f>
        <v>0</v>
      </c>
      <c r="T235" s="126" t="n">
        <f aca="false">L235/$R$3</f>
        <v>0</v>
      </c>
      <c r="U235" s="126" t="n">
        <f aca="false">I235/$R$3</f>
        <v>0</v>
      </c>
      <c r="V235" s="126" t="n">
        <f aca="false">M235/$R$3</f>
        <v>0</v>
      </c>
      <c r="W235" s="126" t="n">
        <f aca="false">N235/$R$3</f>
        <v>-1376.857</v>
      </c>
    </row>
    <row r="236" customFormat="false" ht="12.75" hidden="false" customHeight="false" outlineLevel="0" collapsed="false">
      <c r="A236" s="120" t="n">
        <f aca="false">A235+1</f>
        <v>37122</v>
      </c>
      <c r="B236" s="131" t="str">
        <f aca="false">INDEX('[4]Master Data'!$A$2:$B$8,MATCH(WEEKDAY('TBS CRD MTM'!A236,3),'[4]Master Data'!$A$2:$A$8,0),2)</f>
        <v>Su</v>
      </c>
      <c r="D236" s="124" t="n">
        <v>0</v>
      </c>
      <c r="E236" s="124" t="n">
        <v>0</v>
      </c>
      <c r="F236" s="124" t="n">
        <v>0</v>
      </c>
      <c r="G236" s="124" t="n">
        <v>0</v>
      </c>
      <c r="I236" s="124" t="n">
        <f aca="false">IF(MONTH($A236)=MONTH($A235),IF(G236=0,I235,G236),G236)</f>
        <v>0</v>
      </c>
      <c r="J236" s="124" t="n">
        <f aca="false">IF(MONTH($A236)=MONTH($A235),SUM(I236-I235),I236)</f>
        <v>0</v>
      </c>
      <c r="K236" s="124" t="n">
        <f aca="false">IF(WEEKDAY(A236,3)&gt;4,0,(IF(A236&lt;K$2,0,IF(A236&lt;=K$3,1,0))))</f>
        <v>0</v>
      </c>
      <c r="L236" s="124" t="n">
        <f aca="false">J236*K236</f>
        <v>0</v>
      </c>
      <c r="M236" s="124" t="n">
        <f aca="false">SUM(J$188:J236)</f>
        <v>0</v>
      </c>
      <c r="N236" s="124" t="n">
        <f aca="false">SUM(J$6:J236)</f>
        <v>-1376857</v>
      </c>
      <c r="P236" s="148" t="n">
        <f aca="false">D236/P$3</f>
        <v>0</v>
      </c>
      <c r="Q236" s="124" t="n">
        <f aca="false">E236/P$3</f>
        <v>0</v>
      </c>
      <c r="R236" s="124" t="n">
        <f aca="false">F236/R$3</f>
        <v>0</v>
      </c>
      <c r="S236" s="126" t="n">
        <f aca="false">J236/$R$3</f>
        <v>0</v>
      </c>
      <c r="T236" s="126" t="n">
        <f aca="false">L236/$R$3</f>
        <v>0</v>
      </c>
      <c r="U236" s="126" t="n">
        <f aca="false">I236/$R$3</f>
        <v>0</v>
      </c>
      <c r="V236" s="126" t="n">
        <f aca="false">M236/$R$3</f>
        <v>0</v>
      </c>
      <c r="W236" s="126" t="n">
        <f aca="false">N236/$R$3</f>
        <v>-1376.857</v>
      </c>
    </row>
    <row r="237" customFormat="false" ht="12.75" hidden="false" customHeight="false" outlineLevel="0" collapsed="false">
      <c r="A237" s="120" t="n">
        <f aca="false">A236+1</f>
        <v>37123</v>
      </c>
      <c r="B237" s="131" t="str">
        <f aca="false">INDEX('[4]Master Data'!$A$2:$B$8,MATCH(WEEKDAY('TBS CRD MTM'!A237,3),'[4]Master Data'!$A$2:$A$8,0),2)</f>
        <v>M</v>
      </c>
      <c r="D237" s="124" t="n">
        <v>0</v>
      </c>
      <c r="E237" s="124" t="n">
        <v>0</v>
      </c>
      <c r="F237" s="124" t="n">
        <v>0</v>
      </c>
      <c r="G237" s="124" t="n">
        <v>0</v>
      </c>
      <c r="I237" s="124" t="n">
        <f aca="false">IF(MONTH($A237)=MONTH($A236),IF(G237=0,I236,G237),G237)</f>
        <v>0</v>
      </c>
      <c r="J237" s="124" t="n">
        <f aca="false">IF(MONTH($A237)=MONTH($A236),SUM(I237-I236),I237)</f>
        <v>0</v>
      </c>
      <c r="K237" s="124" t="n">
        <f aca="false">IF(WEEKDAY(A237,3)&gt;4,0,(IF(A237&lt;K$2,0,IF(A237&lt;=K$3,1,0))))</f>
        <v>0</v>
      </c>
      <c r="L237" s="124" t="n">
        <f aca="false">J237*K237</f>
        <v>0</v>
      </c>
      <c r="M237" s="124" t="n">
        <f aca="false">SUM(J$188:J237)</f>
        <v>0</v>
      </c>
      <c r="N237" s="124" t="n">
        <f aca="false">SUM(J$6:J237)</f>
        <v>-1376857</v>
      </c>
      <c r="P237" s="148" t="n">
        <f aca="false">D237/P$3</f>
        <v>0</v>
      </c>
      <c r="Q237" s="124" t="n">
        <f aca="false">E237/P$3</f>
        <v>0</v>
      </c>
      <c r="R237" s="124" t="n">
        <f aca="false">F237/R$3</f>
        <v>0</v>
      </c>
      <c r="S237" s="126" t="n">
        <f aca="false">J237/$R$3</f>
        <v>0</v>
      </c>
      <c r="T237" s="126" t="n">
        <f aca="false">L237/$R$3</f>
        <v>0</v>
      </c>
      <c r="U237" s="126" t="n">
        <f aca="false">I237/$R$3</f>
        <v>0</v>
      </c>
      <c r="V237" s="126" t="n">
        <f aca="false">M237/$R$3</f>
        <v>0</v>
      </c>
      <c r="W237" s="126" t="n">
        <f aca="false">N237/$R$3</f>
        <v>-1376.857</v>
      </c>
    </row>
    <row r="238" customFormat="false" ht="12.75" hidden="false" customHeight="false" outlineLevel="0" collapsed="false">
      <c r="A238" s="120" t="n">
        <f aca="false">A237+1</f>
        <v>37124</v>
      </c>
      <c r="B238" s="131" t="str">
        <f aca="false">INDEX('[4]Master Data'!$A$2:$B$8,MATCH(WEEKDAY('TBS CRD MTM'!A238,3),'[4]Master Data'!$A$2:$A$8,0),2)</f>
        <v>T</v>
      </c>
      <c r="D238" s="124" t="n">
        <v>0</v>
      </c>
      <c r="E238" s="124" t="n">
        <v>0</v>
      </c>
      <c r="F238" s="124" t="n">
        <v>0</v>
      </c>
      <c r="G238" s="124" t="n">
        <v>0</v>
      </c>
      <c r="I238" s="124" t="n">
        <f aca="false">IF(MONTH($A238)=MONTH($A237),IF(G238=0,I237,G238),G238)</f>
        <v>0</v>
      </c>
      <c r="J238" s="124" t="n">
        <f aca="false">IF(MONTH($A238)=MONTH($A237),SUM(I238-I237),I238)</f>
        <v>0</v>
      </c>
      <c r="K238" s="124" t="n">
        <f aca="false">IF(WEEKDAY(A238,3)&gt;4,0,(IF(A238&lt;K$2,0,IF(A238&lt;=K$3,1,0))))</f>
        <v>0</v>
      </c>
      <c r="L238" s="124" t="n">
        <f aca="false">J238*K238</f>
        <v>0</v>
      </c>
      <c r="M238" s="124" t="n">
        <f aca="false">SUM(J$188:J238)</f>
        <v>0</v>
      </c>
      <c r="N238" s="124" t="n">
        <f aca="false">SUM(J$6:J238)</f>
        <v>-1376857</v>
      </c>
      <c r="P238" s="148" t="n">
        <f aca="false">D238/P$3</f>
        <v>0</v>
      </c>
      <c r="Q238" s="124" t="n">
        <f aca="false">E238/P$3</f>
        <v>0</v>
      </c>
      <c r="R238" s="124" t="n">
        <f aca="false">F238/R$3</f>
        <v>0</v>
      </c>
      <c r="S238" s="126" t="n">
        <f aca="false">J238/$R$3</f>
        <v>0</v>
      </c>
      <c r="T238" s="126" t="n">
        <f aca="false">L238/$R$3</f>
        <v>0</v>
      </c>
      <c r="U238" s="126" t="n">
        <f aca="false">I238/$R$3</f>
        <v>0</v>
      </c>
      <c r="V238" s="126" t="n">
        <f aca="false">M238/$R$3</f>
        <v>0</v>
      </c>
      <c r="W238" s="126" t="n">
        <f aca="false">N238/$R$3</f>
        <v>-1376.857</v>
      </c>
    </row>
    <row r="239" customFormat="false" ht="12.75" hidden="false" customHeight="false" outlineLevel="0" collapsed="false">
      <c r="A239" s="120" t="n">
        <f aca="false">A238+1</f>
        <v>37125</v>
      </c>
      <c r="B239" s="131" t="str">
        <f aca="false">INDEX('[4]Master Data'!$A$2:$B$8,MATCH(WEEKDAY('TBS CRD MTM'!A239,3),'[4]Master Data'!$A$2:$A$8,0),2)</f>
        <v>W</v>
      </c>
      <c r="D239" s="124" t="n">
        <v>0</v>
      </c>
      <c r="E239" s="124" t="n">
        <v>0</v>
      </c>
      <c r="F239" s="124" t="n">
        <v>0</v>
      </c>
      <c r="G239" s="124" t="n">
        <v>0</v>
      </c>
      <c r="I239" s="124" t="n">
        <f aca="false">IF(MONTH($A239)=MONTH($A238),IF(G239=0,I238,G239),G239)</f>
        <v>0</v>
      </c>
      <c r="J239" s="124" t="n">
        <f aca="false">IF(MONTH($A239)=MONTH($A238),SUM(I239-I238),I239)</f>
        <v>0</v>
      </c>
      <c r="K239" s="124" t="n">
        <f aca="false">IF(WEEKDAY(A239,3)&gt;4,0,(IF(A239&lt;K$2,0,IF(A239&lt;=K$3,1,0))))</f>
        <v>0</v>
      </c>
      <c r="L239" s="124" t="n">
        <f aca="false">J239*K239</f>
        <v>0</v>
      </c>
      <c r="M239" s="124" t="n">
        <f aca="false">SUM(J$188:J239)</f>
        <v>0</v>
      </c>
      <c r="N239" s="124" t="n">
        <f aca="false">SUM(J$6:J239)</f>
        <v>-1376857</v>
      </c>
      <c r="P239" s="148" t="n">
        <f aca="false">D239/P$3</f>
        <v>0</v>
      </c>
      <c r="Q239" s="124" t="n">
        <f aca="false">E239/P$3</f>
        <v>0</v>
      </c>
      <c r="R239" s="124" t="n">
        <f aca="false">F239/R$3</f>
        <v>0</v>
      </c>
      <c r="S239" s="126" t="n">
        <f aca="false">J239/$R$3</f>
        <v>0</v>
      </c>
      <c r="T239" s="126" t="n">
        <f aca="false">L239/$R$3</f>
        <v>0</v>
      </c>
      <c r="U239" s="126" t="n">
        <f aca="false">I239/$R$3</f>
        <v>0</v>
      </c>
      <c r="V239" s="126" t="n">
        <f aca="false">M239/$R$3</f>
        <v>0</v>
      </c>
      <c r="W239" s="126" t="n">
        <f aca="false">N239/$R$3</f>
        <v>-1376.857</v>
      </c>
    </row>
    <row r="240" customFormat="false" ht="12.75" hidden="false" customHeight="false" outlineLevel="0" collapsed="false">
      <c r="A240" s="120" t="n">
        <f aca="false">A239+1</f>
        <v>37126</v>
      </c>
      <c r="B240" s="131" t="str">
        <f aca="false">INDEX('[4]Master Data'!$A$2:$B$8,MATCH(WEEKDAY('TBS CRD MTM'!A240,3),'[4]Master Data'!$A$2:$A$8,0),2)</f>
        <v>Th</v>
      </c>
      <c r="D240" s="124" t="n">
        <v>0</v>
      </c>
      <c r="E240" s="124" t="n">
        <v>0</v>
      </c>
      <c r="F240" s="124" t="n">
        <v>0</v>
      </c>
      <c r="G240" s="124" t="n">
        <v>0</v>
      </c>
      <c r="I240" s="124" t="n">
        <f aca="false">IF(MONTH($A240)=MONTH($A239),IF(G240=0,I239,G240),G240)</f>
        <v>0</v>
      </c>
      <c r="J240" s="124" t="n">
        <f aca="false">IF(MONTH($A240)=MONTH($A239),SUM(I240-I239),I240)</f>
        <v>0</v>
      </c>
      <c r="K240" s="124" t="n">
        <f aca="false">IF(WEEKDAY(A240,3)&gt;4,0,(IF(A240&lt;K$2,0,IF(A240&lt;=K$3,1,0))))</f>
        <v>0</v>
      </c>
      <c r="L240" s="124" t="n">
        <f aca="false">J240*K240</f>
        <v>0</v>
      </c>
      <c r="M240" s="124" t="n">
        <f aca="false">SUM(J$188:J240)</f>
        <v>0</v>
      </c>
      <c r="N240" s="124" t="n">
        <f aca="false">SUM(J$6:J240)</f>
        <v>-1376857</v>
      </c>
      <c r="P240" s="148" t="n">
        <f aca="false">D240/P$3</f>
        <v>0</v>
      </c>
      <c r="Q240" s="124" t="n">
        <f aca="false">E240/P$3</f>
        <v>0</v>
      </c>
      <c r="R240" s="124" t="n">
        <f aca="false">F240/R$3</f>
        <v>0</v>
      </c>
      <c r="S240" s="126" t="n">
        <f aca="false">J240/$R$3</f>
        <v>0</v>
      </c>
      <c r="T240" s="126" t="n">
        <f aca="false">L240/$R$3</f>
        <v>0</v>
      </c>
      <c r="U240" s="126" t="n">
        <f aca="false">I240/$R$3</f>
        <v>0</v>
      </c>
      <c r="V240" s="126" t="n">
        <f aca="false">M240/$R$3</f>
        <v>0</v>
      </c>
      <c r="W240" s="126" t="n">
        <f aca="false">N240/$R$3</f>
        <v>-1376.857</v>
      </c>
    </row>
    <row r="241" customFormat="false" ht="12.75" hidden="false" customHeight="false" outlineLevel="0" collapsed="false">
      <c r="A241" s="120" t="n">
        <f aca="false">A240+1</f>
        <v>37127</v>
      </c>
      <c r="B241" s="131" t="str">
        <f aca="false">INDEX('[4]Master Data'!$A$2:$B$8,MATCH(WEEKDAY('TBS CRD MTM'!A241,3),'[4]Master Data'!$A$2:$A$8,0),2)</f>
        <v>F</v>
      </c>
      <c r="D241" s="124" t="n">
        <v>0</v>
      </c>
      <c r="E241" s="124" t="n">
        <v>0</v>
      </c>
      <c r="F241" s="124" t="n">
        <v>0</v>
      </c>
      <c r="G241" s="124" t="n">
        <v>0</v>
      </c>
      <c r="I241" s="124" t="n">
        <f aca="false">IF(MONTH($A241)=MONTH($A240),IF(G241=0,I240,G241),G241)</f>
        <v>0</v>
      </c>
      <c r="J241" s="124" t="n">
        <f aca="false">IF(MONTH($A241)=MONTH($A240),SUM(I241-I240),I241)</f>
        <v>0</v>
      </c>
      <c r="K241" s="124" t="n">
        <f aca="false">IF(WEEKDAY(A241,3)&gt;4,0,(IF(A241&lt;K$2,0,IF(A241&lt;=K$3,1,0))))</f>
        <v>0</v>
      </c>
      <c r="L241" s="124" t="n">
        <f aca="false">J241*K241</f>
        <v>0</v>
      </c>
      <c r="M241" s="124" t="n">
        <f aca="false">SUM(J$188:J241)</f>
        <v>0</v>
      </c>
      <c r="N241" s="124" t="n">
        <f aca="false">SUM(J$6:J241)</f>
        <v>-1376857</v>
      </c>
      <c r="P241" s="148" t="n">
        <f aca="false">D241/P$3</f>
        <v>0</v>
      </c>
      <c r="Q241" s="124" t="n">
        <f aca="false">E241/P$3</f>
        <v>0</v>
      </c>
      <c r="R241" s="124" t="n">
        <f aca="false">F241/R$3</f>
        <v>0</v>
      </c>
      <c r="S241" s="126" t="n">
        <f aca="false">J241/$R$3</f>
        <v>0</v>
      </c>
      <c r="T241" s="126" t="n">
        <f aca="false">L241/$R$3</f>
        <v>0</v>
      </c>
      <c r="U241" s="126" t="n">
        <f aca="false">I241/$R$3</f>
        <v>0</v>
      </c>
      <c r="V241" s="126" t="n">
        <f aca="false">M241/$R$3</f>
        <v>0</v>
      </c>
      <c r="W241" s="126" t="n">
        <f aca="false">N241/$R$3</f>
        <v>-1376.857</v>
      </c>
    </row>
    <row r="242" customFormat="false" ht="12.75" hidden="false" customHeight="false" outlineLevel="0" collapsed="false">
      <c r="A242" s="120" t="n">
        <f aca="false">A241+1</f>
        <v>37128</v>
      </c>
      <c r="B242" s="131" t="str">
        <f aca="false">INDEX('[4]Master Data'!$A$2:$B$8,MATCH(WEEKDAY('TBS CRD MTM'!A242,3),'[4]Master Data'!$A$2:$A$8,0),2)</f>
        <v>Sa</v>
      </c>
      <c r="D242" s="124" t="n">
        <v>0</v>
      </c>
      <c r="E242" s="124" t="n">
        <v>0</v>
      </c>
      <c r="F242" s="124" t="n">
        <v>0</v>
      </c>
      <c r="G242" s="124" t="n">
        <v>0</v>
      </c>
      <c r="I242" s="124" t="n">
        <f aca="false">IF(MONTH($A242)=MONTH($A241),IF(G242=0,I241,G242),G242)</f>
        <v>0</v>
      </c>
      <c r="J242" s="124" t="n">
        <f aca="false">IF(MONTH($A242)=MONTH($A241),SUM(I242-I241),I242)</f>
        <v>0</v>
      </c>
      <c r="K242" s="124" t="n">
        <f aca="false">IF(WEEKDAY(A242,3)&gt;4,0,(IF(A242&lt;K$2,0,IF(A242&lt;=K$3,1,0))))</f>
        <v>0</v>
      </c>
      <c r="L242" s="124" t="n">
        <f aca="false">J242*K242</f>
        <v>0</v>
      </c>
      <c r="M242" s="124" t="n">
        <f aca="false">SUM(J$188:J242)</f>
        <v>0</v>
      </c>
      <c r="N242" s="124" t="n">
        <f aca="false">SUM(J$6:J242)</f>
        <v>-1376857</v>
      </c>
      <c r="P242" s="148" t="n">
        <f aca="false">D242/P$3</f>
        <v>0</v>
      </c>
      <c r="Q242" s="124" t="n">
        <f aca="false">E242/P$3</f>
        <v>0</v>
      </c>
      <c r="R242" s="124" t="n">
        <f aca="false">F242/R$3</f>
        <v>0</v>
      </c>
      <c r="S242" s="126" t="n">
        <f aca="false">J242/$R$3</f>
        <v>0</v>
      </c>
      <c r="T242" s="126" t="n">
        <f aca="false">L242/$R$3</f>
        <v>0</v>
      </c>
      <c r="U242" s="126" t="n">
        <f aca="false">I242/$R$3</f>
        <v>0</v>
      </c>
      <c r="V242" s="126" t="n">
        <f aca="false">M242/$R$3</f>
        <v>0</v>
      </c>
      <c r="W242" s="126" t="n">
        <f aca="false">N242/$R$3</f>
        <v>-1376.857</v>
      </c>
    </row>
    <row r="243" customFormat="false" ht="12.75" hidden="false" customHeight="false" outlineLevel="0" collapsed="false">
      <c r="A243" s="120" t="n">
        <f aca="false">A242+1</f>
        <v>37129</v>
      </c>
      <c r="B243" s="131" t="str">
        <f aca="false">INDEX('[4]Master Data'!$A$2:$B$8,MATCH(WEEKDAY('TBS CRD MTM'!A243,3),'[4]Master Data'!$A$2:$A$8,0),2)</f>
        <v>Su</v>
      </c>
      <c r="D243" s="124" t="n">
        <v>0</v>
      </c>
      <c r="E243" s="124" t="n">
        <v>0</v>
      </c>
      <c r="F243" s="124" t="n">
        <v>0</v>
      </c>
      <c r="G243" s="124" t="n">
        <v>0</v>
      </c>
      <c r="I243" s="124" t="n">
        <f aca="false">IF(MONTH($A243)=MONTH($A242),IF(G243=0,I242,G243),G243)</f>
        <v>0</v>
      </c>
      <c r="J243" s="124" t="n">
        <f aca="false">IF(MONTH($A243)=MONTH($A242),SUM(I243-I242),I243)</f>
        <v>0</v>
      </c>
      <c r="K243" s="124" t="n">
        <f aca="false">IF(WEEKDAY(A243,3)&gt;4,0,(IF(A243&lt;K$2,0,IF(A243&lt;=K$3,1,0))))</f>
        <v>0</v>
      </c>
      <c r="L243" s="124" t="n">
        <f aca="false">J243*K243</f>
        <v>0</v>
      </c>
      <c r="M243" s="124" t="n">
        <f aca="false">SUM(J$188:J243)</f>
        <v>0</v>
      </c>
      <c r="N243" s="124" t="n">
        <f aca="false">SUM(J$6:J243)</f>
        <v>-1376857</v>
      </c>
      <c r="P243" s="148" t="n">
        <f aca="false">D243/P$3</f>
        <v>0</v>
      </c>
      <c r="Q243" s="124" t="n">
        <f aca="false">E243/P$3</f>
        <v>0</v>
      </c>
      <c r="R243" s="124" t="n">
        <f aca="false">F243/R$3</f>
        <v>0</v>
      </c>
      <c r="S243" s="126" t="n">
        <f aca="false">J243/$R$3</f>
        <v>0</v>
      </c>
      <c r="T243" s="126" t="n">
        <f aca="false">L243/$R$3</f>
        <v>0</v>
      </c>
      <c r="U243" s="126" t="n">
        <f aca="false">I243/$R$3</f>
        <v>0</v>
      </c>
      <c r="V243" s="126" t="n">
        <f aca="false">M243/$R$3</f>
        <v>0</v>
      </c>
      <c r="W243" s="126" t="n">
        <f aca="false">N243/$R$3</f>
        <v>-1376.857</v>
      </c>
    </row>
    <row r="244" customFormat="false" ht="12.75" hidden="false" customHeight="false" outlineLevel="0" collapsed="false">
      <c r="A244" s="120" t="n">
        <f aca="false">A243+1</f>
        <v>37130</v>
      </c>
      <c r="B244" s="131" t="str">
        <f aca="false">INDEX('[4]Master Data'!$A$2:$B$8,MATCH(WEEKDAY('TBS CRD MTM'!A244,3),'[4]Master Data'!$A$2:$A$8,0),2)</f>
        <v>M</v>
      </c>
      <c r="D244" s="124" t="n">
        <v>0</v>
      </c>
      <c r="E244" s="124" t="n">
        <v>0</v>
      </c>
      <c r="F244" s="124" t="n">
        <v>0</v>
      </c>
      <c r="G244" s="124" t="n">
        <v>0</v>
      </c>
      <c r="I244" s="124" t="n">
        <f aca="false">IF(MONTH($A244)=MONTH($A243),IF(G244=0,I243,G244),G244)</f>
        <v>0</v>
      </c>
      <c r="J244" s="124" t="n">
        <f aca="false">IF(MONTH($A244)=MONTH($A243),SUM(I244-I243),I244)</f>
        <v>0</v>
      </c>
      <c r="K244" s="124" t="n">
        <f aca="false">IF(WEEKDAY(A244,3)&gt;4,0,(IF(A244&lt;K$2,0,IF(A244&lt;=K$3,1,0))))</f>
        <v>0</v>
      </c>
      <c r="L244" s="124" t="n">
        <f aca="false">J244*K244</f>
        <v>0</v>
      </c>
      <c r="M244" s="124" t="n">
        <f aca="false">SUM(J$188:J244)</f>
        <v>0</v>
      </c>
      <c r="N244" s="124" t="n">
        <f aca="false">SUM(J$6:J244)</f>
        <v>-1376857</v>
      </c>
      <c r="P244" s="148" t="n">
        <f aca="false">D244/P$3</f>
        <v>0</v>
      </c>
      <c r="Q244" s="124" t="n">
        <f aca="false">E244/P$3</f>
        <v>0</v>
      </c>
      <c r="R244" s="124" t="n">
        <f aca="false">F244/R$3</f>
        <v>0</v>
      </c>
      <c r="S244" s="126" t="n">
        <f aca="false">J244/$R$3</f>
        <v>0</v>
      </c>
      <c r="T244" s="126" t="n">
        <f aca="false">L244/$R$3</f>
        <v>0</v>
      </c>
      <c r="U244" s="126" t="n">
        <f aca="false">I244/$R$3</f>
        <v>0</v>
      </c>
      <c r="V244" s="126" t="n">
        <f aca="false">M244/$R$3</f>
        <v>0</v>
      </c>
      <c r="W244" s="126" t="n">
        <f aca="false">N244/$R$3</f>
        <v>-1376.857</v>
      </c>
    </row>
    <row r="245" customFormat="false" ht="12.75" hidden="false" customHeight="false" outlineLevel="0" collapsed="false">
      <c r="A245" s="120" t="n">
        <f aca="false">A244+1</f>
        <v>37131</v>
      </c>
      <c r="B245" s="131" t="str">
        <f aca="false">INDEX('[4]Master Data'!$A$2:$B$8,MATCH(WEEKDAY('TBS CRD MTM'!A245,3),'[4]Master Data'!$A$2:$A$8,0),2)</f>
        <v>T</v>
      </c>
      <c r="D245" s="124" t="n">
        <v>0</v>
      </c>
      <c r="E245" s="124" t="n">
        <v>0</v>
      </c>
      <c r="F245" s="124" t="n">
        <v>0</v>
      </c>
      <c r="G245" s="124" t="n">
        <v>0</v>
      </c>
      <c r="I245" s="124" t="n">
        <f aca="false">IF(MONTH($A245)=MONTH($A244),IF(G245=0,I244,G245),G245)</f>
        <v>0</v>
      </c>
      <c r="J245" s="124" t="n">
        <f aca="false">IF(MONTH($A245)=MONTH($A244),SUM(I245-I244),I245)</f>
        <v>0</v>
      </c>
      <c r="K245" s="124" t="n">
        <f aca="false">IF(WEEKDAY(A245,3)&gt;4,0,(IF(A245&lt;K$2,0,IF(A245&lt;=K$3,1,0))))</f>
        <v>0</v>
      </c>
      <c r="L245" s="124" t="n">
        <f aca="false">J245*K245</f>
        <v>0</v>
      </c>
      <c r="M245" s="124" t="n">
        <f aca="false">SUM(J$188:J245)</f>
        <v>0</v>
      </c>
      <c r="N245" s="124" t="n">
        <f aca="false">SUM(J$6:J245)</f>
        <v>-1376857</v>
      </c>
      <c r="P245" s="148" t="n">
        <f aca="false">D245/P$3</f>
        <v>0</v>
      </c>
      <c r="Q245" s="124" t="n">
        <f aca="false">E245/P$3</f>
        <v>0</v>
      </c>
      <c r="R245" s="124" t="n">
        <f aca="false">F245/R$3</f>
        <v>0</v>
      </c>
      <c r="S245" s="126" t="n">
        <f aca="false">J245/$R$3</f>
        <v>0</v>
      </c>
      <c r="T245" s="126" t="n">
        <f aca="false">L245/$R$3</f>
        <v>0</v>
      </c>
      <c r="U245" s="126" t="n">
        <f aca="false">I245/$R$3</f>
        <v>0</v>
      </c>
      <c r="V245" s="126" t="n">
        <f aca="false">M245/$R$3</f>
        <v>0</v>
      </c>
      <c r="W245" s="126" t="n">
        <f aca="false">N245/$R$3</f>
        <v>-1376.857</v>
      </c>
    </row>
    <row r="246" customFormat="false" ht="12.75" hidden="false" customHeight="false" outlineLevel="0" collapsed="false">
      <c r="A246" s="120" t="n">
        <f aca="false">A245+1</f>
        <v>37132</v>
      </c>
      <c r="B246" s="131" t="str">
        <f aca="false">INDEX('[4]Master Data'!$A$2:$B$8,MATCH(WEEKDAY('TBS CRD MTM'!A246,3),'[4]Master Data'!$A$2:$A$8,0),2)</f>
        <v>W</v>
      </c>
      <c r="D246" s="124" t="n">
        <v>0</v>
      </c>
      <c r="E246" s="124" t="n">
        <v>0</v>
      </c>
      <c r="F246" s="124" t="n">
        <v>0</v>
      </c>
      <c r="G246" s="124" t="n">
        <v>0</v>
      </c>
      <c r="I246" s="124" t="n">
        <f aca="false">IF(MONTH($A246)=MONTH($A245),IF(G246=0,I245,G246),G246)</f>
        <v>0</v>
      </c>
      <c r="J246" s="124" t="n">
        <f aca="false">IF(MONTH($A246)=MONTH($A245),SUM(I246-I245),I246)</f>
        <v>0</v>
      </c>
      <c r="K246" s="124" t="n">
        <f aca="false">IF(WEEKDAY(A246,3)&gt;4,0,(IF(A246&lt;K$2,0,IF(A246&lt;=K$3,1,0))))</f>
        <v>0</v>
      </c>
      <c r="L246" s="124" t="n">
        <f aca="false">J246*K246</f>
        <v>0</v>
      </c>
      <c r="M246" s="124" t="n">
        <f aca="false">SUM(J$188:J246)</f>
        <v>0</v>
      </c>
      <c r="N246" s="124" t="n">
        <f aca="false">SUM(J$6:J246)</f>
        <v>-1376857</v>
      </c>
      <c r="P246" s="148" t="n">
        <f aca="false">D246/P$3</f>
        <v>0</v>
      </c>
      <c r="Q246" s="124" t="n">
        <f aca="false">E246/P$3</f>
        <v>0</v>
      </c>
      <c r="R246" s="124" t="n">
        <f aca="false">F246/R$3</f>
        <v>0</v>
      </c>
      <c r="S246" s="126" t="n">
        <f aca="false">J246/$R$3</f>
        <v>0</v>
      </c>
      <c r="T246" s="126" t="n">
        <f aca="false">L246/$R$3</f>
        <v>0</v>
      </c>
      <c r="U246" s="126" t="n">
        <f aca="false">I246/$R$3</f>
        <v>0</v>
      </c>
      <c r="V246" s="126" t="n">
        <f aca="false">M246/$R$3</f>
        <v>0</v>
      </c>
      <c r="W246" s="126" t="n">
        <f aca="false">N246/$R$3</f>
        <v>-1376.857</v>
      </c>
    </row>
    <row r="247" customFormat="false" ht="12.75" hidden="false" customHeight="false" outlineLevel="0" collapsed="false">
      <c r="A247" s="120" t="n">
        <f aca="false">A246+1</f>
        <v>37133</v>
      </c>
      <c r="B247" s="131" t="str">
        <f aca="false">INDEX('[4]Master Data'!$A$2:$B$8,MATCH(WEEKDAY('TBS CRD MTM'!A247,3),'[4]Master Data'!$A$2:$A$8,0),2)</f>
        <v>Th</v>
      </c>
      <c r="D247" s="124" t="n">
        <v>0</v>
      </c>
      <c r="E247" s="124" t="n">
        <v>0</v>
      </c>
      <c r="F247" s="124" t="n">
        <v>0</v>
      </c>
      <c r="G247" s="124" t="n">
        <v>0</v>
      </c>
      <c r="I247" s="124" t="n">
        <f aca="false">IF(MONTH($A247)=MONTH($A246),IF(G247=0,I246,G247),G247)</f>
        <v>0</v>
      </c>
      <c r="J247" s="124" t="n">
        <f aca="false">IF(MONTH($A247)=MONTH($A246),SUM(I247-I246),I247)</f>
        <v>0</v>
      </c>
      <c r="K247" s="124" t="n">
        <f aca="false">IF(WEEKDAY(A247,3)&gt;4,0,(IF(A247&lt;K$2,0,IF(A247&lt;=K$3,1,0))))</f>
        <v>0</v>
      </c>
      <c r="L247" s="124" t="n">
        <f aca="false">J247*K247</f>
        <v>0</v>
      </c>
      <c r="M247" s="124" t="n">
        <f aca="false">SUM(J$188:J247)</f>
        <v>0</v>
      </c>
      <c r="N247" s="124" t="n">
        <f aca="false">SUM(J$6:J247)</f>
        <v>-1376857</v>
      </c>
      <c r="P247" s="148" t="n">
        <f aca="false">D247/P$3</f>
        <v>0</v>
      </c>
      <c r="Q247" s="124" t="n">
        <f aca="false">E247/P$3</f>
        <v>0</v>
      </c>
      <c r="R247" s="124" t="n">
        <f aca="false">F247/R$3</f>
        <v>0</v>
      </c>
      <c r="S247" s="126" t="n">
        <f aca="false">J247/$R$3</f>
        <v>0</v>
      </c>
      <c r="T247" s="126" t="n">
        <f aca="false">L247/$R$3</f>
        <v>0</v>
      </c>
      <c r="U247" s="126" t="n">
        <f aca="false">I247/$R$3</f>
        <v>0</v>
      </c>
      <c r="V247" s="126" t="n">
        <f aca="false">M247/$R$3</f>
        <v>0</v>
      </c>
      <c r="W247" s="126" t="n">
        <f aca="false">N247/$R$3</f>
        <v>-1376.857</v>
      </c>
    </row>
    <row r="248" customFormat="false" ht="12.75" hidden="false" customHeight="false" outlineLevel="0" collapsed="false">
      <c r="A248" s="120" t="n">
        <f aca="false">A247+1</f>
        <v>37134</v>
      </c>
      <c r="B248" s="131" t="str">
        <f aca="false">INDEX('[4]Master Data'!$A$2:$B$8,MATCH(WEEKDAY('TBS CRD MTM'!A248,3),'[4]Master Data'!$A$2:$A$8,0),2)</f>
        <v>F</v>
      </c>
      <c r="D248" s="124" t="n">
        <v>0</v>
      </c>
      <c r="E248" s="124" t="n">
        <v>0</v>
      </c>
      <c r="F248" s="124" t="n">
        <v>0</v>
      </c>
      <c r="G248" s="124" t="n">
        <v>0</v>
      </c>
      <c r="I248" s="124" t="n">
        <f aca="false">IF(MONTH($A248)=MONTH($A247),IF(G248=0,I247,G248),G248)</f>
        <v>0</v>
      </c>
      <c r="J248" s="124" t="n">
        <f aca="false">IF(MONTH($A248)=MONTH($A247),SUM(I248-I247),I248)</f>
        <v>0</v>
      </c>
      <c r="K248" s="124" t="n">
        <f aca="false">IF(WEEKDAY(A248,3)&gt;4,0,(IF(A248&lt;K$2,0,IF(A248&lt;=K$3,1,0))))</f>
        <v>0</v>
      </c>
      <c r="L248" s="124" t="n">
        <f aca="false">J248*K248</f>
        <v>0</v>
      </c>
      <c r="M248" s="124" t="n">
        <f aca="false">SUM(J$188:J248)</f>
        <v>0</v>
      </c>
      <c r="N248" s="124" t="n">
        <f aca="false">SUM(J$6:J248)</f>
        <v>-1376857</v>
      </c>
      <c r="P248" s="148" t="n">
        <f aca="false">D248/P$3</f>
        <v>0</v>
      </c>
      <c r="Q248" s="124" t="n">
        <f aca="false">E248/P$3</f>
        <v>0</v>
      </c>
      <c r="R248" s="124" t="n">
        <f aca="false">F248/R$3</f>
        <v>0</v>
      </c>
      <c r="S248" s="126" t="n">
        <f aca="false">J248/$R$3</f>
        <v>0</v>
      </c>
      <c r="T248" s="126" t="n">
        <f aca="false">L248/$R$3</f>
        <v>0</v>
      </c>
      <c r="U248" s="126" t="n">
        <f aca="false">I248/$R$3</f>
        <v>0</v>
      </c>
      <c r="V248" s="126" t="n">
        <f aca="false">M248/$R$3</f>
        <v>0</v>
      </c>
      <c r="W248" s="126" t="n">
        <f aca="false">N248/$R$3</f>
        <v>-1376.857</v>
      </c>
    </row>
    <row r="249" customFormat="false" ht="12.75" hidden="false" customHeight="false" outlineLevel="0" collapsed="false">
      <c r="A249" s="120" t="n">
        <f aca="false">A248+1</f>
        <v>37135</v>
      </c>
      <c r="B249" s="131" t="str">
        <f aca="false">INDEX('[4]Master Data'!$A$2:$B$8,MATCH(WEEKDAY('TBS CRD MTM'!A249,3),'[4]Master Data'!$A$2:$A$8,0),2)</f>
        <v>Sa</v>
      </c>
      <c r="D249" s="124" t="n">
        <v>0</v>
      </c>
      <c r="E249" s="124" t="n">
        <v>0</v>
      </c>
      <c r="F249" s="124" t="n">
        <v>0</v>
      </c>
      <c r="G249" s="124" t="n">
        <v>0</v>
      </c>
      <c r="I249" s="124" t="n">
        <f aca="false">IF(MONTH($A249)=MONTH($A248),IF(G249=0,I248,G249),G249)</f>
        <v>0</v>
      </c>
      <c r="J249" s="124" t="n">
        <f aca="false">IF(MONTH($A249)=MONTH($A248),SUM(I249-I248),I249)</f>
        <v>0</v>
      </c>
      <c r="K249" s="124" t="n">
        <f aca="false">IF(WEEKDAY(A249,3)&gt;4,0,(IF(A249&lt;K$2,0,IF(A249&lt;=K$3,1,0))))</f>
        <v>0</v>
      </c>
      <c r="L249" s="124" t="n">
        <f aca="false">J249*K249</f>
        <v>0</v>
      </c>
      <c r="M249" s="124" t="n">
        <f aca="false">SUM(J$188:J249)</f>
        <v>0</v>
      </c>
      <c r="N249" s="124" t="n">
        <f aca="false">SUM(J$6:J249)</f>
        <v>-1376857</v>
      </c>
      <c r="P249" s="148" t="n">
        <f aca="false">D249/P$3</f>
        <v>0</v>
      </c>
      <c r="Q249" s="124" t="n">
        <f aca="false">E249/P$3</f>
        <v>0</v>
      </c>
      <c r="R249" s="124" t="n">
        <f aca="false">F249/R$3</f>
        <v>0</v>
      </c>
      <c r="S249" s="126" t="n">
        <f aca="false">J249/$R$3</f>
        <v>0</v>
      </c>
      <c r="T249" s="126" t="n">
        <f aca="false">L249/$R$3</f>
        <v>0</v>
      </c>
      <c r="U249" s="126" t="n">
        <f aca="false">I249/$R$3</f>
        <v>0</v>
      </c>
      <c r="V249" s="126" t="n">
        <f aca="false">M249/$R$3</f>
        <v>0</v>
      </c>
      <c r="W249" s="126" t="n">
        <f aca="false">N249/$R$3</f>
        <v>-1376.857</v>
      </c>
    </row>
    <row r="250" customFormat="false" ht="12.75" hidden="false" customHeight="false" outlineLevel="0" collapsed="false">
      <c r="A250" s="120" t="n">
        <f aca="false">A249+1</f>
        <v>37136</v>
      </c>
      <c r="B250" s="131" t="str">
        <f aca="false">INDEX('[4]Master Data'!$A$2:$B$8,MATCH(WEEKDAY('TBS CRD MTM'!A250,3),'[4]Master Data'!$A$2:$A$8,0),2)</f>
        <v>Su</v>
      </c>
      <c r="D250" s="124" t="n">
        <v>0</v>
      </c>
      <c r="E250" s="124" t="n">
        <v>0</v>
      </c>
      <c r="F250" s="124" t="n">
        <v>0</v>
      </c>
      <c r="G250" s="124" t="n">
        <v>0</v>
      </c>
      <c r="I250" s="124" t="n">
        <f aca="false">IF(MONTH($A250)=MONTH($A249),IF(G250=0,I249,G250),G250)</f>
        <v>0</v>
      </c>
      <c r="J250" s="124" t="n">
        <f aca="false">IF(MONTH($A250)=MONTH($A249),SUM(I250-I249),I250)</f>
        <v>0</v>
      </c>
      <c r="K250" s="124" t="n">
        <f aca="false">IF(WEEKDAY(A250,3)&gt;4,0,(IF(A250&lt;K$2,0,IF(A250&lt;=K$3,1,0))))</f>
        <v>0</v>
      </c>
      <c r="L250" s="124" t="n">
        <f aca="false">J250*K250</f>
        <v>0</v>
      </c>
      <c r="M250" s="124" t="n">
        <f aca="false">SUM(J$188:J250)</f>
        <v>0</v>
      </c>
      <c r="N250" s="124" t="n">
        <f aca="false">SUM(J$6:J250)</f>
        <v>-1376857</v>
      </c>
      <c r="P250" s="148" t="n">
        <f aca="false">D250/P$3</f>
        <v>0</v>
      </c>
      <c r="Q250" s="124" t="n">
        <f aca="false">E250/P$3</f>
        <v>0</v>
      </c>
      <c r="R250" s="124" t="n">
        <f aca="false">F250/R$3</f>
        <v>0</v>
      </c>
      <c r="S250" s="126" t="n">
        <f aca="false">J250/$R$3</f>
        <v>0</v>
      </c>
      <c r="T250" s="126" t="n">
        <f aca="false">L250/$R$3</f>
        <v>0</v>
      </c>
      <c r="U250" s="126" t="n">
        <f aca="false">I250/$R$3</f>
        <v>0</v>
      </c>
      <c r="V250" s="126" t="n">
        <f aca="false">M250/$R$3</f>
        <v>0</v>
      </c>
      <c r="W250" s="126" t="n">
        <f aca="false">N250/$R$3</f>
        <v>-1376.857</v>
      </c>
    </row>
    <row r="251" customFormat="false" ht="12.75" hidden="false" customHeight="false" outlineLevel="0" collapsed="false">
      <c r="A251" s="120" t="n">
        <f aca="false">A250+1</f>
        <v>37137</v>
      </c>
      <c r="B251" s="131" t="str">
        <f aca="false">INDEX('[4]Master Data'!$A$2:$B$8,MATCH(WEEKDAY('TBS CRD MTM'!A251,3),'[4]Master Data'!$A$2:$A$8,0),2)</f>
        <v>M</v>
      </c>
      <c r="D251" s="124" t="n">
        <v>0</v>
      </c>
      <c r="E251" s="124" t="n">
        <v>0</v>
      </c>
      <c r="F251" s="124" t="n">
        <v>0</v>
      </c>
      <c r="G251" s="124" t="n">
        <v>0</v>
      </c>
      <c r="I251" s="124" t="n">
        <f aca="false">IF(MONTH($A251)=MONTH($A250),IF(G251=0,I250,G251),G251)</f>
        <v>0</v>
      </c>
      <c r="J251" s="124" t="n">
        <f aca="false">IF(MONTH($A251)=MONTH($A250),SUM(I251-I250),I251)</f>
        <v>0</v>
      </c>
      <c r="K251" s="124" t="n">
        <f aca="false">IF(WEEKDAY(A251,3)&gt;4,0,(IF(A251&lt;K$2,0,IF(A251&lt;=K$3,1,0))))</f>
        <v>0</v>
      </c>
      <c r="L251" s="124" t="n">
        <f aca="false">J251*K251</f>
        <v>0</v>
      </c>
      <c r="M251" s="124" t="n">
        <f aca="false">SUM(J$188:J251)</f>
        <v>0</v>
      </c>
      <c r="N251" s="124" t="n">
        <f aca="false">SUM(J$6:J251)</f>
        <v>-1376857</v>
      </c>
      <c r="P251" s="148" t="n">
        <f aca="false">D251/P$3</f>
        <v>0</v>
      </c>
      <c r="Q251" s="124" t="n">
        <f aca="false">E251/P$3</f>
        <v>0</v>
      </c>
      <c r="R251" s="124" t="n">
        <f aca="false">F251/R$3</f>
        <v>0</v>
      </c>
      <c r="S251" s="126" t="n">
        <f aca="false">J251/$R$3</f>
        <v>0</v>
      </c>
      <c r="T251" s="126" t="n">
        <f aca="false">L251/$R$3</f>
        <v>0</v>
      </c>
      <c r="U251" s="126" t="n">
        <f aca="false">I251/$R$3</f>
        <v>0</v>
      </c>
      <c r="V251" s="126" t="n">
        <f aca="false">M251/$R$3</f>
        <v>0</v>
      </c>
      <c r="W251" s="126" t="n">
        <f aca="false">N251/$R$3</f>
        <v>-1376.857</v>
      </c>
    </row>
    <row r="252" customFormat="false" ht="12.75" hidden="false" customHeight="false" outlineLevel="0" collapsed="false">
      <c r="A252" s="120" t="n">
        <f aca="false">A251+1</f>
        <v>37138</v>
      </c>
      <c r="B252" s="131" t="str">
        <f aca="false">INDEX('[4]Master Data'!$A$2:$B$8,MATCH(WEEKDAY('TBS CRD MTM'!A252,3),'[4]Master Data'!$A$2:$A$8,0),2)</f>
        <v>T</v>
      </c>
      <c r="D252" s="124" t="n">
        <v>0</v>
      </c>
      <c r="E252" s="124" t="n">
        <v>0</v>
      </c>
      <c r="F252" s="124" t="n">
        <v>0</v>
      </c>
      <c r="G252" s="124" t="n">
        <v>0</v>
      </c>
      <c r="I252" s="124" t="n">
        <f aca="false">IF(MONTH($A252)=MONTH($A251),IF(G252=0,I251,G252),G252)</f>
        <v>0</v>
      </c>
      <c r="J252" s="124" t="n">
        <f aca="false">IF(MONTH($A252)=MONTH($A251),SUM(I252-I251),I252)</f>
        <v>0</v>
      </c>
      <c r="K252" s="124" t="n">
        <f aca="false">IF(WEEKDAY(A252,3)&gt;4,0,(IF(A252&lt;K$2,0,IF(A252&lt;=K$3,1,0))))</f>
        <v>0</v>
      </c>
      <c r="L252" s="124" t="n">
        <f aca="false">J252*K252</f>
        <v>0</v>
      </c>
      <c r="M252" s="124" t="n">
        <f aca="false">SUM(J$188:J252)</f>
        <v>0</v>
      </c>
      <c r="N252" s="124" t="n">
        <f aca="false">SUM(J$6:J252)</f>
        <v>-1376857</v>
      </c>
      <c r="P252" s="148" t="n">
        <f aca="false">D252/P$3</f>
        <v>0</v>
      </c>
      <c r="Q252" s="124" t="n">
        <f aca="false">E252/P$3</f>
        <v>0</v>
      </c>
      <c r="R252" s="124" t="n">
        <f aca="false">F252/R$3</f>
        <v>0</v>
      </c>
      <c r="S252" s="126" t="n">
        <f aca="false">J252/$R$3</f>
        <v>0</v>
      </c>
      <c r="T252" s="126" t="n">
        <f aca="false">L252/$R$3</f>
        <v>0</v>
      </c>
      <c r="U252" s="126" t="n">
        <f aca="false">I252/$R$3</f>
        <v>0</v>
      </c>
      <c r="V252" s="126" t="n">
        <f aca="false">M252/$R$3</f>
        <v>0</v>
      </c>
      <c r="W252" s="126" t="n">
        <f aca="false">N252/$R$3</f>
        <v>-1376.857</v>
      </c>
    </row>
    <row r="253" customFormat="false" ht="12.75" hidden="false" customHeight="false" outlineLevel="0" collapsed="false">
      <c r="A253" s="120" t="n">
        <f aca="false">A252+1</f>
        <v>37139</v>
      </c>
      <c r="B253" s="131" t="str">
        <f aca="false">INDEX('[4]Master Data'!$A$2:$B$8,MATCH(WEEKDAY('TBS CRD MTM'!A253,3),'[4]Master Data'!$A$2:$A$8,0),2)</f>
        <v>W</v>
      </c>
      <c r="D253" s="124" t="n">
        <v>0</v>
      </c>
      <c r="E253" s="124" t="n">
        <v>0</v>
      </c>
      <c r="F253" s="124" t="n">
        <v>0</v>
      </c>
      <c r="G253" s="124" t="n">
        <v>0</v>
      </c>
      <c r="I253" s="124" t="n">
        <f aca="false">IF(MONTH($A253)=MONTH($A252),IF(G253=0,I252,G253),G253)</f>
        <v>0</v>
      </c>
      <c r="J253" s="124" t="n">
        <f aca="false">IF(MONTH($A253)=MONTH($A252),SUM(I253-I252),I253)</f>
        <v>0</v>
      </c>
      <c r="K253" s="124" t="n">
        <f aca="false">IF(WEEKDAY(A253,3)&gt;4,0,(IF(A253&lt;K$2,0,IF(A253&lt;=K$3,1,0))))</f>
        <v>0</v>
      </c>
      <c r="L253" s="124" t="n">
        <f aca="false">J253*K253</f>
        <v>0</v>
      </c>
      <c r="M253" s="124" t="n">
        <f aca="false">SUM(J$188:J253)</f>
        <v>0</v>
      </c>
      <c r="N253" s="124" t="n">
        <f aca="false">SUM(J$6:J253)</f>
        <v>-1376857</v>
      </c>
      <c r="P253" s="148" t="n">
        <f aca="false">D253/P$3</f>
        <v>0</v>
      </c>
      <c r="Q253" s="124" t="n">
        <f aca="false">E253/P$3</f>
        <v>0</v>
      </c>
      <c r="R253" s="124" t="n">
        <f aca="false">F253/R$3</f>
        <v>0</v>
      </c>
      <c r="S253" s="126" t="n">
        <f aca="false">J253/$R$3</f>
        <v>0</v>
      </c>
      <c r="T253" s="126" t="n">
        <f aca="false">L253/$R$3</f>
        <v>0</v>
      </c>
      <c r="U253" s="126" t="n">
        <f aca="false">I253/$R$3</f>
        <v>0</v>
      </c>
      <c r="V253" s="126" t="n">
        <f aca="false">M253/$R$3</f>
        <v>0</v>
      </c>
      <c r="W253" s="126" t="n">
        <f aca="false">N253/$R$3</f>
        <v>-1376.857</v>
      </c>
    </row>
    <row r="254" customFormat="false" ht="12.75" hidden="false" customHeight="false" outlineLevel="0" collapsed="false">
      <c r="A254" s="120" t="n">
        <f aca="false">A253+1</f>
        <v>37140</v>
      </c>
      <c r="B254" s="131" t="str">
        <f aca="false">INDEX('[4]Master Data'!$A$2:$B$8,MATCH(WEEKDAY('TBS CRD MTM'!A254,3),'[4]Master Data'!$A$2:$A$8,0),2)</f>
        <v>Th</v>
      </c>
      <c r="D254" s="124" t="n">
        <v>0</v>
      </c>
      <c r="E254" s="124" t="n">
        <v>0</v>
      </c>
      <c r="F254" s="124" t="n">
        <v>0</v>
      </c>
      <c r="G254" s="124" t="n">
        <v>0</v>
      </c>
      <c r="I254" s="124" t="n">
        <f aca="false">IF(MONTH($A254)=MONTH($A253),IF(G254=0,I253,G254),G254)</f>
        <v>0</v>
      </c>
      <c r="J254" s="124" t="n">
        <f aca="false">IF(MONTH($A254)=MONTH($A253),SUM(I254-I253),I254)</f>
        <v>0</v>
      </c>
      <c r="K254" s="124" t="n">
        <f aca="false">IF(WEEKDAY(A254,3)&gt;4,0,(IF(A254&lt;K$2,0,IF(A254&lt;=K$3,1,0))))</f>
        <v>0</v>
      </c>
      <c r="L254" s="124" t="n">
        <f aca="false">J254*K254</f>
        <v>0</v>
      </c>
      <c r="M254" s="124" t="n">
        <f aca="false">SUM(J$188:J254)</f>
        <v>0</v>
      </c>
      <c r="N254" s="124" t="n">
        <f aca="false">SUM(J$6:J254)</f>
        <v>-1376857</v>
      </c>
      <c r="P254" s="148" t="n">
        <f aca="false">D254/P$3</f>
        <v>0</v>
      </c>
      <c r="Q254" s="124" t="n">
        <f aca="false">E254/P$3</f>
        <v>0</v>
      </c>
      <c r="R254" s="124" t="n">
        <f aca="false">F254/R$3</f>
        <v>0</v>
      </c>
      <c r="S254" s="126" t="n">
        <f aca="false">J254/$R$3</f>
        <v>0</v>
      </c>
      <c r="T254" s="126" t="n">
        <f aca="false">L254/$R$3</f>
        <v>0</v>
      </c>
      <c r="U254" s="126" t="n">
        <f aca="false">I254/$R$3</f>
        <v>0</v>
      </c>
      <c r="V254" s="126" t="n">
        <f aca="false">M254/$R$3</f>
        <v>0</v>
      </c>
      <c r="W254" s="126" t="n">
        <f aca="false">N254/$R$3</f>
        <v>-1376.857</v>
      </c>
    </row>
    <row r="255" customFormat="false" ht="12.75" hidden="false" customHeight="false" outlineLevel="0" collapsed="false">
      <c r="A255" s="120" t="n">
        <f aca="false">A254+1</f>
        <v>37141</v>
      </c>
      <c r="B255" s="131" t="str">
        <f aca="false">INDEX('[4]Master Data'!$A$2:$B$8,MATCH(WEEKDAY('TBS CRD MTM'!A255,3),'[4]Master Data'!$A$2:$A$8,0),2)</f>
        <v>F</v>
      </c>
      <c r="D255" s="124" t="n">
        <v>0</v>
      </c>
      <c r="E255" s="124" t="n">
        <v>0</v>
      </c>
      <c r="F255" s="124" t="n">
        <v>0</v>
      </c>
      <c r="G255" s="124" t="n">
        <v>0</v>
      </c>
      <c r="I255" s="124" t="n">
        <f aca="false">IF(MONTH($A255)=MONTH($A254),IF(G255=0,I254,G255),G255)</f>
        <v>0</v>
      </c>
      <c r="J255" s="124" t="n">
        <f aca="false">IF(MONTH($A255)=MONTH($A254),SUM(I255-I254),I255)</f>
        <v>0</v>
      </c>
      <c r="K255" s="124" t="n">
        <f aca="false">IF(WEEKDAY(A255,3)&gt;4,0,(IF(A255&lt;K$2,0,IF(A255&lt;=K$3,1,0))))</f>
        <v>0</v>
      </c>
      <c r="L255" s="124" t="n">
        <f aca="false">J255*K255</f>
        <v>0</v>
      </c>
      <c r="M255" s="124" t="n">
        <f aca="false">SUM(J$188:J255)</f>
        <v>0</v>
      </c>
      <c r="N255" s="124" t="n">
        <f aca="false">SUM(J$6:J255)</f>
        <v>-1376857</v>
      </c>
      <c r="P255" s="148" t="n">
        <f aca="false">D255/P$3</f>
        <v>0</v>
      </c>
      <c r="Q255" s="124" t="n">
        <f aca="false">E255/P$3</f>
        <v>0</v>
      </c>
      <c r="R255" s="124" t="n">
        <f aca="false">F255/R$3</f>
        <v>0</v>
      </c>
      <c r="S255" s="126" t="n">
        <f aca="false">J255/$R$3</f>
        <v>0</v>
      </c>
      <c r="T255" s="126" t="n">
        <f aca="false">L255/$R$3</f>
        <v>0</v>
      </c>
      <c r="U255" s="126" t="n">
        <f aca="false">I255/$R$3</f>
        <v>0</v>
      </c>
      <c r="V255" s="126" t="n">
        <f aca="false">M255/$R$3</f>
        <v>0</v>
      </c>
      <c r="W255" s="126" t="n">
        <f aca="false">N255/$R$3</f>
        <v>-1376.857</v>
      </c>
    </row>
    <row r="256" customFormat="false" ht="12.75" hidden="false" customHeight="false" outlineLevel="0" collapsed="false">
      <c r="A256" s="120" t="n">
        <f aca="false">A255+1</f>
        <v>37142</v>
      </c>
      <c r="B256" s="131" t="str">
        <f aca="false">INDEX('[4]Master Data'!$A$2:$B$8,MATCH(WEEKDAY('TBS CRD MTM'!A256,3),'[4]Master Data'!$A$2:$A$8,0),2)</f>
        <v>Sa</v>
      </c>
      <c r="D256" s="124" t="n">
        <v>0</v>
      </c>
      <c r="E256" s="124" t="n">
        <v>0</v>
      </c>
      <c r="F256" s="124" t="n">
        <v>0</v>
      </c>
      <c r="G256" s="124" t="n">
        <v>0</v>
      </c>
      <c r="I256" s="124" t="n">
        <f aca="false">IF(MONTH($A256)=MONTH($A255),IF(G256=0,I255,G256),G256)</f>
        <v>0</v>
      </c>
      <c r="J256" s="124" t="n">
        <f aca="false">IF(MONTH($A256)=MONTH($A255),SUM(I256-I255),I256)</f>
        <v>0</v>
      </c>
      <c r="K256" s="124" t="n">
        <f aca="false">IF(WEEKDAY(A256,3)&gt;4,0,(IF(A256&lt;K$2,0,IF(A256&lt;=K$3,1,0))))</f>
        <v>0</v>
      </c>
      <c r="L256" s="124" t="n">
        <f aca="false">J256*K256</f>
        <v>0</v>
      </c>
      <c r="M256" s="124" t="n">
        <f aca="false">SUM(J$188:J256)</f>
        <v>0</v>
      </c>
      <c r="N256" s="124" t="n">
        <f aca="false">SUM(J$6:J256)</f>
        <v>-1376857</v>
      </c>
      <c r="P256" s="148" t="n">
        <f aca="false">D256/P$3</f>
        <v>0</v>
      </c>
      <c r="Q256" s="124" t="n">
        <f aca="false">E256/P$3</f>
        <v>0</v>
      </c>
      <c r="R256" s="124" t="n">
        <f aca="false">F256/R$3</f>
        <v>0</v>
      </c>
      <c r="S256" s="126" t="n">
        <f aca="false">J256/$R$3</f>
        <v>0</v>
      </c>
      <c r="T256" s="126" t="n">
        <f aca="false">L256/$R$3</f>
        <v>0</v>
      </c>
      <c r="U256" s="126" t="n">
        <f aca="false">I256/$R$3</f>
        <v>0</v>
      </c>
      <c r="V256" s="126" t="n">
        <f aca="false">M256/$R$3</f>
        <v>0</v>
      </c>
      <c r="W256" s="126" t="n">
        <f aca="false">N256/$R$3</f>
        <v>-1376.857</v>
      </c>
    </row>
    <row r="257" customFormat="false" ht="12.75" hidden="false" customHeight="false" outlineLevel="0" collapsed="false">
      <c r="A257" s="120" t="n">
        <f aca="false">A256+1</f>
        <v>37143</v>
      </c>
      <c r="B257" s="131" t="str">
        <f aca="false">INDEX('[4]Master Data'!$A$2:$B$8,MATCH(WEEKDAY('TBS CRD MTM'!A257,3),'[4]Master Data'!$A$2:$A$8,0),2)</f>
        <v>Su</v>
      </c>
      <c r="D257" s="124" t="n">
        <v>0</v>
      </c>
      <c r="E257" s="124" t="n">
        <v>0</v>
      </c>
      <c r="F257" s="124" t="n">
        <v>0</v>
      </c>
      <c r="G257" s="124" t="n">
        <v>0</v>
      </c>
      <c r="I257" s="124" t="n">
        <f aca="false">IF(MONTH($A257)=MONTH($A256),IF(G257=0,I256,G257),G257)</f>
        <v>0</v>
      </c>
      <c r="J257" s="124" t="n">
        <f aca="false">IF(MONTH($A257)=MONTH($A256),SUM(I257-I256),I257)</f>
        <v>0</v>
      </c>
      <c r="K257" s="124" t="n">
        <f aca="false">IF(WEEKDAY(A257,3)&gt;4,0,(IF(A257&lt;K$2,0,IF(A257&lt;=K$3,1,0))))</f>
        <v>0</v>
      </c>
      <c r="L257" s="124" t="n">
        <f aca="false">J257*K257</f>
        <v>0</v>
      </c>
      <c r="M257" s="124" t="n">
        <f aca="false">SUM(J$188:J257)</f>
        <v>0</v>
      </c>
      <c r="N257" s="124" t="n">
        <f aca="false">SUM(J$6:J257)</f>
        <v>-1376857</v>
      </c>
      <c r="P257" s="148" t="n">
        <f aca="false">D257/P$3</f>
        <v>0</v>
      </c>
      <c r="Q257" s="124" t="n">
        <f aca="false">E257/P$3</f>
        <v>0</v>
      </c>
      <c r="R257" s="124" t="n">
        <f aca="false">F257/R$3</f>
        <v>0</v>
      </c>
      <c r="S257" s="126" t="n">
        <f aca="false">J257/$R$3</f>
        <v>0</v>
      </c>
      <c r="T257" s="126" t="n">
        <f aca="false">L257/$R$3</f>
        <v>0</v>
      </c>
      <c r="U257" s="126" t="n">
        <f aca="false">I257/$R$3</f>
        <v>0</v>
      </c>
      <c r="V257" s="126" t="n">
        <f aca="false">M257/$R$3</f>
        <v>0</v>
      </c>
      <c r="W257" s="126" t="n">
        <f aca="false">N257/$R$3</f>
        <v>-1376.857</v>
      </c>
    </row>
    <row r="258" customFormat="false" ht="12.75" hidden="false" customHeight="false" outlineLevel="0" collapsed="false">
      <c r="A258" s="120" t="n">
        <f aca="false">A257+1</f>
        <v>37144</v>
      </c>
      <c r="B258" s="131" t="str">
        <f aca="false">INDEX('[4]Master Data'!$A$2:$B$8,MATCH(WEEKDAY('TBS CRD MTM'!A258,3),'[4]Master Data'!$A$2:$A$8,0),2)</f>
        <v>M</v>
      </c>
      <c r="D258" s="124" t="n">
        <v>0</v>
      </c>
      <c r="E258" s="124" t="n">
        <v>0</v>
      </c>
      <c r="F258" s="124" t="n">
        <v>0</v>
      </c>
      <c r="G258" s="124" t="n">
        <v>0</v>
      </c>
      <c r="I258" s="124" t="n">
        <f aca="false">IF(MONTH($A258)=MONTH($A257),IF(G258=0,I257,G258),G258)</f>
        <v>0</v>
      </c>
      <c r="J258" s="124" t="n">
        <f aca="false">IF(MONTH($A258)=MONTH($A257),SUM(I258-I257),I258)</f>
        <v>0</v>
      </c>
      <c r="K258" s="124" t="n">
        <f aca="false">IF(WEEKDAY(A258,3)&gt;4,0,(IF(A258&lt;K$2,0,IF(A258&lt;=K$3,1,0))))</f>
        <v>0</v>
      </c>
      <c r="L258" s="124" t="n">
        <f aca="false">J258*K258</f>
        <v>0</v>
      </c>
      <c r="M258" s="124" t="n">
        <f aca="false">SUM(J$188:J258)</f>
        <v>0</v>
      </c>
      <c r="N258" s="124" t="n">
        <f aca="false">SUM(J$6:J258)</f>
        <v>-1376857</v>
      </c>
      <c r="P258" s="148" t="n">
        <f aca="false">D258/P$3</f>
        <v>0</v>
      </c>
      <c r="Q258" s="124" t="n">
        <f aca="false">E258/P$3</f>
        <v>0</v>
      </c>
      <c r="R258" s="124" t="n">
        <f aca="false">F258/R$3</f>
        <v>0</v>
      </c>
      <c r="S258" s="126" t="n">
        <f aca="false">J258/$R$3</f>
        <v>0</v>
      </c>
      <c r="T258" s="126" t="n">
        <f aca="false">L258/$R$3</f>
        <v>0</v>
      </c>
      <c r="U258" s="126" t="n">
        <f aca="false">I258/$R$3</f>
        <v>0</v>
      </c>
      <c r="V258" s="126" t="n">
        <f aca="false">M258/$R$3</f>
        <v>0</v>
      </c>
      <c r="W258" s="126" t="n">
        <f aca="false">N258/$R$3</f>
        <v>-1376.857</v>
      </c>
    </row>
    <row r="259" customFormat="false" ht="12.75" hidden="false" customHeight="false" outlineLevel="0" collapsed="false">
      <c r="A259" s="120" t="n">
        <f aca="false">A258+1</f>
        <v>37145</v>
      </c>
      <c r="B259" s="131" t="str">
        <f aca="false">INDEX('[4]Master Data'!$A$2:$B$8,MATCH(WEEKDAY('TBS CRD MTM'!A259,3),'[4]Master Data'!$A$2:$A$8,0),2)</f>
        <v>T</v>
      </c>
      <c r="D259" s="124" t="n">
        <v>0</v>
      </c>
      <c r="E259" s="124" t="n">
        <v>0</v>
      </c>
      <c r="F259" s="124" t="n">
        <v>0</v>
      </c>
      <c r="G259" s="124" t="n">
        <v>0</v>
      </c>
      <c r="I259" s="124" t="n">
        <f aca="false">IF(MONTH($A259)=MONTH($A258),IF(G259=0,I258,G259),G259)</f>
        <v>0</v>
      </c>
      <c r="J259" s="124" t="n">
        <f aca="false">IF(MONTH($A259)=MONTH($A258),SUM(I259-I258),I259)</f>
        <v>0</v>
      </c>
      <c r="K259" s="124" t="n">
        <f aca="false">IF(WEEKDAY(A259,3)&gt;4,0,(IF(A259&lt;K$2,0,IF(A259&lt;=K$3,1,0))))</f>
        <v>0</v>
      </c>
      <c r="L259" s="124" t="n">
        <f aca="false">J259*K259</f>
        <v>0</v>
      </c>
      <c r="M259" s="124" t="n">
        <f aca="false">SUM(J$188:J259)</f>
        <v>0</v>
      </c>
      <c r="N259" s="124" t="n">
        <f aca="false">SUM(J$6:J259)</f>
        <v>-1376857</v>
      </c>
      <c r="P259" s="148" t="n">
        <f aca="false">D259/P$3</f>
        <v>0</v>
      </c>
      <c r="Q259" s="124" t="n">
        <f aca="false">E259/P$3</f>
        <v>0</v>
      </c>
      <c r="R259" s="124" t="n">
        <f aca="false">F259/R$3</f>
        <v>0</v>
      </c>
      <c r="S259" s="126" t="n">
        <f aca="false">J259/$R$3</f>
        <v>0</v>
      </c>
      <c r="T259" s="126" t="n">
        <f aca="false">L259/$R$3</f>
        <v>0</v>
      </c>
      <c r="U259" s="126" t="n">
        <f aca="false">I259/$R$3</f>
        <v>0</v>
      </c>
      <c r="V259" s="126" t="n">
        <f aca="false">M259/$R$3</f>
        <v>0</v>
      </c>
      <c r="W259" s="126" t="n">
        <f aca="false">N259/$R$3</f>
        <v>-1376.857</v>
      </c>
    </row>
    <row r="260" customFormat="false" ht="12.75" hidden="false" customHeight="false" outlineLevel="0" collapsed="false">
      <c r="A260" s="120" t="n">
        <f aca="false">A259+1</f>
        <v>37146</v>
      </c>
      <c r="B260" s="131" t="str">
        <f aca="false">INDEX('[4]Master Data'!$A$2:$B$8,MATCH(WEEKDAY('TBS CRD MTM'!A260,3),'[4]Master Data'!$A$2:$A$8,0),2)</f>
        <v>W</v>
      </c>
      <c r="D260" s="124" t="n">
        <v>0</v>
      </c>
      <c r="E260" s="124" t="n">
        <v>0</v>
      </c>
      <c r="F260" s="124" t="n">
        <v>0</v>
      </c>
      <c r="G260" s="124" t="n">
        <v>0</v>
      </c>
      <c r="I260" s="124" t="n">
        <f aca="false">IF(MONTH($A260)=MONTH($A259),IF(G260=0,I259,G260),G260)</f>
        <v>0</v>
      </c>
      <c r="J260" s="124" t="n">
        <f aca="false">IF(MONTH($A260)=MONTH($A259),SUM(I260-I259),I260)</f>
        <v>0</v>
      </c>
      <c r="K260" s="124" t="n">
        <f aca="false">IF(WEEKDAY(A260,3)&gt;4,0,(IF(A260&lt;K$2,0,IF(A260&lt;=K$3,1,0))))</f>
        <v>0</v>
      </c>
      <c r="L260" s="124" t="n">
        <f aca="false">J260*K260</f>
        <v>0</v>
      </c>
      <c r="M260" s="124" t="n">
        <f aca="false">SUM(J$188:J260)</f>
        <v>0</v>
      </c>
      <c r="N260" s="124" t="n">
        <f aca="false">SUM(J$6:J260)</f>
        <v>-1376857</v>
      </c>
      <c r="P260" s="148" t="n">
        <f aca="false">D260/P$3</f>
        <v>0</v>
      </c>
      <c r="Q260" s="124" t="n">
        <f aca="false">E260/P$3</f>
        <v>0</v>
      </c>
      <c r="R260" s="124" t="n">
        <f aca="false">F260/R$3</f>
        <v>0</v>
      </c>
      <c r="S260" s="126" t="n">
        <f aca="false">J260/$R$3</f>
        <v>0</v>
      </c>
      <c r="T260" s="126" t="n">
        <f aca="false">L260/$R$3</f>
        <v>0</v>
      </c>
      <c r="U260" s="126" t="n">
        <f aca="false">I260/$R$3</f>
        <v>0</v>
      </c>
      <c r="V260" s="126" t="n">
        <f aca="false">M260/$R$3</f>
        <v>0</v>
      </c>
      <c r="W260" s="126" t="n">
        <f aca="false">N260/$R$3</f>
        <v>-1376.857</v>
      </c>
    </row>
    <row r="261" customFormat="false" ht="12.75" hidden="false" customHeight="false" outlineLevel="0" collapsed="false">
      <c r="A261" s="120" t="n">
        <f aca="false">A260+1</f>
        <v>37147</v>
      </c>
      <c r="B261" s="131" t="str">
        <f aca="false">INDEX('[4]Master Data'!$A$2:$B$8,MATCH(WEEKDAY('TBS CRD MTM'!A261,3),'[4]Master Data'!$A$2:$A$8,0),2)</f>
        <v>Th</v>
      </c>
      <c r="D261" s="124" t="n">
        <v>0</v>
      </c>
      <c r="E261" s="124" t="n">
        <v>0</v>
      </c>
      <c r="F261" s="124" t="n">
        <v>0</v>
      </c>
      <c r="G261" s="124" t="n">
        <v>0</v>
      </c>
      <c r="I261" s="124" t="n">
        <f aca="false">IF(MONTH($A261)=MONTH($A260),IF(G261=0,I260,G261),G261)</f>
        <v>0</v>
      </c>
      <c r="J261" s="124" t="n">
        <f aca="false">IF(MONTH($A261)=MONTH($A260),SUM(I261-I260),I261)</f>
        <v>0</v>
      </c>
      <c r="K261" s="124" t="n">
        <f aca="false">IF(WEEKDAY(A261,3)&gt;4,0,(IF(A261&lt;K$2,0,IF(A261&lt;=K$3,1,0))))</f>
        <v>0</v>
      </c>
      <c r="L261" s="124" t="n">
        <f aca="false">J261*K261</f>
        <v>0</v>
      </c>
      <c r="M261" s="124" t="n">
        <f aca="false">SUM(J$188:J261)</f>
        <v>0</v>
      </c>
      <c r="N261" s="124" t="n">
        <f aca="false">SUM(J$6:J261)</f>
        <v>-1376857</v>
      </c>
      <c r="P261" s="148" t="n">
        <f aca="false">D261/P$3</f>
        <v>0</v>
      </c>
      <c r="Q261" s="124" t="n">
        <f aca="false">E261/P$3</f>
        <v>0</v>
      </c>
      <c r="R261" s="124" t="n">
        <f aca="false">F261/R$3</f>
        <v>0</v>
      </c>
      <c r="S261" s="126" t="n">
        <f aca="false">J261/$R$3</f>
        <v>0</v>
      </c>
      <c r="T261" s="126" t="n">
        <f aca="false">L261/$R$3</f>
        <v>0</v>
      </c>
      <c r="U261" s="126" t="n">
        <f aca="false">I261/$R$3</f>
        <v>0</v>
      </c>
      <c r="V261" s="126" t="n">
        <f aca="false">M261/$R$3</f>
        <v>0</v>
      </c>
      <c r="W261" s="126" t="n">
        <f aca="false">N261/$R$3</f>
        <v>-1376.857</v>
      </c>
    </row>
    <row r="262" customFormat="false" ht="12.75" hidden="false" customHeight="false" outlineLevel="0" collapsed="false">
      <c r="A262" s="120" t="n">
        <f aca="false">A261+1</f>
        <v>37148</v>
      </c>
      <c r="B262" s="131" t="str">
        <f aca="false">INDEX('[4]Master Data'!$A$2:$B$8,MATCH(WEEKDAY('TBS CRD MTM'!A262,3),'[4]Master Data'!$A$2:$A$8,0),2)</f>
        <v>F</v>
      </c>
      <c r="D262" s="124" t="n">
        <v>0</v>
      </c>
      <c r="E262" s="124" t="n">
        <v>0</v>
      </c>
      <c r="F262" s="124" t="n">
        <v>0</v>
      </c>
      <c r="G262" s="124" t="n">
        <v>0</v>
      </c>
      <c r="I262" s="124" t="n">
        <f aca="false">IF(MONTH($A262)=MONTH($A261),IF(G262=0,I261,G262),G262)</f>
        <v>0</v>
      </c>
      <c r="J262" s="124" t="n">
        <f aca="false">IF(MONTH($A262)=MONTH($A261),SUM(I262-I261),I262)</f>
        <v>0</v>
      </c>
      <c r="K262" s="124" t="n">
        <f aca="false">IF(WEEKDAY(A262,3)&gt;4,0,(IF(A262&lt;K$2,0,IF(A262&lt;=K$3,1,0))))</f>
        <v>0</v>
      </c>
      <c r="L262" s="124" t="n">
        <f aca="false">J262*K262</f>
        <v>0</v>
      </c>
      <c r="M262" s="124" t="n">
        <f aca="false">SUM(J$188:J262)</f>
        <v>0</v>
      </c>
      <c r="N262" s="124" t="n">
        <f aca="false">SUM(J$6:J262)</f>
        <v>-1376857</v>
      </c>
      <c r="P262" s="148" t="n">
        <f aca="false">D262/P$3</f>
        <v>0</v>
      </c>
      <c r="Q262" s="124" t="n">
        <f aca="false">E262/P$3</f>
        <v>0</v>
      </c>
      <c r="R262" s="124" t="n">
        <f aca="false">F262/R$3</f>
        <v>0</v>
      </c>
      <c r="S262" s="126" t="n">
        <f aca="false">J262/$R$3</f>
        <v>0</v>
      </c>
      <c r="T262" s="126" t="n">
        <f aca="false">L262/$R$3</f>
        <v>0</v>
      </c>
      <c r="U262" s="126" t="n">
        <f aca="false">I262/$R$3</f>
        <v>0</v>
      </c>
      <c r="V262" s="126" t="n">
        <f aca="false">M262/$R$3</f>
        <v>0</v>
      </c>
      <c r="W262" s="126" t="n">
        <f aca="false">N262/$R$3</f>
        <v>-1376.857</v>
      </c>
    </row>
    <row r="263" customFormat="false" ht="12.75" hidden="false" customHeight="false" outlineLevel="0" collapsed="false">
      <c r="A263" s="120" t="n">
        <f aca="false">A262+1</f>
        <v>37149</v>
      </c>
      <c r="B263" s="131" t="str">
        <f aca="false">INDEX('[4]Master Data'!$A$2:$B$8,MATCH(WEEKDAY('TBS CRD MTM'!A263,3),'[4]Master Data'!$A$2:$A$8,0),2)</f>
        <v>Sa</v>
      </c>
      <c r="D263" s="124" t="n">
        <v>0</v>
      </c>
      <c r="E263" s="124" t="n">
        <v>0</v>
      </c>
      <c r="F263" s="124" t="n">
        <v>0</v>
      </c>
      <c r="G263" s="124" t="n">
        <v>0</v>
      </c>
      <c r="I263" s="124" t="n">
        <f aca="false">IF(MONTH($A263)=MONTH($A262),IF(G263=0,I262,G263),G263)</f>
        <v>0</v>
      </c>
      <c r="J263" s="124" t="n">
        <f aca="false">IF(MONTH($A263)=MONTH($A262),SUM(I263-I262),I263)</f>
        <v>0</v>
      </c>
      <c r="K263" s="124" t="n">
        <f aca="false">IF(WEEKDAY(A263,3)&gt;4,0,(IF(A263&lt;K$2,0,IF(A263&lt;=K$3,1,0))))</f>
        <v>0</v>
      </c>
      <c r="L263" s="124" t="n">
        <f aca="false">J263*K263</f>
        <v>0</v>
      </c>
      <c r="M263" s="124" t="n">
        <f aca="false">SUM(J$188:J263)</f>
        <v>0</v>
      </c>
      <c r="N263" s="124" t="n">
        <f aca="false">SUM(J$6:J263)</f>
        <v>-1376857</v>
      </c>
      <c r="P263" s="148" t="n">
        <f aca="false">D263/P$3</f>
        <v>0</v>
      </c>
      <c r="Q263" s="124" t="n">
        <f aca="false">E263/P$3</f>
        <v>0</v>
      </c>
      <c r="R263" s="124" t="n">
        <f aca="false">F263/R$3</f>
        <v>0</v>
      </c>
      <c r="S263" s="126" t="n">
        <f aca="false">J263/$R$3</f>
        <v>0</v>
      </c>
      <c r="T263" s="126" t="n">
        <f aca="false">L263/$R$3</f>
        <v>0</v>
      </c>
      <c r="U263" s="126" t="n">
        <f aca="false">I263/$R$3</f>
        <v>0</v>
      </c>
      <c r="V263" s="126" t="n">
        <f aca="false">M263/$R$3</f>
        <v>0</v>
      </c>
      <c r="W263" s="126" t="n">
        <f aca="false">N263/$R$3</f>
        <v>-1376.857</v>
      </c>
    </row>
    <row r="264" customFormat="false" ht="12.75" hidden="false" customHeight="false" outlineLevel="0" collapsed="false">
      <c r="A264" s="120" t="n">
        <f aca="false">A263+1</f>
        <v>37150</v>
      </c>
      <c r="B264" s="131" t="str">
        <f aca="false">INDEX('[4]Master Data'!$A$2:$B$8,MATCH(WEEKDAY('TBS CRD MTM'!A264,3),'[4]Master Data'!$A$2:$A$8,0),2)</f>
        <v>Su</v>
      </c>
      <c r="D264" s="124" t="n">
        <v>0</v>
      </c>
      <c r="E264" s="124" t="n">
        <v>0</v>
      </c>
      <c r="F264" s="124" t="n">
        <v>0</v>
      </c>
      <c r="G264" s="124" t="n">
        <v>0</v>
      </c>
      <c r="I264" s="124" t="n">
        <f aca="false">IF(MONTH($A264)=MONTH($A263),IF(G264=0,I263,G264),G264)</f>
        <v>0</v>
      </c>
      <c r="J264" s="124" t="n">
        <f aca="false">IF(MONTH($A264)=MONTH($A263),SUM(I264-I263),I264)</f>
        <v>0</v>
      </c>
      <c r="K264" s="124" t="n">
        <f aca="false">IF(WEEKDAY(A264,3)&gt;4,0,(IF(A264&lt;K$2,0,IF(A264&lt;=K$3,1,0))))</f>
        <v>0</v>
      </c>
      <c r="L264" s="124" t="n">
        <f aca="false">J264*K264</f>
        <v>0</v>
      </c>
      <c r="M264" s="124" t="n">
        <f aca="false">SUM(J$188:J264)</f>
        <v>0</v>
      </c>
      <c r="N264" s="124" t="n">
        <f aca="false">SUM(J$6:J264)</f>
        <v>-1376857</v>
      </c>
      <c r="P264" s="148" t="n">
        <f aca="false">D264/P$3</f>
        <v>0</v>
      </c>
      <c r="Q264" s="124" t="n">
        <f aca="false">E264/P$3</f>
        <v>0</v>
      </c>
      <c r="R264" s="124" t="n">
        <f aca="false">F264/R$3</f>
        <v>0</v>
      </c>
      <c r="S264" s="126" t="n">
        <f aca="false">J264/$R$3</f>
        <v>0</v>
      </c>
      <c r="T264" s="126" t="n">
        <f aca="false">L264/$R$3</f>
        <v>0</v>
      </c>
      <c r="U264" s="126" t="n">
        <f aca="false">I264/$R$3</f>
        <v>0</v>
      </c>
      <c r="V264" s="126" t="n">
        <f aca="false">M264/$R$3</f>
        <v>0</v>
      </c>
      <c r="W264" s="126" t="n">
        <f aca="false">N264/$R$3</f>
        <v>-1376.857</v>
      </c>
    </row>
    <row r="265" customFormat="false" ht="12.75" hidden="false" customHeight="false" outlineLevel="0" collapsed="false">
      <c r="A265" s="120" t="n">
        <f aca="false">A264+1</f>
        <v>37151</v>
      </c>
      <c r="B265" s="131" t="str">
        <f aca="false">INDEX('[4]Master Data'!$A$2:$B$8,MATCH(WEEKDAY('TBS CRD MTM'!A265,3),'[4]Master Data'!$A$2:$A$8,0),2)</f>
        <v>M</v>
      </c>
      <c r="D265" s="124" t="n">
        <v>0</v>
      </c>
      <c r="E265" s="124" t="n">
        <v>0</v>
      </c>
      <c r="F265" s="124" t="n">
        <v>0</v>
      </c>
      <c r="G265" s="124" t="n">
        <v>0</v>
      </c>
      <c r="I265" s="124" t="n">
        <f aca="false">IF(MONTH($A265)=MONTH($A264),IF(G265=0,I264,G265),G265)</f>
        <v>0</v>
      </c>
      <c r="J265" s="124" t="n">
        <f aca="false">IF(MONTH($A265)=MONTH($A264),SUM(I265-I264),I265)</f>
        <v>0</v>
      </c>
      <c r="K265" s="124" t="n">
        <f aca="false">IF(WEEKDAY(A265,3)&gt;4,0,(IF(A265&lt;K$2,0,IF(A265&lt;=K$3,1,0))))</f>
        <v>0</v>
      </c>
      <c r="L265" s="124" t="n">
        <f aca="false">J265*K265</f>
        <v>0</v>
      </c>
      <c r="M265" s="124" t="n">
        <f aca="false">SUM(J$188:J265)</f>
        <v>0</v>
      </c>
      <c r="N265" s="124" t="n">
        <f aca="false">SUM(J$6:J265)</f>
        <v>-1376857</v>
      </c>
      <c r="P265" s="148" t="n">
        <f aca="false">D265/P$3</f>
        <v>0</v>
      </c>
      <c r="Q265" s="124" t="n">
        <f aca="false">E265/P$3</f>
        <v>0</v>
      </c>
      <c r="R265" s="124" t="n">
        <f aca="false">F265/R$3</f>
        <v>0</v>
      </c>
      <c r="S265" s="126" t="n">
        <f aca="false">J265/$R$3</f>
        <v>0</v>
      </c>
      <c r="T265" s="126" t="n">
        <f aca="false">L265/$R$3</f>
        <v>0</v>
      </c>
      <c r="U265" s="126" t="n">
        <f aca="false">I265/$R$3</f>
        <v>0</v>
      </c>
      <c r="V265" s="126" t="n">
        <f aca="false">M265/$R$3</f>
        <v>0</v>
      </c>
      <c r="W265" s="126" t="n">
        <f aca="false">N265/$R$3</f>
        <v>-1376.857</v>
      </c>
    </row>
    <row r="266" customFormat="false" ht="12.75" hidden="false" customHeight="false" outlineLevel="0" collapsed="false">
      <c r="A266" s="120" t="n">
        <f aca="false">A265+1</f>
        <v>37152</v>
      </c>
      <c r="B266" s="131" t="str">
        <f aca="false">INDEX('[4]Master Data'!$A$2:$B$8,MATCH(WEEKDAY('TBS CRD MTM'!A266,3),'[4]Master Data'!$A$2:$A$8,0),2)</f>
        <v>T</v>
      </c>
      <c r="D266" s="124" t="n">
        <v>0</v>
      </c>
      <c r="E266" s="124" t="n">
        <v>0</v>
      </c>
      <c r="F266" s="124" t="n">
        <v>0</v>
      </c>
      <c r="G266" s="124" t="n">
        <v>0</v>
      </c>
      <c r="I266" s="124" t="n">
        <f aca="false">IF(MONTH($A266)=MONTH($A265),IF(G266=0,I265,G266),G266)</f>
        <v>0</v>
      </c>
      <c r="J266" s="124" t="n">
        <f aca="false">IF(MONTH($A266)=MONTH($A265),SUM(I266-I265),I266)</f>
        <v>0</v>
      </c>
      <c r="K266" s="124" t="n">
        <f aca="false">IF(WEEKDAY(A266,3)&gt;4,0,(IF(A266&lt;K$2,0,IF(A266&lt;=K$3,1,0))))</f>
        <v>0</v>
      </c>
      <c r="L266" s="124" t="n">
        <f aca="false">J266*K266</f>
        <v>0</v>
      </c>
      <c r="M266" s="124" t="n">
        <f aca="false">SUM(J$188:J266)</f>
        <v>0</v>
      </c>
      <c r="N266" s="124" t="n">
        <f aca="false">SUM(J$6:J266)</f>
        <v>-1376857</v>
      </c>
      <c r="P266" s="148" t="n">
        <f aca="false">D266/P$3</f>
        <v>0</v>
      </c>
      <c r="Q266" s="124" t="n">
        <f aca="false">E266/P$3</f>
        <v>0</v>
      </c>
      <c r="R266" s="124" t="n">
        <f aca="false">F266/R$3</f>
        <v>0</v>
      </c>
      <c r="S266" s="126" t="n">
        <f aca="false">J266/$R$3</f>
        <v>0</v>
      </c>
      <c r="T266" s="126" t="n">
        <f aca="false">L266/$R$3</f>
        <v>0</v>
      </c>
      <c r="U266" s="126" t="n">
        <f aca="false">I266/$R$3</f>
        <v>0</v>
      </c>
      <c r="V266" s="126" t="n">
        <f aca="false">M266/$R$3</f>
        <v>0</v>
      </c>
      <c r="W266" s="126" t="n">
        <f aca="false">N266/$R$3</f>
        <v>-1376.857</v>
      </c>
    </row>
    <row r="267" customFormat="false" ht="12.75" hidden="false" customHeight="false" outlineLevel="0" collapsed="false">
      <c r="A267" s="120" t="n">
        <f aca="false">A266+1</f>
        <v>37153</v>
      </c>
      <c r="B267" s="131" t="str">
        <f aca="false">INDEX('[4]Master Data'!$A$2:$B$8,MATCH(WEEKDAY('TBS CRD MTM'!A267,3),'[4]Master Data'!$A$2:$A$8,0),2)</f>
        <v>W</v>
      </c>
      <c r="D267" s="124" t="n">
        <v>0</v>
      </c>
      <c r="E267" s="124" t="n">
        <v>0</v>
      </c>
      <c r="F267" s="124" t="n">
        <v>0</v>
      </c>
      <c r="G267" s="124" t="n">
        <v>0</v>
      </c>
      <c r="I267" s="124" t="n">
        <f aca="false">IF(MONTH($A267)=MONTH($A266),IF(G267=0,I266,G267),G267)</f>
        <v>0</v>
      </c>
      <c r="J267" s="124" t="n">
        <f aca="false">IF(MONTH($A267)=MONTH($A266),SUM(I267-I266),I267)</f>
        <v>0</v>
      </c>
      <c r="K267" s="124" t="n">
        <f aca="false">IF(WEEKDAY(A267,3)&gt;4,0,(IF(A267&lt;K$2,0,IF(A267&lt;=K$3,1,0))))</f>
        <v>0</v>
      </c>
      <c r="L267" s="124" t="n">
        <f aca="false">J267*K267</f>
        <v>0</v>
      </c>
      <c r="M267" s="124" t="n">
        <f aca="false">SUM(J$188:J267)</f>
        <v>0</v>
      </c>
      <c r="N267" s="124" t="n">
        <f aca="false">SUM(J$6:J267)</f>
        <v>-1376857</v>
      </c>
      <c r="P267" s="148" t="n">
        <f aca="false">D267/P$3</f>
        <v>0</v>
      </c>
      <c r="Q267" s="124" t="n">
        <f aca="false">E267/P$3</f>
        <v>0</v>
      </c>
      <c r="R267" s="124" t="n">
        <f aca="false">F267/R$3</f>
        <v>0</v>
      </c>
      <c r="S267" s="126" t="n">
        <f aca="false">J267/$R$3</f>
        <v>0</v>
      </c>
      <c r="T267" s="126" t="n">
        <f aca="false">L267/$R$3</f>
        <v>0</v>
      </c>
      <c r="U267" s="126" t="n">
        <f aca="false">I267/$R$3</f>
        <v>0</v>
      </c>
      <c r="V267" s="126" t="n">
        <f aca="false">M267/$R$3</f>
        <v>0</v>
      </c>
      <c r="W267" s="126" t="n">
        <f aca="false">N267/$R$3</f>
        <v>-1376.857</v>
      </c>
    </row>
    <row r="268" customFormat="false" ht="12.75" hidden="false" customHeight="false" outlineLevel="0" collapsed="false">
      <c r="A268" s="120" t="n">
        <f aca="false">A267+1</f>
        <v>37154</v>
      </c>
      <c r="B268" s="131" t="str">
        <f aca="false">INDEX('[4]Master Data'!$A$2:$B$8,MATCH(WEEKDAY('TBS CRD MTM'!A268,3),'[4]Master Data'!$A$2:$A$8,0),2)</f>
        <v>Th</v>
      </c>
      <c r="D268" s="124" t="n">
        <v>0</v>
      </c>
      <c r="E268" s="124" t="n">
        <v>0</v>
      </c>
      <c r="F268" s="124" t="n">
        <v>0</v>
      </c>
      <c r="G268" s="124" t="n">
        <v>0</v>
      </c>
      <c r="I268" s="124" t="n">
        <f aca="false">IF(MONTH($A268)=MONTH($A267),IF(G268=0,I267,G268),G268)</f>
        <v>0</v>
      </c>
      <c r="J268" s="124" t="n">
        <f aca="false">IF(MONTH($A268)=MONTH($A267),SUM(I268-I267),I268)</f>
        <v>0</v>
      </c>
      <c r="K268" s="124" t="n">
        <f aca="false">IF(WEEKDAY(A268,3)&gt;4,0,(IF(A268&lt;K$2,0,IF(A268&lt;=K$3,1,0))))</f>
        <v>0</v>
      </c>
      <c r="L268" s="124" t="n">
        <f aca="false">J268*K268</f>
        <v>0</v>
      </c>
      <c r="M268" s="124" t="n">
        <f aca="false">SUM(J$188:J268)</f>
        <v>0</v>
      </c>
      <c r="N268" s="124" t="n">
        <f aca="false">SUM(J$6:J268)</f>
        <v>-1376857</v>
      </c>
      <c r="P268" s="148" t="n">
        <f aca="false">D268/P$3</f>
        <v>0</v>
      </c>
      <c r="Q268" s="124" t="n">
        <f aca="false">E268/P$3</f>
        <v>0</v>
      </c>
      <c r="R268" s="124" t="n">
        <f aca="false">F268/R$3</f>
        <v>0</v>
      </c>
      <c r="S268" s="126" t="n">
        <f aca="false">J268/$R$3</f>
        <v>0</v>
      </c>
      <c r="T268" s="126" t="n">
        <f aca="false">L268/$R$3</f>
        <v>0</v>
      </c>
      <c r="U268" s="126" t="n">
        <f aca="false">I268/$R$3</f>
        <v>0</v>
      </c>
      <c r="V268" s="126" t="n">
        <f aca="false">M268/$R$3</f>
        <v>0</v>
      </c>
      <c r="W268" s="126" t="n">
        <f aca="false">N268/$R$3</f>
        <v>-1376.857</v>
      </c>
    </row>
    <row r="269" customFormat="false" ht="12.75" hidden="false" customHeight="false" outlineLevel="0" collapsed="false">
      <c r="A269" s="120" t="n">
        <f aca="false">A268+1</f>
        <v>37155</v>
      </c>
      <c r="B269" s="131" t="str">
        <f aca="false">INDEX('[4]Master Data'!$A$2:$B$8,MATCH(WEEKDAY('TBS CRD MTM'!A269,3),'[4]Master Data'!$A$2:$A$8,0),2)</f>
        <v>F</v>
      </c>
      <c r="D269" s="124" t="n">
        <v>0</v>
      </c>
      <c r="E269" s="124" t="n">
        <v>0</v>
      </c>
      <c r="F269" s="124" t="n">
        <v>0</v>
      </c>
      <c r="G269" s="124" t="n">
        <v>0</v>
      </c>
      <c r="I269" s="124" t="n">
        <f aca="false">IF(MONTH($A269)=MONTH($A268),IF(G269=0,I268,G269),G269)</f>
        <v>0</v>
      </c>
      <c r="J269" s="124" t="n">
        <f aca="false">IF(MONTH($A269)=MONTH($A268),SUM(I269-I268),I269)</f>
        <v>0</v>
      </c>
      <c r="K269" s="124" t="n">
        <f aca="false">IF(WEEKDAY(A269,3)&gt;4,0,(IF(A269&lt;K$2,0,IF(A269&lt;=K$3,1,0))))</f>
        <v>0</v>
      </c>
      <c r="L269" s="124" t="n">
        <f aca="false">J269*K269</f>
        <v>0</v>
      </c>
      <c r="M269" s="124" t="n">
        <f aca="false">SUM(J$188:J269)</f>
        <v>0</v>
      </c>
      <c r="N269" s="124" t="n">
        <f aca="false">SUM(J$6:J269)</f>
        <v>-1376857</v>
      </c>
      <c r="P269" s="148" t="n">
        <f aca="false">D269/P$3</f>
        <v>0</v>
      </c>
      <c r="Q269" s="124" t="n">
        <f aca="false">E269/P$3</f>
        <v>0</v>
      </c>
      <c r="R269" s="124" t="n">
        <f aca="false">F269/R$3</f>
        <v>0</v>
      </c>
      <c r="S269" s="126" t="n">
        <f aca="false">J269/$R$3</f>
        <v>0</v>
      </c>
      <c r="T269" s="126" t="n">
        <f aca="false">L269/$R$3</f>
        <v>0</v>
      </c>
      <c r="U269" s="126" t="n">
        <f aca="false">I269/$R$3</f>
        <v>0</v>
      </c>
      <c r="V269" s="126" t="n">
        <f aca="false">M269/$R$3</f>
        <v>0</v>
      </c>
      <c r="W269" s="126" t="n">
        <f aca="false">N269/$R$3</f>
        <v>-1376.857</v>
      </c>
    </row>
    <row r="270" customFormat="false" ht="12.75" hidden="false" customHeight="false" outlineLevel="0" collapsed="false">
      <c r="A270" s="120" t="n">
        <f aca="false">A269+1</f>
        <v>37156</v>
      </c>
      <c r="B270" s="131" t="str">
        <f aca="false">INDEX('[4]Master Data'!$A$2:$B$8,MATCH(WEEKDAY('TBS CRD MTM'!A270,3),'[4]Master Data'!$A$2:$A$8,0),2)</f>
        <v>Sa</v>
      </c>
      <c r="D270" s="124" t="n">
        <v>0</v>
      </c>
      <c r="E270" s="124" t="n">
        <v>0</v>
      </c>
      <c r="F270" s="124" t="n">
        <v>0</v>
      </c>
      <c r="G270" s="124" t="n">
        <v>0</v>
      </c>
      <c r="I270" s="124" t="n">
        <f aca="false">IF(MONTH($A270)=MONTH($A269),IF(G270=0,I269,G270),G270)</f>
        <v>0</v>
      </c>
      <c r="J270" s="124" t="n">
        <f aca="false">IF(MONTH($A270)=MONTH($A269),SUM(I270-I269),I270)</f>
        <v>0</v>
      </c>
      <c r="K270" s="124" t="n">
        <f aca="false">IF(WEEKDAY(A270,3)&gt;4,0,(IF(A270&lt;K$2,0,IF(A270&lt;=K$3,1,0))))</f>
        <v>0</v>
      </c>
      <c r="L270" s="124" t="n">
        <f aca="false">J270*K270</f>
        <v>0</v>
      </c>
      <c r="M270" s="124" t="n">
        <f aca="false">SUM(J$188:J270)</f>
        <v>0</v>
      </c>
      <c r="N270" s="124" t="n">
        <f aca="false">SUM(J$6:J270)</f>
        <v>-1376857</v>
      </c>
      <c r="P270" s="148" t="n">
        <f aca="false">D270/P$3</f>
        <v>0</v>
      </c>
      <c r="Q270" s="124" t="n">
        <f aca="false">E270/P$3</f>
        <v>0</v>
      </c>
      <c r="R270" s="124" t="n">
        <f aca="false">F270/R$3</f>
        <v>0</v>
      </c>
      <c r="S270" s="126" t="n">
        <f aca="false">J270/$R$3</f>
        <v>0</v>
      </c>
      <c r="T270" s="126" t="n">
        <f aca="false">L270/$R$3</f>
        <v>0</v>
      </c>
      <c r="U270" s="126" t="n">
        <f aca="false">I270/$R$3</f>
        <v>0</v>
      </c>
      <c r="V270" s="126" t="n">
        <f aca="false">M270/$R$3</f>
        <v>0</v>
      </c>
      <c r="W270" s="126" t="n">
        <f aca="false">N270/$R$3</f>
        <v>-1376.857</v>
      </c>
    </row>
    <row r="271" customFormat="false" ht="12.75" hidden="false" customHeight="false" outlineLevel="0" collapsed="false">
      <c r="A271" s="120" t="n">
        <f aca="false">A270+1</f>
        <v>37157</v>
      </c>
      <c r="B271" s="131" t="str">
        <f aca="false">INDEX('[4]Master Data'!$A$2:$B$8,MATCH(WEEKDAY('TBS CRD MTM'!A271,3),'[4]Master Data'!$A$2:$A$8,0),2)</f>
        <v>Su</v>
      </c>
      <c r="D271" s="124" t="n">
        <v>0</v>
      </c>
      <c r="E271" s="124" t="n">
        <v>0</v>
      </c>
      <c r="F271" s="124" t="n">
        <v>0</v>
      </c>
      <c r="G271" s="124" t="n">
        <v>0</v>
      </c>
      <c r="I271" s="124" t="n">
        <f aca="false">IF(MONTH($A271)=MONTH($A270),IF(G271=0,I270,G271),G271)</f>
        <v>0</v>
      </c>
      <c r="J271" s="124" t="n">
        <f aca="false">IF(MONTH($A271)=MONTH($A270),SUM(I271-I270),I271)</f>
        <v>0</v>
      </c>
      <c r="K271" s="124" t="n">
        <f aca="false">IF(WEEKDAY(A271,3)&gt;4,0,(IF(A271&lt;K$2,0,IF(A271&lt;=K$3,1,0))))</f>
        <v>0</v>
      </c>
      <c r="L271" s="124" t="n">
        <f aca="false">J271*K271</f>
        <v>0</v>
      </c>
      <c r="M271" s="124" t="n">
        <f aca="false">SUM(J$188:J271)</f>
        <v>0</v>
      </c>
      <c r="N271" s="124" t="n">
        <f aca="false">SUM(J$6:J271)</f>
        <v>-1376857</v>
      </c>
      <c r="P271" s="148" t="n">
        <f aca="false">D271/P$3</f>
        <v>0</v>
      </c>
      <c r="Q271" s="124" t="n">
        <f aca="false">E271/P$3</f>
        <v>0</v>
      </c>
      <c r="R271" s="124" t="n">
        <f aca="false">F271/R$3</f>
        <v>0</v>
      </c>
      <c r="S271" s="126" t="n">
        <f aca="false">J271/$R$3</f>
        <v>0</v>
      </c>
      <c r="T271" s="126" t="n">
        <f aca="false">L271/$R$3</f>
        <v>0</v>
      </c>
      <c r="U271" s="126" t="n">
        <f aca="false">I271/$R$3</f>
        <v>0</v>
      </c>
      <c r="V271" s="126" t="n">
        <f aca="false">M271/$R$3</f>
        <v>0</v>
      </c>
      <c r="W271" s="126" t="n">
        <f aca="false">N271/$R$3</f>
        <v>-1376.857</v>
      </c>
    </row>
    <row r="272" customFormat="false" ht="12.75" hidden="false" customHeight="false" outlineLevel="0" collapsed="false">
      <c r="A272" s="120" t="n">
        <f aca="false">A271+1</f>
        <v>37158</v>
      </c>
      <c r="B272" s="131" t="str">
        <f aca="false">INDEX('[4]Master Data'!$A$2:$B$8,MATCH(WEEKDAY('TBS CRD MTM'!A272,3),'[4]Master Data'!$A$2:$A$8,0),2)</f>
        <v>M</v>
      </c>
      <c r="D272" s="124" t="n">
        <v>0</v>
      </c>
      <c r="E272" s="124" t="n">
        <v>0</v>
      </c>
      <c r="F272" s="124" t="n">
        <v>0</v>
      </c>
      <c r="G272" s="124" t="n">
        <v>0</v>
      </c>
      <c r="I272" s="124" t="n">
        <f aca="false">IF(MONTH($A272)=MONTH($A271),IF(G272=0,I271,G272),G272)</f>
        <v>0</v>
      </c>
      <c r="J272" s="124" t="n">
        <f aca="false">IF(MONTH($A272)=MONTH($A271),SUM(I272-I271),I272)</f>
        <v>0</v>
      </c>
      <c r="K272" s="124" t="n">
        <f aca="false">IF(WEEKDAY(A272,3)&gt;4,0,(IF(A272&lt;K$2,0,IF(A272&lt;=K$3,1,0))))</f>
        <v>0</v>
      </c>
      <c r="L272" s="124" t="n">
        <f aca="false">J272*K272</f>
        <v>0</v>
      </c>
      <c r="M272" s="124" t="n">
        <f aca="false">SUM(J$188:J272)</f>
        <v>0</v>
      </c>
      <c r="N272" s="124" t="n">
        <f aca="false">SUM(J$6:J272)</f>
        <v>-1376857</v>
      </c>
      <c r="P272" s="148" t="n">
        <f aca="false">D272/P$3</f>
        <v>0</v>
      </c>
      <c r="Q272" s="124" t="n">
        <f aca="false">E272/P$3</f>
        <v>0</v>
      </c>
      <c r="R272" s="124" t="n">
        <f aca="false">F272/R$3</f>
        <v>0</v>
      </c>
      <c r="S272" s="126" t="n">
        <f aca="false">J272/$R$3</f>
        <v>0</v>
      </c>
      <c r="T272" s="126" t="n">
        <f aca="false">L272/$R$3</f>
        <v>0</v>
      </c>
      <c r="U272" s="126" t="n">
        <f aca="false">I272/$R$3</f>
        <v>0</v>
      </c>
      <c r="V272" s="126" t="n">
        <f aca="false">M272/$R$3</f>
        <v>0</v>
      </c>
      <c r="W272" s="126" t="n">
        <f aca="false">N272/$R$3</f>
        <v>-1376.857</v>
      </c>
    </row>
    <row r="273" customFormat="false" ht="12.75" hidden="false" customHeight="false" outlineLevel="0" collapsed="false">
      <c r="A273" s="120" t="n">
        <f aca="false">A272+1</f>
        <v>37159</v>
      </c>
      <c r="B273" s="131" t="str">
        <f aca="false">INDEX('[4]Master Data'!$A$2:$B$8,MATCH(WEEKDAY('TBS CRD MTM'!A273,3),'[4]Master Data'!$A$2:$A$8,0),2)</f>
        <v>T</v>
      </c>
      <c r="D273" s="124" t="n">
        <v>0</v>
      </c>
      <c r="E273" s="124" t="n">
        <v>0</v>
      </c>
      <c r="F273" s="124" t="n">
        <v>0</v>
      </c>
      <c r="G273" s="124" t="n">
        <v>0</v>
      </c>
      <c r="I273" s="124" t="n">
        <f aca="false">IF(MONTH($A273)=MONTH($A272),IF(G273=0,I272,G273),G273)</f>
        <v>0</v>
      </c>
      <c r="J273" s="124" t="n">
        <f aca="false">IF(MONTH($A273)=MONTH($A272),SUM(I273-I272),I273)</f>
        <v>0</v>
      </c>
      <c r="K273" s="124" t="n">
        <f aca="false">IF(WEEKDAY(A273,3)&gt;4,0,(IF(A273&lt;K$2,0,IF(A273&lt;=K$3,1,0))))</f>
        <v>0</v>
      </c>
      <c r="L273" s="124" t="n">
        <f aca="false">J273*K273</f>
        <v>0</v>
      </c>
      <c r="M273" s="124" t="n">
        <f aca="false">SUM(J$188:J273)</f>
        <v>0</v>
      </c>
      <c r="N273" s="124" t="n">
        <f aca="false">SUM(J$6:J273)</f>
        <v>-1376857</v>
      </c>
      <c r="P273" s="148" t="n">
        <f aca="false">D273/P$3</f>
        <v>0</v>
      </c>
      <c r="Q273" s="124" t="n">
        <f aca="false">E273/P$3</f>
        <v>0</v>
      </c>
      <c r="R273" s="124" t="n">
        <f aca="false">F273/R$3</f>
        <v>0</v>
      </c>
      <c r="S273" s="126" t="n">
        <f aca="false">J273/$R$3</f>
        <v>0</v>
      </c>
      <c r="T273" s="126" t="n">
        <f aca="false">L273/$R$3</f>
        <v>0</v>
      </c>
      <c r="U273" s="126" t="n">
        <f aca="false">I273/$R$3</f>
        <v>0</v>
      </c>
      <c r="V273" s="126" t="n">
        <f aca="false">M273/$R$3</f>
        <v>0</v>
      </c>
      <c r="W273" s="126" t="n">
        <f aca="false">N273/$R$3</f>
        <v>-1376.857</v>
      </c>
    </row>
    <row r="274" customFormat="false" ht="12.75" hidden="false" customHeight="false" outlineLevel="0" collapsed="false">
      <c r="A274" s="120" t="n">
        <f aca="false">A273+1</f>
        <v>37160</v>
      </c>
      <c r="B274" s="131" t="str">
        <f aca="false">INDEX('[4]Master Data'!$A$2:$B$8,MATCH(WEEKDAY('TBS CRD MTM'!A274,3),'[4]Master Data'!$A$2:$A$8,0),2)</f>
        <v>W</v>
      </c>
      <c r="D274" s="124" t="n">
        <v>0</v>
      </c>
      <c r="E274" s="124" t="n">
        <v>0</v>
      </c>
      <c r="F274" s="124" t="n">
        <v>0</v>
      </c>
      <c r="G274" s="124" t="n">
        <v>0</v>
      </c>
      <c r="I274" s="124" t="n">
        <f aca="false">IF(MONTH($A274)=MONTH($A273),IF(G274=0,I273,G274),G274)</f>
        <v>0</v>
      </c>
      <c r="J274" s="124" t="n">
        <f aca="false">IF(MONTH($A274)=MONTH($A273),SUM(I274-I273),I274)</f>
        <v>0</v>
      </c>
      <c r="K274" s="124" t="n">
        <f aca="false">IF(WEEKDAY(A274,3)&gt;4,0,(IF(A274&lt;K$2,0,IF(A274&lt;=K$3,1,0))))</f>
        <v>0</v>
      </c>
      <c r="L274" s="124" t="n">
        <f aca="false">J274*K274</f>
        <v>0</v>
      </c>
      <c r="M274" s="124" t="n">
        <f aca="false">SUM(J$188:J274)</f>
        <v>0</v>
      </c>
      <c r="N274" s="124" t="n">
        <f aca="false">SUM(J$6:J274)</f>
        <v>-1376857</v>
      </c>
      <c r="P274" s="148" t="n">
        <f aca="false">D274/P$3</f>
        <v>0</v>
      </c>
      <c r="Q274" s="124" t="n">
        <f aca="false">E274/P$3</f>
        <v>0</v>
      </c>
      <c r="R274" s="124" t="n">
        <f aca="false">F274/R$3</f>
        <v>0</v>
      </c>
      <c r="S274" s="126" t="n">
        <f aca="false">J274/$R$3</f>
        <v>0</v>
      </c>
      <c r="T274" s="126" t="n">
        <f aca="false">L274/$R$3</f>
        <v>0</v>
      </c>
      <c r="U274" s="126" t="n">
        <f aca="false">I274/$R$3</f>
        <v>0</v>
      </c>
      <c r="V274" s="126" t="n">
        <f aca="false">M274/$R$3</f>
        <v>0</v>
      </c>
      <c r="W274" s="126" t="n">
        <f aca="false">N274/$R$3</f>
        <v>-1376.857</v>
      </c>
    </row>
    <row r="275" customFormat="false" ht="12.75" hidden="false" customHeight="false" outlineLevel="0" collapsed="false">
      <c r="A275" s="120" t="n">
        <f aca="false">A274+1</f>
        <v>37161</v>
      </c>
      <c r="B275" s="131" t="str">
        <f aca="false">INDEX('[4]Master Data'!$A$2:$B$8,MATCH(WEEKDAY('TBS CRD MTM'!A275,3),'[4]Master Data'!$A$2:$A$8,0),2)</f>
        <v>Th</v>
      </c>
      <c r="D275" s="124" t="n">
        <v>0</v>
      </c>
      <c r="E275" s="124" t="n">
        <v>0</v>
      </c>
      <c r="F275" s="124" t="n">
        <v>0</v>
      </c>
      <c r="G275" s="124" t="n">
        <v>0</v>
      </c>
      <c r="I275" s="124" t="n">
        <f aca="false">IF(MONTH($A275)=MONTH($A274),IF(G275=0,I274,G275),G275)</f>
        <v>0</v>
      </c>
      <c r="J275" s="124" t="n">
        <f aca="false">IF(MONTH($A275)=MONTH($A274),SUM(I275-I274),I275)</f>
        <v>0</v>
      </c>
      <c r="K275" s="124" t="n">
        <f aca="false">IF(WEEKDAY(A275,3)&gt;4,0,(IF(A275&lt;K$2,0,IF(A275&lt;=K$3,1,0))))</f>
        <v>0</v>
      </c>
      <c r="L275" s="124" t="n">
        <f aca="false">J275*K275</f>
        <v>0</v>
      </c>
      <c r="M275" s="124" t="n">
        <f aca="false">SUM(J$188:J275)</f>
        <v>0</v>
      </c>
      <c r="N275" s="124" t="n">
        <f aca="false">SUM(J$6:J275)</f>
        <v>-1376857</v>
      </c>
      <c r="P275" s="148" t="n">
        <f aca="false">D275/P$3</f>
        <v>0</v>
      </c>
      <c r="Q275" s="124" t="n">
        <f aca="false">E275/P$3</f>
        <v>0</v>
      </c>
      <c r="R275" s="124" t="n">
        <f aca="false">F275/R$3</f>
        <v>0</v>
      </c>
      <c r="S275" s="126" t="n">
        <f aca="false">J275/$R$3</f>
        <v>0</v>
      </c>
      <c r="T275" s="126" t="n">
        <f aca="false">L275/$R$3</f>
        <v>0</v>
      </c>
      <c r="U275" s="126" t="n">
        <f aca="false">I275/$R$3</f>
        <v>0</v>
      </c>
      <c r="V275" s="126" t="n">
        <f aca="false">M275/$R$3</f>
        <v>0</v>
      </c>
      <c r="W275" s="126" t="n">
        <f aca="false">N275/$R$3</f>
        <v>-1376.857</v>
      </c>
    </row>
    <row r="276" customFormat="false" ht="12.75" hidden="false" customHeight="false" outlineLevel="0" collapsed="false">
      <c r="A276" s="120" t="n">
        <f aca="false">A275+1</f>
        <v>37162</v>
      </c>
      <c r="B276" s="131" t="str">
        <f aca="false">INDEX('[4]Master Data'!$A$2:$B$8,MATCH(WEEKDAY('TBS CRD MTM'!A276,3),'[4]Master Data'!$A$2:$A$8,0),2)</f>
        <v>F</v>
      </c>
      <c r="D276" s="124" t="n">
        <v>0</v>
      </c>
      <c r="E276" s="124" t="n">
        <v>0</v>
      </c>
      <c r="F276" s="124" t="n">
        <v>0</v>
      </c>
      <c r="G276" s="124" t="n">
        <v>0</v>
      </c>
      <c r="I276" s="124" t="n">
        <f aca="false">IF(MONTH($A276)=MONTH($A275),IF(G276=0,I275,G276),G276)</f>
        <v>0</v>
      </c>
      <c r="J276" s="124" t="n">
        <f aca="false">IF(MONTH($A276)=MONTH($A275),SUM(I276-I275),I276)</f>
        <v>0</v>
      </c>
      <c r="K276" s="124" t="n">
        <f aca="false">IF(WEEKDAY(A276,3)&gt;4,0,(IF(A276&lt;K$2,0,IF(A276&lt;=K$3,1,0))))</f>
        <v>0</v>
      </c>
      <c r="L276" s="124" t="n">
        <f aca="false">J276*K276</f>
        <v>0</v>
      </c>
      <c r="M276" s="124" t="n">
        <f aca="false">SUM(J$188:J276)</f>
        <v>0</v>
      </c>
      <c r="N276" s="124" t="n">
        <f aca="false">SUM(J$6:J276)</f>
        <v>-1376857</v>
      </c>
      <c r="P276" s="148" t="n">
        <f aca="false">D276/P$3</f>
        <v>0</v>
      </c>
      <c r="Q276" s="124" t="n">
        <f aca="false">E276/P$3</f>
        <v>0</v>
      </c>
      <c r="R276" s="124" t="n">
        <f aca="false">F276/R$3</f>
        <v>0</v>
      </c>
      <c r="S276" s="126" t="n">
        <f aca="false">J276/$R$3</f>
        <v>0</v>
      </c>
      <c r="T276" s="126" t="n">
        <f aca="false">L276/$R$3</f>
        <v>0</v>
      </c>
      <c r="U276" s="126" t="n">
        <f aca="false">I276/$R$3</f>
        <v>0</v>
      </c>
      <c r="V276" s="126" t="n">
        <f aca="false">M276/$R$3</f>
        <v>0</v>
      </c>
      <c r="W276" s="126" t="n">
        <f aca="false">N276/$R$3</f>
        <v>-1376.857</v>
      </c>
    </row>
    <row r="277" customFormat="false" ht="12.75" hidden="false" customHeight="false" outlineLevel="0" collapsed="false">
      <c r="A277" s="120" t="n">
        <f aca="false">A276+1</f>
        <v>37163</v>
      </c>
      <c r="B277" s="131" t="str">
        <f aca="false">INDEX('[4]Master Data'!$A$2:$B$8,MATCH(WEEKDAY('TBS CRD MTM'!A277,3),'[4]Master Data'!$A$2:$A$8,0),2)</f>
        <v>Sa</v>
      </c>
      <c r="D277" s="124" t="n">
        <v>0</v>
      </c>
      <c r="E277" s="124" t="n">
        <v>0</v>
      </c>
      <c r="F277" s="124" t="n">
        <v>0</v>
      </c>
      <c r="G277" s="124" t="n">
        <v>0</v>
      </c>
      <c r="I277" s="124" t="n">
        <f aca="false">IF(MONTH($A277)=MONTH($A276),IF(G277=0,I276,G277),G277)</f>
        <v>0</v>
      </c>
      <c r="J277" s="124" t="n">
        <f aca="false">IF(MONTH($A277)=MONTH($A276),SUM(I277-I276),I277)</f>
        <v>0</v>
      </c>
      <c r="K277" s="124" t="n">
        <f aca="false">IF(WEEKDAY(A277,3)&gt;4,0,(IF(A277&lt;K$2,0,IF(A277&lt;=K$3,1,0))))</f>
        <v>0</v>
      </c>
      <c r="L277" s="124" t="n">
        <f aca="false">J277*K277</f>
        <v>0</v>
      </c>
      <c r="M277" s="124" t="n">
        <f aca="false">SUM(J$188:J277)</f>
        <v>0</v>
      </c>
      <c r="N277" s="124" t="n">
        <f aca="false">SUM(J$6:J277)</f>
        <v>-1376857</v>
      </c>
      <c r="P277" s="148" t="n">
        <f aca="false">D277/P$3</f>
        <v>0</v>
      </c>
      <c r="Q277" s="124" t="n">
        <f aca="false">E277/P$3</f>
        <v>0</v>
      </c>
      <c r="R277" s="124" t="n">
        <f aca="false">F277/R$3</f>
        <v>0</v>
      </c>
      <c r="S277" s="126" t="n">
        <f aca="false">J277/$R$3</f>
        <v>0</v>
      </c>
      <c r="T277" s="126" t="n">
        <f aca="false">L277/$R$3</f>
        <v>0</v>
      </c>
      <c r="U277" s="126" t="n">
        <f aca="false">I277/$R$3</f>
        <v>0</v>
      </c>
      <c r="V277" s="126" t="n">
        <f aca="false">M277/$R$3</f>
        <v>0</v>
      </c>
      <c r="W277" s="126" t="n">
        <f aca="false">N277/$R$3</f>
        <v>-1376.857</v>
      </c>
    </row>
    <row r="278" customFormat="false" ht="12.75" hidden="false" customHeight="false" outlineLevel="0" collapsed="false">
      <c r="A278" s="120" t="n">
        <f aca="false">A277+1</f>
        <v>37164</v>
      </c>
      <c r="B278" s="131" t="str">
        <f aca="false">INDEX('[4]Master Data'!$A$2:$B$8,MATCH(WEEKDAY('TBS CRD MTM'!A278,3),'[4]Master Data'!$A$2:$A$8,0),2)</f>
        <v>Su</v>
      </c>
      <c r="D278" s="124" t="n">
        <v>0</v>
      </c>
      <c r="E278" s="124" t="n">
        <v>0</v>
      </c>
      <c r="F278" s="124" t="n">
        <v>0</v>
      </c>
      <c r="G278" s="124" t="n">
        <v>0</v>
      </c>
      <c r="I278" s="124" t="n">
        <f aca="false">IF(MONTH($A278)=MONTH($A277),IF(G278=0,I277,G278),G278)</f>
        <v>0</v>
      </c>
      <c r="J278" s="124" t="n">
        <f aca="false">IF(MONTH($A278)=MONTH($A277),SUM(I278-I277),I278)</f>
        <v>0</v>
      </c>
      <c r="K278" s="124" t="n">
        <f aca="false">IF(WEEKDAY(A278,3)&gt;4,0,(IF(A278&lt;K$2,0,IF(A278&lt;=K$3,1,0))))</f>
        <v>0</v>
      </c>
      <c r="L278" s="124" t="n">
        <f aca="false">J278*K278</f>
        <v>0</v>
      </c>
      <c r="M278" s="124" t="n">
        <f aca="false">SUM(J$188:J278)</f>
        <v>0</v>
      </c>
      <c r="N278" s="124" t="n">
        <f aca="false">SUM(J$6:J278)</f>
        <v>-1376857</v>
      </c>
      <c r="P278" s="148" t="n">
        <f aca="false">D278/P$3</f>
        <v>0</v>
      </c>
      <c r="Q278" s="124" t="n">
        <f aca="false">E278/P$3</f>
        <v>0</v>
      </c>
      <c r="R278" s="124" t="n">
        <f aca="false">F278/R$3</f>
        <v>0</v>
      </c>
      <c r="S278" s="126" t="n">
        <f aca="false">J278/$R$3</f>
        <v>0</v>
      </c>
      <c r="T278" s="126" t="n">
        <f aca="false">L278/$R$3</f>
        <v>0</v>
      </c>
      <c r="U278" s="126" t="n">
        <f aca="false">I278/$R$3</f>
        <v>0</v>
      </c>
      <c r="V278" s="126" t="n">
        <f aca="false">M278/$R$3</f>
        <v>0</v>
      </c>
      <c r="W278" s="126" t="n">
        <f aca="false">N278/$R$3</f>
        <v>-1376.857</v>
      </c>
    </row>
    <row r="279" customFormat="false" ht="12.75" hidden="false" customHeight="false" outlineLevel="0" collapsed="false">
      <c r="A279" s="120" t="n">
        <f aca="false">A278+1</f>
        <v>37165</v>
      </c>
      <c r="B279" s="131" t="str">
        <f aca="false">INDEX('[4]Master Data'!$A$2:$B$8,MATCH(WEEKDAY('TBS CRD MTM'!A279,3),'[4]Master Data'!$A$2:$A$8,0),2)</f>
        <v>M</v>
      </c>
      <c r="D279" s="124" t="n">
        <v>0</v>
      </c>
      <c r="E279" s="124" t="n">
        <v>0</v>
      </c>
      <c r="F279" s="124" t="n">
        <v>0</v>
      </c>
      <c r="G279" s="124" t="n">
        <v>0</v>
      </c>
      <c r="I279" s="124" t="n">
        <f aca="false">IF(MONTH($A279)=MONTH($A278),IF(G279=0,I278,G279),G279)</f>
        <v>0</v>
      </c>
      <c r="J279" s="124" t="n">
        <f aca="false">IF(MONTH($A279)=MONTH($A278),SUM(I279-I278),I279)</f>
        <v>0</v>
      </c>
      <c r="K279" s="124" t="n">
        <f aca="false">IF(WEEKDAY(A279,3)&gt;4,0,(IF(A279&lt;K$2,0,IF(A279&lt;=K$3,1,0))))</f>
        <v>0</v>
      </c>
      <c r="L279" s="124" t="n">
        <f aca="false">J279*K279</f>
        <v>0</v>
      </c>
      <c r="M279" s="124" t="n">
        <f aca="false">SUM(J$188:J279)</f>
        <v>0</v>
      </c>
      <c r="N279" s="124" t="n">
        <f aca="false">SUM(J$6:J279)</f>
        <v>-1376857</v>
      </c>
      <c r="P279" s="148" t="n">
        <f aca="false">D279/P$3</f>
        <v>0</v>
      </c>
      <c r="Q279" s="124" t="n">
        <f aca="false">E279/P$3</f>
        <v>0</v>
      </c>
      <c r="R279" s="124" t="n">
        <f aca="false">F279/R$3</f>
        <v>0</v>
      </c>
      <c r="S279" s="126" t="n">
        <f aca="false">J279/$R$3</f>
        <v>0</v>
      </c>
      <c r="T279" s="126" t="n">
        <f aca="false">L279/$R$3</f>
        <v>0</v>
      </c>
      <c r="U279" s="126" t="n">
        <f aca="false">I279/$R$3</f>
        <v>0</v>
      </c>
      <c r="V279" s="126" t="n">
        <f aca="false">M279/$R$3</f>
        <v>0</v>
      </c>
      <c r="W279" s="126" t="n">
        <f aca="false">N279/$R$3</f>
        <v>-1376.857</v>
      </c>
    </row>
    <row r="280" customFormat="false" ht="12.75" hidden="false" customHeight="false" outlineLevel="0" collapsed="false">
      <c r="A280" s="120" t="n">
        <f aca="false">A279+1</f>
        <v>37166</v>
      </c>
      <c r="B280" s="131" t="str">
        <f aca="false">INDEX('[4]Master Data'!$A$2:$B$8,MATCH(WEEKDAY('TBS CRD MTM'!A280,3),'[4]Master Data'!$A$2:$A$8,0),2)</f>
        <v>T</v>
      </c>
      <c r="D280" s="124" t="n">
        <v>0</v>
      </c>
      <c r="E280" s="124" t="n">
        <v>0</v>
      </c>
      <c r="F280" s="124" t="n">
        <v>0</v>
      </c>
      <c r="G280" s="124" t="n">
        <v>0</v>
      </c>
      <c r="I280" s="124" t="n">
        <f aca="false">IF(MONTH($A280)=MONTH($A279),IF(G280=0,I279,G280),G280)</f>
        <v>0</v>
      </c>
      <c r="J280" s="124" t="n">
        <f aca="false">IF(MONTH($A280)=MONTH($A279),SUM(I280-I279),I280)</f>
        <v>0</v>
      </c>
      <c r="K280" s="124" t="n">
        <f aca="false">IF(WEEKDAY(A280,3)&gt;4,0,(IF(A280&lt;K$2,0,IF(A280&lt;=K$3,1,0))))</f>
        <v>0</v>
      </c>
      <c r="L280" s="124" t="n">
        <f aca="false">J280*K280</f>
        <v>0</v>
      </c>
      <c r="M280" s="124" t="n">
        <f aca="false">SUM(J$280:J280)</f>
        <v>0</v>
      </c>
      <c r="N280" s="124" t="n">
        <f aca="false">SUM(J$6:J280)</f>
        <v>-1376857</v>
      </c>
      <c r="P280" s="148" t="n">
        <f aca="false">D280/P$3</f>
        <v>0</v>
      </c>
      <c r="Q280" s="124" t="n">
        <f aca="false">E280/P$3</f>
        <v>0</v>
      </c>
      <c r="R280" s="124" t="n">
        <f aca="false">F280/R$3</f>
        <v>0</v>
      </c>
      <c r="S280" s="126" t="n">
        <f aca="false">J280/$R$3</f>
        <v>0</v>
      </c>
      <c r="T280" s="126" t="n">
        <f aca="false">L280/$R$3</f>
        <v>0</v>
      </c>
      <c r="U280" s="126" t="n">
        <f aca="false">I280/$R$3</f>
        <v>0</v>
      </c>
      <c r="V280" s="126" t="n">
        <f aca="false">M280/$R$3</f>
        <v>0</v>
      </c>
      <c r="W280" s="126" t="n">
        <f aca="false">N280/$R$3</f>
        <v>-1376.857</v>
      </c>
    </row>
    <row r="281" customFormat="false" ht="12.75" hidden="false" customHeight="false" outlineLevel="0" collapsed="false">
      <c r="A281" s="120" t="n">
        <f aca="false">A280+1</f>
        <v>37167</v>
      </c>
      <c r="B281" s="131" t="str">
        <f aca="false">INDEX('[4]Master Data'!$A$2:$B$8,MATCH(WEEKDAY('TBS CRD MTM'!A281,3),'[4]Master Data'!$A$2:$A$8,0),2)</f>
        <v>W</v>
      </c>
      <c r="D281" s="124" t="n">
        <v>0</v>
      </c>
      <c r="E281" s="124" t="n">
        <v>0</v>
      </c>
      <c r="F281" s="124" t="n">
        <v>0</v>
      </c>
      <c r="G281" s="124" t="n">
        <v>0</v>
      </c>
      <c r="I281" s="124" t="n">
        <f aca="false">IF(MONTH($A281)=MONTH($A280),IF(G281=0,I280,G281),G281)</f>
        <v>0</v>
      </c>
      <c r="J281" s="124" t="n">
        <f aca="false">IF(MONTH($A281)=MONTH($A280),SUM(I281-I280),I281)</f>
        <v>0</v>
      </c>
      <c r="K281" s="124" t="n">
        <f aca="false">IF(WEEKDAY(A281,3)&gt;4,0,(IF(A281&lt;K$2,0,IF(A281&lt;=K$3,1,0))))</f>
        <v>0</v>
      </c>
      <c r="L281" s="124" t="n">
        <f aca="false">J281*K281</f>
        <v>0</v>
      </c>
      <c r="M281" s="124" t="n">
        <f aca="false">SUM(J$280:J281)</f>
        <v>0</v>
      </c>
      <c r="N281" s="124" t="n">
        <f aca="false">SUM(J$6:J281)</f>
        <v>-1376857</v>
      </c>
      <c r="P281" s="148" t="n">
        <f aca="false">D281/P$3</f>
        <v>0</v>
      </c>
      <c r="Q281" s="124" t="n">
        <f aca="false">E281/P$3</f>
        <v>0</v>
      </c>
      <c r="R281" s="124" t="n">
        <f aca="false">F281/R$3</f>
        <v>0</v>
      </c>
      <c r="S281" s="126" t="n">
        <f aca="false">J281/$R$3</f>
        <v>0</v>
      </c>
      <c r="T281" s="126" t="n">
        <f aca="false">L281/$R$3</f>
        <v>0</v>
      </c>
      <c r="U281" s="126" t="n">
        <f aca="false">I281/$R$3</f>
        <v>0</v>
      </c>
      <c r="V281" s="126" t="n">
        <f aca="false">M281/$R$3</f>
        <v>0</v>
      </c>
      <c r="W281" s="126" t="n">
        <f aca="false">N281/$R$3</f>
        <v>-1376.857</v>
      </c>
    </row>
    <row r="282" customFormat="false" ht="12.75" hidden="false" customHeight="false" outlineLevel="0" collapsed="false">
      <c r="A282" s="120" t="n">
        <f aca="false">A281+1</f>
        <v>37168</v>
      </c>
      <c r="B282" s="131" t="str">
        <f aca="false">INDEX('[4]Master Data'!$A$2:$B$8,MATCH(WEEKDAY('TBS CRD MTM'!A282,3),'[4]Master Data'!$A$2:$A$8,0),2)</f>
        <v>Th</v>
      </c>
      <c r="D282" s="124" t="n">
        <v>0</v>
      </c>
      <c r="E282" s="124" t="n">
        <v>0</v>
      </c>
      <c r="F282" s="124" t="n">
        <v>0</v>
      </c>
      <c r="G282" s="124" t="n">
        <v>0</v>
      </c>
      <c r="I282" s="124" t="n">
        <f aca="false">IF(MONTH($A282)=MONTH($A281),IF(G282=0,I281,G282),G282)</f>
        <v>0</v>
      </c>
      <c r="J282" s="124" t="n">
        <f aca="false">IF(MONTH($A282)=MONTH($A281),SUM(I282-I281),I282)</f>
        <v>0</v>
      </c>
      <c r="K282" s="124" t="n">
        <f aca="false">IF(WEEKDAY(A282,3)&gt;4,0,(IF(A282&lt;K$2,0,IF(A282&lt;=K$3,1,0))))</f>
        <v>0</v>
      </c>
      <c r="L282" s="124" t="n">
        <f aca="false">J282*K282</f>
        <v>0</v>
      </c>
      <c r="M282" s="124" t="n">
        <f aca="false">SUM(J$280:J282)</f>
        <v>0</v>
      </c>
      <c r="N282" s="124" t="n">
        <f aca="false">SUM(J$6:J282)</f>
        <v>-1376857</v>
      </c>
      <c r="P282" s="148" t="n">
        <f aca="false">D282/P$3</f>
        <v>0</v>
      </c>
      <c r="Q282" s="124" t="n">
        <f aca="false">E282/P$3</f>
        <v>0</v>
      </c>
      <c r="R282" s="124" t="n">
        <f aca="false">F282/R$3</f>
        <v>0</v>
      </c>
      <c r="S282" s="126" t="n">
        <f aca="false">J282/$R$3</f>
        <v>0</v>
      </c>
      <c r="T282" s="126" t="n">
        <f aca="false">L282/$R$3</f>
        <v>0</v>
      </c>
      <c r="U282" s="126" t="n">
        <f aca="false">I282/$R$3</f>
        <v>0</v>
      </c>
      <c r="V282" s="126" t="n">
        <f aca="false">M282/$R$3</f>
        <v>0</v>
      </c>
      <c r="W282" s="126" t="n">
        <f aca="false">N282/$R$3</f>
        <v>-1376.857</v>
      </c>
    </row>
    <row r="283" customFormat="false" ht="12.75" hidden="false" customHeight="false" outlineLevel="0" collapsed="false">
      <c r="A283" s="120" t="n">
        <f aca="false">A282+1</f>
        <v>37169</v>
      </c>
      <c r="B283" s="131" t="str">
        <f aca="false">INDEX('[4]Master Data'!$A$2:$B$8,MATCH(WEEKDAY('TBS CRD MTM'!A283,3),'[4]Master Data'!$A$2:$A$8,0),2)</f>
        <v>F</v>
      </c>
      <c r="D283" s="124" t="n">
        <v>0</v>
      </c>
      <c r="E283" s="124" t="n">
        <v>0</v>
      </c>
      <c r="F283" s="124" t="n">
        <v>0</v>
      </c>
      <c r="G283" s="124" t="n">
        <v>0</v>
      </c>
      <c r="I283" s="124" t="n">
        <f aca="false">IF(MONTH($A283)=MONTH($A282),IF(G283=0,I282,G283),G283)</f>
        <v>0</v>
      </c>
      <c r="J283" s="124" t="n">
        <f aca="false">IF(MONTH($A283)=MONTH($A282),SUM(I283-I282),I283)</f>
        <v>0</v>
      </c>
      <c r="K283" s="124" t="n">
        <f aca="false">IF(WEEKDAY(A283,3)&gt;4,0,(IF(A283&lt;K$2,0,IF(A283&lt;=K$3,1,0))))</f>
        <v>0</v>
      </c>
      <c r="L283" s="124" t="n">
        <f aca="false">J283*K283</f>
        <v>0</v>
      </c>
      <c r="M283" s="124" t="n">
        <f aca="false">SUM(J$280:J283)</f>
        <v>0</v>
      </c>
      <c r="N283" s="124" t="n">
        <f aca="false">SUM(J$6:J283)</f>
        <v>-1376857</v>
      </c>
      <c r="P283" s="148" t="n">
        <f aca="false">D283/P$3</f>
        <v>0</v>
      </c>
      <c r="Q283" s="124" t="n">
        <f aca="false">E283/P$3</f>
        <v>0</v>
      </c>
      <c r="R283" s="124" t="n">
        <f aca="false">F283/R$3</f>
        <v>0</v>
      </c>
      <c r="S283" s="126" t="n">
        <f aca="false">J283/$R$3</f>
        <v>0</v>
      </c>
      <c r="T283" s="126" t="n">
        <f aca="false">L283/$R$3</f>
        <v>0</v>
      </c>
      <c r="U283" s="126" t="n">
        <f aca="false">I283/$R$3</f>
        <v>0</v>
      </c>
      <c r="V283" s="126" t="n">
        <f aca="false">M283/$R$3</f>
        <v>0</v>
      </c>
      <c r="W283" s="126" t="n">
        <f aca="false">N283/$R$3</f>
        <v>-1376.857</v>
      </c>
    </row>
    <row r="284" customFormat="false" ht="12.75" hidden="false" customHeight="false" outlineLevel="0" collapsed="false">
      <c r="A284" s="120" t="n">
        <f aca="false">A283+1</f>
        <v>37170</v>
      </c>
      <c r="B284" s="131" t="str">
        <f aca="false">INDEX('[4]Master Data'!$A$2:$B$8,MATCH(WEEKDAY('TBS CRD MTM'!A284,3),'[4]Master Data'!$A$2:$A$8,0),2)</f>
        <v>Sa</v>
      </c>
      <c r="D284" s="124" t="n">
        <v>0</v>
      </c>
      <c r="E284" s="124" t="n">
        <v>0</v>
      </c>
      <c r="F284" s="124" t="n">
        <v>0</v>
      </c>
      <c r="G284" s="124" t="n">
        <v>0</v>
      </c>
      <c r="I284" s="124" t="n">
        <f aca="false">IF(MONTH($A284)=MONTH($A283),IF(G284=0,I283,G284),G284)</f>
        <v>0</v>
      </c>
      <c r="J284" s="124" t="n">
        <f aca="false">IF(MONTH($A284)=MONTH($A283),SUM(I284-I283),I284)</f>
        <v>0</v>
      </c>
      <c r="K284" s="124" t="n">
        <f aca="false">IF(WEEKDAY(A284,3)&gt;4,0,(IF(A284&lt;K$2,0,IF(A284&lt;=K$3,1,0))))</f>
        <v>0</v>
      </c>
      <c r="L284" s="124" t="n">
        <f aca="false">J284*K284</f>
        <v>0</v>
      </c>
      <c r="M284" s="124" t="n">
        <f aca="false">SUM(J$280:J284)</f>
        <v>0</v>
      </c>
      <c r="N284" s="124" t="n">
        <f aca="false">SUM(J$6:J284)</f>
        <v>-1376857</v>
      </c>
      <c r="P284" s="148" t="n">
        <f aca="false">D284/P$3</f>
        <v>0</v>
      </c>
      <c r="Q284" s="124" t="n">
        <f aca="false">E284/P$3</f>
        <v>0</v>
      </c>
      <c r="R284" s="124" t="n">
        <f aca="false">F284/R$3</f>
        <v>0</v>
      </c>
      <c r="S284" s="126" t="n">
        <f aca="false">J284/$R$3</f>
        <v>0</v>
      </c>
      <c r="T284" s="126" t="n">
        <f aca="false">L284/$R$3</f>
        <v>0</v>
      </c>
      <c r="U284" s="126" t="n">
        <f aca="false">I284/$R$3</f>
        <v>0</v>
      </c>
      <c r="V284" s="126" t="n">
        <f aca="false">M284/$R$3</f>
        <v>0</v>
      </c>
      <c r="W284" s="126" t="n">
        <f aca="false">N284/$R$3</f>
        <v>-1376.857</v>
      </c>
    </row>
    <row r="285" customFormat="false" ht="12.75" hidden="false" customHeight="false" outlineLevel="0" collapsed="false">
      <c r="A285" s="120" t="n">
        <f aca="false">A284+1</f>
        <v>37171</v>
      </c>
      <c r="B285" s="131" t="str">
        <f aca="false">INDEX('[4]Master Data'!$A$2:$B$8,MATCH(WEEKDAY('TBS CRD MTM'!A285,3),'[4]Master Data'!$A$2:$A$8,0),2)</f>
        <v>Su</v>
      </c>
      <c r="D285" s="124" t="n">
        <v>0</v>
      </c>
      <c r="E285" s="124" t="n">
        <v>0</v>
      </c>
      <c r="F285" s="124" t="n">
        <v>0</v>
      </c>
      <c r="G285" s="124" t="n">
        <v>0</v>
      </c>
      <c r="I285" s="124" t="n">
        <f aca="false">IF(MONTH($A285)=MONTH($A284),IF(G285=0,I284,G285),G285)</f>
        <v>0</v>
      </c>
      <c r="J285" s="124" t="n">
        <f aca="false">IF(MONTH($A285)=MONTH($A284),SUM(I285-I284),I285)</f>
        <v>0</v>
      </c>
      <c r="K285" s="124" t="n">
        <f aca="false">IF(WEEKDAY(A285,3)&gt;4,0,(IF(A285&lt;K$2,0,IF(A285&lt;=K$3,1,0))))</f>
        <v>0</v>
      </c>
      <c r="L285" s="124" t="n">
        <f aca="false">J285*K285</f>
        <v>0</v>
      </c>
      <c r="M285" s="124" t="n">
        <f aca="false">SUM(J$280:J285)</f>
        <v>0</v>
      </c>
      <c r="N285" s="124" t="n">
        <f aca="false">SUM(J$6:J285)</f>
        <v>-1376857</v>
      </c>
      <c r="P285" s="148" t="n">
        <f aca="false">D285/P$3</f>
        <v>0</v>
      </c>
      <c r="Q285" s="124" t="n">
        <f aca="false">E285/P$3</f>
        <v>0</v>
      </c>
      <c r="R285" s="124" t="n">
        <f aca="false">F285/R$3</f>
        <v>0</v>
      </c>
      <c r="S285" s="126" t="n">
        <f aca="false">J285/$R$3</f>
        <v>0</v>
      </c>
      <c r="T285" s="126" t="n">
        <f aca="false">L285/$R$3</f>
        <v>0</v>
      </c>
      <c r="U285" s="126" t="n">
        <f aca="false">I285/$R$3</f>
        <v>0</v>
      </c>
      <c r="V285" s="126" t="n">
        <f aca="false">M285/$R$3</f>
        <v>0</v>
      </c>
      <c r="W285" s="126" t="n">
        <f aca="false">N285/$R$3</f>
        <v>-1376.857</v>
      </c>
    </row>
    <row r="286" customFormat="false" ht="12.75" hidden="false" customHeight="false" outlineLevel="0" collapsed="false">
      <c r="A286" s="120" t="n">
        <f aca="false">A285+1</f>
        <v>37172</v>
      </c>
      <c r="B286" s="131" t="str">
        <f aca="false">INDEX('[4]Master Data'!$A$2:$B$8,MATCH(WEEKDAY('TBS CRD MTM'!A286,3),'[4]Master Data'!$A$2:$A$8,0),2)</f>
        <v>M</v>
      </c>
      <c r="D286" s="124" t="n">
        <v>0</v>
      </c>
      <c r="E286" s="124" t="n">
        <v>0</v>
      </c>
      <c r="F286" s="124" t="n">
        <v>0</v>
      </c>
      <c r="G286" s="124" t="n">
        <v>0</v>
      </c>
      <c r="I286" s="124" t="n">
        <f aca="false">IF(MONTH($A286)=MONTH($A285),IF(G286=0,I285,G286),G286)</f>
        <v>0</v>
      </c>
      <c r="J286" s="124" t="n">
        <f aca="false">IF(MONTH($A286)=MONTH($A285),SUM(I286-I285),I286)</f>
        <v>0</v>
      </c>
      <c r="K286" s="124" t="n">
        <f aca="false">IF(WEEKDAY(A286,3)&gt;4,0,(IF(A286&lt;K$2,0,IF(A286&lt;=K$3,1,0))))</f>
        <v>0</v>
      </c>
      <c r="L286" s="124" t="n">
        <f aca="false">J286*K286</f>
        <v>0</v>
      </c>
      <c r="M286" s="124" t="n">
        <f aca="false">SUM(J$280:J286)</f>
        <v>0</v>
      </c>
      <c r="N286" s="124" t="n">
        <f aca="false">SUM(J$6:J286)</f>
        <v>-1376857</v>
      </c>
      <c r="P286" s="148" t="n">
        <f aca="false">D286/P$3</f>
        <v>0</v>
      </c>
      <c r="Q286" s="124" t="n">
        <f aca="false">E286/P$3</f>
        <v>0</v>
      </c>
      <c r="R286" s="124" t="n">
        <f aca="false">F286/R$3</f>
        <v>0</v>
      </c>
      <c r="S286" s="126" t="n">
        <f aca="false">J286/$R$3</f>
        <v>0</v>
      </c>
      <c r="T286" s="126" t="n">
        <f aca="false">L286/$R$3</f>
        <v>0</v>
      </c>
      <c r="U286" s="126" t="n">
        <f aca="false">I286/$R$3</f>
        <v>0</v>
      </c>
      <c r="V286" s="126" t="n">
        <f aca="false">M286/$R$3</f>
        <v>0</v>
      </c>
      <c r="W286" s="126" t="n">
        <f aca="false">N286/$R$3</f>
        <v>-1376.857</v>
      </c>
    </row>
    <row r="287" customFormat="false" ht="12.75" hidden="false" customHeight="false" outlineLevel="0" collapsed="false">
      <c r="A287" s="120" t="n">
        <f aca="false">A286+1</f>
        <v>37173</v>
      </c>
      <c r="B287" s="131" t="str">
        <f aca="false">INDEX('[4]Master Data'!$A$2:$B$8,MATCH(WEEKDAY('TBS CRD MTM'!A287,3),'[4]Master Data'!$A$2:$A$8,0),2)</f>
        <v>T</v>
      </c>
      <c r="D287" s="124" t="n">
        <v>0</v>
      </c>
      <c r="E287" s="124" t="n">
        <v>0</v>
      </c>
      <c r="F287" s="124" t="n">
        <v>0</v>
      </c>
      <c r="G287" s="124" t="n">
        <v>0</v>
      </c>
      <c r="I287" s="124" t="n">
        <f aca="false">IF(MONTH($A287)=MONTH($A286),IF(G287=0,I286,G287),G287)</f>
        <v>0</v>
      </c>
      <c r="J287" s="124" t="n">
        <f aca="false">IF(MONTH($A287)=MONTH($A286),SUM(I287-I286),I287)</f>
        <v>0</v>
      </c>
      <c r="K287" s="124" t="n">
        <f aca="false">IF(WEEKDAY(A287,3)&gt;4,0,(IF(A287&lt;K$2,0,IF(A287&lt;=K$3,1,0))))</f>
        <v>0</v>
      </c>
      <c r="L287" s="124" t="n">
        <f aca="false">J287*K287</f>
        <v>0</v>
      </c>
      <c r="M287" s="124" t="n">
        <f aca="false">SUM(J$280:J287)</f>
        <v>0</v>
      </c>
      <c r="N287" s="124" t="n">
        <f aca="false">SUM(J$6:J287)</f>
        <v>-1376857</v>
      </c>
      <c r="P287" s="148" t="n">
        <f aca="false">D287/P$3</f>
        <v>0</v>
      </c>
      <c r="Q287" s="124" t="n">
        <f aca="false">E287/P$3</f>
        <v>0</v>
      </c>
      <c r="R287" s="124" t="n">
        <f aca="false">F287/R$3</f>
        <v>0</v>
      </c>
      <c r="S287" s="126" t="n">
        <f aca="false">J287/$R$3</f>
        <v>0</v>
      </c>
      <c r="T287" s="126" t="n">
        <f aca="false">L287/$R$3</f>
        <v>0</v>
      </c>
      <c r="U287" s="126" t="n">
        <f aca="false">I287/$R$3</f>
        <v>0</v>
      </c>
      <c r="V287" s="126" t="n">
        <f aca="false">M287/$R$3</f>
        <v>0</v>
      </c>
      <c r="W287" s="126" t="n">
        <f aca="false">N287/$R$3</f>
        <v>-1376.857</v>
      </c>
    </row>
    <row r="288" customFormat="false" ht="12.75" hidden="false" customHeight="false" outlineLevel="0" collapsed="false">
      <c r="A288" s="120" t="n">
        <f aca="false">A287+1</f>
        <v>37174</v>
      </c>
      <c r="B288" s="131" t="str">
        <f aca="false">INDEX('[4]Master Data'!$A$2:$B$8,MATCH(WEEKDAY('TBS CRD MTM'!A288,3),'[4]Master Data'!$A$2:$A$8,0),2)</f>
        <v>W</v>
      </c>
      <c r="D288" s="124" t="n">
        <v>0</v>
      </c>
      <c r="E288" s="124" t="n">
        <v>0</v>
      </c>
      <c r="F288" s="124" t="n">
        <v>0</v>
      </c>
      <c r="G288" s="124" t="n">
        <v>0</v>
      </c>
      <c r="I288" s="124" t="n">
        <f aca="false">IF(MONTH($A288)=MONTH($A287),IF(G288=0,I287,G288),G288)</f>
        <v>0</v>
      </c>
      <c r="J288" s="124" t="n">
        <f aca="false">IF(MONTH($A288)=MONTH($A287),SUM(I288-I287),I288)</f>
        <v>0</v>
      </c>
      <c r="K288" s="124" t="n">
        <f aca="false">IF(WEEKDAY(A288,3)&gt;4,0,(IF(A288&lt;K$2,0,IF(A288&lt;=K$3,1,0))))</f>
        <v>0</v>
      </c>
      <c r="L288" s="124" t="n">
        <f aca="false">J288*K288</f>
        <v>0</v>
      </c>
      <c r="M288" s="124" t="n">
        <f aca="false">SUM(J$280:J288)</f>
        <v>0</v>
      </c>
      <c r="N288" s="124" t="n">
        <f aca="false">SUM(J$6:J288)</f>
        <v>-1376857</v>
      </c>
      <c r="P288" s="148" t="n">
        <f aca="false">D288/P$3</f>
        <v>0</v>
      </c>
      <c r="Q288" s="124" t="n">
        <f aca="false">E288/P$3</f>
        <v>0</v>
      </c>
      <c r="R288" s="124" t="n">
        <f aca="false">F288/R$3</f>
        <v>0</v>
      </c>
      <c r="S288" s="126" t="n">
        <f aca="false">J288/$R$3</f>
        <v>0</v>
      </c>
      <c r="T288" s="126" t="n">
        <f aca="false">L288/$R$3</f>
        <v>0</v>
      </c>
      <c r="U288" s="126" t="n">
        <f aca="false">I288/$R$3</f>
        <v>0</v>
      </c>
      <c r="V288" s="126" t="n">
        <f aca="false">M288/$R$3</f>
        <v>0</v>
      </c>
      <c r="W288" s="126" t="n">
        <f aca="false">N288/$R$3</f>
        <v>-1376.857</v>
      </c>
    </row>
    <row r="289" customFormat="false" ht="12.75" hidden="false" customHeight="false" outlineLevel="0" collapsed="false">
      <c r="A289" s="120" t="n">
        <f aca="false">A288+1</f>
        <v>37175</v>
      </c>
      <c r="B289" s="131" t="str">
        <f aca="false">INDEX('[4]Master Data'!$A$2:$B$8,MATCH(WEEKDAY('TBS CRD MTM'!A289,3),'[4]Master Data'!$A$2:$A$8,0),2)</f>
        <v>Th</v>
      </c>
      <c r="D289" s="124" t="n">
        <v>0</v>
      </c>
      <c r="E289" s="124" t="n">
        <v>0</v>
      </c>
      <c r="F289" s="124" t="n">
        <v>0</v>
      </c>
      <c r="G289" s="124" t="n">
        <v>0</v>
      </c>
      <c r="I289" s="124" t="n">
        <f aca="false">IF(MONTH($A289)=MONTH($A288),IF(G289=0,I288,G289),G289)</f>
        <v>0</v>
      </c>
      <c r="J289" s="124" t="n">
        <f aca="false">IF(MONTH($A289)=MONTH($A288),SUM(I289-I288),I289)</f>
        <v>0</v>
      </c>
      <c r="K289" s="124" t="n">
        <f aca="false">IF(WEEKDAY(A289,3)&gt;4,0,(IF(A289&lt;K$2,0,IF(A289&lt;=K$3,1,0))))</f>
        <v>0</v>
      </c>
      <c r="L289" s="124" t="n">
        <f aca="false">J289*K289</f>
        <v>0</v>
      </c>
      <c r="M289" s="124" t="n">
        <f aca="false">SUM(J$280:J289)</f>
        <v>0</v>
      </c>
      <c r="N289" s="124" t="n">
        <f aca="false">SUM(J$6:J289)</f>
        <v>-1376857</v>
      </c>
      <c r="P289" s="148" t="n">
        <f aca="false">D289/P$3</f>
        <v>0</v>
      </c>
      <c r="Q289" s="124" t="n">
        <f aca="false">E289/P$3</f>
        <v>0</v>
      </c>
      <c r="R289" s="124" t="n">
        <f aca="false">F289/R$3</f>
        <v>0</v>
      </c>
      <c r="S289" s="126" t="n">
        <f aca="false">J289/$R$3</f>
        <v>0</v>
      </c>
      <c r="T289" s="126" t="n">
        <f aca="false">L289/$R$3</f>
        <v>0</v>
      </c>
      <c r="U289" s="126" t="n">
        <f aca="false">I289/$R$3</f>
        <v>0</v>
      </c>
      <c r="V289" s="126" t="n">
        <f aca="false">M289/$R$3</f>
        <v>0</v>
      </c>
      <c r="W289" s="126" t="n">
        <f aca="false">N289/$R$3</f>
        <v>-1376.857</v>
      </c>
    </row>
    <row r="290" customFormat="false" ht="12.75" hidden="false" customHeight="false" outlineLevel="0" collapsed="false">
      <c r="A290" s="120" t="n">
        <f aca="false">A289+1</f>
        <v>37176</v>
      </c>
      <c r="B290" s="131" t="str">
        <f aca="false">INDEX('[4]Master Data'!$A$2:$B$8,MATCH(WEEKDAY('TBS CRD MTM'!A290,3),'[4]Master Data'!$A$2:$A$8,0),2)</f>
        <v>F</v>
      </c>
      <c r="D290" s="124" t="n">
        <v>0</v>
      </c>
      <c r="E290" s="124" t="n">
        <v>0</v>
      </c>
      <c r="F290" s="124" t="n">
        <v>0</v>
      </c>
      <c r="G290" s="124" t="n">
        <v>0</v>
      </c>
      <c r="I290" s="124" t="n">
        <f aca="false">IF(MONTH($A290)=MONTH($A289),IF(G290=0,I289,G290),G290)</f>
        <v>0</v>
      </c>
      <c r="J290" s="124" t="n">
        <f aca="false">IF(MONTH($A290)=MONTH($A289),SUM(I290-I289),I290)</f>
        <v>0</v>
      </c>
      <c r="K290" s="124" t="n">
        <f aca="false">IF(WEEKDAY(A290,3)&gt;4,0,(IF(A290&lt;K$2,0,IF(A290&lt;=K$3,1,0))))</f>
        <v>0</v>
      </c>
      <c r="L290" s="124" t="n">
        <f aca="false">J290*K290</f>
        <v>0</v>
      </c>
      <c r="M290" s="124" t="n">
        <f aca="false">SUM(J$280:J290)</f>
        <v>0</v>
      </c>
      <c r="N290" s="124" t="n">
        <f aca="false">SUM(J$6:J290)</f>
        <v>-1376857</v>
      </c>
      <c r="P290" s="148" t="n">
        <f aca="false">D290/P$3</f>
        <v>0</v>
      </c>
      <c r="Q290" s="124" t="n">
        <f aca="false">E290/P$3</f>
        <v>0</v>
      </c>
      <c r="R290" s="124" t="n">
        <f aca="false">F290/R$3</f>
        <v>0</v>
      </c>
      <c r="S290" s="126" t="n">
        <f aca="false">J290/$R$3</f>
        <v>0</v>
      </c>
      <c r="T290" s="126" t="n">
        <f aca="false">L290/$R$3</f>
        <v>0</v>
      </c>
      <c r="U290" s="126" t="n">
        <f aca="false">I290/$R$3</f>
        <v>0</v>
      </c>
      <c r="V290" s="126" t="n">
        <f aca="false">M290/$R$3</f>
        <v>0</v>
      </c>
      <c r="W290" s="126" t="n">
        <f aca="false">N290/$R$3</f>
        <v>-1376.857</v>
      </c>
    </row>
    <row r="291" customFormat="false" ht="12.75" hidden="false" customHeight="false" outlineLevel="0" collapsed="false">
      <c r="A291" s="120" t="n">
        <f aca="false">A290+1</f>
        <v>37177</v>
      </c>
      <c r="B291" s="131" t="str">
        <f aca="false">INDEX('[4]Master Data'!$A$2:$B$8,MATCH(WEEKDAY('TBS CRD MTM'!A291,3),'[4]Master Data'!$A$2:$A$8,0),2)</f>
        <v>Sa</v>
      </c>
      <c r="D291" s="124" t="n">
        <v>0</v>
      </c>
      <c r="E291" s="124" t="n">
        <v>0</v>
      </c>
      <c r="F291" s="124" t="n">
        <v>0</v>
      </c>
      <c r="G291" s="124" t="n">
        <v>0</v>
      </c>
      <c r="I291" s="124" t="n">
        <f aca="false">IF(MONTH($A291)=MONTH($A290),IF(G291=0,I290,G291),G291)</f>
        <v>0</v>
      </c>
      <c r="J291" s="124" t="n">
        <f aca="false">IF(MONTH($A291)=MONTH($A290),SUM(I291-I290),I291)</f>
        <v>0</v>
      </c>
      <c r="K291" s="124" t="n">
        <f aca="false">IF(WEEKDAY(A291,3)&gt;4,0,(IF(A291&lt;K$2,0,IF(A291&lt;=K$3,1,0))))</f>
        <v>0</v>
      </c>
      <c r="L291" s="124" t="n">
        <f aca="false">J291*K291</f>
        <v>0</v>
      </c>
      <c r="M291" s="124" t="n">
        <f aca="false">SUM(J$280:J291)</f>
        <v>0</v>
      </c>
      <c r="N291" s="124" t="n">
        <f aca="false">SUM(J$6:J291)</f>
        <v>-1376857</v>
      </c>
      <c r="P291" s="148" t="n">
        <f aca="false">D291/P$3</f>
        <v>0</v>
      </c>
      <c r="Q291" s="124" t="n">
        <f aca="false">E291/P$3</f>
        <v>0</v>
      </c>
      <c r="R291" s="124" t="n">
        <f aca="false">F291/R$3</f>
        <v>0</v>
      </c>
      <c r="S291" s="126" t="n">
        <f aca="false">J291/$R$3</f>
        <v>0</v>
      </c>
      <c r="T291" s="126" t="n">
        <f aca="false">L291/$R$3</f>
        <v>0</v>
      </c>
      <c r="U291" s="126" t="n">
        <f aca="false">I291/$R$3</f>
        <v>0</v>
      </c>
      <c r="V291" s="126" t="n">
        <f aca="false">M291/$R$3</f>
        <v>0</v>
      </c>
      <c r="W291" s="126" t="n">
        <f aca="false">N291/$R$3</f>
        <v>-1376.857</v>
      </c>
    </row>
    <row r="292" customFormat="false" ht="12.75" hidden="false" customHeight="false" outlineLevel="0" collapsed="false">
      <c r="A292" s="120" t="n">
        <f aca="false">A291+1</f>
        <v>37178</v>
      </c>
      <c r="B292" s="131" t="str">
        <f aca="false">INDEX('[4]Master Data'!$A$2:$B$8,MATCH(WEEKDAY('TBS CRD MTM'!A292,3),'[4]Master Data'!$A$2:$A$8,0),2)</f>
        <v>Su</v>
      </c>
      <c r="D292" s="124" t="n">
        <v>0</v>
      </c>
      <c r="E292" s="124" t="n">
        <v>0</v>
      </c>
      <c r="F292" s="124" t="n">
        <v>0</v>
      </c>
      <c r="G292" s="124" t="n">
        <v>0</v>
      </c>
      <c r="I292" s="124" t="n">
        <f aca="false">IF(MONTH($A292)=MONTH($A291),IF(G292=0,I291,G292),G292)</f>
        <v>0</v>
      </c>
      <c r="J292" s="124" t="n">
        <f aca="false">IF(MONTH($A292)=MONTH($A291),SUM(I292-I291),I292)</f>
        <v>0</v>
      </c>
      <c r="K292" s="124" t="n">
        <f aca="false">IF(WEEKDAY(A292,3)&gt;4,0,(IF(A292&lt;K$2,0,IF(A292&lt;=K$3,1,0))))</f>
        <v>0</v>
      </c>
      <c r="L292" s="124" t="n">
        <f aca="false">J292*K292</f>
        <v>0</v>
      </c>
      <c r="M292" s="124" t="n">
        <f aca="false">SUM(J$280:J292)</f>
        <v>0</v>
      </c>
      <c r="N292" s="124" t="n">
        <f aca="false">SUM(J$6:J292)</f>
        <v>-1376857</v>
      </c>
      <c r="P292" s="148" t="n">
        <f aca="false">D292/P$3</f>
        <v>0</v>
      </c>
      <c r="Q292" s="124" t="n">
        <f aca="false">E292/P$3</f>
        <v>0</v>
      </c>
      <c r="R292" s="124" t="n">
        <f aca="false">F292/R$3</f>
        <v>0</v>
      </c>
      <c r="S292" s="126" t="n">
        <f aca="false">J292/$R$3</f>
        <v>0</v>
      </c>
      <c r="T292" s="126" t="n">
        <f aca="false">L292/$R$3</f>
        <v>0</v>
      </c>
      <c r="U292" s="126" t="n">
        <f aca="false">I292/$R$3</f>
        <v>0</v>
      </c>
      <c r="V292" s="126" t="n">
        <f aca="false">M292/$R$3</f>
        <v>0</v>
      </c>
      <c r="W292" s="126" t="n">
        <f aca="false">N292/$R$3</f>
        <v>-1376.857</v>
      </c>
    </row>
    <row r="293" customFormat="false" ht="12.75" hidden="false" customHeight="false" outlineLevel="0" collapsed="false">
      <c r="A293" s="120" t="n">
        <f aca="false">A292+1</f>
        <v>37179</v>
      </c>
      <c r="B293" s="131" t="str">
        <f aca="false">INDEX('[4]Master Data'!$A$2:$B$8,MATCH(WEEKDAY('TBS CRD MTM'!A293,3),'[4]Master Data'!$A$2:$A$8,0),2)</f>
        <v>M</v>
      </c>
      <c r="D293" s="124" t="n">
        <v>0</v>
      </c>
      <c r="E293" s="124" t="n">
        <v>0</v>
      </c>
      <c r="F293" s="124" t="n">
        <v>0</v>
      </c>
      <c r="G293" s="124" t="n">
        <v>0</v>
      </c>
      <c r="I293" s="124" t="n">
        <f aca="false">IF(MONTH($A293)=MONTH($A292),IF(G293=0,I292,G293),G293)</f>
        <v>0</v>
      </c>
      <c r="J293" s="124" t="n">
        <f aca="false">IF(MONTH($A293)=MONTH($A292),SUM(I293-I292),I293)</f>
        <v>0</v>
      </c>
      <c r="K293" s="124" t="n">
        <f aca="false">IF(WEEKDAY(A293,3)&gt;4,0,(IF(A293&lt;K$2,0,IF(A293&lt;=K$3,1,0))))</f>
        <v>0</v>
      </c>
      <c r="L293" s="124" t="n">
        <f aca="false">J293*K293</f>
        <v>0</v>
      </c>
      <c r="M293" s="124" t="n">
        <f aca="false">SUM(J$280:J293)</f>
        <v>0</v>
      </c>
      <c r="N293" s="124" t="n">
        <f aca="false">SUM(J$6:J293)</f>
        <v>-1376857</v>
      </c>
      <c r="P293" s="148" t="n">
        <f aca="false">D293/P$3</f>
        <v>0</v>
      </c>
      <c r="Q293" s="124" t="n">
        <f aca="false">E293/P$3</f>
        <v>0</v>
      </c>
      <c r="R293" s="124" t="n">
        <f aca="false">F293/R$3</f>
        <v>0</v>
      </c>
      <c r="S293" s="126" t="n">
        <f aca="false">J293/$R$3</f>
        <v>0</v>
      </c>
      <c r="T293" s="126" t="n">
        <f aca="false">L293/$R$3</f>
        <v>0</v>
      </c>
      <c r="U293" s="126" t="n">
        <f aca="false">I293/$R$3</f>
        <v>0</v>
      </c>
      <c r="V293" s="126" t="n">
        <f aca="false">M293/$R$3</f>
        <v>0</v>
      </c>
      <c r="W293" s="126" t="n">
        <f aca="false">N293/$R$3</f>
        <v>-1376.857</v>
      </c>
    </row>
    <row r="294" customFormat="false" ht="12.75" hidden="false" customHeight="false" outlineLevel="0" collapsed="false">
      <c r="A294" s="120" t="n">
        <f aca="false">A293+1</f>
        <v>37180</v>
      </c>
      <c r="B294" s="131" t="str">
        <f aca="false">INDEX('[4]Master Data'!$A$2:$B$8,MATCH(WEEKDAY('TBS CRD MTM'!A294,3),'[4]Master Data'!$A$2:$A$8,0),2)</f>
        <v>T</v>
      </c>
      <c r="D294" s="124" t="n">
        <v>0</v>
      </c>
      <c r="E294" s="124" t="n">
        <v>0</v>
      </c>
      <c r="F294" s="124" t="n">
        <v>0</v>
      </c>
      <c r="G294" s="124" t="n">
        <v>0</v>
      </c>
      <c r="I294" s="124" t="n">
        <f aca="false">IF(MONTH($A294)=MONTH($A293),IF(G294=0,I293,G294),G294)</f>
        <v>0</v>
      </c>
      <c r="J294" s="124" t="n">
        <f aca="false">IF(MONTH($A294)=MONTH($A293),SUM(I294-I293),I294)</f>
        <v>0</v>
      </c>
      <c r="K294" s="124" t="n">
        <f aca="false">IF(WEEKDAY(A294,3)&gt;4,0,(IF(A294&lt;K$2,0,IF(A294&lt;=K$3,1,0))))</f>
        <v>0</v>
      </c>
      <c r="L294" s="124" t="n">
        <f aca="false">J294*K294</f>
        <v>0</v>
      </c>
      <c r="M294" s="124" t="n">
        <f aca="false">SUM(J$280:J294)</f>
        <v>0</v>
      </c>
      <c r="N294" s="124" t="n">
        <f aca="false">SUM(J$6:J294)</f>
        <v>-1376857</v>
      </c>
      <c r="P294" s="148" t="n">
        <f aca="false">D294/P$3</f>
        <v>0</v>
      </c>
      <c r="Q294" s="124" t="n">
        <f aca="false">E294/P$3</f>
        <v>0</v>
      </c>
      <c r="R294" s="124" t="n">
        <f aca="false">F294/R$3</f>
        <v>0</v>
      </c>
      <c r="S294" s="126" t="n">
        <f aca="false">J294/$R$3</f>
        <v>0</v>
      </c>
      <c r="T294" s="126" t="n">
        <f aca="false">L294/$R$3</f>
        <v>0</v>
      </c>
      <c r="U294" s="126" t="n">
        <f aca="false">I294/$R$3</f>
        <v>0</v>
      </c>
      <c r="V294" s="126" t="n">
        <f aca="false">M294/$R$3</f>
        <v>0</v>
      </c>
      <c r="W294" s="126" t="n">
        <f aca="false">N294/$R$3</f>
        <v>-1376.857</v>
      </c>
    </row>
    <row r="295" customFormat="false" ht="12.75" hidden="false" customHeight="false" outlineLevel="0" collapsed="false">
      <c r="A295" s="120" t="n">
        <f aca="false">A294+1</f>
        <v>37181</v>
      </c>
      <c r="B295" s="131" t="str">
        <f aca="false">INDEX('[4]Master Data'!$A$2:$B$8,MATCH(WEEKDAY('TBS CRD MTM'!A295,3),'[4]Master Data'!$A$2:$A$8,0),2)</f>
        <v>W</v>
      </c>
      <c r="D295" s="124" t="n">
        <v>0</v>
      </c>
      <c r="E295" s="124" t="n">
        <v>0</v>
      </c>
      <c r="F295" s="124" t="n">
        <v>0</v>
      </c>
      <c r="G295" s="124" t="n">
        <v>0</v>
      </c>
      <c r="I295" s="124" t="n">
        <f aca="false">IF(MONTH($A295)=MONTH($A294),IF(G295=0,I294,G295),G295)</f>
        <v>0</v>
      </c>
      <c r="J295" s="124" t="n">
        <f aca="false">IF(MONTH($A295)=MONTH($A294),SUM(I295-I294),I295)</f>
        <v>0</v>
      </c>
      <c r="K295" s="124" t="n">
        <f aca="false">IF(WEEKDAY(A295,3)&gt;4,0,(IF(A295&lt;K$2,0,IF(A295&lt;=K$3,1,0))))</f>
        <v>0</v>
      </c>
      <c r="L295" s="124" t="n">
        <f aca="false">J295*K295</f>
        <v>0</v>
      </c>
      <c r="M295" s="124" t="n">
        <f aca="false">SUM(J$280:J295)</f>
        <v>0</v>
      </c>
      <c r="N295" s="124" t="n">
        <f aca="false">SUM(J$6:J295)</f>
        <v>-1376857</v>
      </c>
      <c r="P295" s="148" t="n">
        <f aca="false">D295/P$3</f>
        <v>0</v>
      </c>
      <c r="Q295" s="124" t="n">
        <f aca="false">E295/P$3</f>
        <v>0</v>
      </c>
      <c r="R295" s="124" t="n">
        <f aca="false">F295/R$3</f>
        <v>0</v>
      </c>
      <c r="S295" s="126" t="n">
        <f aca="false">J295/$R$3</f>
        <v>0</v>
      </c>
      <c r="T295" s="126" t="n">
        <f aca="false">L295/$R$3</f>
        <v>0</v>
      </c>
      <c r="U295" s="126" t="n">
        <f aca="false">I295/$R$3</f>
        <v>0</v>
      </c>
      <c r="V295" s="126" t="n">
        <f aca="false">M295/$R$3</f>
        <v>0</v>
      </c>
      <c r="W295" s="126" t="n">
        <f aca="false">N295/$R$3</f>
        <v>-1376.857</v>
      </c>
    </row>
    <row r="296" customFormat="false" ht="12.75" hidden="false" customHeight="false" outlineLevel="0" collapsed="false">
      <c r="A296" s="120" t="n">
        <f aca="false">A295+1</f>
        <v>37182</v>
      </c>
      <c r="B296" s="131" t="str">
        <f aca="false">INDEX('[4]Master Data'!$A$2:$B$8,MATCH(WEEKDAY('TBS CRD MTM'!A296,3),'[4]Master Data'!$A$2:$A$8,0),2)</f>
        <v>Th</v>
      </c>
      <c r="D296" s="124" t="n">
        <v>0</v>
      </c>
      <c r="E296" s="124" t="n">
        <v>0</v>
      </c>
      <c r="F296" s="124" t="n">
        <v>0</v>
      </c>
      <c r="G296" s="124" t="n">
        <v>0</v>
      </c>
      <c r="I296" s="124" t="n">
        <f aca="false">IF(MONTH($A296)=MONTH($A295),IF(G296=0,I295,G296),G296)</f>
        <v>0</v>
      </c>
      <c r="J296" s="124" t="n">
        <f aca="false">IF(MONTH($A296)=MONTH($A295),SUM(I296-I295),I296)</f>
        <v>0</v>
      </c>
      <c r="K296" s="124" t="n">
        <f aca="false">IF(WEEKDAY(A296,3)&gt;4,0,(IF(A296&lt;K$2,0,IF(A296&lt;=K$3,1,0))))</f>
        <v>0</v>
      </c>
      <c r="L296" s="124" t="n">
        <f aca="false">J296*K296</f>
        <v>0</v>
      </c>
      <c r="M296" s="124" t="n">
        <f aca="false">SUM(J$280:J296)</f>
        <v>0</v>
      </c>
      <c r="N296" s="124" t="n">
        <f aca="false">SUM(J$6:J296)</f>
        <v>-1376857</v>
      </c>
      <c r="P296" s="148" t="n">
        <f aca="false">D296/P$3</f>
        <v>0</v>
      </c>
      <c r="Q296" s="124" t="n">
        <f aca="false">E296/P$3</f>
        <v>0</v>
      </c>
      <c r="R296" s="124" t="n">
        <f aca="false">F296/R$3</f>
        <v>0</v>
      </c>
      <c r="S296" s="126" t="n">
        <f aca="false">J296/$R$3</f>
        <v>0</v>
      </c>
      <c r="T296" s="126" t="n">
        <f aca="false">L296/$R$3</f>
        <v>0</v>
      </c>
      <c r="U296" s="126" t="n">
        <f aca="false">I296/$R$3</f>
        <v>0</v>
      </c>
      <c r="V296" s="126" t="n">
        <f aca="false">M296/$R$3</f>
        <v>0</v>
      </c>
      <c r="W296" s="126" t="n">
        <f aca="false">N296/$R$3</f>
        <v>-1376.857</v>
      </c>
    </row>
    <row r="297" customFormat="false" ht="12.75" hidden="false" customHeight="false" outlineLevel="0" collapsed="false">
      <c r="A297" s="120" t="n">
        <f aca="false">A296+1</f>
        <v>37183</v>
      </c>
      <c r="B297" s="131" t="str">
        <f aca="false">INDEX('[4]Master Data'!$A$2:$B$8,MATCH(WEEKDAY('TBS CRD MTM'!A297,3),'[4]Master Data'!$A$2:$A$8,0),2)</f>
        <v>F</v>
      </c>
      <c r="D297" s="124" t="n">
        <v>0</v>
      </c>
      <c r="E297" s="124" t="n">
        <v>0</v>
      </c>
      <c r="F297" s="124" t="n">
        <v>0</v>
      </c>
      <c r="G297" s="124" t="n">
        <v>0</v>
      </c>
      <c r="I297" s="124" t="n">
        <f aca="false">IF(MONTH($A297)=MONTH($A296),IF(G297=0,I296,G297),G297)</f>
        <v>0</v>
      </c>
      <c r="J297" s="124" t="n">
        <f aca="false">IF(MONTH($A297)=MONTH($A296),SUM(I297-I296),I297)</f>
        <v>0</v>
      </c>
      <c r="K297" s="124" t="n">
        <f aca="false">IF(WEEKDAY(A297,3)&gt;4,0,(IF(A297&lt;K$2,0,IF(A297&lt;=K$3,1,0))))</f>
        <v>0</v>
      </c>
      <c r="L297" s="124" t="n">
        <f aca="false">J297*K297</f>
        <v>0</v>
      </c>
      <c r="M297" s="124" t="n">
        <f aca="false">SUM(J$280:J297)</f>
        <v>0</v>
      </c>
      <c r="N297" s="124" t="n">
        <f aca="false">SUM(J$6:J297)</f>
        <v>-1376857</v>
      </c>
      <c r="P297" s="148" t="n">
        <f aca="false">D297/P$3</f>
        <v>0</v>
      </c>
      <c r="Q297" s="124" t="n">
        <f aca="false">E297/P$3</f>
        <v>0</v>
      </c>
      <c r="R297" s="124" t="n">
        <f aca="false">F297/R$3</f>
        <v>0</v>
      </c>
      <c r="S297" s="126" t="n">
        <f aca="false">J297/$R$3</f>
        <v>0</v>
      </c>
      <c r="T297" s="126" t="n">
        <f aca="false">L297/$R$3</f>
        <v>0</v>
      </c>
      <c r="U297" s="126" t="n">
        <f aca="false">I297/$R$3</f>
        <v>0</v>
      </c>
      <c r="V297" s="126" t="n">
        <f aca="false">M297/$R$3</f>
        <v>0</v>
      </c>
      <c r="W297" s="126" t="n">
        <f aca="false">N297/$R$3</f>
        <v>-1376.857</v>
      </c>
    </row>
    <row r="298" customFormat="false" ht="12.75" hidden="false" customHeight="false" outlineLevel="0" collapsed="false">
      <c r="A298" s="120" t="n">
        <f aca="false">A297+1</f>
        <v>37184</v>
      </c>
      <c r="B298" s="131" t="str">
        <f aca="false">INDEX('[4]Master Data'!$A$2:$B$8,MATCH(WEEKDAY('TBS CRD MTM'!A298,3),'[4]Master Data'!$A$2:$A$8,0),2)</f>
        <v>Sa</v>
      </c>
      <c r="D298" s="124" t="n">
        <v>0</v>
      </c>
      <c r="E298" s="124" t="n">
        <v>0</v>
      </c>
      <c r="F298" s="124" t="n">
        <v>0</v>
      </c>
      <c r="G298" s="124" t="n">
        <v>0</v>
      </c>
      <c r="I298" s="124" t="n">
        <f aca="false">IF(MONTH($A298)=MONTH($A297),IF(G298=0,I297,G298),G298)</f>
        <v>0</v>
      </c>
      <c r="J298" s="124" t="n">
        <f aca="false">IF(MONTH($A298)=MONTH($A297),SUM(I298-I297),I298)</f>
        <v>0</v>
      </c>
      <c r="K298" s="124" t="n">
        <f aca="false">IF(WEEKDAY(A298,3)&gt;4,0,(IF(A298&lt;K$2,0,IF(A298&lt;=K$3,1,0))))</f>
        <v>0</v>
      </c>
      <c r="L298" s="124" t="n">
        <f aca="false">J298*K298</f>
        <v>0</v>
      </c>
      <c r="M298" s="124" t="n">
        <f aca="false">SUM(J$280:J298)</f>
        <v>0</v>
      </c>
      <c r="N298" s="124" t="n">
        <f aca="false">SUM(J$6:J298)</f>
        <v>-1376857</v>
      </c>
      <c r="P298" s="148" t="n">
        <f aca="false">D298/P$3</f>
        <v>0</v>
      </c>
      <c r="Q298" s="124" t="n">
        <f aca="false">E298/P$3</f>
        <v>0</v>
      </c>
      <c r="R298" s="124" t="n">
        <f aca="false">F298/R$3</f>
        <v>0</v>
      </c>
      <c r="S298" s="126" t="n">
        <f aca="false">J298/$R$3</f>
        <v>0</v>
      </c>
      <c r="T298" s="126" t="n">
        <f aca="false">L298/$R$3</f>
        <v>0</v>
      </c>
      <c r="U298" s="126" t="n">
        <f aca="false">I298/$R$3</f>
        <v>0</v>
      </c>
      <c r="V298" s="126" t="n">
        <f aca="false">M298/$R$3</f>
        <v>0</v>
      </c>
      <c r="W298" s="126" t="n">
        <f aca="false">N298/$R$3</f>
        <v>-1376.857</v>
      </c>
    </row>
    <row r="299" customFormat="false" ht="12.75" hidden="false" customHeight="false" outlineLevel="0" collapsed="false">
      <c r="A299" s="120" t="n">
        <f aca="false">A298+1</f>
        <v>37185</v>
      </c>
      <c r="B299" s="131" t="str">
        <f aca="false">INDEX('[4]Master Data'!$A$2:$B$8,MATCH(WEEKDAY('TBS CRD MTM'!A299,3),'[4]Master Data'!$A$2:$A$8,0),2)</f>
        <v>Su</v>
      </c>
      <c r="D299" s="124" t="n">
        <v>0</v>
      </c>
      <c r="E299" s="124" t="n">
        <v>0</v>
      </c>
      <c r="F299" s="124" t="n">
        <v>0</v>
      </c>
      <c r="G299" s="124" t="n">
        <v>0</v>
      </c>
      <c r="I299" s="124" t="n">
        <f aca="false">IF(MONTH($A299)=MONTH($A298),IF(G299=0,I298,G299),G299)</f>
        <v>0</v>
      </c>
      <c r="J299" s="124" t="n">
        <f aca="false">IF(MONTH($A299)=MONTH($A298),SUM(I299-I298),I299)</f>
        <v>0</v>
      </c>
      <c r="K299" s="124" t="n">
        <f aca="false">IF(WEEKDAY(A299,3)&gt;4,0,(IF(A299&lt;K$2,0,IF(A299&lt;=K$3,1,0))))</f>
        <v>0</v>
      </c>
      <c r="L299" s="124" t="n">
        <f aca="false">J299*K299</f>
        <v>0</v>
      </c>
      <c r="M299" s="124" t="n">
        <f aca="false">SUM(J$280:J299)</f>
        <v>0</v>
      </c>
      <c r="N299" s="124" t="n">
        <f aca="false">SUM(J$6:J299)</f>
        <v>-1376857</v>
      </c>
      <c r="P299" s="148" t="n">
        <f aca="false">D299/P$3</f>
        <v>0</v>
      </c>
      <c r="Q299" s="124" t="n">
        <f aca="false">E299/P$3</f>
        <v>0</v>
      </c>
      <c r="R299" s="124" t="n">
        <f aca="false">F299/R$3</f>
        <v>0</v>
      </c>
      <c r="S299" s="126" t="n">
        <f aca="false">J299/$R$3</f>
        <v>0</v>
      </c>
      <c r="T299" s="126" t="n">
        <f aca="false">L299/$R$3</f>
        <v>0</v>
      </c>
      <c r="U299" s="126" t="n">
        <f aca="false">I299/$R$3</f>
        <v>0</v>
      </c>
      <c r="V299" s="126" t="n">
        <f aca="false">M299/$R$3</f>
        <v>0</v>
      </c>
      <c r="W299" s="126" t="n">
        <f aca="false">N299/$R$3</f>
        <v>-1376.857</v>
      </c>
    </row>
    <row r="300" customFormat="false" ht="12.75" hidden="false" customHeight="false" outlineLevel="0" collapsed="false">
      <c r="A300" s="120" t="n">
        <f aca="false">A299+1</f>
        <v>37186</v>
      </c>
      <c r="B300" s="131" t="str">
        <f aca="false">INDEX('[4]Master Data'!$A$2:$B$8,MATCH(WEEKDAY('TBS CRD MTM'!A300,3),'[4]Master Data'!$A$2:$A$8,0),2)</f>
        <v>M</v>
      </c>
      <c r="D300" s="124" t="n">
        <v>0</v>
      </c>
      <c r="E300" s="124" t="n">
        <v>0</v>
      </c>
      <c r="F300" s="124" t="n">
        <v>0</v>
      </c>
      <c r="G300" s="124" t="n">
        <v>0</v>
      </c>
      <c r="I300" s="124" t="n">
        <f aca="false">IF(MONTH($A300)=MONTH($A299),IF(G300=0,I299,G300),G300)</f>
        <v>0</v>
      </c>
      <c r="J300" s="124" t="n">
        <f aca="false">IF(MONTH($A300)=MONTH($A299),SUM(I300-I299),I300)</f>
        <v>0</v>
      </c>
      <c r="K300" s="124" t="n">
        <f aca="false">IF(WEEKDAY(A300,3)&gt;4,0,(IF(A300&lt;K$2,0,IF(A300&lt;=K$3,1,0))))</f>
        <v>0</v>
      </c>
      <c r="L300" s="124" t="n">
        <f aca="false">J300*K300</f>
        <v>0</v>
      </c>
      <c r="M300" s="124" t="n">
        <f aca="false">SUM(J$280:J300)</f>
        <v>0</v>
      </c>
      <c r="N300" s="124" t="n">
        <f aca="false">SUM(J$6:J300)</f>
        <v>-1376857</v>
      </c>
      <c r="P300" s="148" t="n">
        <f aca="false">D300/P$3</f>
        <v>0</v>
      </c>
      <c r="Q300" s="124" t="n">
        <f aca="false">E300/P$3</f>
        <v>0</v>
      </c>
      <c r="R300" s="124" t="n">
        <f aca="false">F300/R$3</f>
        <v>0</v>
      </c>
      <c r="S300" s="126" t="n">
        <f aca="false">J300/$R$3</f>
        <v>0</v>
      </c>
      <c r="T300" s="126" t="n">
        <f aca="false">L300/$R$3</f>
        <v>0</v>
      </c>
      <c r="U300" s="126" t="n">
        <f aca="false">I300/$R$3</f>
        <v>0</v>
      </c>
      <c r="V300" s="126" t="n">
        <f aca="false">M300/$R$3</f>
        <v>0</v>
      </c>
      <c r="W300" s="126" t="n">
        <f aca="false">N300/$R$3</f>
        <v>-1376.857</v>
      </c>
    </row>
    <row r="301" customFormat="false" ht="12.75" hidden="false" customHeight="false" outlineLevel="0" collapsed="false">
      <c r="A301" s="120" t="n">
        <f aca="false">A300+1</f>
        <v>37187</v>
      </c>
      <c r="B301" s="131" t="str">
        <f aca="false">INDEX('[4]Master Data'!$A$2:$B$8,MATCH(WEEKDAY('TBS CRD MTM'!A301,3),'[4]Master Data'!$A$2:$A$8,0),2)</f>
        <v>T</v>
      </c>
      <c r="D301" s="124" t="n">
        <v>0</v>
      </c>
      <c r="E301" s="124" t="n">
        <v>0</v>
      </c>
      <c r="F301" s="124" t="n">
        <v>0</v>
      </c>
      <c r="G301" s="124" t="n">
        <v>0</v>
      </c>
      <c r="I301" s="124" t="n">
        <f aca="false">IF(MONTH($A301)=MONTH($A300),IF(G301=0,I300,G301),G301)</f>
        <v>0</v>
      </c>
      <c r="J301" s="124" t="n">
        <f aca="false">IF(MONTH($A301)=MONTH($A300),SUM(I301-I300),I301)</f>
        <v>0</v>
      </c>
      <c r="K301" s="124" t="n">
        <f aca="false">IF(WEEKDAY(A301,3)&gt;4,0,(IF(A301&lt;K$2,0,IF(A301&lt;=K$3,1,0))))</f>
        <v>0</v>
      </c>
      <c r="L301" s="124" t="n">
        <f aca="false">J301*K301</f>
        <v>0</v>
      </c>
      <c r="M301" s="124" t="n">
        <f aca="false">SUM(J$280:J301)</f>
        <v>0</v>
      </c>
      <c r="N301" s="124" t="n">
        <f aca="false">SUM(J$6:J301)</f>
        <v>-1376857</v>
      </c>
      <c r="P301" s="148" t="n">
        <f aca="false">D301/P$3</f>
        <v>0</v>
      </c>
      <c r="Q301" s="124" t="n">
        <f aca="false">E301/P$3</f>
        <v>0</v>
      </c>
      <c r="R301" s="124" t="n">
        <f aca="false">F301/R$3</f>
        <v>0</v>
      </c>
      <c r="S301" s="126" t="n">
        <f aca="false">J301/$R$3</f>
        <v>0</v>
      </c>
      <c r="T301" s="126" t="n">
        <f aca="false">L301/$R$3</f>
        <v>0</v>
      </c>
      <c r="U301" s="126" t="n">
        <f aca="false">I301/$R$3</f>
        <v>0</v>
      </c>
      <c r="V301" s="126" t="n">
        <f aca="false">M301/$R$3</f>
        <v>0</v>
      </c>
      <c r="W301" s="126" t="n">
        <f aca="false">N301/$R$3</f>
        <v>-1376.857</v>
      </c>
    </row>
    <row r="302" customFormat="false" ht="12.75" hidden="false" customHeight="false" outlineLevel="0" collapsed="false">
      <c r="A302" s="120" t="n">
        <f aca="false">A301+1</f>
        <v>37188</v>
      </c>
      <c r="B302" s="131" t="str">
        <f aca="false">INDEX('[4]Master Data'!$A$2:$B$8,MATCH(WEEKDAY('TBS CRD MTM'!A302,3),'[4]Master Data'!$A$2:$A$8,0),2)</f>
        <v>W</v>
      </c>
      <c r="D302" s="124" t="n">
        <v>0</v>
      </c>
      <c r="E302" s="124" t="n">
        <v>0</v>
      </c>
      <c r="F302" s="124" t="n">
        <v>0</v>
      </c>
      <c r="G302" s="124" t="n">
        <v>0</v>
      </c>
      <c r="I302" s="124" t="n">
        <f aca="false">IF(MONTH($A302)=MONTH($A301),IF(G302=0,I301,G302),G302)</f>
        <v>0</v>
      </c>
      <c r="J302" s="124" t="n">
        <f aca="false">IF(MONTH($A302)=MONTH($A301),SUM(I302-I301),I302)</f>
        <v>0</v>
      </c>
      <c r="K302" s="124" t="n">
        <f aca="false">IF(WEEKDAY(A302,3)&gt;4,0,(IF(A302&lt;K$2,0,IF(A302&lt;=K$3,1,0))))</f>
        <v>0</v>
      </c>
      <c r="L302" s="124" t="n">
        <f aca="false">J302*K302</f>
        <v>0</v>
      </c>
      <c r="M302" s="124" t="n">
        <f aca="false">SUM(J$280:J302)</f>
        <v>0</v>
      </c>
      <c r="N302" s="124" t="n">
        <f aca="false">SUM(J$6:J302)</f>
        <v>-1376857</v>
      </c>
      <c r="P302" s="148" t="n">
        <f aca="false">D302/P$3</f>
        <v>0</v>
      </c>
      <c r="Q302" s="124" t="n">
        <f aca="false">E302/P$3</f>
        <v>0</v>
      </c>
      <c r="R302" s="124" t="n">
        <f aca="false">F302/R$3</f>
        <v>0</v>
      </c>
      <c r="S302" s="126" t="n">
        <f aca="false">J302/$R$3</f>
        <v>0</v>
      </c>
      <c r="T302" s="126" t="n">
        <f aca="false">L302/$R$3</f>
        <v>0</v>
      </c>
      <c r="U302" s="126" t="n">
        <f aca="false">I302/$R$3</f>
        <v>0</v>
      </c>
      <c r="V302" s="126" t="n">
        <f aca="false">M302/$R$3</f>
        <v>0</v>
      </c>
      <c r="W302" s="126" t="n">
        <f aca="false">N302/$R$3</f>
        <v>-1376.857</v>
      </c>
    </row>
    <row r="303" customFormat="false" ht="12.75" hidden="false" customHeight="false" outlineLevel="0" collapsed="false">
      <c r="A303" s="120" t="n">
        <f aca="false">A302+1</f>
        <v>37189</v>
      </c>
      <c r="B303" s="131" t="str">
        <f aca="false">INDEX('[4]Master Data'!$A$2:$B$8,MATCH(WEEKDAY('TBS CRD MTM'!A303,3),'[4]Master Data'!$A$2:$A$8,0),2)</f>
        <v>Th</v>
      </c>
      <c r="D303" s="124" t="n">
        <v>0</v>
      </c>
      <c r="E303" s="124" t="n">
        <v>0</v>
      </c>
      <c r="F303" s="124" t="n">
        <v>0</v>
      </c>
      <c r="G303" s="124" t="n">
        <v>0</v>
      </c>
      <c r="I303" s="124" t="n">
        <f aca="false">IF(MONTH($A303)=MONTH($A302),IF(G303=0,I302,G303),G303)</f>
        <v>0</v>
      </c>
      <c r="J303" s="124" t="n">
        <f aca="false">IF(MONTH($A303)=MONTH($A302),SUM(I303-I302),I303)</f>
        <v>0</v>
      </c>
      <c r="K303" s="124" t="n">
        <f aca="false">IF(WEEKDAY(A303,3)&gt;4,0,(IF(A303&lt;K$2,0,IF(A303&lt;=K$3,1,0))))</f>
        <v>0</v>
      </c>
      <c r="L303" s="124" t="n">
        <f aca="false">J303*K303</f>
        <v>0</v>
      </c>
      <c r="M303" s="124" t="n">
        <f aca="false">SUM(J$280:J303)</f>
        <v>0</v>
      </c>
      <c r="N303" s="124" t="n">
        <f aca="false">SUM(J$6:J303)</f>
        <v>-1376857</v>
      </c>
      <c r="P303" s="148" t="n">
        <f aca="false">D303/P$3</f>
        <v>0</v>
      </c>
      <c r="Q303" s="124" t="n">
        <f aca="false">E303/P$3</f>
        <v>0</v>
      </c>
      <c r="R303" s="124" t="n">
        <f aca="false">F303/R$3</f>
        <v>0</v>
      </c>
      <c r="S303" s="126" t="n">
        <f aca="false">J303/$R$3</f>
        <v>0</v>
      </c>
      <c r="T303" s="126" t="n">
        <f aca="false">L303/$R$3</f>
        <v>0</v>
      </c>
      <c r="U303" s="126" t="n">
        <f aca="false">I303/$R$3</f>
        <v>0</v>
      </c>
      <c r="V303" s="126" t="n">
        <f aca="false">M303/$R$3</f>
        <v>0</v>
      </c>
      <c r="W303" s="126" t="n">
        <f aca="false">N303/$R$3</f>
        <v>-1376.857</v>
      </c>
    </row>
    <row r="304" customFormat="false" ht="12.75" hidden="false" customHeight="false" outlineLevel="0" collapsed="false">
      <c r="A304" s="120" t="n">
        <f aca="false">A303+1</f>
        <v>37190</v>
      </c>
      <c r="B304" s="131" t="str">
        <f aca="false">INDEX('[4]Master Data'!$A$2:$B$8,MATCH(WEEKDAY('TBS CRD MTM'!A304,3),'[4]Master Data'!$A$2:$A$8,0),2)</f>
        <v>F</v>
      </c>
      <c r="D304" s="124" t="n">
        <v>0</v>
      </c>
      <c r="E304" s="124" t="n">
        <v>0</v>
      </c>
      <c r="F304" s="124" t="n">
        <v>0</v>
      </c>
      <c r="G304" s="124" t="n">
        <v>0</v>
      </c>
      <c r="I304" s="124" t="n">
        <f aca="false">IF(MONTH($A304)=MONTH($A303),IF(G304=0,I303,G304),G304)</f>
        <v>0</v>
      </c>
      <c r="J304" s="124" t="n">
        <f aca="false">IF(MONTH($A304)=MONTH($A303),SUM(I304-I303),I304)</f>
        <v>0</v>
      </c>
      <c r="K304" s="124" t="n">
        <f aca="false">IF(WEEKDAY(A304,3)&gt;4,0,(IF(A304&lt;K$2,0,IF(A304&lt;=K$3,1,0))))</f>
        <v>1</v>
      </c>
      <c r="L304" s="124" t="n">
        <f aca="false">J304*K304</f>
        <v>0</v>
      </c>
      <c r="M304" s="124" t="n">
        <f aca="false">SUM(J$280:J304)</f>
        <v>0</v>
      </c>
      <c r="N304" s="124" t="n">
        <f aca="false">SUM(J$6:J304)</f>
        <v>-1376857</v>
      </c>
      <c r="P304" s="148" t="n">
        <f aca="false">D304/P$3</f>
        <v>0</v>
      </c>
      <c r="Q304" s="124" t="n">
        <f aca="false">E304/P$3</f>
        <v>0</v>
      </c>
      <c r="R304" s="124" t="n">
        <f aca="false">F304/R$3</f>
        <v>0</v>
      </c>
      <c r="S304" s="126" t="n">
        <f aca="false">J304/$R$3</f>
        <v>0</v>
      </c>
      <c r="T304" s="126" t="n">
        <f aca="false">L304/$R$3</f>
        <v>0</v>
      </c>
      <c r="U304" s="126" t="n">
        <f aca="false">I304/$R$3</f>
        <v>0</v>
      </c>
      <c r="V304" s="126" t="n">
        <f aca="false">M304/$R$3</f>
        <v>0</v>
      </c>
      <c r="W304" s="126" t="n">
        <f aca="false">N304/$R$3</f>
        <v>-1376.857</v>
      </c>
    </row>
    <row r="305" customFormat="false" ht="12.75" hidden="false" customHeight="false" outlineLevel="0" collapsed="false">
      <c r="A305" s="120" t="n">
        <f aca="false">A304+1</f>
        <v>37191</v>
      </c>
      <c r="B305" s="131" t="str">
        <f aca="false">INDEX('[4]Master Data'!$A$2:$B$8,MATCH(WEEKDAY('TBS CRD MTM'!A305,3),'[4]Master Data'!$A$2:$A$8,0),2)</f>
        <v>Sa</v>
      </c>
      <c r="D305" s="124" t="n">
        <v>0</v>
      </c>
      <c r="E305" s="124" t="n">
        <v>0</v>
      </c>
      <c r="F305" s="124" t="n">
        <v>0</v>
      </c>
      <c r="G305" s="124" t="n">
        <v>0</v>
      </c>
      <c r="I305" s="124" t="n">
        <f aca="false">IF(MONTH($A305)=MONTH($A304),IF(G305=0,I304,G305),G305)</f>
        <v>0</v>
      </c>
      <c r="J305" s="124" t="n">
        <f aca="false">IF(MONTH($A305)=MONTH($A304),SUM(I305-I304),I305)</f>
        <v>0</v>
      </c>
      <c r="K305" s="124" t="n">
        <f aca="false">IF(WEEKDAY(A305,3)&gt;4,0,(IF(A305&lt;K$2,0,IF(A305&lt;=K$3,1,0))))</f>
        <v>0</v>
      </c>
      <c r="L305" s="124" t="n">
        <f aca="false">J305*K305</f>
        <v>0</v>
      </c>
      <c r="M305" s="124" t="n">
        <f aca="false">SUM(J$280:J305)</f>
        <v>0</v>
      </c>
      <c r="N305" s="124" t="n">
        <f aca="false">SUM(J$6:J305)</f>
        <v>-1376857</v>
      </c>
      <c r="P305" s="148" t="n">
        <f aca="false">D305/P$3</f>
        <v>0</v>
      </c>
      <c r="Q305" s="124" t="n">
        <f aca="false">E305/P$3</f>
        <v>0</v>
      </c>
      <c r="R305" s="124" t="n">
        <f aca="false">F305/R$3</f>
        <v>0</v>
      </c>
      <c r="S305" s="126" t="n">
        <f aca="false">J305/$R$3</f>
        <v>0</v>
      </c>
      <c r="T305" s="126" t="n">
        <f aca="false">L305/$R$3</f>
        <v>0</v>
      </c>
      <c r="U305" s="126" t="n">
        <f aca="false">I305/$R$3</f>
        <v>0</v>
      </c>
      <c r="V305" s="126" t="n">
        <f aca="false">M305/$R$3</f>
        <v>0</v>
      </c>
      <c r="W305" s="126" t="n">
        <f aca="false">N305/$R$3</f>
        <v>-1376.857</v>
      </c>
    </row>
    <row r="306" customFormat="false" ht="12.75" hidden="false" customHeight="false" outlineLevel="0" collapsed="false">
      <c r="A306" s="120" t="n">
        <f aca="false">A305+1</f>
        <v>37192</v>
      </c>
      <c r="B306" s="131" t="str">
        <f aca="false">INDEX('[4]Master Data'!$A$2:$B$8,MATCH(WEEKDAY('TBS CRD MTM'!A306,3),'[4]Master Data'!$A$2:$A$8,0),2)</f>
        <v>Su</v>
      </c>
      <c r="D306" s="124" t="n">
        <v>0</v>
      </c>
      <c r="E306" s="124" t="n">
        <v>0</v>
      </c>
      <c r="F306" s="124" t="n">
        <v>0</v>
      </c>
      <c r="G306" s="124" t="n">
        <v>0</v>
      </c>
      <c r="I306" s="124" t="n">
        <f aca="false">IF(MONTH($A306)=MONTH($A305),IF(G306=0,I305,G306),G306)</f>
        <v>0</v>
      </c>
      <c r="J306" s="124" t="n">
        <f aca="false">IF(MONTH($A306)=MONTH($A305),SUM(I306-I305),I306)</f>
        <v>0</v>
      </c>
      <c r="K306" s="124" t="n">
        <f aca="false">IF(WEEKDAY(A306,3)&gt;4,0,(IF(A306&lt;K$2,0,IF(A306&lt;=K$3,1,0))))</f>
        <v>0</v>
      </c>
      <c r="L306" s="124" t="n">
        <f aca="false">J306*K306</f>
        <v>0</v>
      </c>
      <c r="M306" s="124" t="n">
        <f aca="false">SUM(J$280:J306)</f>
        <v>0</v>
      </c>
      <c r="N306" s="124" t="n">
        <f aca="false">SUM(J$6:J306)</f>
        <v>-1376857</v>
      </c>
      <c r="P306" s="148" t="n">
        <f aca="false">D306/P$3</f>
        <v>0</v>
      </c>
      <c r="Q306" s="124" t="n">
        <f aca="false">E306/P$3</f>
        <v>0</v>
      </c>
      <c r="R306" s="124" t="n">
        <f aca="false">F306/R$3</f>
        <v>0</v>
      </c>
      <c r="S306" s="126" t="n">
        <f aca="false">J306/$R$3</f>
        <v>0</v>
      </c>
      <c r="T306" s="126" t="n">
        <f aca="false">L306/$R$3</f>
        <v>0</v>
      </c>
      <c r="U306" s="126" t="n">
        <f aca="false">I306/$R$3</f>
        <v>0</v>
      </c>
      <c r="V306" s="126" t="n">
        <f aca="false">M306/$R$3</f>
        <v>0</v>
      </c>
      <c r="W306" s="126" t="n">
        <f aca="false">N306/$R$3</f>
        <v>-1376.857</v>
      </c>
    </row>
    <row r="307" customFormat="false" ht="12.75" hidden="false" customHeight="false" outlineLevel="0" collapsed="false">
      <c r="A307" s="120" t="n">
        <f aca="false">A306+1</f>
        <v>37193</v>
      </c>
      <c r="B307" s="131" t="str">
        <f aca="false">INDEX('[4]Master Data'!$A$2:$B$8,MATCH(WEEKDAY('TBS CRD MTM'!A307,3),'[4]Master Data'!$A$2:$A$8,0),2)</f>
        <v>M</v>
      </c>
      <c r="D307" s="124" t="n">
        <v>0</v>
      </c>
      <c r="E307" s="124" t="n">
        <v>0</v>
      </c>
      <c r="F307" s="124" t="n">
        <v>0</v>
      </c>
      <c r="G307" s="124" t="n">
        <v>0</v>
      </c>
      <c r="I307" s="124" t="n">
        <f aca="false">IF(MONTH($A307)=MONTH($A306),IF(G307=0,I306,G307),G307)</f>
        <v>0</v>
      </c>
      <c r="J307" s="124" t="n">
        <f aca="false">IF(MONTH($A307)=MONTH($A306),SUM(I307-I306),I307)</f>
        <v>0</v>
      </c>
      <c r="K307" s="124" t="n">
        <f aca="false">IF(WEEKDAY(A307,3)&gt;4,0,(IF(A307&lt;K$2,0,IF(A307&lt;=K$3,1,0))))</f>
        <v>1</v>
      </c>
      <c r="L307" s="124" t="n">
        <f aca="false">J307*K307</f>
        <v>0</v>
      </c>
      <c r="M307" s="124" t="n">
        <f aca="false">SUM(J$280:J307)</f>
        <v>0</v>
      </c>
      <c r="N307" s="124" t="n">
        <f aca="false">SUM(J$6:J307)</f>
        <v>-1376857</v>
      </c>
      <c r="P307" s="148" t="n">
        <f aca="false">D307/P$3</f>
        <v>0</v>
      </c>
      <c r="Q307" s="124" t="n">
        <f aca="false">E307/P$3</f>
        <v>0</v>
      </c>
      <c r="R307" s="124" t="n">
        <f aca="false">F307/R$3</f>
        <v>0</v>
      </c>
      <c r="S307" s="126" t="n">
        <f aca="false">J307/$R$3</f>
        <v>0</v>
      </c>
      <c r="T307" s="126" t="n">
        <f aca="false">L307/$R$3</f>
        <v>0</v>
      </c>
      <c r="U307" s="126" t="n">
        <f aca="false">I307/$R$3</f>
        <v>0</v>
      </c>
      <c r="V307" s="126" t="n">
        <f aca="false">M307/$R$3</f>
        <v>0</v>
      </c>
      <c r="W307" s="126" t="n">
        <f aca="false">N307/$R$3</f>
        <v>-1376.857</v>
      </c>
    </row>
    <row r="308" customFormat="false" ht="12.75" hidden="false" customHeight="false" outlineLevel="0" collapsed="false">
      <c r="A308" s="120" t="n">
        <f aca="false">A307+1</f>
        <v>37194</v>
      </c>
      <c r="B308" s="131" t="str">
        <f aca="false">INDEX('[4]Master Data'!$A$2:$B$8,MATCH(WEEKDAY('TBS CRD MTM'!A308,3),'[4]Master Data'!$A$2:$A$8,0),2)</f>
        <v>T</v>
      </c>
      <c r="D308" s="124" t="n">
        <v>0</v>
      </c>
      <c r="E308" s="124" t="n">
        <v>0</v>
      </c>
      <c r="F308" s="124" t="n">
        <v>0</v>
      </c>
      <c r="G308" s="124" t="n">
        <v>0</v>
      </c>
      <c r="I308" s="124" t="n">
        <f aca="false">IF(MONTH($A308)=MONTH($A307),IF(G308=0,I307,G308),G308)</f>
        <v>0</v>
      </c>
      <c r="J308" s="124" t="n">
        <f aca="false">IF(MONTH($A308)=MONTH($A307),SUM(I308-I307),I308)</f>
        <v>0</v>
      </c>
      <c r="K308" s="124" t="n">
        <f aca="false">IF(WEEKDAY(A308,3)&gt;4,0,(IF(A308&lt;K$2,0,IF(A308&lt;=K$3,1,0))))</f>
        <v>1</v>
      </c>
      <c r="L308" s="124" t="n">
        <f aca="false">J308*K308</f>
        <v>0</v>
      </c>
      <c r="M308" s="124" t="n">
        <f aca="false">SUM(J$280:J308)</f>
        <v>0</v>
      </c>
      <c r="N308" s="124" t="n">
        <f aca="false">SUM(J$6:J308)</f>
        <v>-1376857</v>
      </c>
      <c r="P308" s="148" t="n">
        <f aca="false">D308/P$3</f>
        <v>0</v>
      </c>
      <c r="Q308" s="124" t="n">
        <f aca="false">E308/P$3</f>
        <v>0</v>
      </c>
      <c r="R308" s="124" t="n">
        <f aca="false">F308/R$3</f>
        <v>0</v>
      </c>
      <c r="S308" s="126" t="n">
        <f aca="false">J308/$R$3</f>
        <v>0</v>
      </c>
      <c r="T308" s="126" t="n">
        <f aca="false">L308/$R$3</f>
        <v>0</v>
      </c>
      <c r="U308" s="126" t="n">
        <f aca="false">I308/$R$3</f>
        <v>0</v>
      </c>
      <c r="V308" s="126" t="n">
        <f aca="false">M308/$R$3</f>
        <v>0</v>
      </c>
      <c r="W308" s="126" t="n">
        <f aca="false">N308/$R$3</f>
        <v>-1376.857</v>
      </c>
    </row>
    <row r="309" customFormat="false" ht="12.75" hidden="false" customHeight="false" outlineLevel="0" collapsed="false">
      <c r="A309" s="120" t="n">
        <f aca="false">A308+1</f>
        <v>37195</v>
      </c>
      <c r="B309" s="131" t="str">
        <f aca="false">INDEX('[4]Master Data'!$A$2:$B$8,MATCH(WEEKDAY('TBS CRD MTM'!A309,3),'[4]Master Data'!$A$2:$A$8,0),2)</f>
        <v>W</v>
      </c>
      <c r="D309" s="124" t="n">
        <v>0</v>
      </c>
      <c r="E309" s="124" t="n">
        <v>0</v>
      </c>
      <c r="F309" s="124" t="n">
        <v>0</v>
      </c>
      <c r="G309" s="124" t="n">
        <v>0</v>
      </c>
      <c r="I309" s="124" t="n">
        <f aca="false">IF(MONTH($A309)=MONTH($A308),IF(G309=0,I308,G309),G309)</f>
        <v>0</v>
      </c>
      <c r="J309" s="124" t="n">
        <f aca="false">IF(MONTH($A309)=MONTH($A308),SUM(I309-I308),I309)</f>
        <v>0</v>
      </c>
      <c r="K309" s="124" t="n">
        <f aca="false">IF(WEEKDAY(A309,3)&gt;4,0,(IF(A309&lt;K$2,0,IF(A309&lt;=K$3,1,0))))</f>
        <v>1</v>
      </c>
      <c r="L309" s="124" t="n">
        <f aca="false">J309*K309</f>
        <v>0</v>
      </c>
      <c r="M309" s="124" t="n">
        <f aca="false">SUM(J$280:J309)</f>
        <v>0</v>
      </c>
      <c r="N309" s="124" t="n">
        <f aca="false">SUM(J$6:J309)</f>
        <v>-1376857</v>
      </c>
      <c r="P309" s="148" t="n">
        <f aca="false">D309/P$3</f>
        <v>0</v>
      </c>
      <c r="Q309" s="124" t="n">
        <f aca="false">E309/P$3</f>
        <v>0</v>
      </c>
      <c r="R309" s="124" t="n">
        <f aca="false">F309/R$3</f>
        <v>0</v>
      </c>
      <c r="S309" s="126" t="n">
        <f aca="false">J309/$R$3</f>
        <v>0</v>
      </c>
      <c r="T309" s="126" t="n">
        <f aca="false">L309/$R$3</f>
        <v>0</v>
      </c>
      <c r="U309" s="126" t="n">
        <f aca="false">I309/$R$3</f>
        <v>0</v>
      </c>
      <c r="V309" s="126" t="n">
        <f aca="false">M309/$R$3</f>
        <v>0</v>
      </c>
      <c r="W309" s="126" t="n">
        <f aca="false">N309/$R$3</f>
        <v>-1376.857</v>
      </c>
    </row>
    <row r="310" customFormat="false" ht="12.75" hidden="false" customHeight="false" outlineLevel="0" collapsed="false">
      <c r="A310" s="120" t="n">
        <f aca="false">A309+1</f>
        <v>37196</v>
      </c>
      <c r="B310" s="131" t="str">
        <f aca="false">INDEX('[4]Master Data'!$A$2:$B$8,MATCH(WEEKDAY('TBS CRD MTM'!A310,3),'[4]Master Data'!$A$2:$A$8,0),2)</f>
        <v>Th</v>
      </c>
      <c r="D310" s="124" t="n">
        <v>0</v>
      </c>
      <c r="E310" s="124" t="n">
        <v>0</v>
      </c>
      <c r="F310" s="124" t="n">
        <v>0</v>
      </c>
      <c r="G310" s="124" t="n">
        <v>0</v>
      </c>
      <c r="I310" s="124" t="n">
        <f aca="false">IF(MONTH($A310)=MONTH($A309),IF(G310=0,I309,G310),G310)</f>
        <v>0</v>
      </c>
      <c r="J310" s="124" t="n">
        <f aca="false">IF(MONTH($A310)=MONTH($A309),SUM(I310-I309),I310)</f>
        <v>0</v>
      </c>
      <c r="K310" s="124" t="n">
        <f aca="false">IF(WEEKDAY(A310,3)&gt;4,0,(IF(A310&lt;K$2,0,IF(A310&lt;=K$3,1,0))))</f>
        <v>1</v>
      </c>
      <c r="L310" s="124" t="n">
        <f aca="false">J310*K310</f>
        <v>0</v>
      </c>
      <c r="M310" s="124" t="n">
        <f aca="false">SUM(J$280:J310)</f>
        <v>0</v>
      </c>
      <c r="N310" s="124" t="n">
        <f aca="false">SUM(J$6:J310)</f>
        <v>-1376857</v>
      </c>
      <c r="P310" s="148" t="n">
        <f aca="false">D310/P$3</f>
        <v>0</v>
      </c>
      <c r="Q310" s="124" t="n">
        <f aca="false">E310/P$3</f>
        <v>0</v>
      </c>
      <c r="R310" s="124" t="n">
        <f aca="false">F310/R$3</f>
        <v>0</v>
      </c>
      <c r="S310" s="126" t="n">
        <f aca="false">J310/$R$3</f>
        <v>0</v>
      </c>
      <c r="T310" s="126" t="n">
        <f aca="false">L310/$R$3</f>
        <v>0</v>
      </c>
      <c r="U310" s="126" t="n">
        <f aca="false">I310/$R$3</f>
        <v>0</v>
      </c>
      <c r="V310" s="126" t="n">
        <f aca="false">M310/$R$3</f>
        <v>0</v>
      </c>
      <c r="W310" s="126" t="n">
        <f aca="false">N310/$R$3</f>
        <v>-1376.857</v>
      </c>
    </row>
    <row r="311" customFormat="false" ht="12.75" hidden="false" customHeight="false" outlineLevel="0" collapsed="false">
      <c r="A311" s="120" t="n">
        <f aca="false">A310+1</f>
        <v>37197</v>
      </c>
      <c r="B311" s="131" t="str">
        <f aca="false">INDEX('[4]Master Data'!$A$2:$B$8,MATCH(WEEKDAY('TBS CRD MTM'!A311,3),'[4]Master Data'!$A$2:$A$8,0),2)</f>
        <v>F</v>
      </c>
      <c r="D311" s="124" t="n">
        <v>0</v>
      </c>
      <c r="E311" s="124" t="n">
        <v>0</v>
      </c>
      <c r="F311" s="124" t="n">
        <v>0</v>
      </c>
      <c r="G311" s="124" t="n">
        <v>0</v>
      </c>
      <c r="I311" s="124" t="n">
        <f aca="false">IF(MONTH($A311)=MONTH($A310),IF(G311=0,I310,G311),G311)</f>
        <v>0</v>
      </c>
      <c r="J311" s="124" t="n">
        <f aca="false">IF(MONTH($A311)=MONTH($A310),SUM(I311-I310),I311)</f>
        <v>0</v>
      </c>
      <c r="K311" s="124" t="n">
        <f aca="false">IF(WEEKDAY(A311,3)&gt;4,0,(IF(A311&lt;K$2,0,IF(A311&lt;=K$3,1,0))))</f>
        <v>0</v>
      </c>
      <c r="L311" s="124" t="n">
        <f aca="false">J311*K311</f>
        <v>0</v>
      </c>
      <c r="M311" s="124" t="n">
        <f aca="false">SUM(J$280:J311)</f>
        <v>0</v>
      </c>
      <c r="N311" s="124" t="n">
        <f aca="false">SUM(J$6:J311)</f>
        <v>-1376857</v>
      </c>
      <c r="P311" s="148" t="n">
        <f aca="false">D311/P$3</f>
        <v>0</v>
      </c>
      <c r="Q311" s="124" t="n">
        <f aca="false">E311/P$3</f>
        <v>0</v>
      </c>
      <c r="R311" s="124" t="n">
        <f aca="false">F311/R$3</f>
        <v>0</v>
      </c>
      <c r="S311" s="126" t="n">
        <f aca="false">J311/$R$3</f>
        <v>0</v>
      </c>
      <c r="T311" s="126" t="n">
        <f aca="false">L311/$R$3</f>
        <v>0</v>
      </c>
      <c r="U311" s="126" t="n">
        <f aca="false">I311/$R$3</f>
        <v>0</v>
      </c>
      <c r="V311" s="126" t="n">
        <f aca="false">M311/$R$3</f>
        <v>0</v>
      </c>
      <c r="W311" s="126" t="n">
        <f aca="false">N311/$R$3</f>
        <v>-1376.857</v>
      </c>
    </row>
    <row r="312" customFormat="false" ht="12.75" hidden="false" customHeight="false" outlineLevel="0" collapsed="false">
      <c r="A312" s="120" t="n">
        <f aca="false">A311+1</f>
        <v>37198</v>
      </c>
      <c r="B312" s="131" t="str">
        <f aca="false">INDEX('[4]Master Data'!$A$2:$B$8,MATCH(WEEKDAY('TBS CRD MTM'!A312,3),'[4]Master Data'!$A$2:$A$8,0),2)</f>
        <v>Sa</v>
      </c>
      <c r="D312" s="124" t="n">
        <v>0</v>
      </c>
      <c r="E312" s="124" t="n">
        <v>0</v>
      </c>
      <c r="F312" s="124" t="n">
        <v>0</v>
      </c>
      <c r="G312" s="124" t="n">
        <v>0</v>
      </c>
      <c r="I312" s="124" t="n">
        <f aca="false">IF(MONTH($A312)=MONTH($A311),IF(G312=0,I311,G312),G312)</f>
        <v>0</v>
      </c>
      <c r="J312" s="124" t="n">
        <f aca="false">IF(MONTH($A312)=MONTH($A311),SUM(I312-I311),I312)</f>
        <v>0</v>
      </c>
      <c r="K312" s="124" t="n">
        <f aca="false">IF(WEEKDAY(A312,3)&gt;4,0,(IF(A312&lt;K$2,0,IF(A312&lt;=K$3,1,0))))</f>
        <v>0</v>
      </c>
      <c r="L312" s="124" t="n">
        <f aca="false">J312*K312</f>
        <v>0</v>
      </c>
      <c r="M312" s="124" t="n">
        <f aca="false">SUM(J$280:J312)</f>
        <v>0</v>
      </c>
      <c r="N312" s="124" t="n">
        <f aca="false">SUM(J$6:J312)</f>
        <v>-1376857</v>
      </c>
      <c r="P312" s="148" t="n">
        <f aca="false">D312/P$3</f>
        <v>0</v>
      </c>
      <c r="Q312" s="124" t="n">
        <f aca="false">E312/P$3</f>
        <v>0</v>
      </c>
      <c r="R312" s="124" t="n">
        <f aca="false">F312/R$3</f>
        <v>0</v>
      </c>
      <c r="S312" s="126" t="n">
        <f aca="false">J312/$R$3</f>
        <v>0</v>
      </c>
      <c r="T312" s="126" t="n">
        <f aca="false">L312/$R$3</f>
        <v>0</v>
      </c>
      <c r="U312" s="126" t="n">
        <f aca="false">I312/$R$3</f>
        <v>0</v>
      </c>
      <c r="V312" s="126" t="n">
        <f aca="false">M312/$R$3</f>
        <v>0</v>
      </c>
      <c r="W312" s="126" t="n">
        <f aca="false">N312/$R$3</f>
        <v>-1376.857</v>
      </c>
    </row>
    <row r="313" customFormat="false" ht="12.75" hidden="false" customHeight="false" outlineLevel="0" collapsed="false">
      <c r="A313" s="120" t="n">
        <f aca="false">A312+1</f>
        <v>37199</v>
      </c>
      <c r="B313" s="131" t="str">
        <f aca="false">INDEX('[4]Master Data'!$A$2:$B$8,MATCH(WEEKDAY('TBS CRD MTM'!A313,3),'[4]Master Data'!$A$2:$A$8,0),2)</f>
        <v>Su</v>
      </c>
      <c r="D313" s="124" t="n">
        <v>0</v>
      </c>
      <c r="E313" s="124" t="n">
        <v>0</v>
      </c>
      <c r="F313" s="124" t="n">
        <v>0</v>
      </c>
      <c r="G313" s="124" t="n">
        <v>0</v>
      </c>
      <c r="I313" s="124" t="n">
        <f aca="false">IF(MONTH($A313)=MONTH($A312),IF(G313=0,I312,G313),G313)</f>
        <v>0</v>
      </c>
      <c r="J313" s="124" t="n">
        <f aca="false">IF(MONTH($A313)=MONTH($A312),SUM(I313-I312),I313)</f>
        <v>0</v>
      </c>
      <c r="K313" s="124" t="n">
        <f aca="false">IF(WEEKDAY(A313,3)&gt;4,0,(IF(A313&lt;K$2,0,IF(A313&lt;=K$3,1,0))))</f>
        <v>0</v>
      </c>
      <c r="L313" s="124" t="n">
        <f aca="false">J313*K313</f>
        <v>0</v>
      </c>
      <c r="M313" s="124" t="n">
        <f aca="false">SUM(J$280:J313)</f>
        <v>0</v>
      </c>
      <c r="N313" s="124" t="n">
        <f aca="false">SUM(J$6:J313)</f>
        <v>-1376857</v>
      </c>
      <c r="P313" s="148" t="n">
        <f aca="false">D313/P$3</f>
        <v>0</v>
      </c>
      <c r="Q313" s="124" t="n">
        <f aca="false">E313/P$3</f>
        <v>0</v>
      </c>
      <c r="R313" s="124" t="n">
        <f aca="false">F313/R$3</f>
        <v>0</v>
      </c>
      <c r="S313" s="126" t="n">
        <f aca="false">J313/$R$3</f>
        <v>0</v>
      </c>
      <c r="T313" s="126" t="n">
        <f aca="false">L313/$R$3</f>
        <v>0</v>
      </c>
      <c r="U313" s="126" t="n">
        <f aca="false">I313/$R$3</f>
        <v>0</v>
      </c>
      <c r="V313" s="126" t="n">
        <f aca="false">M313/$R$3</f>
        <v>0</v>
      </c>
      <c r="W313" s="126" t="n">
        <f aca="false">N313/$R$3</f>
        <v>-1376.857</v>
      </c>
    </row>
    <row r="314" customFormat="false" ht="12.75" hidden="false" customHeight="false" outlineLevel="0" collapsed="false">
      <c r="A314" s="120" t="n">
        <f aca="false">A313+1</f>
        <v>37200</v>
      </c>
      <c r="B314" s="131" t="str">
        <f aca="false">INDEX('[4]Master Data'!$A$2:$B$8,MATCH(WEEKDAY('TBS CRD MTM'!A314,3),'[4]Master Data'!$A$2:$A$8,0),2)</f>
        <v>M</v>
      </c>
      <c r="D314" s="124" t="n">
        <v>0</v>
      </c>
      <c r="E314" s="124" t="n">
        <v>0</v>
      </c>
      <c r="F314" s="124" t="n">
        <v>0</v>
      </c>
      <c r="G314" s="124" t="n">
        <v>0</v>
      </c>
      <c r="I314" s="124" t="n">
        <f aca="false">IF(MONTH($A314)=MONTH($A313),IF(G314=0,I313,G314),G314)</f>
        <v>0</v>
      </c>
      <c r="J314" s="124" t="n">
        <f aca="false">IF(MONTH($A314)=MONTH($A313),SUM(I314-I313),I314)</f>
        <v>0</v>
      </c>
      <c r="K314" s="124" t="n">
        <f aca="false">IF(WEEKDAY(A314,3)&gt;4,0,(IF(A314&lt;K$2,0,IF(A314&lt;=K$3,1,0))))</f>
        <v>0</v>
      </c>
      <c r="L314" s="124" t="n">
        <f aca="false">J314*K314</f>
        <v>0</v>
      </c>
      <c r="M314" s="124" t="n">
        <f aca="false">SUM(J$280:J314)</f>
        <v>0</v>
      </c>
      <c r="N314" s="124" t="n">
        <f aca="false">SUM(J$6:J314)</f>
        <v>-1376857</v>
      </c>
      <c r="P314" s="148" t="n">
        <f aca="false">D314/P$3</f>
        <v>0</v>
      </c>
      <c r="Q314" s="124" t="n">
        <f aca="false">E314/P$3</f>
        <v>0</v>
      </c>
      <c r="R314" s="124" t="n">
        <f aca="false">F314/R$3</f>
        <v>0</v>
      </c>
      <c r="S314" s="126" t="n">
        <f aca="false">J314/$R$3</f>
        <v>0</v>
      </c>
      <c r="T314" s="126" t="n">
        <f aca="false">L314/$R$3</f>
        <v>0</v>
      </c>
      <c r="U314" s="126" t="n">
        <f aca="false">I314/$R$3</f>
        <v>0</v>
      </c>
      <c r="V314" s="126" t="n">
        <f aca="false">M314/$R$3</f>
        <v>0</v>
      </c>
      <c r="W314" s="126" t="n">
        <f aca="false">N314/$R$3</f>
        <v>-1376.857</v>
      </c>
    </row>
    <row r="315" customFormat="false" ht="12.75" hidden="false" customHeight="false" outlineLevel="0" collapsed="false">
      <c r="A315" s="120" t="n">
        <f aca="false">A314+1</f>
        <v>37201</v>
      </c>
      <c r="B315" s="131" t="str">
        <f aca="false">INDEX('[4]Master Data'!$A$2:$B$8,MATCH(WEEKDAY('TBS CRD MTM'!A315,3),'[4]Master Data'!$A$2:$A$8,0),2)</f>
        <v>T</v>
      </c>
      <c r="D315" s="124" t="n">
        <v>0</v>
      </c>
      <c r="E315" s="124" t="n">
        <v>0</v>
      </c>
      <c r="F315" s="124" t="n">
        <v>0</v>
      </c>
      <c r="G315" s="124" t="n">
        <v>0</v>
      </c>
      <c r="I315" s="124" t="n">
        <f aca="false">IF(MONTH($A315)=MONTH($A314),IF(G315=0,I314,G315),G315)</f>
        <v>0</v>
      </c>
      <c r="J315" s="124" t="n">
        <f aca="false">IF(MONTH($A315)=MONTH($A314),SUM(I315-I314),I315)</f>
        <v>0</v>
      </c>
      <c r="K315" s="124" t="n">
        <f aca="false">IF(WEEKDAY(A315,3)&gt;4,0,(IF(A315&lt;K$2,0,IF(A315&lt;=K$3,1,0))))</f>
        <v>0</v>
      </c>
      <c r="L315" s="124" t="n">
        <f aca="false">J315*K315</f>
        <v>0</v>
      </c>
      <c r="M315" s="124" t="n">
        <f aca="false">SUM(J$280:J315)</f>
        <v>0</v>
      </c>
      <c r="N315" s="124" t="n">
        <f aca="false">SUM(J$6:J315)</f>
        <v>-1376857</v>
      </c>
      <c r="P315" s="148" t="n">
        <f aca="false">D315/P$3</f>
        <v>0</v>
      </c>
      <c r="Q315" s="124" t="n">
        <f aca="false">E315/P$3</f>
        <v>0</v>
      </c>
      <c r="R315" s="124" t="n">
        <f aca="false">F315/R$3</f>
        <v>0</v>
      </c>
      <c r="S315" s="126" t="n">
        <f aca="false">J315/$R$3</f>
        <v>0</v>
      </c>
      <c r="T315" s="126" t="n">
        <f aca="false">L315/$R$3</f>
        <v>0</v>
      </c>
      <c r="U315" s="126" t="n">
        <f aca="false">I315/$R$3</f>
        <v>0</v>
      </c>
      <c r="V315" s="126" t="n">
        <f aca="false">M315/$R$3</f>
        <v>0</v>
      </c>
      <c r="W315" s="126" t="n">
        <f aca="false">N315/$R$3</f>
        <v>-1376.857</v>
      </c>
    </row>
    <row r="316" customFormat="false" ht="12.75" hidden="false" customHeight="false" outlineLevel="0" collapsed="false">
      <c r="A316" s="120" t="n">
        <f aca="false">A315+1</f>
        <v>37202</v>
      </c>
      <c r="B316" s="131" t="str">
        <f aca="false">INDEX('[4]Master Data'!$A$2:$B$8,MATCH(WEEKDAY('TBS CRD MTM'!A316,3),'[4]Master Data'!$A$2:$A$8,0),2)</f>
        <v>W</v>
      </c>
      <c r="D316" s="124" t="n">
        <v>0</v>
      </c>
      <c r="E316" s="124" t="n">
        <v>0</v>
      </c>
      <c r="F316" s="124" t="n">
        <v>0</v>
      </c>
      <c r="G316" s="124" t="n">
        <v>0</v>
      </c>
      <c r="I316" s="124" t="n">
        <f aca="false">IF(MONTH($A316)=MONTH($A315),IF(G316=0,I315,G316),G316)</f>
        <v>0</v>
      </c>
      <c r="J316" s="124" t="n">
        <f aca="false">IF(MONTH($A316)=MONTH($A315),SUM(I316-I315),I316)</f>
        <v>0</v>
      </c>
      <c r="K316" s="124" t="n">
        <f aca="false">IF(WEEKDAY(A316,3)&gt;4,0,(IF(A316&lt;K$2,0,IF(A316&lt;=K$3,1,0))))</f>
        <v>0</v>
      </c>
      <c r="L316" s="124" t="n">
        <f aca="false">J316*K316</f>
        <v>0</v>
      </c>
      <c r="M316" s="124" t="n">
        <f aca="false">SUM(J$280:J316)</f>
        <v>0</v>
      </c>
      <c r="N316" s="124" t="n">
        <f aca="false">SUM(J$6:J316)</f>
        <v>-1376857</v>
      </c>
      <c r="P316" s="148" t="n">
        <f aca="false">D316/P$3</f>
        <v>0</v>
      </c>
      <c r="Q316" s="124" t="n">
        <f aca="false">E316/P$3</f>
        <v>0</v>
      </c>
      <c r="R316" s="124" t="n">
        <f aca="false">F316/R$3</f>
        <v>0</v>
      </c>
      <c r="S316" s="126" t="n">
        <f aca="false">J316/$R$3</f>
        <v>0</v>
      </c>
      <c r="T316" s="126" t="n">
        <f aca="false">L316/$R$3</f>
        <v>0</v>
      </c>
      <c r="U316" s="126" t="n">
        <f aca="false">I316/$R$3</f>
        <v>0</v>
      </c>
      <c r="V316" s="126" t="n">
        <f aca="false">M316/$R$3</f>
        <v>0</v>
      </c>
      <c r="W316" s="126" t="n">
        <f aca="false">N316/$R$3</f>
        <v>-1376.857</v>
      </c>
    </row>
    <row r="317" customFormat="false" ht="12.75" hidden="false" customHeight="false" outlineLevel="0" collapsed="false">
      <c r="A317" s="120" t="n">
        <f aca="false">A316+1</f>
        <v>37203</v>
      </c>
      <c r="B317" s="131" t="str">
        <f aca="false">INDEX('[4]Master Data'!$A$2:$B$8,MATCH(WEEKDAY('TBS CRD MTM'!A317,3),'[4]Master Data'!$A$2:$A$8,0),2)</f>
        <v>Th</v>
      </c>
      <c r="D317" s="124" t="n">
        <v>0</v>
      </c>
      <c r="E317" s="124" t="n">
        <v>0</v>
      </c>
      <c r="F317" s="124" t="n">
        <v>0</v>
      </c>
      <c r="G317" s="124" t="n">
        <v>0</v>
      </c>
      <c r="I317" s="124" t="n">
        <f aca="false">IF(MONTH($A317)=MONTH($A316),IF(G317=0,I316,G317),G317)</f>
        <v>0</v>
      </c>
      <c r="J317" s="124" t="n">
        <f aca="false">IF(MONTH($A317)=MONTH($A316),SUM(I317-I316),I317)</f>
        <v>0</v>
      </c>
      <c r="K317" s="124" t="n">
        <f aca="false">IF(WEEKDAY(A317,3)&gt;4,0,(IF(A317&lt;K$2,0,IF(A317&lt;=K$3,1,0))))</f>
        <v>0</v>
      </c>
      <c r="L317" s="124" t="n">
        <f aca="false">J317*K317</f>
        <v>0</v>
      </c>
      <c r="M317" s="124" t="n">
        <f aca="false">SUM(J$280:J317)</f>
        <v>0</v>
      </c>
      <c r="N317" s="124" t="n">
        <f aca="false">SUM(J$6:J317)</f>
        <v>-1376857</v>
      </c>
      <c r="P317" s="148" t="n">
        <f aca="false">D317/P$3</f>
        <v>0</v>
      </c>
      <c r="Q317" s="124" t="n">
        <f aca="false">E317/P$3</f>
        <v>0</v>
      </c>
      <c r="R317" s="124" t="n">
        <f aca="false">F317/R$3</f>
        <v>0</v>
      </c>
      <c r="S317" s="126" t="n">
        <f aca="false">J317/$R$3</f>
        <v>0</v>
      </c>
      <c r="T317" s="126" t="n">
        <f aca="false">L317/$R$3</f>
        <v>0</v>
      </c>
      <c r="U317" s="126" t="n">
        <f aca="false">I317/$R$3</f>
        <v>0</v>
      </c>
      <c r="V317" s="126" t="n">
        <f aca="false">M317/$R$3</f>
        <v>0</v>
      </c>
      <c r="W317" s="126" t="n">
        <f aca="false">N317/$R$3</f>
        <v>-1376.857</v>
      </c>
    </row>
    <row r="318" customFormat="false" ht="12.75" hidden="false" customHeight="false" outlineLevel="0" collapsed="false">
      <c r="A318" s="120" t="n">
        <f aca="false">A317+1</f>
        <v>37204</v>
      </c>
      <c r="B318" s="131" t="str">
        <f aca="false">INDEX('[4]Master Data'!$A$2:$B$8,MATCH(WEEKDAY('TBS CRD MTM'!A318,3),'[4]Master Data'!$A$2:$A$8,0),2)</f>
        <v>F</v>
      </c>
      <c r="D318" s="124" t="n">
        <v>0</v>
      </c>
      <c r="E318" s="124" t="n">
        <v>0</v>
      </c>
      <c r="F318" s="124" t="n">
        <v>0</v>
      </c>
      <c r="G318" s="124" t="n">
        <v>0</v>
      </c>
      <c r="I318" s="124" t="n">
        <f aca="false">IF(MONTH($A318)=MONTH($A317),IF(G318=0,I317,G318),G318)</f>
        <v>0</v>
      </c>
      <c r="J318" s="124" t="n">
        <f aca="false">IF(MONTH($A318)=MONTH($A317),SUM(I318-I317),I318)</f>
        <v>0</v>
      </c>
      <c r="K318" s="124" t="n">
        <f aca="false">IF(WEEKDAY(A318,3)&gt;4,0,(IF(A318&lt;K$2,0,IF(A318&lt;=K$3,1,0))))</f>
        <v>0</v>
      </c>
      <c r="L318" s="124" t="n">
        <f aca="false">J318*K318</f>
        <v>0</v>
      </c>
      <c r="M318" s="124" t="n">
        <f aca="false">SUM(J$280:J318)</f>
        <v>0</v>
      </c>
      <c r="N318" s="124" t="n">
        <f aca="false">SUM(J$6:J318)</f>
        <v>-1376857</v>
      </c>
      <c r="P318" s="148" t="n">
        <f aca="false">D318/P$3</f>
        <v>0</v>
      </c>
      <c r="Q318" s="124" t="n">
        <f aca="false">E318/P$3</f>
        <v>0</v>
      </c>
      <c r="R318" s="124" t="n">
        <f aca="false">F318/R$3</f>
        <v>0</v>
      </c>
      <c r="S318" s="126" t="n">
        <f aca="false">J318/$R$3</f>
        <v>0</v>
      </c>
      <c r="T318" s="126" t="n">
        <f aca="false">L318/$R$3</f>
        <v>0</v>
      </c>
      <c r="U318" s="126" t="n">
        <f aca="false">I318/$R$3</f>
        <v>0</v>
      </c>
      <c r="V318" s="126" t="n">
        <f aca="false">M318/$R$3</f>
        <v>0</v>
      </c>
      <c r="W318" s="126" t="n">
        <f aca="false">N318/$R$3</f>
        <v>-1376.857</v>
      </c>
    </row>
    <row r="319" customFormat="false" ht="12.75" hidden="false" customHeight="false" outlineLevel="0" collapsed="false">
      <c r="A319" s="120" t="n">
        <f aca="false">A318+1</f>
        <v>37205</v>
      </c>
      <c r="B319" s="131" t="str">
        <f aca="false">INDEX('[4]Master Data'!$A$2:$B$8,MATCH(WEEKDAY('TBS CRD MTM'!A319,3),'[4]Master Data'!$A$2:$A$8,0),2)</f>
        <v>Sa</v>
      </c>
      <c r="D319" s="124" t="n">
        <v>0</v>
      </c>
      <c r="E319" s="124" t="n">
        <v>0</v>
      </c>
      <c r="F319" s="124" t="n">
        <v>0</v>
      </c>
      <c r="G319" s="124" t="n">
        <v>0</v>
      </c>
      <c r="I319" s="124" t="n">
        <f aca="false">IF(MONTH($A319)=MONTH($A318),IF(G319=0,I318,G319),G319)</f>
        <v>0</v>
      </c>
      <c r="J319" s="124" t="n">
        <f aca="false">IF(MONTH($A319)=MONTH($A318),SUM(I319-I318),I319)</f>
        <v>0</v>
      </c>
      <c r="K319" s="124" t="n">
        <f aca="false">IF(WEEKDAY(A319,3)&gt;4,0,(IF(A319&lt;K$2,0,IF(A319&lt;=K$3,1,0))))</f>
        <v>0</v>
      </c>
      <c r="L319" s="124" t="n">
        <f aca="false">J319*K319</f>
        <v>0</v>
      </c>
      <c r="M319" s="124" t="n">
        <f aca="false">SUM(J$280:J319)</f>
        <v>0</v>
      </c>
      <c r="N319" s="124" t="n">
        <f aca="false">SUM(J$6:J319)</f>
        <v>-1376857</v>
      </c>
      <c r="P319" s="148" t="n">
        <f aca="false">D319/P$3</f>
        <v>0</v>
      </c>
      <c r="Q319" s="124" t="n">
        <f aca="false">E319/P$3</f>
        <v>0</v>
      </c>
      <c r="R319" s="124" t="n">
        <f aca="false">F319/R$3</f>
        <v>0</v>
      </c>
      <c r="S319" s="126" t="n">
        <f aca="false">J319/$R$3</f>
        <v>0</v>
      </c>
      <c r="T319" s="126" t="n">
        <f aca="false">L319/$R$3</f>
        <v>0</v>
      </c>
      <c r="U319" s="126" t="n">
        <f aca="false">I319/$R$3</f>
        <v>0</v>
      </c>
      <c r="V319" s="126" t="n">
        <f aca="false">M319/$R$3</f>
        <v>0</v>
      </c>
      <c r="W319" s="126" t="n">
        <f aca="false">N319/$R$3</f>
        <v>-1376.857</v>
      </c>
    </row>
    <row r="320" customFormat="false" ht="12.75" hidden="false" customHeight="false" outlineLevel="0" collapsed="false">
      <c r="A320" s="120" t="n">
        <f aca="false">A319+1</f>
        <v>37206</v>
      </c>
      <c r="B320" s="131" t="str">
        <f aca="false">INDEX('[4]Master Data'!$A$2:$B$8,MATCH(WEEKDAY('TBS CRD MTM'!A320,3),'[4]Master Data'!$A$2:$A$8,0),2)</f>
        <v>Su</v>
      </c>
      <c r="D320" s="124" t="n">
        <v>0</v>
      </c>
      <c r="E320" s="124" t="n">
        <v>0</v>
      </c>
      <c r="F320" s="124" t="n">
        <v>0</v>
      </c>
      <c r="G320" s="124" t="n">
        <v>0</v>
      </c>
      <c r="I320" s="124" t="n">
        <f aca="false">IF(MONTH($A320)=MONTH($A319),IF(G320=0,I319,G320),G320)</f>
        <v>0</v>
      </c>
      <c r="J320" s="124" t="n">
        <f aca="false">IF(MONTH($A320)=MONTH($A319),SUM(I320-I319),I320)</f>
        <v>0</v>
      </c>
      <c r="K320" s="124" t="n">
        <f aca="false">IF(WEEKDAY(A320,3)&gt;4,0,(IF(A320&lt;K$2,0,IF(A320&lt;=K$3,1,0))))</f>
        <v>0</v>
      </c>
      <c r="L320" s="124" t="n">
        <f aca="false">J320*K320</f>
        <v>0</v>
      </c>
      <c r="M320" s="124" t="n">
        <f aca="false">SUM(J$280:J320)</f>
        <v>0</v>
      </c>
      <c r="N320" s="124" t="n">
        <f aca="false">SUM(J$6:J320)</f>
        <v>-1376857</v>
      </c>
      <c r="P320" s="148" t="n">
        <f aca="false">D320/P$3</f>
        <v>0</v>
      </c>
      <c r="Q320" s="124" t="n">
        <f aca="false">E320/P$3</f>
        <v>0</v>
      </c>
      <c r="R320" s="124" t="n">
        <f aca="false">F320/R$3</f>
        <v>0</v>
      </c>
      <c r="S320" s="126" t="n">
        <f aca="false">J320/$R$3</f>
        <v>0</v>
      </c>
      <c r="T320" s="126" t="n">
        <f aca="false">L320/$R$3</f>
        <v>0</v>
      </c>
      <c r="U320" s="126" t="n">
        <f aca="false">I320/$R$3</f>
        <v>0</v>
      </c>
      <c r="V320" s="126" t="n">
        <f aca="false">M320/$R$3</f>
        <v>0</v>
      </c>
      <c r="W320" s="126" t="n">
        <f aca="false">N320/$R$3</f>
        <v>-1376.857</v>
      </c>
    </row>
    <row r="321" customFormat="false" ht="12.75" hidden="false" customHeight="false" outlineLevel="0" collapsed="false">
      <c r="A321" s="120" t="n">
        <f aca="false">A320+1</f>
        <v>37207</v>
      </c>
      <c r="B321" s="131" t="str">
        <f aca="false">INDEX('[4]Master Data'!$A$2:$B$8,MATCH(WEEKDAY('TBS CRD MTM'!A321,3),'[4]Master Data'!$A$2:$A$8,0),2)</f>
        <v>M</v>
      </c>
      <c r="D321" s="124" t="n">
        <v>0</v>
      </c>
      <c r="E321" s="124" t="n">
        <v>0</v>
      </c>
      <c r="F321" s="124" t="n">
        <v>0</v>
      </c>
      <c r="G321" s="124" t="n">
        <v>0</v>
      </c>
      <c r="I321" s="124" t="n">
        <f aca="false">IF(MONTH($A321)=MONTH($A320),IF(G321=0,I320,G321),G321)</f>
        <v>0</v>
      </c>
      <c r="J321" s="124" t="n">
        <f aca="false">IF(MONTH($A321)=MONTH($A320),SUM(I321-I320),I321)</f>
        <v>0</v>
      </c>
      <c r="K321" s="124" t="n">
        <f aca="false">IF(WEEKDAY(A321,3)&gt;4,0,(IF(A321&lt;K$2,0,IF(A321&lt;=K$3,1,0))))</f>
        <v>0</v>
      </c>
      <c r="L321" s="124" t="n">
        <f aca="false">J321*K321</f>
        <v>0</v>
      </c>
      <c r="M321" s="124" t="n">
        <f aca="false">SUM(J$280:J321)</f>
        <v>0</v>
      </c>
      <c r="N321" s="124" t="n">
        <f aca="false">SUM(J$6:J321)</f>
        <v>-1376857</v>
      </c>
      <c r="P321" s="148" t="n">
        <f aca="false">D321/P$3</f>
        <v>0</v>
      </c>
      <c r="Q321" s="124" t="n">
        <f aca="false">E321/P$3</f>
        <v>0</v>
      </c>
      <c r="R321" s="124" t="n">
        <f aca="false">F321/R$3</f>
        <v>0</v>
      </c>
      <c r="S321" s="126" t="n">
        <f aca="false">J321/$R$3</f>
        <v>0</v>
      </c>
      <c r="T321" s="126" t="n">
        <f aca="false">L321/$R$3</f>
        <v>0</v>
      </c>
      <c r="U321" s="126" t="n">
        <f aca="false">I321/$R$3</f>
        <v>0</v>
      </c>
      <c r="V321" s="126" t="n">
        <f aca="false">M321/$R$3</f>
        <v>0</v>
      </c>
      <c r="W321" s="126" t="n">
        <f aca="false">N321/$R$3</f>
        <v>-1376.857</v>
      </c>
    </row>
    <row r="322" customFormat="false" ht="12.75" hidden="false" customHeight="false" outlineLevel="0" collapsed="false">
      <c r="A322" s="120" t="n">
        <f aca="false">A321+1</f>
        <v>37208</v>
      </c>
      <c r="B322" s="131" t="str">
        <f aca="false">INDEX('[4]Master Data'!$A$2:$B$8,MATCH(WEEKDAY('TBS CRD MTM'!A322,3),'[4]Master Data'!$A$2:$A$8,0),2)</f>
        <v>T</v>
      </c>
      <c r="D322" s="124" t="n">
        <v>0</v>
      </c>
      <c r="E322" s="124" t="n">
        <v>0</v>
      </c>
      <c r="F322" s="124" t="n">
        <v>0</v>
      </c>
      <c r="G322" s="124" t="n">
        <v>0</v>
      </c>
      <c r="I322" s="124" t="n">
        <f aca="false">IF(MONTH($A322)=MONTH($A321),IF(G322=0,I321,G322),G322)</f>
        <v>0</v>
      </c>
      <c r="J322" s="124" t="n">
        <f aca="false">IF(MONTH($A322)=MONTH($A321),SUM(I322-I321),I322)</f>
        <v>0</v>
      </c>
      <c r="K322" s="124" t="n">
        <f aca="false">IF(WEEKDAY(A322,3)&gt;4,0,(IF(A322&lt;K$2,0,IF(A322&lt;=K$3,1,0))))</f>
        <v>0</v>
      </c>
      <c r="L322" s="124" t="n">
        <f aca="false">J322*K322</f>
        <v>0</v>
      </c>
      <c r="M322" s="124" t="n">
        <f aca="false">SUM(J$280:J322)</f>
        <v>0</v>
      </c>
      <c r="N322" s="124" t="n">
        <f aca="false">SUM(J$6:J322)</f>
        <v>-1376857</v>
      </c>
      <c r="P322" s="148" t="n">
        <f aca="false">D322/P$3</f>
        <v>0</v>
      </c>
      <c r="Q322" s="124" t="n">
        <f aca="false">E322/P$3</f>
        <v>0</v>
      </c>
      <c r="R322" s="124" t="n">
        <f aca="false">F322/R$3</f>
        <v>0</v>
      </c>
      <c r="S322" s="126" t="n">
        <f aca="false">J322/$R$3</f>
        <v>0</v>
      </c>
      <c r="T322" s="126" t="n">
        <f aca="false">L322/$R$3</f>
        <v>0</v>
      </c>
      <c r="U322" s="126" t="n">
        <f aca="false">I322/$R$3</f>
        <v>0</v>
      </c>
      <c r="V322" s="126" t="n">
        <f aca="false">M322/$R$3</f>
        <v>0</v>
      </c>
      <c r="W322" s="126" t="n">
        <f aca="false">N322/$R$3</f>
        <v>-1376.857</v>
      </c>
    </row>
    <row r="323" customFormat="false" ht="12.75" hidden="false" customHeight="false" outlineLevel="0" collapsed="false">
      <c r="A323" s="120" t="n">
        <f aca="false">A322+1</f>
        <v>37209</v>
      </c>
      <c r="B323" s="131" t="str">
        <f aca="false">INDEX('[4]Master Data'!$A$2:$B$8,MATCH(WEEKDAY('TBS CRD MTM'!A323,3),'[4]Master Data'!$A$2:$A$8,0),2)</f>
        <v>W</v>
      </c>
      <c r="D323" s="124" t="n">
        <v>0</v>
      </c>
      <c r="E323" s="124" t="n">
        <v>0</v>
      </c>
      <c r="F323" s="124" t="n">
        <v>0</v>
      </c>
      <c r="G323" s="124" t="n">
        <v>0</v>
      </c>
      <c r="I323" s="124" t="n">
        <f aca="false">IF(MONTH($A323)=MONTH($A322),IF(G323=0,I322,G323),G323)</f>
        <v>0</v>
      </c>
      <c r="J323" s="124" t="n">
        <f aca="false">IF(MONTH($A323)=MONTH($A322),SUM(I323-I322),I323)</f>
        <v>0</v>
      </c>
      <c r="K323" s="124" t="n">
        <f aca="false">IF(WEEKDAY(A323,3)&gt;4,0,(IF(A323&lt;K$2,0,IF(A323&lt;=K$3,1,0))))</f>
        <v>0</v>
      </c>
      <c r="L323" s="124" t="n">
        <f aca="false">J323*K323</f>
        <v>0</v>
      </c>
      <c r="M323" s="124" t="n">
        <f aca="false">SUM(J$280:J323)</f>
        <v>0</v>
      </c>
      <c r="N323" s="124" t="n">
        <f aca="false">SUM(J$6:J323)</f>
        <v>-1376857</v>
      </c>
      <c r="P323" s="148" t="n">
        <f aca="false">D323/P$3</f>
        <v>0</v>
      </c>
      <c r="Q323" s="124" t="n">
        <f aca="false">E323/P$3</f>
        <v>0</v>
      </c>
      <c r="R323" s="124" t="n">
        <f aca="false">F323/R$3</f>
        <v>0</v>
      </c>
      <c r="S323" s="126" t="n">
        <f aca="false">J323/$R$3</f>
        <v>0</v>
      </c>
      <c r="T323" s="126" t="n">
        <f aca="false">L323/$R$3</f>
        <v>0</v>
      </c>
      <c r="U323" s="126" t="n">
        <f aca="false">I323/$R$3</f>
        <v>0</v>
      </c>
      <c r="V323" s="126" t="n">
        <f aca="false">M323/$R$3</f>
        <v>0</v>
      </c>
      <c r="W323" s="126" t="n">
        <f aca="false">N323/$R$3</f>
        <v>-1376.857</v>
      </c>
    </row>
    <row r="324" customFormat="false" ht="12.75" hidden="false" customHeight="false" outlineLevel="0" collapsed="false">
      <c r="A324" s="120" t="n">
        <f aca="false">A323+1</f>
        <v>37210</v>
      </c>
      <c r="B324" s="131" t="str">
        <f aca="false">INDEX('[4]Master Data'!$A$2:$B$8,MATCH(WEEKDAY('TBS CRD MTM'!A324,3),'[4]Master Data'!$A$2:$A$8,0),2)</f>
        <v>Th</v>
      </c>
      <c r="D324" s="124" t="n">
        <v>0</v>
      </c>
      <c r="E324" s="124" t="n">
        <v>0</v>
      </c>
      <c r="F324" s="124" t="n">
        <v>0</v>
      </c>
      <c r="G324" s="124" t="n">
        <v>0</v>
      </c>
      <c r="I324" s="124" t="n">
        <f aca="false">IF(MONTH($A324)=MONTH($A323),IF(G324=0,I323,G324),G324)</f>
        <v>0</v>
      </c>
      <c r="J324" s="124" t="n">
        <f aca="false">IF(MONTH($A324)=MONTH($A323),SUM(I324-I323),I324)</f>
        <v>0</v>
      </c>
      <c r="K324" s="124" t="n">
        <f aca="false">IF(WEEKDAY(A324,3)&gt;4,0,(IF(A324&lt;K$2,0,IF(A324&lt;=K$3,1,0))))</f>
        <v>0</v>
      </c>
      <c r="L324" s="124" t="n">
        <f aca="false">J324*K324</f>
        <v>0</v>
      </c>
      <c r="M324" s="124" t="n">
        <f aca="false">SUM(J$280:J324)</f>
        <v>0</v>
      </c>
      <c r="N324" s="124" t="n">
        <f aca="false">SUM(J$6:J324)</f>
        <v>-1376857</v>
      </c>
      <c r="P324" s="148" t="n">
        <f aca="false">D324/P$3</f>
        <v>0</v>
      </c>
      <c r="Q324" s="124" t="n">
        <f aca="false">E324/P$3</f>
        <v>0</v>
      </c>
      <c r="R324" s="124" t="n">
        <f aca="false">F324/R$3</f>
        <v>0</v>
      </c>
      <c r="S324" s="126" t="n">
        <f aca="false">J324/$R$3</f>
        <v>0</v>
      </c>
      <c r="T324" s="126" t="n">
        <f aca="false">L324/$R$3</f>
        <v>0</v>
      </c>
      <c r="U324" s="126" t="n">
        <f aca="false">I324/$R$3</f>
        <v>0</v>
      </c>
      <c r="V324" s="126" t="n">
        <f aca="false">M324/$R$3</f>
        <v>0</v>
      </c>
      <c r="W324" s="126" t="n">
        <f aca="false">N324/$R$3</f>
        <v>-1376.857</v>
      </c>
    </row>
    <row r="325" customFormat="false" ht="12.75" hidden="false" customHeight="false" outlineLevel="0" collapsed="false">
      <c r="A325" s="120" t="n">
        <f aca="false">A324+1</f>
        <v>37211</v>
      </c>
      <c r="B325" s="131" t="str">
        <f aca="false">INDEX('[4]Master Data'!$A$2:$B$8,MATCH(WEEKDAY('TBS CRD MTM'!A325,3),'[4]Master Data'!$A$2:$A$8,0),2)</f>
        <v>F</v>
      </c>
      <c r="D325" s="124" t="n">
        <v>0</v>
      </c>
      <c r="E325" s="124" t="n">
        <v>0</v>
      </c>
      <c r="F325" s="124" t="n">
        <v>0</v>
      </c>
      <c r="G325" s="124" t="n">
        <v>0</v>
      </c>
      <c r="I325" s="124" t="n">
        <f aca="false">IF(MONTH($A325)=MONTH($A324),IF(G325=0,I324,G325),G325)</f>
        <v>0</v>
      </c>
      <c r="J325" s="124" t="n">
        <f aca="false">IF(MONTH($A325)=MONTH($A324),SUM(I325-I324),I325)</f>
        <v>0</v>
      </c>
      <c r="K325" s="124" t="n">
        <f aca="false">IF(WEEKDAY(A325,3)&gt;4,0,(IF(A325&lt;K$2,0,IF(A325&lt;=K$3,1,0))))</f>
        <v>0</v>
      </c>
      <c r="L325" s="124" t="n">
        <f aca="false">J325*K325</f>
        <v>0</v>
      </c>
      <c r="M325" s="124" t="n">
        <f aca="false">SUM(J$280:J325)</f>
        <v>0</v>
      </c>
      <c r="N325" s="124" t="n">
        <f aca="false">SUM(J$6:J325)</f>
        <v>-1376857</v>
      </c>
      <c r="P325" s="148" t="n">
        <f aca="false">D325/P$3</f>
        <v>0</v>
      </c>
      <c r="Q325" s="124" t="n">
        <f aca="false">E325/P$3</f>
        <v>0</v>
      </c>
      <c r="R325" s="124" t="n">
        <f aca="false">F325/R$3</f>
        <v>0</v>
      </c>
      <c r="S325" s="126" t="n">
        <f aca="false">J325/$R$3</f>
        <v>0</v>
      </c>
      <c r="T325" s="126" t="n">
        <f aca="false">L325/$R$3</f>
        <v>0</v>
      </c>
      <c r="U325" s="126" t="n">
        <f aca="false">I325/$R$3</f>
        <v>0</v>
      </c>
      <c r="V325" s="126" t="n">
        <f aca="false">M325/$R$3</f>
        <v>0</v>
      </c>
      <c r="W325" s="126" t="n">
        <f aca="false">N325/$R$3</f>
        <v>-1376.857</v>
      </c>
    </row>
    <row r="326" customFormat="false" ht="12.75" hidden="false" customHeight="false" outlineLevel="0" collapsed="false">
      <c r="A326" s="120" t="n">
        <f aca="false">A325+1</f>
        <v>37212</v>
      </c>
      <c r="B326" s="131" t="str">
        <f aca="false">INDEX('[4]Master Data'!$A$2:$B$8,MATCH(WEEKDAY('TBS CRD MTM'!A326,3),'[4]Master Data'!$A$2:$A$8,0),2)</f>
        <v>Sa</v>
      </c>
      <c r="D326" s="124" t="n">
        <v>0</v>
      </c>
      <c r="E326" s="124" t="n">
        <v>0</v>
      </c>
      <c r="F326" s="124" t="n">
        <v>0</v>
      </c>
      <c r="G326" s="124" t="n">
        <v>0</v>
      </c>
      <c r="I326" s="124" t="n">
        <f aca="false">IF(MONTH($A326)=MONTH($A325),IF(G326=0,I325,G326),G326)</f>
        <v>0</v>
      </c>
      <c r="J326" s="124" t="n">
        <f aca="false">IF(MONTH($A326)=MONTH($A325),SUM(I326-I325),I326)</f>
        <v>0</v>
      </c>
      <c r="K326" s="124" t="n">
        <f aca="false">IF(WEEKDAY(A326,3)&gt;4,0,(IF(A326&lt;K$2,0,IF(A326&lt;=K$3,1,0))))</f>
        <v>0</v>
      </c>
      <c r="L326" s="124" t="n">
        <f aca="false">J326*K326</f>
        <v>0</v>
      </c>
      <c r="M326" s="124" t="n">
        <f aca="false">SUM(J$280:J326)</f>
        <v>0</v>
      </c>
      <c r="N326" s="124" t="n">
        <f aca="false">SUM(J$6:J326)</f>
        <v>-1376857</v>
      </c>
      <c r="P326" s="148" t="n">
        <f aca="false">D326/P$3</f>
        <v>0</v>
      </c>
      <c r="Q326" s="124" t="n">
        <f aca="false">E326/P$3</f>
        <v>0</v>
      </c>
      <c r="R326" s="124" t="n">
        <f aca="false">F326/R$3</f>
        <v>0</v>
      </c>
      <c r="S326" s="126" t="n">
        <f aca="false">J326/$R$3</f>
        <v>0</v>
      </c>
      <c r="T326" s="126" t="n">
        <f aca="false">L326/$R$3</f>
        <v>0</v>
      </c>
      <c r="U326" s="126" t="n">
        <f aca="false">I326/$R$3</f>
        <v>0</v>
      </c>
      <c r="V326" s="126" t="n">
        <f aca="false">M326/$R$3</f>
        <v>0</v>
      </c>
      <c r="W326" s="126" t="n">
        <f aca="false">N326/$R$3</f>
        <v>-1376.857</v>
      </c>
    </row>
    <row r="327" customFormat="false" ht="12.75" hidden="false" customHeight="false" outlineLevel="0" collapsed="false">
      <c r="A327" s="120" t="n">
        <f aca="false">A326+1</f>
        <v>37213</v>
      </c>
      <c r="B327" s="131" t="str">
        <f aca="false">INDEX('[4]Master Data'!$A$2:$B$8,MATCH(WEEKDAY('TBS CRD MTM'!A327,3),'[4]Master Data'!$A$2:$A$8,0),2)</f>
        <v>Su</v>
      </c>
      <c r="D327" s="124" t="n">
        <v>0</v>
      </c>
      <c r="E327" s="124" t="n">
        <v>0</v>
      </c>
      <c r="F327" s="124" t="n">
        <v>0</v>
      </c>
      <c r="G327" s="124" t="n">
        <v>0</v>
      </c>
      <c r="I327" s="124" t="n">
        <f aca="false">IF(MONTH($A327)=MONTH($A326),IF(G327=0,I326,G327),G327)</f>
        <v>0</v>
      </c>
      <c r="J327" s="124" t="n">
        <f aca="false">IF(MONTH($A327)=MONTH($A326),SUM(I327-I326),I327)</f>
        <v>0</v>
      </c>
      <c r="K327" s="124" t="n">
        <f aca="false">IF(WEEKDAY(A327,3)&gt;4,0,(IF(A327&lt;K$2,0,IF(A327&lt;=K$3,1,0))))</f>
        <v>0</v>
      </c>
      <c r="L327" s="124" t="n">
        <f aca="false">J327*K327</f>
        <v>0</v>
      </c>
      <c r="M327" s="124" t="n">
        <f aca="false">SUM(J$280:J327)</f>
        <v>0</v>
      </c>
      <c r="N327" s="124" t="n">
        <f aca="false">SUM(J$6:J327)</f>
        <v>-1376857</v>
      </c>
      <c r="P327" s="148" t="n">
        <f aca="false">D327/P$3</f>
        <v>0</v>
      </c>
      <c r="Q327" s="124" t="n">
        <f aca="false">E327/P$3</f>
        <v>0</v>
      </c>
      <c r="R327" s="124" t="n">
        <f aca="false">F327/R$3</f>
        <v>0</v>
      </c>
      <c r="S327" s="126" t="n">
        <f aca="false">J327/$R$3</f>
        <v>0</v>
      </c>
      <c r="T327" s="126" t="n">
        <f aca="false">L327/$R$3</f>
        <v>0</v>
      </c>
      <c r="U327" s="126" t="n">
        <f aca="false">I327/$R$3</f>
        <v>0</v>
      </c>
      <c r="V327" s="126" t="n">
        <f aca="false">M327/$R$3</f>
        <v>0</v>
      </c>
      <c r="W327" s="126" t="n">
        <f aca="false">N327/$R$3</f>
        <v>-1376.857</v>
      </c>
    </row>
    <row r="328" customFormat="false" ht="12.75" hidden="false" customHeight="false" outlineLevel="0" collapsed="false">
      <c r="A328" s="120" t="n">
        <f aca="false">A327+1</f>
        <v>37214</v>
      </c>
      <c r="B328" s="131" t="str">
        <f aca="false">INDEX('[4]Master Data'!$A$2:$B$8,MATCH(WEEKDAY('TBS CRD MTM'!A328,3),'[4]Master Data'!$A$2:$A$8,0),2)</f>
        <v>M</v>
      </c>
      <c r="D328" s="124" t="n">
        <v>0</v>
      </c>
      <c r="E328" s="124" t="n">
        <v>0</v>
      </c>
      <c r="F328" s="124" t="n">
        <v>0</v>
      </c>
      <c r="G328" s="124" t="n">
        <v>0</v>
      </c>
      <c r="I328" s="124" t="n">
        <f aca="false">IF(MONTH($A328)=MONTH($A327),IF(G328=0,I327,G328),G328)</f>
        <v>0</v>
      </c>
      <c r="J328" s="124" t="n">
        <f aca="false">IF(MONTH($A328)=MONTH($A327),SUM(I328-I327),I328)</f>
        <v>0</v>
      </c>
      <c r="K328" s="124" t="n">
        <f aca="false">IF(WEEKDAY(A328,3)&gt;4,0,(IF(A328&lt;K$2,0,IF(A328&lt;=K$3,1,0))))</f>
        <v>0</v>
      </c>
      <c r="L328" s="124" t="n">
        <f aca="false">J328*K328</f>
        <v>0</v>
      </c>
      <c r="M328" s="124" t="n">
        <f aca="false">SUM(J$280:J328)</f>
        <v>0</v>
      </c>
      <c r="N328" s="124" t="n">
        <f aca="false">SUM(J$6:J328)</f>
        <v>-1376857</v>
      </c>
      <c r="P328" s="148" t="n">
        <f aca="false">D328/P$3</f>
        <v>0</v>
      </c>
      <c r="Q328" s="124" t="n">
        <f aca="false">E328/P$3</f>
        <v>0</v>
      </c>
      <c r="R328" s="124" t="n">
        <f aca="false">F328/R$3</f>
        <v>0</v>
      </c>
      <c r="S328" s="126" t="n">
        <f aca="false">J328/$R$3</f>
        <v>0</v>
      </c>
      <c r="T328" s="126" t="n">
        <f aca="false">L328/$R$3</f>
        <v>0</v>
      </c>
      <c r="U328" s="126" t="n">
        <f aca="false">I328/$R$3</f>
        <v>0</v>
      </c>
      <c r="V328" s="126" t="n">
        <f aca="false">M328/$R$3</f>
        <v>0</v>
      </c>
      <c r="W328" s="126" t="n">
        <f aca="false">N328/$R$3</f>
        <v>-1376.857</v>
      </c>
    </row>
    <row r="329" customFormat="false" ht="12.75" hidden="false" customHeight="false" outlineLevel="0" collapsed="false">
      <c r="A329" s="120" t="n">
        <f aca="false">A328+1</f>
        <v>37215</v>
      </c>
      <c r="B329" s="131" t="str">
        <f aca="false">INDEX('[4]Master Data'!$A$2:$B$8,MATCH(WEEKDAY('TBS CRD MTM'!A329,3),'[4]Master Data'!$A$2:$A$8,0),2)</f>
        <v>T</v>
      </c>
      <c r="D329" s="124" t="n">
        <v>0</v>
      </c>
      <c r="E329" s="124" t="n">
        <v>0</v>
      </c>
      <c r="F329" s="124" t="n">
        <v>0</v>
      </c>
      <c r="G329" s="124" t="n">
        <v>0</v>
      </c>
      <c r="I329" s="124" t="n">
        <f aca="false">IF(MONTH($A329)=MONTH($A328),IF(G329=0,I328,G329),G329)</f>
        <v>0</v>
      </c>
      <c r="J329" s="124" t="n">
        <f aca="false">IF(MONTH($A329)=MONTH($A328),SUM(I329-I328),I329)</f>
        <v>0</v>
      </c>
      <c r="K329" s="124" t="n">
        <f aca="false">IF(WEEKDAY(A329,3)&gt;4,0,(IF(A329&lt;K$2,0,IF(A329&lt;=K$3,1,0))))</f>
        <v>0</v>
      </c>
      <c r="L329" s="124" t="n">
        <f aca="false">J329*K329</f>
        <v>0</v>
      </c>
      <c r="M329" s="124" t="n">
        <f aca="false">SUM(J$280:J329)</f>
        <v>0</v>
      </c>
      <c r="N329" s="124" t="n">
        <f aca="false">SUM(J$6:J329)</f>
        <v>-1376857</v>
      </c>
      <c r="P329" s="148" t="n">
        <f aca="false">D329/P$3</f>
        <v>0</v>
      </c>
      <c r="Q329" s="124" t="n">
        <f aca="false">E329/P$3</f>
        <v>0</v>
      </c>
      <c r="R329" s="124" t="n">
        <f aca="false">F329/R$3</f>
        <v>0</v>
      </c>
      <c r="S329" s="126" t="n">
        <f aca="false">J329/$R$3</f>
        <v>0</v>
      </c>
      <c r="T329" s="126" t="n">
        <f aca="false">L329/$R$3</f>
        <v>0</v>
      </c>
      <c r="U329" s="126" t="n">
        <f aca="false">I329/$R$3</f>
        <v>0</v>
      </c>
      <c r="V329" s="126" t="n">
        <f aca="false">M329/$R$3</f>
        <v>0</v>
      </c>
      <c r="W329" s="126" t="n">
        <f aca="false">N329/$R$3</f>
        <v>-1376.857</v>
      </c>
    </row>
    <row r="330" customFormat="false" ht="12.75" hidden="false" customHeight="false" outlineLevel="0" collapsed="false">
      <c r="A330" s="120" t="n">
        <f aca="false">A329+1</f>
        <v>37216</v>
      </c>
      <c r="B330" s="131" t="str">
        <f aca="false">INDEX('[4]Master Data'!$A$2:$B$8,MATCH(WEEKDAY('TBS CRD MTM'!A330,3),'[4]Master Data'!$A$2:$A$8,0),2)</f>
        <v>W</v>
      </c>
      <c r="D330" s="124" t="n">
        <v>0</v>
      </c>
      <c r="E330" s="124" t="n">
        <v>0</v>
      </c>
      <c r="F330" s="124" t="n">
        <v>0</v>
      </c>
      <c r="G330" s="124" t="n">
        <v>0</v>
      </c>
      <c r="I330" s="124" t="n">
        <f aca="false">IF(MONTH($A330)=MONTH($A329),IF(G330=0,I329,G330),G330)</f>
        <v>0</v>
      </c>
      <c r="J330" s="124" t="n">
        <f aca="false">IF(MONTH($A330)=MONTH($A329),SUM(I330-I329),I330)</f>
        <v>0</v>
      </c>
      <c r="K330" s="124" t="n">
        <f aca="false">IF(WEEKDAY(A330,3)&gt;4,0,(IF(A330&lt;K$2,0,IF(A330&lt;=K$3,1,0))))</f>
        <v>0</v>
      </c>
      <c r="L330" s="124" t="n">
        <f aca="false">J330*K330</f>
        <v>0</v>
      </c>
      <c r="M330" s="124" t="n">
        <f aca="false">SUM(J$280:J330)</f>
        <v>0</v>
      </c>
      <c r="N330" s="124" t="n">
        <f aca="false">SUM(J$6:J330)</f>
        <v>-1376857</v>
      </c>
      <c r="P330" s="148" t="n">
        <f aca="false">D330/P$3</f>
        <v>0</v>
      </c>
      <c r="Q330" s="124" t="n">
        <f aca="false">E330/P$3</f>
        <v>0</v>
      </c>
      <c r="R330" s="124" t="n">
        <f aca="false">F330/R$3</f>
        <v>0</v>
      </c>
      <c r="S330" s="126" t="n">
        <f aca="false">J330/$R$3</f>
        <v>0</v>
      </c>
      <c r="T330" s="126" t="n">
        <f aca="false">L330/$R$3</f>
        <v>0</v>
      </c>
      <c r="U330" s="126" t="n">
        <f aca="false">I330/$R$3</f>
        <v>0</v>
      </c>
      <c r="V330" s="126" t="n">
        <f aca="false">M330/$R$3</f>
        <v>0</v>
      </c>
      <c r="W330" s="126" t="n">
        <f aca="false">N330/$R$3</f>
        <v>-1376.857</v>
      </c>
    </row>
    <row r="331" customFormat="false" ht="12.75" hidden="false" customHeight="false" outlineLevel="0" collapsed="false">
      <c r="A331" s="120" t="n">
        <f aca="false">A330+1</f>
        <v>37217</v>
      </c>
      <c r="B331" s="131" t="str">
        <f aca="false">INDEX('[4]Master Data'!$A$2:$B$8,MATCH(WEEKDAY('TBS CRD MTM'!A331,3),'[4]Master Data'!$A$2:$A$8,0),2)</f>
        <v>Th</v>
      </c>
      <c r="D331" s="124" t="n">
        <v>0</v>
      </c>
      <c r="E331" s="124" t="n">
        <v>0</v>
      </c>
      <c r="F331" s="124" t="n">
        <v>0</v>
      </c>
      <c r="G331" s="124" t="n">
        <v>0</v>
      </c>
      <c r="I331" s="124" t="n">
        <f aca="false">IF(MONTH($A331)=MONTH($A330),IF(G331=0,I330,G331),G331)</f>
        <v>0</v>
      </c>
      <c r="J331" s="124" t="n">
        <f aca="false">IF(MONTH($A331)=MONTH($A330),SUM(I331-I330),I331)</f>
        <v>0</v>
      </c>
      <c r="K331" s="124" t="n">
        <f aca="false">IF(WEEKDAY(A331,3)&gt;4,0,(IF(A331&lt;K$2,0,IF(A331&lt;=K$3,1,0))))</f>
        <v>0</v>
      </c>
      <c r="L331" s="124" t="n">
        <f aca="false">J331*K331</f>
        <v>0</v>
      </c>
      <c r="M331" s="124" t="n">
        <f aca="false">SUM(J$280:J331)</f>
        <v>0</v>
      </c>
      <c r="N331" s="124" t="n">
        <f aca="false">SUM(J$6:J331)</f>
        <v>-1376857</v>
      </c>
      <c r="P331" s="148" t="n">
        <f aca="false">D331/P$3</f>
        <v>0</v>
      </c>
      <c r="Q331" s="124" t="n">
        <f aca="false">E331/P$3</f>
        <v>0</v>
      </c>
      <c r="R331" s="124" t="n">
        <f aca="false">F331/R$3</f>
        <v>0</v>
      </c>
      <c r="S331" s="126" t="n">
        <f aca="false">J331/$R$3</f>
        <v>0</v>
      </c>
      <c r="T331" s="126" t="n">
        <f aca="false">L331/$R$3</f>
        <v>0</v>
      </c>
      <c r="U331" s="126" t="n">
        <f aca="false">I331/$R$3</f>
        <v>0</v>
      </c>
      <c r="V331" s="126" t="n">
        <f aca="false">M331/$R$3</f>
        <v>0</v>
      </c>
      <c r="W331" s="126" t="n">
        <f aca="false">N331/$R$3</f>
        <v>-1376.857</v>
      </c>
    </row>
    <row r="332" customFormat="false" ht="12.75" hidden="false" customHeight="false" outlineLevel="0" collapsed="false">
      <c r="A332" s="120" t="n">
        <f aca="false">A331+1</f>
        <v>37218</v>
      </c>
      <c r="B332" s="131" t="str">
        <f aca="false">INDEX('[4]Master Data'!$A$2:$B$8,MATCH(WEEKDAY('TBS CRD MTM'!A332,3),'[4]Master Data'!$A$2:$A$8,0),2)</f>
        <v>F</v>
      </c>
      <c r="D332" s="124" t="n">
        <v>0</v>
      </c>
      <c r="E332" s="124" t="n">
        <v>0</v>
      </c>
      <c r="F332" s="124" t="n">
        <v>0</v>
      </c>
      <c r="G332" s="124" t="n">
        <v>0</v>
      </c>
      <c r="I332" s="124" t="n">
        <f aca="false">IF(MONTH($A332)=MONTH($A331),IF(G332=0,I331,G332),G332)</f>
        <v>0</v>
      </c>
      <c r="J332" s="124" t="n">
        <f aca="false">IF(MONTH($A332)=MONTH($A331),SUM(I332-I331),I332)</f>
        <v>0</v>
      </c>
      <c r="K332" s="124" t="n">
        <f aca="false">IF(WEEKDAY(A332,3)&gt;4,0,(IF(A332&lt;K$2,0,IF(A332&lt;=K$3,1,0))))</f>
        <v>0</v>
      </c>
      <c r="L332" s="124" t="n">
        <f aca="false">J332*K332</f>
        <v>0</v>
      </c>
      <c r="M332" s="124" t="n">
        <f aca="false">SUM(J$280:J332)</f>
        <v>0</v>
      </c>
      <c r="N332" s="124" t="n">
        <f aca="false">SUM(J$6:J332)</f>
        <v>-1376857</v>
      </c>
      <c r="P332" s="148" t="n">
        <f aca="false">D332/P$3</f>
        <v>0</v>
      </c>
      <c r="Q332" s="124" t="n">
        <f aca="false">E332/P$3</f>
        <v>0</v>
      </c>
      <c r="R332" s="124" t="n">
        <f aca="false">F332/R$3</f>
        <v>0</v>
      </c>
      <c r="S332" s="126" t="n">
        <f aca="false">J332/$R$3</f>
        <v>0</v>
      </c>
      <c r="T332" s="126" t="n">
        <f aca="false">L332/$R$3</f>
        <v>0</v>
      </c>
      <c r="U332" s="126" t="n">
        <f aca="false">I332/$R$3</f>
        <v>0</v>
      </c>
      <c r="V332" s="126" t="n">
        <f aca="false">M332/$R$3</f>
        <v>0</v>
      </c>
      <c r="W332" s="126" t="n">
        <f aca="false">N332/$R$3</f>
        <v>-1376.857</v>
      </c>
    </row>
    <row r="333" customFormat="false" ht="12.75" hidden="false" customHeight="false" outlineLevel="0" collapsed="false">
      <c r="A333" s="120" t="n">
        <f aca="false">A332+1</f>
        <v>37219</v>
      </c>
      <c r="B333" s="131" t="str">
        <f aca="false">INDEX('[4]Master Data'!$A$2:$B$8,MATCH(WEEKDAY('TBS CRD MTM'!A333,3),'[4]Master Data'!$A$2:$A$8,0),2)</f>
        <v>Sa</v>
      </c>
      <c r="D333" s="124"/>
      <c r="E333" s="124" t="n">
        <v>0</v>
      </c>
      <c r="F333" s="124" t="n">
        <v>0</v>
      </c>
      <c r="G333" s="124" t="n">
        <v>0</v>
      </c>
      <c r="I333" s="124" t="n">
        <f aca="false">IF(MONTH($A333)=MONTH($A332),IF(G333=0,I332,G333),G333)</f>
        <v>0</v>
      </c>
      <c r="J333" s="124" t="n">
        <f aca="false">IF(MONTH($A333)=MONTH($A332),SUM(I333-I332),I333)</f>
        <v>0</v>
      </c>
      <c r="K333" s="124" t="n">
        <f aca="false">IF(WEEKDAY(A333,3)&gt;4,0,(IF(A333&lt;K$2,0,IF(A333&lt;=K$3,1,0))))</f>
        <v>0</v>
      </c>
      <c r="L333" s="124" t="n">
        <f aca="false">J333*K333</f>
        <v>0</v>
      </c>
      <c r="M333" s="124" t="n">
        <f aca="false">SUM(J$280:J333)</f>
        <v>0</v>
      </c>
      <c r="N333" s="124" t="n">
        <f aca="false">SUM(J$6:J333)</f>
        <v>-1376857</v>
      </c>
      <c r="P333" s="148" t="n">
        <f aca="false">D333/P$3</f>
        <v>0</v>
      </c>
      <c r="Q333" s="124" t="n">
        <f aca="false">E333/P$3</f>
        <v>0</v>
      </c>
      <c r="R333" s="124" t="n">
        <f aca="false">F333/R$3</f>
        <v>0</v>
      </c>
      <c r="S333" s="126" t="n">
        <f aca="false">J333/$R$3</f>
        <v>0</v>
      </c>
      <c r="T333" s="126" t="n">
        <f aca="false">L333/$R$3</f>
        <v>0</v>
      </c>
      <c r="U333" s="126" t="n">
        <f aca="false">I333/$R$3</f>
        <v>0</v>
      </c>
      <c r="V333" s="126" t="n">
        <f aca="false">M333/$R$3</f>
        <v>0</v>
      </c>
      <c r="W333" s="126" t="n">
        <f aca="false">N333/$R$3</f>
        <v>-1376.857</v>
      </c>
    </row>
    <row r="334" customFormat="false" ht="12.75" hidden="false" customHeight="false" outlineLevel="0" collapsed="false">
      <c r="A334" s="120" t="n">
        <f aca="false">A333+1</f>
        <v>37220</v>
      </c>
      <c r="B334" s="131" t="str">
        <f aca="false">INDEX('[4]Master Data'!$A$2:$B$8,MATCH(WEEKDAY('TBS CRD MTM'!A334,3),'[4]Master Data'!$A$2:$A$8,0),2)</f>
        <v>Su</v>
      </c>
      <c r="D334" s="124" t="n">
        <v>0</v>
      </c>
      <c r="E334" s="124" t="n">
        <v>0</v>
      </c>
      <c r="F334" s="124" t="n">
        <v>0</v>
      </c>
      <c r="G334" s="124" t="n">
        <v>0</v>
      </c>
      <c r="I334" s="124" t="n">
        <f aca="false">IF(MONTH($A334)=MONTH($A333),IF(G334=0,I333,G334),G334)</f>
        <v>0</v>
      </c>
      <c r="J334" s="124" t="n">
        <f aca="false">IF(MONTH($A334)=MONTH($A333),SUM(I334-I333),I334)</f>
        <v>0</v>
      </c>
      <c r="K334" s="124" t="n">
        <f aca="false">IF(WEEKDAY(A334,3)&gt;4,0,(IF(A334&lt;K$2,0,IF(A334&lt;=K$3,1,0))))</f>
        <v>0</v>
      </c>
      <c r="L334" s="124" t="n">
        <f aca="false">J334*K334</f>
        <v>0</v>
      </c>
      <c r="M334" s="124" t="n">
        <f aca="false">SUM(J$280:J334)</f>
        <v>0</v>
      </c>
      <c r="N334" s="124" t="n">
        <f aca="false">SUM(J$6:J334)</f>
        <v>-1376857</v>
      </c>
      <c r="P334" s="148" t="n">
        <f aca="false">D334/P$3</f>
        <v>0</v>
      </c>
      <c r="Q334" s="124" t="n">
        <f aca="false">E334/P$3</f>
        <v>0</v>
      </c>
      <c r="R334" s="124" t="n">
        <f aca="false">F334/R$3</f>
        <v>0</v>
      </c>
      <c r="S334" s="126" t="n">
        <f aca="false">J334/$R$3</f>
        <v>0</v>
      </c>
      <c r="T334" s="126" t="n">
        <f aca="false">L334/$R$3</f>
        <v>0</v>
      </c>
      <c r="U334" s="126" t="n">
        <f aca="false">I334/$R$3</f>
        <v>0</v>
      </c>
      <c r="V334" s="126" t="n">
        <f aca="false">M334/$R$3</f>
        <v>0</v>
      </c>
      <c r="W334" s="126" t="n">
        <f aca="false">N334/$R$3</f>
        <v>-1376.857</v>
      </c>
    </row>
    <row r="335" customFormat="false" ht="12.75" hidden="false" customHeight="false" outlineLevel="0" collapsed="false">
      <c r="A335" s="120" t="n">
        <f aca="false">A334+1</f>
        <v>37221</v>
      </c>
      <c r="B335" s="131" t="str">
        <f aca="false">INDEX('[4]Master Data'!$A$2:$B$8,MATCH(WEEKDAY('TBS CRD MTM'!A335,3),'[4]Master Data'!$A$2:$A$8,0),2)</f>
        <v>M</v>
      </c>
      <c r="D335" s="124" t="n">
        <v>0</v>
      </c>
      <c r="E335" s="124" t="n">
        <v>0</v>
      </c>
      <c r="F335" s="124" t="n">
        <v>0</v>
      </c>
      <c r="G335" s="124" t="n">
        <v>0</v>
      </c>
      <c r="I335" s="124" t="n">
        <f aca="false">IF(MONTH($A335)=MONTH($A334),IF(G335=0,I334,G335),G335)</f>
        <v>0</v>
      </c>
      <c r="J335" s="124" t="n">
        <f aca="false">IF(MONTH($A335)=MONTH($A334),SUM(I335-I334),I335)</f>
        <v>0</v>
      </c>
      <c r="K335" s="124" t="n">
        <f aca="false">IF(WEEKDAY(A335,3)&gt;4,0,(IF(A335&lt;K$2,0,IF(A335&lt;=K$3,1,0))))</f>
        <v>0</v>
      </c>
      <c r="L335" s="124" t="n">
        <f aca="false">J335*K335</f>
        <v>0</v>
      </c>
      <c r="M335" s="124" t="n">
        <f aca="false">SUM(J$280:J335)</f>
        <v>0</v>
      </c>
      <c r="N335" s="124" t="n">
        <f aca="false">SUM(J$6:J335)</f>
        <v>-1376857</v>
      </c>
      <c r="P335" s="148" t="n">
        <f aca="false">D335/P$3</f>
        <v>0</v>
      </c>
      <c r="Q335" s="124" t="n">
        <f aca="false">E335/P$3</f>
        <v>0</v>
      </c>
      <c r="R335" s="124" t="n">
        <f aca="false">F335/R$3</f>
        <v>0</v>
      </c>
      <c r="S335" s="126" t="n">
        <f aca="false">J335/$R$3</f>
        <v>0</v>
      </c>
      <c r="T335" s="126" t="n">
        <f aca="false">L335/$R$3</f>
        <v>0</v>
      </c>
      <c r="U335" s="126" t="n">
        <f aca="false">I335/$R$3</f>
        <v>0</v>
      </c>
      <c r="V335" s="126" t="n">
        <f aca="false">M335/$R$3</f>
        <v>0</v>
      </c>
      <c r="W335" s="126" t="n">
        <f aca="false">N335/$R$3</f>
        <v>-1376.857</v>
      </c>
    </row>
    <row r="336" customFormat="false" ht="12.75" hidden="false" customHeight="false" outlineLevel="0" collapsed="false">
      <c r="A336" s="120" t="n">
        <f aca="false">A335+1</f>
        <v>37222</v>
      </c>
      <c r="B336" s="131" t="str">
        <f aca="false">INDEX('[4]Master Data'!$A$2:$B$8,MATCH(WEEKDAY('TBS CRD MTM'!A336,3),'[4]Master Data'!$A$2:$A$8,0),2)</f>
        <v>T</v>
      </c>
      <c r="D336" s="124" t="n">
        <v>0</v>
      </c>
      <c r="E336" s="124" t="n">
        <v>0</v>
      </c>
      <c r="F336" s="124" t="n">
        <v>0</v>
      </c>
      <c r="G336" s="124" t="n">
        <v>0</v>
      </c>
      <c r="I336" s="124" t="n">
        <f aca="false">IF(MONTH($A336)=MONTH($A335),IF(G336=0,I335,G336),G336)</f>
        <v>0</v>
      </c>
      <c r="J336" s="124" t="n">
        <f aca="false">IF(MONTH($A336)=MONTH($A335),SUM(I336-I335),I336)</f>
        <v>0</v>
      </c>
      <c r="K336" s="124" t="n">
        <f aca="false">IF(WEEKDAY(A336,3)&gt;4,0,(IF(A336&lt;K$2,0,IF(A336&lt;=K$3,1,0))))</f>
        <v>0</v>
      </c>
      <c r="L336" s="124" t="n">
        <f aca="false">J336*K336</f>
        <v>0</v>
      </c>
      <c r="M336" s="124" t="n">
        <f aca="false">SUM(J$280:J336)</f>
        <v>0</v>
      </c>
      <c r="N336" s="124" t="n">
        <f aca="false">SUM(J$6:J336)</f>
        <v>-1376857</v>
      </c>
      <c r="P336" s="148" t="n">
        <f aca="false">D336/P$3</f>
        <v>0</v>
      </c>
      <c r="Q336" s="124" t="n">
        <f aca="false">E336/P$3</f>
        <v>0</v>
      </c>
      <c r="R336" s="124" t="n">
        <f aca="false">F336/R$3</f>
        <v>0</v>
      </c>
      <c r="S336" s="126" t="n">
        <f aca="false">J336/$R$3</f>
        <v>0</v>
      </c>
      <c r="T336" s="126" t="n">
        <f aca="false">L336/$R$3</f>
        <v>0</v>
      </c>
      <c r="U336" s="126" t="n">
        <f aca="false">I336/$R$3</f>
        <v>0</v>
      </c>
      <c r="V336" s="126" t="n">
        <f aca="false">M336/$R$3</f>
        <v>0</v>
      </c>
      <c r="W336" s="126" t="n">
        <f aca="false">N336/$R$3</f>
        <v>-1376.857</v>
      </c>
    </row>
    <row r="337" customFormat="false" ht="12.75" hidden="false" customHeight="false" outlineLevel="0" collapsed="false">
      <c r="A337" s="120" t="n">
        <f aca="false">A336+1</f>
        <v>37223</v>
      </c>
      <c r="B337" s="131" t="str">
        <f aca="false">INDEX('[4]Master Data'!$A$2:$B$8,MATCH(WEEKDAY('TBS CRD MTM'!A337,3),'[4]Master Data'!$A$2:$A$8,0),2)</f>
        <v>W</v>
      </c>
      <c r="D337" s="124" t="n">
        <v>-376</v>
      </c>
      <c r="E337" s="124" t="n">
        <v>0</v>
      </c>
      <c r="F337" s="124" t="n">
        <v>0</v>
      </c>
      <c r="G337" s="124" t="n">
        <v>-242600</v>
      </c>
      <c r="I337" s="124" t="n">
        <f aca="false">IF(MONTH($A337)=MONTH($A336),IF(G337=0,I336,G337),G337)</f>
        <v>-242600</v>
      </c>
      <c r="J337" s="124" t="n">
        <f aca="false">IF(MONTH($A337)=MONTH($A336),SUM(I337-I336),I337)</f>
        <v>-242600</v>
      </c>
      <c r="K337" s="124" t="n">
        <f aca="false">IF(WEEKDAY(A337,3)&gt;4,0,(IF(A337&lt;K$2,0,IF(A337&lt;=K$3,1,0))))</f>
        <v>0</v>
      </c>
      <c r="L337" s="124" t="n">
        <f aca="false">J337*K337</f>
        <v>-0</v>
      </c>
      <c r="M337" s="124" t="n">
        <f aca="false">SUM(J$280:J337)</f>
        <v>-242600</v>
      </c>
      <c r="N337" s="124" t="n">
        <f aca="false">SUM(J$6:J337)</f>
        <v>-1619457</v>
      </c>
      <c r="P337" s="148" t="n">
        <f aca="false">D337/P$3</f>
        <v>-0.376</v>
      </c>
      <c r="Q337" s="124" t="n">
        <f aca="false">E337/P$3</f>
        <v>0</v>
      </c>
      <c r="R337" s="124" t="n">
        <f aca="false">F337/R$3</f>
        <v>0</v>
      </c>
      <c r="S337" s="126" t="n">
        <f aca="false">J337/$R$3</f>
        <v>-242.6</v>
      </c>
      <c r="T337" s="126" t="n">
        <f aca="false">L337/$R$3</f>
        <v>-0</v>
      </c>
      <c r="U337" s="126" t="n">
        <f aca="false">I337/$R$3</f>
        <v>-242.6</v>
      </c>
      <c r="V337" s="126" t="n">
        <f aca="false">M337/$R$3</f>
        <v>-242.6</v>
      </c>
      <c r="W337" s="126" t="n">
        <f aca="false">N337/$R$3</f>
        <v>-1619.457</v>
      </c>
    </row>
    <row r="338" customFormat="false" ht="12.75" hidden="false" customHeight="false" outlineLevel="0" collapsed="false">
      <c r="A338" s="120" t="n">
        <f aca="false">A337+1</f>
        <v>37224</v>
      </c>
      <c r="B338" s="131" t="str">
        <f aca="false">INDEX('[4]Master Data'!$A$2:$B$8,MATCH(WEEKDAY('TBS CRD MTM'!A338,3),'[4]Master Data'!$A$2:$A$8,0),2)</f>
        <v>Th</v>
      </c>
      <c r="D338" s="124" t="n">
        <v>-385</v>
      </c>
      <c r="E338" s="124" t="n">
        <v>0</v>
      </c>
      <c r="F338" s="124" t="n">
        <v>0</v>
      </c>
      <c r="G338" s="124" t="n">
        <v>-222159</v>
      </c>
      <c r="I338" s="124" t="n">
        <f aca="false">IF(MONTH($A338)=MONTH($A337),IF(G338=0,I337,G338),G338)</f>
        <v>-222159</v>
      </c>
      <c r="J338" s="124" t="n">
        <f aca="false">IF(MONTH($A338)=MONTH($A337),SUM(I338-I337),I338)</f>
        <v>20441</v>
      </c>
      <c r="K338" s="124" t="n">
        <f aca="false">IF(WEEKDAY(A338,3)&gt;4,0,(IF(A338&lt;K$2,0,IF(A338&lt;=K$3,1,0))))</f>
        <v>0</v>
      </c>
      <c r="L338" s="124" t="n">
        <f aca="false">J338*K338</f>
        <v>0</v>
      </c>
      <c r="M338" s="124" t="n">
        <f aca="false">SUM(J$280:J338)</f>
        <v>-222159</v>
      </c>
      <c r="N338" s="124" t="n">
        <f aca="false">SUM(J$6:J338)</f>
        <v>-1599016</v>
      </c>
      <c r="P338" s="148" t="n">
        <f aca="false">D338/P$3</f>
        <v>-0.385</v>
      </c>
      <c r="Q338" s="124" t="n">
        <f aca="false">E338/P$3</f>
        <v>0</v>
      </c>
      <c r="R338" s="124" t="n">
        <f aca="false">F338/R$3</f>
        <v>0</v>
      </c>
      <c r="S338" s="126" t="n">
        <f aca="false">J338/$R$3</f>
        <v>20.441</v>
      </c>
      <c r="T338" s="126" t="n">
        <f aca="false">L338/$R$3</f>
        <v>0</v>
      </c>
      <c r="U338" s="126" t="n">
        <f aca="false">I338/$R$3</f>
        <v>-222.159</v>
      </c>
      <c r="V338" s="126" t="n">
        <f aca="false">M338/$R$3</f>
        <v>-222.159</v>
      </c>
      <c r="W338" s="126" t="n">
        <f aca="false">N338/$R$3</f>
        <v>-1599.016</v>
      </c>
    </row>
    <row r="339" customFormat="false" ht="12.75" hidden="false" customHeight="false" outlineLevel="0" collapsed="false">
      <c r="A339" s="120" t="n">
        <f aca="false">A338+1</f>
        <v>37225</v>
      </c>
      <c r="B339" s="131" t="str">
        <f aca="false">INDEX('[4]Master Data'!$A$2:$B$8,MATCH(WEEKDAY('TBS CRD MTM'!A339,3),'[4]Master Data'!$A$2:$A$8,0),2)</f>
        <v>F</v>
      </c>
      <c r="D339" s="124" t="n">
        <v>-380</v>
      </c>
      <c r="E339" s="124" t="n">
        <v>0</v>
      </c>
      <c r="F339" s="124" t="n">
        <v>0</v>
      </c>
      <c r="G339" s="124" t="n">
        <v>-304011</v>
      </c>
      <c r="I339" s="124" t="n">
        <f aca="false">IF(MONTH($A339)=MONTH($A338),IF(G339=0,I338,G339),G339)</f>
        <v>-304011</v>
      </c>
      <c r="J339" s="124" t="n">
        <f aca="false">IF(MONTH($A339)=MONTH($A338),SUM(I339-I338),I339)</f>
        <v>-81852</v>
      </c>
      <c r="K339" s="124" t="n">
        <f aca="false">IF(WEEKDAY(A339,3)&gt;4,0,(IF(A339&lt;K$2,0,IF(A339&lt;=K$3,1,0))))</f>
        <v>0</v>
      </c>
      <c r="L339" s="124" t="n">
        <f aca="false">J339*K339</f>
        <v>-0</v>
      </c>
      <c r="M339" s="124" t="n">
        <f aca="false">SUM(J$280:J339)</f>
        <v>-304011</v>
      </c>
      <c r="N339" s="124" t="n">
        <f aca="false">SUM(J$6:J339)</f>
        <v>-1680868</v>
      </c>
      <c r="P339" s="148" t="n">
        <f aca="false">D339/P$3</f>
        <v>-0.38</v>
      </c>
      <c r="Q339" s="124" t="n">
        <f aca="false">E339/P$3</f>
        <v>0</v>
      </c>
      <c r="R339" s="124" t="n">
        <f aca="false">F339/R$3</f>
        <v>0</v>
      </c>
      <c r="S339" s="126" t="n">
        <f aca="false">J339/$R$3</f>
        <v>-81.852</v>
      </c>
      <c r="T339" s="126" t="n">
        <f aca="false">L339/$R$3</f>
        <v>-0</v>
      </c>
      <c r="U339" s="126" t="n">
        <f aca="false">I339/$R$3</f>
        <v>-304.011</v>
      </c>
      <c r="V339" s="126" t="n">
        <f aca="false">M339/$R$3</f>
        <v>-304.011</v>
      </c>
      <c r="W339" s="126" t="n">
        <f aca="false">N339/$R$3</f>
        <v>-1680.868</v>
      </c>
    </row>
    <row r="340" customFormat="false" ht="12.75" hidden="false" customHeight="false" outlineLevel="0" collapsed="false">
      <c r="A340" s="120" t="n">
        <f aca="false">A339+1</f>
        <v>37226</v>
      </c>
      <c r="B340" s="131" t="str">
        <f aca="false">INDEX('[4]Master Data'!$A$2:$B$8,MATCH(WEEKDAY('TBS CRD MTM'!A340,3),'[4]Master Data'!$A$2:$A$8,0),2)</f>
        <v>Sa</v>
      </c>
      <c r="D340" s="124" t="n">
        <v>-391</v>
      </c>
      <c r="E340" s="124" t="n">
        <v>0</v>
      </c>
      <c r="F340" s="124" t="n">
        <v>0</v>
      </c>
      <c r="G340" s="124" t="n">
        <v>-289336</v>
      </c>
      <c r="I340" s="124" t="n">
        <f aca="false">IF(MONTH($A340)=MONTH($A339),IF(G340=0,I339,G340),G340)</f>
        <v>-289336</v>
      </c>
      <c r="J340" s="124" t="n">
        <f aca="false">IF(MONTH($A340)=MONTH($A339),SUM(I340-I339),I340)</f>
        <v>-289336</v>
      </c>
      <c r="K340" s="124" t="n">
        <f aca="false">IF(WEEKDAY(A340,3)&gt;4,0,(IF(A340&lt;K$2,0,IF(A340&lt;=K$3,1,0))))</f>
        <v>0</v>
      </c>
      <c r="L340" s="124" t="n">
        <f aca="false">J340*K340</f>
        <v>-0</v>
      </c>
      <c r="M340" s="124" t="n">
        <f aca="false">SUM(J$280:J340)</f>
        <v>-593347</v>
      </c>
      <c r="N340" s="124" t="n">
        <f aca="false">SUM(J$6:J340)</f>
        <v>-1970204</v>
      </c>
      <c r="P340" s="148" t="n">
        <f aca="false">D340/P$3</f>
        <v>-0.391</v>
      </c>
      <c r="Q340" s="124" t="n">
        <f aca="false">E340/P$3</f>
        <v>0</v>
      </c>
      <c r="R340" s="124" t="n">
        <f aca="false">F340/R$3</f>
        <v>0</v>
      </c>
      <c r="S340" s="126" t="n">
        <f aca="false">J340/$R$3</f>
        <v>-289.336</v>
      </c>
      <c r="T340" s="126" t="n">
        <f aca="false">L340/$R$3</f>
        <v>-0</v>
      </c>
      <c r="U340" s="126" t="n">
        <f aca="false">I340/$R$3</f>
        <v>-289.336</v>
      </c>
      <c r="V340" s="126" t="n">
        <f aca="false">M340/$R$3</f>
        <v>-593.347</v>
      </c>
      <c r="W340" s="126" t="n">
        <f aca="false">N340/$R$3</f>
        <v>-1970.204</v>
      </c>
    </row>
    <row r="341" customFormat="false" ht="12.75" hidden="false" customHeight="false" outlineLevel="0" collapsed="false">
      <c r="A341" s="120" t="n">
        <f aca="false">A340+1</f>
        <v>37227</v>
      </c>
      <c r="B341" s="131" t="str">
        <f aca="false">INDEX('[4]Master Data'!$A$2:$B$8,MATCH(WEEKDAY('TBS CRD MTM'!A341,3),'[4]Master Data'!$A$2:$A$8,0),2)</f>
        <v>Su</v>
      </c>
      <c r="D341" s="124" t="n">
        <v>-421</v>
      </c>
      <c r="E341" s="124" t="n">
        <v>0</v>
      </c>
      <c r="F341" s="124" t="n">
        <v>0</v>
      </c>
      <c r="G341" s="124" t="n">
        <v>-110594</v>
      </c>
      <c r="I341" s="124" t="n">
        <f aca="false">IF(MONTH($A341)=MONTH($A340),IF(G341=0,I340,G341),G341)</f>
        <v>-110594</v>
      </c>
      <c r="J341" s="124" t="n">
        <f aca="false">IF(MONTH($A341)=MONTH($A340),SUM(I341-I340),I341)</f>
        <v>178742</v>
      </c>
      <c r="K341" s="124" t="n">
        <f aca="false">IF(WEEKDAY(A341,3)&gt;4,0,(IF(A341&lt;K$2,0,IF(A341&lt;=K$3,1,0))))</f>
        <v>0</v>
      </c>
      <c r="L341" s="124" t="n">
        <f aca="false">J341*K341</f>
        <v>0</v>
      </c>
      <c r="M341" s="124" t="n">
        <f aca="false">SUM(J$280:J341)</f>
        <v>-414605</v>
      </c>
      <c r="N341" s="124" t="n">
        <f aca="false">SUM(J$6:J341)</f>
        <v>-1791462</v>
      </c>
      <c r="P341" s="148" t="n">
        <f aca="false">D341/P$3</f>
        <v>-0.421</v>
      </c>
      <c r="Q341" s="124" t="n">
        <f aca="false">E341/P$3</f>
        <v>0</v>
      </c>
      <c r="R341" s="124" t="n">
        <f aca="false">F341/R$3</f>
        <v>0</v>
      </c>
      <c r="S341" s="126" t="n">
        <f aca="false">J341/$R$3</f>
        <v>178.742</v>
      </c>
      <c r="T341" s="126" t="n">
        <f aca="false">L341/$R$3</f>
        <v>0</v>
      </c>
      <c r="U341" s="126" t="n">
        <f aca="false">I341/$R$3</f>
        <v>-110.594</v>
      </c>
      <c r="V341" s="126" t="n">
        <f aca="false">M341/$R$3</f>
        <v>-414.605</v>
      </c>
      <c r="W341" s="126" t="n">
        <f aca="false">N341/$R$3</f>
        <v>-1791.462</v>
      </c>
    </row>
    <row r="342" customFormat="false" ht="12.75" hidden="false" customHeight="false" outlineLevel="0" collapsed="false">
      <c r="A342" s="120" t="n">
        <f aca="false">A341+1</f>
        <v>37228</v>
      </c>
      <c r="B342" s="131" t="str">
        <f aca="false">INDEX('[4]Master Data'!$A$2:$B$8,MATCH(WEEKDAY('TBS CRD MTM'!A342,3),'[4]Master Data'!$A$2:$A$8,0),2)</f>
        <v>M</v>
      </c>
      <c r="D342" s="124" t="n">
        <v>0</v>
      </c>
      <c r="E342" s="124" t="n">
        <v>0</v>
      </c>
      <c r="F342" s="124" t="n">
        <v>0</v>
      </c>
      <c r="G342" s="124" t="n">
        <v>0</v>
      </c>
      <c r="I342" s="124" t="n">
        <f aca="false">IF(MONTH($A342)=MONTH($A341),IF(G342=0,I341,G342),G342)</f>
        <v>-110594</v>
      </c>
      <c r="J342" s="124" t="n">
        <f aca="false">IF(MONTH($A342)=MONTH($A341),SUM(I342-I341),I342)</f>
        <v>0</v>
      </c>
      <c r="K342" s="124" t="n">
        <f aca="false">IF(WEEKDAY(A342,3)&gt;4,0,(IF(A342&lt;K$2,0,IF(A342&lt;=K$3,1,0))))</f>
        <v>0</v>
      </c>
      <c r="L342" s="124" t="n">
        <f aca="false">J342*K342</f>
        <v>0</v>
      </c>
      <c r="M342" s="124" t="n">
        <f aca="false">SUM(J$280:J342)</f>
        <v>-414605</v>
      </c>
      <c r="N342" s="124" t="n">
        <f aca="false">SUM(J$6:J342)</f>
        <v>-1791462</v>
      </c>
      <c r="P342" s="148" t="n">
        <f aca="false">D342/P$3</f>
        <v>0</v>
      </c>
      <c r="Q342" s="124" t="n">
        <f aca="false">E342/P$3</f>
        <v>0</v>
      </c>
      <c r="R342" s="124" t="n">
        <f aca="false">F342/R$3</f>
        <v>0</v>
      </c>
      <c r="S342" s="126" t="n">
        <f aca="false">J342/$R$3</f>
        <v>0</v>
      </c>
      <c r="T342" s="126" t="n">
        <f aca="false">L342/$R$3</f>
        <v>0</v>
      </c>
      <c r="U342" s="126" t="n">
        <f aca="false">I342/$R$3</f>
        <v>-110.594</v>
      </c>
      <c r="V342" s="126" t="n">
        <f aca="false">M342/$R$3</f>
        <v>-414.605</v>
      </c>
      <c r="W342" s="126" t="n">
        <f aca="false">N342/$R$3</f>
        <v>-1791.462</v>
      </c>
    </row>
    <row r="343" customFormat="false" ht="12.75" hidden="false" customHeight="false" outlineLevel="0" collapsed="false">
      <c r="A343" s="120" t="n">
        <f aca="false">A342+1</f>
        <v>37229</v>
      </c>
      <c r="B343" s="131" t="str">
        <f aca="false">INDEX('[4]Master Data'!$A$2:$B$8,MATCH(WEEKDAY('TBS CRD MTM'!A343,3),'[4]Master Data'!$A$2:$A$8,0),2)</f>
        <v>T</v>
      </c>
      <c r="D343" s="124" t="n">
        <v>0</v>
      </c>
      <c r="E343" s="124" t="n">
        <v>0</v>
      </c>
      <c r="F343" s="124" t="n">
        <v>0</v>
      </c>
      <c r="G343" s="124" t="n">
        <v>0</v>
      </c>
      <c r="I343" s="124" t="n">
        <f aca="false">IF(MONTH($A343)=MONTH($A342),IF(G343=0,I342,G343),G343)</f>
        <v>-110594</v>
      </c>
      <c r="J343" s="124" t="n">
        <f aca="false">IF(MONTH($A343)=MONTH($A342),SUM(I343-I342),I343)</f>
        <v>0</v>
      </c>
      <c r="K343" s="124" t="n">
        <f aca="false">IF(WEEKDAY(A343,3)&gt;4,0,(IF(A343&lt;K$2,0,IF(A343&lt;=K$3,1,0))))</f>
        <v>0</v>
      </c>
      <c r="L343" s="124" t="n">
        <f aca="false">J343*K343</f>
        <v>0</v>
      </c>
      <c r="M343" s="124" t="n">
        <f aca="false">SUM(J$280:J343)</f>
        <v>-414605</v>
      </c>
      <c r="N343" s="124" t="n">
        <f aca="false">SUM(J$6:J343)</f>
        <v>-1791462</v>
      </c>
      <c r="P343" s="148" t="n">
        <f aca="false">D343/P$3</f>
        <v>0</v>
      </c>
      <c r="Q343" s="124" t="n">
        <f aca="false">E343/P$3</f>
        <v>0</v>
      </c>
      <c r="R343" s="124" t="n">
        <f aca="false">F343/R$3</f>
        <v>0</v>
      </c>
      <c r="S343" s="126" t="n">
        <f aca="false">J343/$R$3</f>
        <v>0</v>
      </c>
      <c r="T343" s="126" t="n">
        <f aca="false">L343/$R$3</f>
        <v>0</v>
      </c>
      <c r="U343" s="126" t="n">
        <f aca="false">I343/$R$3</f>
        <v>-110.594</v>
      </c>
      <c r="V343" s="126" t="n">
        <f aca="false">M343/$R$3</f>
        <v>-414.605</v>
      </c>
      <c r="W343" s="126" t="n">
        <f aca="false">N343/$R$3</f>
        <v>-1791.462</v>
      </c>
    </row>
    <row r="344" customFormat="false" ht="12.75" hidden="false" customHeight="false" outlineLevel="0" collapsed="false">
      <c r="A344" s="120" t="n">
        <f aca="false">A343+1</f>
        <v>37230</v>
      </c>
      <c r="B344" s="131" t="str">
        <f aca="false">INDEX('[4]Master Data'!$A$2:$B$8,MATCH(WEEKDAY('TBS CRD MTM'!A344,3),'[4]Master Data'!$A$2:$A$8,0),2)</f>
        <v>W</v>
      </c>
      <c r="D344" s="124" t="n">
        <v>-337</v>
      </c>
      <c r="E344" s="124" t="n">
        <v>0</v>
      </c>
      <c r="F344" s="124" t="n">
        <v>0</v>
      </c>
      <c r="G344" s="124" t="n">
        <v>-290893</v>
      </c>
      <c r="I344" s="124" t="n">
        <f aca="false">IF(MONTH($A344)=MONTH($A343),IF(G344=0,I343,G344),G344)</f>
        <v>-290893</v>
      </c>
      <c r="J344" s="124" t="n">
        <f aca="false">IF(MONTH($A344)=MONTH($A343),SUM(I344-I343),I344)</f>
        <v>-180299</v>
      </c>
      <c r="K344" s="124" t="n">
        <f aca="false">IF(WEEKDAY(A344,3)&gt;4,0,(IF(A344&lt;K$2,0,IF(A344&lt;=K$3,1,0))))</f>
        <v>0</v>
      </c>
      <c r="L344" s="124" t="n">
        <f aca="false">J344*K344</f>
        <v>-0</v>
      </c>
      <c r="M344" s="124" t="n">
        <f aca="false">SUM(J$280:J344)</f>
        <v>-594904</v>
      </c>
      <c r="N344" s="124" t="n">
        <f aca="false">SUM(J$6:J344)</f>
        <v>-1971761</v>
      </c>
      <c r="P344" s="148" t="n">
        <f aca="false">D344/P$3</f>
        <v>-0.337</v>
      </c>
      <c r="Q344" s="124" t="n">
        <f aca="false">E344/P$3</f>
        <v>0</v>
      </c>
      <c r="R344" s="124" t="n">
        <f aca="false">F344/R$3</f>
        <v>0</v>
      </c>
      <c r="S344" s="126" t="n">
        <f aca="false">J344/$R$3</f>
        <v>-180.299</v>
      </c>
      <c r="T344" s="126" t="n">
        <f aca="false">L344/$R$3</f>
        <v>-0</v>
      </c>
      <c r="U344" s="126" t="n">
        <f aca="false">I344/$R$3</f>
        <v>-290.893</v>
      </c>
      <c r="V344" s="126" t="n">
        <f aca="false">M344/$R$3</f>
        <v>-594.904</v>
      </c>
      <c r="W344" s="126" t="n">
        <f aca="false">N344/$R$3</f>
        <v>-1971.761</v>
      </c>
    </row>
    <row r="345" customFormat="false" ht="12.75" hidden="false" customHeight="false" outlineLevel="0" collapsed="false">
      <c r="A345" s="120" t="n">
        <f aca="false">A344+1</f>
        <v>37231</v>
      </c>
      <c r="B345" s="131" t="str">
        <f aca="false">INDEX('[4]Master Data'!$A$2:$B$8,MATCH(WEEKDAY('TBS CRD MTM'!A345,3),'[4]Master Data'!$A$2:$A$8,0),2)</f>
        <v>Th</v>
      </c>
      <c r="D345" s="124" t="n">
        <v>-345</v>
      </c>
      <c r="E345" s="124" t="n">
        <v>0</v>
      </c>
      <c r="F345" s="124" t="n">
        <v>0</v>
      </c>
      <c r="G345" s="124" t="n">
        <v>-322466</v>
      </c>
      <c r="I345" s="124" t="n">
        <f aca="false">IF(MONTH($A345)=MONTH($A344),IF(G345=0,I344,G345),G345)</f>
        <v>-322466</v>
      </c>
      <c r="J345" s="124" t="n">
        <f aca="false">IF(MONTH($A345)=MONTH($A344),SUM(I345-I344),I345)</f>
        <v>-31573</v>
      </c>
      <c r="K345" s="124" t="n">
        <f aca="false">IF(WEEKDAY(A345,3)&gt;4,0,(IF(A345&lt;K$2,0,IF(A345&lt;=K$3,1,0))))</f>
        <v>0</v>
      </c>
      <c r="L345" s="124" t="n">
        <f aca="false">J345*K345</f>
        <v>-0</v>
      </c>
      <c r="M345" s="124" t="n">
        <f aca="false">SUM(J$280:J345)</f>
        <v>-626477</v>
      </c>
      <c r="N345" s="124" t="n">
        <f aca="false">SUM(J$6:J345)</f>
        <v>-2003334</v>
      </c>
      <c r="P345" s="148" t="n">
        <f aca="false">D345/P$3</f>
        <v>-0.345</v>
      </c>
      <c r="Q345" s="124" t="n">
        <f aca="false">E345/P$3</f>
        <v>0</v>
      </c>
      <c r="R345" s="124" t="n">
        <f aca="false">F345/R$3</f>
        <v>0</v>
      </c>
      <c r="S345" s="126" t="n">
        <f aca="false">J345/$R$3</f>
        <v>-31.573</v>
      </c>
      <c r="T345" s="126" t="n">
        <f aca="false">L345/$R$3</f>
        <v>-0</v>
      </c>
      <c r="U345" s="126" t="n">
        <f aca="false">I345/$R$3</f>
        <v>-322.466</v>
      </c>
      <c r="V345" s="126" t="n">
        <f aca="false">M345/$R$3</f>
        <v>-626.477</v>
      </c>
      <c r="W345" s="126" t="n">
        <f aca="false">N345/$R$3</f>
        <v>-2003.334</v>
      </c>
    </row>
    <row r="346" customFormat="false" ht="12.75" hidden="false" customHeight="false" outlineLevel="0" collapsed="false">
      <c r="A346" s="120" t="n">
        <f aca="false">A345+1</f>
        <v>37232</v>
      </c>
      <c r="B346" s="131" t="str">
        <f aca="false">INDEX('[4]Master Data'!$A$2:$B$8,MATCH(WEEKDAY('TBS CRD MTM'!A346,3),'[4]Master Data'!$A$2:$A$8,0),2)</f>
        <v>F</v>
      </c>
      <c r="D346" s="124" t="n">
        <v>-339</v>
      </c>
      <c r="E346" s="124" t="n">
        <v>0</v>
      </c>
      <c r="F346" s="124" t="n">
        <v>0</v>
      </c>
      <c r="G346" s="124" t="n">
        <v>-467699</v>
      </c>
      <c r="I346" s="124" t="n">
        <f aca="false">IF(MONTH($A346)=MONTH($A345),IF(G346=0,I345,G346),G346)</f>
        <v>-467699</v>
      </c>
      <c r="J346" s="124" t="n">
        <f aca="false">IF(MONTH($A346)=MONTH($A345),SUM(I346-I345),I346)</f>
        <v>-145233</v>
      </c>
      <c r="K346" s="124" t="n">
        <f aca="false">IF(WEEKDAY(A346,3)&gt;4,0,(IF(A346&lt;K$2,0,IF(A346&lt;=K$3,1,0))))</f>
        <v>0</v>
      </c>
      <c r="L346" s="124" t="n">
        <f aca="false">J346*K346</f>
        <v>-0</v>
      </c>
      <c r="M346" s="124" t="n">
        <f aca="false">SUM(J$280:J346)</f>
        <v>-771710</v>
      </c>
      <c r="N346" s="124" t="n">
        <f aca="false">SUM(J$6:J346)</f>
        <v>-2148567</v>
      </c>
      <c r="P346" s="148" t="n">
        <f aca="false">D346/P$3</f>
        <v>-0.339</v>
      </c>
      <c r="Q346" s="124" t="n">
        <f aca="false">E346/P$3</f>
        <v>0</v>
      </c>
      <c r="R346" s="124" t="n">
        <f aca="false">F346/R$3</f>
        <v>0</v>
      </c>
      <c r="S346" s="126" t="n">
        <f aca="false">J346/$R$3</f>
        <v>-145.233</v>
      </c>
      <c r="T346" s="126" t="n">
        <f aca="false">L346/$R$3</f>
        <v>-0</v>
      </c>
      <c r="U346" s="126" t="n">
        <f aca="false">I346/$R$3</f>
        <v>-467.699</v>
      </c>
      <c r="V346" s="126" t="n">
        <f aca="false">M346/$R$3</f>
        <v>-771.71</v>
      </c>
      <c r="W346" s="126" t="n">
        <f aca="false">N346/$R$3</f>
        <v>-2148.567</v>
      </c>
    </row>
    <row r="347" customFormat="false" ht="12.75" hidden="false" customHeight="false" outlineLevel="0" collapsed="false">
      <c r="A347" s="120" t="n">
        <f aca="false">A346+1</f>
        <v>37233</v>
      </c>
      <c r="B347" s="131" t="str">
        <f aca="false">INDEX('[4]Master Data'!$A$2:$B$8,MATCH(WEEKDAY('TBS CRD MTM'!A347,3),'[4]Master Data'!$A$2:$A$8,0),2)</f>
        <v>Sa</v>
      </c>
      <c r="D347" s="124" t="n">
        <v>-353</v>
      </c>
      <c r="E347" s="124" t="n">
        <v>0</v>
      </c>
      <c r="F347" s="124" t="n">
        <v>0</v>
      </c>
      <c r="G347" s="124" t="n">
        <v>-244483</v>
      </c>
      <c r="I347" s="124" t="n">
        <f aca="false">IF(MONTH($A347)=MONTH($A346),IF(G347=0,I346,G347),G347)</f>
        <v>-244483</v>
      </c>
      <c r="J347" s="124" t="n">
        <f aca="false">IF(MONTH($A347)=MONTH($A346),SUM(I347-I346),I347)</f>
        <v>223216</v>
      </c>
      <c r="K347" s="124" t="n">
        <f aca="false">IF(WEEKDAY(A347,3)&gt;4,0,(IF(A347&lt;K$2,0,IF(A347&lt;=K$3,1,0))))</f>
        <v>0</v>
      </c>
      <c r="L347" s="124" t="n">
        <f aca="false">J347*K347</f>
        <v>0</v>
      </c>
      <c r="M347" s="124" t="n">
        <f aca="false">SUM(J$280:J347)</f>
        <v>-548494</v>
      </c>
      <c r="N347" s="124" t="n">
        <f aca="false">SUM(J$6:J347)</f>
        <v>-1925351</v>
      </c>
      <c r="P347" s="148" t="n">
        <f aca="false">D347/P$3</f>
        <v>-0.353</v>
      </c>
      <c r="Q347" s="124" t="n">
        <f aca="false">E347/P$3</f>
        <v>0</v>
      </c>
      <c r="R347" s="124" t="n">
        <f aca="false">F347/R$3</f>
        <v>0</v>
      </c>
      <c r="S347" s="126" t="n">
        <f aca="false">J347/$R$3</f>
        <v>223.216</v>
      </c>
      <c r="T347" s="126" t="n">
        <f aca="false">L347/$R$3</f>
        <v>0</v>
      </c>
      <c r="U347" s="126" t="n">
        <f aca="false">I347/$R$3</f>
        <v>-244.483</v>
      </c>
      <c r="V347" s="126" t="n">
        <f aca="false">M347/$R$3</f>
        <v>-548.494</v>
      </c>
      <c r="W347" s="126" t="n">
        <f aca="false">N347/$R$3</f>
        <v>-1925.351</v>
      </c>
    </row>
    <row r="348" customFormat="false" ht="12.75" hidden="false" customHeight="false" outlineLevel="0" collapsed="false">
      <c r="A348" s="120" t="n">
        <f aca="false">A347+1</f>
        <v>37234</v>
      </c>
      <c r="B348" s="131" t="str">
        <f aca="false">INDEX('[4]Master Data'!$A$2:$B$8,MATCH(WEEKDAY('TBS CRD MTM'!A348,3),'[4]Master Data'!$A$2:$A$8,0),2)</f>
        <v>Su</v>
      </c>
      <c r="D348" s="124" t="n">
        <v>-335</v>
      </c>
      <c r="E348" s="124" t="n">
        <v>0</v>
      </c>
      <c r="F348" s="124" t="n">
        <v>0</v>
      </c>
      <c r="G348" s="124" t="n">
        <v>-290514</v>
      </c>
      <c r="I348" s="124" t="n">
        <f aca="false">IF(MONTH($A348)=MONTH($A347),IF(G348=0,I347,G348),G348)</f>
        <v>-290514</v>
      </c>
      <c r="J348" s="124" t="n">
        <f aca="false">IF(MONTH($A348)=MONTH($A347),SUM(I348-I347),I348)</f>
        <v>-46031</v>
      </c>
      <c r="K348" s="124" t="n">
        <f aca="false">IF(WEEKDAY(A348,3)&gt;4,0,(IF(A348&lt;K$2,0,IF(A348&lt;=K$3,1,0))))</f>
        <v>0</v>
      </c>
      <c r="L348" s="124" t="n">
        <f aca="false">J348*K348</f>
        <v>-0</v>
      </c>
      <c r="M348" s="124" t="n">
        <f aca="false">SUM(J$280:J348)</f>
        <v>-594525</v>
      </c>
      <c r="N348" s="124" t="n">
        <f aca="false">SUM(J$6:J348)</f>
        <v>-1971382</v>
      </c>
      <c r="P348" s="148" t="n">
        <f aca="false">D348/P$3</f>
        <v>-0.335</v>
      </c>
      <c r="Q348" s="124" t="n">
        <f aca="false">E348/P$3</f>
        <v>0</v>
      </c>
      <c r="R348" s="124" t="n">
        <f aca="false">F348/R$3</f>
        <v>0</v>
      </c>
      <c r="S348" s="126" t="n">
        <f aca="false">J348/$R$3</f>
        <v>-46.031</v>
      </c>
      <c r="T348" s="126" t="n">
        <f aca="false">L348/$R$3</f>
        <v>-0</v>
      </c>
      <c r="U348" s="126" t="n">
        <f aca="false">I348/$R$3</f>
        <v>-290.514</v>
      </c>
      <c r="V348" s="126" t="n">
        <f aca="false">M348/$R$3</f>
        <v>-594.525</v>
      </c>
      <c r="W348" s="126" t="n">
        <f aca="false">N348/$R$3</f>
        <v>-1971.382</v>
      </c>
    </row>
    <row r="349" customFormat="false" ht="12.75" hidden="false" customHeight="false" outlineLevel="0" collapsed="false">
      <c r="A349" s="120" t="n">
        <f aca="false">A348+1</f>
        <v>37235</v>
      </c>
      <c r="B349" s="131" t="str">
        <f aca="false">INDEX('[4]Master Data'!$A$2:$B$8,MATCH(WEEKDAY('TBS CRD MTM'!A349,3),'[4]Master Data'!$A$2:$A$8,0),2)</f>
        <v>M</v>
      </c>
      <c r="D349" s="124" t="n">
        <v>0</v>
      </c>
      <c r="E349" s="124" t="n">
        <v>0</v>
      </c>
      <c r="F349" s="124" t="n">
        <v>0</v>
      </c>
      <c r="G349" s="124" t="n">
        <v>0</v>
      </c>
      <c r="I349" s="124" t="n">
        <f aca="false">IF(MONTH($A349)=MONTH($A348),IF(G349=0,I348,G349),G349)</f>
        <v>-290514</v>
      </c>
      <c r="J349" s="124" t="n">
        <f aca="false">IF(MONTH($A349)=MONTH($A348),SUM(I349-I348),I349)</f>
        <v>0</v>
      </c>
      <c r="K349" s="124" t="n">
        <f aca="false">IF(WEEKDAY(A349,3)&gt;4,0,(IF(A349&lt;K$2,0,IF(A349&lt;=K$3,1,0))))</f>
        <v>0</v>
      </c>
      <c r="L349" s="124" t="n">
        <f aca="false">J349*K349</f>
        <v>0</v>
      </c>
      <c r="M349" s="124" t="n">
        <f aca="false">SUM(J$280:J349)</f>
        <v>-594525</v>
      </c>
      <c r="N349" s="124" t="n">
        <f aca="false">SUM(J$6:J349)</f>
        <v>-1971382</v>
      </c>
      <c r="P349" s="148" t="n">
        <f aca="false">D349/P$3</f>
        <v>0</v>
      </c>
      <c r="Q349" s="124" t="n">
        <f aca="false">E349/P$3</f>
        <v>0</v>
      </c>
      <c r="R349" s="124" t="n">
        <f aca="false">F349/R$3</f>
        <v>0</v>
      </c>
      <c r="S349" s="126" t="n">
        <f aca="false">J349/$R$3</f>
        <v>0</v>
      </c>
      <c r="T349" s="126" t="n">
        <f aca="false">L349/$R$3</f>
        <v>0</v>
      </c>
      <c r="U349" s="126" t="n">
        <f aca="false">I349/$R$3</f>
        <v>-290.514</v>
      </c>
      <c r="V349" s="126" t="n">
        <f aca="false">M349/$R$3</f>
        <v>-594.525</v>
      </c>
      <c r="W349" s="126" t="n">
        <f aca="false">N349/$R$3</f>
        <v>-1971.382</v>
      </c>
    </row>
    <row r="350" customFormat="false" ht="12.75" hidden="false" customHeight="false" outlineLevel="0" collapsed="false">
      <c r="A350" s="120" t="n">
        <f aca="false">A349+1</f>
        <v>37236</v>
      </c>
      <c r="B350" s="131" t="str">
        <f aca="false">INDEX('[4]Master Data'!$A$2:$B$8,MATCH(WEEKDAY('TBS CRD MTM'!A350,3),'[4]Master Data'!$A$2:$A$8,0),2)</f>
        <v>T</v>
      </c>
      <c r="D350" s="124" t="n">
        <v>0</v>
      </c>
      <c r="E350" s="124" t="n">
        <v>0</v>
      </c>
      <c r="F350" s="124" t="n">
        <v>0</v>
      </c>
      <c r="G350" s="124" t="n">
        <v>0</v>
      </c>
      <c r="I350" s="124" t="n">
        <f aca="false">IF(MONTH($A350)=MONTH($A349),IF(G350=0,I349,G350),G350)</f>
        <v>-290514</v>
      </c>
      <c r="J350" s="124" t="n">
        <f aca="false">IF(MONTH($A350)=MONTH($A349),SUM(I350-I349),I350)</f>
        <v>0</v>
      </c>
      <c r="K350" s="124" t="n">
        <f aca="false">IF(WEEKDAY(A350,3)&gt;4,0,(IF(A350&lt;K$2,0,IF(A350&lt;=K$3,1,0))))</f>
        <v>0</v>
      </c>
      <c r="L350" s="124" t="n">
        <f aca="false">J350*K350</f>
        <v>0</v>
      </c>
      <c r="M350" s="124" t="n">
        <f aca="false">SUM(J$280:J350)</f>
        <v>-594525</v>
      </c>
      <c r="N350" s="124" t="n">
        <f aca="false">SUM(J$6:J350)</f>
        <v>-1971382</v>
      </c>
      <c r="P350" s="148" t="n">
        <f aca="false">D350/P$3</f>
        <v>0</v>
      </c>
      <c r="Q350" s="124" t="n">
        <f aca="false">E350/P$3</f>
        <v>0</v>
      </c>
      <c r="R350" s="124" t="n">
        <f aca="false">F350/R$3</f>
        <v>0</v>
      </c>
      <c r="S350" s="126" t="n">
        <f aca="false">J350/$R$3</f>
        <v>0</v>
      </c>
      <c r="T350" s="126" t="n">
        <f aca="false">L350/$R$3</f>
        <v>0</v>
      </c>
      <c r="U350" s="126" t="n">
        <f aca="false">I350/$R$3</f>
        <v>-290.514</v>
      </c>
      <c r="V350" s="126" t="n">
        <f aca="false">M350/$R$3</f>
        <v>-594.525</v>
      </c>
      <c r="W350" s="126" t="n">
        <f aca="false">N350/$R$3</f>
        <v>-1971.382</v>
      </c>
    </row>
    <row r="351" customFormat="false" ht="12.75" hidden="false" customHeight="false" outlineLevel="0" collapsed="false">
      <c r="A351" s="120" t="n">
        <f aca="false">A350+1</f>
        <v>37237</v>
      </c>
      <c r="B351" s="131" t="str">
        <f aca="false">INDEX('[4]Master Data'!$A$2:$B$8,MATCH(WEEKDAY('TBS CRD MTM'!A351,3),'[4]Master Data'!$A$2:$A$8,0),2)</f>
        <v>W</v>
      </c>
      <c r="D351" s="124" t="n">
        <v>-321</v>
      </c>
      <c r="E351" s="124" t="n">
        <v>0</v>
      </c>
      <c r="F351" s="124" t="n">
        <v>0</v>
      </c>
      <c r="G351" s="124" t="n">
        <v>-387110</v>
      </c>
      <c r="I351" s="124" t="n">
        <f aca="false">IF(MONTH($A351)=MONTH($A350),IF(G351=0,I350,G351),G351)</f>
        <v>-387110</v>
      </c>
      <c r="J351" s="124" t="n">
        <f aca="false">IF(MONTH($A351)=MONTH($A350),SUM(I351-I350),I351)</f>
        <v>-96596</v>
      </c>
      <c r="K351" s="124" t="n">
        <f aca="false">IF(WEEKDAY(A351,3)&gt;4,0,(IF(A351&lt;K$2,0,IF(A351&lt;=K$3,1,0))))</f>
        <v>0</v>
      </c>
      <c r="L351" s="124" t="n">
        <f aca="false">J351*K351</f>
        <v>-0</v>
      </c>
      <c r="M351" s="124" t="n">
        <f aca="false">SUM(J$280:J351)</f>
        <v>-691121</v>
      </c>
      <c r="N351" s="124" t="n">
        <f aca="false">SUM(J$6:J351)</f>
        <v>-2067978</v>
      </c>
      <c r="P351" s="148" t="n">
        <f aca="false">D351/P$3</f>
        <v>-0.321</v>
      </c>
      <c r="Q351" s="124" t="n">
        <f aca="false">E351/P$3</f>
        <v>0</v>
      </c>
      <c r="R351" s="124" t="n">
        <f aca="false">F351/R$3</f>
        <v>0</v>
      </c>
      <c r="S351" s="126" t="n">
        <f aca="false">J351/$R$3</f>
        <v>-96.596</v>
      </c>
      <c r="T351" s="126" t="n">
        <f aca="false">L351/$R$3</f>
        <v>-0</v>
      </c>
      <c r="U351" s="126" t="n">
        <f aca="false">I351/$R$3</f>
        <v>-387.11</v>
      </c>
      <c r="V351" s="126" t="n">
        <f aca="false">M351/$R$3</f>
        <v>-691.121</v>
      </c>
      <c r="W351" s="126" t="n">
        <f aca="false">N351/$R$3</f>
        <v>-2067.978</v>
      </c>
    </row>
    <row r="352" customFormat="false" ht="12.75" hidden="false" customHeight="false" outlineLevel="0" collapsed="false">
      <c r="A352" s="120" t="n">
        <f aca="false">A351+1</f>
        <v>37238</v>
      </c>
      <c r="B352" s="131" t="str">
        <f aca="false">INDEX('[4]Master Data'!$A$2:$B$8,MATCH(WEEKDAY('TBS CRD MTM'!A352,3),'[4]Master Data'!$A$2:$A$8,0),2)</f>
        <v>Th</v>
      </c>
      <c r="D352" s="124" t="n">
        <v>-321</v>
      </c>
      <c r="E352" s="124" t="n">
        <v>0</v>
      </c>
      <c r="F352" s="124" t="n">
        <v>0</v>
      </c>
      <c r="G352" s="124" t="n">
        <v>-438706</v>
      </c>
      <c r="I352" s="124" t="n">
        <f aca="false">IF(MONTH($A352)=MONTH($A351),IF(G352=0,I351,G352),G352)</f>
        <v>-438706</v>
      </c>
      <c r="J352" s="124" t="n">
        <f aca="false">IF(MONTH($A352)=MONTH($A351),SUM(I352-I351),I352)</f>
        <v>-51596</v>
      </c>
      <c r="K352" s="124" t="n">
        <f aca="false">IF(WEEKDAY(A352,3)&gt;4,0,(IF(A352&lt;K$2,0,IF(A352&lt;=K$3,1,0))))</f>
        <v>0</v>
      </c>
      <c r="L352" s="124" t="n">
        <f aca="false">J352*K352</f>
        <v>-0</v>
      </c>
      <c r="M352" s="124" t="n">
        <f aca="false">SUM(J$280:J352)</f>
        <v>-742717</v>
      </c>
      <c r="N352" s="124" t="n">
        <f aca="false">SUM(J$6:J352)</f>
        <v>-2119574</v>
      </c>
      <c r="P352" s="148" t="n">
        <f aca="false">D352/P$3</f>
        <v>-0.321</v>
      </c>
      <c r="Q352" s="124" t="n">
        <f aca="false">E352/P$3</f>
        <v>0</v>
      </c>
      <c r="R352" s="124" t="n">
        <f aca="false">F352/R$3</f>
        <v>0</v>
      </c>
      <c r="S352" s="126" t="n">
        <f aca="false">J352/$R$3</f>
        <v>-51.596</v>
      </c>
      <c r="T352" s="126" t="n">
        <f aca="false">L352/$R$3</f>
        <v>-0</v>
      </c>
      <c r="U352" s="126" t="n">
        <f aca="false">I352/$R$3</f>
        <v>-438.706</v>
      </c>
      <c r="V352" s="126" t="n">
        <f aca="false">M352/$R$3</f>
        <v>-742.717</v>
      </c>
      <c r="W352" s="126" t="n">
        <f aca="false">N352/$R$3</f>
        <v>-2119.574</v>
      </c>
    </row>
    <row r="353" customFormat="false" ht="12.75" hidden="false" customHeight="false" outlineLevel="0" collapsed="false">
      <c r="A353" s="120" t="n">
        <f aca="false">A352+1</f>
        <v>37239</v>
      </c>
      <c r="B353" s="131" t="str">
        <f aca="false">INDEX('[4]Master Data'!$A$2:$B$8,MATCH(WEEKDAY('TBS CRD MTM'!A353,3),'[4]Master Data'!$A$2:$A$8,0),2)</f>
        <v>F</v>
      </c>
      <c r="D353" s="124" t="n">
        <v>-371</v>
      </c>
      <c r="E353" s="124" t="n">
        <v>0</v>
      </c>
      <c r="F353" s="124" t="n">
        <v>0</v>
      </c>
      <c r="G353" s="124" t="n">
        <v>-15538</v>
      </c>
      <c r="I353" s="124" t="n">
        <f aca="false">IF(MONTH($A353)=MONTH($A352),IF(G353=0,I352,G353),G353)</f>
        <v>-15538</v>
      </c>
      <c r="J353" s="124" t="n">
        <f aca="false">IF(MONTH($A353)=MONTH($A352),SUM(I353-I352),I353)</f>
        <v>423168</v>
      </c>
      <c r="K353" s="124" t="n">
        <f aca="false">IF(WEEKDAY(A353,3)&gt;4,0,(IF(A353&lt;K$2,0,IF(A353&lt;=K$3,1,0))))</f>
        <v>0</v>
      </c>
      <c r="L353" s="124" t="n">
        <f aca="false">J353*K353</f>
        <v>0</v>
      </c>
      <c r="M353" s="124" t="n">
        <f aca="false">SUM(J$280:J353)</f>
        <v>-319549</v>
      </c>
      <c r="N353" s="124" t="n">
        <f aca="false">SUM(J$6:J353)</f>
        <v>-1696406</v>
      </c>
      <c r="P353" s="148" t="n">
        <f aca="false">D353/P$3</f>
        <v>-0.371</v>
      </c>
      <c r="Q353" s="124" t="n">
        <f aca="false">E353/P$3</f>
        <v>0</v>
      </c>
      <c r="R353" s="124" t="n">
        <f aca="false">F353/R$3</f>
        <v>0</v>
      </c>
      <c r="S353" s="126" t="n">
        <f aca="false">J353/$R$3</f>
        <v>423.168</v>
      </c>
      <c r="T353" s="126" t="n">
        <f aca="false">L353/$R$3</f>
        <v>0</v>
      </c>
      <c r="U353" s="126" t="n">
        <f aca="false">I353/$R$3</f>
        <v>-15.538</v>
      </c>
      <c r="V353" s="126" t="n">
        <f aca="false">M353/$R$3</f>
        <v>-319.549</v>
      </c>
      <c r="W353" s="126" t="n">
        <f aca="false">N353/$R$3</f>
        <v>-1696.406</v>
      </c>
    </row>
    <row r="354" customFormat="false" ht="12.75" hidden="false" customHeight="false" outlineLevel="0" collapsed="false">
      <c r="A354" s="120" t="n">
        <f aca="false">A353+1</f>
        <v>37240</v>
      </c>
      <c r="B354" s="131" t="str">
        <f aca="false">INDEX('[4]Master Data'!$A$2:$B$8,MATCH(WEEKDAY('TBS CRD MTM'!A354,3),'[4]Master Data'!$A$2:$A$8,0),2)</f>
        <v>Sa</v>
      </c>
      <c r="D354" s="124" t="n">
        <v>-395</v>
      </c>
      <c r="E354" s="124" t="n">
        <v>0</v>
      </c>
      <c r="F354" s="124" t="n">
        <v>0</v>
      </c>
      <c r="G354" s="124" t="n">
        <v>171702</v>
      </c>
      <c r="I354" s="124" t="n">
        <f aca="false">IF(MONTH($A354)=MONTH($A353),IF(G354=0,I353,G354),G354)</f>
        <v>171702</v>
      </c>
      <c r="J354" s="124" t="n">
        <f aca="false">IF(MONTH($A354)=MONTH($A353),SUM(I354-I353),I354)</f>
        <v>187240</v>
      </c>
      <c r="K354" s="124" t="n">
        <f aca="false">IF(WEEKDAY(A354,3)&gt;4,0,(IF(A354&lt;K$2,0,IF(A354&lt;=K$3,1,0))))</f>
        <v>0</v>
      </c>
      <c r="L354" s="124" t="n">
        <f aca="false">J354*K354</f>
        <v>0</v>
      </c>
      <c r="M354" s="124" t="n">
        <f aca="false">SUM(J$280:J354)</f>
        <v>-132309</v>
      </c>
      <c r="N354" s="124" t="n">
        <f aca="false">SUM(J$6:J354)</f>
        <v>-1509166</v>
      </c>
      <c r="P354" s="148" t="n">
        <f aca="false">D354/P$3</f>
        <v>-0.395</v>
      </c>
      <c r="Q354" s="124" t="n">
        <f aca="false">E354/P$3</f>
        <v>0</v>
      </c>
      <c r="R354" s="124" t="n">
        <f aca="false">F354/R$3</f>
        <v>0</v>
      </c>
      <c r="S354" s="126" t="n">
        <f aca="false">J354/$R$3</f>
        <v>187.24</v>
      </c>
      <c r="T354" s="126" t="n">
        <f aca="false">L354/$R$3</f>
        <v>0</v>
      </c>
      <c r="U354" s="126" t="n">
        <f aca="false">I354/$R$3</f>
        <v>171.702</v>
      </c>
      <c r="V354" s="126" t="n">
        <f aca="false">M354/$R$3</f>
        <v>-132.309</v>
      </c>
      <c r="W354" s="126" t="n">
        <f aca="false">N354/$R$3</f>
        <v>-1509.166</v>
      </c>
    </row>
    <row r="355" customFormat="false" ht="12.75" hidden="false" customHeight="false" outlineLevel="0" collapsed="false">
      <c r="A355" s="120" t="n">
        <f aca="false">A354+1</f>
        <v>37241</v>
      </c>
      <c r="B355" s="131" t="str">
        <f aca="false">INDEX('[4]Master Data'!$A$2:$B$8,MATCH(WEEKDAY('TBS CRD MTM'!A355,3),'[4]Master Data'!$A$2:$A$8,0),2)</f>
        <v>Su</v>
      </c>
      <c r="D355" s="124" t="n">
        <v>-380</v>
      </c>
      <c r="E355" s="124" t="n">
        <v>0</v>
      </c>
      <c r="F355" s="124" t="n">
        <v>0</v>
      </c>
      <c r="G355" s="124" t="n">
        <v>9473</v>
      </c>
      <c r="I355" s="124" t="n">
        <f aca="false">IF(MONTH($A355)=MONTH($A354),IF(G355=0,I354,G355),G355)</f>
        <v>9473</v>
      </c>
      <c r="J355" s="124" t="n">
        <f aca="false">IF(MONTH($A355)=MONTH($A354),SUM(I355-I354),I355)</f>
        <v>-162229</v>
      </c>
      <c r="K355" s="124" t="n">
        <f aca="false">IF(WEEKDAY(A355,3)&gt;4,0,(IF(A355&lt;K$2,0,IF(A355&lt;=K$3,1,0))))</f>
        <v>0</v>
      </c>
      <c r="L355" s="124" t="n">
        <f aca="false">J355*K355</f>
        <v>-0</v>
      </c>
      <c r="M355" s="124" t="n">
        <f aca="false">SUM(J$280:J355)</f>
        <v>-294538</v>
      </c>
      <c r="N355" s="124" t="n">
        <f aca="false">SUM(J$6:J355)</f>
        <v>-1671395</v>
      </c>
      <c r="P355" s="148" t="n">
        <f aca="false">D355/P$3</f>
        <v>-0.38</v>
      </c>
      <c r="Q355" s="124" t="n">
        <f aca="false">E355/P$3</f>
        <v>0</v>
      </c>
      <c r="R355" s="124" t="n">
        <f aca="false">F355/R$3</f>
        <v>0</v>
      </c>
      <c r="S355" s="126" t="n">
        <f aca="false">J355/$R$3</f>
        <v>-162.229</v>
      </c>
      <c r="T355" s="126" t="n">
        <f aca="false">L355/$R$3</f>
        <v>-0</v>
      </c>
      <c r="U355" s="126" t="n">
        <f aca="false">I355/$R$3</f>
        <v>9.473</v>
      </c>
      <c r="V355" s="126" t="n">
        <f aca="false">M355/$R$3</f>
        <v>-294.538</v>
      </c>
      <c r="W355" s="126" t="n">
        <f aca="false">N355/$R$3</f>
        <v>-1671.395</v>
      </c>
    </row>
    <row r="356" customFormat="false" ht="12.75" hidden="false" customHeight="false" outlineLevel="0" collapsed="false">
      <c r="A356" s="120" t="n">
        <f aca="false">A355+1</f>
        <v>37242</v>
      </c>
      <c r="B356" s="131" t="str">
        <f aca="false">INDEX('[4]Master Data'!$A$2:$B$8,MATCH(WEEKDAY('TBS CRD MTM'!A356,3),'[4]Master Data'!$A$2:$A$8,0),2)</f>
        <v>M</v>
      </c>
      <c r="D356" s="124" t="n">
        <v>0</v>
      </c>
      <c r="E356" s="124" t="n">
        <v>0</v>
      </c>
      <c r="F356" s="124" t="n">
        <v>0</v>
      </c>
      <c r="G356" s="124" t="n">
        <v>0</v>
      </c>
      <c r="I356" s="124" t="n">
        <f aca="false">IF(MONTH($A356)=MONTH($A355),IF(G356=0,I355,G356),G356)</f>
        <v>9473</v>
      </c>
      <c r="J356" s="124" t="n">
        <f aca="false">IF(MONTH($A356)=MONTH($A355),SUM(I356-I355),I356)</f>
        <v>0</v>
      </c>
      <c r="K356" s="124" t="n">
        <f aca="false">IF(WEEKDAY(A356,3)&gt;4,0,(IF(A356&lt;K$2,0,IF(A356&lt;=K$3,1,0))))</f>
        <v>0</v>
      </c>
      <c r="L356" s="124" t="n">
        <f aca="false">J356*K356</f>
        <v>0</v>
      </c>
      <c r="M356" s="124" t="n">
        <f aca="false">SUM(J$280:J356)</f>
        <v>-294538</v>
      </c>
      <c r="N356" s="124" t="n">
        <f aca="false">SUM(J$6:J356)</f>
        <v>-1671395</v>
      </c>
      <c r="P356" s="148" t="n">
        <f aca="false">D356/P$3</f>
        <v>0</v>
      </c>
      <c r="Q356" s="124" t="n">
        <f aca="false">E356/P$3</f>
        <v>0</v>
      </c>
      <c r="R356" s="124" t="n">
        <f aca="false">F356/R$3</f>
        <v>0</v>
      </c>
      <c r="S356" s="126" t="n">
        <f aca="false">J356/$R$3</f>
        <v>0</v>
      </c>
      <c r="T356" s="126" t="n">
        <f aca="false">L356/$R$3</f>
        <v>0</v>
      </c>
      <c r="U356" s="126" t="n">
        <f aca="false">I356/$R$3</f>
        <v>9.473</v>
      </c>
      <c r="V356" s="126" t="n">
        <f aca="false">M356/$R$3</f>
        <v>-294.538</v>
      </c>
      <c r="W356" s="126" t="n">
        <f aca="false">N356/$R$3</f>
        <v>-1671.395</v>
      </c>
    </row>
    <row r="357" customFormat="false" ht="12.75" hidden="false" customHeight="false" outlineLevel="0" collapsed="false">
      <c r="A357" s="120" t="n">
        <f aca="false">A356+1</f>
        <v>37243</v>
      </c>
      <c r="B357" s="131" t="str">
        <f aca="false">INDEX('[4]Master Data'!$A$2:$B$8,MATCH(WEEKDAY('TBS CRD MTM'!A357,3),'[4]Master Data'!$A$2:$A$8,0),2)</f>
        <v>T</v>
      </c>
      <c r="D357" s="124" t="n">
        <v>0</v>
      </c>
      <c r="E357" s="124" t="n">
        <v>0</v>
      </c>
      <c r="F357" s="124" t="n">
        <v>0</v>
      </c>
      <c r="G357" s="124" t="n">
        <v>0</v>
      </c>
      <c r="I357" s="124" t="n">
        <f aca="false">IF(MONTH($A357)=MONTH($A356),IF(G357=0,I356,G357),G357)</f>
        <v>9473</v>
      </c>
      <c r="J357" s="124" t="n">
        <f aca="false">IF(MONTH($A357)=MONTH($A356),SUM(I357-I356),I357)</f>
        <v>0</v>
      </c>
      <c r="K357" s="124" t="n">
        <f aca="false">IF(WEEKDAY(A357,3)&gt;4,0,(IF(A357&lt;K$2,0,IF(A357&lt;=K$3,1,0))))</f>
        <v>0</v>
      </c>
      <c r="L357" s="124" t="n">
        <f aca="false">J357*K357</f>
        <v>0</v>
      </c>
      <c r="M357" s="124" t="n">
        <f aca="false">SUM(J$280:J357)</f>
        <v>-294538</v>
      </c>
      <c r="N357" s="124" t="n">
        <f aca="false">SUM(J$6:J357)</f>
        <v>-1671395</v>
      </c>
      <c r="P357" s="148" t="n">
        <f aca="false">D357/P$3</f>
        <v>0</v>
      </c>
      <c r="Q357" s="124" t="n">
        <f aca="false">E357/P$3</f>
        <v>0</v>
      </c>
      <c r="R357" s="124" t="n">
        <f aca="false">F357/R$3</f>
        <v>0</v>
      </c>
      <c r="S357" s="126" t="n">
        <f aca="false">J357/$R$3</f>
        <v>0</v>
      </c>
      <c r="T357" s="126" t="n">
        <f aca="false">L357/$R$3</f>
        <v>0</v>
      </c>
      <c r="U357" s="126" t="n">
        <f aca="false">I357/$R$3</f>
        <v>9.473</v>
      </c>
      <c r="V357" s="126" t="n">
        <f aca="false">M357/$R$3</f>
        <v>-294.538</v>
      </c>
      <c r="W357" s="126" t="n">
        <f aca="false">N357/$R$3</f>
        <v>-1671.395</v>
      </c>
    </row>
    <row r="358" customFormat="false" ht="12.75" hidden="false" customHeight="false" outlineLevel="0" collapsed="false">
      <c r="A358" s="120" t="n">
        <f aca="false">A357+1</f>
        <v>37244</v>
      </c>
      <c r="B358" s="131" t="str">
        <f aca="false">INDEX('[4]Master Data'!$A$2:$B$8,MATCH(WEEKDAY('TBS CRD MTM'!A358,3),'[4]Master Data'!$A$2:$A$8,0),2)</f>
        <v>W</v>
      </c>
      <c r="D358" s="124" t="n">
        <v>-369</v>
      </c>
      <c r="E358" s="124" t="n">
        <v>0</v>
      </c>
      <c r="F358" s="124" t="n">
        <v>0</v>
      </c>
      <c r="G358" s="124" t="n">
        <v>-92642</v>
      </c>
      <c r="I358" s="124" t="n">
        <f aca="false">IF(MONTH($A358)=MONTH($A357),IF(G358=0,I357,G358),G358)</f>
        <v>-92642</v>
      </c>
      <c r="J358" s="124" t="n">
        <f aca="false">IF(MONTH($A358)=MONTH($A357),SUM(I358-I357),I358)</f>
        <v>-102115</v>
      </c>
      <c r="K358" s="124" t="n">
        <f aca="false">IF(WEEKDAY(A358,3)&gt;4,0,(IF(A358&lt;K$2,0,IF(A358&lt;=K$3,1,0))))</f>
        <v>0</v>
      </c>
      <c r="L358" s="124" t="n">
        <f aca="false">J358*K358</f>
        <v>-0</v>
      </c>
      <c r="M358" s="124" t="n">
        <f aca="false">SUM(J$280:J358)</f>
        <v>-396653</v>
      </c>
      <c r="N358" s="124" t="n">
        <f aca="false">SUM(J$6:J358)</f>
        <v>-1773510</v>
      </c>
      <c r="P358" s="148" t="n">
        <f aca="false">D358/P$3</f>
        <v>-0.369</v>
      </c>
      <c r="Q358" s="124" t="n">
        <f aca="false">E358/P$3</f>
        <v>0</v>
      </c>
      <c r="R358" s="124" t="n">
        <f aca="false">F358/R$3</f>
        <v>0</v>
      </c>
      <c r="S358" s="126" t="n">
        <f aca="false">J358/$R$3</f>
        <v>-102.115</v>
      </c>
      <c r="T358" s="126" t="n">
        <f aca="false">L358/$R$3</f>
        <v>-0</v>
      </c>
      <c r="U358" s="126" t="n">
        <f aca="false">I358/$R$3</f>
        <v>-92.642</v>
      </c>
      <c r="V358" s="126" t="n">
        <f aca="false">M358/$R$3</f>
        <v>-396.653</v>
      </c>
      <c r="W358" s="126" t="n">
        <f aca="false">N358/$R$3</f>
        <v>-1773.51</v>
      </c>
    </row>
    <row r="359" customFormat="false" ht="12.75" hidden="false" customHeight="false" outlineLevel="0" collapsed="false">
      <c r="A359" s="120" t="n">
        <f aca="false">A358+1</f>
        <v>37245</v>
      </c>
      <c r="B359" s="131" t="str">
        <f aca="false">INDEX('[4]Master Data'!$A$2:$B$8,MATCH(WEEKDAY('TBS CRD MTM'!A359,3),'[4]Master Data'!$A$2:$A$8,0),2)</f>
        <v>Th</v>
      </c>
      <c r="D359" s="124" t="n">
        <v>-391</v>
      </c>
      <c r="E359" s="124" t="n">
        <v>0</v>
      </c>
      <c r="F359" s="124" t="n">
        <v>0</v>
      </c>
      <c r="G359" s="124" t="n">
        <v>163569</v>
      </c>
      <c r="I359" s="124" t="n">
        <f aca="false">IF(MONTH($A359)=MONTH($A358),IF(G359=0,I358,G359),G359)</f>
        <v>163569</v>
      </c>
      <c r="J359" s="124" t="n">
        <f aca="false">IF(MONTH($A359)=MONTH($A358),SUM(I359-I358),I359)</f>
        <v>256211</v>
      </c>
      <c r="K359" s="124" t="n">
        <f aca="false">IF(WEEKDAY(A359,3)&gt;4,0,(IF(A359&lt;K$2,0,IF(A359&lt;=K$3,1,0))))</f>
        <v>0</v>
      </c>
      <c r="L359" s="124" t="n">
        <f aca="false">J359*K359</f>
        <v>0</v>
      </c>
      <c r="M359" s="124" t="n">
        <f aca="false">SUM(J$280:J359)</f>
        <v>-140442</v>
      </c>
      <c r="N359" s="124" t="n">
        <f aca="false">SUM(J$6:J359)</f>
        <v>-1517299</v>
      </c>
      <c r="P359" s="148" t="n">
        <f aca="false">D359/P$3</f>
        <v>-0.391</v>
      </c>
      <c r="Q359" s="124" t="n">
        <f aca="false">E359/P$3</f>
        <v>0</v>
      </c>
      <c r="R359" s="124" t="n">
        <f aca="false">F359/R$3</f>
        <v>0</v>
      </c>
      <c r="S359" s="126" t="n">
        <f aca="false">J359/$R$3</f>
        <v>256.211</v>
      </c>
      <c r="T359" s="126" t="n">
        <f aca="false">L359/$R$3</f>
        <v>0</v>
      </c>
      <c r="U359" s="126" t="n">
        <f aca="false">I359/$R$3</f>
        <v>163.569</v>
      </c>
      <c r="V359" s="126" t="n">
        <f aca="false">M359/$R$3</f>
        <v>-140.442</v>
      </c>
      <c r="W359" s="126" t="n">
        <f aca="false">N359/$R$3</f>
        <v>-1517.299</v>
      </c>
    </row>
    <row r="360" customFormat="false" ht="12.75" hidden="false" customHeight="false" outlineLevel="0" collapsed="false">
      <c r="A360" s="120" t="n">
        <f aca="false">A359+1</f>
        <v>37246</v>
      </c>
      <c r="B360" s="131" t="str">
        <f aca="false">INDEX('[4]Master Data'!$A$2:$B$8,MATCH(WEEKDAY('TBS CRD MTM'!A360,3),'[4]Master Data'!$A$2:$A$8,0),2)</f>
        <v>F</v>
      </c>
      <c r="D360" s="124" t="n">
        <v>-446</v>
      </c>
      <c r="E360" s="124" t="n">
        <v>0</v>
      </c>
      <c r="F360" s="124" t="n">
        <v>0</v>
      </c>
      <c r="G360" s="124" t="n">
        <v>586560</v>
      </c>
      <c r="I360" s="124" t="n">
        <f aca="false">IF(MONTH($A360)=MONTH($A359),IF(G360=0,I359,G360),G360)</f>
        <v>586560</v>
      </c>
      <c r="J360" s="124" t="n">
        <f aca="false">IF(MONTH($A360)=MONTH($A359),SUM(I360-I359),I360)</f>
        <v>422991</v>
      </c>
      <c r="K360" s="124" t="n">
        <f aca="false">IF(WEEKDAY(A360,3)&gt;4,0,(IF(A360&lt;K$2,0,IF(A360&lt;=K$3,1,0))))</f>
        <v>0</v>
      </c>
      <c r="L360" s="124" t="n">
        <f aca="false">J360*K360</f>
        <v>0</v>
      </c>
      <c r="M360" s="124" t="n">
        <f aca="false">SUM(J$280:J360)</f>
        <v>282549</v>
      </c>
      <c r="N360" s="124" t="n">
        <f aca="false">SUM(J$6:J360)</f>
        <v>-1094308</v>
      </c>
      <c r="P360" s="148" t="n">
        <f aca="false">D360/P$3</f>
        <v>-0.446</v>
      </c>
      <c r="Q360" s="124" t="n">
        <f aca="false">E360/P$3</f>
        <v>0</v>
      </c>
      <c r="R360" s="124" t="n">
        <f aca="false">F360/R$3</f>
        <v>0</v>
      </c>
      <c r="S360" s="126" t="n">
        <f aca="false">J360/$R$3</f>
        <v>422.991</v>
      </c>
      <c r="T360" s="126" t="n">
        <f aca="false">L360/$R$3</f>
        <v>0</v>
      </c>
      <c r="U360" s="126" t="n">
        <f aca="false">I360/$R$3</f>
        <v>586.56</v>
      </c>
      <c r="V360" s="126" t="n">
        <f aca="false">M360/$R$3</f>
        <v>282.549</v>
      </c>
      <c r="W360" s="126" t="n">
        <f aca="false">N360/$R$3</f>
        <v>-1094.308</v>
      </c>
    </row>
    <row r="361" customFormat="false" ht="12.75" hidden="false" customHeight="false" outlineLevel="0" collapsed="false">
      <c r="A361" s="120" t="n">
        <f aca="false">A360+1</f>
        <v>37247</v>
      </c>
      <c r="B361" s="131" t="str">
        <f aca="false">INDEX('[4]Master Data'!$A$2:$B$8,MATCH(WEEKDAY('TBS CRD MTM'!A361,3),'[4]Master Data'!$A$2:$A$8,0),2)</f>
        <v>Sa</v>
      </c>
      <c r="D361" s="124" t="n">
        <v>-413</v>
      </c>
      <c r="E361" s="124" t="n">
        <v>0</v>
      </c>
      <c r="F361" s="124" t="n">
        <v>0</v>
      </c>
      <c r="G361" s="124" t="n">
        <v>331788</v>
      </c>
      <c r="I361" s="124" t="n">
        <f aca="false">IF(MONTH($A361)=MONTH($A360),IF(G361=0,I360,G361),G361)</f>
        <v>331788</v>
      </c>
      <c r="J361" s="124" t="n">
        <f aca="false">IF(MONTH($A361)=MONTH($A360),SUM(I361-I360),I361)</f>
        <v>-254772</v>
      </c>
      <c r="K361" s="124" t="n">
        <f aca="false">IF(WEEKDAY(A361,3)&gt;4,0,(IF(A361&lt;K$2,0,IF(A361&lt;=K$3,1,0))))</f>
        <v>0</v>
      </c>
      <c r="L361" s="124" t="n">
        <f aca="false">J361*K361</f>
        <v>-0</v>
      </c>
      <c r="M361" s="124" t="n">
        <f aca="false">SUM(J$280:J361)</f>
        <v>27777</v>
      </c>
      <c r="N361" s="124" t="n">
        <f aca="false">SUM(J$6:J361)</f>
        <v>-1349080</v>
      </c>
      <c r="P361" s="148" t="n">
        <f aca="false">D361/P$3</f>
        <v>-0.413</v>
      </c>
      <c r="Q361" s="124" t="n">
        <f aca="false">E361/P$3</f>
        <v>0</v>
      </c>
      <c r="R361" s="124" t="n">
        <f aca="false">F361/R$3</f>
        <v>0</v>
      </c>
      <c r="S361" s="126" t="n">
        <f aca="false">J361/$R$3</f>
        <v>-254.772</v>
      </c>
      <c r="T361" s="126" t="n">
        <f aca="false">L361/$R$3</f>
        <v>-0</v>
      </c>
      <c r="U361" s="126" t="n">
        <f aca="false">I361/$R$3</f>
        <v>331.788</v>
      </c>
      <c r="V361" s="126" t="n">
        <f aca="false">M361/$R$3</f>
        <v>27.777</v>
      </c>
      <c r="W361" s="126" t="n">
        <f aca="false">N361/$R$3</f>
        <v>-1349.08</v>
      </c>
    </row>
    <row r="362" customFormat="false" ht="12.75" hidden="false" customHeight="false" outlineLevel="0" collapsed="false">
      <c r="A362" s="120" t="n">
        <f aca="false">A361+1</f>
        <v>37248</v>
      </c>
      <c r="B362" s="131" t="str">
        <f aca="false">INDEX('[4]Master Data'!$A$2:$B$8,MATCH(WEEKDAY('TBS CRD MTM'!A362,3),'[4]Master Data'!$A$2:$A$8,0),2)</f>
        <v>Su</v>
      </c>
      <c r="D362" s="124" t="n">
        <v>-418</v>
      </c>
      <c r="E362" s="124" t="n">
        <v>0</v>
      </c>
      <c r="F362" s="124" t="n">
        <v>0</v>
      </c>
      <c r="G362" s="124" t="n">
        <v>368397</v>
      </c>
      <c r="I362" s="124" t="n">
        <f aca="false">IF(MONTH($A362)=MONTH($A361),IF(G362=0,I361,G362),G362)</f>
        <v>368397</v>
      </c>
      <c r="J362" s="124" t="n">
        <f aca="false">IF(MONTH($A362)=MONTH($A361),SUM(I362-I361),I362)</f>
        <v>36609</v>
      </c>
      <c r="K362" s="124" t="n">
        <f aca="false">IF(WEEKDAY(A362,3)&gt;4,0,(IF(A362&lt;K$2,0,IF(A362&lt;=K$3,1,0))))</f>
        <v>0</v>
      </c>
      <c r="L362" s="124" t="n">
        <f aca="false">J362*K362</f>
        <v>0</v>
      </c>
      <c r="M362" s="124" t="n">
        <f aca="false">SUM(J$280:J362)</f>
        <v>64386</v>
      </c>
      <c r="N362" s="124" t="n">
        <f aca="false">SUM(J$6:J362)</f>
        <v>-1312471</v>
      </c>
      <c r="P362" s="148" t="n">
        <f aca="false">D362/P$3</f>
        <v>-0.418</v>
      </c>
      <c r="Q362" s="124" t="n">
        <f aca="false">E362/P$3</f>
        <v>0</v>
      </c>
      <c r="R362" s="124" t="n">
        <f aca="false">F362/R$3</f>
        <v>0</v>
      </c>
      <c r="S362" s="126" t="n">
        <f aca="false">J362/$R$3</f>
        <v>36.609</v>
      </c>
      <c r="T362" s="126" t="n">
        <f aca="false">L362/$R$3</f>
        <v>0</v>
      </c>
      <c r="U362" s="126" t="n">
        <f aca="false">I362/$R$3</f>
        <v>368.397</v>
      </c>
      <c r="V362" s="126" t="n">
        <f aca="false">M362/$R$3</f>
        <v>64.386</v>
      </c>
      <c r="W362" s="126" t="n">
        <f aca="false">N362/$R$3</f>
        <v>-1312.471</v>
      </c>
    </row>
    <row r="363" customFormat="false" ht="12.75" hidden="false" customHeight="false" outlineLevel="0" collapsed="false">
      <c r="A363" s="120" t="n">
        <f aca="false">A362+1</f>
        <v>37249</v>
      </c>
      <c r="B363" s="131" t="str">
        <f aca="false">INDEX('[4]Master Data'!$A$2:$B$8,MATCH(WEEKDAY('TBS CRD MTM'!A363,3),'[4]Master Data'!$A$2:$A$8,0),2)</f>
        <v>M</v>
      </c>
      <c r="D363" s="124" t="n">
        <v>0</v>
      </c>
      <c r="E363" s="124" t="n">
        <v>0</v>
      </c>
      <c r="F363" s="124" t="n">
        <v>0</v>
      </c>
      <c r="G363" s="124" t="n">
        <v>0</v>
      </c>
      <c r="I363" s="124" t="n">
        <f aca="false">IF(MONTH($A363)=MONTH($A362),IF(G363=0,I362,G363),G363)</f>
        <v>368397</v>
      </c>
      <c r="J363" s="124" t="n">
        <f aca="false">IF(MONTH($A363)=MONTH($A362),SUM(I363-I362),I363)</f>
        <v>0</v>
      </c>
      <c r="K363" s="124" t="n">
        <f aca="false">IF(WEEKDAY(A363,3)&gt;4,0,(IF(A363&lt;K$2,0,IF(A363&lt;=K$3,1,0))))</f>
        <v>0</v>
      </c>
      <c r="L363" s="124" t="n">
        <f aca="false">J363*K363</f>
        <v>0</v>
      </c>
      <c r="M363" s="124" t="n">
        <f aca="false">SUM(J$280:J363)</f>
        <v>64386</v>
      </c>
      <c r="N363" s="124" t="n">
        <f aca="false">SUM(J$6:J363)</f>
        <v>-1312471</v>
      </c>
      <c r="P363" s="148" t="n">
        <f aca="false">D363/P$3</f>
        <v>0</v>
      </c>
      <c r="Q363" s="124" t="n">
        <f aca="false">E363/P$3</f>
        <v>0</v>
      </c>
      <c r="R363" s="124" t="n">
        <f aca="false">F363/R$3</f>
        <v>0</v>
      </c>
      <c r="S363" s="126" t="n">
        <f aca="false">J363/$R$3</f>
        <v>0</v>
      </c>
      <c r="T363" s="126" t="n">
        <f aca="false">L363/$R$3</f>
        <v>0</v>
      </c>
      <c r="U363" s="126" t="n">
        <f aca="false">I363/$R$3</f>
        <v>368.397</v>
      </c>
      <c r="V363" s="126" t="n">
        <f aca="false">M363/$R$3</f>
        <v>64.386</v>
      </c>
      <c r="W363" s="126" t="n">
        <f aca="false">N363/$R$3</f>
        <v>-1312.471</v>
      </c>
    </row>
    <row r="364" customFormat="false" ht="12.75" hidden="false" customHeight="false" outlineLevel="0" collapsed="false">
      <c r="A364" s="120" t="n">
        <f aca="false">A363+1</f>
        <v>37250</v>
      </c>
      <c r="B364" s="131" t="str">
        <f aca="false">INDEX('[4]Master Data'!$A$2:$B$8,MATCH(WEEKDAY('TBS CRD MTM'!A364,3),'[4]Master Data'!$A$2:$A$8,0),2)</f>
        <v>T</v>
      </c>
      <c r="D364" s="124" t="n">
        <v>0</v>
      </c>
      <c r="E364" s="124" t="n">
        <v>0</v>
      </c>
      <c r="F364" s="124" t="n">
        <v>0</v>
      </c>
      <c r="G364" s="124" t="n">
        <v>0</v>
      </c>
      <c r="I364" s="124" t="n">
        <f aca="false">IF(MONTH($A364)=MONTH($A363),IF(G364=0,I363,G364),G364)</f>
        <v>368397</v>
      </c>
      <c r="J364" s="124" t="n">
        <f aca="false">IF(MONTH($A364)=MONTH($A363),SUM(I364-I363),I364)</f>
        <v>0</v>
      </c>
      <c r="K364" s="124" t="n">
        <f aca="false">IF(WEEKDAY(A364,3)&gt;4,0,(IF(A364&lt;K$2,0,IF(A364&lt;=K$3,1,0))))</f>
        <v>0</v>
      </c>
      <c r="L364" s="124" t="n">
        <f aca="false">J364*K364</f>
        <v>0</v>
      </c>
      <c r="M364" s="124" t="n">
        <f aca="false">SUM(J$280:J364)</f>
        <v>64386</v>
      </c>
      <c r="N364" s="124" t="n">
        <f aca="false">SUM(J$6:J364)</f>
        <v>-1312471</v>
      </c>
      <c r="P364" s="148" t="n">
        <f aca="false">D364/P$3</f>
        <v>0</v>
      </c>
      <c r="Q364" s="124" t="n">
        <f aca="false">E364/P$3</f>
        <v>0</v>
      </c>
      <c r="R364" s="124" t="n">
        <f aca="false">F364/R$3</f>
        <v>0</v>
      </c>
      <c r="S364" s="126" t="n">
        <f aca="false">J364/$R$3</f>
        <v>0</v>
      </c>
      <c r="T364" s="126" t="n">
        <f aca="false">L364/$R$3</f>
        <v>0</v>
      </c>
      <c r="U364" s="126" t="n">
        <f aca="false">I364/$R$3</f>
        <v>368.397</v>
      </c>
      <c r="V364" s="126" t="n">
        <f aca="false">M364/$R$3</f>
        <v>64.386</v>
      </c>
      <c r="W364" s="126" t="n">
        <f aca="false">N364/$R$3</f>
        <v>-1312.471</v>
      </c>
    </row>
    <row r="365" customFormat="false" ht="12.75" hidden="false" customHeight="false" outlineLevel="0" collapsed="false">
      <c r="A365" s="120" t="n">
        <f aca="false">A364+1</f>
        <v>37251</v>
      </c>
      <c r="B365" s="131" t="str">
        <f aca="false">INDEX('[4]Master Data'!$A$2:$B$8,MATCH(WEEKDAY('TBS CRD MTM'!A365,3),'[4]Master Data'!$A$2:$A$8,0),2)</f>
        <v>W</v>
      </c>
      <c r="D365" s="124" t="n">
        <v>0</v>
      </c>
      <c r="E365" s="124" t="n">
        <v>0</v>
      </c>
      <c r="F365" s="124" t="n">
        <v>0</v>
      </c>
      <c r="G365" s="124" t="n">
        <v>0</v>
      </c>
      <c r="I365" s="124" t="n">
        <f aca="false">IF(MONTH($A365)=MONTH($A364),IF(G365=0,I364,G365),G365)</f>
        <v>368397</v>
      </c>
      <c r="J365" s="124" t="n">
        <f aca="false">IF(MONTH($A365)=MONTH($A364),SUM(I365-I364),I365)</f>
        <v>0</v>
      </c>
      <c r="K365" s="124" t="n">
        <f aca="false">IF(WEEKDAY(A365,3)&gt;4,0,(IF(A365&lt;K$2,0,IF(A365&lt;=K$3,1,0))))</f>
        <v>0</v>
      </c>
      <c r="L365" s="124" t="n">
        <f aca="false">J365*K365</f>
        <v>0</v>
      </c>
      <c r="M365" s="124" t="n">
        <f aca="false">SUM(J$280:J365)</f>
        <v>64386</v>
      </c>
      <c r="N365" s="124" t="n">
        <f aca="false">SUM(J$6:J365)</f>
        <v>-1312471</v>
      </c>
      <c r="P365" s="148" t="n">
        <f aca="false">D365/P$3</f>
        <v>0</v>
      </c>
      <c r="Q365" s="124" t="n">
        <f aca="false">E365/P$3</f>
        <v>0</v>
      </c>
      <c r="R365" s="124" t="n">
        <f aca="false">F365/R$3</f>
        <v>0</v>
      </c>
      <c r="S365" s="126" t="n">
        <f aca="false">J365/$R$3</f>
        <v>0</v>
      </c>
      <c r="T365" s="126" t="n">
        <f aca="false">L365/$R$3</f>
        <v>0</v>
      </c>
      <c r="U365" s="126" t="n">
        <f aca="false">I365/$R$3</f>
        <v>368.397</v>
      </c>
      <c r="V365" s="126" t="n">
        <f aca="false">M365/$R$3</f>
        <v>64.386</v>
      </c>
      <c r="W365" s="126" t="n">
        <f aca="false">N365/$R$3</f>
        <v>-1312.471</v>
      </c>
    </row>
    <row r="366" customFormat="false" ht="12.75" hidden="false" customHeight="false" outlineLevel="0" collapsed="false">
      <c r="A366" s="120" t="n">
        <f aca="false">A365+1</f>
        <v>37252</v>
      </c>
      <c r="B366" s="131" t="str">
        <f aca="false">INDEX('[4]Master Data'!$A$2:$B$8,MATCH(WEEKDAY('TBS CRD MTM'!A366,3),'[4]Master Data'!$A$2:$A$8,0),2)</f>
        <v>Th</v>
      </c>
      <c r="D366" s="124" t="n">
        <v>0</v>
      </c>
      <c r="E366" s="124" t="n">
        <v>0</v>
      </c>
      <c r="F366" s="124" t="n">
        <v>0</v>
      </c>
      <c r="G366" s="124" t="n">
        <v>0</v>
      </c>
      <c r="I366" s="124" t="n">
        <f aca="false">IF(MONTH($A366)=MONTH($A365),IF(G366=0,I365,G366),G366)</f>
        <v>368397</v>
      </c>
      <c r="J366" s="124" t="n">
        <f aca="false">IF(MONTH($A366)=MONTH($A365),SUM(I366-I365),I366)</f>
        <v>0</v>
      </c>
      <c r="K366" s="124" t="n">
        <f aca="false">IF(WEEKDAY(A366,3)&gt;4,0,(IF(A366&lt;K$2,0,IF(A366&lt;=K$3,1,0))))</f>
        <v>0</v>
      </c>
      <c r="L366" s="124" t="n">
        <f aca="false">J366*K366</f>
        <v>0</v>
      </c>
      <c r="M366" s="124" t="n">
        <f aca="false">SUM(J$280:J366)</f>
        <v>64386</v>
      </c>
      <c r="N366" s="124" t="n">
        <f aca="false">SUM(J$6:J366)</f>
        <v>-1312471</v>
      </c>
      <c r="P366" s="148" t="n">
        <f aca="false">D366/P$3</f>
        <v>0</v>
      </c>
      <c r="Q366" s="124" t="n">
        <f aca="false">E366/P$3</f>
        <v>0</v>
      </c>
      <c r="R366" s="124" t="n">
        <f aca="false">F366/R$3</f>
        <v>0</v>
      </c>
      <c r="S366" s="126" t="n">
        <f aca="false">J366/$R$3</f>
        <v>0</v>
      </c>
      <c r="T366" s="126" t="n">
        <f aca="false">L366/$R$3</f>
        <v>0</v>
      </c>
      <c r="U366" s="126" t="n">
        <f aca="false">I366/$R$3</f>
        <v>368.397</v>
      </c>
      <c r="V366" s="126" t="n">
        <f aca="false">M366/$R$3</f>
        <v>64.386</v>
      </c>
      <c r="W366" s="126" t="n">
        <f aca="false">N366/$R$3</f>
        <v>-1312.471</v>
      </c>
    </row>
    <row r="367" customFormat="false" ht="12.75" hidden="false" customHeight="false" outlineLevel="0" collapsed="false">
      <c r="A367" s="120" t="n">
        <f aca="false">A366+1</f>
        <v>37253</v>
      </c>
      <c r="B367" s="131" t="str">
        <f aca="false">INDEX('[4]Master Data'!$A$2:$B$8,MATCH(WEEKDAY('TBS CRD MTM'!A367,3),'[4]Master Data'!$A$2:$A$8,0),2)</f>
        <v>F</v>
      </c>
      <c r="D367" s="124" t="n">
        <v>-413</v>
      </c>
      <c r="E367" s="124" t="n">
        <v>0</v>
      </c>
      <c r="F367" s="124" t="n">
        <v>0</v>
      </c>
      <c r="G367" s="124" t="n">
        <v>362963</v>
      </c>
      <c r="I367" s="124" t="n">
        <f aca="false">IF(MONTH($A367)=MONTH($A366),IF(G367=0,I366,G367),G367)</f>
        <v>362963</v>
      </c>
      <c r="J367" s="124" t="n">
        <f aca="false">IF(MONTH($A367)=MONTH($A366),SUM(I367-I366),I367)</f>
        <v>-5434</v>
      </c>
      <c r="K367" s="124" t="n">
        <f aca="false">IF(WEEKDAY(A367,3)&gt;4,0,(IF(A367&lt;K$2,0,IF(A367&lt;=K$3,1,0))))</f>
        <v>0</v>
      </c>
      <c r="L367" s="124" t="n">
        <f aca="false">J367*K367</f>
        <v>-0</v>
      </c>
      <c r="M367" s="124" t="n">
        <f aca="false">SUM(J$280:J367)</f>
        <v>58952</v>
      </c>
      <c r="N367" s="124" t="n">
        <f aca="false">SUM(J$6:J367)</f>
        <v>-1317905</v>
      </c>
      <c r="P367" s="148" t="n">
        <f aca="false">D367/P$3</f>
        <v>-0.413</v>
      </c>
      <c r="Q367" s="124" t="n">
        <f aca="false">E367/P$3</f>
        <v>0</v>
      </c>
      <c r="R367" s="124" t="n">
        <f aca="false">F367/R$3</f>
        <v>0</v>
      </c>
      <c r="S367" s="126" t="n">
        <f aca="false">J367/$R$3</f>
        <v>-5.434</v>
      </c>
      <c r="T367" s="126" t="n">
        <f aca="false">L367/$R$3</f>
        <v>-0</v>
      </c>
      <c r="U367" s="126" t="n">
        <f aca="false">I367/$R$3</f>
        <v>362.963</v>
      </c>
      <c r="V367" s="126" t="n">
        <f aca="false">M367/$R$3</f>
        <v>58.952</v>
      </c>
      <c r="W367" s="126" t="n">
        <f aca="false">N367/$R$3</f>
        <v>-1317.905</v>
      </c>
    </row>
    <row r="368" customFormat="false" ht="12.75" hidden="false" customHeight="false" outlineLevel="0" collapsed="false">
      <c r="A368" s="120" t="n">
        <f aca="false">A367+1</f>
        <v>37254</v>
      </c>
      <c r="B368" s="131" t="str">
        <f aca="false">INDEX('[4]Master Data'!$A$2:$B$8,MATCH(WEEKDAY('TBS CRD MTM'!A368,3),'[4]Master Data'!$A$2:$A$8,0),2)</f>
        <v>Sa</v>
      </c>
      <c r="D368" s="124" t="n">
        <v>-381</v>
      </c>
      <c r="E368" s="124" t="n">
        <v>0</v>
      </c>
      <c r="F368" s="124" t="n">
        <v>0</v>
      </c>
      <c r="G368" s="124" t="n">
        <v>495637</v>
      </c>
      <c r="I368" s="124" t="n">
        <f aca="false">IF(MONTH($A368)=MONTH($A367),IF(G368=0,I367,G368),G368)</f>
        <v>495637</v>
      </c>
      <c r="J368" s="124" t="n">
        <f aca="false">IF(MONTH($A368)=MONTH($A367),SUM(I368-I367),I368)</f>
        <v>132674</v>
      </c>
      <c r="K368" s="124" t="n">
        <f aca="false">IF(WEEKDAY(A368,3)&gt;4,0,(IF(A368&lt;K$2,0,IF(A368&lt;=K$3,1,0))))</f>
        <v>0</v>
      </c>
      <c r="L368" s="124" t="n">
        <f aca="false">J368*K368</f>
        <v>0</v>
      </c>
      <c r="M368" s="124" t="n">
        <f aca="false">SUM(J$280:J368)</f>
        <v>191626</v>
      </c>
      <c r="N368" s="124" t="n">
        <f aca="false">SUM(J$6:J368)</f>
        <v>-1185231</v>
      </c>
      <c r="P368" s="148" t="n">
        <f aca="false">D368/P$3</f>
        <v>-0.381</v>
      </c>
      <c r="Q368" s="124" t="n">
        <f aca="false">E368/P$3</f>
        <v>0</v>
      </c>
      <c r="R368" s="124" t="n">
        <f aca="false">F368/R$3</f>
        <v>0</v>
      </c>
      <c r="S368" s="126" t="n">
        <f aca="false">J368/$R$3</f>
        <v>132.674</v>
      </c>
      <c r="T368" s="126" t="n">
        <f aca="false">L368/$R$3</f>
        <v>0</v>
      </c>
      <c r="U368" s="126" t="n">
        <f aca="false">I368/$R$3</f>
        <v>495.637</v>
      </c>
      <c r="V368" s="126" t="n">
        <f aca="false">M368/$R$3</f>
        <v>191.626</v>
      </c>
      <c r="W368" s="126" t="n">
        <f aca="false">N368/$R$3</f>
        <v>-1185.231</v>
      </c>
    </row>
    <row r="369" customFormat="false" ht="12.75" hidden="false" customHeight="false" outlineLevel="0" collapsed="false">
      <c r="A369" s="120" t="n">
        <f aca="false">A368+1</f>
        <v>37255</v>
      </c>
      <c r="B369" s="131" t="str">
        <f aca="false">INDEX('[4]Master Data'!$A$2:$B$8,MATCH(WEEKDAY('TBS CRD MTM'!A369,3),'[4]Master Data'!$A$2:$A$8,0),2)</f>
        <v>Su</v>
      </c>
      <c r="D369" s="124" t="n">
        <v>-365</v>
      </c>
      <c r="E369" s="124" t="n">
        <v>0</v>
      </c>
      <c r="F369" s="124" t="n">
        <v>0</v>
      </c>
      <c r="G369" s="124" t="n">
        <v>307017</v>
      </c>
      <c r="I369" s="124" t="n">
        <f aca="false">IF(MONTH($A369)=MONTH($A368),IF(G369=0,I368,G369),G369)</f>
        <v>307017</v>
      </c>
      <c r="J369" s="124" t="n">
        <f aca="false">IF(MONTH($A369)=MONTH($A368),SUM(I369-I368),I369)</f>
        <v>-188620</v>
      </c>
      <c r="K369" s="124" t="n">
        <f aca="false">IF(WEEKDAY(A369,3)&gt;4,0,(IF(A369&lt;K$2,0,IF(A369&lt;=K$3,1,0))))</f>
        <v>0</v>
      </c>
      <c r="L369" s="124" t="n">
        <f aca="false">J369*K369</f>
        <v>-0</v>
      </c>
      <c r="M369" s="124" t="n">
        <f aca="false">SUM(J$280:J369)</f>
        <v>3006</v>
      </c>
      <c r="N369" s="124" t="n">
        <f aca="false">SUM(J$6:J369)</f>
        <v>-1373851</v>
      </c>
      <c r="P369" s="148" t="n">
        <f aca="false">D369/P$3</f>
        <v>-0.365</v>
      </c>
      <c r="Q369" s="124" t="n">
        <f aca="false">E369/P$3</f>
        <v>0</v>
      </c>
      <c r="R369" s="124" t="n">
        <f aca="false">F369/R$3</f>
        <v>0</v>
      </c>
      <c r="S369" s="126" t="n">
        <f aca="false">J369/$R$3</f>
        <v>-188.62</v>
      </c>
      <c r="T369" s="126" t="n">
        <f aca="false">L369/$R$3</f>
        <v>-0</v>
      </c>
      <c r="U369" s="126" t="n">
        <f aca="false">I369/$R$3</f>
        <v>307.017</v>
      </c>
      <c r="V369" s="126" t="n">
        <f aca="false">M369/$R$3</f>
        <v>3.006</v>
      </c>
      <c r="W369" s="126" t="n">
        <f aca="false">N369/$R$3</f>
        <v>-1373.851</v>
      </c>
    </row>
    <row r="370" customFormat="false" ht="12.75" hidden="false" customHeight="false" outlineLevel="0" collapsed="false">
      <c r="A370" s="120" t="n">
        <f aca="false">A369+1</f>
        <v>37256</v>
      </c>
      <c r="B370" s="131" t="str">
        <f aca="false">INDEX('[4]Master Data'!$A$2:$B$8,MATCH(WEEKDAY('TBS CRD MTM'!A370,3),'[4]Master Data'!$A$2:$A$8,0),2)</f>
        <v>M</v>
      </c>
      <c r="D370" s="124" t="n">
        <v>0</v>
      </c>
      <c r="E370" s="124" t="n">
        <v>0</v>
      </c>
      <c r="F370" s="124" t="n">
        <v>0</v>
      </c>
      <c r="G370" s="124" t="n">
        <v>0</v>
      </c>
      <c r="I370" s="124" t="n">
        <f aca="false">IF(MONTH($A370)=MONTH($A369),IF(G370=0,I369,G370),G370)</f>
        <v>307017</v>
      </c>
      <c r="J370" s="124" t="n">
        <f aca="false">IF(MONTH($A370)=MONTH($A369),SUM(I370-I369),I370)</f>
        <v>0</v>
      </c>
      <c r="K370" s="124" t="n">
        <f aca="false">IF(WEEKDAY(A370,3)&gt;4,0,(IF(A370&lt;K$2,0,IF(A370&lt;=K$3,1,0))))</f>
        <v>0</v>
      </c>
      <c r="L370" s="124" t="n">
        <f aca="false">J370*K370</f>
        <v>0</v>
      </c>
      <c r="M370" s="124" t="n">
        <f aca="false">SUM(J$280:J370)</f>
        <v>3006</v>
      </c>
      <c r="N370" s="124" t="n">
        <f aca="false">SUM(J$6:J370)</f>
        <v>-1373851</v>
      </c>
      <c r="P370" s="148" t="n">
        <f aca="false">D370/P$3</f>
        <v>0</v>
      </c>
      <c r="Q370" s="124" t="n">
        <f aca="false">E370/P$3</f>
        <v>0</v>
      </c>
      <c r="R370" s="124" t="n">
        <f aca="false">F370/R$3</f>
        <v>0</v>
      </c>
      <c r="S370" s="126" t="n">
        <f aca="false">J370/$R$3</f>
        <v>0</v>
      </c>
      <c r="T370" s="126" t="n">
        <f aca="false">L370/$R$3</f>
        <v>0</v>
      </c>
      <c r="U370" s="126" t="n">
        <f aca="false">I370/$R$3</f>
        <v>307.017</v>
      </c>
      <c r="V370" s="126" t="n">
        <f aca="false">M370/$R$3</f>
        <v>3.006</v>
      </c>
      <c r="W370" s="126" t="n">
        <f aca="false">N370/$R$3</f>
        <v>-1373.851</v>
      </c>
    </row>
    <row r="371" customFormat="false" ht="12.75" hidden="false" customHeight="false" outlineLevel="0" collapsed="false">
      <c r="A371" s="120" t="n">
        <f aca="false">A370+1</f>
        <v>37257</v>
      </c>
      <c r="B371" s="131" t="str">
        <f aca="false">INDEX('[4]Master Data'!$A$2:$B$8,MATCH(WEEKDAY('TBS CRD MTM'!A371,3),'[4]Master Data'!$A$2:$A$8,0),2)</f>
        <v>T</v>
      </c>
      <c r="D371" s="124" t="n">
        <v>0</v>
      </c>
      <c r="E371" s="124" t="n">
        <v>0</v>
      </c>
      <c r="F371" s="124" t="n">
        <v>0</v>
      </c>
      <c r="G371" s="124" t="n">
        <v>0</v>
      </c>
      <c r="I371" s="124" t="n">
        <f aca="false">IF(MONTH($A371)=MONTH($A370),IF(G371=0,I370,G371),G371)</f>
        <v>0</v>
      </c>
      <c r="J371" s="124" t="n">
        <f aca="false">IF(MONTH($A371)=MONTH($A370),SUM(I371-I370),I371)</f>
        <v>0</v>
      </c>
      <c r="K371" s="124" t="n">
        <f aca="false">IF(WEEKDAY(A371,3)&gt;4,0,(IF(A371&lt;K$2,0,IF(A371&lt;=K$3,1,0))))</f>
        <v>0</v>
      </c>
      <c r="L371" s="124" t="n">
        <f aca="false">J371*K371</f>
        <v>0</v>
      </c>
      <c r="M371" s="124" t="n">
        <f aca="false">SUM(J$280:J371)</f>
        <v>3006</v>
      </c>
      <c r="N371" s="124" t="n">
        <f aca="false">SUM(J$6:J371)</f>
        <v>-1373851</v>
      </c>
      <c r="P371" s="148" t="n">
        <f aca="false">D371/P$3</f>
        <v>0</v>
      </c>
      <c r="Q371" s="124" t="n">
        <f aca="false">E371/P$3</f>
        <v>0</v>
      </c>
      <c r="R371" s="124" t="n">
        <f aca="false">F371/R$3</f>
        <v>0</v>
      </c>
      <c r="S371" s="126" t="n">
        <f aca="false">J371/$R$3</f>
        <v>0</v>
      </c>
      <c r="T371" s="126" t="n">
        <f aca="false">L371/$R$3</f>
        <v>0</v>
      </c>
      <c r="U371" s="126" t="n">
        <f aca="false">I371/$R$3</f>
        <v>0</v>
      </c>
      <c r="V371" s="126" t="n">
        <f aca="false">M371/$R$3</f>
        <v>3.006</v>
      </c>
      <c r="W371" s="126" t="n">
        <f aca="false">N371/$R$3</f>
        <v>-1373.851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2" activeCellId="0" sqref="A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1.7"/>
  </cols>
  <sheetData>
    <row r="1" customFormat="false" ht="12.75" hidden="false" customHeight="false" outlineLevel="0" collapsed="false">
      <c r="A1" s="0" t="s">
        <v>88</v>
      </c>
    </row>
    <row r="2" customFormat="false" ht="12.75" hidden="false" customHeight="false" outlineLevel="0" collapsed="false">
      <c r="A2" s="0" t="n">
        <v>0</v>
      </c>
      <c r="B2" s="0" t="s">
        <v>89</v>
      </c>
    </row>
    <row r="3" customFormat="false" ht="12.75" hidden="false" customHeight="false" outlineLevel="0" collapsed="false">
      <c r="A3" s="0" t="n">
        <v>1</v>
      </c>
      <c r="B3" s="0" t="s">
        <v>90</v>
      </c>
    </row>
    <row r="4" customFormat="false" ht="12.75" hidden="false" customHeight="false" outlineLevel="0" collapsed="false">
      <c r="A4" s="0" t="n">
        <v>2</v>
      </c>
      <c r="B4" s="0" t="s">
        <v>91</v>
      </c>
    </row>
    <row r="5" customFormat="false" ht="12.75" hidden="false" customHeight="false" outlineLevel="0" collapsed="false">
      <c r="A5" s="0" t="n">
        <v>3</v>
      </c>
      <c r="B5" s="0" t="s">
        <v>92</v>
      </c>
    </row>
    <row r="6" customFormat="false" ht="12.75" hidden="false" customHeight="false" outlineLevel="0" collapsed="false">
      <c r="A6" s="0" t="n">
        <v>4</v>
      </c>
      <c r="B6" s="0" t="s">
        <v>93</v>
      </c>
    </row>
    <row r="7" customFormat="false" ht="12.75" hidden="false" customHeight="false" outlineLevel="0" collapsed="false">
      <c r="A7" s="0" t="n">
        <v>5</v>
      </c>
      <c r="B7" s="0" t="s">
        <v>94</v>
      </c>
    </row>
    <row r="8" customFormat="false" ht="12.75" hidden="false" customHeight="false" outlineLevel="0" collapsed="false">
      <c r="A8" s="0" t="n">
        <v>6</v>
      </c>
      <c r="B8" s="0" t="s">
        <v>95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310" activeCellId="0" sqref="E310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20" width="7.28"/>
    <col collapsed="false" customWidth="true" hidden="false" outlineLevel="0" max="2" min="2" style="121" width="4.14"/>
    <col collapsed="false" customWidth="true" hidden="false" outlineLevel="0" max="3" min="3" style="122" width="2.7"/>
    <col collapsed="false" customWidth="true" hidden="false" outlineLevel="0" max="7" min="4" style="121" width="14.99"/>
    <col collapsed="false" customWidth="true" hidden="false" outlineLevel="0" max="8" min="8" style="122" width="2.7"/>
    <col collapsed="false" customWidth="true" hidden="false" outlineLevel="0" max="9" min="9" style="123" width="13.14"/>
    <col collapsed="false" customWidth="true" hidden="false" outlineLevel="0" max="10" min="10" style="124" width="13.14"/>
    <col collapsed="false" customWidth="true" hidden="false" outlineLevel="0" max="11" min="11" style="124" width="10.99"/>
    <col collapsed="false" customWidth="true" hidden="false" outlineLevel="0" max="14" min="12" style="124" width="13.14"/>
    <col collapsed="false" customWidth="true" hidden="false" outlineLevel="0" max="15" min="15" style="125" width="2.7"/>
    <col collapsed="false" customWidth="true" hidden="false" outlineLevel="0" max="18" min="16" style="121" width="16.13"/>
    <col collapsed="false" customWidth="true" hidden="false" outlineLevel="0" max="23" min="19" style="126" width="12.7"/>
    <col collapsed="false" customWidth="false" hidden="false" outlineLevel="0" max="257" min="24" style="121" width="9.14"/>
  </cols>
  <sheetData>
    <row r="1" customFormat="false" ht="12.75" hidden="false" customHeight="false" outlineLevel="0" collapsed="false">
      <c r="A1" s="127" t="n">
        <v>1</v>
      </c>
      <c r="B1" s="121" t="n">
        <f aca="false">+A1+1</f>
        <v>2</v>
      </c>
      <c r="C1" s="122" t="n">
        <f aca="false">+B1+1</f>
        <v>3</v>
      </c>
      <c r="D1" s="121" t="n">
        <f aca="false">+C1+1</f>
        <v>4</v>
      </c>
      <c r="E1" s="121" t="n">
        <f aca="false">+D1+1</f>
        <v>5</v>
      </c>
      <c r="F1" s="121" t="n">
        <f aca="false">+E1+1</f>
        <v>6</v>
      </c>
      <c r="G1" s="121" t="n">
        <f aca="false">+F1+1</f>
        <v>7</v>
      </c>
      <c r="H1" s="122" t="n">
        <f aca="false">+G1+1</f>
        <v>8</v>
      </c>
      <c r="I1" s="123" t="n">
        <f aca="false">+H1+1</f>
        <v>9</v>
      </c>
      <c r="J1" s="124" t="n">
        <f aca="false">+I1+1</f>
        <v>10</v>
      </c>
      <c r="K1" s="124" t="n">
        <f aca="false">+J1+1</f>
        <v>11</v>
      </c>
      <c r="L1" s="124" t="n">
        <f aca="false">+K1+1</f>
        <v>12</v>
      </c>
      <c r="M1" s="124" t="n">
        <f aca="false">+L1+1</f>
        <v>13</v>
      </c>
      <c r="N1" s="124" t="n">
        <f aca="false">+M1+1</f>
        <v>14</v>
      </c>
      <c r="O1" s="125" t="n">
        <f aca="false">+N1+1</f>
        <v>15</v>
      </c>
      <c r="P1" s="121" t="n">
        <f aca="false">+O1+1</f>
        <v>16</v>
      </c>
      <c r="Q1" s="121" t="n">
        <f aca="false">+P1+1</f>
        <v>17</v>
      </c>
      <c r="R1" s="121" t="n">
        <f aca="false">+Q1+1</f>
        <v>18</v>
      </c>
      <c r="S1" s="121" t="n">
        <f aca="false">+R1+1</f>
        <v>19</v>
      </c>
      <c r="T1" s="121" t="n">
        <f aca="false">+S1+1</f>
        <v>20</v>
      </c>
      <c r="U1" s="121" t="n">
        <f aca="false">+T1+1</f>
        <v>21</v>
      </c>
      <c r="V1" s="121" t="n">
        <f aca="false">+U1+1</f>
        <v>22</v>
      </c>
      <c r="W1" s="121" t="n">
        <f aca="false">+V1+1</f>
        <v>23</v>
      </c>
    </row>
    <row r="2" customFormat="false" ht="12.75" hidden="false" customHeight="false" outlineLevel="0" collapsed="false">
      <c r="K2" s="128" t="n">
        <f aca="false">WORKDAY(K3,-4)</f>
        <v>37190</v>
      </c>
    </row>
    <row r="3" customFormat="false" ht="12.75" hidden="false" customHeight="false" outlineLevel="0" collapsed="false">
      <c r="K3" s="128" t="n">
        <f aca="false">Summary!B8</f>
        <v>37196</v>
      </c>
      <c r="L3" s="129" t="n">
        <f aca="false">SUM(L6:L371)</f>
        <v>0</v>
      </c>
      <c r="P3" s="124" t="n">
        <v>1000000</v>
      </c>
      <c r="Q3" s="124"/>
      <c r="R3" s="124" t="n">
        <v>1000</v>
      </c>
      <c r="S3" s="121"/>
      <c r="T3" s="130" t="n">
        <f aca="false">SUM(T6:T371)</f>
        <v>0</v>
      </c>
    </row>
    <row r="4" customFormat="false" ht="12.75" hidden="false" customHeight="false" outlineLevel="0" collapsed="false">
      <c r="D4" s="131" t="s">
        <v>57</v>
      </c>
      <c r="E4" s="131" t="s">
        <v>57</v>
      </c>
      <c r="F4" s="131" t="s">
        <v>58</v>
      </c>
      <c r="G4" s="131" t="s">
        <v>58</v>
      </c>
      <c r="I4" s="132" t="s">
        <v>58</v>
      </c>
      <c r="J4" s="132"/>
      <c r="K4" s="132"/>
      <c r="L4" s="132"/>
      <c r="M4" s="132"/>
      <c r="N4" s="132"/>
      <c r="O4" s="133"/>
      <c r="P4" s="134" t="s">
        <v>59</v>
      </c>
      <c r="Q4" s="134"/>
      <c r="R4" s="135" t="s">
        <v>60</v>
      </c>
      <c r="S4" s="135"/>
      <c r="T4" s="135"/>
      <c r="U4" s="135"/>
      <c r="V4" s="135"/>
      <c r="W4" s="135"/>
    </row>
    <row r="5" customFormat="false" ht="12.75" hidden="false" customHeight="false" outlineLevel="0" collapsed="false">
      <c r="A5" s="136" t="s">
        <v>61</v>
      </c>
      <c r="B5" s="131" t="s">
        <v>62</v>
      </c>
      <c r="C5" s="137"/>
      <c r="D5" s="138" t="s">
        <v>63</v>
      </c>
      <c r="E5" s="138" t="s">
        <v>64</v>
      </c>
      <c r="F5" s="138" t="s">
        <v>65</v>
      </c>
      <c r="G5" s="138" t="s">
        <v>66</v>
      </c>
      <c r="H5" s="139"/>
      <c r="I5" s="138" t="s">
        <v>67</v>
      </c>
      <c r="J5" s="140" t="s">
        <v>68</v>
      </c>
      <c r="K5" s="140" t="s">
        <v>69</v>
      </c>
      <c r="L5" s="140" t="s">
        <v>70</v>
      </c>
      <c r="M5" s="140" t="s">
        <v>71</v>
      </c>
      <c r="N5" s="140" t="s">
        <v>72</v>
      </c>
      <c r="O5" s="141"/>
      <c r="P5" s="138" t="s">
        <v>63</v>
      </c>
      <c r="Q5" s="138" t="s">
        <v>64</v>
      </c>
      <c r="R5" s="138" t="s">
        <v>65</v>
      </c>
      <c r="S5" s="142" t="s">
        <v>68</v>
      </c>
      <c r="T5" s="140" t="s">
        <v>70</v>
      </c>
      <c r="U5" s="142" t="s">
        <v>66</v>
      </c>
      <c r="V5" s="142" t="s">
        <v>71</v>
      </c>
      <c r="W5" s="142" t="s">
        <v>72</v>
      </c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1"/>
      <c r="AW5" s="131"/>
      <c r="AX5" s="131"/>
      <c r="AY5" s="131"/>
      <c r="AZ5" s="131"/>
      <c r="BA5" s="131"/>
      <c r="BB5" s="131"/>
      <c r="BC5" s="131"/>
      <c r="BD5" s="131"/>
      <c r="BE5" s="131"/>
      <c r="BF5" s="131"/>
      <c r="BG5" s="131"/>
      <c r="BH5" s="131"/>
      <c r="BI5" s="131"/>
      <c r="BJ5" s="131"/>
      <c r="BK5" s="131"/>
      <c r="BL5" s="131"/>
      <c r="BM5" s="131"/>
      <c r="BN5" s="131"/>
      <c r="BO5" s="131"/>
      <c r="BP5" s="131"/>
      <c r="BQ5" s="131"/>
      <c r="BR5" s="131"/>
      <c r="BS5" s="131"/>
      <c r="BT5" s="131"/>
      <c r="BU5" s="131"/>
      <c r="BV5" s="131"/>
      <c r="BW5" s="131"/>
      <c r="BX5" s="131"/>
      <c r="BY5" s="131"/>
      <c r="BZ5" s="131"/>
      <c r="CA5" s="131"/>
      <c r="CB5" s="131"/>
      <c r="CC5" s="131"/>
      <c r="CD5" s="131"/>
      <c r="CE5" s="131"/>
      <c r="CF5" s="131"/>
      <c r="CG5" s="131"/>
      <c r="CH5" s="131"/>
      <c r="CI5" s="131"/>
      <c r="CJ5" s="131"/>
      <c r="CK5" s="131"/>
      <c r="CL5" s="131"/>
      <c r="CM5" s="131"/>
      <c r="CN5" s="131"/>
      <c r="CO5" s="131"/>
      <c r="CP5" s="131"/>
      <c r="CQ5" s="131"/>
      <c r="CR5" s="131"/>
      <c r="CS5" s="131"/>
      <c r="CT5" s="131"/>
      <c r="CU5" s="131"/>
      <c r="CV5" s="131"/>
      <c r="CW5" s="131"/>
      <c r="CX5" s="131"/>
      <c r="CY5" s="131"/>
      <c r="CZ5" s="131"/>
      <c r="DA5" s="131"/>
      <c r="DB5" s="131"/>
      <c r="DC5" s="131"/>
      <c r="DD5" s="131"/>
      <c r="DE5" s="131"/>
      <c r="DF5" s="131"/>
      <c r="DG5" s="131"/>
      <c r="DH5" s="131"/>
      <c r="DI5" s="131"/>
      <c r="DJ5" s="131"/>
      <c r="DK5" s="131"/>
      <c r="DL5" s="131"/>
      <c r="DM5" s="131"/>
      <c r="DN5" s="131"/>
      <c r="DO5" s="131"/>
      <c r="DP5" s="131"/>
      <c r="DQ5" s="131"/>
      <c r="DR5" s="131"/>
      <c r="DS5" s="131"/>
      <c r="DT5" s="131"/>
      <c r="DU5" s="131"/>
      <c r="DV5" s="131"/>
      <c r="DW5" s="131"/>
      <c r="DX5" s="131"/>
      <c r="DY5" s="131"/>
      <c r="DZ5" s="131"/>
      <c r="EA5" s="131"/>
      <c r="EB5" s="131"/>
      <c r="EC5" s="131"/>
      <c r="ED5" s="131"/>
      <c r="EE5" s="131"/>
      <c r="EF5" s="131"/>
      <c r="EG5" s="131"/>
      <c r="EH5" s="131"/>
      <c r="EI5" s="131"/>
      <c r="EJ5" s="131"/>
      <c r="EK5" s="131"/>
      <c r="EL5" s="131"/>
      <c r="EM5" s="131"/>
      <c r="EN5" s="131"/>
      <c r="EO5" s="131"/>
      <c r="EP5" s="131"/>
      <c r="EQ5" s="131"/>
      <c r="ER5" s="131"/>
      <c r="ES5" s="131"/>
      <c r="ET5" s="131"/>
      <c r="EU5" s="131"/>
      <c r="EV5" s="131"/>
      <c r="EW5" s="131"/>
      <c r="EX5" s="131"/>
      <c r="EY5" s="131"/>
      <c r="EZ5" s="131"/>
      <c r="FA5" s="131"/>
      <c r="FB5" s="131"/>
      <c r="FC5" s="131"/>
      <c r="FD5" s="131"/>
      <c r="FE5" s="131"/>
      <c r="FF5" s="131"/>
      <c r="FG5" s="131"/>
      <c r="FH5" s="131"/>
      <c r="FI5" s="131"/>
      <c r="FJ5" s="131"/>
      <c r="FK5" s="131"/>
      <c r="FL5" s="131"/>
      <c r="FM5" s="131"/>
      <c r="FN5" s="131"/>
      <c r="FO5" s="131"/>
      <c r="FP5" s="131"/>
      <c r="FQ5" s="131"/>
      <c r="FR5" s="131"/>
      <c r="FS5" s="131"/>
      <c r="FT5" s="131"/>
      <c r="FU5" s="131"/>
      <c r="FV5" s="131"/>
      <c r="FW5" s="131"/>
      <c r="FX5" s="131"/>
      <c r="FY5" s="131"/>
      <c r="FZ5" s="131"/>
      <c r="GA5" s="131"/>
      <c r="GB5" s="131"/>
      <c r="GC5" s="131"/>
      <c r="GD5" s="131"/>
      <c r="GE5" s="131"/>
      <c r="GF5" s="131"/>
      <c r="GG5" s="131"/>
      <c r="GH5" s="131"/>
      <c r="GI5" s="131"/>
      <c r="GJ5" s="131"/>
      <c r="GK5" s="131"/>
      <c r="GL5" s="131"/>
      <c r="GM5" s="131"/>
      <c r="GN5" s="131"/>
      <c r="GO5" s="131"/>
      <c r="GP5" s="131"/>
      <c r="GQ5" s="131"/>
      <c r="GR5" s="131"/>
      <c r="GS5" s="131"/>
      <c r="GT5" s="131"/>
      <c r="GU5" s="131"/>
      <c r="GV5" s="131"/>
      <c r="GW5" s="131"/>
      <c r="GX5" s="131"/>
      <c r="GY5" s="131"/>
      <c r="GZ5" s="131"/>
      <c r="HA5" s="131"/>
      <c r="HB5" s="131"/>
      <c r="HC5" s="131"/>
      <c r="HD5" s="131"/>
      <c r="HE5" s="131"/>
      <c r="HF5" s="131"/>
      <c r="HG5" s="131"/>
      <c r="HH5" s="131"/>
      <c r="HI5" s="131"/>
      <c r="HJ5" s="131"/>
      <c r="HK5" s="131"/>
      <c r="HL5" s="131"/>
      <c r="HM5" s="131"/>
      <c r="HN5" s="131"/>
      <c r="HO5" s="131"/>
      <c r="HP5" s="131"/>
      <c r="HQ5" s="131"/>
      <c r="HR5" s="131"/>
      <c r="HS5" s="131"/>
      <c r="HT5" s="131"/>
      <c r="HU5" s="131"/>
      <c r="HV5" s="131"/>
      <c r="HW5" s="131"/>
      <c r="HX5" s="131"/>
      <c r="HY5" s="131"/>
      <c r="HZ5" s="131"/>
      <c r="IA5" s="131"/>
      <c r="IB5" s="131"/>
      <c r="IC5" s="131"/>
      <c r="ID5" s="131"/>
      <c r="IE5" s="131"/>
      <c r="IF5" s="131"/>
      <c r="IG5" s="131"/>
      <c r="IH5" s="131"/>
      <c r="II5" s="131"/>
      <c r="IJ5" s="131"/>
      <c r="IK5" s="131"/>
      <c r="IL5" s="131"/>
      <c r="IM5" s="131"/>
      <c r="IN5" s="131"/>
      <c r="IO5" s="131"/>
      <c r="IP5" s="131"/>
      <c r="IQ5" s="131"/>
      <c r="IR5" s="131"/>
      <c r="IS5" s="131"/>
      <c r="IT5" s="131"/>
      <c r="IU5" s="131"/>
      <c r="IV5" s="131"/>
      <c r="IW5" s="131"/>
    </row>
    <row r="6" customFormat="false" ht="12.75" hidden="true" customHeight="false" outlineLevel="0" collapsed="false">
      <c r="A6" s="120" t="n">
        <v>36892</v>
      </c>
      <c r="B6" s="131" t="str">
        <f aca="false">INDEX('Master Data'!$A$2:$B$8,MATCH(WEEKDAY('Arg Total Power'!A6,3),'Master Data'!$A$2:$A$8,0),2)</f>
        <v>M</v>
      </c>
      <c r="D6" s="124" t="n">
        <v>0</v>
      </c>
      <c r="E6" s="124" t="n">
        <v>0</v>
      </c>
      <c r="F6" s="124" t="n">
        <v>0</v>
      </c>
      <c r="G6" s="124" t="n">
        <v>0</v>
      </c>
      <c r="I6" s="124" t="n">
        <f aca="false">G6</f>
        <v>0</v>
      </c>
      <c r="J6" s="124" t="n">
        <f aca="false">I6</f>
        <v>0</v>
      </c>
      <c r="K6" s="124" t="n">
        <f aca="false">IF(WEEKDAY(A6,3)&gt;4,0,(IF(A6&lt;K$2,0,IF(A6&lt;=K$3,1,0))))</f>
        <v>0</v>
      </c>
      <c r="L6" s="124" t="n">
        <f aca="false">J6*K6</f>
        <v>0</v>
      </c>
      <c r="M6" s="124" t="n">
        <f aca="false">SUM(J$6:J6)</f>
        <v>0</v>
      </c>
      <c r="N6" s="124" t="n">
        <f aca="false">SUM(J$6:J6)</f>
        <v>0</v>
      </c>
      <c r="P6" s="124" t="n">
        <f aca="false">D6/P$3</f>
        <v>0</v>
      </c>
      <c r="Q6" s="143" t="n">
        <f aca="false">E6/P$3</f>
        <v>0</v>
      </c>
      <c r="R6" s="124" t="n">
        <f aca="false">F6/R$3</f>
        <v>0</v>
      </c>
      <c r="S6" s="126" t="n">
        <f aca="false">J6/$R$3</f>
        <v>0</v>
      </c>
      <c r="T6" s="126" t="n">
        <f aca="false">L6/$R$3</f>
        <v>0</v>
      </c>
      <c r="U6" s="126" t="n">
        <f aca="false">I6/$R$3</f>
        <v>0</v>
      </c>
      <c r="V6" s="126" t="n">
        <f aca="false">M6/$R$3</f>
        <v>0</v>
      </c>
      <c r="W6" s="126" t="n">
        <f aca="false">N6/$R$3</f>
        <v>0</v>
      </c>
    </row>
    <row r="7" customFormat="false" ht="12.75" hidden="true" customHeight="false" outlineLevel="0" collapsed="false">
      <c r="A7" s="120" t="n">
        <f aca="false">A6+1</f>
        <v>36893</v>
      </c>
      <c r="B7" s="131" t="str">
        <f aca="false">INDEX('Master Data'!$A$2:$B$8,MATCH(WEEKDAY('Arg Total Power'!A7,3),'Master Data'!$A$2:$A$8,0),2)</f>
        <v>T</v>
      </c>
      <c r="D7" s="124" t="n">
        <v>0</v>
      </c>
      <c r="E7" s="124" t="n">
        <v>86178</v>
      </c>
      <c r="F7" s="124" t="n">
        <v>0</v>
      </c>
      <c r="G7" s="124" t="n">
        <v>0</v>
      </c>
      <c r="I7" s="124" t="n">
        <f aca="false">IF(MONTH($A7)=MONTH($A6),IF(G7=0,I6,G7),0)</f>
        <v>0</v>
      </c>
      <c r="J7" s="124" t="n">
        <f aca="false">IF(MONTH($A7)=MONTH($A6),SUM(I7-I6),I7)</f>
        <v>0</v>
      </c>
      <c r="K7" s="124" t="n">
        <f aca="false">IF(WEEKDAY(A7,3)&gt;4,0,(IF(A7&lt;K$2,0,IF(A7&lt;=K$3,1,0))))</f>
        <v>0</v>
      </c>
      <c r="L7" s="124" t="n">
        <f aca="false">J7*K7</f>
        <v>0</v>
      </c>
      <c r="M7" s="124" t="n">
        <f aca="false">SUM(J$6:J7)</f>
        <v>0</v>
      </c>
      <c r="N7" s="124" t="n">
        <f aca="false">SUM(J$6:J7)</f>
        <v>0</v>
      </c>
      <c r="P7" s="124" t="n">
        <f aca="false">D7/P$3</f>
        <v>0</v>
      </c>
      <c r="Q7" s="143" t="n">
        <f aca="false">E7/P$3</f>
        <v>0.086178</v>
      </c>
      <c r="R7" s="124" t="n">
        <f aca="false">F7/R$3</f>
        <v>0</v>
      </c>
      <c r="S7" s="126" t="n">
        <f aca="false">J7/$R$3</f>
        <v>0</v>
      </c>
      <c r="T7" s="126" t="n">
        <f aca="false">L7/$R$3</f>
        <v>0</v>
      </c>
      <c r="U7" s="126" t="n">
        <f aca="false">I7/$R$3</f>
        <v>0</v>
      </c>
      <c r="V7" s="126" t="n">
        <f aca="false">M7/$R$3</f>
        <v>0</v>
      </c>
      <c r="W7" s="126" t="n">
        <f aca="false">N7/$R$3</f>
        <v>0</v>
      </c>
    </row>
    <row r="8" customFormat="false" ht="12.75" hidden="true" customHeight="false" outlineLevel="0" collapsed="false">
      <c r="A8" s="120" t="n">
        <f aca="false">A7+1</f>
        <v>36894</v>
      </c>
      <c r="B8" s="131" t="str">
        <f aca="false">INDEX('Master Data'!$A$2:$B$8,MATCH(WEEKDAY('Arg Total Power'!A8,3),'Master Data'!$A$2:$A$8,0),2)</f>
        <v>W</v>
      </c>
      <c r="D8" s="124" t="n">
        <v>0</v>
      </c>
      <c r="E8" s="124" t="n">
        <v>84042</v>
      </c>
      <c r="F8" s="124" t="n">
        <v>0</v>
      </c>
      <c r="G8" s="124" t="n">
        <v>0</v>
      </c>
      <c r="I8" s="124" t="n">
        <f aca="false">IF(MONTH($A8)=MONTH($A7),IF(G8=0,I7,G8),0)</f>
        <v>0</v>
      </c>
      <c r="J8" s="124" t="n">
        <f aca="false">IF(MONTH($A8)=MONTH($A7),SUM(I8-I7),I8)</f>
        <v>0</v>
      </c>
      <c r="K8" s="124" t="n">
        <f aca="false">IF(WEEKDAY(A8,3)&gt;4,0,(IF(A8&lt;K$2,0,IF(A8&lt;=K$3,1,0))))</f>
        <v>0</v>
      </c>
      <c r="L8" s="124" t="n">
        <f aca="false">J8*K8</f>
        <v>0</v>
      </c>
      <c r="M8" s="124" t="n">
        <f aca="false">SUM(J$6:J8)</f>
        <v>0</v>
      </c>
      <c r="N8" s="124" t="n">
        <f aca="false">SUM(J$6:J8)</f>
        <v>0</v>
      </c>
      <c r="P8" s="124" t="n">
        <f aca="false">D8/P$3</f>
        <v>0</v>
      </c>
      <c r="Q8" s="143" t="n">
        <f aca="false">E8/P$3</f>
        <v>0.084042</v>
      </c>
      <c r="R8" s="124" t="n">
        <f aca="false">F8/R$3</f>
        <v>0</v>
      </c>
      <c r="S8" s="126" t="n">
        <f aca="false">J8/$R$3</f>
        <v>0</v>
      </c>
      <c r="T8" s="126" t="n">
        <f aca="false">L8/$R$3</f>
        <v>0</v>
      </c>
      <c r="U8" s="126" t="n">
        <f aca="false">I8/$R$3</f>
        <v>0</v>
      </c>
      <c r="V8" s="126" t="n">
        <f aca="false">M8/$R$3</f>
        <v>0</v>
      </c>
      <c r="W8" s="126" t="n">
        <f aca="false">N8/$R$3</f>
        <v>0</v>
      </c>
    </row>
    <row r="9" customFormat="false" ht="12.75" hidden="true" customHeight="false" outlineLevel="0" collapsed="false">
      <c r="A9" s="120" t="n">
        <f aca="false">A8+1</f>
        <v>36895</v>
      </c>
      <c r="B9" s="131" t="str">
        <f aca="false">INDEX('Master Data'!$A$2:$B$8,MATCH(WEEKDAY('Arg Total Power'!A9,3),'Master Data'!$A$2:$A$8,0),2)</f>
        <v>Th</v>
      </c>
      <c r="D9" s="124" t="n">
        <v>0</v>
      </c>
      <c r="E9" s="124" t="n">
        <v>81902</v>
      </c>
      <c r="F9" s="124" t="n">
        <v>0</v>
      </c>
      <c r="G9" s="124" t="n">
        <v>0</v>
      </c>
      <c r="I9" s="124" t="n">
        <f aca="false">IF(MONTH($A9)=MONTH($A8),IF(G9=0,I8,G9),0)</f>
        <v>0</v>
      </c>
      <c r="J9" s="124" t="n">
        <f aca="false">IF(MONTH($A9)=MONTH($A8),SUM(I9-I8),I9)</f>
        <v>0</v>
      </c>
      <c r="K9" s="124" t="n">
        <f aca="false">IF(WEEKDAY(A9,3)&gt;4,0,(IF(A9&lt;K$2,0,IF(A9&lt;=K$3,1,0))))</f>
        <v>0</v>
      </c>
      <c r="L9" s="124" t="n">
        <f aca="false">J9*K9</f>
        <v>0</v>
      </c>
      <c r="M9" s="124" t="n">
        <f aca="false">SUM(J$6:J9)</f>
        <v>0</v>
      </c>
      <c r="N9" s="124" t="n">
        <f aca="false">SUM(J$6:J9)</f>
        <v>0</v>
      </c>
      <c r="P9" s="124" t="n">
        <f aca="false">D9/P$3</f>
        <v>0</v>
      </c>
      <c r="Q9" s="143" t="n">
        <f aca="false">E9/P$3</f>
        <v>0.081902</v>
      </c>
      <c r="R9" s="124" t="n">
        <f aca="false">F9/R$3</f>
        <v>0</v>
      </c>
      <c r="S9" s="126" t="n">
        <f aca="false">J9/$R$3</f>
        <v>0</v>
      </c>
      <c r="T9" s="126" t="n">
        <f aca="false">L9/$R$3</f>
        <v>0</v>
      </c>
      <c r="U9" s="126" t="n">
        <f aca="false">I9/$R$3</f>
        <v>0</v>
      </c>
      <c r="V9" s="126" t="n">
        <f aca="false">M9/$R$3</f>
        <v>0</v>
      </c>
      <c r="W9" s="126" t="n">
        <f aca="false">N9/$R$3</f>
        <v>0</v>
      </c>
    </row>
    <row r="10" customFormat="false" ht="12.75" hidden="true" customHeight="false" outlineLevel="0" collapsed="false">
      <c r="A10" s="120" t="n">
        <f aca="false">A9+1</f>
        <v>36896</v>
      </c>
      <c r="B10" s="131" t="str">
        <f aca="false">INDEX('Master Data'!$A$2:$B$8,MATCH(WEEKDAY('Arg Total Power'!A10,3),'Master Data'!$A$2:$A$8,0),2)</f>
        <v>F</v>
      </c>
      <c r="D10" s="124" t="n">
        <v>0</v>
      </c>
      <c r="E10" s="124" t="n">
        <v>79750</v>
      </c>
      <c r="F10" s="124" t="n">
        <v>0</v>
      </c>
      <c r="G10" s="124" t="n">
        <v>0</v>
      </c>
      <c r="I10" s="124" t="n">
        <f aca="false">IF(MONTH($A10)=MONTH($A9),IF(G10=0,I9,G10),0)</f>
        <v>0</v>
      </c>
      <c r="J10" s="124" t="n">
        <f aca="false">IF(MONTH($A10)=MONTH($A9),SUM(I10-I9),I10)</f>
        <v>0</v>
      </c>
      <c r="K10" s="124" t="n">
        <f aca="false">IF(WEEKDAY(A10,3)&gt;4,0,(IF(A10&lt;K$2,0,IF(A10&lt;=K$3,1,0))))</f>
        <v>0</v>
      </c>
      <c r="L10" s="124" t="n">
        <f aca="false">J10*K10</f>
        <v>0</v>
      </c>
      <c r="M10" s="124" t="n">
        <f aca="false">SUM(J$6:J10)</f>
        <v>0</v>
      </c>
      <c r="N10" s="124" t="n">
        <f aca="false">SUM(J$6:J10)</f>
        <v>0</v>
      </c>
      <c r="P10" s="124" t="n">
        <f aca="false">D10/P$3</f>
        <v>0</v>
      </c>
      <c r="Q10" s="143" t="n">
        <f aca="false">E10/P$3</f>
        <v>0.07975</v>
      </c>
      <c r="R10" s="124" t="n">
        <f aca="false">F10/R$3</f>
        <v>0</v>
      </c>
      <c r="S10" s="126" t="n">
        <f aca="false">J10/$R$3</f>
        <v>0</v>
      </c>
      <c r="T10" s="126" t="n">
        <f aca="false">L10/$R$3</f>
        <v>0</v>
      </c>
      <c r="U10" s="126" t="n">
        <f aca="false">I10/$R$3</f>
        <v>0</v>
      </c>
      <c r="V10" s="126" t="n">
        <f aca="false">M10/$R$3</f>
        <v>0</v>
      </c>
      <c r="W10" s="126" t="n">
        <f aca="false">N10/$R$3</f>
        <v>0</v>
      </c>
    </row>
    <row r="11" customFormat="false" ht="12.75" hidden="true" customHeight="false" outlineLevel="0" collapsed="false">
      <c r="A11" s="120" t="n">
        <f aca="false">A10+1</f>
        <v>36897</v>
      </c>
      <c r="B11" s="131" t="str">
        <f aca="false">INDEX('Master Data'!$A$2:$B$8,MATCH(WEEKDAY('Arg Total Power'!A11,3),'Master Data'!$A$2:$A$8,0),2)</f>
        <v>Sa</v>
      </c>
      <c r="D11" s="124" t="n">
        <v>0</v>
      </c>
      <c r="E11" s="124" t="n">
        <v>0</v>
      </c>
      <c r="F11" s="124" t="n">
        <v>0</v>
      </c>
      <c r="G11" s="124" t="n">
        <v>0</v>
      </c>
      <c r="I11" s="124" t="n">
        <f aca="false">IF(MONTH($A11)=MONTH($A10),IF(G11=0,I10,G11),0)</f>
        <v>0</v>
      </c>
      <c r="J11" s="124" t="n">
        <f aca="false">IF(MONTH($A11)=MONTH($A10),SUM(I11-I10),I11)</f>
        <v>0</v>
      </c>
      <c r="K11" s="124" t="n">
        <f aca="false">IF(WEEKDAY(A11,3)&gt;4,0,(IF(A11&lt;K$2,0,IF(A11&lt;=K$3,1,0))))</f>
        <v>0</v>
      </c>
      <c r="L11" s="124" t="n">
        <f aca="false">J11*K11</f>
        <v>0</v>
      </c>
      <c r="M11" s="124" t="n">
        <f aca="false">SUM(J$6:J11)</f>
        <v>0</v>
      </c>
      <c r="N11" s="124" t="n">
        <f aca="false">SUM(J$6:J11)</f>
        <v>0</v>
      </c>
      <c r="P11" s="124" t="n">
        <f aca="false">D11/P$3</f>
        <v>0</v>
      </c>
      <c r="Q11" s="143" t="n">
        <f aca="false">E11/P$3</f>
        <v>0</v>
      </c>
      <c r="R11" s="124" t="n">
        <f aca="false">F11/R$3</f>
        <v>0</v>
      </c>
      <c r="S11" s="126" t="n">
        <f aca="false">J11/$R$3</f>
        <v>0</v>
      </c>
      <c r="T11" s="126" t="n">
        <f aca="false">L11/$R$3</f>
        <v>0</v>
      </c>
      <c r="U11" s="126" t="n">
        <f aca="false">I11/$R$3</f>
        <v>0</v>
      </c>
      <c r="V11" s="126" t="n">
        <f aca="false">M11/$R$3</f>
        <v>0</v>
      </c>
      <c r="W11" s="126" t="n">
        <f aca="false">N11/$R$3</f>
        <v>0</v>
      </c>
    </row>
    <row r="12" customFormat="false" ht="12.75" hidden="true" customHeight="false" outlineLevel="0" collapsed="false">
      <c r="A12" s="120" t="n">
        <f aca="false">A11+1</f>
        <v>36898</v>
      </c>
      <c r="B12" s="131" t="str">
        <f aca="false">INDEX('Master Data'!$A$2:$B$8,MATCH(WEEKDAY('Arg Total Power'!A12,3),'Master Data'!$A$2:$A$8,0),2)</f>
        <v>Su</v>
      </c>
      <c r="D12" s="124" t="n">
        <v>0</v>
      </c>
      <c r="E12" s="124" t="n">
        <v>0</v>
      </c>
      <c r="F12" s="124" t="n">
        <v>0</v>
      </c>
      <c r="G12" s="124" t="n">
        <v>0</v>
      </c>
      <c r="I12" s="124" t="n">
        <f aca="false">IF(MONTH($A12)=MONTH($A11),IF(G12=0,I11,G12),0)</f>
        <v>0</v>
      </c>
      <c r="J12" s="124" t="n">
        <f aca="false">IF(MONTH($A12)=MONTH($A11),SUM(I12-I11),I12)</f>
        <v>0</v>
      </c>
      <c r="K12" s="124" t="n">
        <f aca="false">IF(WEEKDAY(A12,3)&gt;4,0,(IF(A12&lt;K$2,0,IF(A12&lt;=K$3,1,0))))</f>
        <v>0</v>
      </c>
      <c r="L12" s="124" t="n">
        <f aca="false">J12*K12</f>
        <v>0</v>
      </c>
      <c r="M12" s="124" t="n">
        <f aca="false">SUM(J$6:J12)</f>
        <v>0</v>
      </c>
      <c r="N12" s="124" t="n">
        <f aca="false">SUM(J$6:J12)</f>
        <v>0</v>
      </c>
      <c r="P12" s="124" t="n">
        <f aca="false">D12/P$3</f>
        <v>0</v>
      </c>
      <c r="Q12" s="143" t="n">
        <f aca="false">E12/P$3</f>
        <v>0</v>
      </c>
      <c r="R12" s="124" t="n">
        <f aca="false">F12/R$3</f>
        <v>0</v>
      </c>
      <c r="S12" s="126" t="n">
        <f aca="false">J12/$R$3</f>
        <v>0</v>
      </c>
      <c r="T12" s="126" t="n">
        <f aca="false">L12/$R$3</f>
        <v>0</v>
      </c>
      <c r="U12" s="126" t="n">
        <f aca="false">I12/$R$3</f>
        <v>0</v>
      </c>
      <c r="V12" s="126" t="n">
        <f aca="false">M12/$R$3</f>
        <v>0</v>
      </c>
      <c r="W12" s="126" t="n">
        <f aca="false">N12/$R$3</f>
        <v>0</v>
      </c>
    </row>
    <row r="13" customFormat="false" ht="12.75" hidden="true" customHeight="false" outlineLevel="0" collapsed="false">
      <c r="A13" s="120" t="n">
        <f aca="false">A12+1</f>
        <v>36899</v>
      </c>
      <c r="B13" s="131" t="str">
        <f aca="false">INDEX('Master Data'!$A$2:$B$8,MATCH(WEEKDAY('Arg Total Power'!A13,3),'Master Data'!$A$2:$A$8,0),2)</f>
        <v>M</v>
      </c>
      <c r="D13" s="124" t="n">
        <v>0</v>
      </c>
      <c r="E13" s="124" t="n">
        <v>73535</v>
      </c>
      <c r="F13" s="124" t="n">
        <v>0</v>
      </c>
      <c r="G13" s="124" t="n">
        <v>0</v>
      </c>
      <c r="I13" s="124" t="n">
        <f aca="false">IF(MONTH($A13)=MONTH($A12),IF(G13=0,I12,G13),0)</f>
        <v>0</v>
      </c>
      <c r="J13" s="124" t="n">
        <f aca="false">IF(MONTH($A13)=MONTH($A12),SUM(I13-I12),I13)</f>
        <v>0</v>
      </c>
      <c r="K13" s="124" t="n">
        <f aca="false">IF(WEEKDAY(A13,3)&gt;4,0,(IF(A13&lt;K$2,0,IF(A13&lt;=K$3,1,0))))</f>
        <v>0</v>
      </c>
      <c r="L13" s="124" t="n">
        <f aca="false">J13*K13</f>
        <v>0</v>
      </c>
      <c r="M13" s="124" t="n">
        <f aca="false">SUM(J$6:J13)</f>
        <v>0</v>
      </c>
      <c r="N13" s="124" t="n">
        <f aca="false">SUM(J$6:J13)</f>
        <v>0</v>
      </c>
      <c r="P13" s="124" t="n">
        <f aca="false">D13/P$3</f>
        <v>0</v>
      </c>
      <c r="Q13" s="143" t="n">
        <f aca="false">E13/P$3</f>
        <v>0.073535</v>
      </c>
      <c r="R13" s="124" t="n">
        <f aca="false">F13/R$3</f>
        <v>0</v>
      </c>
      <c r="S13" s="126" t="n">
        <f aca="false">J13/$R$3</f>
        <v>0</v>
      </c>
      <c r="T13" s="126" t="n">
        <f aca="false">L13/$R$3</f>
        <v>0</v>
      </c>
      <c r="U13" s="126" t="n">
        <f aca="false">I13/$R$3</f>
        <v>0</v>
      </c>
      <c r="V13" s="126" t="n">
        <f aca="false">M13/$R$3</f>
        <v>0</v>
      </c>
      <c r="W13" s="126" t="n">
        <f aca="false">N13/$R$3</f>
        <v>0</v>
      </c>
    </row>
    <row r="14" customFormat="false" ht="12.75" hidden="true" customHeight="false" outlineLevel="0" collapsed="false">
      <c r="A14" s="120" t="n">
        <f aca="false">A13+1</f>
        <v>36900</v>
      </c>
      <c r="B14" s="131" t="str">
        <f aca="false">INDEX('Master Data'!$A$2:$B$8,MATCH(WEEKDAY('Arg Total Power'!A14,3),'Master Data'!$A$2:$A$8,0),2)</f>
        <v>T</v>
      </c>
      <c r="D14" s="124" t="n">
        <v>0</v>
      </c>
      <c r="E14" s="124" t="n">
        <v>71385</v>
      </c>
      <c r="F14" s="124" t="n">
        <v>0</v>
      </c>
      <c r="G14" s="124" t="n">
        <v>0</v>
      </c>
      <c r="I14" s="124" t="n">
        <f aca="false">IF(MONTH($A14)=MONTH($A13),IF(G14=0,I13,G14),0)</f>
        <v>0</v>
      </c>
      <c r="J14" s="124" t="n">
        <f aca="false">IF(MONTH($A14)=MONTH($A13),SUM(I14-I13),I14)</f>
        <v>0</v>
      </c>
      <c r="K14" s="124" t="n">
        <f aca="false">IF(WEEKDAY(A14,3)&gt;4,0,(IF(A14&lt;K$2,0,IF(A14&lt;=K$3,1,0))))</f>
        <v>0</v>
      </c>
      <c r="L14" s="124" t="n">
        <f aca="false">J14*K14</f>
        <v>0</v>
      </c>
      <c r="M14" s="124" t="n">
        <f aca="false">SUM(J$6:J14)</f>
        <v>0</v>
      </c>
      <c r="N14" s="124" t="n">
        <f aca="false">SUM(J$6:J14)</f>
        <v>0</v>
      </c>
      <c r="P14" s="124" t="n">
        <f aca="false">D14/P$3</f>
        <v>0</v>
      </c>
      <c r="Q14" s="143" t="n">
        <f aca="false">E14/P$3</f>
        <v>0.071385</v>
      </c>
      <c r="R14" s="124" t="n">
        <f aca="false">F14/R$3</f>
        <v>0</v>
      </c>
      <c r="S14" s="126" t="n">
        <f aca="false">J14/$R$3</f>
        <v>0</v>
      </c>
      <c r="T14" s="126" t="n">
        <f aca="false">L14/$R$3</f>
        <v>0</v>
      </c>
      <c r="U14" s="126" t="n">
        <f aca="false">I14/$R$3</f>
        <v>0</v>
      </c>
      <c r="V14" s="126" t="n">
        <f aca="false">M14/$R$3</f>
        <v>0</v>
      </c>
      <c r="W14" s="126" t="n">
        <f aca="false">N14/$R$3</f>
        <v>0</v>
      </c>
    </row>
    <row r="15" customFormat="false" ht="12.75" hidden="true" customHeight="false" outlineLevel="0" collapsed="false">
      <c r="A15" s="120" t="n">
        <f aca="false">A14+1</f>
        <v>36901</v>
      </c>
      <c r="B15" s="131" t="str">
        <f aca="false">INDEX('Master Data'!$A$2:$B$8,MATCH(WEEKDAY('Arg Total Power'!A15,3),'Master Data'!$A$2:$A$8,0),2)</f>
        <v>W</v>
      </c>
      <c r="D15" s="124" t="n">
        <v>0</v>
      </c>
      <c r="E15" s="124" t="n">
        <v>69222</v>
      </c>
      <c r="F15" s="124" t="n">
        <v>0</v>
      </c>
      <c r="G15" s="124" t="n">
        <v>0</v>
      </c>
      <c r="I15" s="124" t="n">
        <f aca="false">IF(MONTH($A15)=MONTH($A14),IF(G15=0,I14,G15),0)</f>
        <v>0</v>
      </c>
      <c r="J15" s="124" t="n">
        <f aca="false">IF(MONTH($A15)=MONTH($A14),SUM(I15-I14),I15)</f>
        <v>0</v>
      </c>
      <c r="K15" s="124" t="n">
        <f aca="false">IF(WEEKDAY(A15,3)&gt;4,0,(IF(A15&lt;K$2,0,IF(A15&lt;=K$3,1,0))))</f>
        <v>0</v>
      </c>
      <c r="L15" s="124" t="n">
        <f aca="false">J15*K15</f>
        <v>0</v>
      </c>
      <c r="M15" s="124" t="n">
        <f aca="false">SUM(J$6:J15)</f>
        <v>0</v>
      </c>
      <c r="N15" s="124" t="n">
        <f aca="false">SUM(J$6:J15)</f>
        <v>0</v>
      </c>
      <c r="P15" s="124" t="n">
        <f aca="false">D15/P$3</f>
        <v>0</v>
      </c>
      <c r="Q15" s="143" t="n">
        <f aca="false">E15/P$3</f>
        <v>0.069222</v>
      </c>
      <c r="R15" s="124" t="n">
        <f aca="false">F15/R$3</f>
        <v>0</v>
      </c>
      <c r="S15" s="126" t="n">
        <f aca="false">J15/$R$3</f>
        <v>0</v>
      </c>
      <c r="T15" s="126" t="n">
        <f aca="false">L15/$R$3</f>
        <v>0</v>
      </c>
      <c r="U15" s="126" t="n">
        <f aca="false">I15/$R$3</f>
        <v>0</v>
      </c>
      <c r="V15" s="126" t="n">
        <f aca="false">M15/$R$3</f>
        <v>0</v>
      </c>
      <c r="W15" s="126" t="n">
        <f aca="false">N15/$R$3</f>
        <v>0</v>
      </c>
    </row>
    <row r="16" customFormat="false" ht="12.75" hidden="true" customHeight="false" outlineLevel="0" collapsed="false">
      <c r="A16" s="120" t="n">
        <f aca="false">A15+1</f>
        <v>36902</v>
      </c>
      <c r="B16" s="131" t="str">
        <f aca="false">INDEX('Master Data'!$A$2:$B$8,MATCH(WEEKDAY('Arg Total Power'!A16,3),'Master Data'!$A$2:$A$8,0),2)</f>
        <v>Th</v>
      </c>
      <c r="D16" s="124" t="n">
        <v>0</v>
      </c>
      <c r="E16" s="124" t="n">
        <v>67060</v>
      </c>
      <c r="F16" s="124" t="n">
        <v>0</v>
      </c>
      <c r="G16" s="124" t="n">
        <v>0</v>
      </c>
      <c r="I16" s="124" t="n">
        <f aca="false">IF(MONTH($A16)=MONTH($A15),IF(G16=0,I15,G16),0)</f>
        <v>0</v>
      </c>
      <c r="J16" s="124" t="n">
        <f aca="false">IF(MONTH($A16)=MONTH($A15),SUM(I16-I15),I16)</f>
        <v>0</v>
      </c>
      <c r="K16" s="124" t="n">
        <f aca="false">IF(WEEKDAY(A16,3)&gt;4,0,(IF(A16&lt;K$2,0,IF(A16&lt;=K$3,1,0))))</f>
        <v>0</v>
      </c>
      <c r="L16" s="124" t="n">
        <f aca="false">J16*K16</f>
        <v>0</v>
      </c>
      <c r="M16" s="124" t="n">
        <f aca="false">SUM(J$6:J16)</f>
        <v>0</v>
      </c>
      <c r="N16" s="124" t="n">
        <f aca="false">SUM(J$6:J16)</f>
        <v>0</v>
      </c>
      <c r="P16" s="124" t="n">
        <f aca="false">D16/P$3</f>
        <v>0</v>
      </c>
      <c r="Q16" s="143" t="n">
        <f aca="false">E16/P$3</f>
        <v>0.06706</v>
      </c>
      <c r="R16" s="124" t="n">
        <f aca="false">F16/R$3</f>
        <v>0</v>
      </c>
      <c r="S16" s="126" t="n">
        <f aca="false">J16/$R$3</f>
        <v>0</v>
      </c>
      <c r="T16" s="126" t="n">
        <f aca="false">L16/$R$3</f>
        <v>0</v>
      </c>
      <c r="U16" s="126" t="n">
        <f aca="false">I16/$R$3</f>
        <v>0</v>
      </c>
      <c r="V16" s="126" t="n">
        <f aca="false">M16/$R$3</f>
        <v>0</v>
      </c>
      <c r="W16" s="126" t="n">
        <f aca="false">N16/$R$3</f>
        <v>0</v>
      </c>
    </row>
    <row r="17" customFormat="false" ht="12.75" hidden="true" customHeight="false" outlineLevel="0" collapsed="false">
      <c r="A17" s="120" t="n">
        <f aca="false">A16+1</f>
        <v>36903</v>
      </c>
      <c r="B17" s="131" t="str">
        <f aca="false">INDEX('Master Data'!$A$2:$B$8,MATCH(WEEKDAY('Arg Total Power'!A17,3),'Master Data'!$A$2:$A$8,0),2)</f>
        <v>F</v>
      </c>
      <c r="D17" s="124" t="n">
        <v>0</v>
      </c>
      <c r="E17" s="124" t="n">
        <v>64902</v>
      </c>
      <c r="F17" s="124" t="n">
        <v>0</v>
      </c>
      <c r="G17" s="124" t="n">
        <v>0</v>
      </c>
      <c r="I17" s="124" t="n">
        <f aca="false">IF(MONTH($A17)=MONTH($A16),IF(G17=0,I16,G17),0)</f>
        <v>0</v>
      </c>
      <c r="J17" s="124" t="n">
        <f aca="false">IF(MONTH($A17)=MONTH($A16),SUM(I17-I16),I17)</f>
        <v>0</v>
      </c>
      <c r="K17" s="124" t="n">
        <f aca="false">IF(WEEKDAY(A17,3)&gt;4,0,(IF(A17&lt;K$2,0,IF(A17&lt;=K$3,1,0))))</f>
        <v>0</v>
      </c>
      <c r="L17" s="124" t="n">
        <f aca="false">J17*K17</f>
        <v>0</v>
      </c>
      <c r="M17" s="124" t="n">
        <f aca="false">SUM(J$6:J17)</f>
        <v>0</v>
      </c>
      <c r="N17" s="124" t="n">
        <f aca="false">SUM(J$6:J17)</f>
        <v>0</v>
      </c>
      <c r="P17" s="124" t="n">
        <f aca="false">D17/P$3</f>
        <v>0</v>
      </c>
      <c r="Q17" s="143" t="n">
        <f aca="false">E17/P$3</f>
        <v>0.064902</v>
      </c>
      <c r="R17" s="124" t="n">
        <f aca="false">F17/R$3</f>
        <v>0</v>
      </c>
      <c r="S17" s="126" t="n">
        <f aca="false">J17/$R$3</f>
        <v>0</v>
      </c>
      <c r="T17" s="126" t="n">
        <f aca="false">L17/$R$3</f>
        <v>0</v>
      </c>
      <c r="U17" s="126" t="n">
        <f aca="false">I17/$R$3</f>
        <v>0</v>
      </c>
      <c r="V17" s="126" t="n">
        <f aca="false">M17/$R$3</f>
        <v>0</v>
      </c>
      <c r="W17" s="126" t="n">
        <f aca="false">N17/$R$3</f>
        <v>0</v>
      </c>
    </row>
    <row r="18" customFormat="false" ht="12.75" hidden="true" customHeight="false" outlineLevel="0" collapsed="false">
      <c r="A18" s="120" t="n">
        <f aca="false">A17+1</f>
        <v>36904</v>
      </c>
      <c r="B18" s="131" t="str">
        <f aca="false">INDEX('Master Data'!$A$2:$B$8,MATCH(WEEKDAY('Arg Total Power'!A18,3),'Master Data'!$A$2:$A$8,0),2)</f>
        <v>Sa</v>
      </c>
      <c r="D18" s="124" t="n">
        <v>0</v>
      </c>
      <c r="E18" s="124" t="n">
        <v>0</v>
      </c>
      <c r="F18" s="124" t="n">
        <v>0</v>
      </c>
      <c r="G18" s="124" t="n">
        <v>0</v>
      </c>
      <c r="I18" s="124" t="n">
        <f aca="false">IF(MONTH($A18)=MONTH($A17),IF(G18=0,I17,G18),0)</f>
        <v>0</v>
      </c>
      <c r="J18" s="124" t="n">
        <f aca="false">IF(MONTH($A18)=MONTH($A17),SUM(I18-I17),I18)</f>
        <v>0</v>
      </c>
      <c r="K18" s="124" t="n">
        <f aca="false">IF(WEEKDAY(A18,3)&gt;4,0,(IF(A18&lt;K$2,0,IF(A18&lt;=K$3,1,0))))</f>
        <v>0</v>
      </c>
      <c r="L18" s="124" t="n">
        <f aca="false">J18*K18</f>
        <v>0</v>
      </c>
      <c r="M18" s="124" t="n">
        <f aca="false">SUM(J$6:J18)</f>
        <v>0</v>
      </c>
      <c r="N18" s="124" t="n">
        <f aca="false">SUM(J$6:J18)</f>
        <v>0</v>
      </c>
      <c r="P18" s="124" t="n">
        <f aca="false">D18/P$3</f>
        <v>0</v>
      </c>
      <c r="Q18" s="143" t="n">
        <f aca="false">E18/P$3</f>
        <v>0</v>
      </c>
      <c r="R18" s="124" t="n">
        <f aca="false">F18/R$3</f>
        <v>0</v>
      </c>
      <c r="S18" s="126" t="n">
        <f aca="false">J18/$R$3</f>
        <v>0</v>
      </c>
      <c r="T18" s="126" t="n">
        <f aca="false">L18/$R$3</f>
        <v>0</v>
      </c>
      <c r="U18" s="126" t="n">
        <f aca="false">I18/$R$3</f>
        <v>0</v>
      </c>
      <c r="V18" s="126" t="n">
        <f aca="false">M18/$R$3</f>
        <v>0</v>
      </c>
      <c r="W18" s="126" t="n">
        <f aca="false">N18/$R$3</f>
        <v>0</v>
      </c>
    </row>
    <row r="19" customFormat="false" ht="12.75" hidden="true" customHeight="false" outlineLevel="0" collapsed="false">
      <c r="A19" s="120" t="n">
        <f aca="false">A18+1</f>
        <v>36905</v>
      </c>
      <c r="B19" s="131" t="str">
        <f aca="false">INDEX('Master Data'!$A$2:$B$8,MATCH(WEEKDAY('Arg Total Power'!A19,3),'Master Data'!$A$2:$A$8,0),2)</f>
        <v>Su</v>
      </c>
      <c r="D19" s="124" t="n">
        <v>0</v>
      </c>
      <c r="E19" s="124" t="n">
        <v>0</v>
      </c>
      <c r="F19" s="124" t="n">
        <v>0</v>
      </c>
      <c r="G19" s="124" t="n">
        <v>0</v>
      </c>
      <c r="I19" s="124" t="n">
        <f aca="false">IF(MONTH($A19)=MONTH($A18),IF(G19=0,I18,G19),0)</f>
        <v>0</v>
      </c>
      <c r="J19" s="124" t="n">
        <f aca="false">IF(MONTH($A19)=MONTH($A18),SUM(I19-I18),I19)</f>
        <v>0</v>
      </c>
      <c r="K19" s="124" t="n">
        <f aca="false">IF(WEEKDAY(A19,3)&gt;4,0,(IF(A19&lt;K$2,0,IF(A19&lt;=K$3,1,0))))</f>
        <v>0</v>
      </c>
      <c r="L19" s="124" t="n">
        <f aca="false">J19*K19</f>
        <v>0</v>
      </c>
      <c r="M19" s="124" t="n">
        <f aca="false">SUM(J$6:J19)</f>
        <v>0</v>
      </c>
      <c r="N19" s="124" t="n">
        <f aca="false">SUM(J$6:J19)</f>
        <v>0</v>
      </c>
      <c r="P19" s="124" t="n">
        <f aca="false">D19/P$3</f>
        <v>0</v>
      </c>
      <c r="Q19" s="143" t="n">
        <f aca="false">E19/P$3</f>
        <v>0</v>
      </c>
      <c r="R19" s="124" t="n">
        <f aca="false">F19/R$3</f>
        <v>0</v>
      </c>
      <c r="S19" s="126" t="n">
        <f aca="false">J19/$R$3</f>
        <v>0</v>
      </c>
      <c r="T19" s="126" t="n">
        <f aca="false">L19/$R$3</f>
        <v>0</v>
      </c>
      <c r="U19" s="126" t="n">
        <f aca="false">I19/$R$3</f>
        <v>0</v>
      </c>
      <c r="V19" s="126" t="n">
        <f aca="false">M19/$R$3</f>
        <v>0</v>
      </c>
      <c r="W19" s="126" t="n">
        <f aca="false">N19/$R$3</f>
        <v>0</v>
      </c>
    </row>
    <row r="20" customFormat="false" ht="12.75" hidden="true" customHeight="false" outlineLevel="0" collapsed="false">
      <c r="A20" s="120" t="n">
        <f aca="false">A19+1</f>
        <v>36906</v>
      </c>
      <c r="B20" s="131" t="str">
        <f aca="false">INDEX('Master Data'!$A$2:$B$8,MATCH(WEEKDAY('Arg Total Power'!A20,3),'Master Data'!$A$2:$A$8,0),2)</f>
        <v>M</v>
      </c>
      <c r="D20" s="124" t="n">
        <v>0</v>
      </c>
      <c r="E20" s="124" t="n">
        <v>0</v>
      </c>
      <c r="F20" s="124" t="n">
        <v>0</v>
      </c>
      <c r="G20" s="124" t="n">
        <v>0</v>
      </c>
      <c r="I20" s="124" t="n">
        <f aca="false">IF(MONTH($A20)=MONTH($A19),IF(G20=0,I19,G20),0)</f>
        <v>0</v>
      </c>
      <c r="J20" s="124" t="n">
        <f aca="false">IF(MONTH($A20)=MONTH($A19),SUM(I20-I19),I20)</f>
        <v>0</v>
      </c>
      <c r="K20" s="124" t="n">
        <f aca="false">IF(WEEKDAY(A20,3)&gt;4,0,(IF(A20&lt;K$2,0,IF(A20&lt;=K$3,1,0))))</f>
        <v>0</v>
      </c>
      <c r="L20" s="124" t="n">
        <f aca="false">J20*K20</f>
        <v>0</v>
      </c>
      <c r="M20" s="124" t="n">
        <f aca="false">SUM(J$6:J20)</f>
        <v>0</v>
      </c>
      <c r="N20" s="124" t="n">
        <f aca="false">SUM(J$6:J20)</f>
        <v>0</v>
      </c>
      <c r="P20" s="124" t="n">
        <f aca="false">D20/P$3</f>
        <v>0</v>
      </c>
      <c r="Q20" s="143" t="n">
        <f aca="false">E20/P$3</f>
        <v>0</v>
      </c>
      <c r="R20" s="124" t="n">
        <f aca="false">F20/R$3</f>
        <v>0</v>
      </c>
      <c r="S20" s="126" t="n">
        <f aca="false">J20/$R$3</f>
        <v>0</v>
      </c>
      <c r="T20" s="126" t="n">
        <f aca="false">L20/$R$3</f>
        <v>0</v>
      </c>
      <c r="U20" s="126" t="n">
        <f aca="false">I20/$R$3</f>
        <v>0</v>
      </c>
      <c r="V20" s="126" t="n">
        <f aca="false">M20/$R$3</f>
        <v>0</v>
      </c>
      <c r="W20" s="126" t="n">
        <f aca="false">N20/$R$3</f>
        <v>0</v>
      </c>
    </row>
    <row r="21" customFormat="false" ht="12.75" hidden="true" customHeight="false" outlineLevel="0" collapsed="false">
      <c r="A21" s="120" t="n">
        <f aca="false">A20+1</f>
        <v>36907</v>
      </c>
      <c r="B21" s="131" t="str">
        <f aca="false">INDEX('Master Data'!$A$2:$B$8,MATCH(WEEKDAY('Arg Total Power'!A21,3),'Master Data'!$A$2:$A$8,0),2)</f>
        <v>T</v>
      </c>
      <c r="D21" s="124" t="n">
        <v>0</v>
      </c>
      <c r="E21" s="124" t="n">
        <v>56446</v>
      </c>
      <c r="F21" s="124" t="n">
        <v>0</v>
      </c>
      <c r="G21" s="124" t="n">
        <v>0</v>
      </c>
      <c r="I21" s="124" t="n">
        <f aca="false">IF(MONTH($A21)=MONTH($A20),IF(G21=0,I20,G21),0)</f>
        <v>0</v>
      </c>
      <c r="J21" s="124" t="n">
        <f aca="false">IF(MONTH($A21)=MONTH($A20),SUM(I21-I20),I21)</f>
        <v>0</v>
      </c>
      <c r="K21" s="124" t="n">
        <f aca="false">IF(WEEKDAY(A21,3)&gt;4,0,(IF(A21&lt;K$2,0,IF(A21&lt;=K$3,1,0))))</f>
        <v>0</v>
      </c>
      <c r="L21" s="124" t="n">
        <f aca="false">J21*K21</f>
        <v>0</v>
      </c>
      <c r="M21" s="124" t="n">
        <f aca="false">SUM(J$6:J21)</f>
        <v>0</v>
      </c>
      <c r="N21" s="124" t="n">
        <f aca="false">SUM(J$6:J21)</f>
        <v>0</v>
      </c>
      <c r="P21" s="124" t="n">
        <f aca="false">D21/P$3</f>
        <v>0</v>
      </c>
      <c r="Q21" s="143" t="n">
        <f aca="false">E21/P$3</f>
        <v>0.056446</v>
      </c>
      <c r="R21" s="124" t="n">
        <f aca="false">F21/R$3</f>
        <v>0</v>
      </c>
      <c r="S21" s="126" t="n">
        <f aca="false">J21/$R$3</f>
        <v>0</v>
      </c>
      <c r="T21" s="126" t="n">
        <f aca="false">L21/$R$3</f>
        <v>0</v>
      </c>
      <c r="U21" s="126" t="n">
        <f aca="false">I21/$R$3</f>
        <v>0</v>
      </c>
      <c r="V21" s="126" t="n">
        <f aca="false">M21/$R$3</f>
        <v>0</v>
      </c>
      <c r="W21" s="126" t="n">
        <f aca="false">N21/$R$3</f>
        <v>0</v>
      </c>
    </row>
    <row r="22" customFormat="false" ht="12.75" hidden="true" customHeight="false" outlineLevel="0" collapsed="false">
      <c r="A22" s="120" t="n">
        <f aca="false">A21+1</f>
        <v>36908</v>
      </c>
      <c r="B22" s="131" t="str">
        <f aca="false">INDEX('Master Data'!$A$2:$B$8,MATCH(WEEKDAY('Arg Total Power'!A22,3),'Master Data'!$A$2:$A$8,0),2)</f>
        <v>W</v>
      </c>
      <c r="D22" s="124" t="n">
        <v>0</v>
      </c>
      <c r="E22" s="124" t="n">
        <v>54285</v>
      </c>
      <c r="F22" s="124" t="n">
        <v>0</v>
      </c>
      <c r="G22" s="124" t="n">
        <v>0</v>
      </c>
      <c r="I22" s="124" t="n">
        <f aca="false">IF(MONTH($A22)=MONTH($A21),IF(G22=0,I21,G22),0)</f>
        <v>0</v>
      </c>
      <c r="J22" s="124" t="n">
        <f aca="false">IF(MONTH($A22)=MONTH($A21),SUM(I22-I21),I22)</f>
        <v>0</v>
      </c>
      <c r="K22" s="124" t="n">
        <f aca="false">IF(WEEKDAY(A22,3)&gt;4,0,(IF(A22&lt;K$2,0,IF(A22&lt;=K$3,1,0))))</f>
        <v>0</v>
      </c>
      <c r="L22" s="124" t="n">
        <f aca="false">J22*K22</f>
        <v>0</v>
      </c>
      <c r="M22" s="124" t="n">
        <f aca="false">SUM(J$6:J22)</f>
        <v>0</v>
      </c>
      <c r="N22" s="124" t="n">
        <f aca="false">SUM(J$6:J22)</f>
        <v>0</v>
      </c>
      <c r="P22" s="124" t="n">
        <f aca="false">D22/P$3</f>
        <v>0</v>
      </c>
      <c r="Q22" s="143" t="n">
        <f aca="false">E22/P$3</f>
        <v>0.054285</v>
      </c>
      <c r="R22" s="124" t="n">
        <f aca="false">F22/R$3</f>
        <v>0</v>
      </c>
      <c r="S22" s="126" t="n">
        <f aca="false">J22/$R$3</f>
        <v>0</v>
      </c>
      <c r="T22" s="126" t="n">
        <f aca="false">L22/$R$3</f>
        <v>0</v>
      </c>
      <c r="U22" s="126" t="n">
        <f aca="false">I22/$R$3</f>
        <v>0</v>
      </c>
      <c r="V22" s="126" t="n">
        <f aca="false">M22/$R$3</f>
        <v>0</v>
      </c>
      <c r="W22" s="126" t="n">
        <f aca="false">N22/$R$3</f>
        <v>0</v>
      </c>
    </row>
    <row r="23" customFormat="false" ht="12.75" hidden="true" customHeight="false" outlineLevel="0" collapsed="false">
      <c r="A23" s="120" t="n">
        <f aca="false">A22+1</f>
        <v>36909</v>
      </c>
      <c r="B23" s="131" t="str">
        <f aca="false">INDEX('Master Data'!$A$2:$B$8,MATCH(WEEKDAY('Arg Total Power'!A23,3),'Master Data'!$A$2:$A$8,0),2)</f>
        <v>Th</v>
      </c>
      <c r="D23" s="124" t="n">
        <v>0</v>
      </c>
      <c r="E23" s="124" t="n">
        <v>52126</v>
      </c>
      <c r="F23" s="124" t="n">
        <v>0</v>
      </c>
      <c r="G23" s="124" t="n">
        <v>0</v>
      </c>
      <c r="I23" s="124" t="n">
        <f aca="false">IF(MONTH($A23)=MONTH($A22),IF(G23=0,I22,G23),0)</f>
        <v>0</v>
      </c>
      <c r="J23" s="124" t="n">
        <f aca="false">IF(MONTH($A23)=MONTH($A22),SUM(I23-I22),I23)</f>
        <v>0</v>
      </c>
      <c r="K23" s="124" t="n">
        <f aca="false">IF(WEEKDAY(A23,3)&gt;4,0,(IF(A23&lt;K$2,0,IF(A23&lt;=K$3,1,0))))</f>
        <v>0</v>
      </c>
      <c r="L23" s="124" t="n">
        <f aca="false">J23*K23</f>
        <v>0</v>
      </c>
      <c r="M23" s="124" t="n">
        <f aca="false">SUM(J$6:J23)</f>
        <v>0</v>
      </c>
      <c r="N23" s="124" t="n">
        <f aca="false">SUM(J$6:J23)</f>
        <v>0</v>
      </c>
      <c r="P23" s="124" t="n">
        <f aca="false">D23/P$3</f>
        <v>0</v>
      </c>
      <c r="Q23" s="143" t="n">
        <f aca="false">E23/P$3</f>
        <v>0.052126</v>
      </c>
      <c r="R23" s="124" t="n">
        <f aca="false">F23/R$3</f>
        <v>0</v>
      </c>
      <c r="S23" s="126" t="n">
        <f aca="false">J23/$R$3</f>
        <v>0</v>
      </c>
      <c r="T23" s="126" t="n">
        <f aca="false">L23/$R$3</f>
        <v>0</v>
      </c>
      <c r="U23" s="126" t="n">
        <f aca="false">I23/$R$3</f>
        <v>0</v>
      </c>
      <c r="V23" s="126" t="n">
        <f aca="false">M23/$R$3</f>
        <v>0</v>
      </c>
      <c r="W23" s="126" t="n">
        <f aca="false">N23/$R$3</f>
        <v>0</v>
      </c>
    </row>
    <row r="24" customFormat="false" ht="12.75" hidden="true" customHeight="false" outlineLevel="0" collapsed="false">
      <c r="A24" s="120" t="n">
        <f aca="false">A23+1</f>
        <v>36910</v>
      </c>
      <c r="B24" s="131" t="str">
        <f aca="false">INDEX('Master Data'!$A$2:$B$8,MATCH(WEEKDAY('Arg Total Power'!A24,3),'Master Data'!$A$2:$A$8,0),2)</f>
        <v>F</v>
      </c>
      <c r="D24" s="124" t="n">
        <v>0</v>
      </c>
      <c r="E24" s="124" t="n">
        <v>49966</v>
      </c>
      <c r="F24" s="124" t="n">
        <v>0</v>
      </c>
      <c r="G24" s="124" t="n">
        <v>0</v>
      </c>
      <c r="I24" s="124" t="n">
        <f aca="false">IF(MONTH($A24)=MONTH($A23),IF(G24=0,I23,G24),0)</f>
        <v>0</v>
      </c>
      <c r="J24" s="124" t="n">
        <f aca="false">IF(MONTH($A24)=MONTH($A23),SUM(I24-I23),I24)</f>
        <v>0</v>
      </c>
      <c r="K24" s="124" t="n">
        <f aca="false">IF(WEEKDAY(A24,3)&gt;4,0,(IF(A24&lt;K$2,0,IF(A24&lt;=K$3,1,0))))</f>
        <v>0</v>
      </c>
      <c r="L24" s="124" t="n">
        <f aca="false">J24*K24</f>
        <v>0</v>
      </c>
      <c r="M24" s="124" t="n">
        <f aca="false">SUM(J$6:J24)</f>
        <v>0</v>
      </c>
      <c r="N24" s="124" t="n">
        <f aca="false">SUM(J$6:J24)</f>
        <v>0</v>
      </c>
      <c r="P24" s="124" t="n">
        <f aca="false">D24/P$3</f>
        <v>0</v>
      </c>
      <c r="Q24" s="143" t="n">
        <f aca="false">E24/P$3</f>
        <v>0.049966</v>
      </c>
      <c r="R24" s="124" t="n">
        <f aca="false">F24/R$3</f>
        <v>0</v>
      </c>
      <c r="S24" s="126" t="n">
        <f aca="false">J24/$R$3</f>
        <v>0</v>
      </c>
      <c r="T24" s="126" t="n">
        <f aca="false">L24/$R$3</f>
        <v>0</v>
      </c>
      <c r="U24" s="126" t="n">
        <f aca="false">I24/$R$3</f>
        <v>0</v>
      </c>
      <c r="V24" s="126" t="n">
        <f aca="false">M24/$R$3</f>
        <v>0</v>
      </c>
      <c r="W24" s="126" t="n">
        <f aca="false">N24/$R$3</f>
        <v>0</v>
      </c>
    </row>
    <row r="25" customFormat="false" ht="12.75" hidden="true" customHeight="false" outlineLevel="0" collapsed="false">
      <c r="A25" s="120" t="n">
        <f aca="false">A24+1</f>
        <v>36911</v>
      </c>
      <c r="B25" s="131" t="str">
        <f aca="false">INDEX('Master Data'!$A$2:$B$8,MATCH(WEEKDAY('Arg Total Power'!A25,3),'Master Data'!$A$2:$A$8,0),2)</f>
        <v>Sa</v>
      </c>
      <c r="D25" s="124" t="n">
        <v>0</v>
      </c>
      <c r="E25" s="124" t="n">
        <v>0</v>
      </c>
      <c r="F25" s="124" t="n">
        <v>0</v>
      </c>
      <c r="G25" s="124" t="n">
        <v>0</v>
      </c>
      <c r="I25" s="124" t="n">
        <f aca="false">IF(MONTH($A25)=MONTH($A24),IF(G25=0,I24,G25),0)</f>
        <v>0</v>
      </c>
      <c r="J25" s="124" t="n">
        <f aca="false">IF(MONTH($A25)=MONTH($A24),SUM(I25-I24),I25)</f>
        <v>0</v>
      </c>
      <c r="K25" s="124" t="n">
        <f aca="false">IF(WEEKDAY(A25,3)&gt;4,0,(IF(A25&lt;K$2,0,IF(A25&lt;=K$3,1,0))))</f>
        <v>0</v>
      </c>
      <c r="L25" s="124" t="n">
        <f aca="false">J25*K25</f>
        <v>0</v>
      </c>
      <c r="M25" s="124" t="n">
        <f aca="false">SUM(J$6:J25)</f>
        <v>0</v>
      </c>
      <c r="N25" s="124" t="n">
        <f aca="false">SUM(J$6:J25)</f>
        <v>0</v>
      </c>
      <c r="P25" s="124" t="n">
        <f aca="false">D25/P$3</f>
        <v>0</v>
      </c>
      <c r="Q25" s="143" t="n">
        <f aca="false">E25/P$3</f>
        <v>0</v>
      </c>
      <c r="R25" s="124" t="n">
        <f aca="false">F25/R$3</f>
        <v>0</v>
      </c>
      <c r="S25" s="126" t="n">
        <f aca="false">J25/$R$3</f>
        <v>0</v>
      </c>
      <c r="T25" s="126" t="n">
        <f aca="false">L25/$R$3</f>
        <v>0</v>
      </c>
      <c r="U25" s="126" t="n">
        <f aca="false">I25/$R$3</f>
        <v>0</v>
      </c>
      <c r="V25" s="126" t="n">
        <f aca="false">M25/$R$3</f>
        <v>0</v>
      </c>
      <c r="W25" s="126" t="n">
        <f aca="false">N25/$R$3</f>
        <v>0</v>
      </c>
    </row>
    <row r="26" customFormat="false" ht="12.75" hidden="true" customHeight="false" outlineLevel="0" collapsed="false">
      <c r="A26" s="120" t="n">
        <f aca="false">A25+1</f>
        <v>36912</v>
      </c>
      <c r="B26" s="131" t="str">
        <f aca="false">INDEX('Master Data'!$A$2:$B$8,MATCH(WEEKDAY('Arg Total Power'!A26,3),'Master Data'!$A$2:$A$8,0),2)</f>
        <v>Su</v>
      </c>
      <c r="D26" s="124" t="n">
        <v>0</v>
      </c>
      <c r="E26" s="124" t="n">
        <v>0</v>
      </c>
      <c r="F26" s="124" t="n">
        <v>0</v>
      </c>
      <c r="G26" s="124" t="n">
        <v>0</v>
      </c>
      <c r="I26" s="124" t="n">
        <f aca="false">IF(MONTH($A26)=MONTH($A25),IF(G26=0,I25,G26),0)</f>
        <v>0</v>
      </c>
      <c r="J26" s="124" t="n">
        <f aca="false">IF(MONTH($A26)=MONTH($A25),SUM(I26-I25),I26)</f>
        <v>0</v>
      </c>
      <c r="K26" s="124" t="n">
        <f aca="false">IF(WEEKDAY(A26,3)&gt;4,0,(IF(A26&lt;K$2,0,IF(A26&lt;=K$3,1,0))))</f>
        <v>0</v>
      </c>
      <c r="L26" s="124" t="n">
        <f aca="false">J26*K26</f>
        <v>0</v>
      </c>
      <c r="M26" s="124" t="n">
        <f aca="false">SUM(J$6:J26)</f>
        <v>0</v>
      </c>
      <c r="N26" s="124" t="n">
        <f aca="false">SUM(J$6:J26)</f>
        <v>0</v>
      </c>
      <c r="P26" s="124" t="n">
        <f aca="false">D26/P$3</f>
        <v>0</v>
      </c>
      <c r="Q26" s="143" t="n">
        <f aca="false">E26/P$3</f>
        <v>0</v>
      </c>
      <c r="R26" s="124" t="n">
        <f aca="false">F26/R$3</f>
        <v>0</v>
      </c>
      <c r="S26" s="126" t="n">
        <f aca="false">J26/$R$3</f>
        <v>0</v>
      </c>
      <c r="T26" s="126" t="n">
        <f aca="false">L26/$R$3</f>
        <v>0</v>
      </c>
      <c r="U26" s="126" t="n">
        <f aca="false">I26/$R$3</f>
        <v>0</v>
      </c>
      <c r="V26" s="126" t="n">
        <f aca="false">M26/$R$3</f>
        <v>0</v>
      </c>
      <c r="W26" s="126" t="n">
        <f aca="false">N26/$R$3</f>
        <v>0</v>
      </c>
    </row>
    <row r="27" customFormat="false" ht="12.75" hidden="true" customHeight="false" outlineLevel="0" collapsed="false">
      <c r="A27" s="120" t="n">
        <f aca="false">A26+1</f>
        <v>36913</v>
      </c>
      <c r="B27" s="131" t="str">
        <f aca="false">INDEX('Master Data'!$A$2:$B$8,MATCH(WEEKDAY('Arg Total Power'!A27,3),'Master Data'!$A$2:$A$8,0),2)</f>
        <v>M</v>
      </c>
      <c r="D27" s="124" t="n">
        <v>0</v>
      </c>
      <c r="E27" s="124" t="n">
        <v>44381</v>
      </c>
      <c r="F27" s="124" t="n">
        <v>0</v>
      </c>
      <c r="G27" s="124" t="n">
        <v>0</v>
      </c>
      <c r="I27" s="124" t="n">
        <f aca="false">IF(MONTH($A27)=MONTH($A26),IF(G27=0,I26,G27),0)</f>
        <v>0</v>
      </c>
      <c r="J27" s="124" t="n">
        <f aca="false">IF(MONTH($A27)=MONTH($A26),SUM(I27-I26),I27)</f>
        <v>0</v>
      </c>
      <c r="K27" s="124" t="n">
        <f aca="false">IF(WEEKDAY(A27,3)&gt;4,0,(IF(A27&lt;K$2,0,IF(A27&lt;=K$3,1,0))))</f>
        <v>0</v>
      </c>
      <c r="L27" s="124" t="n">
        <f aca="false">J27*K27</f>
        <v>0</v>
      </c>
      <c r="M27" s="124" t="n">
        <f aca="false">SUM(J$6:J27)</f>
        <v>0</v>
      </c>
      <c r="N27" s="124" t="n">
        <f aca="false">SUM(J$6:J27)</f>
        <v>0</v>
      </c>
      <c r="P27" s="124" t="n">
        <f aca="false">D27/P$3</f>
        <v>0</v>
      </c>
      <c r="Q27" s="143" t="n">
        <f aca="false">E27/P$3</f>
        <v>0.044381</v>
      </c>
      <c r="R27" s="124" t="n">
        <f aca="false">F27/R$3</f>
        <v>0</v>
      </c>
      <c r="S27" s="126" t="n">
        <f aca="false">J27/$R$3</f>
        <v>0</v>
      </c>
      <c r="T27" s="126" t="n">
        <f aca="false">L27/$R$3</f>
        <v>0</v>
      </c>
      <c r="U27" s="126" t="n">
        <f aca="false">I27/$R$3</f>
        <v>0</v>
      </c>
      <c r="V27" s="126" t="n">
        <f aca="false">M27/$R$3</f>
        <v>0</v>
      </c>
      <c r="W27" s="126" t="n">
        <f aca="false">N27/$R$3</f>
        <v>0</v>
      </c>
    </row>
    <row r="28" customFormat="false" ht="12.75" hidden="true" customHeight="false" outlineLevel="0" collapsed="false">
      <c r="A28" s="120" t="n">
        <f aca="false">A27+1</f>
        <v>36914</v>
      </c>
      <c r="B28" s="131" t="str">
        <f aca="false">INDEX('Master Data'!$A$2:$B$8,MATCH(WEEKDAY('Arg Total Power'!A28,3),'Master Data'!$A$2:$A$8,0),2)</f>
        <v>T</v>
      </c>
      <c r="D28" s="124" t="n">
        <v>0</v>
      </c>
      <c r="E28" s="124" t="n">
        <v>41508</v>
      </c>
      <c r="F28" s="124" t="n">
        <v>0</v>
      </c>
      <c r="G28" s="124" t="n">
        <v>0</v>
      </c>
      <c r="I28" s="124" t="n">
        <f aca="false">IF(MONTH($A28)=MONTH($A27),IF(G28=0,I27,G28),0)</f>
        <v>0</v>
      </c>
      <c r="J28" s="124" t="n">
        <f aca="false">IF(MONTH($A28)=MONTH($A27),SUM(I28-I27),I28)</f>
        <v>0</v>
      </c>
      <c r="K28" s="124" t="n">
        <f aca="false">IF(WEEKDAY(A28,3)&gt;4,0,(IF(A28&lt;K$2,0,IF(A28&lt;=K$3,1,0))))</f>
        <v>0</v>
      </c>
      <c r="L28" s="124" t="n">
        <f aca="false">J28*K28</f>
        <v>0</v>
      </c>
      <c r="M28" s="124" t="n">
        <f aca="false">SUM(J$6:J28)</f>
        <v>0</v>
      </c>
      <c r="N28" s="124" t="n">
        <f aca="false">SUM(J$6:J28)</f>
        <v>0</v>
      </c>
      <c r="P28" s="124" t="n">
        <f aca="false">D28/P$3</f>
        <v>0</v>
      </c>
      <c r="Q28" s="143" t="n">
        <f aca="false">E28/P$3</f>
        <v>0.041508</v>
      </c>
      <c r="R28" s="124" t="n">
        <f aca="false">F28/R$3</f>
        <v>0</v>
      </c>
      <c r="S28" s="126" t="n">
        <f aca="false">J28/$R$3</f>
        <v>0</v>
      </c>
      <c r="T28" s="126" t="n">
        <f aca="false">L28/$R$3</f>
        <v>0</v>
      </c>
      <c r="U28" s="126" t="n">
        <f aca="false">I28/$R$3</f>
        <v>0</v>
      </c>
      <c r="V28" s="126" t="n">
        <f aca="false">M28/$R$3</f>
        <v>0</v>
      </c>
      <c r="W28" s="126" t="n">
        <f aca="false">N28/$R$3</f>
        <v>0</v>
      </c>
    </row>
    <row r="29" customFormat="false" ht="12.75" hidden="true" customHeight="false" outlineLevel="0" collapsed="false">
      <c r="A29" s="120" t="n">
        <f aca="false">A28+1</f>
        <v>36915</v>
      </c>
      <c r="B29" s="131" t="str">
        <f aca="false">INDEX('Master Data'!$A$2:$B$8,MATCH(WEEKDAY('Arg Total Power'!A29,3),'Master Data'!$A$2:$A$8,0),2)</f>
        <v>W</v>
      </c>
      <c r="D29" s="124" t="n">
        <v>0</v>
      </c>
      <c r="E29" s="124" t="n">
        <v>39337</v>
      </c>
      <c r="F29" s="124" t="n">
        <v>0</v>
      </c>
      <c r="G29" s="124" t="n">
        <v>0</v>
      </c>
      <c r="I29" s="124" t="n">
        <f aca="false">IF(MONTH($A29)=MONTH($A28),IF(G29=0,I28,G29),0)</f>
        <v>0</v>
      </c>
      <c r="J29" s="124" t="n">
        <f aca="false">IF(MONTH($A29)=MONTH($A28),SUM(I29-I28),I29)</f>
        <v>0</v>
      </c>
      <c r="K29" s="124" t="n">
        <f aca="false">IF(WEEKDAY(A29,3)&gt;4,0,(IF(A29&lt;K$2,0,IF(A29&lt;=K$3,1,0))))</f>
        <v>0</v>
      </c>
      <c r="L29" s="124" t="n">
        <f aca="false">J29*K29</f>
        <v>0</v>
      </c>
      <c r="M29" s="124" t="n">
        <f aca="false">SUM(J$6:J29)</f>
        <v>0</v>
      </c>
      <c r="N29" s="124" t="n">
        <f aca="false">SUM(J$6:J29)</f>
        <v>0</v>
      </c>
      <c r="P29" s="124" t="n">
        <f aca="false">D29/P$3</f>
        <v>0</v>
      </c>
      <c r="Q29" s="143" t="n">
        <f aca="false">E29/P$3</f>
        <v>0.039337</v>
      </c>
      <c r="R29" s="124" t="n">
        <f aca="false">F29/R$3</f>
        <v>0</v>
      </c>
      <c r="S29" s="126" t="n">
        <f aca="false">J29/$R$3</f>
        <v>0</v>
      </c>
      <c r="T29" s="126" t="n">
        <f aca="false">L29/$R$3</f>
        <v>0</v>
      </c>
      <c r="U29" s="126" t="n">
        <f aca="false">I29/$R$3</f>
        <v>0</v>
      </c>
      <c r="V29" s="126" t="n">
        <f aca="false">M29/$R$3</f>
        <v>0</v>
      </c>
      <c r="W29" s="126" t="n">
        <f aca="false">N29/$R$3</f>
        <v>0</v>
      </c>
    </row>
    <row r="30" customFormat="false" ht="12.75" hidden="true" customHeight="false" outlineLevel="0" collapsed="false">
      <c r="A30" s="120" t="n">
        <f aca="false">A29+1</f>
        <v>36916</v>
      </c>
      <c r="B30" s="131" t="str">
        <f aca="false">INDEX('Master Data'!$A$2:$B$8,MATCH(WEEKDAY('Arg Total Power'!A30,3),'Master Data'!$A$2:$A$8,0),2)</f>
        <v>Th</v>
      </c>
      <c r="D30" s="124" t="n">
        <v>0</v>
      </c>
      <c r="E30" s="124" t="n">
        <v>37167</v>
      </c>
      <c r="F30" s="124" t="n">
        <v>0</v>
      </c>
      <c r="G30" s="124" t="n">
        <v>0</v>
      </c>
      <c r="I30" s="124" t="n">
        <f aca="false">IF(MONTH($A30)=MONTH($A29),IF(G30=0,I29,G30),0)</f>
        <v>0</v>
      </c>
      <c r="J30" s="124" t="n">
        <f aca="false">IF(MONTH($A30)=MONTH($A29),SUM(I30-I29),I30)</f>
        <v>0</v>
      </c>
      <c r="K30" s="124" t="n">
        <f aca="false">IF(WEEKDAY(A30,3)&gt;4,0,(IF(A30&lt;K$2,0,IF(A30&lt;=K$3,1,0))))</f>
        <v>0</v>
      </c>
      <c r="L30" s="124" t="n">
        <f aca="false">J30*K30</f>
        <v>0</v>
      </c>
      <c r="M30" s="124" t="n">
        <f aca="false">SUM(J$6:J30)</f>
        <v>0</v>
      </c>
      <c r="N30" s="124" t="n">
        <f aca="false">SUM(J$6:J30)</f>
        <v>0</v>
      </c>
      <c r="P30" s="124" t="n">
        <f aca="false">D30/P$3</f>
        <v>0</v>
      </c>
      <c r="Q30" s="143" t="n">
        <f aca="false">E30/P$3</f>
        <v>0.037167</v>
      </c>
      <c r="R30" s="124" t="n">
        <f aca="false">F30/R$3</f>
        <v>0</v>
      </c>
      <c r="S30" s="126" t="n">
        <f aca="false">J30/$R$3</f>
        <v>0</v>
      </c>
      <c r="T30" s="126" t="n">
        <f aca="false">L30/$R$3</f>
        <v>0</v>
      </c>
      <c r="U30" s="126" t="n">
        <f aca="false">I30/$R$3</f>
        <v>0</v>
      </c>
      <c r="V30" s="126" t="n">
        <f aca="false">M30/$R$3</f>
        <v>0</v>
      </c>
      <c r="W30" s="126" t="n">
        <f aca="false">N30/$R$3</f>
        <v>0</v>
      </c>
    </row>
    <row r="31" customFormat="false" ht="12.75" hidden="true" customHeight="false" outlineLevel="0" collapsed="false">
      <c r="A31" s="120" t="n">
        <f aca="false">A30+1</f>
        <v>36917</v>
      </c>
      <c r="B31" s="131" t="str">
        <f aca="false">INDEX('Master Data'!$A$2:$B$8,MATCH(WEEKDAY('Arg Total Power'!A31,3),'Master Data'!$A$2:$A$8,0),2)</f>
        <v>F</v>
      </c>
      <c r="D31" s="124" t="n">
        <v>0</v>
      </c>
      <c r="E31" s="124" t="n">
        <v>34999</v>
      </c>
      <c r="F31" s="124" t="n">
        <v>0</v>
      </c>
      <c r="G31" s="124" t="n">
        <v>0</v>
      </c>
      <c r="I31" s="124" t="n">
        <f aca="false">IF(MONTH($A31)=MONTH($A30),IF(G31=0,I30,G31),0)</f>
        <v>0</v>
      </c>
      <c r="J31" s="124" t="n">
        <f aca="false">IF(MONTH($A31)=MONTH($A30),SUM(I31-I30),I31)</f>
        <v>0</v>
      </c>
      <c r="K31" s="124" t="n">
        <f aca="false">IF(WEEKDAY(A31,3)&gt;4,0,(IF(A31&lt;K$2,0,IF(A31&lt;=K$3,1,0))))</f>
        <v>0</v>
      </c>
      <c r="L31" s="124" t="n">
        <f aca="false">J31*K31</f>
        <v>0</v>
      </c>
      <c r="M31" s="124" t="n">
        <f aca="false">SUM(J$6:J31)</f>
        <v>0</v>
      </c>
      <c r="N31" s="124" t="n">
        <f aca="false">SUM(J$6:J31)</f>
        <v>0</v>
      </c>
      <c r="P31" s="124" t="n">
        <f aca="false">D31/P$3</f>
        <v>0</v>
      </c>
      <c r="Q31" s="143" t="n">
        <f aca="false">E31/P$3</f>
        <v>0.034999</v>
      </c>
      <c r="R31" s="124" t="n">
        <f aca="false">F31/R$3</f>
        <v>0</v>
      </c>
      <c r="S31" s="126" t="n">
        <f aca="false">J31/$R$3</f>
        <v>0</v>
      </c>
      <c r="T31" s="126" t="n">
        <f aca="false">L31/$R$3</f>
        <v>0</v>
      </c>
      <c r="U31" s="126" t="n">
        <f aca="false">I31/$R$3</f>
        <v>0</v>
      </c>
      <c r="V31" s="126" t="n">
        <f aca="false">M31/$R$3</f>
        <v>0</v>
      </c>
      <c r="W31" s="126" t="n">
        <f aca="false">N31/$R$3</f>
        <v>0</v>
      </c>
    </row>
    <row r="32" customFormat="false" ht="12.75" hidden="true" customHeight="false" outlineLevel="0" collapsed="false">
      <c r="A32" s="120" t="n">
        <f aca="false">A31+1</f>
        <v>36918</v>
      </c>
      <c r="B32" s="131" t="str">
        <f aca="false">INDEX('Master Data'!$A$2:$B$8,MATCH(WEEKDAY('Arg Total Power'!A32,3),'Master Data'!$A$2:$A$8,0),2)</f>
        <v>Sa</v>
      </c>
      <c r="D32" s="124" t="n">
        <v>0</v>
      </c>
      <c r="E32" s="124" t="n">
        <v>0</v>
      </c>
      <c r="F32" s="124" t="n">
        <v>0</v>
      </c>
      <c r="G32" s="124" t="n">
        <v>0</v>
      </c>
      <c r="I32" s="124" t="n">
        <f aca="false">IF(MONTH($A32)=MONTH($A31),IF(G32=0,I31,G32),0)</f>
        <v>0</v>
      </c>
      <c r="J32" s="124" t="n">
        <f aca="false">IF(MONTH($A32)=MONTH($A31),SUM(I32-I31),I32)</f>
        <v>0</v>
      </c>
      <c r="K32" s="124" t="n">
        <f aca="false">IF(WEEKDAY(A32,3)&gt;4,0,(IF(A32&lt;K$2,0,IF(A32&lt;=K$3,1,0))))</f>
        <v>0</v>
      </c>
      <c r="L32" s="124" t="n">
        <f aca="false">J32*K32</f>
        <v>0</v>
      </c>
      <c r="M32" s="124" t="n">
        <f aca="false">SUM(J$6:J32)</f>
        <v>0</v>
      </c>
      <c r="N32" s="124" t="n">
        <f aca="false">SUM(J$6:J32)</f>
        <v>0</v>
      </c>
      <c r="P32" s="124" t="n">
        <f aca="false">D32/P$3</f>
        <v>0</v>
      </c>
      <c r="Q32" s="143" t="n">
        <f aca="false">E32/P$3</f>
        <v>0</v>
      </c>
      <c r="R32" s="124" t="n">
        <f aca="false">F32/R$3</f>
        <v>0</v>
      </c>
      <c r="S32" s="126" t="n">
        <f aca="false">J32/$R$3</f>
        <v>0</v>
      </c>
      <c r="T32" s="126" t="n">
        <f aca="false">L32/$R$3</f>
        <v>0</v>
      </c>
      <c r="U32" s="126" t="n">
        <f aca="false">I32/$R$3</f>
        <v>0</v>
      </c>
      <c r="V32" s="126" t="n">
        <f aca="false">M32/$R$3</f>
        <v>0</v>
      </c>
      <c r="W32" s="126" t="n">
        <f aca="false">N32/$R$3</f>
        <v>0</v>
      </c>
    </row>
    <row r="33" customFormat="false" ht="12.75" hidden="true" customHeight="false" outlineLevel="0" collapsed="false">
      <c r="A33" s="120" t="n">
        <f aca="false">A32+1</f>
        <v>36919</v>
      </c>
      <c r="B33" s="131" t="str">
        <f aca="false">INDEX('Master Data'!$A$2:$B$8,MATCH(WEEKDAY('Arg Total Power'!A33,3),'Master Data'!$A$2:$A$8,0),2)</f>
        <v>Su</v>
      </c>
      <c r="D33" s="124" t="n">
        <v>0</v>
      </c>
      <c r="E33" s="124" t="n">
        <v>0</v>
      </c>
      <c r="F33" s="124" t="n">
        <v>0</v>
      </c>
      <c r="G33" s="124" t="n">
        <v>0</v>
      </c>
      <c r="I33" s="124" t="n">
        <f aca="false">IF(MONTH($A33)=MONTH($A32),IF(G33=0,I32,G33),0)</f>
        <v>0</v>
      </c>
      <c r="J33" s="124" t="n">
        <f aca="false">IF(MONTH($A33)=MONTH($A32),SUM(I33-I32),I33)</f>
        <v>0</v>
      </c>
      <c r="K33" s="124" t="n">
        <f aca="false">IF(WEEKDAY(A33,3)&gt;4,0,(IF(A33&lt;K$2,0,IF(A33&lt;=K$3,1,0))))</f>
        <v>0</v>
      </c>
      <c r="L33" s="124" t="n">
        <f aca="false">J33*K33</f>
        <v>0</v>
      </c>
      <c r="M33" s="124" t="n">
        <f aca="false">SUM(J$6:J33)</f>
        <v>0</v>
      </c>
      <c r="N33" s="124" t="n">
        <f aca="false">SUM(J$6:J33)</f>
        <v>0</v>
      </c>
      <c r="P33" s="124" t="n">
        <f aca="false">D33/P$3</f>
        <v>0</v>
      </c>
      <c r="Q33" s="143" t="n">
        <f aca="false">E33/P$3</f>
        <v>0</v>
      </c>
      <c r="R33" s="124" t="n">
        <f aca="false">F33/R$3</f>
        <v>0</v>
      </c>
      <c r="S33" s="126" t="n">
        <f aca="false">J33/$R$3</f>
        <v>0</v>
      </c>
      <c r="T33" s="126" t="n">
        <f aca="false">L33/$R$3</f>
        <v>0</v>
      </c>
      <c r="U33" s="126" t="n">
        <f aca="false">I33/$R$3</f>
        <v>0</v>
      </c>
      <c r="V33" s="126" t="n">
        <f aca="false">M33/$R$3</f>
        <v>0</v>
      </c>
      <c r="W33" s="126" t="n">
        <f aca="false">N33/$R$3</f>
        <v>0</v>
      </c>
    </row>
    <row r="34" customFormat="false" ht="12.75" hidden="true" customHeight="false" outlineLevel="0" collapsed="false">
      <c r="A34" s="120" t="n">
        <f aca="false">A33+1</f>
        <v>36920</v>
      </c>
      <c r="B34" s="131" t="str">
        <f aca="false">INDEX('Master Data'!$A$2:$B$8,MATCH(WEEKDAY('Arg Total Power'!A34,3),'Master Data'!$A$2:$A$8,0),2)</f>
        <v>M</v>
      </c>
      <c r="D34" s="124" t="n">
        <v>0</v>
      </c>
      <c r="E34" s="124" t="n">
        <v>28683</v>
      </c>
      <c r="F34" s="124" t="n">
        <v>0</v>
      </c>
      <c r="G34" s="124" t="n">
        <v>0</v>
      </c>
      <c r="I34" s="124" t="n">
        <f aca="false">IF(MONTH($A34)=MONTH($A33),IF(G34=0,I33,G34),0)</f>
        <v>0</v>
      </c>
      <c r="J34" s="124" t="n">
        <f aca="false">IF(MONTH($A34)=MONTH($A33),SUM(I34-I33),I34)</f>
        <v>0</v>
      </c>
      <c r="K34" s="124" t="n">
        <f aca="false">IF(WEEKDAY(A34,3)&gt;4,0,(IF(A34&lt;K$2,0,IF(A34&lt;=K$3,1,0))))</f>
        <v>0</v>
      </c>
      <c r="L34" s="124" t="n">
        <f aca="false">J34*K34</f>
        <v>0</v>
      </c>
      <c r="M34" s="124" t="n">
        <f aca="false">SUM(J$6:J34)</f>
        <v>0</v>
      </c>
      <c r="N34" s="124" t="n">
        <f aca="false">SUM(J$6:J34)</f>
        <v>0</v>
      </c>
      <c r="P34" s="124" t="n">
        <f aca="false">D34/P$3</f>
        <v>0</v>
      </c>
      <c r="Q34" s="143" t="n">
        <f aca="false">E34/P$3</f>
        <v>0.028683</v>
      </c>
      <c r="R34" s="124" t="n">
        <f aca="false">F34/R$3</f>
        <v>0</v>
      </c>
      <c r="S34" s="126" t="n">
        <f aca="false">J34/$R$3</f>
        <v>0</v>
      </c>
      <c r="T34" s="126" t="n">
        <f aca="false">L34/$R$3</f>
        <v>0</v>
      </c>
      <c r="U34" s="126" t="n">
        <f aca="false">I34/$R$3</f>
        <v>0</v>
      </c>
      <c r="V34" s="126" t="n">
        <f aca="false">M34/$R$3</f>
        <v>0</v>
      </c>
      <c r="W34" s="126" t="n">
        <f aca="false">N34/$R$3</f>
        <v>0</v>
      </c>
    </row>
    <row r="35" customFormat="false" ht="12.75" hidden="true" customHeight="false" outlineLevel="0" collapsed="false">
      <c r="A35" s="120" t="n">
        <f aca="false">A34+1</f>
        <v>36921</v>
      </c>
      <c r="B35" s="131" t="str">
        <f aca="false">INDEX('Master Data'!$A$2:$B$8,MATCH(WEEKDAY('Arg Total Power'!A35,3),'Master Data'!$A$2:$A$8,0),2)</f>
        <v>T</v>
      </c>
      <c r="D35" s="124" t="n">
        <v>0</v>
      </c>
      <c r="E35" s="124" t="n">
        <v>26512</v>
      </c>
      <c r="F35" s="124" t="n">
        <v>0</v>
      </c>
      <c r="G35" s="124" t="n">
        <v>0</v>
      </c>
      <c r="I35" s="124" t="n">
        <f aca="false">IF(MONTH($A35)=MONTH($A34),IF(G35=0,I34,G35),0)</f>
        <v>0</v>
      </c>
      <c r="J35" s="124" t="n">
        <f aca="false">IF(MONTH($A35)=MONTH($A34),SUM(I35-I34),I35)</f>
        <v>0</v>
      </c>
      <c r="K35" s="124" t="n">
        <f aca="false">IF(WEEKDAY(A35,3)&gt;4,0,(IF(A35&lt;K$2,0,IF(A35&lt;=K$3,1,0))))</f>
        <v>0</v>
      </c>
      <c r="L35" s="124" t="n">
        <f aca="false">J35*K35</f>
        <v>0</v>
      </c>
      <c r="M35" s="124" t="n">
        <f aca="false">SUM(J$6:J35)</f>
        <v>0</v>
      </c>
      <c r="N35" s="124" t="n">
        <f aca="false">SUM(J$6:J35)</f>
        <v>0</v>
      </c>
      <c r="P35" s="124" t="n">
        <f aca="false">D35/P$3</f>
        <v>0</v>
      </c>
      <c r="Q35" s="143" t="n">
        <f aca="false">E35/P$3</f>
        <v>0.026512</v>
      </c>
      <c r="R35" s="124" t="n">
        <f aca="false">F35/R$3</f>
        <v>0</v>
      </c>
      <c r="S35" s="126" t="n">
        <f aca="false">J35/$R$3</f>
        <v>0</v>
      </c>
      <c r="T35" s="126" t="n">
        <f aca="false">L35/$R$3</f>
        <v>0</v>
      </c>
      <c r="U35" s="126" t="n">
        <f aca="false">I35/$R$3</f>
        <v>0</v>
      </c>
      <c r="V35" s="126" t="n">
        <f aca="false">M35/$R$3</f>
        <v>0</v>
      </c>
      <c r="W35" s="126" t="n">
        <f aca="false">N35/$R$3</f>
        <v>0</v>
      </c>
    </row>
    <row r="36" customFormat="false" ht="12.75" hidden="false" customHeight="false" outlineLevel="0" collapsed="false">
      <c r="A36" s="120" t="n">
        <f aca="false">A35+1</f>
        <v>36922</v>
      </c>
      <c r="B36" s="131" t="str">
        <f aca="false">INDEX('Master Data'!$A$2:$B$8,MATCH(WEEKDAY('Arg Total Power'!A36,3),'Master Data'!$A$2:$A$8,0),2)</f>
        <v>W</v>
      </c>
      <c r="D36" s="124" t="n">
        <v>0</v>
      </c>
      <c r="E36" s="124"/>
      <c r="F36" s="124" t="n">
        <v>0</v>
      </c>
      <c r="G36" s="124" t="n">
        <v>0</v>
      </c>
      <c r="I36" s="124" t="n">
        <f aca="false">IF(MONTH($A36)=MONTH($A35),IF(G36=0,I35,G36),0)</f>
        <v>0</v>
      </c>
      <c r="J36" s="124" t="n">
        <f aca="false">IF(MONTH($A36)=MONTH($A35),SUM(I36-I35),I36)</f>
        <v>0</v>
      </c>
      <c r="K36" s="124" t="n">
        <f aca="false">IF(WEEKDAY(A36,3)&gt;4,0,(IF(A36&lt;K$2,0,IF(A36&lt;=K$3,1,0))))</f>
        <v>0</v>
      </c>
      <c r="L36" s="124" t="n">
        <f aca="false">J36*K36</f>
        <v>0</v>
      </c>
      <c r="M36" s="124" t="n">
        <f aca="false">SUM(J$6:J36)</f>
        <v>0</v>
      </c>
      <c r="N36" s="124" t="n">
        <f aca="false">SUM(J$6:J36)</f>
        <v>0</v>
      </c>
      <c r="P36" s="124" t="n">
        <f aca="false">D36/P$3</f>
        <v>0</v>
      </c>
      <c r="Q36" s="143" t="n">
        <f aca="false">E36/P$3</f>
        <v>0</v>
      </c>
      <c r="R36" s="124" t="n">
        <f aca="false">F36/R$3</f>
        <v>0</v>
      </c>
      <c r="S36" s="126" t="n">
        <f aca="false">J36/$R$3</f>
        <v>0</v>
      </c>
      <c r="T36" s="126" t="n">
        <f aca="false">L36/$R$3</f>
        <v>0</v>
      </c>
      <c r="U36" s="126" t="n">
        <f aca="false">I36/$R$3</f>
        <v>0</v>
      </c>
      <c r="V36" s="126" t="n">
        <f aca="false">M36/$R$3</f>
        <v>0</v>
      </c>
      <c r="W36" s="126" t="n">
        <f aca="false">N36/$R$3</f>
        <v>0</v>
      </c>
    </row>
    <row r="37" customFormat="false" ht="12.75" hidden="true" customHeight="false" outlineLevel="0" collapsed="false">
      <c r="A37" s="120" t="n">
        <f aca="false">A36+1</f>
        <v>36923</v>
      </c>
      <c r="B37" s="131" t="str">
        <f aca="false">INDEX('Master Data'!$A$2:$B$8,MATCH(WEEKDAY('Arg Total Power'!A37,3),'Master Data'!$A$2:$A$8,0),2)</f>
        <v>Th</v>
      </c>
      <c r="D37" s="124" t="n">
        <v>0</v>
      </c>
      <c r="E37" s="124"/>
      <c r="F37" s="124" t="n">
        <v>0</v>
      </c>
      <c r="G37" s="124" t="n">
        <v>0</v>
      </c>
      <c r="I37" s="124" t="n">
        <f aca="false">IF(MONTH($A37)=MONTH($A36),IF(G37=0,I36,G37),G37)</f>
        <v>0</v>
      </c>
      <c r="J37" s="124" t="n">
        <f aca="false">IF(MONTH($A37)=MONTH($A36),SUM(I37-I36),I37)</f>
        <v>0</v>
      </c>
      <c r="K37" s="124" t="n">
        <f aca="false">IF(WEEKDAY(A37,3)&gt;4,0,(IF(A37&lt;K$2,0,IF(A37&lt;=K$3,1,0))))</f>
        <v>0</v>
      </c>
      <c r="L37" s="124" t="n">
        <f aca="false">J37*K37</f>
        <v>0</v>
      </c>
      <c r="M37" s="124" t="n">
        <f aca="false">SUM(J$6:J37)</f>
        <v>0</v>
      </c>
      <c r="N37" s="124" t="n">
        <f aca="false">SUM(J$6:J37)</f>
        <v>0</v>
      </c>
      <c r="P37" s="124" t="n">
        <f aca="false">D37/P$3</f>
        <v>0</v>
      </c>
      <c r="Q37" s="143" t="n">
        <f aca="false">E37/P$3</f>
        <v>0</v>
      </c>
      <c r="R37" s="124" t="n">
        <f aca="false">F37/R$3</f>
        <v>0</v>
      </c>
      <c r="S37" s="126" t="n">
        <f aca="false">J37/$R$3</f>
        <v>0</v>
      </c>
      <c r="T37" s="126" t="n">
        <f aca="false">L37/$R$3</f>
        <v>0</v>
      </c>
      <c r="U37" s="126" t="n">
        <f aca="false">I37/$R$3</f>
        <v>0</v>
      </c>
      <c r="V37" s="126" t="n">
        <f aca="false">M37/$R$3</f>
        <v>0</v>
      </c>
      <c r="W37" s="126" t="n">
        <f aca="false">N37/$R$3</f>
        <v>0</v>
      </c>
    </row>
    <row r="38" customFormat="false" ht="12.75" hidden="true" customHeight="false" outlineLevel="0" collapsed="false">
      <c r="A38" s="120" t="n">
        <f aca="false">A37+1</f>
        <v>36924</v>
      </c>
      <c r="B38" s="131" t="str">
        <f aca="false">INDEX('Master Data'!$A$2:$B$8,MATCH(WEEKDAY('Arg Total Power'!A38,3),'Master Data'!$A$2:$A$8,0),2)</f>
        <v>F</v>
      </c>
      <c r="D38" s="124" t="n">
        <v>0</v>
      </c>
      <c r="E38" s="124"/>
      <c r="F38" s="124" t="n">
        <v>0</v>
      </c>
      <c r="G38" s="124" t="n">
        <v>0</v>
      </c>
      <c r="I38" s="124" t="n">
        <f aca="false">IF(MONTH($A38)=MONTH($A37),IF(G38=0,I37,G38),G38)</f>
        <v>0</v>
      </c>
      <c r="J38" s="124" t="n">
        <f aca="false">IF(MONTH($A38)=MONTH($A37),SUM(I38-I37),I38)</f>
        <v>0</v>
      </c>
      <c r="K38" s="124" t="n">
        <f aca="false">IF(WEEKDAY(A38,3)&gt;4,0,(IF(A38&lt;K$2,0,IF(A38&lt;=K$3,1,0))))</f>
        <v>0</v>
      </c>
      <c r="L38" s="124" t="n">
        <f aca="false">J38*K38</f>
        <v>0</v>
      </c>
      <c r="M38" s="124" t="n">
        <f aca="false">SUM(J$6:J38)</f>
        <v>0</v>
      </c>
      <c r="N38" s="124" t="n">
        <f aca="false">SUM(J$6:J38)</f>
        <v>0</v>
      </c>
      <c r="P38" s="124" t="n">
        <f aca="false">D38/P$3</f>
        <v>0</v>
      </c>
      <c r="Q38" s="143" t="n">
        <f aca="false">E38/P$3</f>
        <v>0</v>
      </c>
      <c r="R38" s="124" t="n">
        <f aca="false">F38/R$3</f>
        <v>0</v>
      </c>
      <c r="S38" s="126" t="n">
        <f aca="false">J38/$R$3</f>
        <v>0</v>
      </c>
      <c r="T38" s="126" t="n">
        <f aca="false">L38/$R$3</f>
        <v>0</v>
      </c>
      <c r="U38" s="126" t="n">
        <f aca="false">I38/$R$3</f>
        <v>0</v>
      </c>
      <c r="V38" s="126" t="n">
        <f aca="false">M38/$R$3</f>
        <v>0</v>
      </c>
      <c r="W38" s="126" t="n">
        <f aca="false">N38/$R$3</f>
        <v>0</v>
      </c>
    </row>
    <row r="39" customFormat="false" ht="12.75" hidden="true" customHeight="false" outlineLevel="0" collapsed="false">
      <c r="A39" s="120" t="n">
        <f aca="false">A38+1</f>
        <v>36925</v>
      </c>
      <c r="B39" s="131" t="str">
        <f aca="false">INDEX('Master Data'!$A$2:$B$8,MATCH(WEEKDAY('Arg Total Power'!A39,3),'Master Data'!$A$2:$A$8,0),2)</f>
        <v>Sa</v>
      </c>
      <c r="D39" s="124" t="n">
        <v>0</v>
      </c>
      <c r="E39" s="124"/>
      <c r="F39" s="124" t="n">
        <v>0</v>
      </c>
      <c r="G39" s="124" t="n">
        <v>0</v>
      </c>
      <c r="I39" s="124" t="n">
        <f aca="false">IF(MONTH($A39)=MONTH($A38),IF(G39=0,I38,G39),G39)</f>
        <v>0</v>
      </c>
      <c r="J39" s="124" t="n">
        <f aca="false">IF(MONTH($A39)=MONTH($A38),SUM(I39-I38),I39)</f>
        <v>0</v>
      </c>
      <c r="K39" s="124" t="n">
        <f aca="false">IF(WEEKDAY(A39,3)&gt;4,0,(IF(A39&lt;K$2,0,IF(A39&lt;=K$3,1,0))))</f>
        <v>0</v>
      </c>
      <c r="L39" s="124" t="n">
        <f aca="false">J39*K39</f>
        <v>0</v>
      </c>
      <c r="M39" s="124" t="n">
        <f aca="false">SUM(J$6:J39)</f>
        <v>0</v>
      </c>
      <c r="N39" s="124" t="n">
        <f aca="false">SUM(J$6:J39)</f>
        <v>0</v>
      </c>
      <c r="P39" s="124" t="n">
        <f aca="false">D39/P$3</f>
        <v>0</v>
      </c>
      <c r="Q39" s="143" t="n">
        <f aca="false">E39/P$3</f>
        <v>0</v>
      </c>
      <c r="R39" s="124" t="n">
        <f aca="false">F39/R$3</f>
        <v>0</v>
      </c>
      <c r="S39" s="126" t="n">
        <f aca="false">J39/$R$3</f>
        <v>0</v>
      </c>
      <c r="T39" s="126" t="n">
        <f aca="false">L39/$R$3</f>
        <v>0</v>
      </c>
      <c r="U39" s="126" t="n">
        <f aca="false">I39/$R$3</f>
        <v>0</v>
      </c>
      <c r="V39" s="126" t="n">
        <f aca="false">M39/$R$3</f>
        <v>0</v>
      </c>
      <c r="W39" s="126" t="n">
        <f aca="false">N39/$R$3</f>
        <v>0</v>
      </c>
    </row>
    <row r="40" customFormat="false" ht="12.75" hidden="true" customHeight="false" outlineLevel="0" collapsed="false">
      <c r="A40" s="120" t="n">
        <f aca="false">A39+1</f>
        <v>36926</v>
      </c>
      <c r="B40" s="131" t="str">
        <f aca="false">INDEX('Master Data'!$A$2:$B$8,MATCH(WEEKDAY('Arg Total Power'!A40,3),'Master Data'!$A$2:$A$8,0),2)</f>
        <v>Su</v>
      </c>
      <c r="D40" s="124" t="n">
        <v>0</v>
      </c>
      <c r="E40" s="124"/>
      <c r="F40" s="124" t="n">
        <v>0</v>
      </c>
      <c r="G40" s="124" t="n">
        <v>0</v>
      </c>
      <c r="I40" s="124" t="n">
        <f aca="false">IF(MONTH($A40)=MONTH($A39),IF(G40=0,I39,G40),G40)</f>
        <v>0</v>
      </c>
      <c r="J40" s="124" t="n">
        <f aca="false">IF(MONTH($A40)=MONTH($A39),SUM(I40-I39),I40)</f>
        <v>0</v>
      </c>
      <c r="K40" s="124" t="n">
        <f aca="false">IF(WEEKDAY(A40,3)&gt;4,0,(IF(A40&lt;K$2,0,IF(A40&lt;=K$3,1,0))))</f>
        <v>0</v>
      </c>
      <c r="L40" s="124" t="n">
        <f aca="false">J40*K40</f>
        <v>0</v>
      </c>
      <c r="M40" s="124" t="n">
        <f aca="false">SUM(J$6:J40)</f>
        <v>0</v>
      </c>
      <c r="N40" s="124" t="n">
        <f aca="false">SUM(J$6:J40)</f>
        <v>0</v>
      </c>
      <c r="P40" s="124" t="n">
        <f aca="false">D40/P$3</f>
        <v>0</v>
      </c>
      <c r="Q40" s="143" t="n">
        <f aca="false">E40/P$3</f>
        <v>0</v>
      </c>
      <c r="R40" s="124" t="n">
        <f aca="false">F40/R$3</f>
        <v>0</v>
      </c>
      <c r="S40" s="126" t="n">
        <f aca="false">J40/$R$3</f>
        <v>0</v>
      </c>
      <c r="T40" s="126" t="n">
        <f aca="false">L40/$R$3</f>
        <v>0</v>
      </c>
      <c r="U40" s="126" t="n">
        <f aca="false">I40/$R$3</f>
        <v>0</v>
      </c>
      <c r="V40" s="126" t="n">
        <f aca="false">M40/$R$3</f>
        <v>0</v>
      </c>
      <c r="W40" s="126" t="n">
        <f aca="false">N40/$R$3</f>
        <v>0</v>
      </c>
    </row>
    <row r="41" customFormat="false" ht="12.75" hidden="true" customHeight="false" outlineLevel="0" collapsed="false">
      <c r="A41" s="120" t="n">
        <f aca="false">A40+1</f>
        <v>36927</v>
      </c>
      <c r="B41" s="131" t="str">
        <f aca="false">INDEX('Master Data'!$A$2:$B$8,MATCH(WEEKDAY('Arg Total Power'!A41,3),'Master Data'!$A$2:$A$8,0),2)</f>
        <v>M</v>
      </c>
      <c r="D41" s="124" t="n">
        <v>0</v>
      </c>
      <c r="E41" s="124"/>
      <c r="F41" s="124" t="n">
        <v>0</v>
      </c>
      <c r="G41" s="124" t="n">
        <v>0</v>
      </c>
      <c r="I41" s="124" t="n">
        <f aca="false">IF(MONTH($A41)=MONTH($A40),IF(G41=0,I40,G41),G41)</f>
        <v>0</v>
      </c>
      <c r="J41" s="124" t="n">
        <f aca="false">IF(MONTH($A41)=MONTH($A40),SUM(I41-I40),I41)</f>
        <v>0</v>
      </c>
      <c r="K41" s="124" t="n">
        <f aca="false">IF(WEEKDAY(A41,3)&gt;4,0,(IF(A41&lt;K$2,0,IF(A41&lt;=K$3,1,0))))</f>
        <v>0</v>
      </c>
      <c r="L41" s="124" t="n">
        <f aca="false">J41*K41</f>
        <v>0</v>
      </c>
      <c r="M41" s="124" t="n">
        <f aca="false">SUM(J$6:J41)</f>
        <v>0</v>
      </c>
      <c r="N41" s="124" t="n">
        <f aca="false">SUM(J$6:J41)</f>
        <v>0</v>
      </c>
      <c r="P41" s="124" t="n">
        <f aca="false">D41/P$3</f>
        <v>0</v>
      </c>
      <c r="Q41" s="143" t="n">
        <f aca="false">E41/P$3</f>
        <v>0</v>
      </c>
      <c r="R41" s="124" t="n">
        <f aca="false">F41/R$3</f>
        <v>0</v>
      </c>
      <c r="S41" s="126" t="n">
        <f aca="false">J41/$R$3</f>
        <v>0</v>
      </c>
      <c r="T41" s="126" t="n">
        <f aca="false">L41/$R$3</f>
        <v>0</v>
      </c>
      <c r="U41" s="126" t="n">
        <f aca="false">I41/$R$3</f>
        <v>0</v>
      </c>
      <c r="V41" s="126" t="n">
        <f aca="false">M41/$R$3</f>
        <v>0</v>
      </c>
      <c r="W41" s="126" t="n">
        <f aca="false">N41/$R$3</f>
        <v>0</v>
      </c>
    </row>
    <row r="42" customFormat="false" ht="12.75" hidden="true" customHeight="false" outlineLevel="0" collapsed="false">
      <c r="A42" s="120" t="n">
        <f aca="false">A41+1</f>
        <v>36928</v>
      </c>
      <c r="B42" s="131" t="str">
        <f aca="false">INDEX('Master Data'!$A$2:$B$8,MATCH(WEEKDAY('Arg Total Power'!A42,3),'Master Data'!$A$2:$A$8,0),2)</f>
        <v>T</v>
      </c>
      <c r="D42" s="124" t="n">
        <v>0</v>
      </c>
      <c r="E42" s="124"/>
      <c r="F42" s="124" t="n">
        <v>0</v>
      </c>
      <c r="G42" s="124" t="n">
        <v>0</v>
      </c>
      <c r="I42" s="124" t="n">
        <f aca="false">IF(MONTH($A42)=MONTH($A41),IF(G42=0,I41,G42),G42)</f>
        <v>0</v>
      </c>
      <c r="J42" s="124" t="n">
        <f aca="false">IF(MONTH($A42)=MONTH($A41),SUM(I42-I41),I42)</f>
        <v>0</v>
      </c>
      <c r="K42" s="124" t="n">
        <f aca="false">IF(WEEKDAY(A42,3)&gt;4,0,(IF(A42&lt;K$2,0,IF(A42&lt;=K$3,1,0))))</f>
        <v>0</v>
      </c>
      <c r="L42" s="124" t="n">
        <f aca="false">J42*K42</f>
        <v>0</v>
      </c>
      <c r="M42" s="124" t="n">
        <f aca="false">SUM(J$6:J42)</f>
        <v>0</v>
      </c>
      <c r="N42" s="124" t="n">
        <f aca="false">SUM(J$6:J42)</f>
        <v>0</v>
      </c>
      <c r="P42" s="124" t="n">
        <f aca="false">D42/P$3</f>
        <v>0</v>
      </c>
      <c r="Q42" s="143" t="n">
        <f aca="false">E42/P$3</f>
        <v>0</v>
      </c>
      <c r="R42" s="124" t="n">
        <f aca="false">F42/R$3</f>
        <v>0</v>
      </c>
      <c r="S42" s="126" t="n">
        <f aca="false">J42/$R$3</f>
        <v>0</v>
      </c>
      <c r="T42" s="126" t="n">
        <f aca="false">L42/$R$3</f>
        <v>0</v>
      </c>
      <c r="U42" s="126" t="n">
        <f aca="false">I42/$R$3</f>
        <v>0</v>
      </c>
      <c r="V42" s="126" t="n">
        <f aca="false">M42/$R$3</f>
        <v>0</v>
      </c>
      <c r="W42" s="126" t="n">
        <f aca="false">N42/$R$3</f>
        <v>0</v>
      </c>
    </row>
    <row r="43" customFormat="false" ht="12.75" hidden="true" customHeight="false" outlineLevel="0" collapsed="false">
      <c r="A43" s="120" t="n">
        <f aca="false">A42+1</f>
        <v>36929</v>
      </c>
      <c r="B43" s="131" t="str">
        <f aca="false">INDEX('Master Data'!$A$2:$B$8,MATCH(WEEKDAY('Arg Total Power'!A43,3),'Master Data'!$A$2:$A$8,0),2)</f>
        <v>W</v>
      </c>
      <c r="D43" s="124" t="n">
        <v>0</v>
      </c>
      <c r="E43" s="124"/>
      <c r="F43" s="124" t="n">
        <v>0</v>
      </c>
      <c r="G43" s="124" t="n">
        <v>0</v>
      </c>
      <c r="I43" s="124" t="n">
        <f aca="false">IF(MONTH($A43)=MONTH($A42),IF(G43=0,I42,G43),G43)</f>
        <v>0</v>
      </c>
      <c r="J43" s="124" t="n">
        <f aca="false">IF(MONTH($A43)=MONTH($A42),SUM(I43-I42),I43)</f>
        <v>0</v>
      </c>
      <c r="K43" s="124" t="n">
        <f aca="false">IF(WEEKDAY(A43,3)&gt;4,0,(IF(A43&lt;K$2,0,IF(A43&lt;=K$3,1,0))))</f>
        <v>0</v>
      </c>
      <c r="L43" s="124" t="n">
        <f aca="false">J43*K43</f>
        <v>0</v>
      </c>
      <c r="M43" s="124" t="n">
        <f aca="false">SUM(J$6:J43)</f>
        <v>0</v>
      </c>
      <c r="N43" s="124" t="n">
        <f aca="false">SUM(J$6:J43)</f>
        <v>0</v>
      </c>
      <c r="P43" s="124" t="n">
        <f aca="false">D43/P$3</f>
        <v>0</v>
      </c>
      <c r="Q43" s="143" t="n">
        <f aca="false">E43/P$3</f>
        <v>0</v>
      </c>
      <c r="R43" s="124" t="n">
        <f aca="false">F43/R$3</f>
        <v>0</v>
      </c>
      <c r="S43" s="126" t="n">
        <f aca="false">J43/$R$3</f>
        <v>0</v>
      </c>
      <c r="T43" s="126" t="n">
        <f aca="false">L43/$R$3</f>
        <v>0</v>
      </c>
      <c r="U43" s="126" t="n">
        <f aca="false">I43/$R$3</f>
        <v>0</v>
      </c>
      <c r="V43" s="126" t="n">
        <f aca="false">M43/$R$3</f>
        <v>0</v>
      </c>
      <c r="W43" s="126" t="n">
        <f aca="false">N43/$R$3</f>
        <v>0</v>
      </c>
    </row>
    <row r="44" customFormat="false" ht="12.75" hidden="true" customHeight="false" outlineLevel="0" collapsed="false">
      <c r="A44" s="120" t="n">
        <f aca="false">A43+1</f>
        <v>36930</v>
      </c>
      <c r="B44" s="131" t="str">
        <f aca="false">INDEX('Master Data'!$A$2:$B$8,MATCH(WEEKDAY('Arg Total Power'!A44,3),'Master Data'!$A$2:$A$8,0),2)</f>
        <v>Th</v>
      </c>
      <c r="D44" s="124" t="n">
        <v>0</v>
      </c>
      <c r="E44" s="124"/>
      <c r="F44" s="124" t="n">
        <v>0</v>
      </c>
      <c r="G44" s="124" t="n">
        <v>0</v>
      </c>
      <c r="I44" s="124" t="n">
        <f aca="false">IF(MONTH($A44)=MONTH($A43),IF(G44=0,I43,G44),G44)</f>
        <v>0</v>
      </c>
      <c r="J44" s="124" t="n">
        <f aca="false">IF(MONTH($A44)=MONTH($A43),SUM(I44-I43),I44)</f>
        <v>0</v>
      </c>
      <c r="K44" s="124" t="n">
        <f aca="false">IF(WEEKDAY(A44,3)&gt;4,0,(IF(A44&lt;K$2,0,IF(A44&lt;=K$3,1,0))))</f>
        <v>0</v>
      </c>
      <c r="L44" s="124" t="n">
        <f aca="false">J44*K44</f>
        <v>0</v>
      </c>
      <c r="M44" s="124" t="n">
        <f aca="false">SUM(J$6:J44)</f>
        <v>0</v>
      </c>
      <c r="N44" s="124" t="n">
        <f aca="false">SUM(J$6:J44)</f>
        <v>0</v>
      </c>
      <c r="P44" s="124" t="n">
        <f aca="false">D44/P$3</f>
        <v>0</v>
      </c>
      <c r="Q44" s="143" t="n">
        <f aca="false">E44/P$3</f>
        <v>0</v>
      </c>
      <c r="R44" s="124" t="n">
        <f aca="false">F44/R$3</f>
        <v>0</v>
      </c>
      <c r="S44" s="126" t="n">
        <f aca="false">J44/$R$3</f>
        <v>0</v>
      </c>
      <c r="T44" s="126" t="n">
        <f aca="false">L44/$R$3</f>
        <v>0</v>
      </c>
      <c r="U44" s="126" t="n">
        <f aca="false">I44/$R$3</f>
        <v>0</v>
      </c>
      <c r="V44" s="126" t="n">
        <f aca="false">M44/$R$3</f>
        <v>0</v>
      </c>
      <c r="W44" s="126" t="n">
        <f aca="false">N44/$R$3</f>
        <v>0</v>
      </c>
    </row>
    <row r="45" customFormat="false" ht="12.75" hidden="true" customHeight="false" outlineLevel="0" collapsed="false">
      <c r="A45" s="120" t="n">
        <f aca="false">A44+1</f>
        <v>36931</v>
      </c>
      <c r="B45" s="131" t="str">
        <f aca="false">INDEX('Master Data'!$A$2:$B$8,MATCH(WEEKDAY('Arg Total Power'!A45,3),'Master Data'!$A$2:$A$8,0),2)</f>
        <v>F</v>
      </c>
      <c r="D45" s="124" t="n">
        <v>0</v>
      </c>
      <c r="E45" s="124"/>
      <c r="F45" s="124" t="n">
        <v>0</v>
      </c>
      <c r="G45" s="124" t="n">
        <v>0</v>
      </c>
      <c r="I45" s="124" t="n">
        <f aca="false">IF(MONTH($A45)=MONTH($A44),IF(G45=0,I44,G45),G45)</f>
        <v>0</v>
      </c>
      <c r="J45" s="124" t="n">
        <f aca="false">IF(MONTH($A45)=MONTH($A44),SUM(I45-I44),I45)</f>
        <v>0</v>
      </c>
      <c r="K45" s="124" t="n">
        <f aca="false">IF(WEEKDAY(A45,3)&gt;4,0,(IF(A45&lt;K$2,0,IF(A45&lt;=K$3,1,0))))</f>
        <v>0</v>
      </c>
      <c r="L45" s="124" t="n">
        <f aca="false">J45*K45</f>
        <v>0</v>
      </c>
      <c r="M45" s="124" t="n">
        <f aca="false">SUM(J$6:J45)</f>
        <v>0</v>
      </c>
      <c r="N45" s="124" t="n">
        <f aca="false">SUM(J$6:J45)</f>
        <v>0</v>
      </c>
      <c r="P45" s="124" t="n">
        <f aca="false">D45/P$3</f>
        <v>0</v>
      </c>
      <c r="Q45" s="143" t="n">
        <f aca="false">E45/P$3</f>
        <v>0</v>
      </c>
      <c r="R45" s="124" t="n">
        <f aca="false">F45/R$3</f>
        <v>0</v>
      </c>
      <c r="S45" s="126" t="n">
        <f aca="false">J45/$R$3</f>
        <v>0</v>
      </c>
      <c r="T45" s="126" t="n">
        <f aca="false">L45/$R$3</f>
        <v>0</v>
      </c>
      <c r="U45" s="126" t="n">
        <f aca="false">I45/$R$3</f>
        <v>0</v>
      </c>
      <c r="V45" s="126" t="n">
        <f aca="false">M45/$R$3</f>
        <v>0</v>
      </c>
      <c r="W45" s="126" t="n">
        <f aca="false">N45/$R$3</f>
        <v>0</v>
      </c>
    </row>
    <row r="46" customFormat="false" ht="12.75" hidden="true" customHeight="false" outlineLevel="0" collapsed="false">
      <c r="A46" s="120" t="n">
        <f aca="false">A45+1</f>
        <v>36932</v>
      </c>
      <c r="B46" s="131" t="str">
        <f aca="false">INDEX('Master Data'!$A$2:$B$8,MATCH(WEEKDAY('Arg Total Power'!A46,3),'Master Data'!$A$2:$A$8,0),2)</f>
        <v>Sa</v>
      </c>
      <c r="D46" s="124" t="n">
        <v>0</v>
      </c>
      <c r="E46" s="124"/>
      <c r="F46" s="124" t="n">
        <v>0</v>
      </c>
      <c r="G46" s="124" t="n">
        <v>0</v>
      </c>
      <c r="I46" s="124" t="n">
        <f aca="false">IF(MONTH($A46)=MONTH($A45),IF(G46=0,I45,G46),G46)</f>
        <v>0</v>
      </c>
      <c r="J46" s="124" t="n">
        <f aca="false">IF(MONTH($A46)=MONTH($A45),SUM(I46-I45),I46)</f>
        <v>0</v>
      </c>
      <c r="K46" s="124" t="n">
        <f aca="false">IF(WEEKDAY(A46,3)&gt;4,0,(IF(A46&lt;K$2,0,IF(A46&lt;=K$3,1,0))))</f>
        <v>0</v>
      </c>
      <c r="L46" s="124" t="n">
        <f aca="false">J46*K46</f>
        <v>0</v>
      </c>
      <c r="M46" s="124" t="n">
        <f aca="false">SUM(J$6:J46)</f>
        <v>0</v>
      </c>
      <c r="N46" s="124" t="n">
        <f aca="false">SUM(J$6:J46)</f>
        <v>0</v>
      </c>
      <c r="P46" s="124" t="n">
        <f aca="false">D46/P$3</f>
        <v>0</v>
      </c>
      <c r="Q46" s="143" t="n">
        <f aca="false">E46/P$3</f>
        <v>0</v>
      </c>
      <c r="R46" s="124" t="n">
        <f aca="false">F46/R$3</f>
        <v>0</v>
      </c>
      <c r="S46" s="126" t="n">
        <f aca="false">J46/$R$3</f>
        <v>0</v>
      </c>
      <c r="T46" s="126" t="n">
        <f aca="false">L46/$R$3</f>
        <v>0</v>
      </c>
      <c r="U46" s="126" t="n">
        <f aca="false">I46/$R$3</f>
        <v>0</v>
      </c>
      <c r="V46" s="126" t="n">
        <f aca="false">M46/$R$3</f>
        <v>0</v>
      </c>
      <c r="W46" s="126" t="n">
        <f aca="false">N46/$R$3</f>
        <v>0</v>
      </c>
    </row>
    <row r="47" customFormat="false" ht="12.75" hidden="true" customHeight="false" outlineLevel="0" collapsed="false">
      <c r="A47" s="120" t="n">
        <f aca="false">A46+1</f>
        <v>36933</v>
      </c>
      <c r="B47" s="131" t="str">
        <f aca="false">INDEX('Master Data'!$A$2:$B$8,MATCH(WEEKDAY('Arg Total Power'!A47,3),'Master Data'!$A$2:$A$8,0),2)</f>
        <v>Su</v>
      </c>
      <c r="D47" s="124" t="n">
        <v>0</v>
      </c>
      <c r="E47" s="124"/>
      <c r="F47" s="124" t="n">
        <v>0</v>
      </c>
      <c r="G47" s="124" t="n">
        <v>0</v>
      </c>
      <c r="I47" s="124" t="n">
        <f aca="false">IF(MONTH($A47)=MONTH($A46),IF(G47=0,I46,G47),G47)</f>
        <v>0</v>
      </c>
      <c r="J47" s="124" t="n">
        <f aca="false">IF(MONTH($A47)=MONTH($A46),SUM(I47-I46),I47)</f>
        <v>0</v>
      </c>
      <c r="K47" s="124" t="n">
        <f aca="false">IF(WEEKDAY(A47,3)&gt;4,0,(IF(A47&lt;K$2,0,IF(A47&lt;=K$3,1,0))))</f>
        <v>0</v>
      </c>
      <c r="L47" s="124" t="n">
        <f aca="false">J47*K47</f>
        <v>0</v>
      </c>
      <c r="M47" s="124" t="n">
        <f aca="false">SUM(J$6:J47)</f>
        <v>0</v>
      </c>
      <c r="N47" s="124" t="n">
        <f aca="false">SUM(J$6:J47)</f>
        <v>0</v>
      </c>
      <c r="P47" s="124" t="n">
        <f aca="false">D47/P$3</f>
        <v>0</v>
      </c>
      <c r="Q47" s="143" t="n">
        <f aca="false">E47/P$3</f>
        <v>0</v>
      </c>
      <c r="R47" s="124" t="n">
        <f aca="false">F47/R$3</f>
        <v>0</v>
      </c>
      <c r="S47" s="126" t="n">
        <f aca="false">J47/$R$3</f>
        <v>0</v>
      </c>
      <c r="T47" s="126" t="n">
        <f aca="false">L47/$R$3</f>
        <v>0</v>
      </c>
      <c r="U47" s="126" t="n">
        <f aca="false">I47/$R$3</f>
        <v>0</v>
      </c>
      <c r="V47" s="126" t="n">
        <f aca="false">M47/$R$3</f>
        <v>0</v>
      </c>
      <c r="W47" s="126" t="n">
        <f aca="false">N47/$R$3</f>
        <v>0</v>
      </c>
    </row>
    <row r="48" customFormat="false" ht="12.75" hidden="true" customHeight="false" outlineLevel="0" collapsed="false">
      <c r="A48" s="120" t="n">
        <f aca="false">A47+1</f>
        <v>36934</v>
      </c>
      <c r="B48" s="131" t="str">
        <f aca="false">INDEX('Master Data'!$A$2:$B$8,MATCH(WEEKDAY('Arg Total Power'!A48,3),'Master Data'!$A$2:$A$8,0),2)</f>
        <v>M</v>
      </c>
      <c r="D48" s="124" t="n">
        <v>0</v>
      </c>
      <c r="E48" s="124"/>
      <c r="F48" s="124" t="n">
        <v>0</v>
      </c>
      <c r="G48" s="124" t="n">
        <v>0</v>
      </c>
      <c r="I48" s="124" t="n">
        <f aca="false">IF(MONTH($A48)=MONTH($A47),IF(G48=0,I47,G48),G48)</f>
        <v>0</v>
      </c>
      <c r="J48" s="124" t="n">
        <f aca="false">IF(MONTH($A48)=MONTH($A47),SUM(I48-I47),I48)</f>
        <v>0</v>
      </c>
      <c r="K48" s="124" t="n">
        <f aca="false">IF(WEEKDAY(A48,3)&gt;4,0,(IF(A48&lt;K$2,0,IF(A48&lt;=K$3,1,0))))</f>
        <v>0</v>
      </c>
      <c r="L48" s="124" t="n">
        <f aca="false">J48*K48</f>
        <v>0</v>
      </c>
      <c r="M48" s="124" t="n">
        <f aca="false">SUM(J$6:J48)</f>
        <v>0</v>
      </c>
      <c r="N48" s="124" t="n">
        <f aca="false">SUM(J$6:J48)</f>
        <v>0</v>
      </c>
      <c r="P48" s="124" t="n">
        <f aca="false">D48/P$3</f>
        <v>0</v>
      </c>
      <c r="Q48" s="143" t="n">
        <f aca="false">E48/P$3</f>
        <v>0</v>
      </c>
      <c r="R48" s="124" t="n">
        <f aca="false">F48/R$3</f>
        <v>0</v>
      </c>
      <c r="S48" s="126" t="n">
        <f aca="false">J48/$R$3</f>
        <v>0</v>
      </c>
      <c r="T48" s="126" t="n">
        <f aca="false">L48/$R$3</f>
        <v>0</v>
      </c>
      <c r="U48" s="126" t="n">
        <f aca="false">I48/$R$3</f>
        <v>0</v>
      </c>
      <c r="V48" s="126" t="n">
        <f aca="false">M48/$R$3</f>
        <v>0</v>
      </c>
      <c r="W48" s="126" t="n">
        <f aca="false">N48/$R$3</f>
        <v>0</v>
      </c>
    </row>
    <row r="49" customFormat="false" ht="12.75" hidden="true" customHeight="false" outlineLevel="0" collapsed="false">
      <c r="A49" s="120" t="n">
        <f aca="false">A48+1</f>
        <v>36935</v>
      </c>
      <c r="B49" s="131" t="str">
        <f aca="false">INDEX('Master Data'!$A$2:$B$8,MATCH(WEEKDAY('Arg Total Power'!A49,3),'Master Data'!$A$2:$A$8,0),2)</f>
        <v>T</v>
      </c>
      <c r="D49" s="124" t="n">
        <v>0</v>
      </c>
      <c r="E49" s="124"/>
      <c r="F49" s="124" t="n">
        <v>0</v>
      </c>
      <c r="G49" s="124" t="n">
        <v>0</v>
      </c>
      <c r="I49" s="124" t="n">
        <f aca="false">IF(MONTH($A49)=MONTH($A48),IF(G49=0,I48,G49),G49)</f>
        <v>0</v>
      </c>
      <c r="J49" s="124" t="n">
        <f aca="false">IF(MONTH($A49)=MONTH($A48),SUM(I49-I48),I49)</f>
        <v>0</v>
      </c>
      <c r="K49" s="124" t="n">
        <f aca="false">IF(WEEKDAY(A49,3)&gt;4,0,(IF(A49&lt;K$2,0,IF(A49&lt;=K$3,1,0))))</f>
        <v>0</v>
      </c>
      <c r="L49" s="124" t="n">
        <f aca="false">J49*K49</f>
        <v>0</v>
      </c>
      <c r="M49" s="124" t="n">
        <f aca="false">SUM(J$6:J49)</f>
        <v>0</v>
      </c>
      <c r="N49" s="124" t="n">
        <f aca="false">SUM(J$6:J49)</f>
        <v>0</v>
      </c>
      <c r="P49" s="124" t="n">
        <f aca="false">D49/P$3</f>
        <v>0</v>
      </c>
      <c r="Q49" s="143" t="n">
        <f aca="false">E49/P$3</f>
        <v>0</v>
      </c>
      <c r="R49" s="124" t="n">
        <f aca="false">F49/R$3</f>
        <v>0</v>
      </c>
      <c r="S49" s="126" t="n">
        <f aca="false">J49/$R$3</f>
        <v>0</v>
      </c>
      <c r="T49" s="126" t="n">
        <f aca="false">L49/$R$3</f>
        <v>0</v>
      </c>
      <c r="U49" s="126" t="n">
        <f aca="false">I49/$R$3</f>
        <v>0</v>
      </c>
      <c r="V49" s="126" t="n">
        <f aca="false">M49/$R$3</f>
        <v>0</v>
      </c>
      <c r="W49" s="126" t="n">
        <f aca="false">N49/$R$3</f>
        <v>0</v>
      </c>
    </row>
    <row r="50" customFormat="false" ht="12.75" hidden="true" customHeight="false" outlineLevel="0" collapsed="false">
      <c r="A50" s="120" t="n">
        <f aca="false">A49+1</f>
        <v>36936</v>
      </c>
      <c r="B50" s="131" t="str">
        <f aca="false">INDEX('Master Data'!$A$2:$B$8,MATCH(WEEKDAY('Arg Total Power'!A50,3),'Master Data'!$A$2:$A$8,0),2)</f>
        <v>W</v>
      </c>
      <c r="D50" s="124" t="n">
        <v>0</v>
      </c>
      <c r="E50" s="124"/>
      <c r="F50" s="124" t="n">
        <v>0</v>
      </c>
      <c r="G50" s="124" t="n">
        <v>0</v>
      </c>
      <c r="I50" s="124" t="n">
        <f aca="false">IF(MONTH($A50)=MONTH($A49),IF(G50=0,I49,G50),G50)</f>
        <v>0</v>
      </c>
      <c r="J50" s="124" t="n">
        <f aca="false">IF(MONTH($A50)=MONTH($A49),SUM(I50-I49),I50)</f>
        <v>0</v>
      </c>
      <c r="K50" s="124" t="n">
        <f aca="false">IF(WEEKDAY(A50,3)&gt;4,0,(IF(A50&lt;K$2,0,IF(A50&lt;=K$3,1,0))))</f>
        <v>0</v>
      </c>
      <c r="L50" s="124" t="n">
        <f aca="false">J50*K50</f>
        <v>0</v>
      </c>
      <c r="M50" s="124" t="n">
        <f aca="false">SUM(J$6:J50)</f>
        <v>0</v>
      </c>
      <c r="N50" s="124" t="n">
        <f aca="false">SUM(J$6:J50)</f>
        <v>0</v>
      </c>
      <c r="P50" s="124" t="n">
        <f aca="false">D50/P$3</f>
        <v>0</v>
      </c>
      <c r="Q50" s="143" t="n">
        <f aca="false">E50/P$3</f>
        <v>0</v>
      </c>
      <c r="R50" s="124" t="n">
        <f aca="false">F50/R$3</f>
        <v>0</v>
      </c>
      <c r="S50" s="126" t="n">
        <f aca="false">J50/$R$3</f>
        <v>0</v>
      </c>
      <c r="T50" s="126" t="n">
        <f aca="false">L50/$R$3</f>
        <v>0</v>
      </c>
      <c r="U50" s="126" t="n">
        <f aca="false">I50/$R$3</f>
        <v>0</v>
      </c>
      <c r="V50" s="126" t="n">
        <f aca="false">M50/$R$3</f>
        <v>0</v>
      </c>
      <c r="W50" s="126" t="n">
        <f aca="false">N50/$R$3</f>
        <v>0</v>
      </c>
    </row>
    <row r="51" customFormat="false" ht="12.75" hidden="true" customHeight="false" outlineLevel="0" collapsed="false">
      <c r="A51" s="120" t="n">
        <f aca="false">A50+1</f>
        <v>36937</v>
      </c>
      <c r="B51" s="131" t="str">
        <f aca="false">INDEX('Master Data'!$A$2:$B$8,MATCH(WEEKDAY('Arg Total Power'!A51,3),'Master Data'!$A$2:$A$8,0),2)</f>
        <v>Th</v>
      </c>
      <c r="D51" s="124" t="n">
        <v>0</v>
      </c>
      <c r="E51" s="124"/>
      <c r="F51" s="124" t="n">
        <v>0</v>
      </c>
      <c r="G51" s="124" t="n">
        <v>0</v>
      </c>
      <c r="I51" s="124" t="n">
        <f aca="false">IF(MONTH($A51)=MONTH($A50),IF(G51=0,I50,G51),G51)</f>
        <v>0</v>
      </c>
      <c r="J51" s="124" t="n">
        <f aca="false">IF(MONTH($A51)=MONTH($A50),SUM(I51-I50),I51)</f>
        <v>0</v>
      </c>
      <c r="K51" s="124" t="n">
        <f aca="false">IF(WEEKDAY(A51,3)&gt;4,0,(IF(A51&lt;K$2,0,IF(A51&lt;=K$3,1,0))))</f>
        <v>0</v>
      </c>
      <c r="L51" s="124" t="n">
        <f aca="false">J51*K51</f>
        <v>0</v>
      </c>
      <c r="M51" s="124" t="n">
        <f aca="false">SUM(J$6:J51)</f>
        <v>0</v>
      </c>
      <c r="N51" s="124" t="n">
        <f aca="false">SUM(J$6:J51)</f>
        <v>0</v>
      </c>
      <c r="P51" s="124" t="n">
        <f aca="false">D51/P$3</f>
        <v>0</v>
      </c>
      <c r="Q51" s="143" t="n">
        <f aca="false">E51/P$3</f>
        <v>0</v>
      </c>
      <c r="R51" s="124" t="n">
        <f aca="false">F51/R$3</f>
        <v>0</v>
      </c>
      <c r="S51" s="126" t="n">
        <f aca="false">J51/$R$3</f>
        <v>0</v>
      </c>
      <c r="T51" s="126" t="n">
        <f aca="false">L51/$R$3</f>
        <v>0</v>
      </c>
      <c r="U51" s="126" t="n">
        <f aca="false">I51/$R$3</f>
        <v>0</v>
      </c>
      <c r="V51" s="126" t="n">
        <f aca="false">M51/$R$3</f>
        <v>0</v>
      </c>
      <c r="W51" s="126" t="n">
        <f aca="false">N51/$R$3</f>
        <v>0</v>
      </c>
    </row>
    <row r="52" customFormat="false" ht="12.75" hidden="true" customHeight="false" outlineLevel="0" collapsed="false">
      <c r="A52" s="120" t="n">
        <f aca="false">A51+1</f>
        <v>36938</v>
      </c>
      <c r="B52" s="131" t="str">
        <f aca="false">INDEX('Master Data'!$A$2:$B$8,MATCH(WEEKDAY('Arg Total Power'!A52,3),'Master Data'!$A$2:$A$8,0),2)</f>
        <v>F</v>
      </c>
      <c r="D52" s="124" t="n">
        <v>0</v>
      </c>
      <c r="E52" s="124"/>
      <c r="F52" s="124" t="n">
        <v>0</v>
      </c>
      <c r="G52" s="124" t="n">
        <v>0</v>
      </c>
      <c r="I52" s="124" t="n">
        <f aca="false">IF(MONTH($A52)=MONTH($A51),IF(G52=0,I51,G52),G52)</f>
        <v>0</v>
      </c>
      <c r="J52" s="124" t="n">
        <f aca="false">IF(MONTH($A52)=MONTH($A51),SUM(I52-I51),I52)</f>
        <v>0</v>
      </c>
      <c r="K52" s="124" t="n">
        <f aca="false">IF(WEEKDAY(A52,3)&gt;4,0,(IF(A52&lt;K$2,0,IF(A52&lt;=K$3,1,0))))</f>
        <v>0</v>
      </c>
      <c r="L52" s="124" t="n">
        <f aca="false">J52*K52</f>
        <v>0</v>
      </c>
      <c r="M52" s="124" t="n">
        <f aca="false">SUM(J$6:J52)</f>
        <v>0</v>
      </c>
      <c r="N52" s="124" t="n">
        <f aca="false">SUM(J$6:J52)</f>
        <v>0</v>
      </c>
      <c r="P52" s="124" t="n">
        <f aca="false">D52/P$3</f>
        <v>0</v>
      </c>
      <c r="Q52" s="143" t="n">
        <f aca="false">E52/P$3</f>
        <v>0</v>
      </c>
      <c r="R52" s="124" t="n">
        <f aca="false">F52/R$3</f>
        <v>0</v>
      </c>
      <c r="S52" s="126" t="n">
        <f aca="false">J52/$R$3</f>
        <v>0</v>
      </c>
      <c r="T52" s="126" t="n">
        <f aca="false">L52/$R$3</f>
        <v>0</v>
      </c>
      <c r="U52" s="126" t="n">
        <f aca="false">I52/$R$3</f>
        <v>0</v>
      </c>
      <c r="V52" s="126" t="n">
        <f aca="false">M52/$R$3</f>
        <v>0</v>
      </c>
      <c r="W52" s="126" t="n">
        <f aca="false">N52/$R$3</f>
        <v>0</v>
      </c>
    </row>
    <row r="53" customFormat="false" ht="12.75" hidden="true" customHeight="false" outlineLevel="0" collapsed="false">
      <c r="A53" s="120" t="n">
        <f aca="false">A52+1</f>
        <v>36939</v>
      </c>
      <c r="B53" s="131" t="str">
        <f aca="false">INDEX('Master Data'!$A$2:$B$8,MATCH(WEEKDAY('Arg Total Power'!A53,3),'Master Data'!$A$2:$A$8,0),2)</f>
        <v>Sa</v>
      </c>
      <c r="D53" s="124" t="n">
        <v>0</v>
      </c>
      <c r="E53" s="124"/>
      <c r="F53" s="124" t="n">
        <v>0</v>
      </c>
      <c r="G53" s="124" t="n">
        <v>0</v>
      </c>
      <c r="I53" s="124" t="n">
        <f aca="false">IF(MONTH($A53)=MONTH($A52),IF(G53=0,I52,G53),G53)</f>
        <v>0</v>
      </c>
      <c r="J53" s="124" t="n">
        <f aca="false">IF(MONTH($A53)=MONTH($A52),SUM(I53-I52),I53)</f>
        <v>0</v>
      </c>
      <c r="K53" s="124" t="n">
        <f aca="false">IF(WEEKDAY(A53,3)&gt;4,0,(IF(A53&lt;K$2,0,IF(A53&lt;=K$3,1,0))))</f>
        <v>0</v>
      </c>
      <c r="L53" s="124" t="n">
        <f aca="false">J53*K53</f>
        <v>0</v>
      </c>
      <c r="M53" s="124" t="n">
        <f aca="false">SUM(J$6:J53)</f>
        <v>0</v>
      </c>
      <c r="N53" s="124" t="n">
        <f aca="false">SUM(J$6:J53)</f>
        <v>0</v>
      </c>
      <c r="P53" s="124" t="n">
        <f aca="false">D53/P$3</f>
        <v>0</v>
      </c>
      <c r="Q53" s="143" t="n">
        <f aca="false">E53/P$3</f>
        <v>0</v>
      </c>
      <c r="R53" s="124" t="n">
        <f aca="false">F53/R$3</f>
        <v>0</v>
      </c>
      <c r="S53" s="126" t="n">
        <f aca="false">J53/$R$3</f>
        <v>0</v>
      </c>
      <c r="T53" s="126" t="n">
        <f aca="false">L53/$R$3</f>
        <v>0</v>
      </c>
      <c r="U53" s="126" t="n">
        <f aca="false">I53/$R$3</f>
        <v>0</v>
      </c>
      <c r="V53" s="126" t="n">
        <f aca="false">M53/$R$3</f>
        <v>0</v>
      </c>
      <c r="W53" s="126" t="n">
        <f aca="false">N53/$R$3</f>
        <v>0</v>
      </c>
    </row>
    <row r="54" customFormat="false" ht="12.75" hidden="true" customHeight="false" outlineLevel="0" collapsed="false">
      <c r="A54" s="120" t="n">
        <f aca="false">A53+1</f>
        <v>36940</v>
      </c>
      <c r="B54" s="131" t="str">
        <f aca="false">INDEX('Master Data'!$A$2:$B$8,MATCH(WEEKDAY('Arg Total Power'!A54,3),'Master Data'!$A$2:$A$8,0),2)</f>
        <v>Su</v>
      </c>
      <c r="D54" s="124" t="n">
        <v>0</v>
      </c>
      <c r="E54" s="124"/>
      <c r="F54" s="124" t="n">
        <v>0</v>
      </c>
      <c r="G54" s="124" t="n">
        <v>0</v>
      </c>
      <c r="I54" s="124" t="n">
        <f aca="false">IF(MONTH($A54)=MONTH($A53),IF(G54=0,I53,G54),G54)</f>
        <v>0</v>
      </c>
      <c r="J54" s="124" t="n">
        <f aca="false">IF(MONTH($A54)=MONTH($A53),SUM(I54-I53),I54)</f>
        <v>0</v>
      </c>
      <c r="K54" s="124" t="n">
        <f aca="false">IF(WEEKDAY(A54,3)&gt;4,0,(IF(A54&lt;K$2,0,IF(A54&lt;=K$3,1,0))))</f>
        <v>0</v>
      </c>
      <c r="L54" s="124" t="n">
        <f aca="false">J54*K54</f>
        <v>0</v>
      </c>
      <c r="M54" s="124" t="n">
        <f aca="false">SUM(J$6:J54)</f>
        <v>0</v>
      </c>
      <c r="N54" s="124" t="n">
        <f aca="false">SUM(J$6:J54)</f>
        <v>0</v>
      </c>
      <c r="P54" s="124" t="n">
        <f aca="false">D54/P$3</f>
        <v>0</v>
      </c>
      <c r="Q54" s="143" t="n">
        <f aca="false">E54/P$3</f>
        <v>0</v>
      </c>
      <c r="R54" s="124" t="n">
        <f aca="false">F54/R$3</f>
        <v>0</v>
      </c>
      <c r="S54" s="126" t="n">
        <f aca="false">J54/$R$3</f>
        <v>0</v>
      </c>
      <c r="T54" s="126" t="n">
        <f aca="false">L54/$R$3</f>
        <v>0</v>
      </c>
      <c r="U54" s="126" t="n">
        <f aca="false">I54/$R$3</f>
        <v>0</v>
      </c>
      <c r="V54" s="126" t="n">
        <f aca="false">M54/$R$3</f>
        <v>0</v>
      </c>
      <c r="W54" s="126" t="n">
        <f aca="false">N54/$R$3</f>
        <v>0</v>
      </c>
    </row>
    <row r="55" customFormat="false" ht="12.75" hidden="true" customHeight="false" outlineLevel="0" collapsed="false">
      <c r="A55" s="120" t="n">
        <f aca="false">A54+1</f>
        <v>36941</v>
      </c>
      <c r="B55" s="131" t="str">
        <f aca="false">INDEX('Master Data'!$A$2:$B$8,MATCH(WEEKDAY('Arg Total Power'!A55,3),'Master Data'!$A$2:$A$8,0),2)</f>
        <v>M</v>
      </c>
      <c r="D55" s="124" t="n">
        <v>0</v>
      </c>
      <c r="E55" s="124"/>
      <c r="F55" s="124" t="n">
        <v>0</v>
      </c>
      <c r="G55" s="124" t="n">
        <v>0</v>
      </c>
      <c r="I55" s="124" t="n">
        <f aca="false">IF(MONTH($A55)=MONTH($A54),IF(G55=0,I54,G55),G55)</f>
        <v>0</v>
      </c>
      <c r="J55" s="124" t="n">
        <f aca="false">IF(MONTH($A55)=MONTH($A54),SUM(I55-I54),I55)</f>
        <v>0</v>
      </c>
      <c r="K55" s="124" t="n">
        <f aca="false">IF(WEEKDAY(A55,3)&gt;4,0,(IF(A55&lt;K$2,0,IF(A55&lt;=K$3,1,0))))</f>
        <v>0</v>
      </c>
      <c r="L55" s="124" t="n">
        <f aca="false">J55*K55</f>
        <v>0</v>
      </c>
      <c r="M55" s="124" t="n">
        <f aca="false">SUM(J$6:J55)</f>
        <v>0</v>
      </c>
      <c r="N55" s="124" t="n">
        <f aca="false">SUM(J$6:J55)</f>
        <v>0</v>
      </c>
      <c r="P55" s="124" t="n">
        <f aca="false">D55/P$3</f>
        <v>0</v>
      </c>
      <c r="Q55" s="143" t="n">
        <f aca="false">E55/P$3</f>
        <v>0</v>
      </c>
      <c r="R55" s="124" t="n">
        <f aca="false">F55/R$3</f>
        <v>0</v>
      </c>
      <c r="S55" s="126" t="n">
        <f aca="false">J55/$R$3</f>
        <v>0</v>
      </c>
      <c r="T55" s="126" t="n">
        <f aca="false">L55/$R$3</f>
        <v>0</v>
      </c>
      <c r="U55" s="126" t="n">
        <f aca="false">I55/$R$3</f>
        <v>0</v>
      </c>
      <c r="V55" s="126" t="n">
        <f aca="false">M55/$R$3</f>
        <v>0</v>
      </c>
      <c r="W55" s="126" t="n">
        <f aca="false">N55/$R$3</f>
        <v>0</v>
      </c>
    </row>
    <row r="56" customFormat="false" ht="12.75" hidden="true" customHeight="false" outlineLevel="0" collapsed="false">
      <c r="A56" s="120" t="n">
        <f aca="false">A55+1</f>
        <v>36942</v>
      </c>
      <c r="B56" s="131" t="str">
        <f aca="false">INDEX('Master Data'!$A$2:$B$8,MATCH(WEEKDAY('Arg Total Power'!A56,3),'Master Data'!$A$2:$A$8,0),2)</f>
        <v>T</v>
      </c>
      <c r="D56" s="124" t="n">
        <v>0</v>
      </c>
      <c r="E56" s="124"/>
      <c r="F56" s="124" t="n">
        <v>0</v>
      </c>
      <c r="G56" s="124" t="n">
        <v>0</v>
      </c>
      <c r="I56" s="124" t="n">
        <f aca="false">IF(MONTH($A56)=MONTH($A55),IF(G56=0,I55,G56),G56)</f>
        <v>0</v>
      </c>
      <c r="J56" s="124" t="n">
        <f aca="false">IF(MONTH($A56)=MONTH($A55),SUM(I56-I55),I56)</f>
        <v>0</v>
      </c>
      <c r="K56" s="124" t="n">
        <f aca="false">IF(WEEKDAY(A56,3)&gt;4,0,(IF(A56&lt;K$2,0,IF(A56&lt;=K$3,1,0))))</f>
        <v>0</v>
      </c>
      <c r="L56" s="124" t="n">
        <f aca="false">J56*K56</f>
        <v>0</v>
      </c>
      <c r="M56" s="124" t="n">
        <f aca="false">SUM(J$6:J56)</f>
        <v>0</v>
      </c>
      <c r="N56" s="124" t="n">
        <f aca="false">SUM(J$6:J56)</f>
        <v>0</v>
      </c>
      <c r="P56" s="124" t="n">
        <f aca="false">D56/P$3</f>
        <v>0</v>
      </c>
      <c r="Q56" s="143" t="n">
        <f aca="false">E56/P$3</f>
        <v>0</v>
      </c>
      <c r="R56" s="124" t="n">
        <f aca="false">F56/R$3</f>
        <v>0</v>
      </c>
      <c r="S56" s="126" t="n">
        <f aca="false">J56/$R$3</f>
        <v>0</v>
      </c>
      <c r="T56" s="126" t="n">
        <f aca="false">L56/$R$3</f>
        <v>0</v>
      </c>
      <c r="U56" s="126" t="n">
        <f aca="false">I56/$R$3</f>
        <v>0</v>
      </c>
      <c r="V56" s="126" t="n">
        <f aca="false">M56/$R$3</f>
        <v>0</v>
      </c>
      <c r="W56" s="126" t="n">
        <f aca="false">N56/$R$3</f>
        <v>0</v>
      </c>
    </row>
    <row r="57" customFormat="false" ht="12.75" hidden="true" customHeight="false" outlineLevel="0" collapsed="false">
      <c r="A57" s="120" t="n">
        <f aca="false">A56+1</f>
        <v>36943</v>
      </c>
      <c r="B57" s="131" t="str">
        <f aca="false">INDEX('Master Data'!$A$2:$B$8,MATCH(WEEKDAY('Arg Total Power'!A57,3),'Master Data'!$A$2:$A$8,0),2)</f>
        <v>W</v>
      </c>
      <c r="D57" s="124" t="n">
        <v>0</v>
      </c>
      <c r="E57" s="124"/>
      <c r="F57" s="124" t="n">
        <v>0</v>
      </c>
      <c r="G57" s="124" t="n">
        <v>0</v>
      </c>
      <c r="I57" s="124" t="n">
        <f aca="false">IF(MONTH($A57)=MONTH($A56),IF(G57=0,I56,G57),G57)</f>
        <v>0</v>
      </c>
      <c r="J57" s="124" t="n">
        <f aca="false">IF(MONTH($A57)=MONTH($A56),SUM(I57-I56),I57)</f>
        <v>0</v>
      </c>
      <c r="K57" s="124" t="n">
        <f aca="false">IF(WEEKDAY(A57,3)&gt;4,0,(IF(A57&lt;K$2,0,IF(A57&lt;=K$3,1,0))))</f>
        <v>0</v>
      </c>
      <c r="L57" s="124" t="n">
        <f aca="false">J57*K57</f>
        <v>0</v>
      </c>
      <c r="M57" s="124" t="n">
        <f aca="false">SUM(J$6:J57)</f>
        <v>0</v>
      </c>
      <c r="N57" s="124" t="n">
        <f aca="false">SUM(J$6:J57)</f>
        <v>0</v>
      </c>
      <c r="P57" s="124" t="n">
        <f aca="false">D57/P$3</f>
        <v>0</v>
      </c>
      <c r="Q57" s="143" t="n">
        <f aca="false">E57/P$3</f>
        <v>0</v>
      </c>
      <c r="R57" s="124" t="n">
        <f aca="false">F57/R$3</f>
        <v>0</v>
      </c>
      <c r="S57" s="126" t="n">
        <f aca="false">J57/$R$3</f>
        <v>0</v>
      </c>
      <c r="T57" s="126" t="n">
        <f aca="false">L57/$R$3</f>
        <v>0</v>
      </c>
      <c r="U57" s="126" t="n">
        <f aca="false">I57/$R$3</f>
        <v>0</v>
      </c>
      <c r="V57" s="126" t="n">
        <f aca="false">M57/$R$3</f>
        <v>0</v>
      </c>
      <c r="W57" s="126" t="n">
        <f aca="false">N57/$R$3</f>
        <v>0</v>
      </c>
    </row>
    <row r="58" customFormat="false" ht="12.75" hidden="true" customHeight="false" outlineLevel="0" collapsed="false">
      <c r="A58" s="120" t="n">
        <f aca="false">A57+1</f>
        <v>36944</v>
      </c>
      <c r="B58" s="131" t="str">
        <f aca="false">INDEX('Master Data'!$A$2:$B$8,MATCH(WEEKDAY('Arg Total Power'!A58,3),'Master Data'!$A$2:$A$8,0),2)</f>
        <v>Th</v>
      </c>
      <c r="D58" s="124" t="n">
        <v>0</v>
      </c>
      <c r="E58" s="124"/>
      <c r="F58" s="124" t="n">
        <v>0</v>
      </c>
      <c r="G58" s="124" t="n">
        <v>0</v>
      </c>
      <c r="I58" s="124" t="n">
        <f aca="false">IF(MONTH($A58)=MONTH($A57),IF(G58=0,I57,G58),G58)</f>
        <v>0</v>
      </c>
      <c r="J58" s="124" t="n">
        <f aca="false">IF(MONTH($A58)=MONTH($A57),SUM(I58-I57),I58)</f>
        <v>0</v>
      </c>
      <c r="K58" s="124" t="n">
        <f aca="false">IF(WEEKDAY(A58,3)&gt;4,0,(IF(A58&lt;K$2,0,IF(A58&lt;=K$3,1,0))))</f>
        <v>0</v>
      </c>
      <c r="L58" s="124" t="n">
        <f aca="false">J58*K58</f>
        <v>0</v>
      </c>
      <c r="M58" s="124" t="n">
        <f aca="false">SUM(J$6:J58)</f>
        <v>0</v>
      </c>
      <c r="N58" s="124" t="n">
        <f aca="false">SUM(J$6:J58)</f>
        <v>0</v>
      </c>
      <c r="P58" s="124" t="n">
        <f aca="false">D58/P$3</f>
        <v>0</v>
      </c>
      <c r="Q58" s="143" t="n">
        <f aca="false">E58/P$3</f>
        <v>0</v>
      </c>
      <c r="R58" s="124" t="n">
        <f aca="false">F58/R$3</f>
        <v>0</v>
      </c>
      <c r="S58" s="126" t="n">
        <f aca="false">J58/$R$3</f>
        <v>0</v>
      </c>
      <c r="T58" s="126" t="n">
        <f aca="false">L58/$R$3</f>
        <v>0</v>
      </c>
      <c r="U58" s="126" t="n">
        <f aca="false">I58/$R$3</f>
        <v>0</v>
      </c>
      <c r="V58" s="126" t="n">
        <f aca="false">M58/$R$3</f>
        <v>0</v>
      </c>
      <c r="W58" s="126" t="n">
        <f aca="false">N58/$R$3</f>
        <v>0</v>
      </c>
    </row>
    <row r="59" customFormat="false" ht="12.75" hidden="true" customHeight="false" outlineLevel="0" collapsed="false">
      <c r="A59" s="120" t="n">
        <f aca="false">A58+1</f>
        <v>36945</v>
      </c>
      <c r="B59" s="131" t="str">
        <f aca="false">INDEX('Master Data'!$A$2:$B$8,MATCH(WEEKDAY('Arg Total Power'!A59,3),'Master Data'!$A$2:$A$8,0),2)</f>
        <v>F</v>
      </c>
      <c r="D59" s="124" t="n">
        <v>0</v>
      </c>
      <c r="E59" s="124"/>
      <c r="F59" s="124" t="n">
        <v>0</v>
      </c>
      <c r="G59" s="124" t="n">
        <v>0</v>
      </c>
      <c r="I59" s="124" t="n">
        <f aca="false">IF(MONTH($A59)=MONTH($A58),IF(G59=0,I58,G59),G59)</f>
        <v>0</v>
      </c>
      <c r="J59" s="124" t="n">
        <f aca="false">IF(MONTH($A59)=MONTH($A58),SUM(I59-I58),I59)</f>
        <v>0</v>
      </c>
      <c r="K59" s="124" t="n">
        <f aca="false">IF(WEEKDAY(A59,3)&gt;4,0,(IF(A59&lt;K$2,0,IF(A59&lt;=K$3,1,0))))</f>
        <v>0</v>
      </c>
      <c r="L59" s="124" t="n">
        <f aca="false">J59*K59</f>
        <v>0</v>
      </c>
      <c r="M59" s="124" t="n">
        <f aca="false">SUM(J$6:J59)</f>
        <v>0</v>
      </c>
      <c r="N59" s="124" t="n">
        <f aca="false">SUM(J$6:J59)</f>
        <v>0</v>
      </c>
      <c r="P59" s="124" t="n">
        <f aca="false">D59/P$3</f>
        <v>0</v>
      </c>
      <c r="Q59" s="143" t="n">
        <f aca="false">E59/P$3</f>
        <v>0</v>
      </c>
      <c r="R59" s="124" t="n">
        <f aca="false">F59/R$3</f>
        <v>0</v>
      </c>
      <c r="S59" s="126" t="n">
        <f aca="false">J59/$R$3</f>
        <v>0</v>
      </c>
      <c r="T59" s="126" t="n">
        <f aca="false">L59/$R$3</f>
        <v>0</v>
      </c>
      <c r="U59" s="126" t="n">
        <f aca="false">I59/$R$3</f>
        <v>0</v>
      </c>
      <c r="V59" s="126" t="n">
        <f aca="false">M59/$R$3</f>
        <v>0</v>
      </c>
      <c r="W59" s="126" t="n">
        <f aca="false">N59/$R$3</f>
        <v>0</v>
      </c>
    </row>
    <row r="60" customFormat="false" ht="12.75" hidden="true" customHeight="false" outlineLevel="0" collapsed="false">
      <c r="A60" s="120" t="n">
        <f aca="false">A59+1</f>
        <v>36946</v>
      </c>
      <c r="B60" s="131" t="str">
        <f aca="false">INDEX('Master Data'!$A$2:$B$8,MATCH(WEEKDAY('Arg Total Power'!A60,3),'Master Data'!$A$2:$A$8,0),2)</f>
        <v>Sa</v>
      </c>
      <c r="D60" s="124" t="n">
        <v>0</v>
      </c>
      <c r="E60" s="124"/>
      <c r="F60" s="124" t="n">
        <v>0</v>
      </c>
      <c r="G60" s="124" t="n">
        <v>0</v>
      </c>
      <c r="I60" s="124" t="n">
        <f aca="false">IF(MONTH($A60)=MONTH($A59),IF(G60=0,I59,G60),G60)</f>
        <v>0</v>
      </c>
      <c r="J60" s="124" t="n">
        <f aca="false">IF(MONTH($A60)=MONTH($A59),SUM(I60-I59),I60)</f>
        <v>0</v>
      </c>
      <c r="K60" s="124" t="n">
        <f aca="false">IF(WEEKDAY(A60,3)&gt;4,0,(IF(A60&lt;K$2,0,IF(A60&lt;=K$3,1,0))))</f>
        <v>0</v>
      </c>
      <c r="L60" s="124" t="n">
        <f aca="false">J60*K60</f>
        <v>0</v>
      </c>
      <c r="M60" s="124" t="n">
        <f aca="false">SUM(J$6:J60)</f>
        <v>0</v>
      </c>
      <c r="N60" s="124" t="n">
        <f aca="false">SUM(J$6:J60)</f>
        <v>0</v>
      </c>
      <c r="P60" s="124" t="n">
        <f aca="false">D60/P$3</f>
        <v>0</v>
      </c>
      <c r="Q60" s="143" t="n">
        <f aca="false">E60/P$3</f>
        <v>0</v>
      </c>
      <c r="R60" s="124" t="n">
        <f aca="false">F60/R$3</f>
        <v>0</v>
      </c>
      <c r="S60" s="126" t="n">
        <f aca="false">J60/$R$3</f>
        <v>0</v>
      </c>
      <c r="T60" s="126" t="n">
        <f aca="false">L60/$R$3</f>
        <v>0</v>
      </c>
      <c r="U60" s="126" t="n">
        <f aca="false">I60/$R$3</f>
        <v>0</v>
      </c>
      <c r="V60" s="126" t="n">
        <f aca="false">M60/$R$3</f>
        <v>0</v>
      </c>
      <c r="W60" s="126" t="n">
        <f aca="false">N60/$R$3</f>
        <v>0</v>
      </c>
    </row>
    <row r="61" customFormat="false" ht="12.75" hidden="true" customHeight="false" outlineLevel="0" collapsed="false">
      <c r="A61" s="120" t="n">
        <f aca="false">A60+1</f>
        <v>36947</v>
      </c>
      <c r="B61" s="131" t="str">
        <f aca="false">INDEX('Master Data'!$A$2:$B$8,MATCH(WEEKDAY('Arg Total Power'!A61,3),'Master Data'!$A$2:$A$8,0),2)</f>
        <v>Su</v>
      </c>
      <c r="D61" s="124" t="n">
        <v>0</v>
      </c>
      <c r="E61" s="124"/>
      <c r="F61" s="124" t="n">
        <v>0</v>
      </c>
      <c r="G61" s="124" t="n">
        <v>0</v>
      </c>
      <c r="I61" s="124" t="n">
        <f aca="false">IF(MONTH($A61)=MONTH($A60),IF(G61=0,I60,G61),G61)</f>
        <v>0</v>
      </c>
      <c r="J61" s="124" t="n">
        <f aca="false">IF(MONTH($A61)=MONTH($A60),SUM(I61-I60),I61)</f>
        <v>0</v>
      </c>
      <c r="K61" s="124" t="n">
        <f aca="false">IF(WEEKDAY(A61,3)&gt;4,0,(IF(A61&lt;K$2,0,IF(A61&lt;=K$3,1,0))))</f>
        <v>0</v>
      </c>
      <c r="L61" s="124" t="n">
        <f aca="false">J61*K61</f>
        <v>0</v>
      </c>
      <c r="M61" s="124" t="n">
        <f aca="false">SUM(J$6:J61)</f>
        <v>0</v>
      </c>
      <c r="N61" s="124" t="n">
        <f aca="false">SUM(J$6:J61)</f>
        <v>0</v>
      </c>
      <c r="P61" s="124" t="n">
        <f aca="false">D61/P$3</f>
        <v>0</v>
      </c>
      <c r="Q61" s="143" t="n">
        <f aca="false">E61/P$3</f>
        <v>0</v>
      </c>
      <c r="R61" s="124" t="n">
        <f aca="false">F61/R$3</f>
        <v>0</v>
      </c>
      <c r="S61" s="126" t="n">
        <f aca="false">J61/$R$3</f>
        <v>0</v>
      </c>
      <c r="T61" s="126" t="n">
        <f aca="false">L61/$R$3</f>
        <v>0</v>
      </c>
      <c r="U61" s="126" t="n">
        <f aca="false">I61/$R$3</f>
        <v>0</v>
      </c>
      <c r="V61" s="126" t="n">
        <f aca="false">M61/$R$3</f>
        <v>0</v>
      </c>
      <c r="W61" s="126" t="n">
        <f aca="false">N61/$R$3</f>
        <v>0</v>
      </c>
    </row>
    <row r="62" customFormat="false" ht="12.75" hidden="true" customHeight="false" outlineLevel="0" collapsed="false">
      <c r="A62" s="120" t="n">
        <f aca="false">A61+1</f>
        <v>36948</v>
      </c>
      <c r="B62" s="131" t="str">
        <f aca="false">INDEX('Master Data'!$A$2:$B$8,MATCH(WEEKDAY('Arg Total Power'!A62,3),'Master Data'!$A$2:$A$8,0),2)</f>
        <v>M</v>
      </c>
      <c r="D62" s="124" t="n">
        <v>0</v>
      </c>
      <c r="E62" s="124"/>
      <c r="F62" s="124" t="n">
        <v>0</v>
      </c>
      <c r="G62" s="124" t="n">
        <v>0</v>
      </c>
      <c r="I62" s="124" t="n">
        <f aca="false">IF(MONTH($A62)=MONTH($A61),IF(G62=0,I61,G62),G62)</f>
        <v>0</v>
      </c>
      <c r="J62" s="124" t="n">
        <f aca="false">IF(MONTH($A62)=MONTH($A61),SUM(I62-I61),I62)</f>
        <v>0</v>
      </c>
      <c r="K62" s="124" t="n">
        <f aca="false">IF(WEEKDAY(A62,3)&gt;4,0,(IF(A62&lt;K$2,0,IF(A62&lt;=K$3,1,0))))</f>
        <v>0</v>
      </c>
      <c r="L62" s="124" t="n">
        <f aca="false">J62*K62</f>
        <v>0</v>
      </c>
      <c r="M62" s="124" t="n">
        <f aca="false">SUM(J$6:J62)</f>
        <v>0</v>
      </c>
      <c r="N62" s="124" t="n">
        <f aca="false">SUM(J$6:J62)</f>
        <v>0</v>
      </c>
      <c r="P62" s="124" t="n">
        <f aca="false">D62/P$3</f>
        <v>0</v>
      </c>
      <c r="Q62" s="143" t="n">
        <f aca="false">E62/P$3</f>
        <v>0</v>
      </c>
      <c r="R62" s="124" t="n">
        <f aca="false">F62/R$3</f>
        <v>0</v>
      </c>
      <c r="S62" s="126" t="n">
        <f aca="false">J62/$R$3</f>
        <v>0</v>
      </c>
      <c r="T62" s="126" t="n">
        <f aca="false">L62/$R$3</f>
        <v>0</v>
      </c>
      <c r="U62" s="126" t="n">
        <f aca="false">I62/$R$3</f>
        <v>0</v>
      </c>
      <c r="V62" s="126" t="n">
        <f aca="false">M62/$R$3</f>
        <v>0</v>
      </c>
      <c r="W62" s="126" t="n">
        <f aca="false">N62/$R$3</f>
        <v>0</v>
      </c>
    </row>
    <row r="63" customFormat="false" ht="12.75" hidden="true" customHeight="false" outlineLevel="0" collapsed="false">
      <c r="A63" s="120" t="n">
        <f aca="false">A62+1</f>
        <v>36949</v>
      </c>
      <c r="B63" s="131" t="str">
        <f aca="false">INDEX('Master Data'!$A$2:$B$8,MATCH(WEEKDAY('Arg Total Power'!A63,3),'Master Data'!$A$2:$A$8,0),2)</f>
        <v>T</v>
      </c>
      <c r="D63" s="124" t="n">
        <v>0</v>
      </c>
      <c r="E63" s="124"/>
      <c r="F63" s="124" t="n">
        <v>0</v>
      </c>
      <c r="G63" s="124" t="n">
        <v>0</v>
      </c>
      <c r="I63" s="124" t="n">
        <f aca="false">IF(MONTH($A63)=MONTH($A62),IF(G63=0,I62,G63),G63)</f>
        <v>0</v>
      </c>
      <c r="J63" s="124" t="n">
        <f aca="false">IF(MONTH($A63)=MONTH($A62),SUM(I63-I62),I63)</f>
        <v>0</v>
      </c>
      <c r="K63" s="124" t="n">
        <f aca="false">IF(WEEKDAY(A63,3)&gt;4,0,(IF(A63&lt;K$2,0,IF(A63&lt;=K$3,1,0))))</f>
        <v>0</v>
      </c>
      <c r="L63" s="124" t="n">
        <f aca="false">J63*K63</f>
        <v>0</v>
      </c>
      <c r="M63" s="124" t="n">
        <f aca="false">SUM(J$6:J63)</f>
        <v>0</v>
      </c>
      <c r="N63" s="124" t="n">
        <f aca="false">SUM(J$6:J63)</f>
        <v>0</v>
      </c>
      <c r="P63" s="124" t="n">
        <f aca="false">D63/P$3</f>
        <v>0</v>
      </c>
      <c r="Q63" s="143" t="n">
        <f aca="false">E63/P$3</f>
        <v>0</v>
      </c>
      <c r="R63" s="124" t="n">
        <f aca="false">F63/R$3</f>
        <v>0</v>
      </c>
      <c r="S63" s="126" t="n">
        <f aca="false">J63/$R$3</f>
        <v>0</v>
      </c>
      <c r="T63" s="126" t="n">
        <f aca="false">L63/$R$3</f>
        <v>0</v>
      </c>
      <c r="U63" s="126" t="n">
        <f aca="false">I63/$R$3</f>
        <v>0</v>
      </c>
      <c r="V63" s="126" t="n">
        <f aca="false">M63/$R$3</f>
        <v>0</v>
      </c>
      <c r="W63" s="126" t="n">
        <f aca="false">N63/$R$3</f>
        <v>0</v>
      </c>
    </row>
    <row r="64" customFormat="false" ht="12.75" hidden="false" customHeight="false" outlineLevel="0" collapsed="false">
      <c r="A64" s="120" t="n">
        <f aca="false">A63+1</f>
        <v>36950</v>
      </c>
      <c r="B64" s="131" t="str">
        <f aca="false">INDEX('Master Data'!$A$2:$B$8,MATCH(WEEKDAY('Arg Total Power'!A64,3),'Master Data'!$A$2:$A$8,0),2)</f>
        <v>W</v>
      </c>
      <c r="D64" s="124" t="n">
        <v>0</v>
      </c>
      <c r="E64" s="124"/>
      <c r="F64" s="124" t="n">
        <v>0</v>
      </c>
      <c r="G64" s="124" t="n">
        <v>0</v>
      </c>
      <c r="I64" s="124" t="n">
        <f aca="false">IF(MONTH($A64)=MONTH($A63),IF(G64=0,I63,G64),G64)</f>
        <v>0</v>
      </c>
      <c r="J64" s="124" t="n">
        <f aca="false">IF(MONTH($A64)=MONTH($A63),SUM(I64-I63),I64)</f>
        <v>0</v>
      </c>
      <c r="K64" s="124" t="n">
        <f aca="false">IF(WEEKDAY(A64,3)&gt;4,0,(IF(A64&lt;K$2,0,IF(A64&lt;=K$3,1,0))))</f>
        <v>0</v>
      </c>
      <c r="L64" s="124" t="n">
        <f aca="false">J64*K64</f>
        <v>0</v>
      </c>
      <c r="M64" s="124" t="n">
        <f aca="false">SUM(J$6:J64)</f>
        <v>0</v>
      </c>
      <c r="N64" s="124" t="n">
        <f aca="false">SUM(J$6:J64)</f>
        <v>0</v>
      </c>
      <c r="P64" s="124" t="n">
        <f aca="false">D64/P$3</f>
        <v>0</v>
      </c>
      <c r="Q64" s="143" t="n">
        <f aca="false">E64/P$3</f>
        <v>0</v>
      </c>
      <c r="R64" s="124" t="n">
        <f aca="false">F64/R$3</f>
        <v>0</v>
      </c>
      <c r="S64" s="126" t="n">
        <f aca="false">J64/$R$3</f>
        <v>0</v>
      </c>
      <c r="T64" s="126" t="n">
        <f aca="false">L64/$R$3</f>
        <v>0</v>
      </c>
      <c r="U64" s="126" t="n">
        <f aca="false">I64/$R$3</f>
        <v>0</v>
      </c>
      <c r="V64" s="126" t="n">
        <f aca="false">M64/$R$3</f>
        <v>0</v>
      </c>
      <c r="W64" s="126" t="n">
        <f aca="false">N64/$R$3</f>
        <v>0</v>
      </c>
    </row>
    <row r="65" customFormat="false" ht="12.75" hidden="true" customHeight="false" outlineLevel="0" collapsed="false">
      <c r="A65" s="120" t="n">
        <f aca="false">A64+1</f>
        <v>36951</v>
      </c>
      <c r="B65" s="131" t="str">
        <f aca="false">INDEX('Master Data'!$A$2:$B$8,MATCH(WEEKDAY('Arg Total Power'!A65,3),'Master Data'!$A$2:$A$8,0),2)</f>
        <v>Th</v>
      </c>
      <c r="D65" s="124" t="n">
        <v>0</v>
      </c>
      <c r="E65" s="124"/>
      <c r="F65" s="124" t="n">
        <v>0</v>
      </c>
      <c r="G65" s="124" t="n">
        <v>0</v>
      </c>
      <c r="I65" s="124" t="n">
        <f aca="false">IF(MONTH($A65)=MONTH($A64),IF(G65=0,I64,G65),G65)</f>
        <v>0</v>
      </c>
      <c r="J65" s="124" t="n">
        <f aca="false">IF(MONTH($A65)=MONTH($A64),SUM(I65-I64),I65)</f>
        <v>0</v>
      </c>
      <c r="K65" s="124" t="n">
        <f aca="false">IF(WEEKDAY(A65,3)&gt;4,0,(IF(A65&lt;K$2,0,IF(A65&lt;=K$3,1,0))))</f>
        <v>0</v>
      </c>
      <c r="L65" s="124" t="n">
        <f aca="false">J65*K65</f>
        <v>0</v>
      </c>
      <c r="M65" s="124" t="n">
        <f aca="false">SUM(J$6:J65)</f>
        <v>0</v>
      </c>
      <c r="N65" s="124" t="n">
        <f aca="false">SUM(J$6:J65)</f>
        <v>0</v>
      </c>
      <c r="P65" s="124" t="n">
        <f aca="false">D65/P$3</f>
        <v>0</v>
      </c>
      <c r="Q65" s="143" t="n">
        <f aca="false">E65/P$3</f>
        <v>0</v>
      </c>
      <c r="R65" s="124" t="n">
        <f aca="false">F65/R$3</f>
        <v>0</v>
      </c>
      <c r="S65" s="126" t="n">
        <f aca="false">J65/$R$3</f>
        <v>0</v>
      </c>
      <c r="T65" s="126" t="n">
        <f aca="false">L65/$R$3</f>
        <v>0</v>
      </c>
      <c r="U65" s="126" t="n">
        <f aca="false">I65/$R$3</f>
        <v>0</v>
      </c>
      <c r="V65" s="126" t="n">
        <f aca="false">M65/$R$3</f>
        <v>0</v>
      </c>
      <c r="W65" s="126" t="n">
        <f aca="false">N65/$R$3</f>
        <v>0</v>
      </c>
    </row>
    <row r="66" customFormat="false" ht="12.75" hidden="true" customHeight="false" outlineLevel="0" collapsed="false">
      <c r="A66" s="120" t="n">
        <f aca="false">A65+1</f>
        <v>36952</v>
      </c>
      <c r="B66" s="131" t="str">
        <f aca="false">INDEX('Master Data'!$A$2:$B$8,MATCH(WEEKDAY('Arg Total Power'!A66,3),'Master Data'!$A$2:$A$8,0),2)</f>
        <v>F</v>
      </c>
      <c r="D66" s="124" t="n">
        <v>0</v>
      </c>
      <c r="E66" s="124"/>
      <c r="F66" s="124" t="n">
        <v>0</v>
      </c>
      <c r="G66" s="124" t="n">
        <v>0</v>
      </c>
      <c r="I66" s="124" t="n">
        <f aca="false">IF(MONTH($A66)=MONTH($A65),IF(G66=0,I65,G66),G66)</f>
        <v>0</v>
      </c>
      <c r="J66" s="124" t="n">
        <f aca="false">IF(MONTH($A66)=MONTH($A65),SUM(I66-I65),I66)</f>
        <v>0</v>
      </c>
      <c r="K66" s="124" t="n">
        <f aca="false">IF(WEEKDAY(A66,3)&gt;4,0,(IF(A66&lt;K$2,0,IF(A66&lt;=K$3,1,0))))</f>
        <v>0</v>
      </c>
      <c r="L66" s="124" t="n">
        <f aca="false">J66*K66</f>
        <v>0</v>
      </c>
      <c r="M66" s="124" t="n">
        <f aca="false">SUM(J$6:J66)</f>
        <v>0</v>
      </c>
      <c r="N66" s="124" t="n">
        <f aca="false">SUM(J$6:J66)</f>
        <v>0</v>
      </c>
      <c r="P66" s="124" t="n">
        <f aca="false">D66/P$3</f>
        <v>0</v>
      </c>
      <c r="Q66" s="143" t="n">
        <f aca="false">E66/P$3</f>
        <v>0</v>
      </c>
      <c r="R66" s="124" t="n">
        <f aca="false">F66/R$3</f>
        <v>0</v>
      </c>
      <c r="S66" s="126" t="n">
        <f aca="false">J66/$R$3</f>
        <v>0</v>
      </c>
      <c r="T66" s="126" t="n">
        <f aca="false">L66/$R$3</f>
        <v>0</v>
      </c>
      <c r="U66" s="126" t="n">
        <f aca="false">I66/$R$3</f>
        <v>0</v>
      </c>
      <c r="V66" s="126" t="n">
        <f aca="false">M66/$R$3</f>
        <v>0</v>
      </c>
      <c r="W66" s="126" t="n">
        <f aca="false">N66/$R$3</f>
        <v>0</v>
      </c>
    </row>
    <row r="67" customFormat="false" ht="12.75" hidden="true" customHeight="false" outlineLevel="0" collapsed="false">
      <c r="A67" s="120" t="n">
        <f aca="false">A66+1</f>
        <v>36953</v>
      </c>
      <c r="B67" s="131" t="str">
        <f aca="false">INDEX('Master Data'!$A$2:$B$8,MATCH(WEEKDAY('Arg Total Power'!A67,3),'Master Data'!$A$2:$A$8,0),2)</f>
        <v>Sa</v>
      </c>
      <c r="D67" s="124" t="n">
        <v>0</v>
      </c>
      <c r="E67" s="124"/>
      <c r="F67" s="124" t="n">
        <v>0</v>
      </c>
      <c r="G67" s="124" t="n">
        <v>0</v>
      </c>
      <c r="I67" s="124" t="n">
        <f aca="false">IF(MONTH($A67)=MONTH($A66),IF(G67=0,I66,G67),G67)</f>
        <v>0</v>
      </c>
      <c r="J67" s="124" t="n">
        <f aca="false">IF(MONTH($A67)=MONTH($A66),SUM(I67-I66),I67)</f>
        <v>0</v>
      </c>
      <c r="K67" s="124" t="n">
        <f aca="false">IF(WEEKDAY(A67,3)&gt;4,0,(IF(A67&lt;K$2,0,IF(A67&lt;=K$3,1,0))))</f>
        <v>0</v>
      </c>
      <c r="L67" s="124" t="n">
        <f aca="false">J67*K67</f>
        <v>0</v>
      </c>
      <c r="M67" s="124" t="n">
        <f aca="false">SUM(J$6:J67)</f>
        <v>0</v>
      </c>
      <c r="N67" s="124" t="n">
        <f aca="false">SUM(J$6:J67)</f>
        <v>0</v>
      </c>
      <c r="P67" s="124" t="n">
        <f aca="false">D67/P$3</f>
        <v>0</v>
      </c>
      <c r="Q67" s="143" t="n">
        <f aca="false">E67/P$3</f>
        <v>0</v>
      </c>
      <c r="R67" s="124" t="n">
        <f aca="false">F67/R$3</f>
        <v>0</v>
      </c>
      <c r="S67" s="126" t="n">
        <f aca="false">J67/$R$3</f>
        <v>0</v>
      </c>
      <c r="T67" s="126" t="n">
        <f aca="false">L67/$R$3</f>
        <v>0</v>
      </c>
      <c r="U67" s="126" t="n">
        <f aca="false">I67/$R$3</f>
        <v>0</v>
      </c>
      <c r="V67" s="126" t="n">
        <f aca="false">M67/$R$3</f>
        <v>0</v>
      </c>
      <c r="W67" s="126" t="n">
        <f aca="false">N67/$R$3</f>
        <v>0</v>
      </c>
    </row>
    <row r="68" customFormat="false" ht="12.75" hidden="true" customHeight="false" outlineLevel="0" collapsed="false">
      <c r="A68" s="120" t="n">
        <f aca="false">A67+1</f>
        <v>36954</v>
      </c>
      <c r="B68" s="131" t="str">
        <f aca="false">INDEX('Master Data'!$A$2:$B$8,MATCH(WEEKDAY('Arg Total Power'!A68,3),'Master Data'!$A$2:$A$8,0),2)</f>
        <v>Su</v>
      </c>
      <c r="D68" s="124" t="n">
        <v>0</v>
      </c>
      <c r="E68" s="124"/>
      <c r="F68" s="124" t="n">
        <v>0</v>
      </c>
      <c r="G68" s="124" t="n">
        <v>0</v>
      </c>
      <c r="I68" s="124" t="n">
        <f aca="false">IF(MONTH($A68)=MONTH($A67),IF(G68=0,I67,G68),G68)</f>
        <v>0</v>
      </c>
      <c r="J68" s="124" t="n">
        <f aca="false">IF(MONTH($A68)=MONTH($A67),SUM(I68-I67),I68)</f>
        <v>0</v>
      </c>
      <c r="K68" s="124" t="n">
        <f aca="false">IF(WEEKDAY(A68,3)&gt;4,0,(IF(A68&lt;K$2,0,IF(A68&lt;=K$3,1,0))))</f>
        <v>0</v>
      </c>
      <c r="L68" s="124" t="n">
        <f aca="false">J68*K68</f>
        <v>0</v>
      </c>
      <c r="M68" s="124" t="n">
        <f aca="false">SUM(J$6:J68)</f>
        <v>0</v>
      </c>
      <c r="N68" s="124" t="n">
        <f aca="false">SUM(J$6:J68)</f>
        <v>0</v>
      </c>
      <c r="P68" s="124" t="n">
        <f aca="false">D68/P$3</f>
        <v>0</v>
      </c>
      <c r="Q68" s="143" t="n">
        <f aca="false">E68/P$3</f>
        <v>0</v>
      </c>
      <c r="R68" s="124" t="n">
        <f aca="false">F68/R$3</f>
        <v>0</v>
      </c>
      <c r="S68" s="126" t="n">
        <f aca="false">J68/$R$3</f>
        <v>0</v>
      </c>
      <c r="T68" s="126" t="n">
        <f aca="false">L68/$R$3</f>
        <v>0</v>
      </c>
      <c r="U68" s="126" t="n">
        <f aca="false">I68/$R$3</f>
        <v>0</v>
      </c>
      <c r="V68" s="126" t="n">
        <f aca="false">M68/$R$3</f>
        <v>0</v>
      </c>
      <c r="W68" s="126" t="n">
        <f aca="false">N68/$R$3</f>
        <v>0</v>
      </c>
    </row>
    <row r="69" customFormat="false" ht="12.75" hidden="true" customHeight="false" outlineLevel="0" collapsed="false">
      <c r="A69" s="120" t="n">
        <f aca="false">A68+1</f>
        <v>36955</v>
      </c>
      <c r="B69" s="131" t="str">
        <f aca="false">INDEX('Master Data'!$A$2:$B$8,MATCH(WEEKDAY('Arg Total Power'!A69,3),'Master Data'!$A$2:$A$8,0),2)</f>
        <v>M</v>
      </c>
      <c r="D69" s="124" t="n">
        <v>0</v>
      </c>
      <c r="E69" s="124"/>
      <c r="F69" s="124" t="n">
        <v>0</v>
      </c>
      <c r="G69" s="124" t="n">
        <v>0</v>
      </c>
      <c r="I69" s="124" t="n">
        <f aca="false">IF(MONTH($A69)=MONTH($A68),IF(G69=0,I68,G69),G69)</f>
        <v>0</v>
      </c>
      <c r="J69" s="124" t="n">
        <f aca="false">IF(MONTH($A69)=MONTH($A68),SUM(I69-I68),I69)</f>
        <v>0</v>
      </c>
      <c r="K69" s="124" t="n">
        <f aca="false">IF(WEEKDAY(A69,3)&gt;4,0,(IF(A69&lt;K$2,0,IF(A69&lt;=K$3,1,0))))</f>
        <v>0</v>
      </c>
      <c r="L69" s="124" t="n">
        <f aca="false">J69*K69</f>
        <v>0</v>
      </c>
      <c r="M69" s="124" t="n">
        <f aca="false">SUM(J$6:J69)</f>
        <v>0</v>
      </c>
      <c r="N69" s="124" t="n">
        <f aca="false">SUM(J$6:J69)</f>
        <v>0</v>
      </c>
      <c r="P69" s="124" t="n">
        <f aca="false">D69/P$3</f>
        <v>0</v>
      </c>
      <c r="Q69" s="143" t="n">
        <f aca="false">E69/P$3</f>
        <v>0</v>
      </c>
      <c r="R69" s="124" t="n">
        <f aca="false">F69/R$3</f>
        <v>0</v>
      </c>
      <c r="S69" s="126" t="n">
        <f aca="false">J69/$R$3</f>
        <v>0</v>
      </c>
      <c r="T69" s="126" t="n">
        <f aca="false">L69/$R$3</f>
        <v>0</v>
      </c>
      <c r="U69" s="126" t="n">
        <f aca="false">I69/$R$3</f>
        <v>0</v>
      </c>
      <c r="V69" s="126" t="n">
        <f aca="false">M69/$R$3</f>
        <v>0</v>
      </c>
      <c r="W69" s="126" t="n">
        <f aca="false">N69/$R$3</f>
        <v>0</v>
      </c>
    </row>
    <row r="70" customFormat="false" ht="12.75" hidden="true" customHeight="false" outlineLevel="0" collapsed="false">
      <c r="A70" s="120" t="n">
        <f aca="false">A69+1</f>
        <v>36956</v>
      </c>
      <c r="B70" s="131" t="str">
        <f aca="false">INDEX('Master Data'!$A$2:$B$8,MATCH(WEEKDAY('Arg Total Power'!A70,3),'Master Data'!$A$2:$A$8,0),2)</f>
        <v>T</v>
      </c>
      <c r="D70" s="124" t="n">
        <v>0</v>
      </c>
      <c r="E70" s="124"/>
      <c r="F70" s="124" t="n">
        <v>0</v>
      </c>
      <c r="G70" s="124" t="n">
        <v>0</v>
      </c>
      <c r="I70" s="124" t="n">
        <f aca="false">IF(MONTH($A70)=MONTH($A69),IF(G70=0,I69,G70),G70)</f>
        <v>0</v>
      </c>
      <c r="J70" s="124" t="n">
        <f aca="false">IF(MONTH($A70)=MONTH($A69),SUM(I70-I69),I70)</f>
        <v>0</v>
      </c>
      <c r="K70" s="124" t="n">
        <f aca="false">IF(WEEKDAY(A70,3)&gt;4,0,(IF(A70&lt;K$2,0,IF(A70&lt;=K$3,1,0))))</f>
        <v>0</v>
      </c>
      <c r="L70" s="124" t="n">
        <f aca="false">J70*K70</f>
        <v>0</v>
      </c>
      <c r="M70" s="124" t="n">
        <f aca="false">SUM(J$6:J70)</f>
        <v>0</v>
      </c>
      <c r="N70" s="124" t="n">
        <f aca="false">SUM(J$6:J70)</f>
        <v>0</v>
      </c>
      <c r="P70" s="124" t="n">
        <f aca="false">D70/P$3</f>
        <v>0</v>
      </c>
      <c r="Q70" s="143" t="n">
        <f aca="false">E70/P$3</f>
        <v>0</v>
      </c>
      <c r="R70" s="124" t="n">
        <f aca="false">F70/R$3</f>
        <v>0</v>
      </c>
      <c r="S70" s="126" t="n">
        <f aca="false">J70/$R$3</f>
        <v>0</v>
      </c>
      <c r="T70" s="126" t="n">
        <f aca="false">L70/$R$3</f>
        <v>0</v>
      </c>
      <c r="U70" s="126" t="n">
        <f aca="false">I70/$R$3</f>
        <v>0</v>
      </c>
      <c r="V70" s="126" t="n">
        <f aca="false">M70/$R$3</f>
        <v>0</v>
      </c>
      <c r="W70" s="126" t="n">
        <f aca="false">N70/$R$3</f>
        <v>0</v>
      </c>
    </row>
    <row r="71" customFormat="false" ht="12.75" hidden="true" customHeight="false" outlineLevel="0" collapsed="false">
      <c r="A71" s="120" t="n">
        <f aca="false">A70+1</f>
        <v>36957</v>
      </c>
      <c r="B71" s="131" t="str">
        <f aca="false">INDEX('Master Data'!$A$2:$B$8,MATCH(WEEKDAY('Arg Total Power'!A71,3),'Master Data'!$A$2:$A$8,0),2)</f>
        <v>W</v>
      </c>
      <c r="D71" s="124" t="n">
        <v>0</v>
      </c>
      <c r="E71" s="124"/>
      <c r="F71" s="124" t="n">
        <v>0</v>
      </c>
      <c r="G71" s="124" t="n">
        <v>0</v>
      </c>
      <c r="I71" s="124" t="n">
        <f aca="false">IF(MONTH($A71)=MONTH($A70),IF(G71=0,I70,G71),G71)</f>
        <v>0</v>
      </c>
      <c r="J71" s="124" t="n">
        <f aca="false">IF(MONTH($A71)=MONTH($A70),SUM(I71-I70),I71)</f>
        <v>0</v>
      </c>
      <c r="K71" s="124" t="n">
        <f aca="false">IF(WEEKDAY(A71,3)&gt;4,0,(IF(A71&lt;K$2,0,IF(A71&lt;=K$3,1,0))))</f>
        <v>0</v>
      </c>
      <c r="L71" s="124" t="n">
        <f aca="false">J71*K71</f>
        <v>0</v>
      </c>
      <c r="M71" s="124" t="n">
        <f aca="false">SUM(J$6:J71)</f>
        <v>0</v>
      </c>
      <c r="N71" s="124" t="n">
        <f aca="false">SUM(J$6:J71)</f>
        <v>0</v>
      </c>
      <c r="P71" s="124" t="n">
        <f aca="false">D71/P$3</f>
        <v>0</v>
      </c>
      <c r="Q71" s="143" t="n">
        <f aca="false">E71/P$3</f>
        <v>0</v>
      </c>
      <c r="R71" s="124" t="n">
        <f aca="false">F71/R$3</f>
        <v>0</v>
      </c>
      <c r="S71" s="126" t="n">
        <f aca="false">J71/$R$3</f>
        <v>0</v>
      </c>
      <c r="T71" s="126" t="n">
        <f aca="false">L71/$R$3</f>
        <v>0</v>
      </c>
      <c r="U71" s="126" t="n">
        <f aca="false">I71/$R$3</f>
        <v>0</v>
      </c>
      <c r="V71" s="126" t="n">
        <f aca="false">M71/$R$3</f>
        <v>0</v>
      </c>
      <c r="W71" s="126" t="n">
        <f aca="false">N71/$R$3</f>
        <v>0</v>
      </c>
    </row>
    <row r="72" customFormat="false" ht="12.75" hidden="true" customHeight="false" outlineLevel="0" collapsed="false">
      <c r="A72" s="120" t="n">
        <f aca="false">A71+1</f>
        <v>36958</v>
      </c>
      <c r="B72" s="131" t="str">
        <f aca="false">INDEX('Master Data'!$A$2:$B$8,MATCH(WEEKDAY('Arg Total Power'!A72,3),'Master Data'!$A$2:$A$8,0),2)</f>
        <v>Th</v>
      </c>
      <c r="D72" s="124" t="n">
        <v>0</v>
      </c>
      <c r="E72" s="124"/>
      <c r="F72" s="124" t="n">
        <v>0</v>
      </c>
      <c r="G72" s="124" t="n">
        <v>0</v>
      </c>
      <c r="I72" s="124" t="n">
        <f aca="false">IF(MONTH($A72)=MONTH($A71),IF(G72=0,I71,G72),G72)</f>
        <v>0</v>
      </c>
      <c r="J72" s="124" t="n">
        <f aca="false">IF(MONTH($A72)=MONTH($A71),SUM(I72-I71),I72)</f>
        <v>0</v>
      </c>
      <c r="K72" s="124" t="n">
        <f aca="false">IF(WEEKDAY(A72,3)&gt;4,0,(IF(A72&lt;K$2,0,IF(A72&lt;=K$3,1,0))))</f>
        <v>0</v>
      </c>
      <c r="L72" s="124" t="n">
        <f aca="false">J72*K72</f>
        <v>0</v>
      </c>
      <c r="M72" s="124" t="n">
        <f aca="false">SUM(J$6:J72)</f>
        <v>0</v>
      </c>
      <c r="N72" s="124" t="n">
        <f aca="false">SUM(J$6:J72)</f>
        <v>0</v>
      </c>
      <c r="P72" s="124" t="n">
        <f aca="false">D72/P$3</f>
        <v>0</v>
      </c>
      <c r="Q72" s="143" t="n">
        <f aca="false">E72/P$3</f>
        <v>0</v>
      </c>
      <c r="R72" s="124" t="n">
        <f aca="false">F72/R$3</f>
        <v>0</v>
      </c>
      <c r="S72" s="126" t="n">
        <f aca="false">J72/$R$3</f>
        <v>0</v>
      </c>
      <c r="T72" s="126" t="n">
        <f aca="false">L72/$R$3</f>
        <v>0</v>
      </c>
      <c r="U72" s="126" t="n">
        <f aca="false">I72/$R$3</f>
        <v>0</v>
      </c>
      <c r="V72" s="126" t="n">
        <f aca="false">M72/$R$3</f>
        <v>0</v>
      </c>
      <c r="W72" s="126" t="n">
        <f aca="false">N72/$R$3</f>
        <v>0</v>
      </c>
    </row>
    <row r="73" customFormat="false" ht="12.75" hidden="true" customHeight="false" outlineLevel="0" collapsed="false">
      <c r="A73" s="120" t="n">
        <f aca="false">A72+1</f>
        <v>36959</v>
      </c>
      <c r="B73" s="131" t="str">
        <f aca="false">INDEX('Master Data'!$A$2:$B$8,MATCH(WEEKDAY('Arg Total Power'!A73,3),'Master Data'!$A$2:$A$8,0),2)</f>
        <v>F</v>
      </c>
      <c r="D73" s="124" t="n">
        <v>0</v>
      </c>
      <c r="E73" s="124"/>
      <c r="F73" s="124" t="n">
        <v>0</v>
      </c>
      <c r="G73" s="124" t="n">
        <v>0</v>
      </c>
      <c r="I73" s="124" t="n">
        <f aca="false">IF(MONTH($A73)=MONTH($A72),IF(G73=0,I72,G73),G73)</f>
        <v>0</v>
      </c>
      <c r="J73" s="124" t="n">
        <f aca="false">IF(MONTH($A73)=MONTH($A72),SUM(I73-I72),I73)</f>
        <v>0</v>
      </c>
      <c r="K73" s="124" t="n">
        <f aca="false">IF(WEEKDAY(A73,3)&gt;4,0,(IF(A73&lt;K$2,0,IF(A73&lt;=K$3,1,0))))</f>
        <v>0</v>
      </c>
      <c r="L73" s="124" t="n">
        <f aca="false">J73*K73</f>
        <v>0</v>
      </c>
      <c r="M73" s="124" t="n">
        <f aca="false">SUM(J$6:J73)</f>
        <v>0</v>
      </c>
      <c r="N73" s="124" t="n">
        <f aca="false">SUM(J$6:J73)</f>
        <v>0</v>
      </c>
      <c r="P73" s="124" t="n">
        <f aca="false">D73/P$3</f>
        <v>0</v>
      </c>
      <c r="Q73" s="143" t="n">
        <f aca="false">E73/P$3</f>
        <v>0</v>
      </c>
      <c r="R73" s="124" t="n">
        <f aca="false">F73/R$3</f>
        <v>0</v>
      </c>
      <c r="S73" s="126" t="n">
        <f aca="false">J73/$R$3</f>
        <v>0</v>
      </c>
      <c r="T73" s="126" t="n">
        <f aca="false">L73/$R$3</f>
        <v>0</v>
      </c>
      <c r="U73" s="126" t="n">
        <f aca="false">I73/$R$3</f>
        <v>0</v>
      </c>
      <c r="V73" s="126" t="n">
        <f aca="false">M73/$R$3</f>
        <v>0</v>
      </c>
      <c r="W73" s="126" t="n">
        <f aca="false">N73/$R$3</f>
        <v>0</v>
      </c>
    </row>
    <row r="74" customFormat="false" ht="12.75" hidden="true" customHeight="false" outlineLevel="0" collapsed="false">
      <c r="A74" s="120" t="n">
        <f aca="false">A73+1</f>
        <v>36960</v>
      </c>
      <c r="B74" s="131" t="str">
        <f aca="false">INDEX('Master Data'!$A$2:$B$8,MATCH(WEEKDAY('Arg Total Power'!A74,3),'Master Data'!$A$2:$A$8,0),2)</f>
        <v>Sa</v>
      </c>
      <c r="D74" s="124" t="n">
        <v>0</v>
      </c>
      <c r="E74" s="124"/>
      <c r="F74" s="124" t="n">
        <v>0</v>
      </c>
      <c r="G74" s="124" t="n">
        <v>0</v>
      </c>
      <c r="I74" s="124" t="n">
        <f aca="false">IF(MONTH($A74)=MONTH($A73),IF(G74=0,I73,G74),G74)</f>
        <v>0</v>
      </c>
      <c r="J74" s="124" t="n">
        <f aca="false">IF(MONTH($A74)=MONTH($A73),SUM(I74-I73),I74)</f>
        <v>0</v>
      </c>
      <c r="K74" s="124" t="n">
        <f aca="false">IF(WEEKDAY(A74,3)&gt;4,0,(IF(A74&lt;K$2,0,IF(A74&lt;=K$3,1,0))))</f>
        <v>0</v>
      </c>
      <c r="L74" s="124" t="n">
        <f aca="false">J74*K74</f>
        <v>0</v>
      </c>
      <c r="M74" s="124" t="n">
        <f aca="false">SUM(J$6:J74)</f>
        <v>0</v>
      </c>
      <c r="N74" s="124" t="n">
        <f aca="false">SUM(J$6:J74)</f>
        <v>0</v>
      </c>
      <c r="P74" s="124" t="n">
        <f aca="false">D74/P$3</f>
        <v>0</v>
      </c>
      <c r="Q74" s="143" t="n">
        <f aca="false">E74/P$3</f>
        <v>0</v>
      </c>
      <c r="R74" s="124" t="n">
        <f aca="false">F74/R$3</f>
        <v>0</v>
      </c>
      <c r="S74" s="126" t="n">
        <f aca="false">J74/$R$3</f>
        <v>0</v>
      </c>
      <c r="T74" s="126" t="n">
        <f aca="false">L74/$R$3</f>
        <v>0</v>
      </c>
      <c r="U74" s="126" t="n">
        <f aca="false">I74/$R$3</f>
        <v>0</v>
      </c>
      <c r="V74" s="126" t="n">
        <f aca="false">M74/$R$3</f>
        <v>0</v>
      </c>
      <c r="W74" s="126" t="n">
        <f aca="false">N74/$R$3</f>
        <v>0</v>
      </c>
    </row>
    <row r="75" customFormat="false" ht="12.75" hidden="true" customHeight="false" outlineLevel="0" collapsed="false">
      <c r="A75" s="120" t="n">
        <f aca="false">A74+1</f>
        <v>36961</v>
      </c>
      <c r="B75" s="131" t="str">
        <f aca="false">INDEX('Master Data'!$A$2:$B$8,MATCH(WEEKDAY('Arg Total Power'!A75,3),'Master Data'!$A$2:$A$8,0),2)</f>
        <v>Su</v>
      </c>
      <c r="D75" s="124" t="n">
        <v>0</v>
      </c>
      <c r="E75" s="124"/>
      <c r="F75" s="124" t="n">
        <v>0</v>
      </c>
      <c r="G75" s="124" t="n">
        <v>0</v>
      </c>
      <c r="I75" s="124" t="n">
        <f aca="false">IF(MONTH($A75)=MONTH($A74),IF(G75=0,I74,G75),G75)</f>
        <v>0</v>
      </c>
      <c r="J75" s="124" t="n">
        <f aca="false">IF(MONTH($A75)=MONTH($A74),SUM(I75-I74),I75)</f>
        <v>0</v>
      </c>
      <c r="K75" s="124" t="n">
        <f aca="false">IF(WEEKDAY(A75,3)&gt;4,0,(IF(A75&lt;K$2,0,IF(A75&lt;=K$3,1,0))))</f>
        <v>0</v>
      </c>
      <c r="L75" s="124" t="n">
        <f aca="false">J75*K75</f>
        <v>0</v>
      </c>
      <c r="M75" s="124" t="n">
        <f aca="false">SUM(J$6:J75)</f>
        <v>0</v>
      </c>
      <c r="N75" s="124" t="n">
        <f aca="false">SUM(J$6:J75)</f>
        <v>0</v>
      </c>
      <c r="P75" s="124" t="n">
        <f aca="false">D75/P$3</f>
        <v>0</v>
      </c>
      <c r="Q75" s="143" t="n">
        <f aca="false">E75/P$3</f>
        <v>0</v>
      </c>
      <c r="R75" s="124" t="n">
        <f aca="false">F75/R$3</f>
        <v>0</v>
      </c>
      <c r="S75" s="126" t="n">
        <f aca="false">J75/$R$3</f>
        <v>0</v>
      </c>
      <c r="T75" s="126" t="n">
        <f aca="false">L75/$R$3</f>
        <v>0</v>
      </c>
      <c r="U75" s="126" t="n">
        <f aca="false">I75/$R$3</f>
        <v>0</v>
      </c>
      <c r="V75" s="126" t="n">
        <f aca="false">M75/$R$3</f>
        <v>0</v>
      </c>
      <c r="W75" s="126" t="n">
        <f aca="false">N75/$R$3</f>
        <v>0</v>
      </c>
    </row>
    <row r="76" customFormat="false" ht="12.75" hidden="true" customHeight="false" outlineLevel="0" collapsed="false">
      <c r="A76" s="120" t="n">
        <f aca="false">A75+1</f>
        <v>36962</v>
      </c>
      <c r="B76" s="131" t="str">
        <f aca="false">INDEX('Master Data'!$A$2:$B$8,MATCH(WEEKDAY('Arg Total Power'!A76,3),'Master Data'!$A$2:$A$8,0),2)</f>
        <v>M</v>
      </c>
      <c r="D76" s="124" t="n">
        <v>0</v>
      </c>
      <c r="E76" s="124"/>
      <c r="F76" s="124" t="n">
        <v>0</v>
      </c>
      <c r="G76" s="124" t="n">
        <v>0</v>
      </c>
      <c r="I76" s="124" t="n">
        <f aca="false">IF(MONTH($A76)=MONTH($A75),IF(G76=0,I75,G76),G76)</f>
        <v>0</v>
      </c>
      <c r="J76" s="124" t="n">
        <f aca="false">IF(MONTH($A76)=MONTH($A75),SUM(I76-I75),I76)</f>
        <v>0</v>
      </c>
      <c r="K76" s="124" t="n">
        <f aca="false">IF(WEEKDAY(A76,3)&gt;4,0,(IF(A76&lt;K$2,0,IF(A76&lt;=K$3,1,0))))</f>
        <v>0</v>
      </c>
      <c r="L76" s="124" t="n">
        <f aca="false">J76*K76</f>
        <v>0</v>
      </c>
      <c r="M76" s="124" t="n">
        <f aca="false">SUM(J$6:J76)</f>
        <v>0</v>
      </c>
      <c r="N76" s="124" t="n">
        <f aca="false">SUM(J$6:J76)</f>
        <v>0</v>
      </c>
      <c r="P76" s="124" t="n">
        <f aca="false">D76/P$3</f>
        <v>0</v>
      </c>
      <c r="Q76" s="143" t="n">
        <f aca="false">E76/P$3</f>
        <v>0</v>
      </c>
      <c r="R76" s="124" t="n">
        <f aca="false">F76/R$3</f>
        <v>0</v>
      </c>
      <c r="S76" s="126" t="n">
        <f aca="false">J76/$R$3</f>
        <v>0</v>
      </c>
      <c r="T76" s="126" t="n">
        <f aca="false">L76/$R$3</f>
        <v>0</v>
      </c>
      <c r="U76" s="126" t="n">
        <f aca="false">I76/$R$3</f>
        <v>0</v>
      </c>
      <c r="V76" s="126" t="n">
        <f aca="false">M76/$R$3</f>
        <v>0</v>
      </c>
      <c r="W76" s="126" t="n">
        <f aca="false">N76/$R$3</f>
        <v>0</v>
      </c>
    </row>
    <row r="77" customFormat="false" ht="12.75" hidden="true" customHeight="false" outlineLevel="0" collapsed="false">
      <c r="A77" s="120" t="n">
        <f aca="false">A76+1</f>
        <v>36963</v>
      </c>
      <c r="B77" s="131" t="str">
        <f aca="false">INDEX('Master Data'!$A$2:$B$8,MATCH(WEEKDAY('Arg Total Power'!A77,3),'Master Data'!$A$2:$A$8,0),2)</f>
        <v>T</v>
      </c>
      <c r="D77" s="124" t="n">
        <v>0</v>
      </c>
      <c r="E77" s="124"/>
      <c r="F77" s="124" t="n">
        <v>0</v>
      </c>
      <c r="G77" s="124" t="n">
        <v>0</v>
      </c>
      <c r="I77" s="124" t="n">
        <f aca="false">IF(MONTH($A77)=MONTH($A76),IF(G77=0,I76,G77),G77)</f>
        <v>0</v>
      </c>
      <c r="J77" s="124" t="n">
        <f aca="false">IF(MONTH($A77)=MONTH($A76),SUM(I77-I76),I77)</f>
        <v>0</v>
      </c>
      <c r="K77" s="124" t="n">
        <f aca="false">IF(WEEKDAY(A77,3)&gt;4,0,(IF(A77&lt;K$2,0,IF(A77&lt;=K$3,1,0))))</f>
        <v>0</v>
      </c>
      <c r="L77" s="124" t="n">
        <f aca="false">J77*K77</f>
        <v>0</v>
      </c>
      <c r="M77" s="124" t="n">
        <f aca="false">SUM(J$6:J77)</f>
        <v>0</v>
      </c>
      <c r="N77" s="124" t="n">
        <f aca="false">SUM(J$6:J77)</f>
        <v>0</v>
      </c>
      <c r="P77" s="124" t="n">
        <f aca="false">D77/P$3</f>
        <v>0</v>
      </c>
      <c r="Q77" s="143" t="n">
        <f aca="false">E77/P$3</f>
        <v>0</v>
      </c>
      <c r="R77" s="124" t="n">
        <f aca="false">F77/R$3</f>
        <v>0</v>
      </c>
      <c r="S77" s="126" t="n">
        <f aca="false">J77/$R$3</f>
        <v>0</v>
      </c>
      <c r="T77" s="126" t="n">
        <f aca="false">L77/$R$3</f>
        <v>0</v>
      </c>
      <c r="U77" s="126" t="n">
        <f aca="false">I77/$R$3</f>
        <v>0</v>
      </c>
      <c r="V77" s="126" t="n">
        <f aca="false">M77/$R$3</f>
        <v>0</v>
      </c>
      <c r="W77" s="126" t="n">
        <f aca="false">N77/$R$3</f>
        <v>0</v>
      </c>
    </row>
    <row r="78" customFormat="false" ht="12.75" hidden="true" customHeight="false" outlineLevel="0" collapsed="false">
      <c r="A78" s="120" t="n">
        <f aca="false">A77+1</f>
        <v>36964</v>
      </c>
      <c r="B78" s="131" t="str">
        <f aca="false">INDEX('Master Data'!$A$2:$B$8,MATCH(WEEKDAY('Arg Total Power'!A78,3),'Master Data'!$A$2:$A$8,0),2)</f>
        <v>W</v>
      </c>
      <c r="D78" s="124" t="n">
        <v>0</v>
      </c>
      <c r="E78" s="124"/>
      <c r="F78" s="124" t="n">
        <v>0</v>
      </c>
      <c r="G78" s="124" t="n">
        <v>0</v>
      </c>
      <c r="I78" s="124" t="n">
        <f aca="false">IF(MONTH($A78)=MONTH($A77),IF(G78=0,I77,G78),G78)</f>
        <v>0</v>
      </c>
      <c r="J78" s="124" t="n">
        <f aca="false">IF(MONTH($A78)=MONTH($A77),SUM(I78-I77),I78)</f>
        <v>0</v>
      </c>
      <c r="K78" s="124" t="n">
        <f aca="false">IF(WEEKDAY(A78,3)&gt;4,0,(IF(A78&lt;K$2,0,IF(A78&lt;=K$3,1,0))))</f>
        <v>0</v>
      </c>
      <c r="L78" s="124" t="n">
        <f aca="false">J78*K78</f>
        <v>0</v>
      </c>
      <c r="M78" s="124" t="n">
        <f aca="false">SUM(J$6:J78)</f>
        <v>0</v>
      </c>
      <c r="N78" s="124" t="n">
        <f aca="false">SUM(J$6:J78)</f>
        <v>0</v>
      </c>
      <c r="P78" s="124" t="n">
        <f aca="false">D78/P$3</f>
        <v>0</v>
      </c>
      <c r="Q78" s="143" t="n">
        <f aca="false">E78/P$3</f>
        <v>0</v>
      </c>
      <c r="R78" s="124" t="n">
        <f aca="false">F78/R$3</f>
        <v>0</v>
      </c>
      <c r="S78" s="126" t="n">
        <f aca="false">J78/$R$3</f>
        <v>0</v>
      </c>
      <c r="T78" s="126" t="n">
        <f aca="false">L78/$R$3</f>
        <v>0</v>
      </c>
      <c r="U78" s="126" t="n">
        <f aca="false">I78/$R$3</f>
        <v>0</v>
      </c>
      <c r="V78" s="126" t="n">
        <f aca="false">M78/$R$3</f>
        <v>0</v>
      </c>
      <c r="W78" s="126" t="n">
        <f aca="false">N78/$R$3</f>
        <v>0</v>
      </c>
    </row>
    <row r="79" customFormat="false" ht="12.75" hidden="true" customHeight="false" outlineLevel="0" collapsed="false">
      <c r="A79" s="120" t="n">
        <f aca="false">A78+1</f>
        <v>36965</v>
      </c>
      <c r="B79" s="131" t="str">
        <f aca="false">INDEX('Master Data'!$A$2:$B$8,MATCH(WEEKDAY('Arg Total Power'!A79,3),'Master Data'!$A$2:$A$8,0),2)</f>
        <v>Th</v>
      </c>
      <c r="D79" s="124" t="n">
        <v>0</v>
      </c>
      <c r="E79" s="124"/>
      <c r="F79" s="124" t="n">
        <v>0</v>
      </c>
      <c r="G79" s="124" t="n">
        <v>0</v>
      </c>
      <c r="I79" s="124" t="n">
        <f aca="false">IF(MONTH($A79)=MONTH($A78),IF(G79=0,I78,G79),G79)</f>
        <v>0</v>
      </c>
      <c r="J79" s="124" t="n">
        <f aca="false">IF(MONTH($A79)=MONTH($A78),SUM(I79-I78),I79)</f>
        <v>0</v>
      </c>
      <c r="K79" s="124" t="n">
        <f aca="false">IF(WEEKDAY(A79,3)&gt;4,0,(IF(A79&lt;K$2,0,IF(A79&lt;=K$3,1,0))))</f>
        <v>0</v>
      </c>
      <c r="L79" s="124" t="n">
        <f aca="false">J79*K79</f>
        <v>0</v>
      </c>
      <c r="M79" s="124" t="n">
        <f aca="false">SUM(J$6:J79)</f>
        <v>0</v>
      </c>
      <c r="N79" s="124" t="n">
        <f aca="false">SUM(J$6:J79)</f>
        <v>0</v>
      </c>
      <c r="P79" s="124" t="n">
        <f aca="false">D79/P$3</f>
        <v>0</v>
      </c>
      <c r="Q79" s="143" t="n">
        <f aca="false">E79/P$3</f>
        <v>0</v>
      </c>
      <c r="R79" s="124" t="n">
        <f aca="false">F79/R$3</f>
        <v>0</v>
      </c>
      <c r="S79" s="126" t="n">
        <f aca="false">J79/$R$3</f>
        <v>0</v>
      </c>
      <c r="T79" s="126" t="n">
        <f aca="false">L79/$R$3</f>
        <v>0</v>
      </c>
      <c r="U79" s="126" t="n">
        <f aca="false">I79/$R$3</f>
        <v>0</v>
      </c>
      <c r="V79" s="126" t="n">
        <f aca="false">M79/$R$3</f>
        <v>0</v>
      </c>
      <c r="W79" s="126" t="n">
        <f aca="false">N79/$R$3</f>
        <v>0</v>
      </c>
    </row>
    <row r="80" customFormat="false" ht="12.75" hidden="true" customHeight="false" outlineLevel="0" collapsed="false">
      <c r="A80" s="120" t="n">
        <f aca="false">A79+1</f>
        <v>36966</v>
      </c>
      <c r="B80" s="131" t="str">
        <f aca="false">INDEX('Master Data'!$A$2:$B$8,MATCH(WEEKDAY('Arg Total Power'!A80,3),'Master Data'!$A$2:$A$8,0),2)</f>
        <v>F</v>
      </c>
      <c r="D80" s="124" t="n">
        <v>0</v>
      </c>
      <c r="E80" s="124"/>
      <c r="F80" s="124" t="n">
        <v>0</v>
      </c>
      <c r="G80" s="124" t="n">
        <v>0</v>
      </c>
      <c r="I80" s="124" t="n">
        <f aca="false">IF(MONTH($A80)=MONTH($A79),IF(G80=0,I79,G80),G80)</f>
        <v>0</v>
      </c>
      <c r="J80" s="124" t="n">
        <f aca="false">IF(MONTH($A80)=MONTH($A79),SUM(I80-I79),I80)</f>
        <v>0</v>
      </c>
      <c r="K80" s="124" t="n">
        <f aca="false">IF(WEEKDAY(A80,3)&gt;4,0,(IF(A80&lt;K$2,0,IF(A80&lt;=K$3,1,0))))</f>
        <v>0</v>
      </c>
      <c r="L80" s="124" t="n">
        <f aca="false">J80*K80</f>
        <v>0</v>
      </c>
      <c r="M80" s="124" t="n">
        <f aca="false">SUM(J$6:J80)</f>
        <v>0</v>
      </c>
      <c r="N80" s="124" t="n">
        <f aca="false">SUM(J$6:J80)</f>
        <v>0</v>
      </c>
      <c r="P80" s="124" t="n">
        <f aca="false">D80/P$3</f>
        <v>0</v>
      </c>
      <c r="Q80" s="143" t="n">
        <f aca="false">E80/P$3</f>
        <v>0</v>
      </c>
      <c r="R80" s="124" t="n">
        <f aca="false">F80/R$3</f>
        <v>0</v>
      </c>
      <c r="S80" s="126" t="n">
        <f aca="false">J80/$R$3</f>
        <v>0</v>
      </c>
      <c r="T80" s="126" t="n">
        <f aca="false">L80/$R$3</f>
        <v>0</v>
      </c>
      <c r="U80" s="126" t="n">
        <f aca="false">I80/$R$3</f>
        <v>0</v>
      </c>
      <c r="V80" s="126" t="n">
        <f aca="false">M80/$R$3</f>
        <v>0</v>
      </c>
      <c r="W80" s="126" t="n">
        <f aca="false">N80/$R$3</f>
        <v>0</v>
      </c>
    </row>
    <row r="81" customFormat="false" ht="12.75" hidden="true" customHeight="false" outlineLevel="0" collapsed="false">
      <c r="A81" s="120" t="n">
        <f aca="false">A80+1</f>
        <v>36967</v>
      </c>
      <c r="B81" s="131" t="str">
        <f aca="false">INDEX('Master Data'!$A$2:$B$8,MATCH(WEEKDAY('Arg Total Power'!A81,3),'Master Data'!$A$2:$A$8,0),2)</f>
        <v>Sa</v>
      </c>
      <c r="D81" s="124" t="n">
        <v>0</v>
      </c>
      <c r="E81" s="124"/>
      <c r="F81" s="124" t="n">
        <v>0</v>
      </c>
      <c r="G81" s="124" t="n">
        <v>0</v>
      </c>
      <c r="I81" s="124" t="n">
        <f aca="false">IF(MONTH($A81)=MONTH($A80),IF(G81=0,I80,G81),G81)</f>
        <v>0</v>
      </c>
      <c r="J81" s="124" t="n">
        <f aca="false">IF(MONTH($A81)=MONTH($A80),SUM(I81-I80),I81)</f>
        <v>0</v>
      </c>
      <c r="K81" s="124" t="n">
        <f aca="false">IF(WEEKDAY(A81,3)&gt;4,0,(IF(A81&lt;K$2,0,IF(A81&lt;=K$3,1,0))))</f>
        <v>0</v>
      </c>
      <c r="L81" s="124" t="n">
        <f aca="false">J81*K81</f>
        <v>0</v>
      </c>
      <c r="M81" s="124" t="n">
        <f aca="false">SUM(J$6:J81)</f>
        <v>0</v>
      </c>
      <c r="N81" s="124" t="n">
        <f aca="false">SUM(J$6:J81)</f>
        <v>0</v>
      </c>
      <c r="P81" s="124" t="n">
        <f aca="false">D81/P$3</f>
        <v>0</v>
      </c>
      <c r="Q81" s="143" t="n">
        <f aca="false">E81/P$3</f>
        <v>0</v>
      </c>
      <c r="R81" s="124" t="n">
        <f aca="false">F81/R$3</f>
        <v>0</v>
      </c>
      <c r="S81" s="126" t="n">
        <f aca="false">J81/$R$3</f>
        <v>0</v>
      </c>
      <c r="T81" s="126" t="n">
        <f aca="false">L81/$R$3</f>
        <v>0</v>
      </c>
      <c r="U81" s="126" t="n">
        <f aca="false">I81/$R$3</f>
        <v>0</v>
      </c>
      <c r="V81" s="126" t="n">
        <f aca="false">M81/$R$3</f>
        <v>0</v>
      </c>
      <c r="W81" s="126" t="n">
        <f aca="false">N81/$R$3</f>
        <v>0</v>
      </c>
    </row>
    <row r="82" customFormat="false" ht="12.75" hidden="true" customHeight="false" outlineLevel="0" collapsed="false">
      <c r="A82" s="120" t="n">
        <f aca="false">A81+1</f>
        <v>36968</v>
      </c>
      <c r="B82" s="131" t="str">
        <f aca="false">INDEX('Master Data'!$A$2:$B$8,MATCH(WEEKDAY('Arg Total Power'!A82,3),'Master Data'!$A$2:$A$8,0),2)</f>
        <v>Su</v>
      </c>
      <c r="D82" s="124" t="n">
        <v>0</v>
      </c>
      <c r="E82" s="124"/>
      <c r="F82" s="124" t="n">
        <v>0</v>
      </c>
      <c r="G82" s="124" t="n">
        <v>0</v>
      </c>
      <c r="I82" s="124" t="n">
        <f aca="false">IF(MONTH($A82)=MONTH($A81),IF(G82=0,I81,G82),G82)</f>
        <v>0</v>
      </c>
      <c r="J82" s="124" t="n">
        <f aca="false">IF(MONTH($A82)=MONTH($A81),SUM(I82-I81),I82)</f>
        <v>0</v>
      </c>
      <c r="K82" s="124" t="n">
        <f aca="false">IF(WEEKDAY(A82,3)&gt;4,0,(IF(A82&lt;K$2,0,IF(A82&lt;=K$3,1,0))))</f>
        <v>0</v>
      </c>
      <c r="L82" s="124" t="n">
        <f aca="false">J82*K82</f>
        <v>0</v>
      </c>
      <c r="M82" s="124" t="n">
        <f aca="false">SUM(J$6:J82)</f>
        <v>0</v>
      </c>
      <c r="N82" s="124" t="n">
        <f aca="false">SUM(J$6:J82)</f>
        <v>0</v>
      </c>
      <c r="P82" s="124" t="n">
        <f aca="false">D82/P$3</f>
        <v>0</v>
      </c>
      <c r="Q82" s="143" t="n">
        <f aca="false">E82/P$3</f>
        <v>0</v>
      </c>
      <c r="R82" s="124" t="n">
        <f aca="false">F82/R$3</f>
        <v>0</v>
      </c>
      <c r="S82" s="126" t="n">
        <f aca="false">J82/$R$3</f>
        <v>0</v>
      </c>
      <c r="T82" s="126" t="n">
        <f aca="false">L82/$R$3</f>
        <v>0</v>
      </c>
      <c r="U82" s="126" t="n">
        <f aca="false">I82/$R$3</f>
        <v>0</v>
      </c>
      <c r="V82" s="126" t="n">
        <f aca="false">M82/$R$3</f>
        <v>0</v>
      </c>
      <c r="W82" s="126" t="n">
        <f aca="false">N82/$R$3</f>
        <v>0</v>
      </c>
    </row>
    <row r="83" customFormat="false" ht="12.75" hidden="true" customHeight="false" outlineLevel="0" collapsed="false">
      <c r="A83" s="120" t="n">
        <f aca="false">A82+1</f>
        <v>36969</v>
      </c>
      <c r="B83" s="131" t="str">
        <f aca="false">INDEX('Master Data'!$A$2:$B$8,MATCH(WEEKDAY('Arg Total Power'!A83,3),'Master Data'!$A$2:$A$8,0),2)</f>
        <v>M</v>
      </c>
      <c r="D83" s="124" t="n">
        <v>0</v>
      </c>
      <c r="E83" s="124"/>
      <c r="F83" s="124" t="n">
        <v>0</v>
      </c>
      <c r="G83" s="124" t="n">
        <v>0</v>
      </c>
      <c r="I83" s="124" t="n">
        <f aca="false">IF(MONTH($A83)=MONTH($A82),IF(G83=0,I82,G83),G83)</f>
        <v>0</v>
      </c>
      <c r="J83" s="124" t="n">
        <f aca="false">IF(MONTH($A83)=MONTH($A82),SUM(I83-I82),I83)</f>
        <v>0</v>
      </c>
      <c r="K83" s="124" t="n">
        <f aca="false">IF(WEEKDAY(A83,3)&gt;4,0,(IF(A83&lt;K$2,0,IF(A83&lt;=K$3,1,0))))</f>
        <v>0</v>
      </c>
      <c r="L83" s="124" t="n">
        <f aca="false">J83*K83</f>
        <v>0</v>
      </c>
      <c r="M83" s="124" t="n">
        <f aca="false">SUM(J$6:J83)</f>
        <v>0</v>
      </c>
      <c r="N83" s="124" t="n">
        <f aca="false">SUM(J$6:J83)</f>
        <v>0</v>
      </c>
      <c r="P83" s="124" t="n">
        <f aca="false">D83/P$3</f>
        <v>0</v>
      </c>
      <c r="Q83" s="143" t="n">
        <f aca="false">E83/P$3</f>
        <v>0</v>
      </c>
      <c r="R83" s="124" t="n">
        <f aca="false">F83/R$3</f>
        <v>0</v>
      </c>
      <c r="S83" s="126" t="n">
        <f aca="false">J83/$R$3</f>
        <v>0</v>
      </c>
      <c r="T83" s="126" t="n">
        <f aca="false">L83/$R$3</f>
        <v>0</v>
      </c>
      <c r="U83" s="126" t="n">
        <f aca="false">I83/$R$3</f>
        <v>0</v>
      </c>
      <c r="V83" s="126" t="n">
        <f aca="false">M83/$R$3</f>
        <v>0</v>
      </c>
      <c r="W83" s="126" t="n">
        <f aca="false">N83/$R$3</f>
        <v>0</v>
      </c>
    </row>
    <row r="84" customFormat="false" ht="12.75" hidden="true" customHeight="false" outlineLevel="0" collapsed="false">
      <c r="A84" s="120" t="n">
        <f aca="false">A83+1</f>
        <v>36970</v>
      </c>
      <c r="B84" s="131" t="str">
        <f aca="false">INDEX('Master Data'!$A$2:$B$8,MATCH(WEEKDAY('Arg Total Power'!A84,3),'Master Data'!$A$2:$A$8,0),2)</f>
        <v>T</v>
      </c>
      <c r="D84" s="124" t="n">
        <v>0</v>
      </c>
      <c r="E84" s="124"/>
      <c r="F84" s="124" t="n">
        <v>0</v>
      </c>
      <c r="G84" s="124" t="n">
        <v>0</v>
      </c>
      <c r="I84" s="124" t="n">
        <f aca="false">IF(MONTH($A84)=MONTH($A83),IF(G84=0,I83,G84),G84)</f>
        <v>0</v>
      </c>
      <c r="J84" s="124" t="n">
        <f aca="false">IF(MONTH($A84)=MONTH($A83),SUM(I84-I83),I84)</f>
        <v>0</v>
      </c>
      <c r="K84" s="124" t="n">
        <f aca="false">IF(WEEKDAY(A84,3)&gt;4,0,(IF(A84&lt;K$2,0,IF(A84&lt;=K$3,1,0))))</f>
        <v>0</v>
      </c>
      <c r="L84" s="124" t="n">
        <f aca="false">J84*K84</f>
        <v>0</v>
      </c>
      <c r="M84" s="124" t="n">
        <f aca="false">SUM(J$6:J84)</f>
        <v>0</v>
      </c>
      <c r="N84" s="124" t="n">
        <f aca="false">SUM(J$6:J84)</f>
        <v>0</v>
      </c>
      <c r="P84" s="124" t="n">
        <f aca="false">D84/P$3</f>
        <v>0</v>
      </c>
      <c r="Q84" s="143" t="n">
        <f aca="false">E84/P$3</f>
        <v>0</v>
      </c>
      <c r="R84" s="124" t="n">
        <f aca="false">F84/R$3</f>
        <v>0</v>
      </c>
      <c r="S84" s="126" t="n">
        <f aca="false">J84/$R$3</f>
        <v>0</v>
      </c>
      <c r="T84" s="126" t="n">
        <f aca="false">L84/$R$3</f>
        <v>0</v>
      </c>
      <c r="U84" s="126" t="n">
        <f aca="false">I84/$R$3</f>
        <v>0</v>
      </c>
      <c r="V84" s="126" t="n">
        <f aca="false">M84/$R$3</f>
        <v>0</v>
      </c>
      <c r="W84" s="126" t="n">
        <f aca="false">N84/$R$3</f>
        <v>0</v>
      </c>
    </row>
    <row r="85" customFormat="false" ht="12.75" hidden="true" customHeight="false" outlineLevel="0" collapsed="false">
      <c r="A85" s="120" t="n">
        <f aca="false">A84+1</f>
        <v>36971</v>
      </c>
      <c r="B85" s="131" t="str">
        <f aca="false">INDEX('Master Data'!$A$2:$B$8,MATCH(WEEKDAY('Arg Total Power'!A85,3),'Master Data'!$A$2:$A$8,0),2)</f>
        <v>W</v>
      </c>
      <c r="D85" s="124" t="n">
        <v>0</v>
      </c>
      <c r="E85" s="124"/>
      <c r="F85" s="124" t="n">
        <v>0</v>
      </c>
      <c r="G85" s="124" t="n">
        <v>0</v>
      </c>
      <c r="I85" s="124" t="n">
        <f aca="false">IF(MONTH($A85)=MONTH($A84),IF(G85=0,I84,G85),G85)</f>
        <v>0</v>
      </c>
      <c r="J85" s="124" t="n">
        <f aca="false">IF(MONTH($A85)=MONTH($A84),SUM(I85-I84),I85)</f>
        <v>0</v>
      </c>
      <c r="K85" s="124" t="n">
        <f aca="false">IF(WEEKDAY(A85,3)&gt;4,0,(IF(A85&lt;K$2,0,IF(A85&lt;=K$3,1,0))))</f>
        <v>0</v>
      </c>
      <c r="L85" s="124" t="n">
        <f aca="false">J85*K85</f>
        <v>0</v>
      </c>
      <c r="M85" s="124" t="n">
        <f aca="false">SUM(J$6:J85)</f>
        <v>0</v>
      </c>
      <c r="N85" s="124" t="n">
        <f aca="false">SUM(J$6:J85)</f>
        <v>0</v>
      </c>
      <c r="P85" s="124" t="n">
        <f aca="false">D85/P$3</f>
        <v>0</v>
      </c>
      <c r="Q85" s="143" t="n">
        <f aca="false">E85/P$3</f>
        <v>0</v>
      </c>
      <c r="R85" s="124" t="n">
        <f aca="false">F85/R$3</f>
        <v>0</v>
      </c>
      <c r="S85" s="126" t="n">
        <f aca="false">J85/$R$3</f>
        <v>0</v>
      </c>
      <c r="T85" s="126" t="n">
        <f aca="false">L85/$R$3</f>
        <v>0</v>
      </c>
      <c r="U85" s="126" t="n">
        <f aca="false">I85/$R$3</f>
        <v>0</v>
      </c>
      <c r="V85" s="126" t="n">
        <f aca="false">M85/$R$3</f>
        <v>0</v>
      </c>
      <c r="W85" s="126" t="n">
        <f aca="false">N85/$R$3</f>
        <v>0</v>
      </c>
    </row>
    <row r="86" customFormat="false" ht="12.75" hidden="true" customHeight="false" outlineLevel="0" collapsed="false">
      <c r="A86" s="120" t="n">
        <f aca="false">A85+1</f>
        <v>36972</v>
      </c>
      <c r="B86" s="131" t="str">
        <f aca="false">INDEX('Master Data'!$A$2:$B$8,MATCH(WEEKDAY('Arg Total Power'!A86,3),'Master Data'!$A$2:$A$8,0),2)</f>
        <v>Th</v>
      </c>
      <c r="D86" s="124" t="n">
        <v>0</v>
      </c>
      <c r="E86" s="124"/>
      <c r="F86" s="124" t="n">
        <v>0</v>
      </c>
      <c r="G86" s="124" t="n">
        <v>0</v>
      </c>
      <c r="I86" s="124" t="n">
        <f aca="false">IF(MONTH($A86)=MONTH($A85),IF(G86=0,I85,G86),G86)</f>
        <v>0</v>
      </c>
      <c r="J86" s="124" t="n">
        <f aca="false">IF(MONTH($A86)=MONTH($A85),SUM(I86-I85),I86)</f>
        <v>0</v>
      </c>
      <c r="K86" s="124" t="n">
        <f aca="false">IF(WEEKDAY(A86,3)&gt;4,0,(IF(A86&lt;K$2,0,IF(A86&lt;=K$3,1,0))))</f>
        <v>0</v>
      </c>
      <c r="L86" s="124" t="n">
        <f aca="false">J86*K86</f>
        <v>0</v>
      </c>
      <c r="M86" s="124" t="n">
        <f aca="false">SUM(J$6:J86)</f>
        <v>0</v>
      </c>
      <c r="N86" s="124" t="n">
        <f aca="false">SUM(J$6:J86)</f>
        <v>0</v>
      </c>
      <c r="P86" s="124" t="n">
        <f aca="false">D86/P$3</f>
        <v>0</v>
      </c>
      <c r="Q86" s="143" t="n">
        <f aca="false">E86/P$3</f>
        <v>0</v>
      </c>
      <c r="R86" s="124" t="n">
        <f aca="false">F86/R$3</f>
        <v>0</v>
      </c>
      <c r="S86" s="126" t="n">
        <f aca="false">J86/$R$3</f>
        <v>0</v>
      </c>
      <c r="T86" s="126" t="n">
        <f aca="false">L86/$R$3</f>
        <v>0</v>
      </c>
      <c r="U86" s="126" t="n">
        <f aca="false">I86/$R$3</f>
        <v>0</v>
      </c>
      <c r="V86" s="126" t="n">
        <f aca="false">M86/$R$3</f>
        <v>0</v>
      </c>
      <c r="W86" s="126" t="n">
        <f aca="false">N86/$R$3</f>
        <v>0</v>
      </c>
    </row>
    <row r="87" customFormat="false" ht="12.75" hidden="true" customHeight="false" outlineLevel="0" collapsed="false">
      <c r="A87" s="120" t="n">
        <f aca="false">A86+1</f>
        <v>36973</v>
      </c>
      <c r="B87" s="131" t="str">
        <f aca="false">INDEX('Master Data'!$A$2:$B$8,MATCH(WEEKDAY('Arg Total Power'!A87,3),'Master Data'!$A$2:$A$8,0),2)</f>
        <v>F</v>
      </c>
      <c r="D87" s="124" t="n">
        <v>0</v>
      </c>
      <c r="E87" s="124"/>
      <c r="F87" s="124" t="n">
        <v>0</v>
      </c>
      <c r="G87" s="124" t="n">
        <v>0</v>
      </c>
      <c r="I87" s="124" t="n">
        <f aca="false">IF(MONTH($A87)=MONTH($A86),IF(G87=0,I86,G87),G87)</f>
        <v>0</v>
      </c>
      <c r="J87" s="124" t="n">
        <f aca="false">IF(MONTH($A87)=MONTH($A86),SUM(I87-I86),I87)</f>
        <v>0</v>
      </c>
      <c r="K87" s="124" t="n">
        <f aca="false">IF(WEEKDAY(A87,3)&gt;4,0,(IF(A87&lt;K$2,0,IF(A87&lt;=K$3,1,0))))</f>
        <v>0</v>
      </c>
      <c r="L87" s="124" t="n">
        <f aca="false">J87*K87</f>
        <v>0</v>
      </c>
      <c r="M87" s="124" t="n">
        <f aca="false">SUM(J$6:J87)</f>
        <v>0</v>
      </c>
      <c r="N87" s="124" t="n">
        <f aca="false">SUM(J$6:J87)</f>
        <v>0</v>
      </c>
      <c r="P87" s="124" t="n">
        <f aca="false">D87/P$3</f>
        <v>0</v>
      </c>
      <c r="Q87" s="143" t="n">
        <f aca="false">E87/P$3</f>
        <v>0</v>
      </c>
      <c r="R87" s="124" t="n">
        <f aca="false">F87/R$3</f>
        <v>0</v>
      </c>
      <c r="S87" s="126" t="n">
        <f aca="false">J87/$R$3</f>
        <v>0</v>
      </c>
      <c r="T87" s="126" t="n">
        <f aca="false">L87/$R$3</f>
        <v>0</v>
      </c>
      <c r="U87" s="126" t="n">
        <f aca="false">I87/$R$3</f>
        <v>0</v>
      </c>
      <c r="V87" s="126" t="n">
        <f aca="false">M87/$R$3</f>
        <v>0</v>
      </c>
      <c r="W87" s="126" t="n">
        <f aca="false">N87/$R$3</f>
        <v>0</v>
      </c>
    </row>
    <row r="88" customFormat="false" ht="12.75" hidden="true" customHeight="false" outlineLevel="0" collapsed="false">
      <c r="A88" s="120" t="n">
        <f aca="false">A87+1</f>
        <v>36974</v>
      </c>
      <c r="B88" s="131" t="str">
        <f aca="false">INDEX('Master Data'!$A$2:$B$8,MATCH(WEEKDAY('Arg Total Power'!A88,3),'Master Data'!$A$2:$A$8,0),2)</f>
        <v>Sa</v>
      </c>
      <c r="D88" s="124" t="n">
        <v>0</v>
      </c>
      <c r="E88" s="124"/>
      <c r="F88" s="124" t="n">
        <v>0</v>
      </c>
      <c r="G88" s="124" t="n">
        <v>0</v>
      </c>
      <c r="I88" s="124" t="n">
        <f aca="false">IF(MONTH($A88)=MONTH($A87),IF(G88=0,I87,G88),G88)</f>
        <v>0</v>
      </c>
      <c r="J88" s="124" t="n">
        <f aca="false">IF(MONTH($A88)=MONTH($A87),SUM(I88-I87),I88)</f>
        <v>0</v>
      </c>
      <c r="K88" s="124" t="n">
        <f aca="false">IF(WEEKDAY(A88,3)&gt;4,0,(IF(A88&lt;K$2,0,IF(A88&lt;=K$3,1,0))))</f>
        <v>0</v>
      </c>
      <c r="L88" s="124" t="n">
        <f aca="false">J88*K88</f>
        <v>0</v>
      </c>
      <c r="M88" s="124" t="n">
        <f aca="false">SUM(J$6:J88)</f>
        <v>0</v>
      </c>
      <c r="N88" s="124" t="n">
        <f aca="false">SUM(J$6:J88)</f>
        <v>0</v>
      </c>
      <c r="P88" s="124" t="n">
        <f aca="false">D88/P$3</f>
        <v>0</v>
      </c>
      <c r="Q88" s="143" t="n">
        <f aca="false">E88/P$3</f>
        <v>0</v>
      </c>
      <c r="R88" s="124" t="n">
        <f aca="false">F88/R$3</f>
        <v>0</v>
      </c>
      <c r="S88" s="126" t="n">
        <f aca="false">J88/$R$3</f>
        <v>0</v>
      </c>
      <c r="T88" s="126" t="n">
        <f aca="false">L88/$R$3</f>
        <v>0</v>
      </c>
      <c r="U88" s="126" t="n">
        <f aca="false">I88/$R$3</f>
        <v>0</v>
      </c>
      <c r="V88" s="126" t="n">
        <f aca="false">M88/$R$3</f>
        <v>0</v>
      </c>
      <c r="W88" s="126" t="n">
        <f aca="false">N88/$R$3</f>
        <v>0</v>
      </c>
    </row>
    <row r="89" customFormat="false" ht="12.75" hidden="true" customHeight="false" outlineLevel="0" collapsed="false">
      <c r="A89" s="120" t="n">
        <f aca="false">A88+1</f>
        <v>36975</v>
      </c>
      <c r="B89" s="131" t="str">
        <f aca="false">INDEX('Master Data'!$A$2:$B$8,MATCH(WEEKDAY('Arg Total Power'!A89,3),'Master Data'!$A$2:$A$8,0),2)</f>
        <v>Su</v>
      </c>
      <c r="D89" s="124" t="n">
        <v>0</v>
      </c>
      <c r="E89" s="124"/>
      <c r="F89" s="124" t="n">
        <v>0</v>
      </c>
      <c r="G89" s="124" t="n">
        <v>0</v>
      </c>
      <c r="I89" s="124" t="n">
        <f aca="false">IF(MONTH($A89)=MONTH($A88),IF(G89=0,I88,G89),G89)</f>
        <v>0</v>
      </c>
      <c r="J89" s="124" t="n">
        <f aca="false">IF(MONTH($A89)=MONTH($A88),SUM(I89-I88),I89)</f>
        <v>0</v>
      </c>
      <c r="K89" s="124" t="n">
        <f aca="false">IF(WEEKDAY(A89,3)&gt;4,0,(IF(A89&lt;K$2,0,IF(A89&lt;=K$3,1,0))))</f>
        <v>0</v>
      </c>
      <c r="L89" s="124" t="n">
        <f aca="false">J89*K89</f>
        <v>0</v>
      </c>
      <c r="M89" s="124" t="n">
        <f aca="false">SUM(J$6:J89)</f>
        <v>0</v>
      </c>
      <c r="N89" s="124" t="n">
        <f aca="false">SUM(J$6:J89)</f>
        <v>0</v>
      </c>
      <c r="P89" s="124" t="n">
        <f aca="false">D89/P$3</f>
        <v>0</v>
      </c>
      <c r="Q89" s="143" t="n">
        <f aca="false">E89/P$3</f>
        <v>0</v>
      </c>
      <c r="R89" s="124" t="n">
        <f aca="false">F89/R$3</f>
        <v>0</v>
      </c>
      <c r="S89" s="126" t="n">
        <f aca="false">J89/$R$3</f>
        <v>0</v>
      </c>
      <c r="T89" s="126" t="n">
        <f aca="false">L89/$R$3</f>
        <v>0</v>
      </c>
      <c r="U89" s="126" t="n">
        <f aca="false">I89/$R$3</f>
        <v>0</v>
      </c>
      <c r="V89" s="126" t="n">
        <f aca="false">M89/$R$3</f>
        <v>0</v>
      </c>
      <c r="W89" s="126" t="n">
        <f aca="false">N89/$R$3</f>
        <v>0</v>
      </c>
    </row>
    <row r="90" customFormat="false" ht="12.75" hidden="true" customHeight="false" outlineLevel="0" collapsed="false">
      <c r="A90" s="120" t="n">
        <f aca="false">A89+1</f>
        <v>36976</v>
      </c>
      <c r="B90" s="131" t="str">
        <f aca="false">INDEX('Master Data'!$A$2:$B$8,MATCH(WEEKDAY('Arg Total Power'!A90,3),'Master Data'!$A$2:$A$8,0),2)</f>
        <v>M</v>
      </c>
      <c r="D90" s="124" t="n">
        <v>0</v>
      </c>
      <c r="E90" s="124"/>
      <c r="F90" s="124" t="n">
        <v>0</v>
      </c>
      <c r="G90" s="124" t="n">
        <v>0</v>
      </c>
      <c r="I90" s="124" t="n">
        <f aca="false">IF(MONTH($A90)=MONTH($A89),IF(G90=0,I89,G90),G90)</f>
        <v>0</v>
      </c>
      <c r="J90" s="124" t="n">
        <f aca="false">IF(MONTH($A90)=MONTH($A89),SUM(I90-I89),I90)</f>
        <v>0</v>
      </c>
      <c r="K90" s="124" t="n">
        <f aca="false">IF(WEEKDAY(A90,3)&gt;4,0,(IF(A90&lt;K$2,0,IF(A90&lt;=K$3,1,0))))</f>
        <v>0</v>
      </c>
      <c r="L90" s="124" t="n">
        <f aca="false">J90*K90</f>
        <v>0</v>
      </c>
      <c r="M90" s="124" t="n">
        <f aca="false">SUM(J$6:J90)</f>
        <v>0</v>
      </c>
      <c r="N90" s="124" t="n">
        <f aca="false">SUM(J$6:J90)</f>
        <v>0</v>
      </c>
      <c r="P90" s="124" t="n">
        <f aca="false">D90/P$3</f>
        <v>0</v>
      </c>
      <c r="Q90" s="143" t="n">
        <f aca="false">E90/P$3</f>
        <v>0</v>
      </c>
      <c r="R90" s="124" t="n">
        <f aca="false">F90/R$3</f>
        <v>0</v>
      </c>
      <c r="S90" s="126" t="n">
        <f aca="false">J90/$R$3</f>
        <v>0</v>
      </c>
      <c r="T90" s="126" t="n">
        <f aca="false">L90/$R$3</f>
        <v>0</v>
      </c>
      <c r="U90" s="126" t="n">
        <f aca="false">I90/$R$3</f>
        <v>0</v>
      </c>
      <c r="V90" s="126" t="n">
        <f aca="false">M90/$R$3</f>
        <v>0</v>
      </c>
      <c r="W90" s="126" t="n">
        <f aca="false">N90/$R$3</f>
        <v>0</v>
      </c>
    </row>
    <row r="91" customFormat="false" ht="12.75" hidden="true" customHeight="false" outlineLevel="0" collapsed="false">
      <c r="A91" s="120" t="n">
        <f aca="false">A90+1</f>
        <v>36977</v>
      </c>
      <c r="B91" s="131" t="str">
        <f aca="false">INDEX('Master Data'!$A$2:$B$8,MATCH(WEEKDAY('Arg Total Power'!A91,3),'Master Data'!$A$2:$A$8,0),2)</f>
        <v>T</v>
      </c>
      <c r="D91" s="124" t="n">
        <v>0</v>
      </c>
      <c r="E91" s="124"/>
      <c r="F91" s="124" t="n">
        <v>0</v>
      </c>
      <c r="G91" s="124" t="n">
        <v>0</v>
      </c>
      <c r="I91" s="124" t="n">
        <f aca="false">IF(MONTH($A91)=MONTH($A90),IF(G91=0,I90,G91),G91)</f>
        <v>0</v>
      </c>
      <c r="J91" s="124" t="n">
        <f aca="false">IF(MONTH($A91)=MONTH($A90),SUM(I91-I90),I91)</f>
        <v>0</v>
      </c>
      <c r="K91" s="124" t="n">
        <f aca="false">IF(WEEKDAY(A91,3)&gt;4,0,(IF(A91&lt;K$2,0,IF(A91&lt;=K$3,1,0))))</f>
        <v>0</v>
      </c>
      <c r="L91" s="124" t="n">
        <f aca="false">J91*K91</f>
        <v>0</v>
      </c>
      <c r="M91" s="124" t="n">
        <f aca="false">SUM(J$6:J91)</f>
        <v>0</v>
      </c>
      <c r="N91" s="124" t="n">
        <f aca="false">SUM(J$6:J91)</f>
        <v>0</v>
      </c>
      <c r="P91" s="124" t="n">
        <f aca="false">D91/P$3</f>
        <v>0</v>
      </c>
      <c r="Q91" s="143" t="n">
        <f aca="false">E91/P$3</f>
        <v>0</v>
      </c>
      <c r="R91" s="124" t="n">
        <f aca="false">F91/R$3</f>
        <v>0</v>
      </c>
      <c r="S91" s="126" t="n">
        <f aca="false">J91/$R$3</f>
        <v>0</v>
      </c>
      <c r="T91" s="126" t="n">
        <f aca="false">L91/$R$3</f>
        <v>0</v>
      </c>
      <c r="U91" s="126" t="n">
        <f aca="false">I91/$R$3</f>
        <v>0</v>
      </c>
      <c r="V91" s="126" t="n">
        <f aca="false">M91/$R$3</f>
        <v>0</v>
      </c>
      <c r="W91" s="126" t="n">
        <f aca="false">N91/$R$3</f>
        <v>0</v>
      </c>
    </row>
    <row r="92" customFormat="false" ht="12.75" hidden="true" customHeight="false" outlineLevel="0" collapsed="false">
      <c r="A92" s="120" t="n">
        <f aca="false">A91+1</f>
        <v>36978</v>
      </c>
      <c r="B92" s="131" t="str">
        <f aca="false">INDEX('Master Data'!$A$2:$B$8,MATCH(WEEKDAY('Arg Total Power'!A92,3),'Master Data'!$A$2:$A$8,0),2)</f>
        <v>W</v>
      </c>
      <c r="D92" s="124" t="n">
        <v>0</v>
      </c>
      <c r="E92" s="124"/>
      <c r="F92" s="124" t="n">
        <v>0</v>
      </c>
      <c r="G92" s="124" t="n">
        <v>0</v>
      </c>
      <c r="I92" s="124" t="n">
        <f aca="false">IF(MONTH($A92)=MONTH($A91),IF(G92=0,I91,G92),G92)</f>
        <v>0</v>
      </c>
      <c r="J92" s="124" t="n">
        <f aca="false">IF(MONTH($A92)=MONTH($A91),SUM(I92-I91),I92)</f>
        <v>0</v>
      </c>
      <c r="K92" s="124" t="n">
        <f aca="false">IF(WEEKDAY(A92,3)&gt;4,0,(IF(A92&lt;K$2,0,IF(A92&lt;=K$3,1,0))))</f>
        <v>0</v>
      </c>
      <c r="L92" s="124" t="n">
        <f aca="false">J92*K92</f>
        <v>0</v>
      </c>
      <c r="M92" s="124" t="n">
        <f aca="false">SUM(J$6:J92)</f>
        <v>0</v>
      </c>
      <c r="N92" s="124" t="n">
        <f aca="false">SUM(J$6:J92)</f>
        <v>0</v>
      </c>
      <c r="P92" s="124" t="n">
        <f aca="false">D92/P$3</f>
        <v>0</v>
      </c>
      <c r="Q92" s="143" t="n">
        <f aca="false">E92/P$3</f>
        <v>0</v>
      </c>
      <c r="R92" s="124" t="n">
        <f aca="false">F92/R$3</f>
        <v>0</v>
      </c>
      <c r="S92" s="126" t="n">
        <f aca="false">J92/$R$3</f>
        <v>0</v>
      </c>
      <c r="T92" s="126" t="n">
        <f aca="false">L92/$R$3</f>
        <v>0</v>
      </c>
      <c r="U92" s="126" t="n">
        <f aca="false">I92/$R$3</f>
        <v>0</v>
      </c>
      <c r="V92" s="126" t="n">
        <f aca="false">M92/$R$3</f>
        <v>0</v>
      </c>
      <c r="W92" s="126" t="n">
        <f aca="false">N92/$R$3</f>
        <v>0</v>
      </c>
    </row>
    <row r="93" customFormat="false" ht="12.75" hidden="true" customHeight="false" outlineLevel="0" collapsed="false">
      <c r="A93" s="120" t="n">
        <f aca="false">A92+1</f>
        <v>36979</v>
      </c>
      <c r="B93" s="131" t="str">
        <f aca="false">INDEX('Master Data'!$A$2:$B$8,MATCH(WEEKDAY('Arg Total Power'!A93,3),'Master Data'!$A$2:$A$8,0),2)</f>
        <v>Th</v>
      </c>
      <c r="D93" s="124" t="n">
        <v>0</v>
      </c>
      <c r="E93" s="124"/>
      <c r="F93" s="124" t="n">
        <v>0</v>
      </c>
      <c r="G93" s="124" t="n">
        <v>0</v>
      </c>
      <c r="I93" s="124" t="n">
        <f aca="false">IF(MONTH($A93)=MONTH($A92),IF(G93=0,I92,G93),G93)</f>
        <v>0</v>
      </c>
      <c r="J93" s="124" t="n">
        <f aca="false">IF(MONTH($A93)=MONTH($A92),SUM(I93-I92),I93)</f>
        <v>0</v>
      </c>
      <c r="K93" s="124" t="n">
        <f aca="false">IF(WEEKDAY(A93,3)&gt;4,0,(IF(A93&lt;K$2,0,IF(A93&lt;=K$3,1,0))))</f>
        <v>0</v>
      </c>
      <c r="L93" s="124" t="n">
        <f aca="false">J93*K93</f>
        <v>0</v>
      </c>
      <c r="M93" s="124" t="n">
        <f aca="false">SUM(J$6:J93)</f>
        <v>0</v>
      </c>
      <c r="N93" s="124" t="n">
        <f aca="false">SUM(J$6:J93)</f>
        <v>0</v>
      </c>
      <c r="P93" s="124" t="n">
        <f aca="false">D93/P$3</f>
        <v>0</v>
      </c>
      <c r="Q93" s="143" t="n">
        <f aca="false">E93/P$3</f>
        <v>0</v>
      </c>
      <c r="R93" s="124" t="n">
        <f aca="false">F93/R$3</f>
        <v>0</v>
      </c>
      <c r="S93" s="126" t="n">
        <f aca="false">J93/$R$3</f>
        <v>0</v>
      </c>
      <c r="T93" s="126" t="n">
        <f aca="false">L93/$R$3</f>
        <v>0</v>
      </c>
      <c r="U93" s="126" t="n">
        <f aca="false">I93/$R$3</f>
        <v>0</v>
      </c>
      <c r="V93" s="126" t="n">
        <f aca="false">M93/$R$3</f>
        <v>0</v>
      </c>
      <c r="W93" s="126" t="n">
        <f aca="false">N93/$R$3</f>
        <v>0</v>
      </c>
    </row>
    <row r="94" customFormat="false" ht="12.75" hidden="false" customHeight="false" outlineLevel="0" collapsed="false">
      <c r="A94" s="120" t="n">
        <f aca="false">A93+1</f>
        <v>36980</v>
      </c>
      <c r="B94" s="131" t="str">
        <f aca="false">INDEX('Master Data'!$A$2:$B$8,MATCH(WEEKDAY('Arg Total Power'!A94,3),'Master Data'!$A$2:$A$8,0),2)</f>
        <v>F</v>
      </c>
      <c r="D94" s="124" t="n">
        <v>0</v>
      </c>
      <c r="E94" s="124"/>
      <c r="F94" s="124" t="n">
        <v>0</v>
      </c>
      <c r="G94" s="124" t="n">
        <v>0</v>
      </c>
      <c r="I94" s="124" t="n">
        <f aca="false">IF(MONTH($A94)=MONTH($A93),IF(G94=0,I93,G94),G94)</f>
        <v>0</v>
      </c>
      <c r="J94" s="124" t="n">
        <f aca="false">IF(MONTH($A94)=MONTH($A93),SUM(I94-I93),I94)</f>
        <v>0</v>
      </c>
      <c r="K94" s="124" t="n">
        <f aca="false">IF(WEEKDAY(A94,3)&gt;4,0,(IF(A94&lt;K$2,0,IF(A94&lt;=K$3,1,0))))</f>
        <v>0</v>
      </c>
      <c r="L94" s="124" t="n">
        <f aca="false">J94*K94</f>
        <v>0</v>
      </c>
      <c r="M94" s="124" t="n">
        <f aca="false">SUM(J$6:J94)</f>
        <v>0</v>
      </c>
      <c r="N94" s="124" t="n">
        <f aca="false">SUM(J$6:J94)</f>
        <v>0</v>
      </c>
      <c r="P94" s="124" t="n">
        <f aca="false">D94/P$3</f>
        <v>0</v>
      </c>
      <c r="Q94" s="143" t="n">
        <f aca="false">E94/P$3</f>
        <v>0</v>
      </c>
      <c r="R94" s="124" t="n">
        <f aca="false">F94/R$3</f>
        <v>0</v>
      </c>
      <c r="S94" s="126" t="n">
        <f aca="false">J94/$R$3</f>
        <v>0</v>
      </c>
      <c r="T94" s="126" t="n">
        <f aca="false">L94/$R$3</f>
        <v>0</v>
      </c>
      <c r="U94" s="126" t="n">
        <f aca="false">I94/$R$3</f>
        <v>0</v>
      </c>
      <c r="V94" s="126" t="n">
        <f aca="false">M94/$R$3</f>
        <v>0</v>
      </c>
      <c r="W94" s="126" t="n">
        <f aca="false">N94/$R$3</f>
        <v>0</v>
      </c>
    </row>
    <row r="95" customFormat="false" ht="12.75" hidden="true" customHeight="false" outlineLevel="0" collapsed="false">
      <c r="A95" s="120" t="n">
        <f aca="false">A94+1</f>
        <v>36981</v>
      </c>
      <c r="B95" s="131" t="str">
        <f aca="false">INDEX('Master Data'!$A$2:$B$8,MATCH(WEEKDAY('Arg Total Power'!A95,3),'Master Data'!$A$2:$A$8,0),2)</f>
        <v>Sa</v>
      </c>
      <c r="D95" s="124" t="n">
        <v>0</v>
      </c>
      <c r="E95" s="124"/>
      <c r="F95" s="124" t="n">
        <v>0</v>
      </c>
      <c r="G95" s="124" t="n">
        <v>0</v>
      </c>
      <c r="I95" s="124" t="n">
        <f aca="false">IF(MONTH($A95)=MONTH($A94),IF(G95=0,I94,G95),G95)</f>
        <v>0</v>
      </c>
      <c r="J95" s="124" t="n">
        <f aca="false">IF(MONTH($A95)=MONTH($A94),SUM(I95-I94),I95)</f>
        <v>0</v>
      </c>
      <c r="K95" s="124" t="n">
        <f aca="false">IF(WEEKDAY(A95,3)&gt;4,0,(IF(A95&lt;K$2,0,IF(A95&lt;=K$3,1,0))))</f>
        <v>0</v>
      </c>
      <c r="L95" s="124" t="n">
        <f aca="false">J95*K95</f>
        <v>0</v>
      </c>
      <c r="M95" s="124" t="n">
        <f aca="false">SUM(J$6:J95)</f>
        <v>0</v>
      </c>
      <c r="N95" s="124" t="n">
        <f aca="false">SUM(J$6:J95)</f>
        <v>0</v>
      </c>
      <c r="P95" s="124" t="n">
        <f aca="false">D95/P$3</f>
        <v>0</v>
      </c>
      <c r="Q95" s="143" t="n">
        <f aca="false">E95/P$3</f>
        <v>0</v>
      </c>
      <c r="R95" s="124" t="n">
        <f aca="false">F95/R$3</f>
        <v>0</v>
      </c>
      <c r="S95" s="126" t="n">
        <f aca="false">J95/$R$3</f>
        <v>0</v>
      </c>
      <c r="T95" s="126" t="n">
        <f aca="false">L95/$R$3</f>
        <v>0</v>
      </c>
      <c r="U95" s="126" t="n">
        <f aca="false">I95/$R$3</f>
        <v>0</v>
      </c>
      <c r="V95" s="126" t="n">
        <f aca="false">M95/$R$3</f>
        <v>0</v>
      </c>
      <c r="W95" s="126" t="n">
        <f aca="false">N95/$R$3</f>
        <v>0</v>
      </c>
    </row>
    <row r="96" customFormat="false" ht="12.75" hidden="true" customHeight="false" outlineLevel="0" collapsed="false">
      <c r="A96" s="120" t="n">
        <f aca="false">A95+1</f>
        <v>36982</v>
      </c>
      <c r="B96" s="131" t="str">
        <f aca="false">INDEX('Master Data'!$A$2:$B$8,MATCH(WEEKDAY('Arg Total Power'!A96,3),'Master Data'!$A$2:$A$8,0),2)</f>
        <v>Su</v>
      </c>
      <c r="D96" s="124" t="n">
        <v>0</v>
      </c>
      <c r="E96" s="124"/>
      <c r="F96" s="124" t="n">
        <v>0</v>
      </c>
      <c r="G96" s="124" t="n">
        <v>0</v>
      </c>
      <c r="I96" s="124" t="n">
        <f aca="false">IF(MONTH($A96)=MONTH($A95),IF(G96=0,I95,G96),G96)</f>
        <v>0</v>
      </c>
      <c r="J96" s="124" t="n">
        <f aca="false">IF(MONTH($A96)=MONTH($A95),SUM(I96-I95),I96)</f>
        <v>0</v>
      </c>
      <c r="K96" s="124" t="n">
        <f aca="false">IF(WEEKDAY(A96,3)&gt;4,0,(IF(A96&lt;K$2,0,IF(A96&lt;=K$3,1,0))))</f>
        <v>0</v>
      </c>
      <c r="L96" s="124" t="n">
        <f aca="false">J96*K96</f>
        <v>0</v>
      </c>
      <c r="M96" s="124" t="n">
        <f aca="false">SUM(J$6:J96)</f>
        <v>0</v>
      </c>
      <c r="N96" s="124" t="n">
        <f aca="false">SUM(J$6:J96)</f>
        <v>0</v>
      </c>
      <c r="P96" s="124" t="n">
        <f aca="false">D96/P$3</f>
        <v>0</v>
      </c>
      <c r="Q96" s="143" t="n">
        <f aca="false">E96/P$3</f>
        <v>0</v>
      </c>
      <c r="R96" s="124" t="n">
        <f aca="false">F96/R$3</f>
        <v>0</v>
      </c>
      <c r="S96" s="126" t="n">
        <f aca="false">J96/$R$3</f>
        <v>0</v>
      </c>
      <c r="T96" s="126" t="n">
        <f aca="false">L96/$R$3</f>
        <v>0</v>
      </c>
      <c r="U96" s="126" t="n">
        <f aca="false">I96/$R$3</f>
        <v>0</v>
      </c>
      <c r="V96" s="126" t="n">
        <f aca="false">M96/$R$3</f>
        <v>0</v>
      </c>
      <c r="W96" s="126" t="n">
        <f aca="false">N96/$R$3</f>
        <v>0</v>
      </c>
    </row>
    <row r="97" customFormat="false" ht="12.75" hidden="true" customHeight="false" outlineLevel="0" collapsed="false">
      <c r="A97" s="120" t="n">
        <f aca="false">A96+1</f>
        <v>36983</v>
      </c>
      <c r="B97" s="131" t="str">
        <f aca="false">INDEX('Master Data'!$A$2:$B$8,MATCH(WEEKDAY('Arg Total Power'!A97,3),'Master Data'!$A$2:$A$8,0),2)</f>
        <v>M</v>
      </c>
      <c r="D97" s="124" t="n">
        <v>0</v>
      </c>
      <c r="E97" s="124"/>
      <c r="F97" s="124" t="n">
        <v>0</v>
      </c>
      <c r="G97" s="124" t="n">
        <v>0</v>
      </c>
      <c r="I97" s="124" t="n">
        <f aca="false">IF(MONTH($A97)=MONTH($A96),IF(G97=0,I96,G97),G97)</f>
        <v>0</v>
      </c>
      <c r="J97" s="124" t="n">
        <f aca="false">IF(MONTH($A97)=MONTH($A96),SUM(I97-I96),I97)</f>
        <v>0</v>
      </c>
      <c r="K97" s="124" t="n">
        <f aca="false">IF(WEEKDAY(A97,3)&gt;4,0,(IF(A97&lt;K$2,0,IF(A97&lt;=K$3,1,0))))</f>
        <v>0</v>
      </c>
      <c r="L97" s="124" t="n">
        <f aca="false">J97*K97</f>
        <v>0</v>
      </c>
      <c r="M97" s="124" t="n">
        <f aca="false">SUM(J$97:J97)</f>
        <v>0</v>
      </c>
      <c r="N97" s="124" t="n">
        <f aca="false">SUM(J$6:J97)</f>
        <v>0</v>
      </c>
      <c r="P97" s="124" t="n">
        <f aca="false">D97/P$3</f>
        <v>0</v>
      </c>
      <c r="Q97" s="143" t="n">
        <f aca="false">E97/P$3</f>
        <v>0</v>
      </c>
      <c r="R97" s="124" t="n">
        <f aca="false">F97/R$3</f>
        <v>0</v>
      </c>
      <c r="S97" s="126" t="n">
        <f aca="false">J97/$R$3</f>
        <v>0</v>
      </c>
      <c r="T97" s="126" t="n">
        <f aca="false">L97/$R$3</f>
        <v>0</v>
      </c>
      <c r="U97" s="126" t="n">
        <f aca="false">I97/$R$3</f>
        <v>0</v>
      </c>
      <c r="V97" s="126" t="n">
        <f aca="false">M97/$R$3</f>
        <v>0</v>
      </c>
      <c r="W97" s="126" t="n">
        <f aca="false">N97/$R$3</f>
        <v>0</v>
      </c>
    </row>
    <row r="98" customFormat="false" ht="12.75" hidden="true" customHeight="false" outlineLevel="0" collapsed="false">
      <c r="A98" s="120" t="n">
        <f aca="false">A97+1</f>
        <v>36984</v>
      </c>
      <c r="B98" s="131" t="str">
        <f aca="false">INDEX('Master Data'!$A$2:$B$8,MATCH(WEEKDAY('Arg Total Power'!A98,3),'Master Data'!$A$2:$A$8,0),2)</f>
        <v>T</v>
      </c>
      <c r="D98" s="124" t="n">
        <v>0</v>
      </c>
      <c r="E98" s="124"/>
      <c r="F98" s="124" t="n">
        <v>0</v>
      </c>
      <c r="G98" s="124" t="n">
        <v>0</v>
      </c>
      <c r="I98" s="124" t="n">
        <f aca="false">IF(MONTH($A98)=MONTH($A97),IF(G98=0,I97,G98),G98)</f>
        <v>0</v>
      </c>
      <c r="J98" s="124" t="n">
        <f aca="false">IF(MONTH($A98)=MONTH($A97),SUM(I98-I97),I98)</f>
        <v>0</v>
      </c>
      <c r="K98" s="124" t="n">
        <f aca="false">IF(WEEKDAY(A98,3)&gt;4,0,(IF(A98&lt;K$2,0,IF(A98&lt;=K$3,1,0))))</f>
        <v>0</v>
      </c>
      <c r="L98" s="124" t="n">
        <f aca="false">J98*K98</f>
        <v>0</v>
      </c>
      <c r="M98" s="124" t="n">
        <f aca="false">SUM(J$97:J98)</f>
        <v>0</v>
      </c>
      <c r="N98" s="124" t="n">
        <f aca="false">SUM(J$6:J98)</f>
        <v>0</v>
      </c>
      <c r="P98" s="124" t="n">
        <f aca="false">D98/P$3</f>
        <v>0</v>
      </c>
      <c r="Q98" s="143" t="n">
        <f aca="false">E98/P$3</f>
        <v>0</v>
      </c>
      <c r="R98" s="124" t="n">
        <f aca="false">F98/R$3</f>
        <v>0</v>
      </c>
      <c r="S98" s="126" t="n">
        <f aca="false">J98/$R$3</f>
        <v>0</v>
      </c>
      <c r="T98" s="126" t="n">
        <f aca="false">L98/$R$3</f>
        <v>0</v>
      </c>
      <c r="U98" s="126" t="n">
        <f aca="false">I98/$R$3</f>
        <v>0</v>
      </c>
      <c r="V98" s="126" t="n">
        <f aca="false">M98/$R$3</f>
        <v>0</v>
      </c>
      <c r="W98" s="126" t="n">
        <f aca="false">N98/$R$3</f>
        <v>0</v>
      </c>
    </row>
    <row r="99" customFormat="false" ht="12.75" hidden="true" customHeight="false" outlineLevel="0" collapsed="false">
      <c r="A99" s="120" t="n">
        <f aca="false">A98+1</f>
        <v>36985</v>
      </c>
      <c r="B99" s="131" t="str">
        <f aca="false">INDEX('Master Data'!$A$2:$B$8,MATCH(WEEKDAY('Arg Total Power'!A99,3),'Master Data'!$A$2:$A$8,0),2)</f>
        <v>W</v>
      </c>
      <c r="D99" s="124" t="n">
        <v>0</v>
      </c>
      <c r="E99" s="124"/>
      <c r="F99" s="124" t="n">
        <v>0</v>
      </c>
      <c r="G99" s="124" t="n">
        <v>0</v>
      </c>
      <c r="I99" s="124" t="n">
        <f aca="false">IF(MONTH($A99)=MONTH($A98),IF(G99=0,I98,G99),G99)</f>
        <v>0</v>
      </c>
      <c r="J99" s="124" t="n">
        <f aca="false">IF(MONTH($A99)=MONTH($A98),SUM(I99-I98),I99)</f>
        <v>0</v>
      </c>
      <c r="K99" s="124" t="n">
        <f aca="false">IF(WEEKDAY(A99,3)&gt;4,0,(IF(A99&lt;K$2,0,IF(A99&lt;=K$3,1,0))))</f>
        <v>0</v>
      </c>
      <c r="L99" s="124" t="n">
        <f aca="false">J99*K99</f>
        <v>0</v>
      </c>
      <c r="M99" s="124" t="n">
        <f aca="false">SUM(J$97:J99)</f>
        <v>0</v>
      </c>
      <c r="N99" s="124" t="n">
        <f aca="false">SUM(J$6:J99)</f>
        <v>0</v>
      </c>
      <c r="P99" s="124" t="n">
        <f aca="false">D99/P$3</f>
        <v>0</v>
      </c>
      <c r="Q99" s="143" t="n">
        <f aca="false">E99/P$3</f>
        <v>0</v>
      </c>
      <c r="R99" s="124" t="n">
        <f aca="false">F99/R$3</f>
        <v>0</v>
      </c>
      <c r="S99" s="126" t="n">
        <f aca="false">J99/$R$3</f>
        <v>0</v>
      </c>
      <c r="T99" s="126" t="n">
        <f aca="false">L99/$R$3</f>
        <v>0</v>
      </c>
      <c r="U99" s="126" t="n">
        <f aca="false">I99/$R$3</f>
        <v>0</v>
      </c>
      <c r="V99" s="126" t="n">
        <f aca="false">M99/$R$3</f>
        <v>0</v>
      </c>
      <c r="W99" s="126" t="n">
        <f aca="false">N99/$R$3</f>
        <v>0</v>
      </c>
    </row>
    <row r="100" customFormat="false" ht="12.75" hidden="true" customHeight="false" outlineLevel="0" collapsed="false">
      <c r="A100" s="120" t="n">
        <f aca="false">A99+1</f>
        <v>36986</v>
      </c>
      <c r="B100" s="131" t="str">
        <f aca="false">INDEX('Master Data'!$A$2:$B$8,MATCH(WEEKDAY('Arg Total Power'!A100,3),'Master Data'!$A$2:$A$8,0),2)</f>
        <v>Th</v>
      </c>
      <c r="D100" s="124" t="n">
        <v>0</v>
      </c>
      <c r="E100" s="124"/>
      <c r="F100" s="124" t="n">
        <v>0</v>
      </c>
      <c r="G100" s="124" t="n">
        <v>0</v>
      </c>
      <c r="I100" s="124" t="n">
        <f aca="false">IF(MONTH($A100)=MONTH($A99),IF(G100=0,I99,G100),G100)</f>
        <v>0</v>
      </c>
      <c r="J100" s="124" t="n">
        <f aca="false">IF(MONTH($A100)=MONTH($A99),SUM(I100-I99),I100)</f>
        <v>0</v>
      </c>
      <c r="K100" s="124" t="n">
        <f aca="false">IF(WEEKDAY(A100,3)&gt;4,0,(IF(A100&lt;K$2,0,IF(A100&lt;=K$3,1,0))))</f>
        <v>0</v>
      </c>
      <c r="L100" s="124" t="n">
        <f aca="false">J100*K100</f>
        <v>0</v>
      </c>
      <c r="M100" s="124" t="n">
        <f aca="false">SUM(J$97:J100)</f>
        <v>0</v>
      </c>
      <c r="N100" s="124" t="n">
        <f aca="false">SUM(J$6:J100)</f>
        <v>0</v>
      </c>
      <c r="P100" s="124" t="n">
        <f aca="false">D100/P$3</f>
        <v>0</v>
      </c>
      <c r="Q100" s="143" t="n">
        <f aca="false">E100/P$3</f>
        <v>0</v>
      </c>
      <c r="R100" s="124" t="n">
        <f aca="false">F100/R$3</f>
        <v>0</v>
      </c>
      <c r="S100" s="126" t="n">
        <f aca="false">J100/$R$3</f>
        <v>0</v>
      </c>
      <c r="T100" s="126" t="n">
        <f aca="false">L100/$R$3</f>
        <v>0</v>
      </c>
      <c r="U100" s="126" t="n">
        <f aca="false">I100/$R$3</f>
        <v>0</v>
      </c>
      <c r="V100" s="126" t="n">
        <f aca="false">M100/$R$3</f>
        <v>0</v>
      </c>
      <c r="W100" s="126" t="n">
        <f aca="false">N100/$R$3</f>
        <v>0</v>
      </c>
    </row>
    <row r="101" customFormat="false" ht="12.75" hidden="true" customHeight="false" outlineLevel="0" collapsed="false">
      <c r="A101" s="120" t="n">
        <f aca="false">A100+1</f>
        <v>36987</v>
      </c>
      <c r="B101" s="131" t="str">
        <f aca="false">INDEX('Master Data'!$A$2:$B$8,MATCH(WEEKDAY('Arg Total Power'!A101,3),'Master Data'!$A$2:$A$8,0),2)</f>
        <v>F</v>
      </c>
      <c r="D101" s="124" t="n">
        <v>0</v>
      </c>
      <c r="E101" s="124"/>
      <c r="F101" s="124" t="n">
        <v>0</v>
      </c>
      <c r="G101" s="124" t="n">
        <v>0</v>
      </c>
      <c r="I101" s="124" t="n">
        <f aca="false">IF(MONTH($A101)=MONTH($A100),IF(G101=0,I100,G101),G101)</f>
        <v>0</v>
      </c>
      <c r="J101" s="124" t="n">
        <f aca="false">IF(MONTH($A101)=MONTH($A100),SUM(I101-I100),I101)</f>
        <v>0</v>
      </c>
      <c r="K101" s="124" t="n">
        <f aca="false">IF(WEEKDAY(A101,3)&gt;4,0,(IF(A101&lt;K$2,0,IF(A101&lt;=K$3,1,0))))</f>
        <v>0</v>
      </c>
      <c r="L101" s="124" t="n">
        <f aca="false">J101*K101</f>
        <v>0</v>
      </c>
      <c r="M101" s="124" t="n">
        <f aca="false">SUM(J$97:J101)</f>
        <v>0</v>
      </c>
      <c r="N101" s="124" t="n">
        <f aca="false">SUM(J$6:J101)</f>
        <v>0</v>
      </c>
      <c r="P101" s="124" t="n">
        <f aca="false">D101/P$3</f>
        <v>0</v>
      </c>
      <c r="Q101" s="143" t="n">
        <f aca="false">E101/P$3</f>
        <v>0</v>
      </c>
      <c r="R101" s="124" t="n">
        <f aca="false">F101/R$3</f>
        <v>0</v>
      </c>
      <c r="S101" s="126" t="n">
        <f aca="false">J101/$R$3</f>
        <v>0</v>
      </c>
      <c r="T101" s="126" t="n">
        <f aca="false">L101/$R$3</f>
        <v>0</v>
      </c>
      <c r="U101" s="126" t="n">
        <f aca="false">I101/$R$3</f>
        <v>0</v>
      </c>
      <c r="V101" s="126" t="n">
        <f aca="false">M101/$R$3</f>
        <v>0</v>
      </c>
      <c r="W101" s="126" t="n">
        <f aca="false">N101/$R$3</f>
        <v>0</v>
      </c>
    </row>
    <row r="102" customFormat="false" ht="12.75" hidden="true" customHeight="false" outlineLevel="0" collapsed="false">
      <c r="A102" s="120" t="n">
        <f aca="false">A101+1</f>
        <v>36988</v>
      </c>
      <c r="B102" s="131" t="str">
        <f aca="false">INDEX('Master Data'!$A$2:$B$8,MATCH(WEEKDAY('Arg Total Power'!A102,3),'Master Data'!$A$2:$A$8,0),2)</f>
        <v>Sa</v>
      </c>
      <c r="D102" s="124" t="n">
        <v>0</v>
      </c>
      <c r="E102" s="124"/>
      <c r="F102" s="124" t="n">
        <v>0</v>
      </c>
      <c r="G102" s="124" t="n">
        <v>0</v>
      </c>
      <c r="I102" s="124" t="n">
        <f aca="false">IF(MONTH($A102)=MONTH($A101),IF(G102=0,I101,G102),G102)</f>
        <v>0</v>
      </c>
      <c r="J102" s="124" t="n">
        <f aca="false">IF(MONTH($A102)=MONTH($A101),SUM(I102-I101),I102)</f>
        <v>0</v>
      </c>
      <c r="K102" s="124" t="n">
        <f aca="false">IF(WEEKDAY(A102,3)&gt;4,0,(IF(A102&lt;K$2,0,IF(A102&lt;=K$3,1,0))))</f>
        <v>0</v>
      </c>
      <c r="L102" s="124" t="n">
        <f aca="false">J102*K102</f>
        <v>0</v>
      </c>
      <c r="M102" s="124" t="n">
        <f aca="false">SUM(J$97:J102)</f>
        <v>0</v>
      </c>
      <c r="N102" s="124" t="n">
        <f aca="false">SUM(J$6:J102)</f>
        <v>0</v>
      </c>
      <c r="P102" s="124" t="n">
        <f aca="false">D102/P$3</f>
        <v>0</v>
      </c>
      <c r="Q102" s="143" t="n">
        <f aca="false">E102/P$3</f>
        <v>0</v>
      </c>
      <c r="R102" s="124" t="n">
        <f aca="false">F102/R$3</f>
        <v>0</v>
      </c>
      <c r="S102" s="126" t="n">
        <f aca="false">J102/$R$3</f>
        <v>0</v>
      </c>
      <c r="T102" s="126" t="n">
        <f aca="false">L102/$R$3</f>
        <v>0</v>
      </c>
      <c r="U102" s="126" t="n">
        <f aca="false">I102/$R$3</f>
        <v>0</v>
      </c>
      <c r="V102" s="126" t="n">
        <f aca="false">M102/$R$3</f>
        <v>0</v>
      </c>
      <c r="W102" s="126" t="n">
        <f aca="false">N102/$R$3</f>
        <v>0</v>
      </c>
    </row>
    <row r="103" customFormat="false" ht="12.75" hidden="true" customHeight="false" outlineLevel="0" collapsed="false">
      <c r="A103" s="120" t="n">
        <f aca="false">A102+1</f>
        <v>36989</v>
      </c>
      <c r="B103" s="131" t="str">
        <f aca="false">INDEX('Master Data'!$A$2:$B$8,MATCH(WEEKDAY('Arg Total Power'!A103,3),'Master Data'!$A$2:$A$8,0),2)</f>
        <v>Su</v>
      </c>
      <c r="D103" s="124" t="n">
        <v>0</v>
      </c>
      <c r="E103" s="124"/>
      <c r="F103" s="124" t="n">
        <v>0</v>
      </c>
      <c r="G103" s="124" t="n">
        <v>0</v>
      </c>
      <c r="I103" s="124" t="n">
        <f aca="false">IF(MONTH($A103)=MONTH($A102),IF(G103=0,I102,G103),G103)</f>
        <v>0</v>
      </c>
      <c r="J103" s="124" t="n">
        <f aca="false">IF(MONTH($A103)=MONTH($A102),SUM(I103-I102),I103)</f>
        <v>0</v>
      </c>
      <c r="K103" s="124" t="n">
        <f aca="false">IF(WEEKDAY(A103,3)&gt;4,0,(IF(A103&lt;K$2,0,IF(A103&lt;=K$3,1,0))))</f>
        <v>0</v>
      </c>
      <c r="L103" s="124" t="n">
        <f aca="false">J103*K103</f>
        <v>0</v>
      </c>
      <c r="M103" s="124" t="n">
        <f aca="false">SUM(J$97:J103)</f>
        <v>0</v>
      </c>
      <c r="N103" s="124" t="n">
        <f aca="false">SUM(J$6:J103)</f>
        <v>0</v>
      </c>
      <c r="P103" s="124" t="n">
        <f aca="false">D103/P$3</f>
        <v>0</v>
      </c>
      <c r="Q103" s="143" t="n">
        <f aca="false">E103/P$3</f>
        <v>0</v>
      </c>
      <c r="R103" s="124" t="n">
        <f aca="false">F103/R$3</f>
        <v>0</v>
      </c>
      <c r="S103" s="126" t="n">
        <f aca="false">J103/$R$3</f>
        <v>0</v>
      </c>
      <c r="T103" s="126" t="n">
        <f aca="false">L103/$R$3</f>
        <v>0</v>
      </c>
      <c r="U103" s="126" t="n">
        <f aca="false">I103/$R$3</f>
        <v>0</v>
      </c>
      <c r="V103" s="126" t="n">
        <f aca="false">M103/$R$3</f>
        <v>0</v>
      </c>
      <c r="W103" s="126" t="n">
        <f aca="false">N103/$R$3</f>
        <v>0</v>
      </c>
    </row>
    <row r="104" customFormat="false" ht="12.75" hidden="true" customHeight="false" outlineLevel="0" collapsed="false">
      <c r="A104" s="120" t="n">
        <f aca="false">A103+1</f>
        <v>36990</v>
      </c>
      <c r="B104" s="131" t="str">
        <f aca="false">INDEX('Master Data'!$A$2:$B$8,MATCH(WEEKDAY('Arg Total Power'!A104,3),'Master Data'!$A$2:$A$8,0),2)</f>
        <v>M</v>
      </c>
      <c r="D104" s="124" t="n">
        <v>0</v>
      </c>
      <c r="E104" s="124"/>
      <c r="F104" s="124" t="n">
        <v>0</v>
      </c>
      <c r="G104" s="124" t="n">
        <v>0</v>
      </c>
      <c r="I104" s="124" t="n">
        <f aca="false">IF(MONTH($A104)=MONTH($A103),IF(G104=0,I103,G104),G104)</f>
        <v>0</v>
      </c>
      <c r="J104" s="124" t="n">
        <f aca="false">IF(MONTH($A104)=MONTH($A103),SUM(I104-I103),I104)</f>
        <v>0</v>
      </c>
      <c r="K104" s="124" t="n">
        <f aca="false">IF(WEEKDAY(A104,3)&gt;4,0,(IF(A104&lt;K$2,0,IF(A104&lt;=K$3,1,0))))</f>
        <v>0</v>
      </c>
      <c r="L104" s="124" t="n">
        <f aca="false">J104*K104</f>
        <v>0</v>
      </c>
      <c r="M104" s="124" t="n">
        <f aca="false">SUM(J$97:J104)</f>
        <v>0</v>
      </c>
      <c r="N104" s="124" t="n">
        <f aca="false">SUM(J$6:J104)</f>
        <v>0</v>
      </c>
      <c r="P104" s="124" t="n">
        <f aca="false">D104/P$3</f>
        <v>0</v>
      </c>
      <c r="Q104" s="143" t="n">
        <f aca="false">E104/P$3</f>
        <v>0</v>
      </c>
      <c r="R104" s="124" t="n">
        <f aca="false">F104/R$3</f>
        <v>0</v>
      </c>
      <c r="S104" s="126" t="n">
        <f aca="false">J104/$R$3</f>
        <v>0</v>
      </c>
      <c r="T104" s="126" t="n">
        <f aca="false">L104/$R$3</f>
        <v>0</v>
      </c>
      <c r="U104" s="126" t="n">
        <f aca="false">I104/$R$3</f>
        <v>0</v>
      </c>
      <c r="V104" s="126" t="n">
        <f aca="false">M104/$R$3</f>
        <v>0</v>
      </c>
      <c r="W104" s="126" t="n">
        <f aca="false">N104/$R$3</f>
        <v>0</v>
      </c>
    </row>
    <row r="105" customFormat="false" ht="12.75" hidden="true" customHeight="false" outlineLevel="0" collapsed="false">
      <c r="A105" s="120" t="n">
        <f aca="false">A104+1</f>
        <v>36991</v>
      </c>
      <c r="B105" s="131" t="str">
        <f aca="false">INDEX('Master Data'!$A$2:$B$8,MATCH(WEEKDAY('Arg Total Power'!A105,3),'Master Data'!$A$2:$A$8,0),2)</f>
        <v>T</v>
      </c>
      <c r="D105" s="124" t="n">
        <v>0</v>
      </c>
      <c r="E105" s="124"/>
      <c r="F105" s="124" t="n">
        <v>0</v>
      </c>
      <c r="G105" s="124" t="n">
        <v>0</v>
      </c>
      <c r="I105" s="124" t="n">
        <f aca="false">IF(MONTH($A105)=MONTH($A104),IF(G105=0,I104,G105),G105)</f>
        <v>0</v>
      </c>
      <c r="J105" s="124" t="n">
        <f aca="false">IF(MONTH($A105)=MONTH($A104),SUM(I105-I104),I105)</f>
        <v>0</v>
      </c>
      <c r="K105" s="124" t="n">
        <f aca="false">IF(WEEKDAY(A105,3)&gt;4,0,(IF(A105&lt;K$2,0,IF(A105&lt;=K$3,1,0))))</f>
        <v>0</v>
      </c>
      <c r="L105" s="124" t="n">
        <f aca="false">J105*K105</f>
        <v>0</v>
      </c>
      <c r="M105" s="124" t="n">
        <f aca="false">SUM(J$97:J105)</f>
        <v>0</v>
      </c>
      <c r="N105" s="124" t="n">
        <f aca="false">SUM(J$6:J105)</f>
        <v>0</v>
      </c>
      <c r="P105" s="124" t="n">
        <f aca="false">D105/P$3</f>
        <v>0</v>
      </c>
      <c r="Q105" s="143" t="n">
        <f aca="false">E105/P$3</f>
        <v>0</v>
      </c>
      <c r="R105" s="124" t="n">
        <f aca="false">F105/R$3</f>
        <v>0</v>
      </c>
      <c r="S105" s="126" t="n">
        <f aca="false">J105/$R$3</f>
        <v>0</v>
      </c>
      <c r="T105" s="126" t="n">
        <f aca="false">L105/$R$3</f>
        <v>0</v>
      </c>
      <c r="U105" s="126" t="n">
        <f aca="false">I105/$R$3</f>
        <v>0</v>
      </c>
      <c r="V105" s="126" t="n">
        <f aca="false">M105/$R$3</f>
        <v>0</v>
      </c>
      <c r="W105" s="126" t="n">
        <f aca="false">N105/$R$3</f>
        <v>0</v>
      </c>
    </row>
    <row r="106" customFormat="false" ht="12.75" hidden="true" customHeight="false" outlineLevel="0" collapsed="false">
      <c r="A106" s="120" t="n">
        <f aca="false">A105+1</f>
        <v>36992</v>
      </c>
      <c r="B106" s="131" t="str">
        <f aca="false">INDEX('Master Data'!$A$2:$B$8,MATCH(WEEKDAY('Arg Total Power'!A106,3),'Master Data'!$A$2:$A$8,0),2)</f>
        <v>W</v>
      </c>
      <c r="D106" s="124" t="n">
        <v>0</v>
      </c>
      <c r="E106" s="124"/>
      <c r="F106" s="124" t="n">
        <v>0</v>
      </c>
      <c r="G106" s="124" t="n">
        <v>0</v>
      </c>
      <c r="I106" s="124" t="n">
        <f aca="false">IF(MONTH($A106)=MONTH($A105),IF(G106=0,I105,G106),G106)</f>
        <v>0</v>
      </c>
      <c r="J106" s="124" t="n">
        <f aca="false">IF(MONTH($A106)=MONTH($A105),SUM(I106-I105),I106)</f>
        <v>0</v>
      </c>
      <c r="K106" s="124" t="n">
        <f aca="false">IF(WEEKDAY(A106,3)&gt;4,0,(IF(A106&lt;K$2,0,IF(A106&lt;=K$3,1,0))))</f>
        <v>0</v>
      </c>
      <c r="L106" s="124" t="n">
        <f aca="false">J106*K106</f>
        <v>0</v>
      </c>
      <c r="M106" s="124" t="n">
        <f aca="false">SUM(J$97:J106)</f>
        <v>0</v>
      </c>
      <c r="N106" s="124" t="n">
        <f aca="false">SUM(J$6:J106)</f>
        <v>0</v>
      </c>
      <c r="P106" s="124" t="n">
        <f aca="false">D106/P$3</f>
        <v>0</v>
      </c>
      <c r="Q106" s="143" t="n">
        <f aca="false">E106/P$3</f>
        <v>0</v>
      </c>
      <c r="R106" s="124" t="n">
        <f aca="false">F106/R$3</f>
        <v>0</v>
      </c>
      <c r="S106" s="126" t="n">
        <f aca="false">J106/$R$3</f>
        <v>0</v>
      </c>
      <c r="T106" s="126" t="n">
        <f aca="false">L106/$R$3</f>
        <v>0</v>
      </c>
      <c r="U106" s="126" t="n">
        <f aca="false">I106/$R$3</f>
        <v>0</v>
      </c>
      <c r="V106" s="126" t="n">
        <f aca="false">M106/$R$3</f>
        <v>0</v>
      </c>
      <c r="W106" s="126" t="n">
        <f aca="false">N106/$R$3</f>
        <v>0</v>
      </c>
    </row>
    <row r="107" customFormat="false" ht="12.75" hidden="true" customHeight="false" outlineLevel="0" collapsed="false">
      <c r="A107" s="120" t="n">
        <f aca="false">A106+1</f>
        <v>36993</v>
      </c>
      <c r="B107" s="131" t="str">
        <f aca="false">INDEX('Master Data'!$A$2:$B$8,MATCH(WEEKDAY('Arg Total Power'!A107,3),'Master Data'!$A$2:$A$8,0),2)</f>
        <v>Th</v>
      </c>
      <c r="D107" s="124" t="n">
        <v>0</v>
      </c>
      <c r="E107" s="124"/>
      <c r="F107" s="124" t="n">
        <v>0</v>
      </c>
      <c r="G107" s="124" t="n">
        <v>0</v>
      </c>
      <c r="I107" s="124" t="n">
        <f aca="false">IF(MONTH($A107)=MONTH($A106),IF(G107=0,I106,G107),G107)</f>
        <v>0</v>
      </c>
      <c r="J107" s="124" t="n">
        <f aca="false">IF(MONTH($A107)=MONTH($A106),SUM(I107-I106),I107)</f>
        <v>0</v>
      </c>
      <c r="K107" s="124" t="n">
        <f aca="false">IF(WEEKDAY(A107,3)&gt;4,0,(IF(A107&lt;K$2,0,IF(A107&lt;=K$3,1,0))))</f>
        <v>0</v>
      </c>
      <c r="L107" s="124" t="n">
        <f aca="false">J107*K107</f>
        <v>0</v>
      </c>
      <c r="M107" s="124" t="n">
        <f aca="false">SUM(J$97:J107)</f>
        <v>0</v>
      </c>
      <c r="N107" s="124" t="n">
        <f aca="false">SUM(J$6:J107)</f>
        <v>0</v>
      </c>
      <c r="P107" s="124" t="n">
        <f aca="false">D107/P$3</f>
        <v>0</v>
      </c>
      <c r="Q107" s="143" t="n">
        <f aca="false">E107/P$3</f>
        <v>0</v>
      </c>
      <c r="R107" s="124" t="n">
        <f aca="false">F107/R$3</f>
        <v>0</v>
      </c>
      <c r="S107" s="126" t="n">
        <f aca="false">J107/$R$3</f>
        <v>0</v>
      </c>
      <c r="T107" s="126" t="n">
        <f aca="false">L107/$R$3</f>
        <v>0</v>
      </c>
      <c r="U107" s="126" t="n">
        <f aca="false">I107/$R$3</f>
        <v>0</v>
      </c>
      <c r="V107" s="126" t="n">
        <f aca="false">M107/$R$3</f>
        <v>0</v>
      </c>
      <c r="W107" s="126" t="n">
        <f aca="false">N107/$R$3</f>
        <v>0</v>
      </c>
    </row>
    <row r="108" customFormat="false" ht="12.75" hidden="true" customHeight="false" outlineLevel="0" collapsed="false">
      <c r="A108" s="120" t="n">
        <f aca="false">A107+1</f>
        <v>36994</v>
      </c>
      <c r="B108" s="131" t="str">
        <f aca="false">INDEX('Master Data'!$A$2:$B$8,MATCH(WEEKDAY('Arg Total Power'!A108,3),'Master Data'!$A$2:$A$8,0),2)</f>
        <v>F</v>
      </c>
      <c r="D108" s="124" t="n">
        <v>0</v>
      </c>
      <c r="E108" s="124"/>
      <c r="F108" s="124" t="n">
        <v>0</v>
      </c>
      <c r="G108" s="124" t="n">
        <v>0</v>
      </c>
      <c r="I108" s="124" t="n">
        <f aca="false">IF(MONTH($A108)=MONTH($A107),IF(G108=0,I107,G108),G108)</f>
        <v>0</v>
      </c>
      <c r="J108" s="124" t="n">
        <f aca="false">IF(MONTH($A108)=MONTH($A107),SUM(I108-I107),I108)</f>
        <v>0</v>
      </c>
      <c r="K108" s="124" t="n">
        <f aca="false">IF(WEEKDAY(A108,3)&gt;4,0,(IF(A108&lt;K$2,0,IF(A108&lt;=K$3,1,0))))</f>
        <v>0</v>
      </c>
      <c r="L108" s="124" t="n">
        <f aca="false">J108*K108</f>
        <v>0</v>
      </c>
      <c r="M108" s="124" t="n">
        <f aca="false">SUM(J$97:J108)</f>
        <v>0</v>
      </c>
      <c r="N108" s="124" t="n">
        <f aca="false">SUM(J$6:J108)</f>
        <v>0</v>
      </c>
      <c r="P108" s="124" t="n">
        <f aca="false">D108/P$3</f>
        <v>0</v>
      </c>
      <c r="Q108" s="143" t="n">
        <f aca="false">E108/P$3</f>
        <v>0</v>
      </c>
      <c r="R108" s="124" t="n">
        <f aca="false">F108/R$3</f>
        <v>0</v>
      </c>
      <c r="S108" s="126" t="n">
        <f aca="false">J108/$R$3</f>
        <v>0</v>
      </c>
      <c r="T108" s="126" t="n">
        <f aca="false">L108/$R$3</f>
        <v>0</v>
      </c>
      <c r="U108" s="126" t="n">
        <f aca="false">I108/$R$3</f>
        <v>0</v>
      </c>
      <c r="V108" s="126" t="n">
        <f aca="false">M108/$R$3</f>
        <v>0</v>
      </c>
      <c r="W108" s="126" t="n">
        <f aca="false">N108/$R$3</f>
        <v>0</v>
      </c>
    </row>
    <row r="109" customFormat="false" ht="12.75" hidden="true" customHeight="false" outlineLevel="0" collapsed="false">
      <c r="A109" s="120" t="n">
        <f aca="false">A108+1</f>
        <v>36995</v>
      </c>
      <c r="B109" s="131" t="str">
        <f aca="false">INDEX('Master Data'!$A$2:$B$8,MATCH(WEEKDAY('Arg Total Power'!A109,3),'Master Data'!$A$2:$A$8,0),2)</f>
        <v>Sa</v>
      </c>
      <c r="D109" s="124" t="n">
        <v>0</v>
      </c>
      <c r="E109" s="124"/>
      <c r="F109" s="124" t="n">
        <v>0</v>
      </c>
      <c r="G109" s="124" t="n">
        <v>0</v>
      </c>
      <c r="I109" s="124" t="n">
        <f aca="false">IF(MONTH($A109)=MONTH($A108),IF(G109=0,I108,G109),G109)</f>
        <v>0</v>
      </c>
      <c r="J109" s="124" t="n">
        <f aca="false">IF(MONTH($A109)=MONTH($A108),SUM(I109-I108),I109)</f>
        <v>0</v>
      </c>
      <c r="K109" s="124" t="n">
        <f aca="false">IF(WEEKDAY(A109,3)&gt;4,0,(IF(A109&lt;K$2,0,IF(A109&lt;=K$3,1,0))))</f>
        <v>0</v>
      </c>
      <c r="L109" s="124" t="n">
        <f aca="false">J109*K109</f>
        <v>0</v>
      </c>
      <c r="M109" s="124" t="n">
        <f aca="false">SUM(J$97:J109)</f>
        <v>0</v>
      </c>
      <c r="N109" s="124" t="n">
        <f aca="false">SUM(J$6:J109)</f>
        <v>0</v>
      </c>
      <c r="P109" s="124" t="n">
        <f aca="false">D109/P$3</f>
        <v>0</v>
      </c>
      <c r="Q109" s="143" t="n">
        <f aca="false">E109/P$3</f>
        <v>0</v>
      </c>
      <c r="R109" s="124" t="n">
        <f aca="false">F109/R$3</f>
        <v>0</v>
      </c>
      <c r="S109" s="126" t="n">
        <f aca="false">J109/$R$3</f>
        <v>0</v>
      </c>
      <c r="T109" s="126" t="n">
        <f aca="false">L109/$R$3</f>
        <v>0</v>
      </c>
      <c r="U109" s="126" t="n">
        <f aca="false">I109/$R$3</f>
        <v>0</v>
      </c>
      <c r="V109" s="126" t="n">
        <f aca="false">M109/$R$3</f>
        <v>0</v>
      </c>
      <c r="W109" s="126" t="n">
        <f aca="false">N109/$R$3</f>
        <v>0</v>
      </c>
    </row>
    <row r="110" customFormat="false" ht="12.75" hidden="true" customHeight="false" outlineLevel="0" collapsed="false">
      <c r="A110" s="120" t="n">
        <f aca="false">A109+1</f>
        <v>36996</v>
      </c>
      <c r="B110" s="131" t="str">
        <f aca="false">INDEX('Master Data'!$A$2:$B$8,MATCH(WEEKDAY('Arg Total Power'!A110,3),'Master Data'!$A$2:$A$8,0),2)</f>
        <v>Su</v>
      </c>
      <c r="D110" s="124" t="n">
        <v>0</v>
      </c>
      <c r="E110" s="124"/>
      <c r="F110" s="124" t="n">
        <v>0</v>
      </c>
      <c r="G110" s="124" t="n">
        <v>0</v>
      </c>
      <c r="I110" s="124" t="n">
        <f aca="false">IF(MONTH($A110)=MONTH($A109),IF(G110=0,I109,G110),G110)</f>
        <v>0</v>
      </c>
      <c r="J110" s="124" t="n">
        <f aca="false">IF(MONTH($A110)=MONTH($A109),SUM(I110-I109),I110)</f>
        <v>0</v>
      </c>
      <c r="K110" s="124" t="n">
        <f aca="false">IF(WEEKDAY(A110,3)&gt;4,0,(IF(A110&lt;K$2,0,IF(A110&lt;=K$3,1,0))))</f>
        <v>0</v>
      </c>
      <c r="L110" s="124" t="n">
        <f aca="false">J110*K110</f>
        <v>0</v>
      </c>
      <c r="M110" s="124" t="n">
        <f aca="false">SUM(J$97:J110)</f>
        <v>0</v>
      </c>
      <c r="N110" s="124" t="n">
        <f aca="false">SUM(J$6:J110)</f>
        <v>0</v>
      </c>
      <c r="P110" s="124" t="n">
        <f aca="false">D110/P$3</f>
        <v>0</v>
      </c>
      <c r="Q110" s="143" t="n">
        <f aca="false">E110/P$3</f>
        <v>0</v>
      </c>
      <c r="R110" s="124" t="n">
        <f aca="false">F110/R$3</f>
        <v>0</v>
      </c>
      <c r="S110" s="126" t="n">
        <f aca="false">J110/$R$3</f>
        <v>0</v>
      </c>
      <c r="T110" s="126" t="n">
        <f aca="false">L110/$R$3</f>
        <v>0</v>
      </c>
      <c r="U110" s="126" t="n">
        <f aca="false">I110/$R$3</f>
        <v>0</v>
      </c>
      <c r="V110" s="126" t="n">
        <f aca="false">M110/$R$3</f>
        <v>0</v>
      </c>
      <c r="W110" s="126" t="n">
        <f aca="false">N110/$R$3</f>
        <v>0</v>
      </c>
    </row>
    <row r="111" customFormat="false" ht="12.75" hidden="true" customHeight="false" outlineLevel="0" collapsed="false">
      <c r="A111" s="120" t="n">
        <f aca="false">A110+1</f>
        <v>36997</v>
      </c>
      <c r="B111" s="131" t="str">
        <f aca="false">INDEX('Master Data'!$A$2:$B$8,MATCH(WEEKDAY('Arg Total Power'!A111,3),'Master Data'!$A$2:$A$8,0),2)</f>
        <v>M</v>
      </c>
      <c r="D111" s="124" t="n">
        <v>0</v>
      </c>
      <c r="E111" s="124"/>
      <c r="F111" s="124" t="n">
        <v>0</v>
      </c>
      <c r="G111" s="124" t="n">
        <v>0</v>
      </c>
      <c r="I111" s="124" t="n">
        <f aca="false">IF(MONTH($A111)=MONTH($A110),IF(G111=0,I110,G111),G111)</f>
        <v>0</v>
      </c>
      <c r="J111" s="124" t="n">
        <f aca="false">IF(MONTH($A111)=MONTH($A110),SUM(I111-I110),I111)</f>
        <v>0</v>
      </c>
      <c r="K111" s="124" t="n">
        <f aca="false">IF(WEEKDAY(A111,3)&gt;4,0,(IF(A111&lt;K$2,0,IF(A111&lt;=K$3,1,0))))</f>
        <v>0</v>
      </c>
      <c r="L111" s="124" t="n">
        <f aca="false">J111*K111</f>
        <v>0</v>
      </c>
      <c r="M111" s="124" t="n">
        <f aca="false">SUM(J$97:J111)</f>
        <v>0</v>
      </c>
      <c r="N111" s="124" t="n">
        <f aca="false">SUM(J$6:J111)</f>
        <v>0</v>
      </c>
      <c r="P111" s="124" t="n">
        <f aca="false">D111/P$3</f>
        <v>0</v>
      </c>
      <c r="Q111" s="143" t="n">
        <f aca="false">E111/P$3</f>
        <v>0</v>
      </c>
      <c r="R111" s="124" t="n">
        <f aca="false">F111/R$3</f>
        <v>0</v>
      </c>
      <c r="S111" s="126" t="n">
        <f aca="false">J111/$R$3</f>
        <v>0</v>
      </c>
      <c r="T111" s="126" t="n">
        <f aca="false">L111/$R$3</f>
        <v>0</v>
      </c>
      <c r="U111" s="126" t="n">
        <f aca="false">I111/$R$3</f>
        <v>0</v>
      </c>
      <c r="V111" s="126" t="n">
        <f aca="false">M111/$R$3</f>
        <v>0</v>
      </c>
      <c r="W111" s="126" t="n">
        <f aca="false">N111/$R$3</f>
        <v>0</v>
      </c>
    </row>
    <row r="112" customFormat="false" ht="12.75" hidden="true" customHeight="false" outlineLevel="0" collapsed="false">
      <c r="A112" s="120" t="n">
        <f aca="false">A111+1</f>
        <v>36998</v>
      </c>
      <c r="B112" s="131" t="str">
        <f aca="false">INDEX('Master Data'!$A$2:$B$8,MATCH(WEEKDAY('Arg Total Power'!A112,3),'Master Data'!$A$2:$A$8,0),2)</f>
        <v>T</v>
      </c>
      <c r="D112" s="124" t="n">
        <v>0</v>
      </c>
      <c r="E112" s="124"/>
      <c r="F112" s="124" t="n">
        <v>0</v>
      </c>
      <c r="G112" s="124" t="n">
        <v>0</v>
      </c>
      <c r="I112" s="124" t="n">
        <f aca="false">IF(MONTH($A112)=MONTH($A111),IF(G112=0,I111,G112),G112)</f>
        <v>0</v>
      </c>
      <c r="J112" s="124" t="n">
        <f aca="false">IF(MONTH($A112)=MONTH($A111),SUM(I112-I111),I112)</f>
        <v>0</v>
      </c>
      <c r="K112" s="124" t="n">
        <f aca="false">IF(WEEKDAY(A112,3)&gt;4,0,(IF(A112&lt;K$2,0,IF(A112&lt;=K$3,1,0))))</f>
        <v>0</v>
      </c>
      <c r="L112" s="124" t="n">
        <f aca="false">J112*K112</f>
        <v>0</v>
      </c>
      <c r="M112" s="124" t="n">
        <f aca="false">SUM(J$97:J112)</f>
        <v>0</v>
      </c>
      <c r="N112" s="124" t="n">
        <f aca="false">SUM(J$6:J112)</f>
        <v>0</v>
      </c>
      <c r="P112" s="124" t="n">
        <f aca="false">D112/P$3</f>
        <v>0</v>
      </c>
      <c r="Q112" s="143" t="n">
        <f aca="false">E112/P$3</f>
        <v>0</v>
      </c>
      <c r="R112" s="124" t="n">
        <f aca="false">F112/R$3</f>
        <v>0</v>
      </c>
      <c r="S112" s="126" t="n">
        <f aca="false">J112/$R$3</f>
        <v>0</v>
      </c>
      <c r="T112" s="126" t="n">
        <f aca="false">L112/$R$3</f>
        <v>0</v>
      </c>
      <c r="U112" s="126" t="n">
        <f aca="false">I112/$R$3</f>
        <v>0</v>
      </c>
      <c r="V112" s="126" t="n">
        <f aca="false">M112/$R$3</f>
        <v>0</v>
      </c>
      <c r="W112" s="126" t="n">
        <f aca="false">N112/$R$3</f>
        <v>0</v>
      </c>
    </row>
    <row r="113" customFormat="false" ht="12.75" hidden="true" customHeight="false" outlineLevel="0" collapsed="false">
      <c r="A113" s="120" t="n">
        <f aca="false">A112+1</f>
        <v>36999</v>
      </c>
      <c r="B113" s="131" t="str">
        <f aca="false">INDEX('Master Data'!$A$2:$B$8,MATCH(WEEKDAY('Arg Total Power'!A113,3),'Master Data'!$A$2:$A$8,0),2)</f>
        <v>W</v>
      </c>
      <c r="D113" s="124" t="n">
        <v>0</v>
      </c>
      <c r="E113" s="124"/>
      <c r="F113" s="124" t="n">
        <v>0</v>
      </c>
      <c r="G113" s="124" t="n">
        <v>0</v>
      </c>
      <c r="I113" s="124" t="n">
        <f aca="false">IF(MONTH($A113)=MONTH($A112),IF(G113=0,I112,G113),G113)</f>
        <v>0</v>
      </c>
      <c r="J113" s="124" t="n">
        <f aca="false">IF(MONTH($A113)=MONTH($A112),SUM(I113-I112),I113)</f>
        <v>0</v>
      </c>
      <c r="K113" s="124" t="n">
        <f aca="false">IF(WEEKDAY(A113,3)&gt;4,0,(IF(A113&lt;K$2,0,IF(A113&lt;=K$3,1,0))))</f>
        <v>0</v>
      </c>
      <c r="L113" s="124" t="n">
        <f aca="false">J113*K113</f>
        <v>0</v>
      </c>
      <c r="M113" s="124" t="n">
        <f aca="false">SUM(J$97:J113)</f>
        <v>0</v>
      </c>
      <c r="N113" s="124" t="n">
        <f aca="false">SUM(J$6:J113)</f>
        <v>0</v>
      </c>
      <c r="P113" s="124" t="n">
        <f aca="false">D113/P$3</f>
        <v>0</v>
      </c>
      <c r="Q113" s="143" t="n">
        <f aca="false">E113/P$3</f>
        <v>0</v>
      </c>
      <c r="R113" s="124" t="n">
        <f aca="false">F113/R$3</f>
        <v>0</v>
      </c>
      <c r="S113" s="126" t="n">
        <f aca="false">J113/$R$3</f>
        <v>0</v>
      </c>
      <c r="T113" s="126" t="n">
        <f aca="false">L113/$R$3</f>
        <v>0</v>
      </c>
      <c r="U113" s="126" t="n">
        <f aca="false">I113/$R$3</f>
        <v>0</v>
      </c>
      <c r="V113" s="126" t="n">
        <f aca="false">M113/$R$3</f>
        <v>0</v>
      </c>
      <c r="W113" s="126" t="n">
        <f aca="false">N113/$R$3</f>
        <v>0</v>
      </c>
    </row>
    <row r="114" customFormat="false" ht="12.75" hidden="true" customHeight="false" outlineLevel="0" collapsed="false">
      <c r="A114" s="120" t="n">
        <f aca="false">A113+1</f>
        <v>37000</v>
      </c>
      <c r="B114" s="131" t="str">
        <f aca="false">INDEX('Master Data'!$A$2:$B$8,MATCH(WEEKDAY('Arg Total Power'!A114,3),'Master Data'!$A$2:$A$8,0),2)</f>
        <v>Th</v>
      </c>
      <c r="D114" s="124" t="n">
        <v>0</v>
      </c>
      <c r="E114" s="124"/>
      <c r="F114" s="124" t="n">
        <v>0</v>
      </c>
      <c r="G114" s="124" t="n">
        <v>0</v>
      </c>
      <c r="I114" s="124" t="n">
        <f aca="false">IF(MONTH($A114)=MONTH($A113),IF(G114=0,I113,G114),G114)</f>
        <v>0</v>
      </c>
      <c r="J114" s="124" t="n">
        <f aca="false">IF(MONTH($A114)=MONTH($A113),SUM(I114-I113),I114)</f>
        <v>0</v>
      </c>
      <c r="K114" s="124" t="n">
        <f aca="false">IF(WEEKDAY(A114,3)&gt;4,0,(IF(A114&lt;K$2,0,IF(A114&lt;=K$3,1,0))))</f>
        <v>0</v>
      </c>
      <c r="L114" s="124" t="n">
        <f aca="false">J114*K114</f>
        <v>0</v>
      </c>
      <c r="M114" s="124" t="n">
        <f aca="false">SUM(J$97:J114)</f>
        <v>0</v>
      </c>
      <c r="N114" s="124" t="n">
        <f aca="false">SUM(J$6:J114)</f>
        <v>0</v>
      </c>
      <c r="P114" s="124" t="n">
        <f aca="false">D114/P$3</f>
        <v>0</v>
      </c>
      <c r="Q114" s="143" t="n">
        <f aca="false">E114/P$3</f>
        <v>0</v>
      </c>
      <c r="R114" s="124" t="n">
        <f aca="false">F114/R$3</f>
        <v>0</v>
      </c>
      <c r="S114" s="126" t="n">
        <f aca="false">J114/$R$3</f>
        <v>0</v>
      </c>
      <c r="T114" s="126" t="n">
        <f aca="false">L114/$R$3</f>
        <v>0</v>
      </c>
      <c r="U114" s="126" t="n">
        <f aca="false">I114/$R$3</f>
        <v>0</v>
      </c>
      <c r="V114" s="126" t="n">
        <f aca="false">M114/$R$3</f>
        <v>0</v>
      </c>
      <c r="W114" s="126" t="n">
        <f aca="false">N114/$R$3</f>
        <v>0</v>
      </c>
    </row>
    <row r="115" customFormat="false" ht="12.75" hidden="true" customHeight="false" outlineLevel="0" collapsed="false">
      <c r="A115" s="120" t="n">
        <f aca="false">A114+1</f>
        <v>37001</v>
      </c>
      <c r="B115" s="131" t="str">
        <f aca="false">INDEX('Master Data'!$A$2:$B$8,MATCH(WEEKDAY('Arg Total Power'!A115,3),'Master Data'!$A$2:$A$8,0),2)</f>
        <v>F</v>
      </c>
      <c r="D115" s="124" t="n">
        <v>0</v>
      </c>
      <c r="E115" s="124"/>
      <c r="F115" s="124" t="n">
        <v>0</v>
      </c>
      <c r="G115" s="124" t="n">
        <v>0</v>
      </c>
      <c r="I115" s="124" t="n">
        <f aca="false">IF(MONTH($A115)=MONTH($A114),IF(G115=0,I114,G115),G115)</f>
        <v>0</v>
      </c>
      <c r="J115" s="124" t="n">
        <f aca="false">IF(MONTH($A115)=MONTH($A114),SUM(I115-I114),I115)</f>
        <v>0</v>
      </c>
      <c r="K115" s="124" t="n">
        <f aca="false">IF(WEEKDAY(A115,3)&gt;4,0,(IF(A115&lt;K$2,0,IF(A115&lt;=K$3,1,0))))</f>
        <v>0</v>
      </c>
      <c r="L115" s="124" t="n">
        <f aca="false">J115*K115</f>
        <v>0</v>
      </c>
      <c r="M115" s="124" t="n">
        <f aca="false">SUM(J$97:J115)</f>
        <v>0</v>
      </c>
      <c r="N115" s="124" t="n">
        <f aca="false">SUM(J$6:J115)</f>
        <v>0</v>
      </c>
      <c r="P115" s="124" t="n">
        <f aca="false">D115/P$3</f>
        <v>0</v>
      </c>
      <c r="Q115" s="143" t="n">
        <f aca="false">E115/P$3</f>
        <v>0</v>
      </c>
      <c r="R115" s="124" t="n">
        <f aca="false">F115/R$3</f>
        <v>0</v>
      </c>
      <c r="S115" s="126" t="n">
        <f aca="false">J115/$R$3</f>
        <v>0</v>
      </c>
      <c r="T115" s="126" t="n">
        <f aca="false">L115/$R$3</f>
        <v>0</v>
      </c>
      <c r="U115" s="126" t="n">
        <f aca="false">I115/$R$3</f>
        <v>0</v>
      </c>
      <c r="V115" s="126" t="n">
        <f aca="false">M115/$R$3</f>
        <v>0</v>
      </c>
      <c r="W115" s="126" t="n">
        <f aca="false">N115/$R$3</f>
        <v>0</v>
      </c>
    </row>
    <row r="116" customFormat="false" ht="12.75" hidden="true" customHeight="false" outlineLevel="0" collapsed="false">
      <c r="A116" s="120" t="n">
        <f aca="false">A115+1</f>
        <v>37002</v>
      </c>
      <c r="B116" s="131" t="str">
        <f aca="false">INDEX('Master Data'!$A$2:$B$8,MATCH(WEEKDAY('Arg Total Power'!A116,3),'Master Data'!$A$2:$A$8,0),2)</f>
        <v>Sa</v>
      </c>
      <c r="D116" s="124" t="n">
        <v>0</v>
      </c>
      <c r="E116" s="124"/>
      <c r="F116" s="124" t="n">
        <v>0</v>
      </c>
      <c r="G116" s="124" t="n">
        <v>0</v>
      </c>
      <c r="I116" s="124" t="n">
        <f aca="false">IF(MONTH($A116)=MONTH($A115),IF(G116=0,I115,G116),G116)</f>
        <v>0</v>
      </c>
      <c r="J116" s="124" t="n">
        <f aca="false">IF(MONTH($A116)=MONTH($A115),SUM(I116-I115),I116)</f>
        <v>0</v>
      </c>
      <c r="K116" s="124" t="n">
        <f aca="false">IF(WEEKDAY(A116,3)&gt;4,0,(IF(A116&lt;K$2,0,IF(A116&lt;=K$3,1,0))))</f>
        <v>0</v>
      </c>
      <c r="L116" s="124" t="n">
        <f aca="false">J116*K116</f>
        <v>0</v>
      </c>
      <c r="M116" s="124" t="n">
        <f aca="false">SUM(J$97:J116)</f>
        <v>0</v>
      </c>
      <c r="N116" s="124" t="n">
        <f aca="false">SUM(J$6:J116)</f>
        <v>0</v>
      </c>
      <c r="P116" s="124" t="n">
        <f aca="false">D116/P$3</f>
        <v>0</v>
      </c>
      <c r="Q116" s="143" t="n">
        <f aca="false">E116/P$3</f>
        <v>0</v>
      </c>
      <c r="R116" s="124" t="n">
        <f aca="false">F116/R$3</f>
        <v>0</v>
      </c>
      <c r="S116" s="126" t="n">
        <f aca="false">J116/$R$3</f>
        <v>0</v>
      </c>
      <c r="T116" s="126" t="n">
        <f aca="false">L116/$R$3</f>
        <v>0</v>
      </c>
      <c r="U116" s="126" t="n">
        <f aca="false">I116/$R$3</f>
        <v>0</v>
      </c>
      <c r="V116" s="126" t="n">
        <f aca="false">M116/$R$3</f>
        <v>0</v>
      </c>
      <c r="W116" s="126" t="n">
        <f aca="false">N116/$R$3</f>
        <v>0</v>
      </c>
    </row>
    <row r="117" customFormat="false" ht="12.75" hidden="true" customHeight="false" outlineLevel="0" collapsed="false">
      <c r="A117" s="120" t="n">
        <f aca="false">A116+1</f>
        <v>37003</v>
      </c>
      <c r="B117" s="131" t="str">
        <f aca="false">INDEX('Master Data'!$A$2:$B$8,MATCH(WEEKDAY('Arg Total Power'!A117,3),'Master Data'!$A$2:$A$8,0),2)</f>
        <v>Su</v>
      </c>
      <c r="D117" s="124" t="n">
        <v>0</v>
      </c>
      <c r="E117" s="124"/>
      <c r="F117" s="124" t="n">
        <v>0</v>
      </c>
      <c r="G117" s="124" t="n">
        <v>0</v>
      </c>
      <c r="I117" s="124" t="n">
        <f aca="false">IF(MONTH($A117)=MONTH($A116),IF(G117=0,I116,G117),G117)</f>
        <v>0</v>
      </c>
      <c r="J117" s="124" t="n">
        <f aca="false">IF(MONTH($A117)=MONTH($A116),SUM(I117-I116),I117)</f>
        <v>0</v>
      </c>
      <c r="K117" s="124" t="n">
        <f aca="false">IF(WEEKDAY(A117,3)&gt;4,0,(IF(A117&lt;K$2,0,IF(A117&lt;=K$3,1,0))))</f>
        <v>0</v>
      </c>
      <c r="L117" s="124" t="n">
        <f aca="false">J117*K117</f>
        <v>0</v>
      </c>
      <c r="M117" s="124" t="n">
        <f aca="false">SUM(J$97:J117)</f>
        <v>0</v>
      </c>
      <c r="N117" s="124" t="n">
        <f aca="false">SUM(J$6:J117)</f>
        <v>0</v>
      </c>
      <c r="P117" s="124" t="n">
        <f aca="false">D117/P$3</f>
        <v>0</v>
      </c>
      <c r="Q117" s="143" t="n">
        <f aca="false">E117/P$3</f>
        <v>0</v>
      </c>
      <c r="R117" s="124" t="n">
        <f aca="false">F117/R$3</f>
        <v>0</v>
      </c>
      <c r="S117" s="126" t="n">
        <f aca="false">J117/$R$3</f>
        <v>0</v>
      </c>
      <c r="T117" s="126" t="n">
        <f aca="false">L117/$R$3</f>
        <v>0</v>
      </c>
      <c r="U117" s="126" t="n">
        <f aca="false">I117/$R$3</f>
        <v>0</v>
      </c>
      <c r="V117" s="126" t="n">
        <f aca="false">M117/$R$3</f>
        <v>0</v>
      </c>
      <c r="W117" s="126" t="n">
        <f aca="false">N117/$R$3</f>
        <v>0</v>
      </c>
    </row>
    <row r="118" customFormat="false" ht="12.75" hidden="true" customHeight="false" outlineLevel="0" collapsed="false">
      <c r="A118" s="120" t="n">
        <f aca="false">A117+1</f>
        <v>37004</v>
      </c>
      <c r="B118" s="131" t="str">
        <f aca="false">INDEX('Master Data'!$A$2:$B$8,MATCH(WEEKDAY('Arg Total Power'!A118,3),'Master Data'!$A$2:$A$8,0),2)</f>
        <v>M</v>
      </c>
      <c r="D118" s="124" t="n">
        <v>0</v>
      </c>
      <c r="E118" s="124"/>
      <c r="F118" s="124" t="n">
        <v>0</v>
      </c>
      <c r="G118" s="124" t="n">
        <v>0</v>
      </c>
      <c r="I118" s="124" t="n">
        <f aca="false">IF(MONTH($A118)=MONTH($A117),IF(G118=0,I117,G118),G118)</f>
        <v>0</v>
      </c>
      <c r="J118" s="124" t="n">
        <f aca="false">IF(MONTH($A118)=MONTH($A117),SUM(I118-I117),I118)</f>
        <v>0</v>
      </c>
      <c r="K118" s="124" t="n">
        <f aca="false">IF(WEEKDAY(A118,3)&gt;4,0,(IF(A118&lt;K$2,0,IF(A118&lt;=K$3,1,0))))</f>
        <v>0</v>
      </c>
      <c r="L118" s="124" t="n">
        <f aca="false">J118*K118</f>
        <v>0</v>
      </c>
      <c r="M118" s="124" t="n">
        <f aca="false">SUM(J$97:J118)</f>
        <v>0</v>
      </c>
      <c r="N118" s="124" t="n">
        <f aca="false">SUM(J$6:J118)</f>
        <v>0</v>
      </c>
      <c r="P118" s="124" t="n">
        <f aca="false">D118/P$3</f>
        <v>0</v>
      </c>
      <c r="Q118" s="143" t="n">
        <f aca="false">E118/P$3</f>
        <v>0</v>
      </c>
      <c r="R118" s="124" t="n">
        <f aca="false">F118/R$3</f>
        <v>0</v>
      </c>
      <c r="S118" s="126" t="n">
        <f aca="false">J118/$R$3</f>
        <v>0</v>
      </c>
      <c r="T118" s="126" t="n">
        <f aca="false">L118/$R$3</f>
        <v>0</v>
      </c>
      <c r="U118" s="126" t="n">
        <f aca="false">I118/$R$3</f>
        <v>0</v>
      </c>
      <c r="V118" s="126" t="n">
        <f aca="false">M118/$R$3</f>
        <v>0</v>
      </c>
      <c r="W118" s="126" t="n">
        <f aca="false">N118/$R$3</f>
        <v>0</v>
      </c>
    </row>
    <row r="119" customFormat="false" ht="12.75" hidden="true" customHeight="false" outlineLevel="0" collapsed="false">
      <c r="A119" s="120" t="n">
        <f aca="false">A118+1</f>
        <v>37005</v>
      </c>
      <c r="B119" s="131" t="str">
        <f aca="false">INDEX('Master Data'!$A$2:$B$8,MATCH(WEEKDAY('Arg Total Power'!A119,3),'Master Data'!$A$2:$A$8,0),2)</f>
        <v>T</v>
      </c>
      <c r="D119" s="124" t="n">
        <v>0</v>
      </c>
      <c r="E119" s="124"/>
      <c r="F119" s="124" t="n">
        <v>0</v>
      </c>
      <c r="G119" s="124" t="n">
        <v>0</v>
      </c>
      <c r="I119" s="124" t="n">
        <f aca="false">IF(MONTH($A119)=MONTH($A118),IF(G119=0,I118,G119),G119)</f>
        <v>0</v>
      </c>
      <c r="J119" s="124" t="n">
        <f aca="false">IF(MONTH($A119)=MONTH($A118),SUM(I119-I118),I119)</f>
        <v>0</v>
      </c>
      <c r="K119" s="124" t="n">
        <f aca="false">IF(WEEKDAY(A119,3)&gt;4,0,(IF(A119&lt;K$2,0,IF(A119&lt;=K$3,1,0))))</f>
        <v>0</v>
      </c>
      <c r="L119" s="124" t="n">
        <f aca="false">J119*K119</f>
        <v>0</v>
      </c>
      <c r="M119" s="124" t="n">
        <f aca="false">SUM(J$97:J119)</f>
        <v>0</v>
      </c>
      <c r="N119" s="124" t="n">
        <f aca="false">SUM(J$6:J119)</f>
        <v>0</v>
      </c>
      <c r="P119" s="124" t="n">
        <f aca="false">D119/P$3</f>
        <v>0</v>
      </c>
      <c r="Q119" s="143" t="n">
        <f aca="false">E119/P$3</f>
        <v>0</v>
      </c>
      <c r="R119" s="124" t="n">
        <f aca="false">F119/R$3</f>
        <v>0</v>
      </c>
      <c r="S119" s="126" t="n">
        <f aca="false">J119/$R$3</f>
        <v>0</v>
      </c>
      <c r="T119" s="126" t="n">
        <f aca="false">L119/$R$3</f>
        <v>0</v>
      </c>
      <c r="U119" s="126" t="n">
        <f aca="false">I119/$R$3</f>
        <v>0</v>
      </c>
      <c r="V119" s="126" t="n">
        <f aca="false">M119/$R$3</f>
        <v>0</v>
      </c>
      <c r="W119" s="126" t="n">
        <f aca="false">N119/$R$3</f>
        <v>0</v>
      </c>
    </row>
    <row r="120" customFormat="false" ht="12.75" hidden="true" customHeight="false" outlineLevel="0" collapsed="false">
      <c r="A120" s="120" t="n">
        <f aca="false">A119+1</f>
        <v>37006</v>
      </c>
      <c r="B120" s="131" t="str">
        <f aca="false">INDEX('Master Data'!$A$2:$B$8,MATCH(WEEKDAY('Arg Total Power'!A120,3),'Master Data'!$A$2:$A$8,0),2)</f>
        <v>W</v>
      </c>
      <c r="D120" s="124" t="n">
        <v>0</v>
      </c>
      <c r="E120" s="124"/>
      <c r="F120" s="124" t="n">
        <v>0</v>
      </c>
      <c r="G120" s="124" t="n">
        <v>0</v>
      </c>
      <c r="I120" s="124" t="n">
        <f aca="false">IF(MONTH($A120)=MONTH($A119),IF(G120=0,I119,G120),G120)</f>
        <v>0</v>
      </c>
      <c r="J120" s="124" t="n">
        <f aca="false">IF(MONTH($A120)=MONTH($A119),SUM(I120-I119),I120)</f>
        <v>0</v>
      </c>
      <c r="K120" s="124" t="n">
        <f aca="false">IF(WEEKDAY(A120,3)&gt;4,0,(IF(A120&lt;K$2,0,IF(A120&lt;=K$3,1,0))))</f>
        <v>0</v>
      </c>
      <c r="L120" s="124" t="n">
        <f aca="false">J120*K120</f>
        <v>0</v>
      </c>
      <c r="M120" s="124" t="n">
        <f aca="false">SUM(J$97:J120)</f>
        <v>0</v>
      </c>
      <c r="N120" s="124" t="n">
        <f aca="false">SUM(J$6:J120)</f>
        <v>0</v>
      </c>
      <c r="P120" s="124" t="n">
        <f aca="false">D120/P$3</f>
        <v>0</v>
      </c>
      <c r="Q120" s="143" t="n">
        <f aca="false">E120/P$3</f>
        <v>0</v>
      </c>
      <c r="R120" s="124" t="n">
        <f aca="false">F120/R$3</f>
        <v>0</v>
      </c>
      <c r="S120" s="126" t="n">
        <f aca="false">J120/$R$3</f>
        <v>0</v>
      </c>
      <c r="T120" s="126" t="n">
        <f aca="false">L120/$R$3</f>
        <v>0</v>
      </c>
      <c r="U120" s="126" t="n">
        <f aca="false">I120/$R$3</f>
        <v>0</v>
      </c>
      <c r="V120" s="126" t="n">
        <f aca="false">M120/$R$3</f>
        <v>0</v>
      </c>
      <c r="W120" s="126" t="n">
        <f aca="false">N120/$R$3</f>
        <v>0</v>
      </c>
    </row>
    <row r="121" customFormat="false" ht="12.75" hidden="true" customHeight="false" outlineLevel="0" collapsed="false">
      <c r="A121" s="120" t="n">
        <f aca="false">A120+1</f>
        <v>37007</v>
      </c>
      <c r="B121" s="131" t="str">
        <f aca="false">INDEX('Master Data'!$A$2:$B$8,MATCH(WEEKDAY('Arg Total Power'!A121,3),'Master Data'!$A$2:$A$8,0),2)</f>
        <v>Th</v>
      </c>
      <c r="D121" s="124" t="n">
        <v>0</v>
      </c>
      <c r="E121" s="124"/>
      <c r="F121" s="124" t="n">
        <v>0</v>
      </c>
      <c r="G121" s="124" t="n">
        <v>0</v>
      </c>
      <c r="I121" s="124" t="n">
        <f aca="false">IF(MONTH($A121)=MONTH($A120),IF(G121=0,I120,G121),G121)</f>
        <v>0</v>
      </c>
      <c r="J121" s="124" t="n">
        <f aca="false">IF(MONTH($A121)=MONTH($A120),SUM(I121-I120),I121)</f>
        <v>0</v>
      </c>
      <c r="K121" s="124" t="n">
        <f aca="false">IF(WEEKDAY(A121,3)&gt;4,0,(IF(A121&lt;K$2,0,IF(A121&lt;=K$3,1,0))))</f>
        <v>0</v>
      </c>
      <c r="L121" s="124" t="n">
        <f aca="false">J121*K121</f>
        <v>0</v>
      </c>
      <c r="M121" s="124" t="n">
        <f aca="false">SUM(J$97:J121)</f>
        <v>0</v>
      </c>
      <c r="N121" s="124" t="n">
        <f aca="false">SUM(J$6:J121)</f>
        <v>0</v>
      </c>
      <c r="P121" s="124" t="n">
        <f aca="false">D121/P$3</f>
        <v>0</v>
      </c>
      <c r="Q121" s="143" t="n">
        <f aca="false">E121/P$3</f>
        <v>0</v>
      </c>
      <c r="R121" s="124" t="n">
        <f aca="false">F121/R$3</f>
        <v>0</v>
      </c>
      <c r="S121" s="126" t="n">
        <f aca="false">J121/$R$3</f>
        <v>0</v>
      </c>
      <c r="T121" s="126" t="n">
        <f aca="false">L121/$R$3</f>
        <v>0</v>
      </c>
      <c r="U121" s="126" t="n">
        <f aca="false">I121/$R$3</f>
        <v>0</v>
      </c>
      <c r="V121" s="126" t="n">
        <f aca="false">M121/$R$3</f>
        <v>0</v>
      </c>
      <c r="W121" s="126" t="n">
        <f aca="false">N121/$R$3</f>
        <v>0</v>
      </c>
    </row>
    <row r="122" customFormat="false" ht="12.75" hidden="true" customHeight="false" outlineLevel="0" collapsed="false">
      <c r="A122" s="120" t="n">
        <f aca="false">A121+1</f>
        <v>37008</v>
      </c>
      <c r="B122" s="131" t="str">
        <f aca="false">INDEX('Master Data'!$A$2:$B$8,MATCH(WEEKDAY('Arg Total Power'!A122,3),'Master Data'!$A$2:$A$8,0),2)</f>
        <v>F</v>
      </c>
      <c r="D122" s="124" t="n">
        <v>0</v>
      </c>
      <c r="E122" s="124"/>
      <c r="F122" s="124" t="n">
        <v>0</v>
      </c>
      <c r="G122" s="124" t="n">
        <v>0</v>
      </c>
      <c r="I122" s="124" t="n">
        <f aca="false">IF(MONTH($A122)=MONTH($A121),IF(G122=0,I121,G122),G122)</f>
        <v>0</v>
      </c>
      <c r="J122" s="124" t="n">
        <f aca="false">IF(MONTH($A122)=MONTH($A121),SUM(I122-I121),I122)</f>
        <v>0</v>
      </c>
      <c r="K122" s="124" t="n">
        <f aca="false">IF(WEEKDAY(A122,3)&gt;4,0,(IF(A122&lt;K$2,0,IF(A122&lt;=K$3,1,0))))</f>
        <v>0</v>
      </c>
      <c r="L122" s="124" t="n">
        <f aca="false">J122*K122</f>
        <v>0</v>
      </c>
      <c r="M122" s="124" t="n">
        <f aca="false">SUM(J$97:J122)</f>
        <v>0</v>
      </c>
      <c r="N122" s="124" t="n">
        <f aca="false">SUM(J$6:J122)</f>
        <v>0</v>
      </c>
      <c r="P122" s="124" t="n">
        <f aca="false">D122/P$3</f>
        <v>0</v>
      </c>
      <c r="Q122" s="143" t="n">
        <f aca="false">E122/P$3</f>
        <v>0</v>
      </c>
      <c r="R122" s="124" t="n">
        <f aca="false">F122/R$3</f>
        <v>0</v>
      </c>
      <c r="S122" s="126" t="n">
        <f aca="false">J122/$R$3</f>
        <v>0</v>
      </c>
      <c r="T122" s="126" t="n">
        <f aca="false">L122/$R$3</f>
        <v>0</v>
      </c>
      <c r="U122" s="126" t="n">
        <f aca="false">I122/$R$3</f>
        <v>0</v>
      </c>
      <c r="V122" s="126" t="n">
        <f aca="false">M122/$R$3</f>
        <v>0</v>
      </c>
      <c r="W122" s="126" t="n">
        <f aca="false">N122/$R$3</f>
        <v>0</v>
      </c>
    </row>
    <row r="123" customFormat="false" ht="12.75" hidden="true" customHeight="false" outlineLevel="0" collapsed="false">
      <c r="A123" s="120" t="n">
        <f aca="false">A122+1</f>
        <v>37009</v>
      </c>
      <c r="B123" s="131" t="str">
        <f aca="false">INDEX('Master Data'!$A$2:$B$8,MATCH(WEEKDAY('Arg Total Power'!A123,3),'Master Data'!$A$2:$A$8,0),2)</f>
        <v>Sa</v>
      </c>
      <c r="D123" s="124" t="n">
        <v>0</v>
      </c>
      <c r="E123" s="124"/>
      <c r="F123" s="124" t="n">
        <v>0</v>
      </c>
      <c r="G123" s="124" t="n">
        <v>0</v>
      </c>
      <c r="I123" s="124" t="n">
        <f aca="false">IF(MONTH($A123)=MONTH($A122),IF(G123=0,I122,G123),G123)</f>
        <v>0</v>
      </c>
      <c r="J123" s="124" t="n">
        <f aca="false">IF(MONTH($A123)=MONTH($A122),SUM(I123-I122),I123)</f>
        <v>0</v>
      </c>
      <c r="K123" s="124" t="n">
        <f aca="false">IF(WEEKDAY(A123,3)&gt;4,0,(IF(A123&lt;K$2,0,IF(A123&lt;=K$3,1,0))))</f>
        <v>0</v>
      </c>
      <c r="L123" s="124" t="n">
        <f aca="false">J123*K123</f>
        <v>0</v>
      </c>
      <c r="M123" s="124" t="n">
        <f aca="false">SUM(J$97:J123)</f>
        <v>0</v>
      </c>
      <c r="N123" s="124" t="n">
        <f aca="false">SUM(J$6:J123)</f>
        <v>0</v>
      </c>
      <c r="P123" s="124" t="n">
        <f aca="false">D123/P$3</f>
        <v>0</v>
      </c>
      <c r="Q123" s="143" t="n">
        <f aca="false">E123/P$3</f>
        <v>0</v>
      </c>
      <c r="R123" s="124" t="n">
        <f aca="false">F123/R$3</f>
        <v>0</v>
      </c>
      <c r="S123" s="126" t="n">
        <f aca="false">J123/$R$3</f>
        <v>0</v>
      </c>
      <c r="T123" s="126" t="n">
        <f aca="false">L123/$R$3</f>
        <v>0</v>
      </c>
      <c r="U123" s="126" t="n">
        <f aca="false">I123/$R$3</f>
        <v>0</v>
      </c>
      <c r="V123" s="126" t="n">
        <f aca="false">M123/$R$3</f>
        <v>0</v>
      </c>
      <c r="W123" s="126" t="n">
        <f aca="false">N123/$R$3</f>
        <v>0</v>
      </c>
    </row>
    <row r="124" customFormat="false" ht="12.75" hidden="true" customHeight="false" outlineLevel="0" collapsed="false">
      <c r="A124" s="120" t="n">
        <f aca="false">A123+1</f>
        <v>37010</v>
      </c>
      <c r="B124" s="131" t="str">
        <f aca="false">INDEX('Master Data'!$A$2:$B$8,MATCH(WEEKDAY('Arg Total Power'!A124,3),'Master Data'!$A$2:$A$8,0),2)</f>
        <v>Su</v>
      </c>
      <c r="D124" s="124" t="n">
        <v>0</v>
      </c>
      <c r="E124" s="124"/>
      <c r="F124" s="124" t="n">
        <v>0</v>
      </c>
      <c r="G124" s="124" t="n">
        <v>0</v>
      </c>
      <c r="I124" s="124" t="n">
        <f aca="false">IF(MONTH($A124)=MONTH($A123),IF(G124=0,I123,G124),G124)</f>
        <v>0</v>
      </c>
      <c r="J124" s="124" t="n">
        <f aca="false">IF(MONTH($A124)=MONTH($A123),SUM(I124-I123),I124)</f>
        <v>0</v>
      </c>
      <c r="K124" s="124" t="n">
        <f aca="false">IF(WEEKDAY(A124,3)&gt;4,0,(IF(A124&lt;K$2,0,IF(A124&lt;=K$3,1,0))))</f>
        <v>0</v>
      </c>
      <c r="L124" s="124" t="n">
        <f aca="false">J124*K124</f>
        <v>0</v>
      </c>
      <c r="M124" s="124" t="n">
        <f aca="false">SUM(J$97:J124)</f>
        <v>0</v>
      </c>
      <c r="N124" s="124" t="n">
        <f aca="false">SUM(J$6:J124)</f>
        <v>0</v>
      </c>
      <c r="P124" s="124" t="n">
        <f aca="false">D124/P$3</f>
        <v>0</v>
      </c>
      <c r="Q124" s="143" t="n">
        <f aca="false">E124/P$3</f>
        <v>0</v>
      </c>
      <c r="R124" s="124" t="n">
        <f aca="false">F124/R$3</f>
        <v>0</v>
      </c>
      <c r="S124" s="126" t="n">
        <f aca="false">J124/$R$3</f>
        <v>0</v>
      </c>
      <c r="T124" s="126" t="n">
        <f aca="false">L124/$R$3</f>
        <v>0</v>
      </c>
      <c r="U124" s="126" t="n">
        <f aca="false">I124/$R$3</f>
        <v>0</v>
      </c>
      <c r="V124" s="126" t="n">
        <f aca="false">M124/$R$3</f>
        <v>0</v>
      </c>
      <c r="W124" s="126" t="n">
        <f aca="false">N124/$R$3</f>
        <v>0</v>
      </c>
    </row>
    <row r="125" customFormat="false" ht="12.75" hidden="false" customHeight="false" outlineLevel="0" collapsed="false">
      <c r="A125" s="120" t="n">
        <f aca="false">A124+1</f>
        <v>37011</v>
      </c>
      <c r="B125" s="131" t="str">
        <f aca="false">INDEX('Master Data'!$A$2:$B$8,MATCH(WEEKDAY('Arg Total Power'!A125,3),'Master Data'!$A$2:$A$8,0),2)</f>
        <v>M</v>
      </c>
      <c r="D125" s="124" t="n">
        <v>0</v>
      </c>
      <c r="E125" s="124"/>
      <c r="F125" s="124" t="n">
        <v>0</v>
      </c>
      <c r="G125" s="124" t="n">
        <v>0</v>
      </c>
      <c r="I125" s="124" t="n">
        <f aca="false">IF(MONTH($A125)=MONTH($A124),IF(G125=0,I124,G125),G125)</f>
        <v>0</v>
      </c>
      <c r="J125" s="124" t="n">
        <f aca="false">IF(MONTH($A125)=MONTH($A124),SUM(I125-I124),I125)</f>
        <v>0</v>
      </c>
      <c r="K125" s="124" t="n">
        <f aca="false">IF(WEEKDAY(A125,3)&gt;4,0,(IF(A125&lt;K$2,0,IF(A125&lt;=K$3,1,0))))</f>
        <v>0</v>
      </c>
      <c r="L125" s="124" t="n">
        <f aca="false">J125*K125</f>
        <v>0</v>
      </c>
      <c r="M125" s="124" t="n">
        <f aca="false">SUM(J$97:J125)</f>
        <v>0</v>
      </c>
      <c r="N125" s="124" t="n">
        <f aca="false">SUM(J$6:J125)</f>
        <v>0</v>
      </c>
      <c r="P125" s="124" t="n">
        <f aca="false">D125/P$3</f>
        <v>0</v>
      </c>
      <c r="Q125" s="143" t="n">
        <f aca="false">E125/P$3</f>
        <v>0</v>
      </c>
      <c r="R125" s="124" t="n">
        <f aca="false">F125/R$3</f>
        <v>0</v>
      </c>
      <c r="S125" s="126" t="n">
        <f aca="false">J125/$R$3</f>
        <v>0</v>
      </c>
      <c r="T125" s="126" t="n">
        <f aca="false">L125/$R$3</f>
        <v>0</v>
      </c>
      <c r="U125" s="126" t="n">
        <f aca="false">I125/$R$3</f>
        <v>0</v>
      </c>
      <c r="V125" s="126" t="n">
        <f aca="false">M125/$R$3</f>
        <v>0</v>
      </c>
      <c r="W125" s="126" t="n">
        <f aca="false">N125/$R$3</f>
        <v>0</v>
      </c>
    </row>
    <row r="126" customFormat="false" ht="12.75" hidden="true" customHeight="false" outlineLevel="0" collapsed="false">
      <c r="A126" s="120" t="n">
        <f aca="false">A125+1</f>
        <v>37012</v>
      </c>
      <c r="B126" s="131" t="str">
        <f aca="false">INDEX('Master Data'!$A$2:$B$8,MATCH(WEEKDAY('Arg Total Power'!A126,3),'Master Data'!$A$2:$A$8,0),2)</f>
        <v>T</v>
      </c>
      <c r="D126" s="124" t="n">
        <v>0</v>
      </c>
      <c r="E126" s="124"/>
      <c r="F126" s="124" t="n">
        <v>0</v>
      </c>
      <c r="G126" s="124" t="n">
        <v>0</v>
      </c>
      <c r="I126" s="124" t="n">
        <f aca="false">IF(MONTH($A126)=MONTH($A125),IF(G126=0,I125,G126),G126)</f>
        <v>0</v>
      </c>
      <c r="J126" s="124" t="n">
        <f aca="false">IF(MONTH($A126)=MONTH($A125),SUM(I126-I125),I126)</f>
        <v>0</v>
      </c>
      <c r="K126" s="124" t="n">
        <f aca="false">IF(WEEKDAY(A126,3)&gt;4,0,(IF(A126&lt;K$2,0,IF(A126&lt;=K$3,1,0))))</f>
        <v>0</v>
      </c>
      <c r="L126" s="124" t="n">
        <f aca="false">J126*K126</f>
        <v>0</v>
      </c>
      <c r="M126" s="124" t="n">
        <f aca="false">SUM(J$97:J126)</f>
        <v>0</v>
      </c>
      <c r="N126" s="124" t="n">
        <f aca="false">SUM(J$6:J126)</f>
        <v>0</v>
      </c>
      <c r="P126" s="124" t="n">
        <f aca="false">D126/P$3</f>
        <v>0</v>
      </c>
      <c r="Q126" s="143" t="n">
        <f aca="false">E126/P$3</f>
        <v>0</v>
      </c>
      <c r="R126" s="124" t="n">
        <f aca="false">F126/R$3</f>
        <v>0</v>
      </c>
      <c r="S126" s="126" t="n">
        <f aca="false">J126/$R$3</f>
        <v>0</v>
      </c>
      <c r="T126" s="126" t="n">
        <f aca="false">L126/$R$3</f>
        <v>0</v>
      </c>
      <c r="U126" s="126" t="n">
        <f aca="false">I126/$R$3</f>
        <v>0</v>
      </c>
      <c r="V126" s="126" t="n">
        <f aca="false">M126/$R$3</f>
        <v>0</v>
      </c>
      <c r="W126" s="126" t="n">
        <f aca="false">N126/$R$3</f>
        <v>0</v>
      </c>
    </row>
    <row r="127" customFormat="false" ht="12.75" hidden="true" customHeight="false" outlineLevel="0" collapsed="false">
      <c r="A127" s="120" t="n">
        <f aca="false">A126+1</f>
        <v>37013</v>
      </c>
      <c r="B127" s="131" t="str">
        <f aca="false">INDEX('Master Data'!$A$2:$B$8,MATCH(WEEKDAY('Arg Total Power'!A127,3),'Master Data'!$A$2:$A$8,0),2)</f>
        <v>W</v>
      </c>
      <c r="D127" s="124" t="n">
        <v>0</v>
      </c>
      <c r="E127" s="124"/>
      <c r="F127" s="124" t="n">
        <v>0</v>
      </c>
      <c r="G127" s="124" t="n">
        <v>0</v>
      </c>
      <c r="I127" s="124" t="n">
        <f aca="false">IF(MONTH($A127)=MONTH($A126),IF(G127=0,I126,G127),G127)</f>
        <v>0</v>
      </c>
      <c r="J127" s="124" t="n">
        <f aca="false">IF(MONTH($A127)=MONTH($A126),SUM(I127-I126),I127)</f>
        <v>0</v>
      </c>
      <c r="K127" s="124" t="n">
        <f aca="false">IF(WEEKDAY(A127,3)&gt;4,0,(IF(A127&lt;K$2,0,IF(A127&lt;=K$3,1,0))))</f>
        <v>0</v>
      </c>
      <c r="L127" s="124" t="n">
        <f aca="false">J127*K127</f>
        <v>0</v>
      </c>
      <c r="M127" s="124" t="n">
        <f aca="false">SUM(J$97:J127)</f>
        <v>0</v>
      </c>
      <c r="N127" s="124" t="n">
        <f aca="false">SUM(J$6:J127)</f>
        <v>0</v>
      </c>
      <c r="P127" s="124" t="n">
        <f aca="false">D127/P$3</f>
        <v>0</v>
      </c>
      <c r="Q127" s="143" t="n">
        <f aca="false">E127/P$3</f>
        <v>0</v>
      </c>
      <c r="R127" s="124" t="n">
        <f aca="false">F127/R$3</f>
        <v>0</v>
      </c>
      <c r="S127" s="126" t="n">
        <f aca="false">J127/$R$3</f>
        <v>0</v>
      </c>
      <c r="T127" s="126" t="n">
        <f aca="false">L127/$R$3</f>
        <v>0</v>
      </c>
      <c r="U127" s="126" t="n">
        <f aca="false">I127/$R$3</f>
        <v>0</v>
      </c>
      <c r="V127" s="126" t="n">
        <f aca="false">M127/$R$3</f>
        <v>0</v>
      </c>
      <c r="W127" s="126" t="n">
        <f aca="false">N127/$R$3</f>
        <v>0</v>
      </c>
    </row>
    <row r="128" customFormat="false" ht="12.75" hidden="true" customHeight="false" outlineLevel="0" collapsed="false">
      <c r="A128" s="120" t="n">
        <f aca="false">A127+1</f>
        <v>37014</v>
      </c>
      <c r="B128" s="131" t="str">
        <f aca="false">INDEX('Master Data'!$A$2:$B$8,MATCH(WEEKDAY('Arg Total Power'!A128,3),'Master Data'!$A$2:$A$8,0),2)</f>
        <v>Th</v>
      </c>
      <c r="D128" s="124" t="n">
        <v>0</v>
      </c>
      <c r="E128" s="124"/>
      <c r="F128" s="124" t="n">
        <v>0</v>
      </c>
      <c r="G128" s="124" t="n">
        <v>0</v>
      </c>
      <c r="I128" s="124" t="n">
        <f aca="false">IF(MONTH($A128)=MONTH($A127),IF(G128=0,I127,G128),G128)</f>
        <v>0</v>
      </c>
      <c r="J128" s="124" t="n">
        <f aca="false">IF(MONTH($A128)=MONTH($A127),SUM(I128-I127),I128)</f>
        <v>0</v>
      </c>
      <c r="K128" s="124" t="n">
        <f aca="false">IF(WEEKDAY(A128,3)&gt;4,0,(IF(A128&lt;K$2,0,IF(A128&lt;=K$3,1,0))))</f>
        <v>0</v>
      </c>
      <c r="L128" s="124" t="n">
        <f aca="false">J128*K128</f>
        <v>0</v>
      </c>
      <c r="M128" s="124" t="n">
        <f aca="false">SUM(J$97:J128)</f>
        <v>0</v>
      </c>
      <c r="N128" s="124" t="n">
        <f aca="false">SUM(J$6:J128)</f>
        <v>0</v>
      </c>
      <c r="P128" s="124" t="n">
        <f aca="false">D128/P$3</f>
        <v>0</v>
      </c>
      <c r="Q128" s="143" t="n">
        <f aca="false">E128/P$3</f>
        <v>0</v>
      </c>
      <c r="R128" s="124" t="n">
        <f aca="false">F128/R$3</f>
        <v>0</v>
      </c>
      <c r="S128" s="126" t="n">
        <f aca="false">J128/$R$3</f>
        <v>0</v>
      </c>
      <c r="T128" s="126" t="n">
        <f aca="false">L128/$R$3</f>
        <v>0</v>
      </c>
      <c r="U128" s="126" t="n">
        <f aca="false">I128/$R$3</f>
        <v>0</v>
      </c>
      <c r="V128" s="126" t="n">
        <f aca="false">M128/$R$3</f>
        <v>0</v>
      </c>
      <c r="W128" s="126" t="n">
        <f aca="false">N128/$R$3</f>
        <v>0</v>
      </c>
    </row>
    <row r="129" customFormat="false" ht="12.75" hidden="true" customHeight="false" outlineLevel="0" collapsed="false">
      <c r="A129" s="120" t="n">
        <f aca="false">A128+1</f>
        <v>37015</v>
      </c>
      <c r="B129" s="131" t="str">
        <f aca="false">INDEX('Master Data'!$A$2:$B$8,MATCH(WEEKDAY('Arg Total Power'!A129,3),'Master Data'!$A$2:$A$8,0),2)</f>
        <v>F</v>
      </c>
      <c r="D129" s="124" t="n">
        <v>0</v>
      </c>
      <c r="E129" s="124"/>
      <c r="F129" s="124" t="n">
        <v>0</v>
      </c>
      <c r="G129" s="124" t="n">
        <v>0</v>
      </c>
      <c r="I129" s="124" t="n">
        <f aca="false">IF(MONTH($A129)=MONTH($A128),IF(G129=0,I128,G129),G129)</f>
        <v>0</v>
      </c>
      <c r="J129" s="124" t="n">
        <f aca="false">IF(MONTH($A129)=MONTH($A128),SUM(I129-I128),I129)</f>
        <v>0</v>
      </c>
      <c r="K129" s="124" t="n">
        <f aca="false">IF(WEEKDAY(A129,3)&gt;4,0,(IF(A129&lt;K$2,0,IF(A129&lt;=K$3,1,0))))</f>
        <v>0</v>
      </c>
      <c r="L129" s="124" t="n">
        <f aca="false">J129*K129</f>
        <v>0</v>
      </c>
      <c r="M129" s="124" t="n">
        <f aca="false">SUM(J$97:J129)</f>
        <v>0</v>
      </c>
      <c r="N129" s="124" t="n">
        <f aca="false">SUM(J$6:J129)</f>
        <v>0</v>
      </c>
      <c r="P129" s="124" t="n">
        <f aca="false">D129/P$3</f>
        <v>0</v>
      </c>
      <c r="Q129" s="143" t="n">
        <f aca="false">E129/P$3</f>
        <v>0</v>
      </c>
      <c r="R129" s="124" t="n">
        <f aca="false">F129/R$3</f>
        <v>0</v>
      </c>
      <c r="S129" s="126" t="n">
        <f aca="false">J129/$R$3</f>
        <v>0</v>
      </c>
      <c r="T129" s="126" t="n">
        <f aca="false">L129/$R$3</f>
        <v>0</v>
      </c>
      <c r="U129" s="126" t="n">
        <f aca="false">I129/$R$3</f>
        <v>0</v>
      </c>
      <c r="V129" s="126" t="n">
        <f aca="false">M129/$R$3</f>
        <v>0</v>
      </c>
      <c r="W129" s="126" t="n">
        <f aca="false">N129/$R$3</f>
        <v>0</v>
      </c>
    </row>
    <row r="130" customFormat="false" ht="12.75" hidden="true" customHeight="false" outlineLevel="0" collapsed="false">
      <c r="A130" s="120" t="n">
        <f aca="false">A129+1</f>
        <v>37016</v>
      </c>
      <c r="B130" s="131" t="str">
        <f aca="false">INDEX('Master Data'!$A$2:$B$8,MATCH(WEEKDAY('Arg Total Power'!A130,3),'Master Data'!$A$2:$A$8,0),2)</f>
        <v>Sa</v>
      </c>
      <c r="D130" s="124" t="n">
        <v>0</v>
      </c>
      <c r="E130" s="124"/>
      <c r="F130" s="124" t="n">
        <v>0</v>
      </c>
      <c r="G130" s="124" t="n">
        <v>0</v>
      </c>
      <c r="I130" s="124" t="n">
        <f aca="false">IF(MONTH($A130)=MONTH($A129),IF(G130=0,I129,G130),G130)</f>
        <v>0</v>
      </c>
      <c r="J130" s="124" t="n">
        <f aca="false">IF(MONTH($A130)=MONTH($A129),SUM(I130-I129),I130)</f>
        <v>0</v>
      </c>
      <c r="K130" s="124" t="n">
        <f aca="false">IF(WEEKDAY(A130,3)&gt;4,0,(IF(A130&lt;K$2,0,IF(A130&lt;=K$3,1,0))))</f>
        <v>0</v>
      </c>
      <c r="L130" s="124" t="n">
        <f aca="false">J130*K130</f>
        <v>0</v>
      </c>
      <c r="M130" s="124" t="n">
        <f aca="false">SUM(J$97:J130)</f>
        <v>0</v>
      </c>
      <c r="N130" s="124" t="n">
        <f aca="false">SUM(J$6:J130)</f>
        <v>0</v>
      </c>
      <c r="P130" s="124" t="n">
        <f aca="false">D130/P$3</f>
        <v>0</v>
      </c>
      <c r="Q130" s="143" t="n">
        <f aca="false">E130/P$3</f>
        <v>0</v>
      </c>
      <c r="R130" s="124" t="n">
        <f aca="false">F130/R$3</f>
        <v>0</v>
      </c>
      <c r="S130" s="126" t="n">
        <f aca="false">J130/$R$3</f>
        <v>0</v>
      </c>
      <c r="T130" s="126" t="n">
        <f aca="false">L130/$R$3</f>
        <v>0</v>
      </c>
      <c r="U130" s="126" t="n">
        <f aca="false">I130/$R$3</f>
        <v>0</v>
      </c>
      <c r="V130" s="126" t="n">
        <f aca="false">M130/$R$3</f>
        <v>0</v>
      </c>
      <c r="W130" s="126" t="n">
        <f aca="false">N130/$R$3</f>
        <v>0</v>
      </c>
    </row>
    <row r="131" customFormat="false" ht="12.75" hidden="true" customHeight="false" outlineLevel="0" collapsed="false">
      <c r="A131" s="120" t="n">
        <f aca="false">A130+1</f>
        <v>37017</v>
      </c>
      <c r="B131" s="131" t="str">
        <f aca="false">INDEX('Master Data'!$A$2:$B$8,MATCH(WEEKDAY('Arg Total Power'!A131,3),'Master Data'!$A$2:$A$8,0),2)</f>
        <v>Su</v>
      </c>
      <c r="D131" s="124" t="n">
        <v>0</v>
      </c>
      <c r="E131" s="124"/>
      <c r="F131" s="124" t="n">
        <v>0</v>
      </c>
      <c r="G131" s="124" t="n">
        <v>0</v>
      </c>
      <c r="I131" s="124" t="n">
        <f aca="false">IF(MONTH($A131)=MONTH($A130),IF(G131=0,I130,G131),G131)</f>
        <v>0</v>
      </c>
      <c r="J131" s="124" t="n">
        <f aca="false">IF(MONTH($A131)=MONTH($A130),SUM(I131-I130),I131)</f>
        <v>0</v>
      </c>
      <c r="K131" s="124" t="n">
        <f aca="false">IF(WEEKDAY(A131,3)&gt;4,0,(IF(A131&lt;K$2,0,IF(A131&lt;=K$3,1,0))))</f>
        <v>0</v>
      </c>
      <c r="L131" s="124" t="n">
        <f aca="false">J131*K131</f>
        <v>0</v>
      </c>
      <c r="M131" s="124" t="n">
        <f aca="false">SUM(J$97:J131)</f>
        <v>0</v>
      </c>
      <c r="N131" s="124" t="n">
        <f aca="false">SUM(J$6:J131)</f>
        <v>0</v>
      </c>
      <c r="P131" s="124" t="n">
        <f aca="false">D131/P$3</f>
        <v>0</v>
      </c>
      <c r="Q131" s="143" t="n">
        <f aca="false">E131/P$3</f>
        <v>0</v>
      </c>
      <c r="R131" s="124" t="n">
        <f aca="false">F131/R$3</f>
        <v>0</v>
      </c>
      <c r="S131" s="126" t="n">
        <f aca="false">J131/$R$3</f>
        <v>0</v>
      </c>
      <c r="T131" s="126" t="n">
        <f aca="false">L131/$R$3</f>
        <v>0</v>
      </c>
      <c r="U131" s="126" t="n">
        <f aca="false">I131/$R$3</f>
        <v>0</v>
      </c>
      <c r="V131" s="126" t="n">
        <f aca="false">M131/$R$3</f>
        <v>0</v>
      </c>
      <c r="W131" s="126" t="n">
        <f aca="false">N131/$R$3</f>
        <v>0</v>
      </c>
    </row>
    <row r="132" customFormat="false" ht="12.75" hidden="true" customHeight="false" outlineLevel="0" collapsed="false">
      <c r="A132" s="120" t="n">
        <f aca="false">A131+1</f>
        <v>37018</v>
      </c>
      <c r="B132" s="131" t="str">
        <f aca="false">INDEX('Master Data'!$A$2:$B$8,MATCH(WEEKDAY('Arg Total Power'!A132,3),'Master Data'!$A$2:$A$8,0),2)</f>
        <v>M</v>
      </c>
      <c r="D132" s="124" t="n">
        <v>0</v>
      </c>
      <c r="E132" s="124"/>
      <c r="F132" s="124" t="n">
        <v>0</v>
      </c>
      <c r="G132" s="124" t="n">
        <v>0</v>
      </c>
      <c r="I132" s="124" t="n">
        <f aca="false">IF(MONTH($A132)=MONTH($A131),IF(G132=0,I131,G132),G132)</f>
        <v>0</v>
      </c>
      <c r="J132" s="124" t="n">
        <f aca="false">IF(MONTH($A132)=MONTH($A131),SUM(I132-I131),I132)</f>
        <v>0</v>
      </c>
      <c r="K132" s="124" t="n">
        <f aca="false">IF(WEEKDAY(A132,3)&gt;4,0,(IF(A132&lt;K$2,0,IF(A132&lt;=K$3,1,0))))</f>
        <v>0</v>
      </c>
      <c r="L132" s="124" t="n">
        <f aca="false">J132*K132</f>
        <v>0</v>
      </c>
      <c r="M132" s="124" t="n">
        <f aca="false">SUM(J$97:J132)</f>
        <v>0</v>
      </c>
      <c r="N132" s="124" t="n">
        <f aca="false">SUM(J$6:J132)</f>
        <v>0</v>
      </c>
      <c r="P132" s="124" t="n">
        <f aca="false">D132/P$3</f>
        <v>0</v>
      </c>
      <c r="Q132" s="143" t="n">
        <f aca="false">E132/P$3</f>
        <v>0</v>
      </c>
      <c r="R132" s="124" t="n">
        <f aca="false">F132/R$3</f>
        <v>0</v>
      </c>
      <c r="S132" s="126" t="n">
        <f aca="false">J132/$R$3</f>
        <v>0</v>
      </c>
      <c r="T132" s="126" t="n">
        <f aca="false">L132/$R$3</f>
        <v>0</v>
      </c>
      <c r="U132" s="126" t="n">
        <f aca="false">I132/$R$3</f>
        <v>0</v>
      </c>
      <c r="V132" s="126" t="n">
        <f aca="false">M132/$R$3</f>
        <v>0</v>
      </c>
      <c r="W132" s="126" t="n">
        <f aca="false">N132/$R$3</f>
        <v>0</v>
      </c>
    </row>
    <row r="133" customFormat="false" ht="12.75" hidden="true" customHeight="false" outlineLevel="0" collapsed="false">
      <c r="A133" s="120" t="n">
        <f aca="false">A132+1</f>
        <v>37019</v>
      </c>
      <c r="B133" s="131" t="str">
        <f aca="false">INDEX('Master Data'!$A$2:$B$8,MATCH(WEEKDAY('Arg Total Power'!A133,3),'Master Data'!$A$2:$A$8,0),2)</f>
        <v>T</v>
      </c>
      <c r="D133" s="124" t="n">
        <v>0</v>
      </c>
      <c r="E133" s="124"/>
      <c r="F133" s="124" t="n">
        <v>0</v>
      </c>
      <c r="G133" s="124" t="n">
        <v>0</v>
      </c>
      <c r="I133" s="124" t="n">
        <f aca="false">IF(MONTH($A133)=MONTH($A132),IF(G133=0,I132,G133),G133)</f>
        <v>0</v>
      </c>
      <c r="J133" s="124" t="n">
        <f aca="false">IF(MONTH($A133)=MONTH($A132),SUM(I133-I132),I133)</f>
        <v>0</v>
      </c>
      <c r="K133" s="124" t="n">
        <f aca="false">IF(WEEKDAY(A133,3)&gt;4,0,(IF(A133&lt;K$2,0,IF(A133&lt;=K$3,1,0))))</f>
        <v>0</v>
      </c>
      <c r="L133" s="124" t="n">
        <f aca="false">J133*K133</f>
        <v>0</v>
      </c>
      <c r="M133" s="124" t="n">
        <f aca="false">SUM(J$97:J133)</f>
        <v>0</v>
      </c>
      <c r="N133" s="124" t="n">
        <f aca="false">SUM(J$6:J133)</f>
        <v>0</v>
      </c>
      <c r="P133" s="124" t="n">
        <f aca="false">D133/P$3</f>
        <v>0</v>
      </c>
      <c r="Q133" s="143" t="n">
        <f aca="false">E133/P$3</f>
        <v>0</v>
      </c>
      <c r="R133" s="124" t="n">
        <f aca="false">F133/R$3</f>
        <v>0</v>
      </c>
      <c r="S133" s="126" t="n">
        <f aca="false">J133/$R$3</f>
        <v>0</v>
      </c>
      <c r="T133" s="126" t="n">
        <f aca="false">L133/$R$3</f>
        <v>0</v>
      </c>
      <c r="U133" s="126" t="n">
        <f aca="false">I133/$R$3</f>
        <v>0</v>
      </c>
      <c r="V133" s="126" t="n">
        <f aca="false">M133/$R$3</f>
        <v>0</v>
      </c>
      <c r="W133" s="126" t="n">
        <f aca="false">N133/$R$3</f>
        <v>0</v>
      </c>
    </row>
    <row r="134" customFormat="false" ht="12.75" hidden="true" customHeight="false" outlineLevel="0" collapsed="false">
      <c r="A134" s="120" t="n">
        <f aca="false">A133+1</f>
        <v>37020</v>
      </c>
      <c r="B134" s="131" t="str">
        <f aca="false">INDEX('Master Data'!$A$2:$B$8,MATCH(WEEKDAY('Arg Total Power'!A134,3),'Master Data'!$A$2:$A$8,0),2)</f>
        <v>W</v>
      </c>
      <c r="D134" s="124" t="n">
        <v>0</v>
      </c>
      <c r="E134" s="124"/>
      <c r="F134" s="124" t="n">
        <v>0</v>
      </c>
      <c r="G134" s="124" t="n">
        <v>0</v>
      </c>
      <c r="I134" s="124" t="n">
        <f aca="false">IF(MONTH($A134)=MONTH($A133),IF(G134=0,I133,G134),G134)</f>
        <v>0</v>
      </c>
      <c r="J134" s="124" t="n">
        <f aca="false">IF(MONTH($A134)=MONTH($A133),SUM(I134-I133),I134)</f>
        <v>0</v>
      </c>
      <c r="K134" s="124" t="n">
        <f aca="false">IF(WEEKDAY(A134,3)&gt;4,0,(IF(A134&lt;K$2,0,IF(A134&lt;=K$3,1,0))))</f>
        <v>0</v>
      </c>
      <c r="L134" s="124" t="n">
        <f aca="false">J134*K134</f>
        <v>0</v>
      </c>
      <c r="M134" s="124" t="n">
        <f aca="false">SUM(J$97:J134)</f>
        <v>0</v>
      </c>
      <c r="N134" s="124" t="n">
        <f aca="false">SUM(J$6:J134)</f>
        <v>0</v>
      </c>
      <c r="P134" s="124" t="n">
        <f aca="false">D134/P$3</f>
        <v>0</v>
      </c>
      <c r="Q134" s="143" t="n">
        <f aca="false">E134/P$3</f>
        <v>0</v>
      </c>
      <c r="R134" s="124" t="n">
        <f aca="false">F134/R$3</f>
        <v>0</v>
      </c>
      <c r="S134" s="126" t="n">
        <f aca="false">J134/$R$3</f>
        <v>0</v>
      </c>
      <c r="T134" s="126" t="n">
        <f aca="false">L134/$R$3</f>
        <v>0</v>
      </c>
      <c r="U134" s="126" t="n">
        <f aca="false">I134/$R$3</f>
        <v>0</v>
      </c>
      <c r="V134" s="126" t="n">
        <f aca="false">M134/$R$3</f>
        <v>0</v>
      </c>
      <c r="W134" s="126" t="n">
        <f aca="false">N134/$R$3</f>
        <v>0</v>
      </c>
    </row>
    <row r="135" customFormat="false" ht="12.75" hidden="true" customHeight="false" outlineLevel="0" collapsed="false">
      <c r="A135" s="120" t="n">
        <f aca="false">A134+1</f>
        <v>37021</v>
      </c>
      <c r="B135" s="131" t="str">
        <f aca="false">INDEX('Master Data'!$A$2:$B$8,MATCH(WEEKDAY('Arg Total Power'!A135,3),'Master Data'!$A$2:$A$8,0),2)</f>
        <v>Th</v>
      </c>
      <c r="D135" s="124" t="n">
        <v>0</v>
      </c>
      <c r="E135" s="124"/>
      <c r="F135" s="124" t="n">
        <v>0</v>
      </c>
      <c r="G135" s="124" t="n">
        <v>0</v>
      </c>
      <c r="I135" s="124" t="n">
        <f aca="false">IF(MONTH($A135)=MONTH($A134),IF(G135=0,I134,G135),G135)</f>
        <v>0</v>
      </c>
      <c r="J135" s="124" t="n">
        <f aca="false">IF(MONTH($A135)=MONTH($A134),SUM(I135-I134),I135)</f>
        <v>0</v>
      </c>
      <c r="K135" s="124" t="n">
        <f aca="false">IF(WEEKDAY(A135,3)&gt;4,0,(IF(A135&lt;K$2,0,IF(A135&lt;=K$3,1,0))))</f>
        <v>0</v>
      </c>
      <c r="L135" s="124" t="n">
        <f aca="false">J135*K135</f>
        <v>0</v>
      </c>
      <c r="M135" s="124" t="n">
        <f aca="false">SUM(J$97:J135)</f>
        <v>0</v>
      </c>
      <c r="N135" s="124" t="n">
        <f aca="false">SUM(J$6:J135)</f>
        <v>0</v>
      </c>
      <c r="P135" s="124" t="n">
        <f aca="false">D135/P$3</f>
        <v>0</v>
      </c>
      <c r="Q135" s="143" t="n">
        <f aca="false">E135/P$3</f>
        <v>0</v>
      </c>
      <c r="R135" s="124" t="n">
        <f aca="false">F135/R$3</f>
        <v>0</v>
      </c>
      <c r="S135" s="126" t="n">
        <f aca="false">J135/$R$3</f>
        <v>0</v>
      </c>
      <c r="T135" s="126" t="n">
        <f aca="false">L135/$R$3</f>
        <v>0</v>
      </c>
      <c r="U135" s="126" t="n">
        <f aca="false">I135/$R$3</f>
        <v>0</v>
      </c>
      <c r="V135" s="126" t="n">
        <f aca="false">M135/$R$3</f>
        <v>0</v>
      </c>
      <c r="W135" s="126" t="n">
        <f aca="false">N135/$R$3</f>
        <v>0</v>
      </c>
    </row>
    <row r="136" customFormat="false" ht="12.75" hidden="true" customHeight="false" outlineLevel="0" collapsed="false">
      <c r="A136" s="120" t="n">
        <f aca="false">A135+1</f>
        <v>37022</v>
      </c>
      <c r="B136" s="131" t="str">
        <f aca="false">INDEX('Master Data'!$A$2:$B$8,MATCH(WEEKDAY('Arg Total Power'!A136,3),'Master Data'!$A$2:$A$8,0),2)</f>
        <v>F</v>
      </c>
      <c r="D136" s="124" t="n">
        <v>0</v>
      </c>
      <c r="E136" s="124"/>
      <c r="F136" s="124" t="n">
        <v>0</v>
      </c>
      <c r="G136" s="124" t="n">
        <v>0</v>
      </c>
      <c r="I136" s="124" t="n">
        <f aca="false">IF(MONTH($A136)=MONTH($A135),IF(G136=0,I135,G136),G136)</f>
        <v>0</v>
      </c>
      <c r="J136" s="124" t="n">
        <f aca="false">IF(MONTH($A136)=MONTH($A135),SUM(I136-I135),I136)</f>
        <v>0</v>
      </c>
      <c r="K136" s="124" t="n">
        <f aca="false">IF(WEEKDAY(A136,3)&gt;4,0,(IF(A136&lt;K$2,0,IF(A136&lt;=K$3,1,0))))</f>
        <v>0</v>
      </c>
      <c r="L136" s="124" t="n">
        <f aca="false">J136*K136</f>
        <v>0</v>
      </c>
      <c r="M136" s="124" t="n">
        <f aca="false">SUM(J$97:J136)</f>
        <v>0</v>
      </c>
      <c r="N136" s="124" t="n">
        <f aca="false">SUM(J$6:J136)</f>
        <v>0</v>
      </c>
      <c r="P136" s="124" t="n">
        <f aca="false">D136/P$3</f>
        <v>0</v>
      </c>
      <c r="Q136" s="143" t="n">
        <f aca="false">E136/P$3</f>
        <v>0</v>
      </c>
      <c r="R136" s="124" t="n">
        <f aca="false">F136/R$3</f>
        <v>0</v>
      </c>
      <c r="S136" s="126" t="n">
        <f aca="false">J136/$R$3</f>
        <v>0</v>
      </c>
      <c r="T136" s="126" t="n">
        <f aca="false">L136/$R$3</f>
        <v>0</v>
      </c>
      <c r="U136" s="126" t="n">
        <f aca="false">I136/$R$3</f>
        <v>0</v>
      </c>
      <c r="V136" s="126" t="n">
        <f aca="false">M136/$R$3</f>
        <v>0</v>
      </c>
      <c r="W136" s="126" t="n">
        <f aca="false">N136/$R$3</f>
        <v>0</v>
      </c>
    </row>
    <row r="137" customFormat="false" ht="12.75" hidden="true" customHeight="false" outlineLevel="0" collapsed="false">
      <c r="A137" s="120" t="n">
        <f aca="false">A136+1</f>
        <v>37023</v>
      </c>
      <c r="B137" s="131" t="str">
        <f aca="false">INDEX('Master Data'!$A$2:$B$8,MATCH(WEEKDAY('Arg Total Power'!A137,3),'Master Data'!$A$2:$A$8,0),2)</f>
        <v>Sa</v>
      </c>
      <c r="D137" s="124" t="n">
        <v>0</v>
      </c>
      <c r="E137" s="124"/>
      <c r="F137" s="124" t="n">
        <v>0</v>
      </c>
      <c r="G137" s="124" t="n">
        <v>0</v>
      </c>
      <c r="I137" s="124" t="n">
        <f aca="false">IF(MONTH($A137)=MONTH($A136),IF(G137=0,I136,G137),G137)</f>
        <v>0</v>
      </c>
      <c r="J137" s="124" t="n">
        <f aca="false">IF(MONTH($A137)=MONTH($A136),SUM(I137-I136),I137)</f>
        <v>0</v>
      </c>
      <c r="K137" s="124" t="n">
        <f aca="false">IF(WEEKDAY(A137,3)&gt;4,0,(IF(A137&lt;K$2,0,IF(A137&lt;=K$3,1,0))))</f>
        <v>0</v>
      </c>
      <c r="L137" s="124" t="n">
        <f aca="false">J137*K137</f>
        <v>0</v>
      </c>
      <c r="M137" s="124" t="n">
        <f aca="false">SUM(J$97:J137)</f>
        <v>0</v>
      </c>
      <c r="N137" s="124" t="n">
        <f aca="false">SUM(J$6:J137)</f>
        <v>0</v>
      </c>
      <c r="P137" s="124" t="n">
        <f aca="false">D137/P$3</f>
        <v>0</v>
      </c>
      <c r="Q137" s="143" t="n">
        <f aca="false">E137/P$3</f>
        <v>0</v>
      </c>
      <c r="R137" s="124" t="n">
        <f aca="false">F137/R$3</f>
        <v>0</v>
      </c>
      <c r="S137" s="126" t="n">
        <f aca="false">J137/$R$3</f>
        <v>0</v>
      </c>
      <c r="T137" s="126" t="n">
        <f aca="false">L137/$R$3</f>
        <v>0</v>
      </c>
      <c r="U137" s="126" t="n">
        <f aca="false">I137/$R$3</f>
        <v>0</v>
      </c>
      <c r="V137" s="126" t="n">
        <f aca="false">M137/$R$3</f>
        <v>0</v>
      </c>
      <c r="W137" s="126" t="n">
        <f aca="false">N137/$R$3</f>
        <v>0</v>
      </c>
    </row>
    <row r="138" customFormat="false" ht="12.75" hidden="true" customHeight="false" outlineLevel="0" collapsed="false">
      <c r="A138" s="120" t="n">
        <f aca="false">A137+1</f>
        <v>37024</v>
      </c>
      <c r="B138" s="131" t="str">
        <f aca="false">INDEX('Master Data'!$A$2:$B$8,MATCH(WEEKDAY('Arg Total Power'!A138,3),'Master Data'!$A$2:$A$8,0),2)</f>
        <v>Su</v>
      </c>
      <c r="D138" s="124" t="n">
        <v>0</v>
      </c>
      <c r="E138" s="124"/>
      <c r="F138" s="124" t="n">
        <v>0</v>
      </c>
      <c r="G138" s="124" t="n">
        <v>0</v>
      </c>
      <c r="I138" s="124" t="n">
        <f aca="false">IF(MONTH($A138)=MONTH($A137),IF(G138=0,I137,G138),G138)</f>
        <v>0</v>
      </c>
      <c r="J138" s="124" t="n">
        <f aca="false">IF(MONTH($A138)=MONTH($A137),SUM(I138-I137),I138)</f>
        <v>0</v>
      </c>
      <c r="K138" s="124" t="n">
        <f aca="false">IF(WEEKDAY(A138,3)&gt;4,0,(IF(A138&lt;K$2,0,IF(A138&lt;=K$3,1,0))))</f>
        <v>0</v>
      </c>
      <c r="L138" s="124" t="n">
        <f aca="false">J138*K138</f>
        <v>0</v>
      </c>
      <c r="M138" s="124" t="n">
        <f aca="false">SUM(J$97:J138)</f>
        <v>0</v>
      </c>
      <c r="N138" s="124" t="n">
        <f aca="false">SUM(J$6:J138)</f>
        <v>0</v>
      </c>
      <c r="P138" s="124" t="n">
        <f aca="false">D138/P$3</f>
        <v>0</v>
      </c>
      <c r="Q138" s="143" t="n">
        <f aca="false">E138/P$3</f>
        <v>0</v>
      </c>
      <c r="R138" s="124" t="n">
        <f aca="false">F138/R$3</f>
        <v>0</v>
      </c>
      <c r="S138" s="126" t="n">
        <f aca="false">J138/$R$3</f>
        <v>0</v>
      </c>
      <c r="T138" s="126" t="n">
        <f aca="false">L138/$R$3</f>
        <v>0</v>
      </c>
      <c r="U138" s="126" t="n">
        <f aca="false">I138/$R$3</f>
        <v>0</v>
      </c>
      <c r="V138" s="126" t="n">
        <f aca="false">M138/$R$3</f>
        <v>0</v>
      </c>
      <c r="W138" s="126" t="n">
        <f aca="false">N138/$R$3</f>
        <v>0</v>
      </c>
    </row>
    <row r="139" customFormat="false" ht="12.75" hidden="true" customHeight="false" outlineLevel="0" collapsed="false">
      <c r="A139" s="120" t="n">
        <f aca="false">A138+1</f>
        <v>37025</v>
      </c>
      <c r="B139" s="131" t="str">
        <f aca="false">INDEX('Master Data'!$A$2:$B$8,MATCH(WEEKDAY('Arg Total Power'!A139,3),'Master Data'!$A$2:$A$8,0),2)</f>
        <v>M</v>
      </c>
      <c r="D139" s="124" t="n">
        <v>0</v>
      </c>
      <c r="E139" s="124"/>
      <c r="F139" s="124" t="n">
        <v>0</v>
      </c>
      <c r="G139" s="124" t="n">
        <v>0</v>
      </c>
      <c r="I139" s="124" t="n">
        <f aca="false">IF(MONTH($A139)=MONTH($A138),IF(G139=0,I138,G139),G139)</f>
        <v>0</v>
      </c>
      <c r="J139" s="124" t="n">
        <f aca="false">IF(MONTH($A139)=MONTH($A138),SUM(I139-I138),I139)</f>
        <v>0</v>
      </c>
      <c r="K139" s="124" t="n">
        <f aca="false">IF(WEEKDAY(A139,3)&gt;4,0,(IF(A139&lt;K$2,0,IF(A139&lt;=K$3,1,0))))</f>
        <v>0</v>
      </c>
      <c r="L139" s="124" t="n">
        <f aca="false">J139*K139</f>
        <v>0</v>
      </c>
      <c r="M139" s="124" t="n">
        <f aca="false">SUM(J$97:J139)</f>
        <v>0</v>
      </c>
      <c r="N139" s="124" t="n">
        <f aca="false">SUM(J$6:J139)</f>
        <v>0</v>
      </c>
      <c r="P139" s="124" t="n">
        <f aca="false">D139/P$3</f>
        <v>0</v>
      </c>
      <c r="Q139" s="143" t="n">
        <f aca="false">E139/P$3</f>
        <v>0</v>
      </c>
      <c r="R139" s="124" t="n">
        <f aca="false">F139/R$3</f>
        <v>0</v>
      </c>
      <c r="S139" s="126" t="n">
        <f aca="false">J139/$R$3</f>
        <v>0</v>
      </c>
      <c r="T139" s="126" t="n">
        <f aca="false">L139/$R$3</f>
        <v>0</v>
      </c>
      <c r="U139" s="126" t="n">
        <f aca="false">I139/$R$3</f>
        <v>0</v>
      </c>
      <c r="V139" s="126" t="n">
        <f aca="false">M139/$R$3</f>
        <v>0</v>
      </c>
      <c r="W139" s="126" t="n">
        <f aca="false">N139/$R$3</f>
        <v>0</v>
      </c>
    </row>
    <row r="140" customFormat="false" ht="12.75" hidden="true" customHeight="false" outlineLevel="0" collapsed="false">
      <c r="A140" s="120" t="n">
        <f aca="false">A139+1</f>
        <v>37026</v>
      </c>
      <c r="B140" s="131" t="str">
        <f aca="false">INDEX('Master Data'!$A$2:$B$8,MATCH(WEEKDAY('Arg Total Power'!A140,3),'Master Data'!$A$2:$A$8,0),2)</f>
        <v>T</v>
      </c>
      <c r="D140" s="124" t="n">
        <v>0</v>
      </c>
      <c r="E140" s="124"/>
      <c r="F140" s="124" t="n">
        <v>0</v>
      </c>
      <c r="G140" s="124" t="n">
        <v>0</v>
      </c>
      <c r="I140" s="124" t="n">
        <f aca="false">IF(MONTH($A140)=MONTH($A139),IF(G140=0,I139,G140),G140)</f>
        <v>0</v>
      </c>
      <c r="J140" s="124" t="n">
        <f aca="false">IF(MONTH($A140)=MONTH($A139),SUM(I140-I139),I140)</f>
        <v>0</v>
      </c>
      <c r="K140" s="124" t="n">
        <f aca="false">IF(WEEKDAY(A140,3)&gt;4,0,(IF(A140&lt;K$2,0,IF(A140&lt;=K$3,1,0))))</f>
        <v>0</v>
      </c>
      <c r="L140" s="124" t="n">
        <f aca="false">J140*K140</f>
        <v>0</v>
      </c>
      <c r="M140" s="124" t="n">
        <f aca="false">SUM(J$97:J140)</f>
        <v>0</v>
      </c>
      <c r="N140" s="124" t="n">
        <f aca="false">SUM(J$6:J140)</f>
        <v>0</v>
      </c>
      <c r="P140" s="124" t="n">
        <f aca="false">D140/P$3</f>
        <v>0</v>
      </c>
      <c r="Q140" s="143" t="n">
        <f aca="false">E140/P$3</f>
        <v>0</v>
      </c>
      <c r="R140" s="124" t="n">
        <f aca="false">F140/R$3</f>
        <v>0</v>
      </c>
      <c r="S140" s="126" t="n">
        <f aca="false">J140/$R$3</f>
        <v>0</v>
      </c>
      <c r="T140" s="126" t="n">
        <f aca="false">L140/$R$3</f>
        <v>0</v>
      </c>
      <c r="U140" s="126" t="n">
        <f aca="false">I140/$R$3</f>
        <v>0</v>
      </c>
      <c r="V140" s="126" t="n">
        <f aca="false">M140/$R$3</f>
        <v>0</v>
      </c>
      <c r="W140" s="126" t="n">
        <f aca="false">N140/$R$3</f>
        <v>0</v>
      </c>
    </row>
    <row r="141" customFormat="false" ht="12.75" hidden="true" customHeight="false" outlineLevel="0" collapsed="false">
      <c r="A141" s="120" t="n">
        <f aca="false">A140+1</f>
        <v>37027</v>
      </c>
      <c r="B141" s="131" t="str">
        <f aca="false">INDEX('Master Data'!$A$2:$B$8,MATCH(WEEKDAY('Arg Total Power'!A141,3),'Master Data'!$A$2:$A$8,0),2)</f>
        <v>W</v>
      </c>
      <c r="D141" s="124" t="n">
        <v>0</v>
      </c>
      <c r="E141" s="124"/>
      <c r="F141" s="124" t="n">
        <v>0</v>
      </c>
      <c r="G141" s="124" t="n">
        <v>0</v>
      </c>
      <c r="I141" s="124" t="n">
        <f aca="false">IF(MONTH($A141)=MONTH($A140),IF(G141=0,I140,G141),G141)</f>
        <v>0</v>
      </c>
      <c r="J141" s="124" t="n">
        <f aca="false">IF(MONTH($A141)=MONTH($A140),SUM(I141-I140),I141)</f>
        <v>0</v>
      </c>
      <c r="K141" s="124" t="n">
        <f aca="false">IF(WEEKDAY(A141,3)&gt;4,0,(IF(A141&lt;K$2,0,IF(A141&lt;=K$3,1,0))))</f>
        <v>0</v>
      </c>
      <c r="L141" s="124" t="n">
        <f aca="false">J141*K141</f>
        <v>0</v>
      </c>
      <c r="M141" s="124" t="n">
        <f aca="false">SUM(J$97:J141)</f>
        <v>0</v>
      </c>
      <c r="N141" s="124" t="n">
        <f aca="false">SUM(J$6:J141)</f>
        <v>0</v>
      </c>
      <c r="P141" s="124" t="n">
        <f aca="false">D141/P$3</f>
        <v>0</v>
      </c>
      <c r="Q141" s="143" t="n">
        <f aca="false">E141/P$3</f>
        <v>0</v>
      </c>
      <c r="R141" s="124" t="n">
        <f aca="false">F141/R$3</f>
        <v>0</v>
      </c>
      <c r="S141" s="126" t="n">
        <f aca="false">J141/$R$3</f>
        <v>0</v>
      </c>
      <c r="T141" s="126" t="n">
        <f aca="false">L141/$R$3</f>
        <v>0</v>
      </c>
      <c r="U141" s="126" t="n">
        <f aca="false">I141/$R$3</f>
        <v>0</v>
      </c>
      <c r="V141" s="126" t="n">
        <f aca="false">M141/$R$3</f>
        <v>0</v>
      </c>
      <c r="W141" s="126" t="n">
        <f aca="false">N141/$R$3</f>
        <v>0</v>
      </c>
    </row>
    <row r="142" customFormat="false" ht="12.75" hidden="true" customHeight="false" outlineLevel="0" collapsed="false">
      <c r="A142" s="120" t="n">
        <f aca="false">A141+1</f>
        <v>37028</v>
      </c>
      <c r="B142" s="131" t="str">
        <f aca="false">INDEX('Master Data'!$A$2:$B$8,MATCH(WEEKDAY('Arg Total Power'!A142,3),'Master Data'!$A$2:$A$8,0),2)</f>
        <v>Th</v>
      </c>
      <c r="D142" s="124" t="n">
        <v>0</v>
      </c>
      <c r="E142" s="124"/>
      <c r="F142" s="124" t="n">
        <v>0</v>
      </c>
      <c r="G142" s="124" t="n">
        <v>0</v>
      </c>
      <c r="I142" s="124" t="n">
        <f aca="false">IF(MONTH($A142)=MONTH($A141),IF(G142=0,I141,G142),G142)</f>
        <v>0</v>
      </c>
      <c r="J142" s="124" t="n">
        <f aca="false">IF(MONTH($A142)=MONTH($A141),SUM(I142-I141),I142)</f>
        <v>0</v>
      </c>
      <c r="K142" s="124" t="n">
        <f aca="false">IF(WEEKDAY(A142,3)&gt;4,0,(IF(A142&lt;K$2,0,IF(A142&lt;=K$3,1,0))))</f>
        <v>0</v>
      </c>
      <c r="L142" s="124" t="n">
        <f aca="false">J142*K142</f>
        <v>0</v>
      </c>
      <c r="M142" s="124" t="n">
        <f aca="false">SUM(J$97:J142)</f>
        <v>0</v>
      </c>
      <c r="N142" s="124" t="n">
        <f aca="false">SUM(J$6:J142)</f>
        <v>0</v>
      </c>
      <c r="P142" s="124" t="n">
        <f aca="false">D142/P$3</f>
        <v>0</v>
      </c>
      <c r="Q142" s="143" t="n">
        <f aca="false">E142/P$3</f>
        <v>0</v>
      </c>
      <c r="R142" s="124" t="n">
        <f aca="false">F142/R$3</f>
        <v>0</v>
      </c>
      <c r="S142" s="126" t="n">
        <f aca="false">J142/$R$3</f>
        <v>0</v>
      </c>
      <c r="T142" s="126" t="n">
        <f aca="false">L142/$R$3</f>
        <v>0</v>
      </c>
      <c r="U142" s="126" t="n">
        <f aca="false">I142/$R$3</f>
        <v>0</v>
      </c>
      <c r="V142" s="126" t="n">
        <f aca="false">M142/$R$3</f>
        <v>0</v>
      </c>
      <c r="W142" s="126" t="n">
        <f aca="false">N142/$R$3</f>
        <v>0</v>
      </c>
    </row>
    <row r="143" customFormat="false" ht="12.75" hidden="true" customHeight="false" outlineLevel="0" collapsed="false">
      <c r="A143" s="120" t="n">
        <f aca="false">A142+1</f>
        <v>37029</v>
      </c>
      <c r="B143" s="131" t="str">
        <f aca="false">INDEX('Master Data'!$A$2:$B$8,MATCH(WEEKDAY('Arg Total Power'!A143,3),'Master Data'!$A$2:$A$8,0),2)</f>
        <v>F</v>
      </c>
      <c r="D143" s="124" t="n">
        <v>0</v>
      </c>
      <c r="E143" s="124"/>
      <c r="F143" s="124" t="n">
        <v>0</v>
      </c>
      <c r="G143" s="124" t="n">
        <v>0</v>
      </c>
      <c r="I143" s="124" t="n">
        <f aca="false">IF(MONTH($A143)=MONTH($A142),IF(G143=0,I142,G143),G143)</f>
        <v>0</v>
      </c>
      <c r="J143" s="124" t="n">
        <f aca="false">IF(MONTH($A143)=MONTH($A142),SUM(I143-I142),I143)</f>
        <v>0</v>
      </c>
      <c r="K143" s="124" t="n">
        <f aca="false">IF(WEEKDAY(A143,3)&gt;4,0,(IF(A143&lt;K$2,0,IF(A143&lt;=K$3,1,0))))</f>
        <v>0</v>
      </c>
      <c r="L143" s="124" t="n">
        <f aca="false">J143*K143</f>
        <v>0</v>
      </c>
      <c r="M143" s="124" t="n">
        <f aca="false">SUM(J$97:J143)</f>
        <v>0</v>
      </c>
      <c r="N143" s="124" t="n">
        <f aca="false">SUM(J$6:J143)</f>
        <v>0</v>
      </c>
      <c r="P143" s="124" t="n">
        <f aca="false">D143/P$3</f>
        <v>0</v>
      </c>
      <c r="Q143" s="143" t="n">
        <f aca="false">E143/P$3</f>
        <v>0</v>
      </c>
      <c r="R143" s="124" t="n">
        <f aca="false">F143/R$3</f>
        <v>0</v>
      </c>
      <c r="S143" s="126" t="n">
        <f aca="false">J143/$R$3</f>
        <v>0</v>
      </c>
      <c r="T143" s="126" t="n">
        <f aca="false">L143/$R$3</f>
        <v>0</v>
      </c>
      <c r="U143" s="126" t="n">
        <f aca="false">I143/$R$3</f>
        <v>0</v>
      </c>
      <c r="V143" s="126" t="n">
        <f aca="false">M143/$R$3</f>
        <v>0</v>
      </c>
      <c r="W143" s="126" t="n">
        <f aca="false">N143/$R$3</f>
        <v>0</v>
      </c>
    </row>
    <row r="144" customFormat="false" ht="12.75" hidden="true" customHeight="false" outlineLevel="0" collapsed="false">
      <c r="A144" s="120" t="n">
        <f aca="false">A143+1</f>
        <v>37030</v>
      </c>
      <c r="B144" s="131" t="str">
        <f aca="false">INDEX('Master Data'!$A$2:$B$8,MATCH(WEEKDAY('Arg Total Power'!A144,3),'Master Data'!$A$2:$A$8,0),2)</f>
        <v>Sa</v>
      </c>
      <c r="D144" s="124" t="n">
        <v>0</v>
      </c>
      <c r="E144" s="124"/>
      <c r="F144" s="124" t="n">
        <v>0</v>
      </c>
      <c r="G144" s="124" t="n">
        <v>0</v>
      </c>
      <c r="I144" s="124" t="n">
        <f aca="false">IF(MONTH($A144)=MONTH($A143),IF(G144=0,I143,G144),G144)</f>
        <v>0</v>
      </c>
      <c r="J144" s="124" t="n">
        <f aca="false">IF(MONTH($A144)=MONTH($A143),SUM(I144-I143),I144)</f>
        <v>0</v>
      </c>
      <c r="K144" s="124" t="n">
        <f aca="false">IF(WEEKDAY(A144,3)&gt;4,0,(IF(A144&lt;K$2,0,IF(A144&lt;=K$3,1,0))))</f>
        <v>0</v>
      </c>
      <c r="L144" s="124" t="n">
        <f aca="false">J144*K144</f>
        <v>0</v>
      </c>
      <c r="M144" s="124" t="n">
        <f aca="false">SUM(J$97:J144)</f>
        <v>0</v>
      </c>
      <c r="N144" s="124" t="n">
        <f aca="false">SUM(J$6:J144)</f>
        <v>0</v>
      </c>
      <c r="P144" s="124" t="n">
        <f aca="false">D144/P$3</f>
        <v>0</v>
      </c>
      <c r="Q144" s="143" t="n">
        <f aca="false">E144/P$3</f>
        <v>0</v>
      </c>
      <c r="R144" s="124" t="n">
        <f aca="false">F144/R$3</f>
        <v>0</v>
      </c>
      <c r="S144" s="126" t="n">
        <f aca="false">J144/$R$3</f>
        <v>0</v>
      </c>
      <c r="T144" s="126" t="n">
        <f aca="false">L144/$R$3</f>
        <v>0</v>
      </c>
      <c r="U144" s="126" t="n">
        <f aca="false">I144/$R$3</f>
        <v>0</v>
      </c>
      <c r="V144" s="126" t="n">
        <f aca="false">M144/$R$3</f>
        <v>0</v>
      </c>
      <c r="W144" s="126" t="n">
        <f aca="false">N144/$R$3</f>
        <v>0</v>
      </c>
    </row>
    <row r="145" customFormat="false" ht="12.75" hidden="true" customHeight="false" outlineLevel="0" collapsed="false">
      <c r="A145" s="120" t="n">
        <f aca="false">A144+1</f>
        <v>37031</v>
      </c>
      <c r="B145" s="131" t="str">
        <f aca="false">INDEX('Master Data'!$A$2:$B$8,MATCH(WEEKDAY('Arg Total Power'!A145,3),'Master Data'!$A$2:$A$8,0),2)</f>
        <v>Su</v>
      </c>
      <c r="D145" s="124" t="n">
        <v>0</v>
      </c>
      <c r="E145" s="124"/>
      <c r="F145" s="124" t="n">
        <v>0</v>
      </c>
      <c r="G145" s="124" t="n">
        <v>0</v>
      </c>
      <c r="I145" s="124" t="n">
        <f aca="false">IF(MONTH($A145)=MONTH($A144),IF(G145=0,I144,G145),G145)</f>
        <v>0</v>
      </c>
      <c r="J145" s="124" t="n">
        <f aca="false">IF(MONTH($A145)=MONTH($A144),SUM(I145-I144),I145)</f>
        <v>0</v>
      </c>
      <c r="K145" s="124" t="n">
        <f aca="false">IF(WEEKDAY(A145,3)&gt;4,0,(IF(A145&lt;K$2,0,IF(A145&lt;=K$3,1,0))))</f>
        <v>0</v>
      </c>
      <c r="L145" s="124" t="n">
        <f aca="false">J145*K145</f>
        <v>0</v>
      </c>
      <c r="M145" s="124" t="n">
        <f aca="false">SUM(J$97:J145)</f>
        <v>0</v>
      </c>
      <c r="N145" s="124" t="n">
        <f aca="false">SUM(J$6:J145)</f>
        <v>0</v>
      </c>
      <c r="P145" s="124" t="n">
        <f aca="false">D145/P$3</f>
        <v>0</v>
      </c>
      <c r="Q145" s="143" t="n">
        <f aca="false">E145/P$3</f>
        <v>0</v>
      </c>
      <c r="R145" s="124" t="n">
        <f aca="false">F145/R$3</f>
        <v>0</v>
      </c>
      <c r="S145" s="126" t="n">
        <f aca="false">J145/$R$3</f>
        <v>0</v>
      </c>
      <c r="T145" s="126" t="n">
        <f aca="false">L145/$R$3</f>
        <v>0</v>
      </c>
      <c r="U145" s="126" t="n">
        <f aca="false">I145/$R$3</f>
        <v>0</v>
      </c>
      <c r="V145" s="126" t="n">
        <f aca="false">M145/$R$3</f>
        <v>0</v>
      </c>
      <c r="W145" s="126" t="n">
        <f aca="false">N145/$R$3</f>
        <v>0</v>
      </c>
    </row>
    <row r="146" customFormat="false" ht="12.75" hidden="true" customHeight="false" outlineLevel="0" collapsed="false">
      <c r="A146" s="120" t="n">
        <f aca="false">A145+1</f>
        <v>37032</v>
      </c>
      <c r="B146" s="131" t="str">
        <f aca="false">INDEX('Master Data'!$A$2:$B$8,MATCH(WEEKDAY('Arg Total Power'!A146,3),'Master Data'!$A$2:$A$8,0),2)</f>
        <v>M</v>
      </c>
      <c r="D146" s="124" t="n">
        <v>0</v>
      </c>
      <c r="E146" s="124"/>
      <c r="F146" s="124" t="n">
        <v>0</v>
      </c>
      <c r="G146" s="124" t="n">
        <v>0</v>
      </c>
      <c r="I146" s="124" t="n">
        <f aca="false">IF(MONTH($A146)=MONTH($A145),IF(G148=0,I145,G148),G148)</f>
        <v>0</v>
      </c>
      <c r="J146" s="124" t="n">
        <f aca="false">IF(MONTH($A146)=MONTH($A145),SUM(I146-I145),I146)</f>
        <v>0</v>
      </c>
      <c r="K146" s="124" t="n">
        <f aca="false">IF(WEEKDAY(A146,3)&gt;4,0,(IF(A146&lt;K$2,0,IF(A146&lt;=K$3,1,0))))</f>
        <v>0</v>
      </c>
      <c r="L146" s="124" t="n">
        <f aca="false">J146*K146</f>
        <v>0</v>
      </c>
      <c r="M146" s="124" t="n">
        <f aca="false">SUM(J$97:J146)</f>
        <v>0</v>
      </c>
      <c r="N146" s="124" t="n">
        <f aca="false">SUM(J$6:J146)</f>
        <v>0</v>
      </c>
      <c r="P146" s="124" t="n">
        <f aca="false">D148/P$3</f>
        <v>0</v>
      </c>
      <c r="Q146" s="143" t="n">
        <f aca="false">E146/P$3</f>
        <v>0</v>
      </c>
      <c r="R146" s="124" t="n">
        <f aca="false">F148/R$3</f>
        <v>0</v>
      </c>
      <c r="S146" s="126" t="n">
        <f aca="false">J146/$R$3</f>
        <v>0</v>
      </c>
      <c r="T146" s="126" t="n">
        <f aca="false">L146/$R$3</f>
        <v>0</v>
      </c>
      <c r="U146" s="126" t="n">
        <f aca="false">I146/$R$3</f>
        <v>0</v>
      </c>
      <c r="V146" s="126" t="n">
        <f aca="false">M146/$R$3</f>
        <v>0</v>
      </c>
      <c r="W146" s="126" t="n">
        <f aca="false">N146/$R$3</f>
        <v>0</v>
      </c>
    </row>
    <row r="147" customFormat="false" ht="12.75" hidden="true" customHeight="false" outlineLevel="0" collapsed="false">
      <c r="A147" s="120" t="n">
        <f aca="false">A146+1</f>
        <v>37033</v>
      </c>
      <c r="B147" s="131" t="str">
        <f aca="false">INDEX('Master Data'!$A$2:$B$8,MATCH(WEEKDAY('Arg Total Power'!A147,3),'Master Data'!$A$2:$A$8,0),2)</f>
        <v>T</v>
      </c>
      <c r="D147" s="124" t="n">
        <v>0</v>
      </c>
      <c r="E147" s="124"/>
      <c r="F147" s="124" t="n">
        <v>0</v>
      </c>
      <c r="G147" s="124" t="n">
        <v>0</v>
      </c>
      <c r="I147" s="124" t="n">
        <f aca="false">IF(MONTH($A147)=MONTH($A146),IF(G147=0,I146,G147),G147)</f>
        <v>0</v>
      </c>
      <c r="J147" s="124" t="n">
        <f aca="false">IF(MONTH($A147)=MONTH($A146),SUM(I147-I146),I147)</f>
        <v>0</v>
      </c>
      <c r="K147" s="124" t="n">
        <f aca="false">IF(WEEKDAY(A147,3)&gt;4,0,(IF(A147&lt;K$2,0,IF(A147&lt;=K$3,1,0))))</f>
        <v>0</v>
      </c>
      <c r="L147" s="124" t="n">
        <f aca="false">J147*K147</f>
        <v>0</v>
      </c>
      <c r="M147" s="124" t="n">
        <f aca="false">SUM(J$97:J147)</f>
        <v>0</v>
      </c>
      <c r="N147" s="124" t="n">
        <f aca="false">SUM(J$6:J147)</f>
        <v>0</v>
      </c>
      <c r="P147" s="124" t="n">
        <f aca="false">D147/P$3</f>
        <v>0</v>
      </c>
      <c r="Q147" s="143" t="n">
        <f aca="false">E147/P$3</f>
        <v>0</v>
      </c>
      <c r="R147" s="124" t="n">
        <f aca="false">F149/R$3</f>
        <v>0</v>
      </c>
      <c r="S147" s="126" t="n">
        <f aca="false">J147/$R$3</f>
        <v>0</v>
      </c>
      <c r="T147" s="126" t="n">
        <f aca="false">L147/$R$3</f>
        <v>0</v>
      </c>
      <c r="U147" s="126" t="n">
        <f aca="false">I147/$R$3</f>
        <v>0</v>
      </c>
      <c r="V147" s="126" t="n">
        <f aca="false">M147/$R$3</f>
        <v>0</v>
      </c>
      <c r="W147" s="126" t="n">
        <f aca="false">N147/$R$3</f>
        <v>0</v>
      </c>
    </row>
    <row r="148" customFormat="false" ht="12.75" hidden="true" customHeight="false" outlineLevel="0" collapsed="false">
      <c r="A148" s="120" t="n">
        <f aca="false">A147+1</f>
        <v>37034</v>
      </c>
      <c r="B148" s="131" t="str">
        <f aca="false">INDEX('Master Data'!$A$2:$B$8,MATCH(WEEKDAY('Arg Total Power'!A148,3),'Master Data'!$A$2:$A$8,0),2)</f>
        <v>W</v>
      </c>
      <c r="D148" s="124" t="n">
        <v>0</v>
      </c>
      <c r="E148" s="124"/>
      <c r="F148" s="124" t="n">
        <v>0</v>
      </c>
      <c r="G148" s="124" t="n">
        <v>0</v>
      </c>
      <c r="I148" s="124" t="n">
        <f aca="false">IF(MONTH($A148)=MONTH($A147),IF(G148=0,I147,G148),G148)</f>
        <v>0</v>
      </c>
      <c r="J148" s="124" t="n">
        <f aca="false">IF(MONTH($A148)=MONTH($A147),SUM(I148-I147),I148)</f>
        <v>0</v>
      </c>
      <c r="K148" s="124" t="n">
        <f aca="false">IF(WEEKDAY(A148,3)&gt;4,0,(IF(A148&lt;K$2,0,IF(A148&lt;=K$3,1,0))))</f>
        <v>0</v>
      </c>
      <c r="L148" s="124" t="n">
        <f aca="false">J148*K148</f>
        <v>0</v>
      </c>
      <c r="M148" s="124" t="n">
        <f aca="false">SUM(J$97:J148)</f>
        <v>0</v>
      </c>
      <c r="N148" s="124" t="n">
        <f aca="false">SUM(J$6:J148)</f>
        <v>0</v>
      </c>
      <c r="P148" s="124" t="n">
        <f aca="false">D148/P$3</f>
        <v>0</v>
      </c>
      <c r="Q148" s="143" t="n">
        <f aca="false">E148/P$3</f>
        <v>0</v>
      </c>
      <c r="R148" s="124" t="n">
        <f aca="false">F150/R$3</f>
        <v>0</v>
      </c>
      <c r="S148" s="126" t="n">
        <f aca="false">J148/$R$3</f>
        <v>0</v>
      </c>
      <c r="T148" s="126" t="n">
        <f aca="false">L148/$R$3</f>
        <v>0</v>
      </c>
      <c r="U148" s="126" t="n">
        <f aca="false">I148/$R$3</f>
        <v>0</v>
      </c>
      <c r="V148" s="126" t="n">
        <f aca="false">M148/$R$3</f>
        <v>0</v>
      </c>
      <c r="W148" s="126" t="n">
        <f aca="false">N148/$R$3</f>
        <v>0</v>
      </c>
    </row>
    <row r="149" customFormat="false" ht="12.75" hidden="true" customHeight="false" outlineLevel="0" collapsed="false">
      <c r="A149" s="120" t="n">
        <f aca="false">A148+1</f>
        <v>37035</v>
      </c>
      <c r="B149" s="131" t="str">
        <f aca="false">INDEX('Master Data'!$A$2:$B$8,MATCH(WEEKDAY('Arg Total Power'!A149,3),'Master Data'!$A$2:$A$8,0),2)</f>
        <v>Th</v>
      </c>
      <c r="D149" s="124" t="n">
        <v>0</v>
      </c>
      <c r="E149" s="124"/>
      <c r="F149" s="124" t="n">
        <v>0</v>
      </c>
      <c r="G149" s="124" t="n">
        <v>0</v>
      </c>
      <c r="I149" s="124" t="n">
        <f aca="false">IF(MONTH($A149)=MONTH($A148),IF(G149=0,I148,G149),G149)</f>
        <v>0</v>
      </c>
      <c r="J149" s="124" t="n">
        <f aca="false">IF(MONTH($A149)=MONTH($A148),SUM(I149-I148),I149)</f>
        <v>0</v>
      </c>
      <c r="K149" s="124" t="n">
        <f aca="false">IF(WEEKDAY(A149,3)&gt;4,0,(IF(A149&lt;K$2,0,IF(A149&lt;=K$3,1,0))))</f>
        <v>0</v>
      </c>
      <c r="L149" s="124" t="n">
        <f aca="false">J149*K149</f>
        <v>0</v>
      </c>
      <c r="M149" s="124" t="n">
        <f aca="false">SUM(J$97:J149)</f>
        <v>0</v>
      </c>
      <c r="N149" s="124" t="n">
        <f aca="false">SUM(J$6:J149)</f>
        <v>0</v>
      </c>
      <c r="P149" s="124" t="n">
        <f aca="false">D149/P$3</f>
        <v>0</v>
      </c>
      <c r="Q149" s="143" t="n">
        <f aca="false">E149/P$3</f>
        <v>0</v>
      </c>
      <c r="R149" s="124" t="n">
        <f aca="false">F151/R$3</f>
        <v>0</v>
      </c>
      <c r="S149" s="126" t="n">
        <f aca="false">J149/$R$3</f>
        <v>0</v>
      </c>
      <c r="T149" s="126" t="n">
        <f aca="false">L149/$R$3</f>
        <v>0</v>
      </c>
      <c r="U149" s="126" t="n">
        <f aca="false">I149/$R$3</f>
        <v>0</v>
      </c>
      <c r="V149" s="126" t="n">
        <f aca="false">M149/$R$3</f>
        <v>0</v>
      </c>
      <c r="W149" s="126" t="n">
        <f aca="false">N149/$R$3</f>
        <v>0</v>
      </c>
    </row>
    <row r="150" customFormat="false" ht="12.75" hidden="true" customHeight="false" outlineLevel="0" collapsed="false">
      <c r="A150" s="120" t="n">
        <f aca="false">A149+1</f>
        <v>37036</v>
      </c>
      <c r="B150" s="131" t="str">
        <f aca="false">INDEX('Master Data'!$A$2:$B$8,MATCH(WEEKDAY('Arg Total Power'!A150,3),'Master Data'!$A$2:$A$8,0),2)</f>
        <v>F</v>
      </c>
      <c r="D150" s="124" t="n">
        <v>0</v>
      </c>
      <c r="E150" s="124"/>
      <c r="F150" s="124" t="n">
        <v>0</v>
      </c>
      <c r="G150" s="124" t="n">
        <v>0</v>
      </c>
      <c r="I150" s="124" t="n">
        <f aca="false">IF(MONTH($A150)=MONTH($A149),IF(G150=0,I149,G150),G150)</f>
        <v>0</v>
      </c>
      <c r="J150" s="124" t="n">
        <f aca="false">IF(MONTH($A150)=MONTH($A149),SUM(I150-I149),I150)</f>
        <v>0</v>
      </c>
      <c r="K150" s="124" t="n">
        <f aca="false">IF(WEEKDAY(A150,3)&gt;4,0,(IF(A150&lt;K$2,0,IF(A150&lt;=K$3,1,0))))</f>
        <v>0</v>
      </c>
      <c r="L150" s="124" t="n">
        <f aca="false">J150*K150</f>
        <v>0</v>
      </c>
      <c r="M150" s="124" t="n">
        <f aca="false">SUM(J$97:J150)</f>
        <v>0</v>
      </c>
      <c r="N150" s="124" t="n">
        <f aca="false">SUM(J$6:J150)</f>
        <v>0</v>
      </c>
      <c r="P150" s="124" t="n">
        <f aca="false">D150/P$3</f>
        <v>0</v>
      </c>
      <c r="Q150" s="143" t="n">
        <f aca="false">E150/P$3</f>
        <v>0</v>
      </c>
      <c r="R150" s="124" t="n">
        <f aca="false">F152/R$3</f>
        <v>0</v>
      </c>
      <c r="S150" s="126" t="n">
        <f aca="false">J150/$R$3</f>
        <v>0</v>
      </c>
      <c r="T150" s="126" t="n">
        <f aca="false">L150/$R$3</f>
        <v>0</v>
      </c>
      <c r="U150" s="126" t="n">
        <f aca="false">I150/$R$3</f>
        <v>0</v>
      </c>
      <c r="V150" s="126" t="n">
        <f aca="false">M150/$R$3</f>
        <v>0</v>
      </c>
      <c r="W150" s="126" t="n">
        <f aca="false">N150/$R$3</f>
        <v>0</v>
      </c>
    </row>
    <row r="151" customFormat="false" ht="12.75" hidden="true" customHeight="false" outlineLevel="0" collapsed="false">
      <c r="A151" s="120" t="n">
        <f aca="false">A150+1</f>
        <v>37037</v>
      </c>
      <c r="B151" s="131" t="str">
        <f aca="false">INDEX('Master Data'!$A$2:$B$8,MATCH(WEEKDAY('Arg Total Power'!A151,3),'Master Data'!$A$2:$A$8,0),2)</f>
        <v>Sa</v>
      </c>
      <c r="D151" s="124" t="n">
        <v>0</v>
      </c>
      <c r="E151" s="124"/>
      <c r="F151" s="124" t="n">
        <v>0</v>
      </c>
      <c r="G151" s="124" t="n">
        <v>0</v>
      </c>
      <c r="I151" s="124" t="n">
        <f aca="false">IF(MONTH($A151)=MONTH($A150),IF(G151=0,I150,G151),G151)</f>
        <v>0</v>
      </c>
      <c r="J151" s="124" t="n">
        <f aca="false">IF(MONTH($A151)=MONTH($A150),SUM(I151-I150),I151)</f>
        <v>0</v>
      </c>
      <c r="K151" s="124" t="n">
        <f aca="false">IF(WEEKDAY(A151,3)&gt;4,0,(IF(A151&lt;K$2,0,IF(A151&lt;=K$3,1,0))))</f>
        <v>0</v>
      </c>
      <c r="L151" s="124" t="n">
        <f aca="false">J151*K151</f>
        <v>0</v>
      </c>
      <c r="M151" s="124" t="n">
        <f aca="false">SUM(J$97:J151)</f>
        <v>0</v>
      </c>
      <c r="N151" s="124" t="n">
        <f aca="false">SUM(J$6:J151)</f>
        <v>0</v>
      </c>
      <c r="P151" s="124" t="n">
        <f aca="false">D151/P$3</f>
        <v>0</v>
      </c>
      <c r="Q151" s="143" t="n">
        <f aca="false">E151/P$3</f>
        <v>0</v>
      </c>
      <c r="R151" s="124" t="n">
        <f aca="false">F153/R$3</f>
        <v>0</v>
      </c>
      <c r="S151" s="126" t="n">
        <f aca="false">J151/$R$3</f>
        <v>0</v>
      </c>
      <c r="T151" s="126" t="n">
        <f aca="false">L151/$R$3</f>
        <v>0</v>
      </c>
      <c r="U151" s="126" t="n">
        <f aca="false">I151/$R$3</f>
        <v>0</v>
      </c>
      <c r="V151" s="126" t="n">
        <f aca="false">M151/$R$3</f>
        <v>0</v>
      </c>
      <c r="W151" s="126" t="n">
        <f aca="false">N151/$R$3</f>
        <v>0</v>
      </c>
    </row>
    <row r="152" customFormat="false" ht="12.75" hidden="true" customHeight="false" outlineLevel="0" collapsed="false">
      <c r="A152" s="120" t="n">
        <f aca="false">A151+1</f>
        <v>37038</v>
      </c>
      <c r="B152" s="131" t="str">
        <f aca="false">INDEX('Master Data'!$A$2:$B$8,MATCH(WEEKDAY('Arg Total Power'!A152,3),'Master Data'!$A$2:$A$8,0),2)</f>
        <v>Su</v>
      </c>
      <c r="D152" s="124" t="n">
        <v>0</v>
      </c>
      <c r="E152" s="124"/>
      <c r="F152" s="124" t="n">
        <v>0</v>
      </c>
      <c r="G152" s="124" t="n">
        <v>0</v>
      </c>
      <c r="I152" s="124" t="n">
        <f aca="false">IF(MONTH($A152)=MONTH($A151),IF(G152=0,I151,G152),G152)</f>
        <v>0</v>
      </c>
      <c r="J152" s="124" t="n">
        <f aca="false">IF(MONTH($A152)=MONTH($A151),SUM(I152-I151),I152)</f>
        <v>0</v>
      </c>
      <c r="K152" s="124" t="n">
        <f aca="false">IF(WEEKDAY(A152,3)&gt;4,0,(IF(A152&lt;K$2,0,IF(A152&lt;=K$3,1,0))))</f>
        <v>0</v>
      </c>
      <c r="L152" s="124" t="n">
        <f aca="false">J152*K152</f>
        <v>0</v>
      </c>
      <c r="M152" s="124" t="n">
        <f aca="false">SUM(J$97:J152)</f>
        <v>0</v>
      </c>
      <c r="N152" s="124" t="n">
        <f aca="false">SUM(J$6:J152)</f>
        <v>0</v>
      </c>
      <c r="P152" s="124" t="n">
        <f aca="false">D152/P$3</f>
        <v>0</v>
      </c>
      <c r="Q152" s="143" t="n">
        <f aca="false">E152/P$3</f>
        <v>0</v>
      </c>
      <c r="R152" s="124" t="n">
        <f aca="false">F154/R$3</f>
        <v>0</v>
      </c>
      <c r="S152" s="126" t="n">
        <f aca="false">J152/$R$3</f>
        <v>0</v>
      </c>
      <c r="T152" s="126" t="n">
        <f aca="false">L152/$R$3</f>
        <v>0</v>
      </c>
      <c r="U152" s="126" t="n">
        <f aca="false">I152/$R$3</f>
        <v>0</v>
      </c>
      <c r="V152" s="126" t="n">
        <f aca="false">M152/$R$3</f>
        <v>0</v>
      </c>
      <c r="W152" s="126" t="n">
        <f aca="false">N152/$R$3</f>
        <v>0</v>
      </c>
    </row>
    <row r="153" customFormat="false" ht="12.75" hidden="true" customHeight="false" outlineLevel="0" collapsed="false">
      <c r="A153" s="120" t="n">
        <f aca="false">A152+1</f>
        <v>37039</v>
      </c>
      <c r="B153" s="131" t="str">
        <f aca="false">INDEX('Master Data'!$A$2:$B$8,MATCH(WEEKDAY('Arg Total Power'!A153,3),'Master Data'!$A$2:$A$8,0),2)</f>
        <v>M</v>
      </c>
      <c r="D153" s="124" t="n">
        <v>0</v>
      </c>
      <c r="E153" s="124"/>
      <c r="F153" s="124" t="n">
        <v>0</v>
      </c>
      <c r="G153" s="124" t="n">
        <v>0</v>
      </c>
      <c r="I153" s="124" t="n">
        <f aca="false">IF(MONTH($A153)=MONTH($A152),IF(G153=0,I152,G153),G153)</f>
        <v>0</v>
      </c>
      <c r="J153" s="124" t="n">
        <f aca="false">IF(MONTH($A153)=MONTH($A152),SUM(I153-I152),I153)</f>
        <v>0</v>
      </c>
      <c r="K153" s="124" t="n">
        <f aca="false">IF(WEEKDAY(A153,3)&gt;4,0,(IF(A153&lt;K$2,0,IF(A153&lt;=K$3,1,0))))</f>
        <v>0</v>
      </c>
      <c r="L153" s="124" t="n">
        <f aca="false">J153*K153</f>
        <v>0</v>
      </c>
      <c r="M153" s="124" t="n">
        <f aca="false">SUM(J$97:J153)</f>
        <v>0</v>
      </c>
      <c r="N153" s="124" t="n">
        <f aca="false">SUM(J$6:J153)</f>
        <v>0</v>
      </c>
      <c r="P153" s="124" t="n">
        <f aca="false">D153/P$3</f>
        <v>0</v>
      </c>
      <c r="Q153" s="143" t="n">
        <f aca="false">E153/P$3</f>
        <v>0</v>
      </c>
      <c r="R153" s="124" t="n">
        <f aca="false">F155/R$3</f>
        <v>0</v>
      </c>
      <c r="S153" s="126" t="n">
        <f aca="false">J153/$R$3</f>
        <v>0</v>
      </c>
      <c r="T153" s="126" t="n">
        <f aca="false">L153/$R$3</f>
        <v>0</v>
      </c>
      <c r="U153" s="126" t="n">
        <f aca="false">I153/$R$3</f>
        <v>0</v>
      </c>
      <c r="V153" s="126" t="n">
        <f aca="false">M153/$R$3</f>
        <v>0</v>
      </c>
      <c r="W153" s="126" t="n">
        <f aca="false">N153/$R$3</f>
        <v>0</v>
      </c>
    </row>
    <row r="154" customFormat="false" ht="12.75" hidden="true" customHeight="false" outlineLevel="0" collapsed="false">
      <c r="A154" s="120" t="n">
        <f aca="false">A153+1</f>
        <v>37040</v>
      </c>
      <c r="B154" s="131" t="str">
        <f aca="false">INDEX('Master Data'!$A$2:$B$8,MATCH(WEEKDAY('Arg Total Power'!A154,3),'Master Data'!$A$2:$A$8,0),2)</f>
        <v>T</v>
      </c>
      <c r="D154" s="124" t="n">
        <v>0</v>
      </c>
      <c r="E154" s="124"/>
      <c r="F154" s="124" t="n">
        <v>0</v>
      </c>
      <c r="G154" s="124" t="n">
        <v>0</v>
      </c>
      <c r="I154" s="124" t="n">
        <f aca="false">IF(MONTH($A154)=MONTH($A153),IF(G154=0,I153,G154),G154)</f>
        <v>0</v>
      </c>
      <c r="J154" s="124" t="n">
        <f aca="false">IF(MONTH($A154)=MONTH($A153),SUM(I154-I153),I154)</f>
        <v>0</v>
      </c>
      <c r="K154" s="124" t="n">
        <f aca="false">IF(WEEKDAY(A154,3)&gt;4,0,(IF(A154&lt;K$2,0,IF(A154&lt;=K$3,1,0))))</f>
        <v>0</v>
      </c>
      <c r="L154" s="124" t="n">
        <f aca="false">J154*K154</f>
        <v>0</v>
      </c>
      <c r="M154" s="124" t="n">
        <f aca="false">SUM(J$97:J154)</f>
        <v>0</v>
      </c>
      <c r="N154" s="124" t="n">
        <f aca="false">SUM(J$6:J154)</f>
        <v>0</v>
      </c>
      <c r="P154" s="124" t="n">
        <f aca="false">D154/P$3</f>
        <v>0</v>
      </c>
      <c r="Q154" s="143" t="n">
        <f aca="false">E154/P$3</f>
        <v>0</v>
      </c>
      <c r="R154" s="124" t="n">
        <f aca="false">F156/R$3</f>
        <v>0</v>
      </c>
      <c r="S154" s="126" t="n">
        <f aca="false">J154/$R$3</f>
        <v>0</v>
      </c>
      <c r="T154" s="126" t="n">
        <f aca="false">L154/$R$3</f>
        <v>0</v>
      </c>
      <c r="U154" s="126" t="n">
        <f aca="false">I154/$R$3</f>
        <v>0</v>
      </c>
      <c r="V154" s="126" t="n">
        <f aca="false">M154/$R$3</f>
        <v>0</v>
      </c>
      <c r="W154" s="126" t="n">
        <f aca="false">N154/$R$3</f>
        <v>0</v>
      </c>
    </row>
    <row r="155" customFormat="false" ht="12.75" hidden="true" customHeight="false" outlineLevel="0" collapsed="false">
      <c r="A155" s="120" t="n">
        <f aca="false">A154+1</f>
        <v>37041</v>
      </c>
      <c r="B155" s="131" t="str">
        <f aca="false">INDEX('Master Data'!$A$2:$B$8,MATCH(WEEKDAY('Arg Total Power'!A155,3),'Master Data'!$A$2:$A$8,0),2)</f>
        <v>W</v>
      </c>
      <c r="D155" s="124" t="n">
        <v>0</v>
      </c>
      <c r="E155" s="124"/>
      <c r="F155" s="124" t="n">
        <v>0</v>
      </c>
      <c r="G155" s="124" t="n">
        <v>0</v>
      </c>
      <c r="I155" s="124" t="n">
        <f aca="false">IF(MONTH($A155)=MONTH($A154),IF(G155=0,I154,G155),G155)</f>
        <v>0</v>
      </c>
      <c r="J155" s="124" t="n">
        <f aca="false">IF(MONTH($A155)=MONTH($A154),SUM(I155-I154),I155)</f>
        <v>0</v>
      </c>
      <c r="K155" s="124" t="n">
        <f aca="false">IF(WEEKDAY(A155,3)&gt;4,0,(IF(A155&lt;K$2,0,IF(A155&lt;=K$3,1,0))))</f>
        <v>0</v>
      </c>
      <c r="L155" s="124" t="n">
        <f aca="false">J155*K155</f>
        <v>0</v>
      </c>
      <c r="M155" s="124" t="n">
        <f aca="false">SUM(J$97:J155)</f>
        <v>0</v>
      </c>
      <c r="N155" s="124" t="n">
        <f aca="false">SUM(J$6:J155)</f>
        <v>0</v>
      </c>
      <c r="P155" s="124" t="n">
        <f aca="false">D155/P$3</f>
        <v>0</v>
      </c>
      <c r="Q155" s="143" t="n">
        <f aca="false">E155/P$3</f>
        <v>0</v>
      </c>
      <c r="R155" s="124" t="n">
        <f aca="false">F157/R$3</f>
        <v>0</v>
      </c>
      <c r="S155" s="126" t="n">
        <f aca="false">J155/$R$3</f>
        <v>0</v>
      </c>
      <c r="T155" s="126" t="n">
        <f aca="false">L155/$R$3</f>
        <v>0</v>
      </c>
      <c r="U155" s="126" t="n">
        <f aca="false">I155/$R$3</f>
        <v>0</v>
      </c>
      <c r="V155" s="126" t="n">
        <f aca="false">M155/$R$3</f>
        <v>0</v>
      </c>
      <c r="W155" s="126" t="n">
        <f aca="false">N155/$R$3</f>
        <v>0</v>
      </c>
    </row>
    <row r="156" customFormat="false" ht="12.75" hidden="false" customHeight="false" outlineLevel="0" collapsed="false">
      <c r="A156" s="120" t="n">
        <f aca="false">A155+1</f>
        <v>37042</v>
      </c>
      <c r="B156" s="131" t="str">
        <f aca="false">INDEX('Master Data'!$A$2:$B$8,MATCH(WEEKDAY('Arg Total Power'!A156,3),'Master Data'!$A$2:$A$8,0),2)</f>
        <v>Th</v>
      </c>
      <c r="D156" s="124" t="n">
        <v>0</v>
      </c>
      <c r="E156" s="124"/>
      <c r="F156" s="124" t="n">
        <v>0</v>
      </c>
      <c r="G156" s="124" t="n">
        <v>0</v>
      </c>
      <c r="I156" s="124" t="n">
        <f aca="false">IF(MONTH($A156)=MONTH($A155),IF(G156=0,I155,G156),G156)</f>
        <v>0</v>
      </c>
      <c r="J156" s="124" t="n">
        <f aca="false">IF(MONTH($A156)=MONTH($A155),SUM(I156-I155),I156)</f>
        <v>0</v>
      </c>
      <c r="K156" s="124" t="n">
        <f aca="false">IF(WEEKDAY(A156,3)&gt;4,0,(IF(A156&lt;K$2,0,IF(A156&lt;=K$3,1,0))))</f>
        <v>0</v>
      </c>
      <c r="L156" s="124" t="n">
        <f aca="false">J156*K156</f>
        <v>0</v>
      </c>
      <c r="M156" s="124" t="n">
        <f aca="false">SUM(J$97:J156)</f>
        <v>0</v>
      </c>
      <c r="N156" s="124" t="n">
        <f aca="false">SUM(J$6:J156)</f>
        <v>0</v>
      </c>
      <c r="P156" s="124" t="n">
        <f aca="false">D156/P$3</f>
        <v>0</v>
      </c>
      <c r="Q156" s="143" t="n">
        <f aca="false">E156/P$3</f>
        <v>0</v>
      </c>
      <c r="R156" s="124" t="n">
        <f aca="false">F158/R$3</f>
        <v>0</v>
      </c>
      <c r="S156" s="126" t="n">
        <f aca="false">J156/$R$3</f>
        <v>0</v>
      </c>
      <c r="T156" s="126" t="n">
        <f aca="false">L156/$R$3</f>
        <v>0</v>
      </c>
      <c r="U156" s="126" t="n">
        <f aca="false">I156/$R$3</f>
        <v>0</v>
      </c>
      <c r="V156" s="126" t="n">
        <f aca="false">M156/$R$3</f>
        <v>0</v>
      </c>
      <c r="W156" s="126" t="n">
        <f aca="false">N156/$R$3</f>
        <v>0</v>
      </c>
    </row>
    <row r="157" customFormat="false" ht="12.75" hidden="true" customHeight="false" outlineLevel="0" collapsed="false">
      <c r="A157" s="120" t="n">
        <f aca="false">A156+1</f>
        <v>37043</v>
      </c>
      <c r="B157" s="131" t="str">
        <f aca="false">INDEX('Master Data'!$A$2:$B$8,MATCH(WEEKDAY('Arg Total Power'!A157,3),'Master Data'!$A$2:$A$8,0),2)</f>
        <v>F</v>
      </c>
      <c r="D157" s="124" t="n">
        <v>0</v>
      </c>
      <c r="E157" s="124"/>
      <c r="F157" s="124" t="n">
        <v>0</v>
      </c>
      <c r="G157" s="124" t="n">
        <v>0</v>
      </c>
      <c r="I157" s="124" t="n">
        <f aca="false">IF(MONTH($A157)=MONTH($A156),IF(G157=0,I156,G157),G157)</f>
        <v>0</v>
      </c>
      <c r="J157" s="124" t="n">
        <f aca="false">IF(MONTH($A157)=MONTH($A156),SUM(I157-I156),I157)</f>
        <v>0</v>
      </c>
      <c r="K157" s="124" t="n">
        <f aca="false">IF(WEEKDAY(A157,3)&gt;4,0,(IF(A157&lt;K$2,0,IF(A157&lt;=K$3,1,0))))</f>
        <v>0</v>
      </c>
      <c r="L157" s="124" t="n">
        <f aca="false">J157*K157</f>
        <v>0</v>
      </c>
      <c r="M157" s="124" t="n">
        <f aca="false">SUM(J$97:J157)</f>
        <v>0</v>
      </c>
      <c r="N157" s="124" t="n">
        <f aca="false">SUM(J$6:J157)</f>
        <v>0</v>
      </c>
      <c r="P157" s="124" t="n">
        <f aca="false">D157/P$3</f>
        <v>0</v>
      </c>
      <c r="Q157" s="143" t="n">
        <f aca="false">E157/P$3</f>
        <v>0</v>
      </c>
      <c r="R157" s="124" t="n">
        <f aca="false">F159/R$3</f>
        <v>0</v>
      </c>
      <c r="S157" s="126" t="n">
        <f aca="false">J157/$R$3</f>
        <v>0</v>
      </c>
      <c r="T157" s="126" t="n">
        <f aca="false">L157/$R$3</f>
        <v>0</v>
      </c>
      <c r="U157" s="126" t="n">
        <f aca="false">I157/$R$3</f>
        <v>0</v>
      </c>
      <c r="V157" s="126" t="n">
        <f aca="false">M157/$R$3</f>
        <v>0</v>
      </c>
      <c r="W157" s="126" t="n">
        <f aca="false">N157/$R$3</f>
        <v>0</v>
      </c>
    </row>
    <row r="158" customFormat="false" ht="12.75" hidden="true" customHeight="false" outlineLevel="0" collapsed="false">
      <c r="A158" s="120" t="n">
        <f aca="false">A157+1</f>
        <v>37044</v>
      </c>
      <c r="B158" s="131" t="str">
        <f aca="false">INDEX('Master Data'!$A$2:$B$8,MATCH(WEEKDAY('Arg Total Power'!A158,3),'Master Data'!$A$2:$A$8,0),2)</f>
        <v>Sa</v>
      </c>
      <c r="D158" s="124" t="n">
        <v>0</v>
      </c>
      <c r="E158" s="124"/>
      <c r="F158" s="124" t="n">
        <v>0</v>
      </c>
      <c r="G158" s="124" t="n">
        <v>0</v>
      </c>
      <c r="I158" s="124" t="n">
        <f aca="false">IF(MONTH($A158)=MONTH($A157),IF(G158=0,I157,G158),G158)</f>
        <v>0</v>
      </c>
      <c r="J158" s="124" t="n">
        <f aca="false">IF(MONTH($A158)=MONTH($A157),SUM(I158-I157),I158)</f>
        <v>0</v>
      </c>
      <c r="K158" s="124" t="n">
        <f aca="false">IF(WEEKDAY(A158,3)&gt;4,0,(IF(A158&lt;K$2,0,IF(A158&lt;=K$3,1,0))))</f>
        <v>0</v>
      </c>
      <c r="L158" s="124" t="n">
        <f aca="false">J158*K158</f>
        <v>0</v>
      </c>
      <c r="M158" s="124" t="n">
        <f aca="false">SUM(J$97:J158)</f>
        <v>0</v>
      </c>
      <c r="N158" s="124" t="n">
        <f aca="false">SUM(J$6:J158)</f>
        <v>0</v>
      </c>
      <c r="P158" s="124" t="n">
        <f aca="false">D158/P$3</f>
        <v>0</v>
      </c>
      <c r="Q158" s="143" t="n">
        <f aca="false">E158/P$3</f>
        <v>0</v>
      </c>
      <c r="R158" s="124" t="n">
        <f aca="false">F158/R$3</f>
        <v>0</v>
      </c>
      <c r="S158" s="126" t="n">
        <f aca="false">J158/$R$3</f>
        <v>0</v>
      </c>
      <c r="T158" s="126" t="n">
        <f aca="false">L158/$R$3</f>
        <v>0</v>
      </c>
      <c r="U158" s="126" t="n">
        <f aca="false">I158/$R$3</f>
        <v>0</v>
      </c>
      <c r="V158" s="126" t="n">
        <f aca="false">M158/$R$3</f>
        <v>0</v>
      </c>
      <c r="W158" s="126" t="n">
        <f aca="false">N158/$R$3</f>
        <v>0</v>
      </c>
    </row>
    <row r="159" customFormat="false" ht="12.75" hidden="true" customHeight="false" outlineLevel="0" collapsed="false">
      <c r="A159" s="120" t="n">
        <f aca="false">A158+1</f>
        <v>37045</v>
      </c>
      <c r="B159" s="131" t="str">
        <f aca="false">INDEX('Master Data'!$A$2:$B$8,MATCH(WEEKDAY('Arg Total Power'!A159,3),'Master Data'!$A$2:$A$8,0),2)</f>
        <v>Su</v>
      </c>
      <c r="D159" s="124" t="n">
        <v>0</v>
      </c>
      <c r="E159" s="124"/>
      <c r="F159" s="124" t="n">
        <v>0</v>
      </c>
      <c r="G159" s="124" t="n">
        <v>0</v>
      </c>
      <c r="I159" s="124" t="n">
        <f aca="false">IF(MONTH($A159)=MONTH($A158),IF(G159=0,I158,G159),G159)</f>
        <v>0</v>
      </c>
      <c r="J159" s="124" t="n">
        <f aca="false">IF(MONTH($A159)=MONTH($A158),SUM(I159-I158),I159)</f>
        <v>0</v>
      </c>
      <c r="K159" s="124" t="n">
        <f aca="false">IF(WEEKDAY(A159,3)&gt;4,0,(IF(A159&lt;K$2,0,IF(A159&lt;=K$3,1,0))))</f>
        <v>0</v>
      </c>
      <c r="L159" s="124" t="n">
        <f aca="false">J159*K159</f>
        <v>0</v>
      </c>
      <c r="M159" s="124" t="n">
        <f aca="false">SUM(J$97:J159)</f>
        <v>0</v>
      </c>
      <c r="N159" s="124" t="n">
        <f aca="false">SUM(J$6:J159)</f>
        <v>0</v>
      </c>
      <c r="P159" s="124" t="n">
        <f aca="false">D159/P$3</f>
        <v>0</v>
      </c>
      <c r="Q159" s="143" t="n">
        <f aca="false">E159/P$3</f>
        <v>0</v>
      </c>
      <c r="R159" s="124" t="n">
        <f aca="false">F159/R$3</f>
        <v>0</v>
      </c>
      <c r="S159" s="126" t="n">
        <f aca="false">J159/$R$3</f>
        <v>0</v>
      </c>
      <c r="T159" s="126" t="n">
        <f aca="false">L159/$R$3</f>
        <v>0</v>
      </c>
      <c r="U159" s="126" t="n">
        <f aca="false">I159/$R$3</f>
        <v>0</v>
      </c>
      <c r="V159" s="126" t="n">
        <f aca="false">M159/$R$3</f>
        <v>0</v>
      </c>
      <c r="W159" s="126" t="n">
        <f aca="false">N159/$R$3</f>
        <v>0</v>
      </c>
    </row>
    <row r="160" customFormat="false" ht="12.75" hidden="true" customHeight="false" outlineLevel="0" collapsed="false">
      <c r="A160" s="120" t="n">
        <f aca="false">A159+1</f>
        <v>37046</v>
      </c>
      <c r="B160" s="131" t="str">
        <f aca="false">INDEX('Master Data'!$A$2:$B$8,MATCH(WEEKDAY('Arg Total Power'!A160,3),'Master Data'!$A$2:$A$8,0),2)</f>
        <v>M</v>
      </c>
      <c r="D160" s="124" t="n">
        <v>0</v>
      </c>
      <c r="E160" s="124"/>
      <c r="F160" s="124" t="n">
        <v>0</v>
      </c>
      <c r="G160" s="124" t="n">
        <v>0</v>
      </c>
      <c r="I160" s="124" t="n">
        <f aca="false">IF(MONTH($A160)=MONTH($A159),IF(G160=0,I159,G160),G160)</f>
        <v>0</v>
      </c>
      <c r="J160" s="124" t="n">
        <f aca="false">IF(MONTH($A160)=MONTH($A159),SUM(I160-I159),I160)</f>
        <v>0</v>
      </c>
      <c r="K160" s="124" t="n">
        <f aca="false">IF(WEEKDAY(A160,3)&gt;4,0,(IF(A160&lt;K$2,0,IF(A160&lt;=K$3,1,0))))</f>
        <v>0</v>
      </c>
      <c r="L160" s="124" t="n">
        <f aca="false">J160*K160</f>
        <v>0</v>
      </c>
      <c r="M160" s="124" t="n">
        <f aca="false">SUM(J$97:J160)</f>
        <v>0</v>
      </c>
      <c r="N160" s="124" t="n">
        <f aca="false">SUM(J$6:J160)</f>
        <v>0</v>
      </c>
      <c r="P160" s="124" t="n">
        <f aca="false">D160/P$3</f>
        <v>0</v>
      </c>
      <c r="Q160" s="143" t="n">
        <f aca="false">E160/P$3</f>
        <v>0</v>
      </c>
      <c r="R160" s="124" t="n">
        <f aca="false">F160/R$3</f>
        <v>0</v>
      </c>
      <c r="S160" s="126" t="n">
        <f aca="false">J160/$R$3</f>
        <v>0</v>
      </c>
      <c r="T160" s="126" t="n">
        <f aca="false">L160/$R$3</f>
        <v>0</v>
      </c>
      <c r="U160" s="126" t="n">
        <f aca="false">I160/$R$3</f>
        <v>0</v>
      </c>
      <c r="V160" s="126" t="n">
        <f aca="false">M160/$R$3</f>
        <v>0</v>
      </c>
      <c r="W160" s="126" t="n">
        <f aca="false">N160/$R$3</f>
        <v>0</v>
      </c>
    </row>
    <row r="161" customFormat="false" ht="12.75" hidden="true" customHeight="false" outlineLevel="0" collapsed="false">
      <c r="A161" s="120" t="n">
        <f aca="false">A160+1</f>
        <v>37047</v>
      </c>
      <c r="B161" s="131" t="str">
        <f aca="false">INDEX('Master Data'!$A$2:$B$8,MATCH(WEEKDAY('Arg Total Power'!A161,3),'Master Data'!$A$2:$A$8,0),2)</f>
        <v>T</v>
      </c>
      <c r="D161" s="124" t="n">
        <v>0</v>
      </c>
      <c r="E161" s="124"/>
      <c r="F161" s="124" t="n">
        <v>0</v>
      </c>
      <c r="G161" s="124" t="n">
        <v>0</v>
      </c>
      <c r="I161" s="124" t="n">
        <f aca="false">IF(MONTH($A161)=MONTH($A160),IF(G161=0,I160,G161),G161)</f>
        <v>0</v>
      </c>
      <c r="J161" s="124" t="n">
        <f aca="false">IF(MONTH($A161)=MONTH($A160),SUM(I161-I160),I161)</f>
        <v>0</v>
      </c>
      <c r="K161" s="124" t="n">
        <f aca="false">IF(WEEKDAY(A161,3)&gt;4,0,(IF(A161&lt;K$2,0,IF(A161&lt;=K$3,1,0))))</f>
        <v>0</v>
      </c>
      <c r="L161" s="124" t="n">
        <f aca="false">J161*K161</f>
        <v>0</v>
      </c>
      <c r="M161" s="124" t="n">
        <f aca="false">SUM(J$97:J161)</f>
        <v>0</v>
      </c>
      <c r="N161" s="124" t="n">
        <f aca="false">SUM(J$6:J161)</f>
        <v>0</v>
      </c>
      <c r="P161" s="124" t="n">
        <f aca="false">D161/P$3</f>
        <v>0</v>
      </c>
      <c r="Q161" s="143" t="n">
        <f aca="false">E161/P$3</f>
        <v>0</v>
      </c>
      <c r="R161" s="124" t="n">
        <f aca="false">F161/R$3</f>
        <v>0</v>
      </c>
      <c r="S161" s="126" t="n">
        <f aca="false">J161/$R$3</f>
        <v>0</v>
      </c>
      <c r="T161" s="126" t="n">
        <f aca="false">L161/$R$3</f>
        <v>0</v>
      </c>
      <c r="U161" s="126" t="n">
        <f aca="false">I161/$R$3</f>
        <v>0</v>
      </c>
      <c r="V161" s="126" t="n">
        <f aca="false">M161/$R$3</f>
        <v>0</v>
      </c>
      <c r="W161" s="126" t="n">
        <f aca="false">N161/$R$3</f>
        <v>0</v>
      </c>
    </row>
    <row r="162" customFormat="false" ht="12.75" hidden="true" customHeight="false" outlineLevel="0" collapsed="false">
      <c r="A162" s="120" t="n">
        <f aca="false">A161+1</f>
        <v>37048</v>
      </c>
      <c r="B162" s="131" t="str">
        <f aca="false">INDEX('Master Data'!$A$2:$B$8,MATCH(WEEKDAY('Arg Total Power'!A162,3),'Master Data'!$A$2:$A$8,0),2)</f>
        <v>W</v>
      </c>
      <c r="D162" s="124" t="n">
        <v>0</v>
      </c>
      <c r="E162" s="124"/>
      <c r="F162" s="124" t="n">
        <v>0</v>
      </c>
      <c r="G162" s="124" t="n">
        <v>0</v>
      </c>
      <c r="I162" s="124" t="n">
        <f aca="false">IF(MONTH($A162)=MONTH($A161),IF(G162=0,I161,G162),G162)</f>
        <v>0</v>
      </c>
      <c r="J162" s="124" t="n">
        <f aca="false">IF(MONTH($A162)=MONTH($A161),SUM(I162-I161),I162)</f>
        <v>0</v>
      </c>
      <c r="K162" s="124" t="n">
        <f aca="false">IF(WEEKDAY(A162,3)&gt;4,0,(IF(A162&lt;K$2,0,IF(A162&lt;=K$3,1,0))))</f>
        <v>0</v>
      </c>
      <c r="L162" s="124" t="n">
        <f aca="false">J162*K162</f>
        <v>0</v>
      </c>
      <c r="M162" s="124" t="n">
        <f aca="false">SUM(J$97:J162)</f>
        <v>0</v>
      </c>
      <c r="N162" s="124" t="n">
        <f aca="false">SUM(J$6:J162)</f>
        <v>0</v>
      </c>
      <c r="P162" s="124" t="n">
        <f aca="false">D162/P$3</f>
        <v>0</v>
      </c>
      <c r="Q162" s="143" t="n">
        <f aca="false">E162/P$3</f>
        <v>0</v>
      </c>
      <c r="R162" s="124" t="n">
        <f aca="false">F162/R$3</f>
        <v>0</v>
      </c>
      <c r="S162" s="126" t="n">
        <f aca="false">J162/$R$3</f>
        <v>0</v>
      </c>
      <c r="T162" s="126" t="n">
        <f aca="false">L162/$R$3</f>
        <v>0</v>
      </c>
      <c r="U162" s="126" t="n">
        <f aca="false">I162/$R$3</f>
        <v>0</v>
      </c>
      <c r="V162" s="126" t="n">
        <f aca="false">M162/$R$3</f>
        <v>0</v>
      </c>
      <c r="W162" s="126" t="n">
        <f aca="false">N162/$R$3</f>
        <v>0</v>
      </c>
    </row>
    <row r="163" customFormat="false" ht="12.75" hidden="true" customHeight="false" outlineLevel="0" collapsed="false">
      <c r="A163" s="120" t="n">
        <f aca="false">A162+1</f>
        <v>37049</v>
      </c>
      <c r="B163" s="131" t="str">
        <f aca="false">INDEX('Master Data'!$A$2:$B$8,MATCH(WEEKDAY('Arg Total Power'!A163,3),'Master Data'!$A$2:$A$8,0),2)</f>
        <v>Th</v>
      </c>
      <c r="D163" s="124" t="n">
        <v>0</v>
      </c>
      <c r="E163" s="124"/>
      <c r="F163" s="124" t="n">
        <v>0</v>
      </c>
      <c r="G163" s="124" t="n">
        <v>0</v>
      </c>
      <c r="I163" s="124" t="n">
        <f aca="false">IF(MONTH($A163)=MONTH($A162),IF(G163=0,I162,G163),G163)</f>
        <v>0</v>
      </c>
      <c r="J163" s="124" t="n">
        <f aca="false">IF(MONTH($A163)=MONTH($A162),SUM(I163-I162),I163)</f>
        <v>0</v>
      </c>
      <c r="K163" s="124" t="n">
        <f aca="false">IF(WEEKDAY(A163,3)&gt;4,0,(IF(A163&lt;K$2,0,IF(A163&lt;=K$3,1,0))))</f>
        <v>0</v>
      </c>
      <c r="L163" s="124" t="n">
        <f aca="false">J163*K163</f>
        <v>0</v>
      </c>
      <c r="M163" s="124" t="n">
        <f aca="false">SUM(J$97:J163)</f>
        <v>0</v>
      </c>
      <c r="N163" s="124" t="n">
        <f aca="false">SUM(J$6:J163)</f>
        <v>0</v>
      </c>
      <c r="P163" s="124" t="n">
        <f aca="false">D163/P$3</f>
        <v>0</v>
      </c>
      <c r="Q163" s="143" t="n">
        <f aca="false">E163/P$3</f>
        <v>0</v>
      </c>
      <c r="R163" s="124" t="n">
        <f aca="false">F163/R$3</f>
        <v>0</v>
      </c>
      <c r="S163" s="126" t="n">
        <f aca="false">J163/$R$3</f>
        <v>0</v>
      </c>
      <c r="T163" s="126" t="n">
        <f aca="false">L163/$R$3</f>
        <v>0</v>
      </c>
      <c r="U163" s="126" t="n">
        <f aca="false">I163/$R$3</f>
        <v>0</v>
      </c>
      <c r="V163" s="126" t="n">
        <f aca="false">M163/$R$3</f>
        <v>0</v>
      </c>
      <c r="W163" s="126" t="n">
        <f aca="false">N163/$R$3</f>
        <v>0</v>
      </c>
    </row>
    <row r="164" customFormat="false" ht="12.75" hidden="true" customHeight="false" outlineLevel="0" collapsed="false">
      <c r="A164" s="120" t="n">
        <f aca="false">A163+1</f>
        <v>37050</v>
      </c>
      <c r="B164" s="131" t="str">
        <f aca="false">INDEX('Master Data'!$A$2:$B$8,MATCH(WEEKDAY('Arg Total Power'!A164,3),'Master Data'!$A$2:$A$8,0),2)</f>
        <v>F</v>
      </c>
      <c r="D164" s="124" t="n">
        <v>0</v>
      </c>
      <c r="E164" s="124"/>
      <c r="F164" s="124" t="n">
        <v>0</v>
      </c>
      <c r="G164" s="124" t="n">
        <v>0</v>
      </c>
      <c r="I164" s="124" t="n">
        <f aca="false">IF(MONTH($A164)=MONTH($A163),IF(G164=0,I163,G164),G164)</f>
        <v>0</v>
      </c>
      <c r="J164" s="124" t="n">
        <f aca="false">IF(MONTH($A164)=MONTH($A163),SUM(I164-I163),I164)</f>
        <v>0</v>
      </c>
      <c r="K164" s="124" t="n">
        <f aca="false">IF(WEEKDAY(A164,3)&gt;4,0,(IF(A164&lt;K$2,0,IF(A164&lt;=K$3,1,0))))</f>
        <v>0</v>
      </c>
      <c r="L164" s="124" t="n">
        <f aca="false">J164*K164</f>
        <v>0</v>
      </c>
      <c r="M164" s="124" t="n">
        <f aca="false">SUM(J$97:J164)</f>
        <v>0</v>
      </c>
      <c r="N164" s="124" t="n">
        <f aca="false">SUM(J$6:J164)</f>
        <v>0</v>
      </c>
      <c r="P164" s="124" t="n">
        <f aca="false">D164/P$3</f>
        <v>0</v>
      </c>
      <c r="Q164" s="143" t="n">
        <f aca="false">E164/P$3</f>
        <v>0</v>
      </c>
      <c r="R164" s="124" t="n">
        <f aca="false">F164/R$3</f>
        <v>0</v>
      </c>
      <c r="S164" s="126" t="n">
        <f aca="false">J164/$R$3</f>
        <v>0</v>
      </c>
      <c r="T164" s="126" t="n">
        <f aca="false">L164/$R$3</f>
        <v>0</v>
      </c>
      <c r="U164" s="126" t="n">
        <f aca="false">I164/$R$3</f>
        <v>0</v>
      </c>
      <c r="V164" s="126" t="n">
        <f aca="false">M164/$R$3</f>
        <v>0</v>
      </c>
      <c r="W164" s="126" t="n">
        <f aca="false">N164/$R$3</f>
        <v>0</v>
      </c>
    </row>
    <row r="165" customFormat="false" ht="12.75" hidden="true" customHeight="false" outlineLevel="0" collapsed="false">
      <c r="A165" s="120" t="n">
        <f aca="false">A164+1</f>
        <v>37051</v>
      </c>
      <c r="B165" s="131" t="str">
        <f aca="false">INDEX('Master Data'!$A$2:$B$8,MATCH(WEEKDAY('Arg Total Power'!A165,3),'Master Data'!$A$2:$A$8,0),2)</f>
        <v>Sa</v>
      </c>
      <c r="D165" s="124" t="n">
        <v>0</v>
      </c>
      <c r="E165" s="124"/>
      <c r="F165" s="124" t="n">
        <v>0</v>
      </c>
      <c r="G165" s="124" t="n">
        <v>0</v>
      </c>
      <c r="I165" s="124" t="n">
        <f aca="false">IF(MONTH($A165)=MONTH($A164),IF(G165=0,I164,G165),G165)</f>
        <v>0</v>
      </c>
      <c r="J165" s="124" t="n">
        <f aca="false">IF(MONTH($A165)=MONTH($A164),SUM(I165-I164),I165)</f>
        <v>0</v>
      </c>
      <c r="K165" s="124" t="n">
        <f aca="false">IF(WEEKDAY(A165,3)&gt;4,0,(IF(A165&lt;K$2,0,IF(A165&lt;=K$3,1,0))))</f>
        <v>0</v>
      </c>
      <c r="L165" s="124" t="n">
        <f aca="false">J165*K165</f>
        <v>0</v>
      </c>
      <c r="M165" s="124" t="n">
        <f aca="false">SUM(J$97:J165)</f>
        <v>0</v>
      </c>
      <c r="N165" s="124" t="n">
        <f aca="false">SUM(J$6:J165)</f>
        <v>0</v>
      </c>
      <c r="P165" s="124" t="n">
        <f aca="false">D165/P$3</f>
        <v>0</v>
      </c>
      <c r="Q165" s="143" t="n">
        <f aca="false">E165/P$3</f>
        <v>0</v>
      </c>
      <c r="R165" s="124" t="n">
        <f aca="false">F165/R$3</f>
        <v>0</v>
      </c>
      <c r="S165" s="126" t="n">
        <f aca="false">J165/$R$3</f>
        <v>0</v>
      </c>
      <c r="T165" s="126" t="n">
        <f aca="false">L165/$R$3</f>
        <v>0</v>
      </c>
      <c r="U165" s="126" t="n">
        <f aca="false">I165/$R$3</f>
        <v>0</v>
      </c>
      <c r="V165" s="126" t="n">
        <f aca="false">M165/$R$3</f>
        <v>0</v>
      </c>
      <c r="W165" s="126" t="n">
        <f aca="false">N165/$R$3</f>
        <v>0</v>
      </c>
    </row>
    <row r="166" customFormat="false" ht="12.75" hidden="true" customHeight="false" outlineLevel="0" collapsed="false">
      <c r="A166" s="120" t="n">
        <f aca="false">A165+1</f>
        <v>37052</v>
      </c>
      <c r="B166" s="131" t="str">
        <f aca="false">INDEX('Master Data'!$A$2:$B$8,MATCH(WEEKDAY('Arg Total Power'!A166,3),'Master Data'!$A$2:$A$8,0),2)</f>
        <v>Su</v>
      </c>
      <c r="D166" s="124" t="n">
        <v>0</v>
      </c>
      <c r="E166" s="124"/>
      <c r="F166" s="124" t="n">
        <v>0</v>
      </c>
      <c r="G166" s="124" t="n">
        <v>0</v>
      </c>
      <c r="I166" s="124" t="n">
        <f aca="false">IF(MONTH($A166)=MONTH($A165),IF(G166=0,I165,G166),G166)</f>
        <v>0</v>
      </c>
      <c r="J166" s="124" t="n">
        <f aca="false">IF(MONTH($A166)=MONTH($A165),SUM(I166-I165),I166)</f>
        <v>0</v>
      </c>
      <c r="K166" s="124" t="n">
        <f aca="false">IF(WEEKDAY(A166,3)&gt;4,0,(IF(A166&lt;K$2,0,IF(A166&lt;=K$3,1,0))))</f>
        <v>0</v>
      </c>
      <c r="L166" s="124" t="n">
        <f aca="false">J166*K166</f>
        <v>0</v>
      </c>
      <c r="M166" s="124" t="n">
        <f aca="false">SUM(J$97:J166)</f>
        <v>0</v>
      </c>
      <c r="N166" s="124" t="n">
        <f aca="false">SUM(J$6:J166)</f>
        <v>0</v>
      </c>
      <c r="P166" s="124" t="n">
        <f aca="false">D166/P$3</f>
        <v>0</v>
      </c>
      <c r="Q166" s="143" t="n">
        <f aca="false">E166/P$3</f>
        <v>0</v>
      </c>
      <c r="R166" s="124" t="n">
        <f aca="false">F166/R$3</f>
        <v>0</v>
      </c>
      <c r="S166" s="126" t="n">
        <f aca="false">J166/$R$3</f>
        <v>0</v>
      </c>
      <c r="T166" s="126" t="n">
        <f aca="false">L166/$R$3</f>
        <v>0</v>
      </c>
      <c r="U166" s="126" t="n">
        <f aca="false">I166/$R$3</f>
        <v>0</v>
      </c>
      <c r="V166" s="126" t="n">
        <f aca="false">M166/$R$3</f>
        <v>0</v>
      </c>
      <c r="W166" s="126" t="n">
        <f aca="false">N166/$R$3</f>
        <v>0</v>
      </c>
    </row>
    <row r="167" customFormat="false" ht="12.75" hidden="true" customHeight="false" outlineLevel="0" collapsed="false">
      <c r="A167" s="120" t="n">
        <f aca="false">A166+1</f>
        <v>37053</v>
      </c>
      <c r="B167" s="131" t="str">
        <f aca="false">INDEX('Master Data'!$A$2:$B$8,MATCH(WEEKDAY('Arg Total Power'!A167,3),'Master Data'!$A$2:$A$8,0),2)</f>
        <v>M</v>
      </c>
      <c r="D167" s="124" t="n">
        <v>0</v>
      </c>
      <c r="E167" s="124"/>
      <c r="F167" s="124" t="n">
        <v>0</v>
      </c>
      <c r="G167" s="124" t="n">
        <v>0</v>
      </c>
      <c r="I167" s="124" t="n">
        <f aca="false">IF(MONTH($A167)=MONTH($A166),IF(G167=0,I166,G167),G167)</f>
        <v>0</v>
      </c>
      <c r="J167" s="124" t="n">
        <f aca="false">IF(MONTH($A167)=MONTH($A166),SUM(I167-I166),I167)</f>
        <v>0</v>
      </c>
      <c r="K167" s="124" t="n">
        <f aca="false">IF(WEEKDAY(A167,3)&gt;4,0,(IF(A167&lt;K$2,0,IF(A167&lt;=K$3,1,0))))</f>
        <v>0</v>
      </c>
      <c r="L167" s="124" t="n">
        <f aca="false">J167*K167</f>
        <v>0</v>
      </c>
      <c r="M167" s="124" t="n">
        <f aca="false">SUM(J$97:J167)</f>
        <v>0</v>
      </c>
      <c r="N167" s="124" t="n">
        <f aca="false">SUM(J$6:J167)</f>
        <v>0</v>
      </c>
      <c r="P167" s="124" t="n">
        <f aca="false">D167/P$3</f>
        <v>0</v>
      </c>
      <c r="Q167" s="143" t="n">
        <f aca="false">E167/P$3</f>
        <v>0</v>
      </c>
      <c r="R167" s="124" t="n">
        <f aca="false">F167/R$3</f>
        <v>0</v>
      </c>
      <c r="S167" s="126" t="n">
        <f aca="false">J167/$R$3</f>
        <v>0</v>
      </c>
      <c r="T167" s="126" t="n">
        <f aca="false">L167/$R$3</f>
        <v>0</v>
      </c>
      <c r="U167" s="126" t="n">
        <f aca="false">I167/$R$3</f>
        <v>0</v>
      </c>
      <c r="V167" s="126" t="n">
        <f aca="false">M167/$R$3</f>
        <v>0</v>
      </c>
      <c r="W167" s="126" t="n">
        <f aca="false">N167/$R$3</f>
        <v>0</v>
      </c>
    </row>
    <row r="168" customFormat="false" ht="12.75" hidden="true" customHeight="false" outlineLevel="0" collapsed="false">
      <c r="A168" s="120" t="n">
        <f aca="false">A167+1</f>
        <v>37054</v>
      </c>
      <c r="B168" s="131" t="str">
        <f aca="false">INDEX('Master Data'!$A$2:$B$8,MATCH(WEEKDAY('Arg Total Power'!A168,3),'Master Data'!$A$2:$A$8,0),2)</f>
        <v>T</v>
      </c>
      <c r="D168" s="124" t="n">
        <v>0</v>
      </c>
      <c r="E168" s="124"/>
      <c r="F168" s="124" t="n">
        <v>0</v>
      </c>
      <c r="G168" s="124" t="n">
        <v>0</v>
      </c>
      <c r="I168" s="124" t="n">
        <f aca="false">IF(MONTH($A168)=MONTH($A167),IF(G168=0,I167,G168),G168)</f>
        <v>0</v>
      </c>
      <c r="J168" s="124" t="n">
        <f aca="false">IF(MONTH($A168)=MONTH($A167),SUM(I168-I167),I168)</f>
        <v>0</v>
      </c>
      <c r="K168" s="124" t="n">
        <f aca="false">IF(WEEKDAY(A168,3)&gt;4,0,(IF(A168&lt;K$2,0,IF(A168&lt;=K$3,1,0))))</f>
        <v>0</v>
      </c>
      <c r="L168" s="124" t="n">
        <f aca="false">J168*K168</f>
        <v>0</v>
      </c>
      <c r="M168" s="124" t="n">
        <f aca="false">SUM(J$97:J168)</f>
        <v>0</v>
      </c>
      <c r="N168" s="124" t="n">
        <f aca="false">SUM(J$6:J168)</f>
        <v>0</v>
      </c>
      <c r="P168" s="124" t="n">
        <f aca="false">D168/P$3</f>
        <v>0</v>
      </c>
      <c r="Q168" s="143" t="n">
        <f aca="false">E168/P$3</f>
        <v>0</v>
      </c>
      <c r="R168" s="124" t="n">
        <f aca="false">F168/R$3</f>
        <v>0</v>
      </c>
      <c r="S168" s="126" t="n">
        <f aca="false">J168/$R$3</f>
        <v>0</v>
      </c>
      <c r="T168" s="126" t="n">
        <f aca="false">L168/$R$3</f>
        <v>0</v>
      </c>
      <c r="U168" s="126" t="n">
        <f aca="false">I168/$R$3</f>
        <v>0</v>
      </c>
      <c r="V168" s="126" t="n">
        <f aca="false">M168/$R$3</f>
        <v>0</v>
      </c>
      <c r="W168" s="126" t="n">
        <f aca="false">N168/$R$3</f>
        <v>0</v>
      </c>
    </row>
    <row r="169" customFormat="false" ht="12.75" hidden="true" customHeight="false" outlineLevel="0" collapsed="false">
      <c r="A169" s="120" t="n">
        <f aca="false">A168+1</f>
        <v>37055</v>
      </c>
      <c r="B169" s="131" t="str">
        <f aca="false">INDEX('Master Data'!$A$2:$B$8,MATCH(WEEKDAY('Arg Total Power'!A169,3),'Master Data'!$A$2:$A$8,0),2)</f>
        <v>W</v>
      </c>
      <c r="D169" s="124" t="n">
        <v>0</v>
      </c>
      <c r="E169" s="124"/>
      <c r="F169" s="124" t="n">
        <v>0</v>
      </c>
      <c r="G169" s="124" t="n">
        <v>0</v>
      </c>
      <c r="I169" s="124" t="n">
        <f aca="false">IF(MONTH($A169)=MONTH($A168),IF(G169=0,I168,G169),G169)</f>
        <v>0</v>
      </c>
      <c r="J169" s="124" t="n">
        <f aca="false">IF(MONTH($A169)=MONTH($A168),SUM(I169-I168),I169)</f>
        <v>0</v>
      </c>
      <c r="K169" s="124" t="n">
        <f aca="false">IF(WEEKDAY(A169,3)&gt;4,0,(IF(A169&lt;K$2,0,IF(A169&lt;=K$3,1,0))))</f>
        <v>0</v>
      </c>
      <c r="L169" s="124" t="n">
        <f aca="false">J169*K169</f>
        <v>0</v>
      </c>
      <c r="M169" s="124" t="n">
        <f aca="false">SUM(J$97:J169)</f>
        <v>0</v>
      </c>
      <c r="N169" s="124" t="n">
        <f aca="false">SUM(J$6:J169)</f>
        <v>0</v>
      </c>
      <c r="P169" s="124" t="n">
        <f aca="false">D169/P$3</f>
        <v>0</v>
      </c>
      <c r="Q169" s="143" t="n">
        <f aca="false">E169/P$3</f>
        <v>0</v>
      </c>
      <c r="R169" s="124" t="n">
        <f aca="false">F169/R$3</f>
        <v>0</v>
      </c>
      <c r="S169" s="126" t="n">
        <f aca="false">J169/$R$3</f>
        <v>0</v>
      </c>
      <c r="T169" s="126" t="n">
        <f aca="false">L169/$R$3</f>
        <v>0</v>
      </c>
      <c r="U169" s="126" t="n">
        <f aca="false">I169/$R$3</f>
        <v>0</v>
      </c>
      <c r="V169" s="126" t="n">
        <f aca="false">M169/$R$3</f>
        <v>0</v>
      </c>
      <c r="W169" s="126" t="n">
        <f aca="false">N169/$R$3</f>
        <v>0</v>
      </c>
    </row>
    <row r="170" customFormat="false" ht="12.75" hidden="true" customHeight="false" outlineLevel="0" collapsed="false">
      <c r="A170" s="120" t="n">
        <f aca="false">A169+1</f>
        <v>37056</v>
      </c>
      <c r="B170" s="131" t="str">
        <f aca="false">INDEX('Master Data'!$A$2:$B$8,MATCH(WEEKDAY('Arg Total Power'!A170,3),'Master Data'!$A$2:$A$8,0),2)</f>
        <v>Th</v>
      </c>
      <c r="D170" s="124" t="n">
        <v>0</v>
      </c>
      <c r="E170" s="124"/>
      <c r="F170" s="124" t="n">
        <v>0</v>
      </c>
      <c r="G170" s="124" t="n">
        <v>0</v>
      </c>
      <c r="I170" s="124" t="n">
        <f aca="false">IF(MONTH($A170)=MONTH($A169),IF(G170=0,I169,G170),G170)</f>
        <v>0</v>
      </c>
      <c r="J170" s="124" t="n">
        <f aca="false">IF(MONTH($A170)=MONTH($A169),SUM(I170-I169),I170)</f>
        <v>0</v>
      </c>
      <c r="K170" s="124" t="n">
        <f aca="false">IF(WEEKDAY(A170,3)&gt;4,0,(IF(A170&lt;K$2,0,IF(A170&lt;=K$3,1,0))))</f>
        <v>0</v>
      </c>
      <c r="L170" s="124" t="n">
        <f aca="false">J170*K170</f>
        <v>0</v>
      </c>
      <c r="M170" s="124" t="n">
        <f aca="false">SUM(J$97:J170)</f>
        <v>0</v>
      </c>
      <c r="N170" s="124" t="n">
        <f aca="false">SUM(J$6:J170)</f>
        <v>0</v>
      </c>
      <c r="P170" s="124" t="n">
        <f aca="false">D170/P$3</f>
        <v>0</v>
      </c>
      <c r="Q170" s="143" t="n">
        <f aca="false">E170/P$3</f>
        <v>0</v>
      </c>
      <c r="R170" s="124" t="n">
        <f aca="false">F170/R$3</f>
        <v>0</v>
      </c>
      <c r="S170" s="126" t="n">
        <f aca="false">J170/$R$3</f>
        <v>0</v>
      </c>
      <c r="T170" s="126" t="n">
        <f aca="false">L170/$R$3</f>
        <v>0</v>
      </c>
      <c r="U170" s="126" t="n">
        <f aca="false">I170/$R$3</f>
        <v>0</v>
      </c>
      <c r="V170" s="126" t="n">
        <f aca="false">M170/$R$3</f>
        <v>0</v>
      </c>
      <c r="W170" s="126" t="n">
        <f aca="false">N170/$R$3</f>
        <v>0</v>
      </c>
    </row>
    <row r="171" customFormat="false" ht="12.75" hidden="true" customHeight="false" outlineLevel="0" collapsed="false">
      <c r="A171" s="120" t="n">
        <f aca="false">A170+1</f>
        <v>37057</v>
      </c>
      <c r="B171" s="131" t="str">
        <f aca="false">INDEX('Master Data'!$A$2:$B$8,MATCH(WEEKDAY('Arg Total Power'!A171,3),'Master Data'!$A$2:$A$8,0),2)</f>
        <v>F</v>
      </c>
      <c r="D171" s="124" t="n">
        <v>0</v>
      </c>
      <c r="E171" s="124"/>
      <c r="F171" s="124" t="n">
        <v>0</v>
      </c>
      <c r="G171" s="124" t="n">
        <v>0</v>
      </c>
      <c r="I171" s="124" t="n">
        <f aca="false">IF(MONTH($A171)=MONTH($A170),IF(G171=0,I170,G171),G171)</f>
        <v>0</v>
      </c>
      <c r="J171" s="124" t="n">
        <f aca="false">IF(MONTH($A171)=MONTH($A170),SUM(I171-I170),I171)</f>
        <v>0</v>
      </c>
      <c r="K171" s="124" t="n">
        <f aca="false">IF(WEEKDAY(A171,3)&gt;4,0,(IF(A171&lt;K$2,0,IF(A171&lt;=K$3,1,0))))</f>
        <v>0</v>
      </c>
      <c r="L171" s="124" t="n">
        <f aca="false">J171*K171</f>
        <v>0</v>
      </c>
      <c r="M171" s="124" t="n">
        <f aca="false">SUM(J$97:J171)</f>
        <v>0</v>
      </c>
      <c r="N171" s="124" t="n">
        <f aca="false">SUM(J$6:J171)</f>
        <v>0</v>
      </c>
      <c r="P171" s="124" t="n">
        <f aca="false">D171/P$3</f>
        <v>0</v>
      </c>
      <c r="Q171" s="143" t="n">
        <f aca="false">E171/P$3</f>
        <v>0</v>
      </c>
      <c r="R171" s="124" t="n">
        <f aca="false">F171/R$3</f>
        <v>0</v>
      </c>
      <c r="S171" s="126" t="n">
        <f aca="false">J171/$R$3</f>
        <v>0</v>
      </c>
      <c r="T171" s="126" t="n">
        <f aca="false">L171/$R$3</f>
        <v>0</v>
      </c>
      <c r="U171" s="126" t="n">
        <f aca="false">I171/$R$3</f>
        <v>0</v>
      </c>
      <c r="V171" s="126" t="n">
        <f aca="false">M171/$R$3</f>
        <v>0</v>
      </c>
      <c r="W171" s="126" t="n">
        <f aca="false">N171/$R$3</f>
        <v>0</v>
      </c>
    </row>
    <row r="172" customFormat="false" ht="12.75" hidden="true" customHeight="false" outlineLevel="0" collapsed="false">
      <c r="A172" s="120" t="n">
        <f aca="false">A171+1</f>
        <v>37058</v>
      </c>
      <c r="B172" s="131" t="str">
        <f aca="false">INDEX('Master Data'!$A$2:$B$8,MATCH(WEEKDAY('Arg Total Power'!A172,3),'Master Data'!$A$2:$A$8,0),2)</f>
        <v>Sa</v>
      </c>
      <c r="D172" s="124" t="n">
        <v>0</v>
      </c>
      <c r="E172" s="124"/>
      <c r="F172" s="124" t="n">
        <v>0</v>
      </c>
      <c r="G172" s="124" t="n">
        <v>0</v>
      </c>
      <c r="I172" s="124" t="n">
        <f aca="false">IF(MONTH($A172)=MONTH($A171),IF(G172=0,I171,G172),G172)</f>
        <v>0</v>
      </c>
      <c r="J172" s="124" t="n">
        <f aca="false">IF(MONTH($A172)=MONTH($A171),SUM(I172-I171),I172)</f>
        <v>0</v>
      </c>
      <c r="K172" s="124" t="n">
        <f aca="false">IF(WEEKDAY(A172,3)&gt;4,0,(IF(A172&lt;K$2,0,IF(A172&lt;=K$3,1,0))))</f>
        <v>0</v>
      </c>
      <c r="L172" s="124" t="n">
        <f aca="false">J172*K172</f>
        <v>0</v>
      </c>
      <c r="M172" s="124" t="n">
        <f aca="false">SUM(J$97:J172)</f>
        <v>0</v>
      </c>
      <c r="N172" s="124" t="n">
        <f aca="false">SUM(J$6:J172)</f>
        <v>0</v>
      </c>
      <c r="P172" s="124" t="n">
        <f aca="false">D172/P$3</f>
        <v>0</v>
      </c>
      <c r="Q172" s="143" t="n">
        <f aca="false">E172/P$3</f>
        <v>0</v>
      </c>
      <c r="R172" s="124" t="n">
        <f aca="false">F172/R$3</f>
        <v>0</v>
      </c>
      <c r="S172" s="126" t="n">
        <f aca="false">J172/$R$3</f>
        <v>0</v>
      </c>
      <c r="T172" s="126" t="n">
        <f aca="false">L172/$R$3</f>
        <v>0</v>
      </c>
      <c r="U172" s="126" t="n">
        <f aca="false">I172/$R$3</f>
        <v>0</v>
      </c>
      <c r="V172" s="126" t="n">
        <f aca="false">M172/$R$3</f>
        <v>0</v>
      </c>
      <c r="W172" s="126" t="n">
        <f aca="false">N172/$R$3</f>
        <v>0</v>
      </c>
    </row>
    <row r="173" customFormat="false" ht="12.75" hidden="true" customHeight="false" outlineLevel="0" collapsed="false">
      <c r="A173" s="120" t="n">
        <f aca="false">A172+1</f>
        <v>37059</v>
      </c>
      <c r="B173" s="131" t="str">
        <f aca="false">INDEX('Master Data'!$A$2:$B$8,MATCH(WEEKDAY('Arg Total Power'!A173,3),'Master Data'!$A$2:$A$8,0),2)</f>
        <v>Su</v>
      </c>
      <c r="D173" s="124" t="n">
        <v>0</v>
      </c>
      <c r="E173" s="124"/>
      <c r="F173" s="124" t="n">
        <v>0</v>
      </c>
      <c r="G173" s="124" t="n">
        <v>0</v>
      </c>
      <c r="I173" s="124" t="n">
        <f aca="false">IF(MONTH($A173)=MONTH($A172),IF(G173=0,I172,G173),G173)</f>
        <v>0</v>
      </c>
      <c r="J173" s="124" t="n">
        <f aca="false">IF(MONTH($A173)=MONTH($A172),SUM(I173-I172),I173)</f>
        <v>0</v>
      </c>
      <c r="K173" s="124" t="n">
        <f aca="false">IF(WEEKDAY(A173,3)&gt;4,0,(IF(A173&lt;K$2,0,IF(A173&lt;=K$3,1,0))))</f>
        <v>0</v>
      </c>
      <c r="L173" s="124" t="n">
        <f aca="false">J173*K173</f>
        <v>0</v>
      </c>
      <c r="M173" s="124" t="n">
        <f aca="false">SUM(J$97:J173)</f>
        <v>0</v>
      </c>
      <c r="N173" s="124" t="n">
        <f aca="false">SUM(J$6:J173)</f>
        <v>0</v>
      </c>
      <c r="P173" s="124" t="n">
        <f aca="false">D173/P$3</f>
        <v>0</v>
      </c>
      <c r="Q173" s="143" t="n">
        <f aca="false">E173/P$3</f>
        <v>0</v>
      </c>
      <c r="R173" s="124" t="n">
        <f aca="false">F173/R$3</f>
        <v>0</v>
      </c>
      <c r="S173" s="126" t="n">
        <f aca="false">J173/$R$3</f>
        <v>0</v>
      </c>
      <c r="T173" s="126" t="n">
        <f aca="false">L173/$R$3</f>
        <v>0</v>
      </c>
      <c r="U173" s="126" t="n">
        <f aca="false">I173/$R$3</f>
        <v>0</v>
      </c>
      <c r="V173" s="126" t="n">
        <f aca="false">M173/$R$3</f>
        <v>0</v>
      </c>
      <c r="W173" s="126" t="n">
        <f aca="false">N173/$R$3</f>
        <v>0</v>
      </c>
    </row>
    <row r="174" customFormat="false" ht="12.75" hidden="true" customHeight="false" outlineLevel="0" collapsed="false">
      <c r="A174" s="120" t="n">
        <f aca="false">A173+1</f>
        <v>37060</v>
      </c>
      <c r="B174" s="131" t="str">
        <f aca="false">INDEX('Master Data'!$A$2:$B$8,MATCH(WEEKDAY('Arg Total Power'!A174,3),'Master Data'!$A$2:$A$8,0),2)</f>
        <v>M</v>
      </c>
      <c r="D174" s="124" t="n">
        <v>0</v>
      </c>
      <c r="E174" s="124"/>
      <c r="F174" s="124" t="n">
        <v>0</v>
      </c>
      <c r="G174" s="124" t="n">
        <v>0</v>
      </c>
      <c r="I174" s="124" t="n">
        <f aca="false">IF(MONTH($A174)=MONTH($A173),IF(G174=0,I173,G174),G174)</f>
        <v>0</v>
      </c>
      <c r="J174" s="124" t="n">
        <f aca="false">IF(MONTH($A174)=MONTH($A173),SUM(I174-I173),I174)</f>
        <v>0</v>
      </c>
      <c r="K174" s="124" t="n">
        <f aca="false">IF(WEEKDAY(A174,3)&gt;4,0,(IF(A174&lt;K$2,0,IF(A174&lt;=K$3,1,0))))</f>
        <v>0</v>
      </c>
      <c r="L174" s="124" t="n">
        <f aca="false">J174*K174</f>
        <v>0</v>
      </c>
      <c r="M174" s="124" t="n">
        <f aca="false">SUM(J$97:J174)</f>
        <v>0</v>
      </c>
      <c r="N174" s="124" t="n">
        <f aca="false">SUM(J$6:J174)</f>
        <v>0</v>
      </c>
      <c r="P174" s="124" t="n">
        <f aca="false">D174/P$3</f>
        <v>0</v>
      </c>
      <c r="Q174" s="143" t="n">
        <f aca="false">E174/P$3</f>
        <v>0</v>
      </c>
      <c r="R174" s="124" t="n">
        <f aca="false">F174/R$3</f>
        <v>0</v>
      </c>
      <c r="S174" s="126" t="n">
        <f aca="false">J174/$R$3</f>
        <v>0</v>
      </c>
      <c r="T174" s="126" t="n">
        <f aca="false">L174/$R$3</f>
        <v>0</v>
      </c>
      <c r="U174" s="126" t="n">
        <f aca="false">I174/$R$3</f>
        <v>0</v>
      </c>
      <c r="V174" s="126" t="n">
        <f aca="false">M174/$R$3</f>
        <v>0</v>
      </c>
      <c r="W174" s="126" t="n">
        <f aca="false">N174/$R$3</f>
        <v>0</v>
      </c>
    </row>
    <row r="175" customFormat="false" ht="12.75" hidden="true" customHeight="false" outlineLevel="0" collapsed="false">
      <c r="A175" s="120" t="n">
        <f aca="false">A174+1</f>
        <v>37061</v>
      </c>
      <c r="B175" s="131" t="str">
        <f aca="false">INDEX('Master Data'!$A$2:$B$8,MATCH(WEEKDAY('Arg Total Power'!A175,3),'Master Data'!$A$2:$A$8,0),2)</f>
        <v>T</v>
      </c>
      <c r="D175" s="124" t="n">
        <v>0</v>
      </c>
      <c r="E175" s="124"/>
      <c r="F175" s="124" t="n">
        <v>0</v>
      </c>
      <c r="G175" s="124" t="n">
        <v>0</v>
      </c>
      <c r="I175" s="124" t="n">
        <f aca="false">IF(MONTH($A175)=MONTH($A174),IF(G175=0,I174,G175),G175)</f>
        <v>0</v>
      </c>
      <c r="J175" s="124" t="n">
        <f aca="false">IF(MONTH($A175)=MONTH($A174),SUM(I175-I174),I175)</f>
        <v>0</v>
      </c>
      <c r="K175" s="124" t="n">
        <f aca="false">IF(WEEKDAY(A175,3)&gt;4,0,(IF(A175&lt;K$2,0,IF(A175&lt;=K$3,1,0))))</f>
        <v>0</v>
      </c>
      <c r="L175" s="124" t="n">
        <f aca="false">J175*K175</f>
        <v>0</v>
      </c>
      <c r="M175" s="124" t="n">
        <f aca="false">SUM(J$97:J175)</f>
        <v>0</v>
      </c>
      <c r="N175" s="124" t="n">
        <f aca="false">SUM(J$6:J175)</f>
        <v>0</v>
      </c>
      <c r="P175" s="124" t="n">
        <f aca="false">D175/P$3</f>
        <v>0</v>
      </c>
      <c r="Q175" s="143" t="n">
        <f aca="false">E175/P$3</f>
        <v>0</v>
      </c>
      <c r="R175" s="124" t="n">
        <f aca="false">F175/R$3</f>
        <v>0</v>
      </c>
      <c r="S175" s="126" t="n">
        <f aca="false">J175/$R$3</f>
        <v>0</v>
      </c>
      <c r="T175" s="126" t="n">
        <f aca="false">L175/$R$3</f>
        <v>0</v>
      </c>
      <c r="U175" s="126" t="n">
        <f aca="false">I175/$R$3</f>
        <v>0</v>
      </c>
      <c r="V175" s="126" t="n">
        <f aca="false">M175/$R$3</f>
        <v>0</v>
      </c>
      <c r="W175" s="126" t="n">
        <f aca="false">N175/$R$3</f>
        <v>0</v>
      </c>
    </row>
    <row r="176" customFormat="false" ht="12.75" hidden="true" customHeight="false" outlineLevel="0" collapsed="false">
      <c r="A176" s="120" t="n">
        <f aca="false">A175+1</f>
        <v>37062</v>
      </c>
      <c r="B176" s="131" t="str">
        <f aca="false">INDEX('Master Data'!$A$2:$B$8,MATCH(WEEKDAY('Arg Total Power'!A176,3),'Master Data'!$A$2:$A$8,0),2)</f>
        <v>W</v>
      </c>
      <c r="D176" s="124" t="n">
        <v>0</v>
      </c>
      <c r="E176" s="124"/>
      <c r="F176" s="124" t="n">
        <v>0</v>
      </c>
      <c r="G176" s="124" t="n">
        <v>0</v>
      </c>
      <c r="I176" s="124" t="n">
        <f aca="false">IF(MONTH($A176)=MONTH($A175),IF(G176=0,I175,G176),G176)</f>
        <v>0</v>
      </c>
      <c r="J176" s="124" t="n">
        <f aca="false">IF(MONTH($A176)=MONTH($A175),SUM(I176-I175),I176)</f>
        <v>0</v>
      </c>
      <c r="K176" s="124" t="n">
        <f aca="false">IF(WEEKDAY(A176,3)&gt;4,0,(IF(A176&lt;K$2,0,IF(A176&lt;=K$3,1,0))))</f>
        <v>0</v>
      </c>
      <c r="L176" s="124" t="n">
        <f aca="false">J176*K176</f>
        <v>0</v>
      </c>
      <c r="M176" s="124" t="n">
        <f aca="false">SUM(J$97:J176)</f>
        <v>0</v>
      </c>
      <c r="N176" s="124" t="n">
        <f aca="false">SUM(J$6:J176)</f>
        <v>0</v>
      </c>
      <c r="P176" s="124" t="n">
        <f aca="false">D176/P$3</f>
        <v>0</v>
      </c>
      <c r="Q176" s="143" t="n">
        <f aca="false">E176/P$3</f>
        <v>0</v>
      </c>
      <c r="R176" s="124" t="n">
        <f aca="false">F176/R$3</f>
        <v>0</v>
      </c>
      <c r="S176" s="126" t="n">
        <f aca="false">J176/$R$3</f>
        <v>0</v>
      </c>
      <c r="T176" s="126" t="n">
        <f aca="false">L176/$R$3</f>
        <v>0</v>
      </c>
      <c r="U176" s="126" t="n">
        <f aca="false">I176/$R$3</f>
        <v>0</v>
      </c>
      <c r="V176" s="126" t="n">
        <f aca="false">M176/$R$3</f>
        <v>0</v>
      </c>
      <c r="W176" s="126" t="n">
        <f aca="false">N176/$R$3</f>
        <v>0</v>
      </c>
    </row>
    <row r="177" customFormat="false" ht="12.75" hidden="true" customHeight="false" outlineLevel="0" collapsed="false">
      <c r="A177" s="120" t="n">
        <f aca="false">A176+1</f>
        <v>37063</v>
      </c>
      <c r="B177" s="131" t="str">
        <f aca="false">INDEX('Master Data'!$A$2:$B$8,MATCH(WEEKDAY('Arg Total Power'!A177,3),'Master Data'!$A$2:$A$8,0),2)</f>
        <v>Th</v>
      </c>
      <c r="D177" s="124" t="n">
        <v>0</v>
      </c>
      <c r="E177" s="124"/>
      <c r="F177" s="124" t="n">
        <v>0</v>
      </c>
      <c r="G177" s="124" t="n">
        <v>0</v>
      </c>
      <c r="I177" s="124" t="n">
        <f aca="false">IF(MONTH($A177)=MONTH($A176),IF(G177=0,I176,G177),G177)</f>
        <v>0</v>
      </c>
      <c r="J177" s="124" t="n">
        <f aca="false">IF(MONTH($A177)=MONTH($A176),SUM(I177-I176),I177)</f>
        <v>0</v>
      </c>
      <c r="K177" s="124" t="n">
        <f aca="false">IF(WEEKDAY(A177,3)&gt;4,0,(IF(A177&lt;K$2,0,IF(A177&lt;=K$3,1,0))))</f>
        <v>0</v>
      </c>
      <c r="L177" s="124" t="n">
        <f aca="false">J177*K177</f>
        <v>0</v>
      </c>
      <c r="M177" s="124" t="n">
        <f aca="false">SUM(J$97:J177)</f>
        <v>0</v>
      </c>
      <c r="N177" s="124" t="n">
        <f aca="false">SUM(J$6:J177)</f>
        <v>0</v>
      </c>
      <c r="P177" s="124" t="n">
        <f aca="false">D177/P$3</f>
        <v>0</v>
      </c>
      <c r="Q177" s="143" t="n">
        <f aca="false">E177/P$3</f>
        <v>0</v>
      </c>
      <c r="R177" s="124" t="n">
        <f aca="false">F177/R$3</f>
        <v>0</v>
      </c>
      <c r="S177" s="126" t="n">
        <f aca="false">J177/$R$3</f>
        <v>0</v>
      </c>
      <c r="T177" s="126" t="n">
        <f aca="false">L177/$R$3</f>
        <v>0</v>
      </c>
      <c r="U177" s="126" t="n">
        <f aca="false">I177/$R$3</f>
        <v>0</v>
      </c>
      <c r="V177" s="126" t="n">
        <f aca="false">M177/$R$3</f>
        <v>0</v>
      </c>
      <c r="W177" s="126" t="n">
        <f aca="false">N177/$R$3</f>
        <v>0</v>
      </c>
    </row>
    <row r="178" customFormat="false" ht="12.75" hidden="true" customHeight="false" outlineLevel="0" collapsed="false">
      <c r="A178" s="120" t="n">
        <f aca="false">A177+1</f>
        <v>37064</v>
      </c>
      <c r="B178" s="131" t="str">
        <f aca="false">INDEX('Master Data'!$A$2:$B$8,MATCH(WEEKDAY('Arg Total Power'!A178,3),'Master Data'!$A$2:$A$8,0),2)</f>
        <v>F</v>
      </c>
      <c r="D178" s="124" t="n">
        <v>0</v>
      </c>
      <c r="E178" s="124"/>
      <c r="F178" s="124" t="n">
        <v>0</v>
      </c>
      <c r="G178" s="124" t="n">
        <v>0</v>
      </c>
      <c r="I178" s="124" t="n">
        <f aca="false">IF(MONTH($A178)=MONTH($A177),IF(G178=0,I177,G178),G178)</f>
        <v>0</v>
      </c>
      <c r="J178" s="124" t="n">
        <f aca="false">IF(MONTH($A178)=MONTH($A177),SUM(I178-I177),I178)</f>
        <v>0</v>
      </c>
      <c r="K178" s="124" t="n">
        <f aca="false">IF(WEEKDAY(A178,3)&gt;4,0,(IF(A178&lt;K$2,0,IF(A178&lt;=K$3,1,0))))</f>
        <v>0</v>
      </c>
      <c r="L178" s="124" t="n">
        <f aca="false">J178*K178</f>
        <v>0</v>
      </c>
      <c r="M178" s="124" t="n">
        <f aca="false">SUM(J$97:J178)</f>
        <v>0</v>
      </c>
      <c r="N178" s="124" t="n">
        <f aca="false">SUM(J$6:J178)</f>
        <v>0</v>
      </c>
      <c r="P178" s="124" t="n">
        <f aca="false">D178/P$3</f>
        <v>0</v>
      </c>
      <c r="Q178" s="143" t="n">
        <f aca="false">E178/P$3</f>
        <v>0</v>
      </c>
      <c r="R178" s="124" t="n">
        <f aca="false">F178/R$3</f>
        <v>0</v>
      </c>
      <c r="S178" s="126" t="n">
        <f aca="false">J178/$R$3</f>
        <v>0</v>
      </c>
      <c r="T178" s="126" t="n">
        <f aca="false">L178/$R$3</f>
        <v>0</v>
      </c>
      <c r="U178" s="126" t="n">
        <f aca="false">I178/$R$3</f>
        <v>0</v>
      </c>
      <c r="V178" s="126" t="n">
        <f aca="false">M178/$R$3</f>
        <v>0</v>
      </c>
      <c r="W178" s="126" t="n">
        <f aca="false">N178/$R$3</f>
        <v>0</v>
      </c>
      <c r="X178" s="144"/>
    </row>
    <row r="179" customFormat="false" ht="12.75" hidden="true" customHeight="false" outlineLevel="0" collapsed="false">
      <c r="A179" s="120" t="n">
        <f aca="false">A178+1</f>
        <v>37065</v>
      </c>
      <c r="B179" s="131" t="str">
        <f aca="false">INDEX('Master Data'!$A$2:$B$8,MATCH(WEEKDAY('Arg Total Power'!A179,3),'Master Data'!$A$2:$A$8,0),2)</f>
        <v>Sa</v>
      </c>
      <c r="D179" s="124" t="n">
        <v>0</v>
      </c>
      <c r="E179" s="124"/>
      <c r="F179" s="124" t="n">
        <v>0</v>
      </c>
      <c r="G179" s="124" t="n">
        <v>0</v>
      </c>
      <c r="I179" s="124" t="n">
        <f aca="false">IF(MONTH($A179)=MONTH($A178),IF(G179=0,I178,G179),G179)</f>
        <v>0</v>
      </c>
      <c r="J179" s="124" t="n">
        <f aca="false">IF(MONTH($A179)=MONTH($A178),SUM(I179-I178),I179)</f>
        <v>0</v>
      </c>
      <c r="K179" s="124" t="n">
        <f aca="false">IF(WEEKDAY(A179,3)&gt;4,0,(IF(A179&lt;K$2,0,IF(A179&lt;=K$3,1,0))))</f>
        <v>0</v>
      </c>
      <c r="L179" s="124" t="n">
        <f aca="false">J179*K179</f>
        <v>0</v>
      </c>
      <c r="M179" s="124" t="n">
        <f aca="false">SUM(J$97:J179)</f>
        <v>0</v>
      </c>
      <c r="N179" s="124" t="n">
        <f aca="false">SUM(J$6:J179)</f>
        <v>0</v>
      </c>
      <c r="P179" s="124" t="n">
        <f aca="false">D179/P$3</f>
        <v>0</v>
      </c>
      <c r="Q179" s="143" t="n">
        <f aca="false">E179/P$3</f>
        <v>0</v>
      </c>
      <c r="R179" s="124" t="n">
        <f aca="false">F179/R$3</f>
        <v>0</v>
      </c>
      <c r="S179" s="126" t="n">
        <f aca="false">J179/$R$3</f>
        <v>0</v>
      </c>
      <c r="T179" s="126" t="n">
        <f aca="false">L179/$R$3</f>
        <v>0</v>
      </c>
      <c r="U179" s="126" t="n">
        <f aca="false">I179/$R$3</f>
        <v>0</v>
      </c>
      <c r="V179" s="126" t="n">
        <f aca="false">M179/$R$3</f>
        <v>0</v>
      </c>
      <c r="W179" s="126" t="n">
        <f aca="false">N179/$R$3</f>
        <v>0</v>
      </c>
    </row>
    <row r="180" customFormat="false" ht="12.75" hidden="true" customHeight="false" outlineLevel="0" collapsed="false">
      <c r="A180" s="120" t="n">
        <f aca="false">A179+1</f>
        <v>37066</v>
      </c>
      <c r="B180" s="131" t="str">
        <f aca="false">INDEX('Master Data'!$A$2:$B$8,MATCH(WEEKDAY('Arg Total Power'!A180,3),'Master Data'!$A$2:$A$8,0),2)</f>
        <v>Su</v>
      </c>
      <c r="D180" s="124" t="n">
        <v>0</v>
      </c>
      <c r="E180" s="124"/>
      <c r="F180" s="124" t="n">
        <v>0</v>
      </c>
      <c r="G180" s="124" t="n">
        <v>0</v>
      </c>
      <c r="I180" s="124" t="n">
        <f aca="false">IF(MONTH($A180)=MONTH($A179),IF(G180=0,I179,G180),G180)</f>
        <v>0</v>
      </c>
      <c r="J180" s="124" t="n">
        <f aca="false">IF(MONTH($A180)=MONTH($A179),SUM(I180-I179),I180)</f>
        <v>0</v>
      </c>
      <c r="K180" s="124" t="n">
        <f aca="false">IF(WEEKDAY(A180,3)&gt;4,0,(IF(A180&lt;K$2,0,IF(A180&lt;=K$3,1,0))))</f>
        <v>0</v>
      </c>
      <c r="L180" s="124" t="n">
        <f aca="false">J180*K180</f>
        <v>0</v>
      </c>
      <c r="M180" s="124" t="n">
        <f aca="false">SUM(J$97:J180)</f>
        <v>0</v>
      </c>
      <c r="N180" s="124" t="n">
        <f aca="false">SUM(J$6:J180)</f>
        <v>0</v>
      </c>
      <c r="P180" s="124" t="n">
        <f aca="false">D180/P$3</f>
        <v>0</v>
      </c>
      <c r="Q180" s="143" t="n">
        <f aca="false">E180/P$3</f>
        <v>0</v>
      </c>
      <c r="R180" s="124" t="n">
        <f aca="false">F180/R$3</f>
        <v>0</v>
      </c>
      <c r="S180" s="126" t="n">
        <f aca="false">J180/$R$3</f>
        <v>0</v>
      </c>
      <c r="T180" s="126" t="n">
        <f aca="false">L180/$R$3</f>
        <v>0</v>
      </c>
      <c r="U180" s="126" t="n">
        <f aca="false">I180/$R$3</f>
        <v>0</v>
      </c>
      <c r="V180" s="126" t="n">
        <f aca="false">M180/$R$3</f>
        <v>0</v>
      </c>
      <c r="W180" s="126" t="n">
        <f aca="false">N180/$R$3</f>
        <v>0</v>
      </c>
    </row>
    <row r="181" customFormat="false" ht="12.75" hidden="true" customHeight="false" outlineLevel="0" collapsed="false">
      <c r="A181" s="120" t="n">
        <f aca="false">A180+1</f>
        <v>37067</v>
      </c>
      <c r="B181" s="131" t="str">
        <f aca="false">INDEX('Master Data'!$A$2:$B$8,MATCH(WEEKDAY('Arg Total Power'!A181,3),'Master Data'!$A$2:$A$8,0),2)</f>
        <v>M</v>
      </c>
      <c r="D181" s="124" t="n">
        <v>0</v>
      </c>
      <c r="E181" s="124"/>
      <c r="F181" s="124" t="n">
        <v>0</v>
      </c>
      <c r="G181" s="124" t="n">
        <v>0</v>
      </c>
      <c r="I181" s="124" t="n">
        <f aca="false">IF(MONTH($A181)=MONTH($A180),IF(G181=0,I180,G181),G181)</f>
        <v>0</v>
      </c>
      <c r="J181" s="124" t="n">
        <f aca="false">IF(MONTH($A181)=MONTH($A180),SUM(I181-I180),I181)</f>
        <v>0</v>
      </c>
      <c r="K181" s="124" t="n">
        <f aca="false">IF(WEEKDAY(A181,3)&gt;4,0,(IF(A181&lt;K$2,0,IF(A181&lt;=K$3,1,0))))</f>
        <v>0</v>
      </c>
      <c r="L181" s="124" t="n">
        <f aca="false">J181*K181</f>
        <v>0</v>
      </c>
      <c r="M181" s="124" t="n">
        <f aca="false">SUM(J$97:J181)</f>
        <v>0</v>
      </c>
      <c r="N181" s="124" t="n">
        <f aca="false">SUM(J$6:J181)</f>
        <v>0</v>
      </c>
      <c r="P181" s="124" t="n">
        <f aca="false">D181/P$3</f>
        <v>0</v>
      </c>
      <c r="Q181" s="143" t="n">
        <f aca="false">E181/P$3</f>
        <v>0</v>
      </c>
      <c r="R181" s="124" t="n">
        <f aca="false">F181/R$3</f>
        <v>0</v>
      </c>
      <c r="S181" s="126" t="n">
        <f aca="false">J181/$R$3</f>
        <v>0</v>
      </c>
      <c r="T181" s="126" t="n">
        <f aca="false">L181/$R$3</f>
        <v>0</v>
      </c>
      <c r="U181" s="126" t="n">
        <f aca="false">I181/$R$3</f>
        <v>0</v>
      </c>
      <c r="V181" s="126" t="n">
        <f aca="false">M181/$R$3</f>
        <v>0</v>
      </c>
      <c r="W181" s="126" t="n">
        <f aca="false">N181/$R$3</f>
        <v>0</v>
      </c>
    </row>
    <row r="182" customFormat="false" ht="12.75" hidden="true" customHeight="false" outlineLevel="0" collapsed="false">
      <c r="A182" s="120" t="n">
        <f aca="false">A181+1</f>
        <v>37068</v>
      </c>
      <c r="B182" s="131" t="str">
        <f aca="false">INDEX('Master Data'!$A$2:$B$8,MATCH(WEEKDAY('Arg Total Power'!A182,3),'Master Data'!$A$2:$A$8,0),2)</f>
        <v>T</v>
      </c>
      <c r="D182" s="124" t="n">
        <v>0</v>
      </c>
      <c r="E182" s="124"/>
      <c r="F182" s="124" t="n">
        <v>0</v>
      </c>
      <c r="G182" s="124" t="n">
        <v>0</v>
      </c>
      <c r="I182" s="124" t="n">
        <f aca="false">IF(MONTH($A182)=MONTH($A181),IF(G182=0,I181,G182),G182)</f>
        <v>0</v>
      </c>
      <c r="J182" s="124" t="n">
        <f aca="false">IF(MONTH($A182)=MONTH($A181),SUM(I182-I181),I182)</f>
        <v>0</v>
      </c>
      <c r="K182" s="124" t="n">
        <f aca="false">IF(WEEKDAY(A182,3)&gt;4,0,(IF(A182&lt;K$2,0,IF(A182&lt;=K$3,1,0))))</f>
        <v>0</v>
      </c>
      <c r="L182" s="124" t="n">
        <f aca="false">J182*K182</f>
        <v>0</v>
      </c>
      <c r="M182" s="124" t="n">
        <f aca="false">SUM(J$97:J182)</f>
        <v>0</v>
      </c>
      <c r="N182" s="124" t="n">
        <f aca="false">SUM(J$6:J182)</f>
        <v>0</v>
      </c>
      <c r="P182" s="124" t="n">
        <f aca="false">D182/P$3</f>
        <v>0</v>
      </c>
      <c r="Q182" s="143" t="n">
        <f aca="false">E182/P$3</f>
        <v>0</v>
      </c>
      <c r="R182" s="124" t="n">
        <f aca="false">F182/R$3</f>
        <v>0</v>
      </c>
      <c r="S182" s="126" t="n">
        <f aca="false">J182/$R$3</f>
        <v>0</v>
      </c>
      <c r="T182" s="126" t="n">
        <f aca="false">L182/$R$3</f>
        <v>0</v>
      </c>
      <c r="U182" s="126" t="n">
        <f aca="false">I182/$R$3</f>
        <v>0</v>
      </c>
      <c r="V182" s="126" t="n">
        <f aca="false">M182/$R$3</f>
        <v>0</v>
      </c>
      <c r="W182" s="126" t="n">
        <f aca="false">N182/$R$3</f>
        <v>0</v>
      </c>
    </row>
    <row r="183" customFormat="false" ht="12.75" hidden="true" customHeight="false" outlineLevel="0" collapsed="false">
      <c r="A183" s="120" t="n">
        <f aca="false">A182+1</f>
        <v>37069</v>
      </c>
      <c r="B183" s="131" t="str">
        <f aca="false">INDEX('Master Data'!$A$2:$B$8,MATCH(WEEKDAY('Arg Total Power'!A183,3),'Master Data'!$A$2:$A$8,0),2)</f>
        <v>W</v>
      </c>
      <c r="D183" s="124" t="n">
        <v>0</v>
      </c>
      <c r="E183" s="124"/>
      <c r="F183" s="124" t="n">
        <v>0</v>
      </c>
      <c r="G183" s="124" t="n">
        <v>0</v>
      </c>
      <c r="I183" s="124" t="n">
        <f aca="false">IF(MONTH($A183)=MONTH($A182),IF(G183=0,I182,G183),G183)</f>
        <v>0</v>
      </c>
      <c r="J183" s="124" t="n">
        <f aca="false">IF(MONTH($A183)=MONTH($A182),SUM(I183-I182),I183)</f>
        <v>0</v>
      </c>
      <c r="K183" s="124" t="n">
        <f aca="false">IF(WEEKDAY(A183,3)&gt;4,0,(IF(A183&lt;K$2,0,IF(A183&lt;=K$3,1,0))))</f>
        <v>0</v>
      </c>
      <c r="L183" s="124" t="n">
        <f aca="false">J183*K183</f>
        <v>0</v>
      </c>
      <c r="M183" s="124" t="n">
        <f aca="false">SUM(J$97:J183)</f>
        <v>0</v>
      </c>
      <c r="N183" s="124" t="n">
        <f aca="false">SUM(J$6:J183)</f>
        <v>0</v>
      </c>
      <c r="P183" s="124" t="n">
        <f aca="false">D183/P$3</f>
        <v>0</v>
      </c>
      <c r="Q183" s="143" t="n">
        <f aca="false">E183/P$3</f>
        <v>0</v>
      </c>
      <c r="R183" s="124" t="n">
        <f aca="false">F183/R$3</f>
        <v>0</v>
      </c>
      <c r="S183" s="126" t="n">
        <f aca="false">J183/$R$3</f>
        <v>0</v>
      </c>
      <c r="T183" s="126" t="n">
        <f aca="false">L183/$R$3</f>
        <v>0</v>
      </c>
      <c r="U183" s="126" t="n">
        <f aca="false">I183/$R$3</f>
        <v>0</v>
      </c>
      <c r="V183" s="126" t="n">
        <f aca="false">M183/$R$3</f>
        <v>0</v>
      </c>
      <c r="W183" s="126" t="n">
        <f aca="false">N183/$R$3</f>
        <v>0</v>
      </c>
    </row>
    <row r="184" customFormat="false" ht="12.75" hidden="true" customHeight="false" outlineLevel="0" collapsed="false">
      <c r="A184" s="120" t="n">
        <f aca="false">A183+1</f>
        <v>37070</v>
      </c>
      <c r="B184" s="131" t="str">
        <f aca="false">INDEX('Master Data'!$A$2:$B$8,MATCH(WEEKDAY('Arg Total Power'!A184,3),'Master Data'!$A$2:$A$8,0),2)</f>
        <v>Th</v>
      </c>
      <c r="D184" s="124" t="n">
        <v>0</v>
      </c>
      <c r="E184" s="124"/>
      <c r="F184" s="124" t="n">
        <v>0</v>
      </c>
      <c r="G184" s="124" t="n">
        <v>0</v>
      </c>
      <c r="I184" s="124" t="n">
        <f aca="false">IF(MONTH($A184)=MONTH($A183),IF(G184=0,I183,G184),G184)</f>
        <v>0</v>
      </c>
      <c r="J184" s="124" t="n">
        <f aca="false">IF(MONTH($A184)=MONTH($A183),SUM(I184-I183),I184)</f>
        <v>0</v>
      </c>
      <c r="K184" s="124" t="n">
        <f aca="false">IF(WEEKDAY(A184,3)&gt;4,0,(IF(A184&lt;K$2,0,IF(A184&lt;=K$3,1,0))))</f>
        <v>0</v>
      </c>
      <c r="L184" s="124" t="n">
        <f aca="false">J184*K184</f>
        <v>0</v>
      </c>
      <c r="M184" s="124" t="n">
        <f aca="false">SUM(J$97:J184)</f>
        <v>0</v>
      </c>
      <c r="N184" s="124" t="n">
        <f aca="false">SUM(J$6:J184)</f>
        <v>0</v>
      </c>
      <c r="P184" s="124" t="n">
        <f aca="false">D184/P$3</f>
        <v>0</v>
      </c>
      <c r="Q184" s="143" t="n">
        <f aca="false">E184/P$3</f>
        <v>0</v>
      </c>
      <c r="R184" s="124" t="n">
        <f aca="false">F184/R$3</f>
        <v>0</v>
      </c>
      <c r="S184" s="126" t="n">
        <f aca="false">J184/$R$3</f>
        <v>0</v>
      </c>
      <c r="T184" s="126" t="n">
        <f aca="false">L184/$R$3</f>
        <v>0</v>
      </c>
      <c r="U184" s="126" t="n">
        <f aca="false">I184/$R$3</f>
        <v>0</v>
      </c>
      <c r="V184" s="126" t="n">
        <f aca="false">M184/$R$3</f>
        <v>0</v>
      </c>
      <c r="W184" s="126" t="n">
        <f aca="false">N184/$R$3</f>
        <v>0</v>
      </c>
    </row>
    <row r="185" customFormat="false" ht="12.75" hidden="true" customHeight="false" outlineLevel="0" collapsed="false">
      <c r="A185" s="120" t="n">
        <f aca="false">A184+1</f>
        <v>37071</v>
      </c>
      <c r="B185" s="131" t="str">
        <f aca="false">INDEX('Master Data'!$A$2:$B$8,MATCH(WEEKDAY('Arg Total Power'!A185,3),'Master Data'!$A$2:$A$8,0),2)</f>
        <v>F</v>
      </c>
      <c r="D185" s="124" t="n">
        <v>0</v>
      </c>
      <c r="E185" s="124"/>
      <c r="F185" s="124" t="n">
        <v>0</v>
      </c>
      <c r="G185" s="124" t="n">
        <v>0</v>
      </c>
      <c r="I185" s="124" t="n">
        <f aca="false">IF(MONTH($A185)=MONTH($A184),IF(G185=0,I184,G185),G185)</f>
        <v>0</v>
      </c>
      <c r="J185" s="124" t="n">
        <f aca="false">IF(MONTH($A185)=MONTH($A184),SUM(I185-I184),I185)</f>
        <v>0</v>
      </c>
      <c r="K185" s="124" t="n">
        <f aca="false">IF(WEEKDAY(A185,3)&gt;4,0,(IF(A185&lt;K$2,0,IF(A185&lt;=K$3,1,0))))</f>
        <v>0</v>
      </c>
      <c r="L185" s="124" t="n">
        <f aca="false">J185*K185</f>
        <v>0</v>
      </c>
      <c r="M185" s="124" t="n">
        <f aca="false">SUM(J$97:J185)</f>
        <v>0</v>
      </c>
      <c r="N185" s="124" t="n">
        <f aca="false">SUM(J$6:J185)</f>
        <v>0</v>
      </c>
      <c r="P185" s="124" t="n">
        <f aca="false">D185/P$3</f>
        <v>0</v>
      </c>
      <c r="Q185" s="143" t="n">
        <f aca="false">E185/P$3</f>
        <v>0</v>
      </c>
      <c r="R185" s="124" t="n">
        <f aca="false">F185/R$3</f>
        <v>0</v>
      </c>
      <c r="S185" s="126" t="n">
        <f aca="false">J185/$R$3</f>
        <v>0</v>
      </c>
      <c r="T185" s="126" t="n">
        <f aca="false">L185/$R$3</f>
        <v>0</v>
      </c>
      <c r="U185" s="126" t="n">
        <f aca="false">I185/$R$3</f>
        <v>0</v>
      </c>
      <c r="V185" s="126" t="n">
        <f aca="false">M185/$R$3</f>
        <v>0</v>
      </c>
      <c r="W185" s="126" t="n">
        <f aca="false">N185/$R$3</f>
        <v>0</v>
      </c>
    </row>
    <row r="186" customFormat="false" ht="12.75" hidden="false" customHeight="false" outlineLevel="0" collapsed="false">
      <c r="A186" s="120" t="n">
        <f aca="false">A185+1</f>
        <v>37072</v>
      </c>
      <c r="B186" s="131" t="str">
        <f aca="false">INDEX('Master Data'!$A$2:$B$8,MATCH(WEEKDAY('Arg Total Power'!A186,3),'Master Data'!$A$2:$A$8,0),2)</f>
        <v>Sa</v>
      </c>
      <c r="D186" s="124" t="n">
        <v>0</v>
      </c>
      <c r="E186" s="124"/>
      <c r="F186" s="124" t="n">
        <v>0</v>
      </c>
      <c r="G186" s="124" t="n">
        <v>0</v>
      </c>
      <c r="I186" s="124" t="n">
        <f aca="false">IF(MONTH($A186)=MONTH($A185),IF(G186=0,I185,G186),G186)</f>
        <v>0</v>
      </c>
      <c r="J186" s="124" t="n">
        <f aca="false">IF(MONTH($A186)=MONTH($A185),SUM(I186-I185),I186)</f>
        <v>0</v>
      </c>
      <c r="K186" s="124" t="n">
        <f aca="false">IF(WEEKDAY(A186,3)&gt;4,0,(IF(A186&lt;K$2,0,IF(A186&lt;=K$3,1,0))))</f>
        <v>0</v>
      </c>
      <c r="L186" s="124" t="n">
        <f aca="false">J186*K186</f>
        <v>0</v>
      </c>
      <c r="M186" s="124" t="n">
        <f aca="false">SUM(J$97:J186)</f>
        <v>0</v>
      </c>
      <c r="N186" s="124" t="n">
        <f aca="false">SUM(J$6:J186)</f>
        <v>0</v>
      </c>
      <c r="P186" s="124" t="n">
        <f aca="false">D186/P$3</f>
        <v>0</v>
      </c>
      <c r="Q186" s="143" t="n">
        <f aca="false">E186/P$3</f>
        <v>0</v>
      </c>
      <c r="R186" s="124" t="n">
        <f aca="false">F186/R$3</f>
        <v>0</v>
      </c>
      <c r="S186" s="126" t="n">
        <f aca="false">J186/$R$3</f>
        <v>0</v>
      </c>
      <c r="T186" s="126" t="n">
        <f aca="false">L186/$R$3</f>
        <v>0</v>
      </c>
      <c r="U186" s="126" t="n">
        <f aca="false">I186/$R$3</f>
        <v>0</v>
      </c>
      <c r="V186" s="126" t="n">
        <f aca="false">M186/$R$3</f>
        <v>0</v>
      </c>
      <c r="W186" s="126" t="n">
        <f aca="false">N186/$R$3</f>
        <v>0</v>
      </c>
    </row>
    <row r="187" customFormat="false" ht="12.75" hidden="true" customHeight="false" outlineLevel="0" collapsed="false">
      <c r="A187" s="120" t="n">
        <f aca="false">A186+1</f>
        <v>37073</v>
      </c>
      <c r="B187" s="131" t="str">
        <f aca="false">INDEX('Master Data'!$A$2:$B$8,MATCH(WEEKDAY('Arg Total Power'!A187,3),'Master Data'!$A$2:$A$8,0),2)</f>
        <v>Su</v>
      </c>
      <c r="D187" s="124" t="n">
        <v>0</v>
      </c>
      <c r="E187" s="124"/>
      <c r="F187" s="124" t="n">
        <v>0</v>
      </c>
      <c r="G187" s="124" t="n">
        <v>0</v>
      </c>
      <c r="I187" s="124" t="n">
        <f aca="false">IF(MONTH($A187)=MONTH($A186),IF(G187=0,I186,G187),G187)</f>
        <v>0</v>
      </c>
      <c r="J187" s="124" t="n">
        <f aca="false">IF(MONTH($A187)=MONTH($A186),SUM(I187-I186),I187)</f>
        <v>0</v>
      </c>
      <c r="K187" s="124" t="n">
        <f aca="false">IF(WEEKDAY(A187,3)&gt;4,0,(IF(A187&lt;K$2,0,IF(A187&lt;=K$3,1,0))))</f>
        <v>0</v>
      </c>
      <c r="L187" s="124" t="n">
        <f aca="false">J187*K187</f>
        <v>0</v>
      </c>
      <c r="M187" s="124" t="n">
        <f aca="false">SUM(J$97:J187)</f>
        <v>0</v>
      </c>
      <c r="N187" s="124" t="n">
        <f aca="false">SUM(J$6:J187)</f>
        <v>0</v>
      </c>
      <c r="P187" s="124" t="n">
        <f aca="false">D187/P$3</f>
        <v>0</v>
      </c>
      <c r="Q187" s="143" t="n">
        <f aca="false">E187/P$3</f>
        <v>0</v>
      </c>
      <c r="R187" s="124" t="n">
        <f aca="false">F187/R$3</f>
        <v>0</v>
      </c>
      <c r="S187" s="126" t="n">
        <f aca="false">J187/$R$3</f>
        <v>0</v>
      </c>
      <c r="T187" s="126" t="n">
        <f aca="false">L187/$R$3</f>
        <v>0</v>
      </c>
      <c r="U187" s="126" t="n">
        <f aca="false">I187/$R$3</f>
        <v>0</v>
      </c>
      <c r="V187" s="126" t="n">
        <f aca="false">M187/$R$3</f>
        <v>0</v>
      </c>
      <c r="W187" s="126" t="n">
        <f aca="false">N187/$R$3</f>
        <v>0</v>
      </c>
    </row>
    <row r="188" customFormat="false" ht="12.75" hidden="true" customHeight="false" outlineLevel="0" collapsed="false">
      <c r="A188" s="120" t="n">
        <f aca="false">A187+1</f>
        <v>37074</v>
      </c>
      <c r="B188" s="131" t="str">
        <f aca="false">INDEX('Master Data'!$A$2:$B$8,MATCH(WEEKDAY('Arg Total Power'!A188,3),'Master Data'!$A$2:$A$8,0),2)</f>
        <v>M</v>
      </c>
      <c r="D188" s="124" t="n">
        <v>0</v>
      </c>
      <c r="E188" s="124"/>
      <c r="F188" s="124" t="n">
        <v>0</v>
      </c>
      <c r="G188" s="124" t="n">
        <v>0</v>
      </c>
      <c r="I188" s="124" t="n">
        <f aca="false">IF(MONTH($A188)=MONTH($A187),IF(G188=0,I187,G188),G188)</f>
        <v>0</v>
      </c>
      <c r="J188" s="124" t="n">
        <f aca="false">IF(MONTH($A188)=MONTH($A187),SUM(I188-I187),I188)</f>
        <v>0</v>
      </c>
      <c r="K188" s="124" t="n">
        <f aca="false">IF(WEEKDAY(A188,3)&gt;4,0,(IF(A188&lt;K$2,0,IF(A188&lt;=K$3,1,0))))</f>
        <v>0</v>
      </c>
      <c r="L188" s="124" t="n">
        <f aca="false">J188*K188</f>
        <v>0</v>
      </c>
      <c r="M188" s="124" t="n">
        <f aca="false">SUM(J$97:J188)</f>
        <v>0</v>
      </c>
      <c r="N188" s="124" t="n">
        <f aca="false">SUM(J$6:J188)</f>
        <v>0</v>
      </c>
      <c r="P188" s="124" t="n">
        <f aca="false">D188/P$3</f>
        <v>0</v>
      </c>
      <c r="Q188" s="143" t="n">
        <f aca="false">E188/P$3</f>
        <v>0</v>
      </c>
      <c r="R188" s="124" t="n">
        <f aca="false">F188/R$3</f>
        <v>0</v>
      </c>
      <c r="S188" s="126" t="n">
        <f aca="false">J188/$R$3</f>
        <v>0</v>
      </c>
      <c r="T188" s="126" t="n">
        <f aca="false">L188/$R$3</f>
        <v>0</v>
      </c>
      <c r="U188" s="126" t="n">
        <f aca="false">I188/$R$3</f>
        <v>0</v>
      </c>
      <c r="V188" s="126" t="n">
        <f aca="false">M188/$R$3</f>
        <v>0</v>
      </c>
      <c r="W188" s="126" t="n">
        <f aca="false">N188/$R$3</f>
        <v>0</v>
      </c>
    </row>
    <row r="189" customFormat="false" ht="12.75" hidden="true" customHeight="false" outlineLevel="0" collapsed="false">
      <c r="A189" s="120" t="n">
        <f aca="false">A188+1</f>
        <v>37075</v>
      </c>
      <c r="B189" s="131" t="str">
        <f aca="false">INDEX('Master Data'!$A$2:$B$8,MATCH(WEEKDAY('Arg Total Power'!A189,3),'Master Data'!$A$2:$A$8,0),2)</f>
        <v>T</v>
      </c>
      <c r="D189" s="124" t="n">
        <v>0</v>
      </c>
      <c r="E189" s="124"/>
      <c r="F189" s="124" t="n">
        <v>0</v>
      </c>
      <c r="G189" s="124" t="n">
        <v>0</v>
      </c>
      <c r="I189" s="124" t="n">
        <f aca="false">IF(MONTH($A189)=MONTH($A188),IF(G189=0,I188,G189),G189)</f>
        <v>0</v>
      </c>
      <c r="J189" s="124" t="n">
        <f aca="false">IF(MONTH($A189)=MONTH($A188),SUM(I189-I188),I189)</f>
        <v>0</v>
      </c>
      <c r="K189" s="124" t="n">
        <f aca="false">IF(WEEKDAY(A189,3)&gt;4,0,(IF(A189&lt;K$2,0,IF(A189&lt;=K$3,1,0))))</f>
        <v>0</v>
      </c>
      <c r="L189" s="124" t="n">
        <f aca="false">J189*K189</f>
        <v>0</v>
      </c>
      <c r="M189" s="124" t="n">
        <f aca="false">SUM(J$97:J189)</f>
        <v>0</v>
      </c>
      <c r="N189" s="124" t="n">
        <f aca="false">SUM(J$6:J189)</f>
        <v>0</v>
      </c>
      <c r="P189" s="124" t="n">
        <f aca="false">D189/P$3</f>
        <v>0</v>
      </c>
      <c r="Q189" s="143" t="n">
        <f aca="false">E189/P$3</f>
        <v>0</v>
      </c>
      <c r="R189" s="124" t="n">
        <f aca="false">F189/R$3</f>
        <v>0</v>
      </c>
      <c r="S189" s="126" t="n">
        <f aca="false">J189/$R$3</f>
        <v>0</v>
      </c>
      <c r="T189" s="126" t="n">
        <f aca="false">L189/$R$3</f>
        <v>0</v>
      </c>
      <c r="U189" s="126" t="n">
        <f aca="false">I189/$R$3</f>
        <v>0</v>
      </c>
      <c r="V189" s="126" t="n">
        <f aca="false">M189/$R$3</f>
        <v>0</v>
      </c>
      <c r="W189" s="126" t="n">
        <f aca="false">N189/$R$3</f>
        <v>0</v>
      </c>
    </row>
    <row r="190" customFormat="false" ht="12.75" hidden="true" customHeight="false" outlineLevel="0" collapsed="false">
      <c r="A190" s="120" t="n">
        <f aca="false">A189+1</f>
        <v>37076</v>
      </c>
      <c r="B190" s="131" t="str">
        <f aca="false">INDEX('Master Data'!$A$2:$B$8,MATCH(WEEKDAY('Arg Total Power'!A190,3),'Master Data'!$A$2:$A$8,0),2)</f>
        <v>W</v>
      </c>
      <c r="D190" s="124" t="n">
        <v>0</v>
      </c>
      <c r="E190" s="124"/>
      <c r="F190" s="124" t="n">
        <v>0</v>
      </c>
      <c r="G190" s="124" t="n">
        <v>0</v>
      </c>
      <c r="I190" s="124" t="n">
        <f aca="false">IF(MONTH($A190)=MONTH($A189),IF(G190=0,I189,G190),G190)</f>
        <v>0</v>
      </c>
      <c r="J190" s="124" t="n">
        <f aca="false">IF(MONTH($A190)=MONTH($A189),SUM(I190-I189),I190)</f>
        <v>0</v>
      </c>
      <c r="K190" s="124" t="n">
        <f aca="false">IF(WEEKDAY(A190,3)&gt;4,0,(IF(A190&lt;K$2,0,IF(A190&lt;=K$3,1,0))))</f>
        <v>0</v>
      </c>
      <c r="L190" s="124" t="n">
        <f aca="false">J190*K190</f>
        <v>0</v>
      </c>
      <c r="M190" s="124" t="n">
        <f aca="false">SUM(J$97:J190)</f>
        <v>0</v>
      </c>
      <c r="N190" s="124" t="n">
        <f aca="false">SUM(J$6:J190)</f>
        <v>0</v>
      </c>
      <c r="P190" s="124" t="n">
        <f aca="false">D190/P$3</f>
        <v>0</v>
      </c>
      <c r="Q190" s="143" t="n">
        <f aca="false">E190/P$3</f>
        <v>0</v>
      </c>
      <c r="R190" s="124" t="n">
        <f aca="false">F190/R$3</f>
        <v>0</v>
      </c>
      <c r="S190" s="126" t="n">
        <f aca="false">J190/$R$3</f>
        <v>0</v>
      </c>
      <c r="T190" s="126" t="n">
        <f aca="false">L190/$R$3</f>
        <v>0</v>
      </c>
      <c r="U190" s="126" t="n">
        <f aca="false">I190/$R$3</f>
        <v>0</v>
      </c>
      <c r="V190" s="126" t="n">
        <f aca="false">M190/$R$3</f>
        <v>0</v>
      </c>
      <c r="W190" s="126" t="n">
        <f aca="false">N190/$R$3</f>
        <v>0</v>
      </c>
    </row>
    <row r="191" customFormat="false" ht="12.75" hidden="true" customHeight="false" outlineLevel="0" collapsed="false">
      <c r="A191" s="120" t="n">
        <f aca="false">A190+1</f>
        <v>37077</v>
      </c>
      <c r="B191" s="131" t="str">
        <f aca="false">INDEX('Master Data'!$A$2:$B$8,MATCH(WEEKDAY('Arg Total Power'!A191,3),'Master Data'!$A$2:$A$8,0),2)</f>
        <v>Th</v>
      </c>
      <c r="D191" s="124" t="n">
        <v>0</v>
      </c>
      <c r="E191" s="124"/>
      <c r="F191" s="124" t="n">
        <v>0</v>
      </c>
      <c r="G191" s="124" t="n">
        <v>0</v>
      </c>
      <c r="I191" s="124" t="n">
        <f aca="false">IF(MONTH($A191)=MONTH($A190),IF(G191=0,I190,G191),G191)</f>
        <v>0</v>
      </c>
      <c r="J191" s="124" t="n">
        <f aca="false">IF(MONTH($A191)=MONTH($A190),SUM(I191-I190),I191)</f>
        <v>0</v>
      </c>
      <c r="K191" s="124" t="n">
        <f aca="false">IF(WEEKDAY(A191,3)&gt;4,0,(IF(A191&lt;K$2,0,IF(A191&lt;=K$3,1,0))))</f>
        <v>0</v>
      </c>
      <c r="L191" s="124" t="n">
        <f aca="false">J191*K191</f>
        <v>0</v>
      </c>
      <c r="M191" s="124" t="n">
        <f aca="false">SUM(J$97:J191)</f>
        <v>0</v>
      </c>
      <c r="N191" s="124" t="n">
        <f aca="false">SUM(J$6:J191)</f>
        <v>0</v>
      </c>
      <c r="P191" s="124" t="n">
        <f aca="false">D191/P$3</f>
        <v>0</v>
      </c>
      <c r="Q191" s="143" t="n">
        <f aca="false">E191/P$3</f>
        <v>0</v>
      </c>
      <c r="R191" s="124" t="n">
        <f aca="false">F191/R$3</f>
        <v>0</v>
      </c>
      <c r="S191" s="126" t="n">
        <f aca="false">J191/$R$3</f>
        <v>0</v>
      </c>
      <c r="T191" s="126" t="n">
        <f aca="false">L191/$R$3</f>
        <v>0</v>
      </c>
      <c r="U191" s="126" t="n">
        <f aca="false">I191/$R$3</f>
        <v>0</v>
      </c>
      <c r="V191" s="126" t="n">
        <f aca="false">M191/$R$3</f>
        <v>0</v>
      </c>
      <c r="W191" s="126" t="n">
        <f aca="false">N191/$R$3</f>
        <v>0</v>
      </c>
    </row>
    <row r="192" customFormat="false" ht="12.75" hidden="true" customHeight="false" outlineLevel="0" collapsed="false">
      <c r="A192" s="120" t="n">
        <f aca="false">A191+1</f>
        <v>37078</v>
      </c>
      <c r="B192" s="131" t="str">
        <f aca="false">INDEX('Master Data'!$A$2:$B$8,MATCH(WEEKDAY('Arg Total Power'!A192,3),'Master Data'!$A$2:$A$8,0),2)</f>
        <v>F</v>
      </c>
      <c r="D192" s="124" t="n">
        <v>0</v>
      </c>
      <c r="E192" s="124" t="n">
        <v>399807.002223507</v>
      </c>
      <c r="F192" s="124" t="n">
        <v>0</v>
      </c>
      <c r="G192" s="124" t="n">
        <v>0</v>
      </c>
      <c r="I192" s="124" t="n">
        <f aca="false">IF(MONTH($A192)=MONTH($A191),IF(G192=0,I191,G192),G192)</f>
        <v>0</v>
      </c>
      <c r="J192" s="124" t="n">
        <f aca="false">IF(MONTH($A192)=MONTH($A191),SUM(I192-I191),I192)</f>
        <v>0</v>
      </c>
      <c r="K192" s="124" t="n">
        <f aca="false">IF(WEEKDAY(A192,3)&gt;4,0,(IF(A192&lt;K$2,0,IF(A192&lt;=K$3,1,0))))</f>
        <v>0</v>
      </c>
      <c r="L192" s="124" t="n">
        <f aca="false">J192*K192</f>
        <v>0</v>
      </c>
      <c r="M192" s="124" t="n">
        <f aca="false">SUM(J$97:J192)</f>
        <v>0</v>
      </c>
      <c r="N192" s="124" t="n">
        <f aca="false">SUM(J$6:J192)</f>
        <v>0</v>
      </c>
      <c r="P192" s="124" t="n">
        <f aca="false">D192/P$3</f>
        <v>0</v>
      </c>
      <c r="Q192" s="143" t="n">
        <f aca="false">E192/P$3</f>
        <v>0.399807002223507</v>
      </c>
      <c r="R192" s="124" t="n">
        <f aca="false">F192/R$3</f>
        <v>0</v>
      </c>
      <c r="S192" s="126" t="n">
        <f aca="false">J192/$R$3</f>
        <v>0</v>
      </c>
      <c r="T192" s="126" t="n">
        <f aca="false">L192/$R$3</f>
        <v>0</v>
      </c>
      <c r="U192" s="126" t="n">
        <f aca="false">I192/$R$3</f>
        <v>0</v>
      </c>
      <c r="V192" s="126" t="n">
        <f aca="false">M192/$R$3</f>
        <v>0</v>
      </c>
      <c r="W192" s="126" t="n">
        <f aca="false">N192/$R$3</f>
        <v>0</v>
      </c>
    </row>
    <row r="193" customFormat="false" ht="12.75" hidden="true" customHeight="false" outlineLevel="0" collapsed="false">
      <c r="A193" s="120" t="n">
        <f aca="false">A192+1</f>
        <v>37079</v>
      </c>
      <c r="B193" s="131" t="str">
        <f aca="false">INDEX('Master Data'!$A$2:$B$8,MATCH(WEEKDAY('Arg Total Power'!A193,3),'Master Data'!$A$2:$A$8,0),2)</f>
        <v>Sa</v>
      </c>
      <c r="D193" s="124" t="n">
        <v>0</v>
      </c>
      <c r="E193" s="124" t="n">
        <v>0</v>
      </c>
      <c r="F193" s="124" t="n">
        <v>0</v>
      </c>
      <c r="G193" s="124" t="n">
        <v>0</v>
      </c>
      <c r="I193" s="124" t="n">
        <f aca="false">IF(MONTH($A193)=MONTH($A192),IF(G193=0,I192,G193),G193)</f>
        <v>0</v>
      </c>
      <c r="J193" s="124" t="n">
        <f aca="false">IF(MONTH($A193)=MONTH($A192),SUM(I193-I192),I193)</f>
        <v>0</v>
      </c>
      <c r="K193" s="124" t="n">
        <f aca="false">IF(WEEKDAY(A193,3)&gt;4,0,(IF(A193&lt;K$2,0,IF(A193&lt;=K$3,1,0))))</f>
        <v>0</v>
      </c>
      <c r="L193" s="124" t="n">
        <f aca="false">J193*K193</f>
        <v>0</v>
      </c>
      <c r="M193" s="124" t="n">
        <f aca="false">SUM(J$97:J193)</f>
        <v>0</v>
      </c>
      <c r="N193" s="124" t="n">
        <f aca="false">SUM(J$6:J193)</f>
        <v>0</v>
      </c>
      <c r="P193" s="124" t="n">
        <f aca="false">D193/P$3</f>
        <v>0</v>
      </c>
      <c r="Q193" s="143" t="n">
        <f aca="false">E193/P$3</f>
        <v>0</v>
      </c>
      <c r="R193" s="124" t="n">
        <f aca="false">F193/R$3</f>
        <v>0</v>
      </c>
      <c r="S193" s="126" t="n">
        <f aca="false">J193/$R$3</f>
        <v>0</v>
      </c>
      <c r="T193" s="126" t="n">
        <f aca="false">L193/$R$3</f>
        <v>0</v>
      </c>
      <c r="U193" s="126" t="n">
        <f aca="false">I193/$R$3</f>
        <v>0</v>
      </c>
      <c r="V193" s="126" t="n">
        <f aca="false">M193/$R$3</f>
        <v>0</v>
      </c>
      <c r="W193" s="126" t="n">
        <f aca="false">N193/$R$3</f>
        <v>0</v>
      </c>
    </row>
    <row r="194" customFormat="false" ht="12.75" hidden="true" customHeight="false" outlineLevel="0" collapsed="false">
      <c r="A194" s="120" t="n">
        <f aca="false">A193+1</f>
        <v>37080</v>
      </c>
      <c r="B194" s="131" t="str">
        <f aca="false">INDEX('Master Data'!$A$2:$B$8,MATCH(WEEKDAY('Arg Total Power'!A194,3),'Master Data'!$A$2:$A$8,0),2)</f>
        <v>Su</v>
      </c>
      <c r="D194" s="124" t="n">
        <v>0</v>
      </c>
      <c r="E194" s="124" t="n">
        <v>0</v>
      </c>
      <c r="F194" s="124" t="n">
        <v>0</v>
      </c>
      <c r="G194" s="124" t="n">
        <v>0</v>
      </c>
      <c r="I194" s="124" t="n">
        <f aca="false">IF(MONTH($A194)=MONTH($A193),IF(G194=0,I193,G194),G194)</f>
        <v>0</v>
      </c>
      <c r="J194" s="124" t="n">
        <f aca="false">IF(MONTH($A194)=MONTH($A193),SUM(I194-I193),I194)</f>
        <v>0</v>
      </c>
      <c r="K194" s="124" t="n">
        <f aca="false">IF(WEEKDAY(A194,3)&gt;4,0,(IF(A194&lt;K$2,0,IF(A194&lt;=K$3,1,0))))</f>
        <v>0</v>
      </c>
      <c r="L194" s="124" t="n">
        <f aca="false">J194*K194</f>
        <v>0</v>
      </c>
      <c r="M194" s="124" t="n">
        <f aca="false">SUM(J$97:J194)</f>
        <v>0</v>
      </c>
      <c r="N194" s="124" t="n">
        <f aca="false">SUM(J$6:J194)</f>
        <v>0</v>
      </c>
      <c r="P194" s="124" t="n">
        <f aca="false">D194/P$3</f>
        <v>0</v>
      </c>
      <c r="Q194" s="143" t="n">
        <f aca="false">E194/P$3</f>
        <v>0</v>
      </c>
      <c r="R194" s="124" t="n">
        <f aca="false">F194/R$3</f>
        <v>0</v>
      </c>
      <c r="S194" s="126" t="n">
        <f aca="false">J194/$R$3</f>
        <v>0</v>
      </c>
      <c r="T194" s="126" t="n">
        <f aca="false">L194/$R$3</f>
        <v>0</v>
      </c>
      <c r="U194" s="126" t="n">
        <f aca="false">I194/$R$3</f>
        <v>0</v>
      </c>
      <c r="V194" s="126" t="n">
        <f aca="false">M194/$R$3</f>
        <v>0</v>
      </c>
      <c r="W194" s="126" t="n">
        <f aca="false">N194/$R$3</f>
        <v>0</v>
      </c>
    </row>
    <row r="195" customFormat="false" ht="12.75" hidden="true" customHeight="false" outlineLevel="0" collapsed="false">
      <c r="A195" s="120" t="n">
        <f aca="false">A194+1</f>
        <v>37081</v>
      </c>
      <c r="B195" s="131" t="str">
        <f aca="false">INDEX('Master Data'!$A$2:$B$8,MATCH(WEEKDAY('Arg Total Power'!A195,3),'Master Data'!$A$2:$A$8,0),2)</f>
        <v>M</v>
      </c>
      <c r="D195" s="124" t="n">
        <v>0</v>
      </c>
      <c r="E195" s="124" t="n">
        <v>401378.968571289</v>
      </c>
      <c r="F195" s="124" t="n">
        <v>0</v>
      </c>
      <c r="G195" s="124" t="n">
        <v>0</v>
      </c>
      <c r="I195" s="124" t="n">
        <f aca="false">IF(MONTH($A195)=MONTH($A194),IF(G195=0,I194,G195),G195)</f>
        <v>0</v>
      </c>
      <c r="J195" s="124" t="n">
        <f aca="false">IF(MONTH($A195)=MONTH($A194),SUM(I195-I194),I195)</f>
        <v>0</v>
      </c>
      <c r="K195" s="124" t="n">
        <f aca="false">IF(WEEKDAY(A195,3)&gt;4,0,(IF(A195&lt;K$2,0,IF(A195&lt;=K$3,1,0))))</f>
        <v>0</v>
      </c>
      <c r="L195" s="124" t="n">
        <f aca="false">J195*K195</f>
        <v>0</v>
      </c>
      <c r="M195" s="124" t="n">
        <f aca="false">SUM(J$97:J195)</f>
        <v>0</v>
      </c>
      <c r="N195" s="124" t="n">
        <f aca="false">SUM(J$6:J195)</f>
        <v>0</v>
      </c>
      <c r="P195" s="124" t="n">
        <f aca="false">D195/P$3</f>
        <v>0</v>
      </c>
      <c r="Q195" s="143" t="n">
        <f aca="false">E195/P$3</f>
        <v>0.401378968571289</v>
      </c>
      <c r="R195" s="124" t="n">
        <f aca="false">F195/R$3</f>
        <v>0</v>
      </c>
      <c r="S195" s="126" t="n">
        <f aca="false">J195/$R$3</f>
        <v>0</v>
      </c>
      <c r="T195" s="126" t="n">
        <f aca="false">L195/$R$3</f>
        <v>0</v>
      </c>
      <c r="U195" s="126" t="n">
        <f aca="false">I195/$R$3</f>
        <v>0</v>
      </c>
      <c r="V195" s="126" t="n">
        <f aca="false">M195/$R$3</f>
        <v>0</v>
      </c>
      <c r="W195" s="126" t="n">
        <f aca="false">N195/$R$3</f>
        <v>0</v>
      </c>
    </row>
    <row r="196" customFormat="false" ht="12.75" hidden="true" customHeight="false" outlineLevel="0" collapsed="false">
      <c r="A196" s="120" t="n">
        <f aca="false">A195+1</f>
        <v>37082</v>
      </c>
      <c r="B196" s="131" t="str">
        <f aca="false">INDEX('Master Data'!$A$2:$B$8,MATCH(WEEKDAY('Arg Total Power'!A196,3),'Master Data'!$A$2:$A$8,0),2)</f>
        <v>T</v>
      </c>
      <c r="D196" s="124" t="n">
        <v>0</v>
      </c>
      <c r="E196" s="124" t="n">
        <v>401595.17570318</v>
      </c>
      <c r="F196" s="124" t="n">
        <v>0</v>
      </c>
      <c r="G196" s="124" t="n">
        <v>0</v>
      </c>
      <c r="I196" s="124" t="n">
        <f aca="false">IF(MONTH($A196)=MONTH($A195),IF(G196=0,I195,G196),G196)</f>
        <v>0</v>
      </c>
      <c r="J196" s="124" t="n">
        <f aca="false">IF(MONTH($A196)=MONTH($A195),SUM(I196-I195),I196)</f>
        <v>0</v>
      </c>
      <c r="K196" s="124" t="n">
        <f aca="false">IF(WEEKDAY(A196,3)&gt;4,0,(IF(A196&lt;K$2,0,IF(A196&lt;=K$3,1,0))))</f>
        <v>0</v>
      </c>
      <c r="L196" s="124" t="n">
        <f aca="false">J196*K196</f>
        <v>0</v>
      </c>
      <c r="M196" s="124" t="n">
        <f aca="false">SUM(J$97:J196)</f>
        <v>0</v>
      </c>
      <c r="N196" s="124" t="n">
        <f aca="false">SUM(J$6:J196)</f>
        <v>0</v>
      </c>
      <c r="P196" s="124" t="n">
        <f aca="false">D196/P$3</f>
        <v>0</v>
      </c>
      <c r="Q196" s="143" t="n">
        <f aca="false">E196/P$3</f>
        <v>0.40159517570318</v>
      </c>
      <c r="R196" s="124" t="n">
        <f aca="false">F196/R$3</f>
        <v>0</v>
      </c>
      <c r="S196" s="126" t="n">
        <f aca="false">J196/$R$3</f>
        <v>0</v>
      </c>
      <c r="T196" s="126" t="n">
        <f aca="false">L196/$R$3</f>
        <v>0</v>
      </c>
      <c r="U196" s="126" t="n">
        <f aca="false">I196/$R$3</f>
        <v>0</v>
      </c>
      <c r="V196" s="126" t="n">
        <f aca="false">M196/$R$3</f>
        <v>0</v>
      </c>
      <c r="W196" s="126" t="n">
        <f aca="false">N196/$R$3</f>
        <v>0</v>
      </c>
    </row>
    <row r="197" customFormat="false" ht="12.75" hidden="true" customHeight="false" outlineLevel="0" collapsed="false">
      <c r="A197" s="120" t="n">
        <f aca="false">A196+1</f>
        <v>37083</v>
      </c>
      <c r="B197" s="131" t="str">
        <f aca="false">INDEX('Master Data'!$A$2:$B$8,MATCH(WEEKDAY('Arg Total Power'!A197,3),'Master Data'!$A$2:$A$8,0),2)</f>
        <v>W</v>
      </c>
      <c r="D197" s="124" t="n">
        <v>0</v>
      </c>
      <c r="E197" s="124" t="n">
        <v>402377.897957764</v>
      </c>
      <c r="F197" s="124" t="n">
        <v>0</v>
      </c>
      <c r="G197" s="124" t="n">
        <v>0</v>
      </c>
      <c r="I197" s="124" t="n">
        <f aca="false">IF(MONTH($A197)=MONTH($A196),IF(G197=0,I196,G197),G197)</f>
        <v>0</v>
      </c>
      <c r="J197" s="124" t="n">
        <f aca="false">IF(MONTH($A197)=MONTH($A196),SUM(I197-I196),I197)</f>
        <v>0</v>
      </c>
      <c r="K197" s="124" t="n">
        <f aca="false">IF(WEEKDAY(A197,3)&gt;4,0,(IF(A197&lt;K$2,0,IF(A197&lt;=K$3,1,0))))</f>
        <v>0</v>
      </c>
      <c r="L197" s="124" t="n">
        <f aca="false">J197*K197</f>
        <v>0</v>
      </c>
      <c r="M197" s="124" t="n">
        <f aca="false">SUM(J$97:J197)</f>
        <v>0</v>
      </c>
      <c r="N197" s="124" t="n">
        <f aca="false">SUM(J$6:J197)</f>
        <v>0</v>
      </c>
      <c r="P197" s="124" t="n">
        <f aca="false">D197/P$3</f>
        <v>0</v>
      </c>
      <c r="Q197" s="143" t="n">
        <f aca="false">E197/P$3</f>
        <v>0.402377897957764</v>
      </c>
      <c r="R197" s="124" t="n">
        <f aca="false">F197/R$3</f>
        <v>0</v>
      </c>
      <c r="S197" s="126" t="n">
        <f aca="false">J197/$R$3</f>
        <v>0</v>
      </c>
      <c r="T197" s="126" t="n">
        <f aca="false">L197/$R$3</f>
        <v>0</v>
      </c>
      <c r="U197" s="126" t="n">
        <f aca="false">I197/$R$3</f>
        <v>0</v>
      </c>
      <c r="V197" s="126" t="n">
        <f aca="false">M197/$R$3</f>
        <v>0</v>
      </c>
      <c r="W197" s="126" t="n">
        <f aca="false">N197/$R$3</f>
        <v>0</v>
      </c>
    </row>
    <row r="198" customFormat="false" ht="12.75" hidden="true" customHeight="false" outlineLevel="0" collapsed="false">
      <c r="A198" s="120" t="n">
        <f aca="false">A197+1</f>
        <v>37084</v>
      </c>
      <c r="B198" s="131" t="str">
        <f aca="false">INDEX('Master Data'!$A$2:$B$8,MATCH(WEEKDAY('Arg Total Power'!A198,3),'Master Data'!$A$2:$A$8,0),2)</f>
        <v>Th</v>
      </c>
      <c r="D198" s="124" t="n">
        <v>0</v>
      </c>
      <c r="E198" s="124" t="n">
        <v>402587.425115589</v>
      </c>
      <c r="F198" s="124" t="n">
        <v>0</v>
      </c>
      <c r="G198" s="124" t="n">
        <v>0</v>
      </c>
      <c r="I198" s="124" t="n">
        <f aca="false">IF(MONTH($A198)=MONTH($A197),IF(G198=0,I197,G198),G198)</f>
        <v>0</v>
      </c>
      <c r="J198" s="124" t="n">
        <f aca="false">IF(MONTH($A198)=MONTH($A197),SUM(I198-I197),I198)</f>
        <v>0</v>
      </c>
      <c r="K198" s="124" t="n">
        <f aca="false">IF(WEEKDAY(A198,3)&gt;4,0,(IF(A198&lt;K$2,0,IF(A198&lt;=K$3,1,0))))</f>
        <v>0</v>
      </c>
      <c r="L198" s="124" t="n">
        <f aca="false">J198*K198</f>
        <v>0</v>
      </c>
      <c r="M198" s="124" t="n">
        <f aca="false">SUM(J$97:J198)</f>
        <v>0</v>
      </c>
      <c r="N198" s="124" t="n">
        <f aca="false">SUM(J$6:J198)</f>
        <v>0</v>
      </c>
      <c r="P198" s="124" t="n">
        <f aca="false">D198/P$3</f>
        <v>0</v>
      </c>
      <c r="Q198" s="143" t="n">
        <f aca="false">E198/P$3</f>
        <v>0.402587425115589</v>
      </c>
      <c r="R198" s="124" t="n">
        <f aca="false">F198/R$3</f>
        <v>0</v>
      </c>
      <c r="S198" s="126" t="n">
        <f aca="false">J198/$R$3</f>
        <v>0</v>
      </c>
      <c r="T198" s="126" t="n">
        <f aca="false">L198/$R$3</f>
        <v>0</v>
      </c>
      <c r="U198" s="126" t="n">
        <f aca="false">I198/$R$3</f>
        <v>0</v>
      </c>
      <c r="V198" s="126" t="n">
        <f aca="false">M198/$R$3</f>
        <v>0</v>
      </c>
      <c r="W198" s="126" t="n">
        <f aca="false">N198/$R$3</f>
        <v>0</v>
      </c>
    </row>
    <row r="199" customFormat="false" ht="12.75" hidden="true" customHeight="false" outlineLevel="0" collapsed="false">
      <c r="A199" s="120" t="n">
        <f aca="false">A198+1</f>
        <v>37085</v>
      </c>
      <c r="B199" s="131" t="str">
        <f aca="false">INDEX('Master Data'!$A$2:$B$8,MATCH(WEEKDAY('Arg Total Power'!A199,3),'Master Data'!$A$2:$A$8,0),2)</f>
        <v>F</v>
      </c>
      <c r="D199" s="124" t="n">
        <v>0</v>
      </c>
      <c r="E199" s="124" t="n">
        <v>402214.604158141</v>
      </c>
      <c r="F199" s="124" t="n">
        <v>0</v>
      </c>
      <c r="G199" s="124" t="n">
        <v>0</v>
      </c>
      <c r="I199" s="124" t="n">
        <f aca="false">IF(MONTH($A199)=MONTH($A198),IF(G199=0,I198,G199),G199)</f>
        <v>0</v>
      </c>
      <c r="J199" s="124" t="n">
        <f aca="false">IF(MONTH($A199)=MONTH($A198),SUM(I199-I198),I199)</f>
        <v>0</v>
      </c>
      <c r="K199" s="124" t="n">
        <f aca="false">IF(WEEKDAY(A199,3)&gt;4,0,(IF(A199&lt;K$2,0,IF(A199&lt;=K$3,1,0))))</f>
        <v>0</v>
      </c>
      <c r="L199" s="124" t="n">
        <f aca="false">J199*K199</f>
        <v>0</v>
      </c>
      <c r="M199" s="124" t="n">
        <f aca="false">SUM(J$97:J199)</f>
        <v>0</v>
      </c>
      <c r="N199" s="124" t="n">
        <f aca="false">SUM(J$6:J199)</f>
        <v>0</v>
      </c>
      <c r="P199" s="124" t="n">
        <f aca="false">D199/P$3</f>
        <v>0</v>
      </c>
      <c r="Q199" s="143" t="n">
        <f aca="false">E199/P$3</f>
        <v>0.402214604158141</v>
      </c>
      <c r="R199" s="124" t="n">
        <f aca="false">F199/R$3</f>
        <v>0</v>
      </c>
      <c r="S199" s="126" t="n">
        <f aca="false">J199/$R$3</f>
        <v>0</v>
      </c>
      <c r="T199" s="126" t="n">
        <f aca="false">L199/$R$3</f>
        <v>0</v>
      </c>
      <c r="U199" s="126" t="n">
        <f aca="false">I199/$R$3</f>
        <v>0</v>
      </c>
      <c r="V199" s="126" t="n">
        <f aca="false">M199/$R$3</f>
        <v>0</v>
      </c>
      <c r="W199" s="126" t="n">
        <f aca="false">N199/$R$3</f>
        <v>0</v>
      </c>
    </row>
    <row r="200" customFormat="false" ht="12.75" hidden="true" customHeight="false" outlineLevel="0" collapsed="false">
      <c r="A200" s="120" t="n">
        <f aca="false">A199+1</f>
        <v>37086</v>
      </c>
      <c r="B200" s="131" t="str">
        <f aca="false">INDEX('Master Data'!$A$2:$B$8,MATCH(WEEKDAY('Arg Total Power'!A200,3),'Master Data'!$A$2:$A$8,0),2)</f>
        <v>Sa</v>
      </c>
      <c r="D200" s="124" t="n">
        <v>0</v>
      </c>
      <c r="E200" s="124" t="n">
        <v>0</v>
      </c>
      <c r="F200" s="124" t="n">
        <v>0</v>
      </c>
      <c r="G200" s="124" t="n">
        <v>0</v>
      </c>
      <c r="I200" s="124" t="n">
        <f aca="false">IF(MONTH($A200)=MONTH($A199),IF(G200=0,I199,G200),G200)</f>
        <v>0</v>
      </c>
      <c r="J200" s="124" t="n">
        <f aca="false">IF(MONTH($A200)=MONTH($A199),SUM(I200-I199),I200)</f>
        <v>0</v>
      </c>
      <c r="K200" s="124" t="n">
        <f aca="false">IF(WEEKDAY(A200,3)&gt;4,0,(IF(A200&lt;K$2,0,IF(A200&lt;=K$3,1,0))))</f>
        <v>0</v>
      </c>
      <c r="L200" s="124" t="n">
        <f aca="false">J200*K200</f>
        <v>0</v>
      </c>
      <c r="M200" s="124" t="n">
        <f aca="false">SUM(J$97:J200)</f>
        <v>0</v>
      </c>
      <c r="N200" s="124" t="n">
        <f aca="false">SUM(J$6:J200)</f>
        <v>0</v>
      </c>
      <c r="P200" s="124" t="n">
        <f aca="false">D200/P$3</f>
        <v>0</v>
      </c>
      <c r="Q200" s="143" t="n">
        <f aca="false">E200/P$3</f>
        <v>0</v>
      </c>
      <c r="R200" s="124" t="n">
        <f aca="false">F200/R$3</f>
        <v>0</v>
      </c>
      <c r="S200" s="126" t="n">
        <f aca="false">J200/$R$3</f>
        <v>0</v>
      </c>
      <c r="T200" s="126" t="n">
        <f aca="false">L200/$R$3</f>
        <v>0</v>
      </c>
      <c r="U200" s="126" t="n">
        <f aca="false">I200/$R$3</f>
        <v>0</v>
      </c>
      <c r="V200" s="126" t="n">
        <f aca="false">M200/$R$3</f>
        <v>0</v>
      </c>
      <c r="W200" s="126" t="n">
        <f aca="false">N200/$R$3</f>
        <v>0</v>
      </c>
    </row>
    <row r="201" customFormat="false" ht="12.75" hidden="true" customHeight="false" outlineLevel="0" collapsed="false">
      <c r="A201" s="120" t="n">
        <f aca="false">A200+1</f>
        <v>37087</v>
      </c>
      <c r="B201" s="131" t="str">
        <f aca="false">INDEX('Master Data'!$A$2:$B$8,MATCH(WEEKDAY('Arg Total Power'!A201,3),'Master Data'!$A$2:$A$8,0),2)</f>
        <v>Su</v>
      </c>
      <c r="D201" s="124" t="n">
        <v>0</v>
      </c>
      <c r="E201" s="124" t="n">
        <v>0</v>
      </c>
      <c r="F201" s="124" t="n">
        <v>0</v>
      </c>
      <c r="G201" s="124" t="n">
        <v>0</v>
      </c>
      <c r="I201" s="124" t="n">
        <f aca="false">IF(MONTH($A201)=MONTH($A200),IF(G201=0,I200,G201),G201)</f>
        <v>0</v>
      </c>
      <c r="J201" s="124" t="n">
        <f aca="false">IF(MONTH($A201)=MONTH($A200),SUM(I201-I200),I201)</f>
        <v>0</v>
      </c>
      <c r="K201" s="124" t="n">
        <f aca="false">IF(WEEKDAY(A201,3)&gt;4,0,(IF(A201&lt;K$2,0,IF(A201&lt;=K$3,1,0))))</f>
        <v>0</v>
      </c>
      <c r="L201" s="124" t="n">
        <f aca="false">J201*K201</f>
        <v>0</v>
      </c>
      <c r="M201" s="124" t="n">
        <f aca="false">SUM(J$97:J201)</f>
        <v>0</v>
      </c>
      <c r="N201" s="124" t="n">
        <f aca="false">SUM(J$6:J201)</f>
        <v>0</v>
      </c>
      <c r="P201" s="124" t="n">
        <f aca="false">D201/P$3</f>
        <v>0</v>
      </c>
      <c r="Q201" s="143" t="n">
        <f aca="false">E201/P$3</f>
        <v>0</v>
      </c>
      <c r="R201" s="124" t="n">
        <f aca="false">F201/R$3</f>
        <v>0</v>
      </c>
      <c r="S201" s="126" t="n">
        <f aca="false">J201/$R$3</f>
        <v>0</v>
      </c>
      <c r="T201" s="126" t="n">
        <f aca="false">L201/$R$3</f>
        <v>0</v>
      </c>
      <c r="U201" s="126" t="n">
        <f aca="false">I201/$R$3</f>
        <v>0</v>
      </c>
      <c r="V201" s="126" t="n">
        <f aca="false">M201/$R$3</f>
        <v>0</v>
      </c>
      <c r="W201" s="126" t="n">
        <f aca="false">N201/$R$3</f>
        <v>0</v>
      </c>
    </row>
    <row r="202" customFormat="false" ht="12.75" hidden="true" customHeight="false" outlineLevel="0" collapsed="false">
      <c r="A202" s="120" t="n">
        <f aca="false">A201+1</f>
        <v>37088</v>
      </c>
      <c r="B202" s="131" t="str">
        <f aca="false">INDEX('Master Data'!$A$2:$B$8,MATCH(WEEKDAY('Arg Total Power'!A202,3),'Master Data'!$A$2:$A$8,0),2)</f>
        <v>M</v>
      </c>
      <c r="D202" s="124" t="n">
        <v>0</v>
      </c>
      <c r="E202" s="124" t="n">
        <v>402530.183378775</v>
      </c>
      <c r="F202" s="124" t="n">
        <v>0</v>
      </c>
      <c r="G202" s="124" t="n">
        <v>0</v>
      </c>
      <c r="I202" s="124" t="n">
        <f aca="false">IF(MONTH($A202)=MONTH($A201),IF(G202=0,I201,G202),G202)</f>
        <v>0</v>
      </c>
      <c r="J202" s="124" t="n">
        <f aca="false">IF(MONTH($A202)=MONTH($A201),SUM(I202-I201),I202)</f>
        <v>0</v>
      </c>
      <c r="K202" s="124" t="n">
        <f aca="false">IF(WEEKDAY(A202,3)&gt;4,0,(IF(A202&lt;K$2,0,IF(A202&lt;=K$3,1,0))))</f>
        <v>0</v>
      </c>
      <c r="L202" s="124" t="n">
        <f aca="false">J202*K202</f>
        <v>0</v>
      </c>
      <c r="M202" s="124" t="n">
        <f aca="false">SUM(J$97:J202)</f>
        <v>0</v>
      </c>
      <c r="N202" s="124" t="n">
        <f aca="false">SUM(J$6:J202)</f>
        <v>0</v>
      </c>
      <c r="P202" s="124" t="n">
        <f aca="false">D202/P$3</f>
        <v>0</v>
      </c>
      <c r="Q202" s="143" t="n">
        <f aca="false">E202/P$3</f>
        <v>0.402530183378775</v>
      </c>
      <c r="R202" s="124" t="n">
        <f aca="false">F202/R$3</f>
        <v>0</v>
      </c>
      <c r="S202" s="126" t="n">
        <f aca="false">J202/$R$3</f>
        <v>0</v>
      </c>
      <c r="T202" s="126" t="n">
        <f aca="false">L202/$R$3</f>
        <v>0</v>
      </c>
      <c r="U202" s="126" t="n">
        <f aca="false">I202/$R$3</f>
        <v>0</v>
      </c>
      <c r="V202" s="126" t="n">
        <f aca="false">M202/$R$3</f>
        <v>0</v>
      </c>
      <c r="W202" s="126" t="n">
        <f aca="false">N202/$R$3</f>
        <v>0</v>
      </c>
    </row>
    <row r="203" customFormat="false" ht="12.75" hidden="true" customHeight="false" outlineLevel="0" collapsed="false">
      <c r="A203" s="120" t="n">
        <f aca="false">A202+1</f>
        <v>37089</v>
      </c>
      <c r="B203" s="131" t="str">
        <f aca="false">INDEX('Master Data'!$A$2:$B$8,MATCH(WEEKDAY('Arg Total Power'!A203,3),'Master Data'!$A$2:$A$8,0),2)</f>
        <v>T</v>
      </c>
      <c r="D203" s="124" t="n">
        <v>0</v>
      </c>
      <c r="E203" s="124" t="n">
        <v>403157.951028837</v>
      </c>
      <c r="F203" s="124" t="n">
        <v>0</v>
      </c>
      <c r="G203" s="124" t="n">
        <v>0</v>
      </c>
      <c r="I203" s="124" t="n">
        <f aca="false">IF(MONTH($A203)=MONTH($A202),IF(G203=0,I202,G203),G203)</f>
        <v>0</v>
      </c>
      <c r="J203" s="124" t="n">
        <f aca="false">IF(MONTH($A203)=MONTH($A202),SUM(I203-I202),I203)</f>
        <v>0</v>
      </c>
      <c r="K203" s="124" t="n">
        <f aca="false">IF(WEEKDAY(A203,3)&gt;4,0,(IF(A203&lt;K$2,0,IF(A203&lt;=K$3,1,0))))</f>
        <v>0</v>
      </c>
      <c r="L203" s="124" t="n">
        <f aca="false">J203*K203</f>
        <v>0</v>
      </c>
      <c r="M203" s="124" t="n">
        <f aca="false">SUM(J$97:J203)</f>
        <v>0</v>
      </c>
      <c r="N203" s="124" t="n">
        <f aca="false">SUM(J$6:J203)</f>
        <v>0</v>
      </c>
      <c r="P203" s="124" t="n">
        <f aca="false">D203/P$3</f>
        <v>0</v>
      </c>
      <c r="Q203" s="143" t="n">
        <f aca="false">E203/P$3</f>
        <v>0.403157951028837</v>
      </c>
      <c r="R203" s="124" t="n">
        <f aca="false">F203/R$3</f>
        <v>0</v>
      </c>
      <c r="S203" s="126" t="n">
        <f aca="false">J203/$R$3</f>
        <v>0</v>
      </c>
      <c r="T203" s="126" t="n">
        <f aca="false">L203/$R$3</f>
        <v>0</v>
      </c>
      <c r="U203" s="126" t="n">
        <f aca="false">I203/$R$3</f>
        <v>0</v>
      </c>
      <c r="V203" s="126" t="n">
        <f aca="false">M203/$R$3</f>
        <v>0</v>
      </c>
      <c r="W203" s="126" t="n">
        <f aca="false">N203/$R$3</f>
        <v>0</v>
      </c>
    </row>
    <row r="204" customFormat="false" ht="12.75" hidden="true" customHeight="false" outlineLevel="0" collapsed="false">
      <c r="A204" s="120" t="n">
        <f aca="false">A203+1</f>
        <v>37090</v>
      </c>
      <c r="B204" s="131" t="str">
        <f aca="false">INDEX('Master Data'!$A$2:$B$8,MATCH(WEEKDAY('Arg Total Power'!A204,3),'Master Data'!$A$2:$A$8,0),2)</f>
        <v>W</v>
      </c>
      <c r="D204" s="124" t="n">
        <v>0</v>
      </c>
      <c r="E204" s="124" t="n">
        <v>403229.674848296</v>
      </c>
      <c r="F204" s="124" t="n">
        <v>0</v>
      </c>
      <c r="G204" s="124" t="n">
        <v>0</v>
      </c>
      <c r="I204" s="124" t="n">
        <f aca="false">IF(MONTH($A204)=MONTH($A203),IF(G204=0,I203,G204),G204)</f>
        <v>0</v>
      </c>
      <c r="J204" s="124" t="n">
        <f aca="false">IF(MONTH($A204)=MONTH($A203),SUM(I204-I203),I204)</f>
        <v>0</v>
      </c>
      <c r="K204" s="124" t="n">
        <f aca="false">IF(WEEKDAY(A204,3)&gt;4,0,(IF(A204&lt;K$2,0,IF(A204&lt;=K$3,1,0))))</f>
        <v>0</v>
      </c>
      <c r="L204" s="124" t="n">
        <f aca="false">J204*K204</f>
        <v>0</v>
      </c>
      <c r="M204" s="124" t="n">
        <f aca="false">SUM(J$97:J204)</f>
        <v>0</v>
      </c>
      <c r="N204" s="124" t="n">
        <f aca="false">SUM(J$6:J204)</f>
        <v>0</v>
      </c>
      <c r="P204" s="124" t="n">
        <f aca="false">D204/P$3</f>
        <v>0</v>
      </c>
      <c r="Q204" s="143" t="n">
        <f aca="false">E204/P$3</f>
        <v>0.403229674848296</v>
      </c>
      <c r="R204" s="124" t="n">
        <f aca="false">F204/R$3</f>
        <v>0</v>
      </c>
      <c r="S204" s="126" t="n">
        <f aca="false">J204/$R$3</f>
        <v>0</v>
      </c>
      <c r="T204" s="126" t="n">
        <f aca="false">L204/$R$3</f>
        <v>0</v>
      </c>
      <c r="U204" s="126" t="n">
        <f aca="false">I204/$R$3</f>
        <v>0</v>
      </c>
      <c r="V204" s="126" t="n">
        <f aca="false">M204/$R$3</f>
        <v>0</v>
      </c>
      <c r="W204" s="126" t="n">
        <f aca="false">N204/$R$3</f>
        <v>0</v>
      </c>
    </row>
    <row r="205" customFormat="false" ht="12.75" hidden="true" customHeight="false" outlineLevel="0" collapsed="false">
      <c r="A205" s="120" t="n">
        <f aca="false">A204+1</f>
        <v>37091</v>
      </c>
      <c r="B205" s="131" t="str">
        <f aca="false">INDEX('Master Data'!$A$2:$B$8,MATCH(WEEKDAY('Arg Total Power'!A205,3),'Master Data'!$A$2:$A$8,0),2)</f>
        <v>Th</v>
      </c>
      <c r="D205" s="124" t="n">
        <v>0</v>
      </c>
      <c r="E205" s="124" t="n">
        <v>405416.528853813</v>
      </c>
      <c r="F205" s="124" t="n">
        <v>0</v>
      </c>
      <c r="G205" s="124" t="n">
        <v>0</v>
      </c>
      <c r="I205" s="124" t="n">
        <f aca="false">IF(MONTH($A205)=MONTH($A204),IF(G205=0,I204,G205),G205)</f>
        <v>0</v>
      </c>
      <c r="J205" s="124" t="n">
        <f aca="false">IF(MONTH($A205)=MONTH($A204),SUM(I205-I204),I205)</f>
        <v>0</v>
      </c>
      <c r="K205" s="124" t="n">
        <f aca="false">IF(WEEKDAY(A205,3)&gt;4,0,(IF(A205&lt;K$2,0,IF(A205&lt;=K$3,1,0))))</f>
        <v>0</v>
      </c>
      <c r="L205" s="124" t="n">
        <f aca="false">J205*K205</f>
        <v>0</v>
      </c>
      <c r="M205" s="124" t="n">
        <f aca="false">SUM(J$97:J205)</f>
        <v>0</v>
      </c>
      <c r="N205" s="124" t="n">
        <f aca="false">SUM(J$6:J205)</f>
        <v>0</v>
      </c>
      <c r="P205" s="124" t="n">
        <f aca="false">D205/P$3</f>
        <v>0</v>
      </c>
      <c r="Q205" s="143" t="n">
        <f aca="false">E205/P$3</f>
        <v>0.405416528853813</v>
      </c>
      <c r="R205" s="124" t="n">
        <f aca="false">F205/R$3</f>
        <v>0</v>
      </c>
      <c r="S205" s="126" t="n">
        <f aca="false">J205/$R$3</f>
        <v>0</v>
      </c>
      <c r="T205" s="126" t="n">
        <f aca="false">L205/$R$3</f>
        <v>0</v>
      </c>
      <c r="U205" s="126" t="n">
        <f aca="false">I205/$R$3</f>
        <v>0</v>
      </c>
      <c r="V205" s="126" t="n">
        <f aca="false">M205/$R$3</f>
        <v>0</v>
      </c>
      <c r="W205" s="126" t="n">
        <f aca="false">N205/$R$3</f>
        <v>0</v>
      </c>
    </row>
    <row r="206" customFormat="false" ht="12.75" hidden="true" customHeight="false" outlineLevel="0" collapsed="false">
      <c r="A206" s="120" t="n">
        <f aca="false">A205+1</f>
        <v>37092</v>
      </c>
      <c r="B206" s="131" t="str">
        <f aca="false">INDEX('Master Data'!$A$2:$B$8,MATCH(WEEKDAY('Arg Total Power'!A206,3),'Master Data'!$A$2:$A$8,0),2)</f>
        <v>F</v>
      </c>
      <c r="D206" s="124" t="n">
        <v>0</v>
      </c>
      <c r="E206" s="124" t="n">
        <v>405202.422602654</v>
      </c>
      <c r="F206" s="124" t="n">
        <v>0</v>
      </c>
      <c r="G206" s="124" t="n">
        <v>0</v>
      </c>
      <c r="I206" s="124" t="n">
        <f aca="false">IF(MONTH($A206)=MONTH($A205),IF(G206=0,I205,G206),G206)</f>
        <v>0</v>
      </c>
      <c r="J206" s="124" t="n">
        <f aca="false">IF(MONTH($A206)=MONTH($A205),SUM(I206-I205),I206)</f>
        <v>0</v>
      </c>
      <c r="K206" s="124" t="n">
        <f aca="false">IF(WEEKDAY(A206,3)&gt;4,0,(IF(A206&lt;K$2,0,IF(A206&lt;=K$3,1,0))))</f>
        <v>0</v>
      </c>
      <c r="L206" s="124" t="n">
        <f aca="false">J206*K206</f>
        <v>0</v>
      </c>
      <c r="M206" s="124" t="n">
        <f aca="false">SUM(J$97:J206)</f>
        <v>0</v>
      </c>
      <c r="N206" s="124" t="n">
        <f aca="false">SUM(J$6:J206)</f>
        <v>0</v>
      </c>
      <c r="P206" s="124" t="n">
        <f aca="false">D206/P$3</f>
        <v>0</v>
      </c>
      <c r="Q206" s="143" t="n">
        <f aca="false">E206/P$3</f>
        <v>0.405202422602654</v>
      </c>
      <c r="R206" s="124" t="n">
        <f aca="false">F206/R$3</f>
        <v>0</v>
      </c>
      <c r="S206" s="126" t="n">
        <f aca="false">J206/$R$3</f>
        <v>0</v>
      </c>
      <c r="T206" s="126" t="n">
        <f aca="false">L206/$R$3</f>
        <v>0</v>
      </c>
      <c r="U206" s="126" t="n">
        <f aca="false">I206/$R$3</f>
        <v>0</v>
      </c>
      <c r="V206" s="126" t="n">
        <f aca="false">M206/$R$3</f>
        <v>0</v>
      </c>
      <c r="W206" s="126" t="n">
        <f aca="false">N206/$R$3</f>
        <v>0</v>
      </c>
    </row>
    <row r="207" customFormat="false" ht="12.75" hidden="true" customHeight="false" outlineLevel="0" collapsed="false">
      <c r="A207" s="120" t="n">
        <f aca="false">A206+1</f>
        <v>37093</v>
      </c>
      <c r="B207" s="131" t="str">
        <f aca="false">INDEX('Master Data'!$A$2:$B$8,MATCH(WEEKDAY('Arg Total Power'!A207,3),'Master Data'!$A$2:$A$8,0),2)</f>
        <v>Sa</v>
      </c>
      <c r="D207" s="124" t="n">
        <v>0</v>
      </c>
      <c r="E207" s="124" t="n">
        <v>0</v>
      </c>
      <c r="F207" s="124" t="n">
        <v>0</v>
      </c>
      <c r="G207" s="124" t="n">
        <v>0</v>
      </c>
      <c r="I207" s="124" t="n">
        <f aca="false">IF(MONTH($A207)=MONTH($A206),IF(G207=0,I206,G207),G207)</f>
        <v>0</v>
      </c>
      <c r="J207" s="124" t="n">
        <f aca="false">IF(MONTH($A207)=MONTH($A206),SUM(I207-I206),I207)</f>
        <v>0</v>
      </c>
      <c r="K207" s="124" t="n">
        <f aca="false">IF(WEEKDAY(A207,3)&gt;4,0,(IF(A207&lt;K$2,0,IF(A207&lt;=K$3,1,0))))</f>
        <v>0</v>
      </c>
      <c r="L207" s="124" t="n">
        <f aca="false">J207*K207</f>
        <v>0</v>
      </c>
      <c r="M207" s="124" t="n">
        <f aca="false">SUM(J$97:J207)</f>
        <v>0</v>
      </c>
      <c r="N207" s="124" t="n">
        <f aca="false">SUM(J$6:J207)</f>
        <v>0</v>
      </c>
      <c r="P207" s="124" t="n">
        <f aca="false">D207/P$3</f>
        <v>0</v>
      </c>
      <c r="Q207" s="143" t="n">
        <f aca="false">E207/P$3</f>
        <v>0</v>
      </c>
      <c r="R207" s="124" t="n">
        <f aca="false">F207/R$3</f>
        <v>0</v>
      </c>
      <c r="S207" s="126" t="n">
        <f aca="false">J207/$R$3</f>
        <v>0</v>
      </c>
      <c r="T207" s="126" t="n">
        <f aca="false">L207/$R$3</f>
        <v>0</v>
      </c>
      <c r="U207" s="126" t="n">
        <f aca="false">I207/$R$3</f>
        <v>0</v>
      </c>
      <c r="V207" s="126" t="n">
        <f aca="false">M207/$R$3</f>
        <v>0</v>
      </c>
      <c r="W207" s="126" t="n">
        <f aca="false">N207/$R$3</f>
        <v>0</v>
      </c>
    </row>
    <row r="208" customFormat="false" ht="12.75" hidden="true" customHeight="false" outlineLevel="0" collapsed="false">
      <c r="A208" s="120" t="n">
        <f aca="false">A207+1</f>
        <v>37094</v>
      </c>
      <c r="B208" s="131" t="str">
        <f aca="false">INDEX('Master Data'!$A$2:$B$8,MATCH(WEEKDAY('Arg Total Power'!A208,3),'Master Data'!$A$2:$A$8,0),2)</f>
        <v>Su</v>
      </c>
      <c r="D208" s="124" t="n">
        <v>0</v>
      </c>
      <c r="E208" s="124" t="n">
        <v>0</v>
      </c>
      <c r="F208" s="124" t="n">
        <v>0</v>
      </c>
      <c r="G208" s="124" t="n">
        <v>0</v>
      </c>
      <c r="I208" s="124" t="n">
        <f aca="false">IF(MONTH($A208)=MONTH($A207),IF(G208=0,I207,G208),G208)</f>
        <v>0</v>
      </c>
      <c r="J208" s="124" t="n">
        <f aca="false">IF(MONTH($A208)=MONTH($A207),SUM(I208-I207),I208)</f>
        <v>0</v>
      </c>
      <c r="K208" s="124" t="n">
        <f aca="false">IF(WEEKDAY(A208,3)&gt;4,0,(IF(A208&lt;K$2,0,IF(A208&lt;=K$3,1,0))))</f>
        <v>0</v>
      </c>
      <c r="L208" s="124" t="n">
        <f aca="false">J208*K208</f>
        <v>0</v>
      </c>
      <c r="M208" s="124" t="n">
        <f aca="false">SUM(J$97:J208)</f>
        <v>0</v>
      </c>
      <c r="N208" s="124" t="n">
        <f aca="false">SUM(J$6:J208)</f>
        <v>0</v>
      </c>
      <c r="P208" s="124" t="n">
        <f aca="false">D208/P$3</f>
        <v>0</v>
      </c>
      <c r="Q208" s="143" t="n">
        <f aca="false">E208/P$3</f>
        <v>0</v>
      </c>
      <c r="R208" s="124" t="n">
        <f aca="false">F208/R$3</f>
        <v>0</v>
      </c>
      <c r="S208" s="126" t="n">
        <f aca="false">J208/$R$3</f>
        <v>0</v>
      </c>
      <c r="T208" s="126" t="n">
        <f aca="false">L208/$R$3</f>
        <v>0</v>
      </c>
      <c r="U208" s="126" t="n">
        <f aca="false">I208/$R$3</f>
        <v>0</v>
      </c>
      <c r="V208" s="126" t="n">
        <f aca="false">M208/$R$3</f>
        <v>0</v>
      </c>
      <c r="W208" s="126" t="n">
        <f aca="false">N208/$R$3</f>
        <v>0</v>
      </c>
    </row>
    <row r="209" customFormat="false" ht="12.75" hidden="true" customHeight="false" outlineLevel="0" collapsed="false">
      <c r="A209" s="120" t="n">
        <f aca="false">A208+1</f>
        <v>37095</v>
      </c>
      <c r="B209" s="131" t="str">
        <f aca="false">INDEX('Master Data'!$A$2:$B$8,MATCH(WEEKDAY('Arg Total Power'!A209,3),'Master Data'!$A$2:$A$8,0),2)</f>
        <v>M</v>
      </c>
      <c r="D209" s="124" t="n">
        <v>0</v>
      </c>
      <c r="E209" s="124" t="n">
        <v>405373.911310063</v>
      </c>
      <c r="F209" s="124" t="n">
        <v>0</v>
      </c>
      <c r="G209" s="124" t="n">
        <v>0</v>
      </c>
      <c r="I209" s="124" t="n">
        <f aca="false">IF(MONTH($A209)=MONTH($A208),IF(G209=0,I208,G209),G209)</f>
        <v>0</v>
      </c>
      <c r="J209" s="124" t="n">
        <f aca="false">IF(MONTH($A209)=MONTH($A208),SUM(I209-I208),I209)</f>
        <v>0</v>
      </c>
      <c r="K209" s="124" t="n">
        <f aca="false">IF(WEEKDAY(A209,3)&gt;4,0,(IF(A209&lt;K$2,0,IF(A209&lt;=K$3,1,0))))</f>
        <v>0</v>
      </c>
      <c r="L209" s="124" t="n">
        <f aca="false">J209*K209</f>
        <v>0</v>
      </c>
      <c r="M209" s="124" t="n">
        <f aca="false">SUM(J$97:J209)</f>
        <v>0</v>
      </c>
      <c r="N209" s="124" t="n">
        <f aca="false">SUM(J$6:J209)</f>
        <v>0</v>
      </c>
      <c r="P209" s="124" t="n">
        <f aca="false">D209/P$3</f>
        <v>0</v>
      </c>
      <c r="Q209" s="143" t="n">
        <f aca="false">E209/P$3</f>
        <v>0.405373911310063</v>
      </c>
      <c r="R209" s="124" t="n">
        <f aca="false">F209/R$3</f>
        <v>0</v>
      </c>
      <c r="S209" s="126" t="n">
        <f aca="false">J209/$R$3</f>
        <v>0</v>
      </c>
      <c r="T209" s="126" t="n">
        <f aca="false">L209/$R$3</f>
        <v>0</v>
      </c>
      <c r="U209" s="126" t="n">
        <f aca="false">I209/$R$3</f>
        <v>0</v>
      </c>
      <c r="V209" s="126" t="n">
        <f aca="false">M209/$R$3</f>
        <v>0</v>
      </c>
      <c r="W209" s="126" t="n">
        <f aca="false">N209/$R$3</f>
        <v>0</v>
      </c>
    </row>
    <row r="210" customFormat="false" ht="12.75" hidden="true" customHeight="false" outlineLevel="0" collapsed="false">
      <c r="A210" s="120" t="n">
        <f aca="false">A209+1</f>
        <v>37096</v>
      </c>
      <c r="B210" s="131" t="str">
        <f aca="false">INDEX('Master Data'!$A$2:$B$8,MATCH(WEEKDAY('Arg Total Power'!A210,3),'Master Data'!$A$2:$A$8,0),2)</f>
        <v>T</v>
      </c>
      <c r="D210" s="124" t="n">
        <v>0</v>
      </c>
      <c r="E210" s="124" t="n">
        <v>405531.984293398</v>
      </c>
      <c r="F210" s="124" t="n">
        <v>0</v>
      </c>
      <c r="G210" s="124" t="n">
        <v>0</v>
      </c>
      <c r="I210" s="124" t="n">
        <f aca="false">IF(MONTH($A210)=MONTH($A209),IF(G210=0,I209,G210),G210)</f>
        <v>0</v>
      </c>
      <c r="J210" s="124" t="n">
        <f aca="false">IF(MONTH($A210)=MONTH($A209),SUM(I210-I209),I210)</f>
        <v>0</v>
      </c>
      <c r="K210" s="124" t="n">
        <f aca="false">IF(WEEKDAY(A210,3)&gt;4,0,(IF(A210&lt;K$2,0,IF(A210&lt;=K$3,1,0))))</f>
        <v>0</v>
      </c>
      <c r="L210" s="124" t="n">
        <f aca="false">J210*K210</f>
        <v>0</v>
      </c>
      <c r="M210" s="124" t="n">
        <f aca="false">SUM(J$97:J210)</f>
        <v>0</v>
      </c>
      <c r="N210" s="124" t="n">
        <f aca="false">SUM(J$6:J210)</f>
        <v>0</v>
      </c>
      <c r="P210" s="124" t="n">
        <f aca="false">D210/P$3</f>
        <v>0</v>
      </c>
      <c r="Q210" s="143" t="n">
        <f aca="false">E210/P$3</f>
        <v>0.405531984293398</v>
      </c>
      <c r="R210" s="124" t="n">
        <f aca="false">F210/R$3</f>
        <v>0</v>
      </c>
      <c r="S210" s="126" t="n">
        <f aca="false">J210/$R$3</f>
        <v>0</v>
      </c>
      <c r="T210" s="126" t="n">
        <f aca="false">L210/$R$3</f>
        <v>0</v>
      </c>
      <c r="U210" s="126" t="n">
        <f aca="false">I210/$R$3</f>
        <v>0</v>
      </c>
      <c r="V210" s="126" t="n">
        <f aca="false">M210/$R$3</f>
        <v>0</v>
      </c>
      <c r="W210" s="126" t="n">
        <f aca="false">N210/$R$3</f>
        <v>0</v>
      </c>
    </row>
    <row r="211" customFormat="false" ht="12.75" hidden="true" customHeight="false" outlineLevel="0" collapsed="false">
      <c r="A211" s="120" t="n">
        <f aca="false">A210+1</f>
        <v>37097</v>
      </c>
      <c r="B211" s="131" t="str">
        <f aca="false">INDEX('Master Data'!$A$2:$B$8,MATCH(WEEKDAY('Arg Total Power'!A211,3),'Master Data'!$A$2:$A$8,0),2)</f>
        <v>W</v>
      </c>
      <c r="D211" s="124" t="n">
        <v>0</v>
      </c>
      <c r="E211" s="124" t="n">
        <v>405880.306309837</v>
      </c>
      <c r="F211" s="124" t="n">
        <v>0</v>
      </c>
      <c r="G211" s="124" t="n">
        <v>0</v>
      </c>
      <c r="I211" s="124" t="n">
        <f aca="false">IF(MONTH($A211)=MONTH($A210),IF(G211=0,I210,G211),G211)</f>
        <v>0</v>
      </c>
      <c r="J211" s="124" t="n">
        <f aca="false">IF(MONTH($A211)=MONTH($A210),SUM(I211-I210),I211)</f>
        <v>0</v>
      </c>
      <c r="K211" s="124" t="n">
        <f aca="false">IF(WEEKDAY(A211,3)&gt;4,0,(IF(A211&lt;K$2,0,IF(A211&lt;=K$3,1,0))))</f>
        <v>0</v>
      </c>
      <c r="L211" s="124" t="n">
        <f aca="false">J211*K211</f>
        <v>0</v>
      </c>
      <c r="M211" s="124" t="n">
        <f aca="false">SUM(J$97:J211)</f>
        <v>0</v>
      </c>
      <c r="N211" s="124" t="n">
        <f aca="false">SUM(J$6:J211)</f>
        <v>0</v>
      </c>
      <c r="P211" s="124" t="n">
        <f aca="false">D211/P$3</f>
        <v>0</v>
      </c>
      <c r="Q211" s="143" t="n">
        <f aca="false">E211/P$3</f>
        <v>0.405880306309837</v>
      </c>
      <c r="R211" s="124" t="n">
        <f aca="false">F211/R$3</f>
        <v>0</v>
      </c>
      <c r="S211" s="126" t="n">
        <f aca="false">J211/$R$3</f>
        <v>0</v>
      </c>
      <c r="T211" s="126" t="n">
        <f aca="false">L211/$R$3</f>
        <v>0</v>
      </c>
      <c r="U211" s="126" t="n">
        <f aca="false">I211/$R$3</f>
        <v>0</v>
      </c>
      <c r="V211" s="126" t="n">
        <f aca="false">M211/$R$3</f>
        <v>0</v>
      </c>
      <c r="W211" s="126" t="n">
        <f aca="false">N211/$R$3</f>
        <v>0</v>
      </c>
    </row>
    <row r="212" customFormat="false" ht="12.75" hidden="true" customHeight="false" outlineLevel="0" collapsed="false">
      <c r="A212" s="120" t="n">
        <f aca="false">A211+1</f>
        <v>37098</v>
      </c>
      <c r="B212" s="131" t="str">
        <f aca="false">INDEX('Master Data'!$A$2:$B$8,MATCH(WEEKDAY('Arg Total Power'!A212,3),'Master Data'!$A$2:$A$8,0),2)</f>
        <v>Th</v>
      </c>
      <c r="D212" s="124" t="n">
        <v>0</v>
      </c>
      <c r="E212" s="124" t="n">
        <v>405713.519597627</v>
      </c>
      <c r="F212" s="124" t="n">
        <v>0</v>
      </c>
      <c r="G212" s="124" t="n">
        <v>0</v>
      </c>
      <c r="I212" s="124" t="n">
        <f aca="false">IF(MONTH($A212)=MONTH($A211),IF(G212=0,I211,G212),G212)</f>
        <v>0</v>
      </c>
      <c r="J212" s="124" t="n">
        <f aca="false">IF(MONTH($A212)=MONTH($A211),SUM(I212-I211),I212)</f>
        <v>0</v>
      </c>
      <c r="K212" s="124" t="n">
        <f aca="false">IF(WEEKDAY(A212,3)&gt;4,0,(IF(A212&lt;K$2,0,IF(A212&lt;=K$3,1,0))))</f>
        <v>0</v>
      </c>
      <c r="L212" s="124" t="n">
        <f aca="false">J212*K212</f>
        <v>0</v>
      </c>
      <c r="M212" s="124" t="n">
        <f aca="false">SUM(J$97:J212)</f>
        <v>0</v>
      </c>
      <c r="N212" s="124" t="n">
        <f aca="false">SUM(J$6:J212)</f>
        <v>0</v>
      </c>
      <c r="P212" s="124" t="n">
        <f aca="false">D212/P$3</f>
        <v>0</v>
      </c>
      <c r="Q212" s="143" t="n">
        <f aca="false">E212/P$3</f>
        <v>0.405713519597627</v>
      </c>
      <c r="R212" s="124" t="n">
        <f aca="false">F212/R$3</f>
        <v>0</v>
      </c>
      <c r="S212" s="126" t="n">
        <f aca="false">J212/$R$3</f>
        <v>0</v>
      </c>
      <c r="T212" s="126" t="n">
        <f aca="false">L212/$R$3</f>
        <v>0</v>
      </c>
      <c r="U212" s="126" t="n">
        <f aca="false">I212/$R$3</f>
        <v>0</v>
      </c>
      <c r="V212" s="126" t="n">
        <f aca="false">M212/$R$3</f>
        <v>0</v>
      </c>
      <c r="W212" s="126" t="n">
        <f aca="false">N212/$R$3</f>
        <v>0</v>
      </c>
    </row>
    <row r="213" customFormat="false" ht="12.75" hidden="true" customHeight="false" outlineLevel="0" collapsed="false">
      <c r="A213" s="120" t="n">
        <f aca="false">A212+1</f>
        <v>37099</v>
      </c>
      <c r="B213" s="131" t="str">
        <f aca="false">INDEX('Master Data'!$A$2:$B$8,MATCH(WEEKDAY('Arg Total Power'!A213,3),'Master Data'!$A$2:$A$8,0),2)</f>
        <v>F</v>
      </c>
      <c r="D213" s="124" t="n">
        <v>0</v>
      </c>
      <c r="E213" s="124" t="n">
        <v>406057.57207408</v>
      </c>
      <c r="F213" s="124" t="n">
        <v>0</v>
      </c>
      <c r="G213" s="124" t="n">
        <v>0</v>
      </c>
      <c r="I213" s="124" t="n">
        <f aca="false">IF(MONTH($A213)=MONTH($A212),IF(G213=0,I212,G213),G213)</f>
        <v>0</v>
      </c>
      <c r="J213" s="124" t="n">
        <f aca="false">IF(MONTH($A213)=MONTH($A212),SUM(I213-I212),I213)</f>
        <v>0</v>
      </c>
      <c r="K213" s="124" t="n">
        <f aca="false">IF(WEEKDAY(A213,3)&gt;4,0,(IF(A213&lt;K$2,0,IF(A213&lt;=K$3,1,0))))</f>
        <v>0</v>
      </c>
      <c r="L213" s="124" t="n">
        <f aca="false">J213*K213</f>
        <v>0</v>
      </c>
      <c r="M213" s="124" t="n">
        <f aca="false">SUM(J$97:J213)</f>
        <v>0</v>
      </c>
      <c r="N213" s="124" t="n">
        <f aca="false">SUM(J$6:J213)</f>
        <v>0</v>
      </c>
      <c r="P213" s="124" t="n">
        <f aca="false">D213/P$3</f>
        <v>0</v>
      </c>
      <c r="Q213" s="143" t="n">
        <f aca="false">E213/P$3</f>
        <v>0.40605757207408</v>
      </c>
      <c r="R213" s="124" t="n">
        <f aca="false">F213/R$3</f>
        <v>0</v>
      </c>
      <c r="S213" s="126" t="n">
        <f aca="false">J213/$R$3</f>
        <v>0</v>
      </c>
      <c r="T213" s="126" t="n">
        <f aca="false">L213/$R$3</f>
        <v>0</v>
      </c>
      <c r="U213" s="126" t="n">
        <f aca="false">I213/$R$3</f>
        <v>0</v>
      </c>
      <c r="V213" s="126" t="n">
        <f aca="false">M213/$R$3</f>
        <v>0</v>
      </c>
      <c r="W213" s="126" t="n">
        <f aca="false">N213/$R$3</f>
        <v>0</v>
      </c>
    </row>
    <row r="214" customFormat="false" ht="12.75" hidden="true" customHeight="false" outlineLevel="0" collapsed="false">
      <c r="A214" s="120" t="n">
        <f aca="false">A213+1</f>
        <v>37100</v>
      </c>
      <c r="B214" s="131" t="str">
        <f aca="false">INDEX('Master Data'!$A$2:$B$8,MATCH(WEEKDAY('Arg Total Power'!A214,3),'Master Data'!$A$2:$A$8,0),2)</f>
        <v>Sa</v>
      </c>
      <c r="D214" s="124" t="n">
        <v>0</v>
      </c>
      <c r="E214" s="124" t="n">
        <v>0</v>
      </c>
      <c r="F214" s="124" t="n">
        <v>0</v>
      </c>
      <c r="G214" s="124" t="n">
        <v>0</v>
      </c>
      <c r="I214" s="124" t="n">
        <f aca="false">IF(MONTH($A214)=MONTH($A213),IF(G214=0,I213,G214),G214)</f>
        <v>0</v>
      </c>
      <c r="J214" s="124" t="n">
        <f aca="false">IF(MONTH($A214)=MONTH($A213),SUM(I214-I213),I214)</f>
        <v>0</v>
      </c>
      <c r="K214" s="124" t="n">
        <f aca="false">IF(WEEKDAY(A214,3)&gt;4,0,(IF(A214&lt;K$2,0,IF(A214&lt;=K$3,1,0))))</f>
        <v>0</v>
      </c>
      <c r="L214" s="124" t="n">
        <f aca="false">J214*K214</f>
        <v>0</v>
      </c>
      <c r="M214" s="124" t="n">
        <f aca="false">SUM(J$97:J214)</f>
        <v>0</v>
      </c>
      <c r="N214" s="124" t="n">
        <f aca="false">SUM(J$6:J214)</f>
        <v>0</v>
      </c>
      <c r="P214" s="124" t="n">
        <f aca="false">D214/P$3</f>
        <v>0</v>
      </c>
      <c r="Q214" s="143" t="n">
        <f aca="false">E214/P$3</f>
        <v>0</v>
      </c>
      <c r="R214" s="124" t="n">
        <f aca="false">F214/R$3</f>
        <v>0</v>
      </c>
      <c r="S214" s="126" t="n">
        <f aca="false">J214/$R$3</f>
        <v>0</v>
      </c>
      <c r="T214" s="126" t="n">
        <f aca="false">L214/$R$3</f>
        <v>0</v>
      </c>
      <c r="U214" s="126" t="n">
        <f aca="false">I214/$R$3</f>
        <v>0</v>
      </c>
      <c r="V214" s="126" t="n">
        <f aca="false">M214/$R$3</f>
        <v>0</v>
      </c>
      <c r="W214" s="126" t="n">
        <f aca="false">N214/$R$3</f>
        <v>0</v>
      </c>
    </row>
    <row r="215" customFormat="false" ht="12.75" hidden="true" customHeight="false" outlineLevel="0" collapsed="false">
      <c r="A215" s="120" t="n">
        <f aca="false">A214+1</f>
        <v>37101</v>
      </c>
      <c r="B215" s="131" t="str">
        <f aca="false">INDEX('Master Data'!$A$2:$B$8,MATCH(WEEKDAY('Arg Total Power'!A215,3),'Master Data'!$A$2:$A$8,0),2)</f>
        <v>Su</v>
      </c>
      <c r="D215" s="124" t="n">
        <v>0</v>
      </c>
      <c r="E215" s="124" t="n">
        <v>0</v>
      </c>
      <c r="F215" s="124" t="n">
        <v>0</v>
      </c>
      <c r="G215" s="124" t="n">
        <v>0</v>
      </c>
      <c r="I215" s="124" t="n">
        <f aca="false">IF(MONTH($A215)=MONTH($A214),IF(G215=0,I214,G215),G215)</f>
        <v>0</v>
      </c>
      <c r="J215" s="124" t="n">
        <f aca="false">IF(MONTH($A215)=MONTH($A214),SUM(I215-I214),I215)</f>
        <v>0</v>
      </c>
      <c r="K215" s="124" t="n">
        <f aca="false">IF(WEEKDAY(A215,3)&gt;4,0,(IF(A215&lt;K$2,0,IF(A215&lt;=K$3,1,0))))</f>
        <v>0</v>
      </c>
      <c r="L215" s="124" t="n">
        <f aca="false">J215*K215</f>
        <v>0</v>
      </c>
      <c r="M215" s="124" t="n">
        <f aca="false">SUM(J$97:J215)</f>
        <v>0</v>
      </c>
      <c r="N215" s="124" t="n">
        <f aca="false">SUM(J$6:J215)</f>
        <v>0</v>
      </c>
      <c r="P215" s="124" t="n">
        <f aca="false">D215/P$3</f>
        <v>0</v>
      </c>
      <c r="Q215" s="143" t="n">
        <f aca="false">E215/P$3</f>
        <v>0</v>
      </c>
      <c r="R215" s="124" t="n">
        <f aca="false">F215/R$3</f>
        <v>0</v>
      </c>
      <c r="S215" s="126" t="n">
        <f aca="false">J215/$R$3</f>
        <v>0</v>
      </c>
      <c r="T215" s="126" t="n">
        <f aca="false">L215/$R$3</f>
        <v>0</v>
      </c>
      <c r="U215" s="126" t="n">
        <f aca="false">I215/$R$3</f>
        <v>0</v>
      </c>
      <c r="V215" s="126" t="n">
        <f aca="false">M215/$R$3</f>
        <v>0</v>
      </c>
      <c r="W215" s="126" t="n">
        <f aca="false">N215/$R$3</f>
        <v>0</v>
      </c>
    </row>
    <row r="216" customFormat="false" ht="12.75" hidden="true" customHeight="false" outlineLevel="0" collapsed="false">
      <c r="A216" s="120" t="n">
        <f aca="false">A215+1</f>
        <v>37102</v>
      </c>
      <c r="B216" s="131" t="str">
        <f aca="false">INDEX('Master Data'!$A$2:$B$8,MATCH(WEEKDAY('Arg Total Power'!A216,3),'Master Data'!$A$2:$A$8,0),2)</f>
        <v>M</v>
      </c>
      <c r="D216" s="124" t="n">
        <v>0</v>
      </c>
      <c r="E216" s="124" t="n">
        <v>407386.10469276</v>
      </c>
      <c r="F216" s="124" t="n">
        <v>0</v>
      </c>
      <c r="G216" s="124" t="n">
        <v>0</v>
      </c>
      <c r="I216" s="124" t="n">
        <f aca="false">IF(MONTH($A216)=MONTH($A215),IF(G216=0,I215,G216),G216)</f>
        <v>0</v>
      </c>
      <c r="J216" s="124" t="n">
        <f aca="false">IF(MONTH($A216)=MONTH($A215),SUM(I216-I215),I216)</f>
        <v>0</v>
      </c>
      <c r="K216" s="124" t="n">
        <f aca="false">IF(WEEKDAY(A216,3)&gt;4,0,(IF(A216&lt;K$2,0,IF(A216&lt;=K$3,1,0))))</f>
        <v>0</v>
      </c>
      <c r="L216" s="124" t="n">
        <f aca="false">J216*K216</f>
        <v>0</v>
      </c>
      <c r="M216" s="124" t="n">
        <f aca="false">SUM(J$97:J216)</f>
        <v>0</v>
      </c>
      <c r="N216" s="124" t="n">
        <f aca="false">SUM(J$6:J216)</f>
        <v>0</v>
      </c>
      <c r="P216" s="124" t="n">
        <f aca="false">D216/P$3</f>
        <v>0</v>
      </c>
      <c r="Q216" s="143" t="n">
        <f aca="false">E216/P$3</f>
        <v>0.40738610469276</v>
      </c>
      <c r="R216" s="124" t="n">
        <f aca="false">F216/R$3</f>
        <v>0</v>
      </c>
      <c r="S216" s="126" t="n">
        <f aca="false">J216/$R$3</f>
        <v>0</v>
      </c>
      <c r="T216" s="126" t="n">
        <f aca="false">L216/$R$3</f>
        <v>0</v>
      </c>
      <c r="U216" s="126" t="n">
        <f aca="false">I216/$R$3</f>
        <v>0</v>
      </c>
      <c r="V216" s="126" t="n">
        <f aca="false">M216/$R$3</f>
        <v>0</v>
      </c>
      <c r="W216" s="126" t="n">
        <f aca="false">N216/$R$3</f>
        <v>0</v>
      </c>
    </row>
    <row r="217" customFormat="false" ht="12.75" hidden="false" customHeight="false" outlineLevel="0" collapsed="false">
      <c r="A217" s="120" t="n">
        <f aca="false">A216+1</f>
        <v>37103</v>
      </c>
      <c r="B217" s="131" t="str">
        <f aca="false">INDEX('Master Data'!$A$2:$B$8,MATCH(WEEKDAY('Arg Total Power'!A217,3),'Master Data'!$A$2:$A$8,0),2)</f>
        <v>T</v>
      </c>
      <c r="D217" s="124" t="n">
        <v>0</v>
      </c>
      <c r="E217" s="124" t="n">
        <v>407685.468498299</v>
      </c>
      <c r="F217" s="124" t="n">
        <v>0</v>
      </c>
      <c r="G217" s="124" t="n">
        <v>0</v>
      </c>
      <c r="I217" s="124" t="n">
        <f aca="false">IF(MONTH($A217)=MONTH($A216),IF(G217=0,I216,G217),G217)</f>
        <v>0</v>
      </c>
      <c r="J217" s="124" t="n">
        <f aca="false">IF(MONTH($A217)=MONTH($A216),SUM(I217-I216),I217)</f>
        <v>0</v>
      </c>
      <c r="K217" s="124" t="n">
        <f aca="false">IF(WEEKDAY(A217,3)&gt;4,0,(IF(A217&lt;K$2,0,IF(A217&lt;=K$3,1,0))))</f>
        <v>0</v>
      </c>
      <c r="L217" s="124" t="n">
        <f aca="false">J217*K217</f>
        <v>0</v>
      </c>
      <c r="M217" s="124" t="n">
        <f aca="false">SUM(J$97:J217)</f>
        <v>0</v>
      </c>
      <c r="N217" s="124" t="n">
        <f aca="false">SUM(J$6:J217)</f>
        <v>0</v>
      </c>
      <c r="P217" s="124" t="n">
        <f aca="false">D217/P$3</f>
        <v>0</v>
      </c>
      <c r="Q217" s="143" t="n">
        <f aca="false">E217/P$3</f>
        <v>0.407685468498299</v>
      </c>
      <c r="R217" s="124" t="n">
        <f aca="false">F217/R$3</f>
        <v>0</v>
      </c>
      <c r="S217" s="126" t="n">
        <f aca="false">J217/$R$3</f>
        <v>0</v>
      </c>
      <c r="T217" s="126" t="n">
        <f aca="false">L217/$R$3</f>
        <v>0</v>
      </c>
      <c r="U217" s="126" t="n">
        <f aca="false">I217/$R$3</f>
        <v>0</v>
      </c>
      <c r="V217" s="126" t="n">
        <f aca="false">M217/$R$3</f>
        <v>0</v>
      </c>
      <c r="W217" s="126" t="n">
        <f aca="false">N217/$R$3</f>
        <v>0</v>
      </c>
    </row>
    <row r="218" customFormat="false" ht="12.75" hidden="true" customHeight="false" outlineLevel="0" collapsed="false">
      <c r="A218" s="120" t="n">
        <f aca="false">A217+1</f>
        <v>37104</v>
      </c>
      <c r="B218" s="131" t="str">
        <f aca="false">INDEX('Master Data'!$A$2:$B$8,MATCH(WEEKDAY('Arg Total Power'!A218,3),'Master Data'!$A$2:$A$8,0),2)</f>
        <v>W</v>
      </c>
      <c r="D218" s="124" t="n">
        <v>0</v>
      </c>
      <c r="E218" s="124" t="n">
        <v>408483.548070393</v>
      </c>
      <c r="F218" s="124" t="n">
        <v>0</v>
      </c>
      <c r="G218" s="124" t="n">
        <v>0</v>
      </c>
      <c r="I218" s="124" t="n">
        <f aca="false">IF(MONTH($A218)=MONTH($A217),IF(G218=0,I217,G218),G218)</f>
        <v>0</v>
      </c>
      <c r="J218" s="124" t="n">
        <f aca="false">IF(MONTH($A218)=MONTH($A217),SUM(I218-I217),I218)</f>
        <v>0</v>
      </c>
      <c r="K218" s="124" t="n">
        <f aca="false">IF(WEEKDAY(A218,3)&gt;4,0,(IF(A218&lt;K$2,0,IF(A218&lt;=K$3,1,0))))</f>
        <v>0</v>
      </c>
      <c r="L218" s="124" t="n">
        <f aca="false">J218*K218</f>
        <v>0</v>
      </c>
      <c r="M218" s="124" t="n">
        <f aca="false">SUM(J$97:J218)</f>
        <v>0</v>
      </c>
      <c r="N218" s="124" t="n">
        <f aca="false">SUM(J$6:J218)</f>
        <v>0</v>
      </c>
      <c r="P218" s="124" t="n">
        <f aca="false">D218/P$3</f>
        <v>0</v>
      </c>
      <c r="Q218" s="143" t="n">
        <f aca="false">E218/P$3</f>
        <v>0.408483548070393</v>
      </c>
      <c r="R218" s="124" t="n">
        <f aca="false">F218/R$3</f>
        <v>0</v>
      </c>
      <c r="S218" s="126" t="n">
        <f aca="false">J218/$R$3</f>
        <v>0</v>
      </c>
      <c r="T218" s="126" t="n">
        <f aca="false">L218/$R$3</f>
        <v>0</v>
      </c>
      <c r="U218" s="126" t="n">
        <f aca="false">I218/$R$3</f>
        <v>0</v>
      </c>
      <c r="V218" s="126" t="n">
        <f aca="false">M218/$R$3</f>
        <v>0</v>
      </c>
      <c r="W218" s="126" t="n">
        <f aca="false">N218/$R$3</f>
        <v>0</v>
      </c>
    </row>
    <row r="219" customFormat="false" ht="12.75" hidden="true" customHeight="false" outlineLevel="0" collapsed="false">
      <c r="A219" s="120" t="n">
        <f aca="false">A218+1</f>
        <v>37105</v>
      </c>
      <c r="B219" s="131" t="str">
        <f aca="false">INDEX('Master Data'!$A$2:$B$8,MATCH(WEEKDAY('Arg Total Power'!A219,3),'Master Data'!$A$2:$A$8,0),2)</f>
        <v>Th</v>
      </c>
      <c r="D219" s="124" t="n">
        <v>0</v>
      </c>
      <c r="E219" s="124" t="n">
        <v>407178.785641665</v>
      </c>
      <c r="F219" s="124" t="n">
        <v>0</v>
      </c>
      <c r="G219" s="124" t="n">
        <v>0</v>
      </c>
      <c r="I219" s="124" t="n">
        <f aca="false">IF(MONTH($A219)=MONTH($A218),IF(G219=0,I218,G219),G219)</f>
        <v>0</v>
      </c>
      <c r="J219" s="124" t="n">
        <f aca="false">IF(MONTH($A219)=MONTH($A218),SUM(I219-I218),I219)</f>
        <v>0</v>
      </c>
      <c r="K219" s="124" t="n">
        <f aca="false">IF(WEEKDAY(A219,3)&gt;4,0,(IF(A219&lt;K$2,0,IF(A219&lt;=K$3,1,0))))</f>
        <v>0</v>
      </c>
      <c r="L219" s="124" t="n">
        <f aca="false">J219*K219</f>
        <v>0</v>
      </c>
      <c r="M219" s="124" t="n">
        <f aca="false">SUM(J$97:J219)</f>
        <v>0</v>
      </c>
      <c r="N219" s="124" t="n">
        <f aca="false">SUM(J$6:J219)</f>
        <v>0</v>
      </c>
      <c r="P219" s="124" t="n">
        <f aca="false">D219/P$3</f>
        <v>0</v>
      </c>
      <c r="Q219" s="143" t="n">
        <f aca="false">E219/P$3</f>
        <v>0.407178785641665</v>
      </c>
      <c r="R219" s="124" t="n">
        <f aca="false">F219/R$3</f>
        <v>0</v>
      </c>
      <c r="S219" s="126" t="n">
        <f aca="false">J219/$R$3</f>
        <v>0</v>
      </c>
      <c r="T219" s="126" t="n">
        <f aca="false">L219/$R$3</f>
        <v>0</v>
      </c>
      <c r="U219" s="126" t="n">
        <f aca="false">I219/$R$3</f>
        <v>0</v>
      </c>
      <c r="V219" s="126" t="n">
        <f aca="false">M219/$R$3</f>
        <v>0</v>
      </c>
      <c r="W219" s="126" t="n">
        <f aca="false">N219/$R$3</f>
        <v>0</v>
      </c>
    </row>
    <row r="220" customFormat="false" ht="12.75" hidden="true" customHeight="false" outlineLevel="0" collapsed="false">
      <c r="A220" s="120" t="n">
        <f aca="false">A219+1</f>
        <v>37106</v>
      </c>
      <c r="B220" s="131" t="str">
        <f aca="false">INDEX('Master Data'!$A$2:$B$8,MATCH(WEEKDAY('Arg Total Power'!A220,3),'Master Data'!$A$2:$A$8,0),2)</f>
        <v>F</v>
      </c>
      <c r="D220" s="124" t="n">
        <v>0</v>
      </c>
      <c r="E220" s="124" t="n">
        <v>407228.523112362</v>
      </c>
      <c r="F220" s="124" t="n">
        <v>0</v>
      </c>
      <c r="G220" s="124" t="n">
        <v>0</v>
      </c>
      <c r="I220" s="124" t="n">
        <f aca="false">IF(MONTH($A220)=MONTH($A219),IF(G220=0,I219,G220),G220)</f>
        <v>0</v>
      </c>
      <c r="J220" s="124" t="n">
        <f aca="false">IF(MONTH($A220)=MONTH($A219),SUM(I220-I219),I220)</f>
        <v>0</v>
      </c>
      <c r="K220" s="124" t="n">
        <f aca="false">IF(WEEKDAY(A220,3)&gt;4,0,(IF(A220&lt;K$2,0,IF(A220&lt;=K$3,1,0))))</f>
        <v>0</v>
      </c>
      <c r="L220" s="124" t="n">
        <f aca="false">J220*K220</f>
        <v>0</v>
      </c>
      <c r="M220" s="124" t="n">
        <f aca="false">SUM(J$97:J220)</f>
        <v>0</v>
      </c>
      <c r="N220" s="124" t="n">
        <f aca="false">SUM(J$6:J220)</f>
        <v>0</v>
      </c>
      <c r="P220" s="124" t="n">
        <f aca="false">D220/P$3</f>
        <v>0</v>
      </c>
      <c r="Q220" s="143" t="n">
        <f aca="false">E220/P$3</f>
        <v>0.407228523112362</v>
      </c>
      <c r="R220" s="124" t="n">
        <f aca="false">F220/R$3</f>
        <v>0</v>
      </c>
      <c r="S220" s="126" t="n">
        <f aca="false">J220/$R$3</f>
        <v>0</v>
      </c>
      <c r="T220" s="126" t="n">
        <f aca="false">L220/$R$3</f>
        <v>0</v>
      </c>
      <c r="U220" s="126" t="n">
        <f aca="false">I220/$R$3</f>
        <v>0</v>
      </c>
      <c r="V220" s="126" t="n">
        <f aca="false">M220/$R$3</f>
        <v>0</v>
      </c>
      <c r="W220" s="126" t="n">
        <f aca="false">N220/$R$3</f>
        <v>0</v>
      </c>
    </row>
    <row r="221" customFormat="false" ht="12.75" hidden="true" customHeight="false" outlineLevel="0" collapsed="false">
      <c r="A221" s="120" t="n">
        <f aca="false">A220+1</f>
        <v>37107</v>
      </c>
      <c r="B221" s="131" t="str">
        <f aca="false">INDEX('Master Data'!$A$2:$B$8,MATCH(WEEKDAY('Arg Total Power'!A221,3),'Master Data'!$A$2:$A$8,0),2)</f>
        <v>Sa</v>
      </c>
      <c r="D221" s="124" t="n">
        <v>0</v>
      </c>
      <c r="E221" s="124" t="n">
        <v>0</v>
      </c>
      <c r="F221" s="124" t="n">
        <v>0</v>
      </c>
      <c r="G221" s="124" t="n">
        <v>0</v>
      </c>
      <c r="I221" s="124" t="n">
        <f aca="false">IF(MONTH($A221)=MONTH($A220),IF(G221=0,I220,G221),G221)</f>
        <v>0</v>
      </c>
      <c r="J221" s="124" t="n">
        <f aca="false">IF(MONTH($A221)=MONTH($A220),SUM(I221-I220),I221)</f>
        <v>0</v>
      </c>
      <c r="K221" s="124" t="n">
        <f aca="false">IF(WEEKDAY(A221,3)&gt;4,0,(IF(A221&lt;K$2,0,IF(A221&lt;=K$3,1,0))))</f>
        <v>0</v>
      </c>
      <c r="L221" s="124" t="n">
        <f aca="false">J221*K221</f>
        <v>0</v>
      </c>
      <c r="M221" s="124" t="n">
        <f aca="false">SUM(J$97:J221)</f>
        <v>0</v>
      </c>
      <c r="N221" s="124" t="n">
        <f aca="false">SUM(J$6:J221)</f>
        <v>0</v>
      </c>
      <c r="P221" s="124" t="n">
        <f aca="false">D221/P$3</f>
        <v>0</v>
      </c>
      <c r="Q221" s="143" t="n">
        <f aca="false">E221/P$3</f>
        <v>0</v>
      </c>
      <c r="R221" s="124" t="n">
        <f aca="false">F221/R$3</f>
        <v>0</v>
      </c>
      <c r="S221" s="126" t="n">
        <f aca="false">J221/$R$3</f>
        <v>0</v>
      </c>
      <c r="T221" s="126" t="n">
        <f aca="false">L221/$R$3</f>
        <v>0</v>
      </c>
      <c r="U221" s="126" t="n">
        <f aca="false">I221/$R$3</f>
        <v>0</v>
      </c>
      <c r="V221" s="126" t="n">
        <f aca="false">M221/$R$3</f>
        <v>0</v>
      </c>
      <c r="W221" s="126" t="n">
        <f aca="false">N221/$R$3</f>
        <v>0</v>
      </c>
    </row>
    <row r="222" customFormat="false" ht="12.75" hidden="true" customHeight="false" outlineLevel="0" collapsed="false">
      <c r="A222" s="120" t="n">
        <f aca="false">A221+1</f>
        <v>37108</v>
      </c>
      <c r="B222" s="131" t="str">
        <f aca="false">INDEX('Master Data'!$A$2:$B$8,MATCH(WEEKDAY('Arg Total Power'!A222,3),'Master Data'!$A$2:$A$8,0),2)</f>
        <v>Su</v>
      </c>
      <c r="D222" s="124" t="n">
        <v>0</v>
      </c>
      <c r="E222" s="124" t="n">
        <v>0</v>
      </c>
      <c r="F222" s="124" t="n">
        <v>0</v>
      </c>
      <c r="G222" s="124" t="n">
        <v>0</v>
      </c>
      <c r="I222" s="124" t="n">
        <f aca="false">IF(MONTH($A222)=MONTH($A221),IF(G222=0,I221,G222),G222)</f>
        <v>0</v>
      </c>
      <c r="J222" s="124" t="n">
        <f aca="false">IF(MONTH($A222)=MONTH($A221),SUM(I222-I221),I222)</f>
        <v>0</v>
      </c>
      <c r="K222" s="124" t="n">
        <f aca="false">IF(WEEKDAY(A222,3)&gt;4,0,(IF(A222&lt;K$2,0,IF(A222&lt;=K$3,1,0))))</f>
        <v>0</v>
      </c>
      <c r="L222" s="124" t="n">
        <f aca="false">J222*K222</f>
        <v>0</v>
      </c>
      <c r="M222" s="124" t="n">
        <f aca="false">SUM(J$97:J222)</f>
        <v>0</v>
      </c>
      <c r="N222" s="124" t="n">
        <f aca="false">SUM(J$6:J222)</f>
        <v>0</v>
      </c>
      <c r="P222" s="124" t="n">
        <f aca="false">D222/P$3</f>
        <v>0</v>
      </c>
      <c r="Q222" s="143" t="n">
        <f aca="false">E222/P$3</f>
        <v>0</v>
      </c>
      <c r="R222" s="124" t="n">
        <f aca="false">F222/R$3</f>
        <v>0</v>
      </c>
      <c r="S222" s="126" t="n">
        <f aca="false">J222/$R$3</f>
        <v>0</v>
      </c>
      <c r="T222" s="126" t="n">
        <f aca="false">L222/$R$3</f>
        <v>0</v>
      </c>
      <c r="U222" s="126" t="n">
        <f aca="false">I222/$R$3</f>
        <v>0</v>
      </c>
      <c r="V222" s="126" t="n">
        <f aca="false">M222/$R$3</f>
        <v>0</v>
      </c>
      <c r="W222" s="126" t="n">
        <f aca="false">N222/$R$3</f>
        <v>0</v>
      </c>
    </row>
    <row r="223" customFormat="false" ht="12.75" hidden="true" customHeight="false" outlineLevel="0" collapsed="false">
      <c r="A223" s="120" t="n">
        <f aca="false">A222+1</f>
        <v>37109</v>
      </c>
      <c r="B223" s="131" t="str">
        <f aca="false">INDEX('Master Data'!$A$2:$B$8,MATCH(WEEKDAY('Arg Total Power'!A223,3),'Master Data'!$A$2:$A$8,0),2)</f>
        <v>M</v>
      </c>
      <c r="D223" s="124" t="n">
        <v>0</v>
      </c>
      <c r="E223" s="124" t="n">
        <v>407345.720495941</v>
      </c>
      <c r="F223" s="124" t="n">
        <v>0</v>
      </c>
      <c r="G223" s="124" t="n">
        <v>0</v>
      </c>
      <c r="I223" s="124" t="n">
        <f aca="false">IF(MONTH($A223)=MONTH($A222),IF(G223=0,I222,G223),G223)</f>
        <v>0</v>
      </c>
      <c r="J223" s="124" t="n">
        <f aca="false">IF(MONTH($A223)=MONTH($A222),SUM(I223-I222),I223)</f>
        <v>0</v>
      </c>
      <c r="K223" s="124" t="n">
        <f aca="false">IF(WEEKDAY(A223,3)&gt;4,0,(IF(A223&lt;K$2,0,IF(A223&lt;=K$3,1,0))))</f>
        <v>0</v>
      </c>
      <c r="L223" s="124" t="n">
        <f aca="false">J223*K223</f>
        <v>0</v>
      </c>
      <c r="M223" s="124" t="n">
        <f aca="false">SUM(J$97:J223)</f>
        <v>0</v>
      </c>
      <c r="N223" s="124" t="n">
        <f aca="false">SUM(J$6:J223)</f>
        <v>0</v>
      </c>
      <c r="P223" s="124" t="n">
        <f aca="false">D223/P$3</f>
        <v>0</v>
      </c>
      <c r="Q223" s="143" t="n">
        <f aca="false">E223/P$3</f>
        <v>0.407345720495941</v>
      </c>
      <c r="R223" s="124" t="n">
        <f aca="false">F223/R$3</f>
        <v>0</v>
      </c>
      <c r="S223" s="126" t="n">
        <f aca="false">J223/$R$3</f>
        <v>0</v>
      </c>
      <c r="T223" s="126" t="n">
        <f aca="false">L223/$R$3</f>
        <v>0</v>
      </c>
      <c r="U223" s="126" t="n">
        <f aca="false">I223/$R$3</f>
        <v>0</v>
      </c>
      <c r="V223" s="126" t="n">
        <f aca="false">M223/$R$3</f>
        <v>0</v>
      </c>
      <c r="W223" s="126" t="n">
        <f aca="false">N223/$R$3</f>
        <v>0</v>
      </c>
    </row>
    <row r="224" customFormat="false" ht="12.75" hidden="true" customHeight="false" outlineLevel="0" collapsed="false">
      <c r="A224" s="120" t="n">
        <f aca="false">A223+1</f>
        <v>37110</v>
      </c>
      <c r="B224" s="131" t="str">
        <f aca="false">INDEX('Master Data'!$A$2:$B$8,MATCH(WEEKDAY('Arg Total Power'!A224,3),'Master Data'!$A$2:$A$8,0),2)</f>
        <v>T</v>
      </c>
      <c r="D224" s="124" t="n">
        <v>0</v>
      </c>
      <c r="E224" s="124" t="n">
        <v>407672.669623302</v>
      </c>
      <c r="F224" s="124" t="n">
        <v>0</v>
      </c>
      <c r="G224" s="124" t="n">
        <v>0</v>
      </c>
      <c r="I224" s="124" t="n">
        <f aca="false">IF(MONTH($A224)=MONTH($A223),IF(G224=0,I223,G224),G224)</f>
        <v>0</v>
      </c>
      <c r="J224" s="124" t="n">
        <f aca="false">IF(MONTH($A224)=MONTH($A223),SUM(I224-I223),I224)</f>
        <v>0</v>
      </c>
      <c r="K224" s="124" t="n">
        <f aca="false">IF(WEEKDAY(A224,3)&gt;4,0,(IF(A224&lt;K$2,0,IF(A224&lt;=K$3,1,0))))</f>
        <v>0</v>
      </c>
      <c r="L224" s="124" t="n">
        <f aca="false">J224*K224</f>
        <v>0</v>
      </c>
      <c r="M224" s="124" t="n">
        <f aca="false">SUM(J$97:J224)</f>
        <v>0</v>
      </c>
      <c r="N224" s="124" t="n">
        <f aca="false">SUM(J$6:J224)</f>
        <v>0</v>
      </c>
      <c r="P224" s="124" t="n">
        <f aca="false">D224/P$3</f>
        <v>0</v>
      </c>
      <c r="Q224" s="143" t="n">
        <f aca="false">E224/P$3</f>
        <v>0.407672669623302</v>
      </c>
      <c r="R224" s="124" t="n">
        <f aca="false">F224/R$3</f>
        <v>0</v>
      </c>
      <c r="S224" s="126" t="n">
        <f aca="false">J224/$R$3</f>
        <v>0</v>
      </c>
      <c r="T224" s="126" t="n">
        <f aca="false">L224/$R$3</f>
        <v>0</v>
      </c>
      <c r="U224" s="126" t="n">
        <f aca="false">I224/$R$3</f>
        <v>0</v>
      </c>
      <c r="V224" s="126" t="n">
        <f aca="false">M224/$R$3</f>
        <v>0</v>
      </c>
      <c r="W224" s="126" t="n">
        <f aca="false">N224/$R$3</f>
        <v>0</v>
      </c>
    </row>
    <row r="225" customFormat="false" ht="12.75" hidden="true" customHeight="false" outlineLevel="0" collapsed="false">
      <c r="A225" s="120" t="n">
        <f aca="false">A224+1</f>
        <v>37111</v>
      </c>
      <c r="B225" s="131" t="str">
        <f aca="false">INDEX('Master Data'!$A$2:$B$8,MATCH(WEEKDAY('Arg Total Power'!A225,3),'Master Data'!$A$2:$A$8,0),2)</f>
        <v>W</v>
      </c>
      <c r="D225" s="124" t="n">
        <v>0</v>
      </c>
      <c r="E225" s="124" t="n">
        <v>407652.773820317</v>
      </c>
      <c r="F225" s="124" t="n">
        <v>0</v>
      </c>
      <c r="G225" s="124" t="n">
        <v>0</v>
      </c>
      <c r="I225" s="124" t="n">
        <f aca="false">IF(MONTH($A225)=MONTH($A224),IF(G225=0,I224,G225),G225)</f>
        <v>0</v>
      </c>
      <c r="J225" s="124" t="n">
        <f aca="false">IF(MONTH($A225)=MONTH($A224),SUM(I225-I224),I225)</f>
        <v>0</v>
      </c>
      <c r="K225" s="124" t="n">
        <f aca="false">IF(WEEKDAY(A225,3)&gt;4,0,(IF(A225&lt;K$2,0,IF(A225&lt;=K$3,1,0))))</f>
        <v>0</v>
      </c>
      <c r="L225" s="124" t="n">
        <f aca="false">J225*K225</f>
        <v>0</v>
      </c>
      <c r="M225" s="124" t="n">
        <f aca="false">SUM(J$97:J225)</f>
        <v>0</v>
      </c>
      <c r="N225" s="124" t="n">
        <f aca="false">SUM(J$6:J225)</f>
        <v>0</v>
      </c>
      <c r="P225" s="124" t="n">
        <f aca="false">D225/P$3</f>
        <v>0</v>
      </c>
      <c r="Q225" s="143" t="n">
        <f aca="false">E225/P$3</f>
        <v>0.407652773820316</v>
      </c>
      <c r="R225" s="124" t="n">
        <f aca="false">F225/R$3</f>
        <v>0</v>
      </c>
      <c r="S225" s="126" t="n">
        <f aca="false">J225/$R$3</f>
        <v>0</v>
      </c>
      <c r="T225" s="126" t="n">
        <f aca="false">L225/$R$3</f>
        <v>0</v>
      </c>
      <c r="U225" s="126" t="n">
        <f aca="false">I225/$R$3</f>
        <v>0</v>
      </c>
      <c r="V225" s="126" t="n">
        <f aca="false">M225/$R$3</f>
        <v>0</v>
      </c>
      <c r="W225" s="126" t="n">
        <f aca="false">N225/$R$3</f>
        <v>0</v>
      </c>
    </row>
    <row r="226" customFormat="false" ht="12.75" hidden="true" customHeight="false" outlineLevel="0" collapsed="false">
      <c r="A226" s="120" t="n">
        <f aca="false">A225+1</f>
        <v>37112</v>
      </c>
      <c r="B226" s="131" t="str">
        <f aca="false">INDEX('Master Data'!$A$2:$B$8,MATCH(WEEKDAY('Arg Total Power'!A226,3),'Master Data'!$A$2:$A$8,0),2)</f>
        <v>Th</v>
      </c>
      <c r="D226" s="124" t="n">
        <v>0</v>
      </c>
      <c r="E226" s="124" t="n">
        <v>409036.60340538</v>
      </c>
      <c r="F226" s="124" t="n">
        <v>0</v>
      </c>
      <c r="G226" s="124" t="n">
        <v>0</v>
      </c>
      <c r="I226" s="124" t="n">
        <f aca="false">IF(MONTH($A226)=MONTH($A225),IF(G226=0,I225,G226),G226)</f>
        <v>0</v>
      </c>
      <c r="J226" s="124" t="n">
        <f aca="false">IF(MONTH($A226)=MONTH($A225),SUM(I226-I225),I226)</f>
        <v>0</v>
      </c>
      <c r="K226" s="124" t="n">
        <f aca="false">IF(WEEKDAY(A226,3)&gt;4,0,(IF(A226&lt;K$2,0,IF(A226&lt;=K$3,1,0))))</f>
        <v>0</v>
      </c>
      <c r="L226" s="124" t="n">
        <f aca="false">J226*K226</f>
        <v>0</v>
      </c>
      <c r="M226" s="124" t="n">
        <f aca="false">SUM(J$97:J226)</f>
        <v>0</v>
      </c>
      <c r="N226" s="124" t="n">
        <f aca="false">SUM(J$6:J226)</f>
        <v>0</v>
      </c>
      <c r="P226" s="124" t="n">
        <f aca="false">D226/P$3</f>
        <v>0</v>
      </c>
      <c r="Q226" s="143" t="n">
        <f aca="false">E226/P$3</f>
        <v>0.40903660340538</v>
      </c>
      <c r="R226" s="124" t="n">
        <f aca="false">F226/R$3</f>
        <v>0</v>
      </c>
      <c r="S226" s="126" t="n">
        <f aca="false">J226/$R$3</f>
        <v>0</v>
      </c>
      <c r="T226" s="126" t="n">
        <f aca="false">L226/$R$3</f>
        <v>0</v>
      </c>
      <c r="U226" s="126" t="n">
        <f aca="false">I226/$R$3</f>
        <v>0</v>
      </c>
      <c r="V226" s="126" t="n">
        <f aca="false">M226/$R$3</f>
        <v>0</v>
      </c>
      <c r="W226" s="126" t="n">
        <f aca="false">N226/$R$3</f>
        <v>0</v>
      </c>
    </row>
    <row r="227" customFormat="false" ht="12.75" hidden="true" customHeight="false" outlineLevel="0" collapsed="false">
      <c r="A227" s="120" t="n">
        <f aca="false">A226+1</f>
        <v>37113</v>
      </c>
      <c r="B227" s="131" t="str">
        <f aca="false">INDEX('Master Data'!$A$2:$B$8,MATCH(WEEKDAY('Arg Total Power'!A227,3),'Master Data'!$A$2:$A$8,0),2)</f>
        <v>F</v>
      </c>
      <c r="D227" s="124" t="n">
        <v>0</v>
      </c>
      <c r="E227" s="124" t="n">
        <v>408744.793175199</v>
      </c>
      <c r="F227" s="124" t="n">
        <v>0</v>
      </c>
      <c r="G227" s="124" t="n">
        <v>0</v>
      </c>
      <c r="I227" s="124" t="n">
        <f aca="false">IF(MONTH($A227)=MONTH($A226),IF(G227=0,I226,G227),G227)</f>
        <v>0</v>
      </c>
      <c r="J227" s="124" t="n">
        <f aca="false">IF(MONTH($A227)=MONTH($A226),SUM(I227-I226),I227)</f>
        <v>0</v>
      </c>
      <c r="K227" s="124" t="n">
        <f aca="false">IF(WEEKDAY(A227,3)&gt;4,0,(IF(A227&lt;K$2,0,IF(A227&lt;=K$3,1,0))))</f>
        <v>0</v>
      </c>
      <c r="L227" s="124" t="n">
        <f aca="false">J227*K227</f>
        <v>0</v>
      </c>
      <c r="M227" s="124" t="n">
        <f aca="false">SUM(J$97:J227)</f>
        <v>0</v>
      </c>
      <c r="N227" s="124" t="n">
        <f aca="false">SUM(J$6:J227)</f>
        <v>0</v>
      </c>
      <c r="P227" s="124" t="n">
        <f aca="false">D227/P$3</f>
        <v>0</v>
      </c>
      <c r="Q227" s="143" t="n">
        <f aca="false">E227/P$3</f>
        <v>0.408744793175199</v>
      </c>
      <c r="R227" s="124" t="n">
        <f aca="false">F227/R$3</f>
        <v>0</v>
      </c>
      <c r="S227" s="126" t="n">
        <f aca="false">J227/$R$3</f>
        <v>0</v>
      </c>
      <c r="T227" s="126" t="n">
        <f aca="false">L227/$R$3</f>
        <v>0</v>
      </c>
      <c r="U227" s="126" t="n">
        <f aca="false">I227/$R$3</f>
        <v>0</v>
      </c>
      <c r="V227" s="126" t="n">
        <f aca="false">M227/$R$3</f>
        <v>0</v>
      </c>
      <c r="W227" s="126" t="n">
        <f aca="false">N227/$R$3</f>
        <v>0</v>
      </c>
    </row>
    <row r="228" customFormat="false" ht="12.75" hidden="true" customHeight="false" outlineLevel="0" collapsed="false">
      <c r="A228" s="120" t="n">
        <f aca="false">A227+1</f>
        <v>37114</v>
      </c>
      <c r="B228" s="131" t="str">
        <f aca="false">INDEX('Master Data'!$A$2:$B$8,MATCH(WEEKDAY('Arg Total Power'!A228,3),'Master Data'!$A$2:$A$8,0),2)</f>
        <v>Sa</v>
      </c>
      <c r="D228" s="124" t="n">
        <v>0</v>
      </c>
      <c r="E228" s="124" t="n">
        <v>0</v>
      </c>
      <c r="F228" s="124" t="n">
        <v>0</v>
      </c>
      <c r="G228" s="124" t="n">
        <v>0</v>
      </c>
      <c r="I228" s="124" t="n">
        <f aca="false">IF(MONTH($A228)=MONTH($A227),IF(G228=0,I227,G228),G228)</f>
        <v>0</v>
      </c>
      <c r="J228" s="124" t="n">
        <f aca="false">IF(MONTH($A228)=MONTH($A227),SUM(I228-I227),I228)</f>
        <v>0</v>
      </c>
      <c r="K228" s="124" t="n">
        <f aca="false">IF(WEEKDAY(A228,3)&gt;4,0,(IF(A228&lt;K$2,0,IF(A228&lt;=K$3,1,0))))</f>
        <v>0</v>
      </c>
      <c r="L228" s="124" t="n">
        <f aca="false">J228*K228</f>
        <v>0</v>
      </c>
      <c r="M228" s="124" t="n">
        <f aca="false">SUM(J$97:J228)</f>
        <v>0</v>
      </c>
      <c r="N228" s="124" t="n">
        <f aca="false">SUM(J$6:J228)</f>
        <v>0</v>
      </c>
      <c r="P228" s="124" t="n">
        <f aca="false">D228/P$3</f>
        <v>0</v>
      </c>
      <c r="Q228" s="143" t="n">
        <f aca="false">E228/P$3</f>
        <v>0</v>
      </c>
      <c r="R228" s="124" t="n">
        <f aca="false">F228/R$3</f>
        <v>0</v>
      </c>
      <c r="S228" s="126" t="n">
        <f aca="false">J228/$R$3</f>
        <v>0</v>
      </c>
      <c r="T228" s="126" t="n">
        <f aca="false">L228/$R$3</f>
        <v>0</v>
      </c>
      <c r="U228" s="126" t="n">
        <f aca="false">I228/$R$3</f>
        <v>0</v>
      </c>
      <c r="V228" s="126" t="n">
        <f aca="false">M228/$R$3</f>
        <v>0</v>
      </c>
      <c r="W228" s="126" t="n">
        <f aca="false">N228/$R$3</f>
        <v>0</v>
      </c>
    </row>
    <row r="229" customFormat="false" ht="12.75" hidden="true" customHeight="false" outlineLevel="0" collapsed="false">
      <c r="A229" s="120" t="n">
        <f aca="false">A228+1</f>
        <v>37115</v>
      </c>
      <c r="B229" s="131" t="str">
        <f aca="false">INDEX('Master Data'!$A$2:$B$8,MATCH(WEEKDAY('Arg Total Power'!A229,3),'Master Data'!$A$2:$A$8,0),2)</f>
        <v>Su</v>
      </c>
      <c r="D229" s="124" t="n">
        <v>0</v>
      </c>
      <c r="E229" s="124" t="n">
        <v>0</v>
      </c>
      <c r="F229" s="124" t="n">
        <v>0</v>
      </c>
      <c r="G229" s="124" t="n">
        <v>0</v>
      </c>
      <c r="I229" s="124" t="n">
        <f aca="false">IF(MONTH($A229)=MONTH($A228),IF(G229=0,I228,G229),G229)</f>
        <v>0</v>
      </c>
      <c r="J229" s="124" t="n">
        <f aca="false">IF(MONTH($A229)=MONTH($A228),SUM(I229-I228),I229)</f>
        <v>0</v>
      </c>
      <c r="K229" s="124" t="n">
        <f aca="false">IF(WEEKDAY(A229,3)&gt;4,0,(IF(A229&lt;K$2,0,IF(A229&lt;=K$3,1,0))))</f>
        <v>0</v>
      </c>
      <c r="L229" s="124" t="n">
        <f aca="false">J229*K229</f>
        <v>0</v>
      </c>
      <c r="M229" s="124" t="n">
        <f aca="false">SUM(J$97:J229)</f>
        <v>0</v>
      </c>
      <c r="N229" s="124" t="n">
        <f aca="false">SUM(J$6:J229)</f>
        <v>0</v>
      </c>
      <c r="P229" s="124" t="n">
        <f aca="false">D229/P$3</f>
        <v>0</v>
      </c>
      <c r="Q229" s="143" t="n">
        <f aca="false">E229/P$3</f>
        <v>0</v>
      </c>
      <c r="R229" s="124" t="n">
        <f aca="false">F229/R$3</f>
        <v>0</v>
      </c>
      <c r="S229" s="126" t="n">
        <f aca="false">J229/$R$3</f>
        <v>0</v>
      </c>
      <c r="T229" s="126" t="n">
        <f aca="false">L229/$R$3</f>
        <v>0</v>
      </c>
      <c r="U229" s="126" t="n">
        <f aca="false">I229/$R$3</f>
        <v>0</v>
      </c>
      <c r="V229" s="126" t="n">
        <f aca="false">M229/$R$3</f>
        <v>0</v>
      </c>
      <c r="W229" s="126" t="n">
        <f aca="false">N229/$R$3</f>
        <v>0</v>
      </c>
    </row>
    <row r="230" customFormat="false" ht="12.75" hidden="true" customHeight="false" outlineLevel="0" collapsed="false">
      <c r="A230" s="120" t="n">
        <f aca="false">A229+1</f>
        <v>37116</v>
      </c>
      <c r="B230" s="131" t="str">
        <f aca="false">INDEX('Master Data'!$A$2:$B$8,MATCH(WEEKDAY('Arg Total Power'!A230,3),'Master Data'!$A$2:$A$8,0),2)</f>
        <v>M</v>
      </c>
      <c r="D230" s="124" t="n">
        <v>0</v>
      </c>
      <c r="E230" s="124" t="n">
        <v>408979.463290823</v>
      </c>
      <c r="F230" s="124" t="n">
        <v>0</v>
      </c>
      <c r="G230" s="124" t="n">
        <v>0</v>
      </c>
      <c r="I230" s="124" t="n">
        <f aca="false">IF(MONTH($A230)=MONTH($A229),IF(G230=0,I229,G230),G230)</f>
        <v>0</v>
      </c>
      <c r="J230" s="124" t="n">
        <f aca="false">IF(MONTH($A230)=MONTH($A229),SUM(I230-I229),I230)</f>
        <v>0</v>
      </c>
      <c r="K230" s="124" t="n">
        <f aca="false">IF(WEEKDAY(A230,3)&gt;4,0,(IF(A230&lt;K$2,0,IF(A230&lt;=K$3,1,0))))</f>
        <v>0</v>
      </c>
      <c r="L230" s="124" t="n">
        <f aca="false">J230*K230</f>
        <v>0</v>
      </c>
      <c r="M230" s="124" t="n">
        <f aca="false">SUM(J$97:J230)</f>
        <v>0</v>
      </c>
      <c r="N230" s="124" t="n">
        <f aca="false">SUM(J$6:J230)</f>
        <v>0</v>
      </c>
      <c r="P230" s="124" t="n">
        <f aca="false">D230/P$3</f>
        <v>0</v>
      </c>
      <c r="Q230" s="143" t="n">
        <f aca="false">E230/P$3</f>
        <v>0.408979463290823</v>
      </c>
      <c r="R230" s="124" t="n">
        <f aca="false">F230/R$3</f>
        <v>0</v>
      </c>
      <c r="S230" s="126" t="n">
        <f aca="false">J230/$R$3</f>
        <v>0</v>
      </c>
      <c r="T230" s="126" t="n">
        <f aca="false">L230/$R$3</f>
        <v>0</v>
      </c>
      <c r="U230" s="126" t="n">
        <f aca="false">I230/$R$3</f>
        <v>0</v>
      </c>
      <c r="V230" s="126" t="n">
        <f aca="false">M230/$R$3</f>
        <v>0</v>
      </c>
      <c r="W230" s="126" t="n">
        <f aca="false">N230/$R$3</f>
        <v>0</v>
      </c>
    </row>
    <row r="231" customFormat="false" ht="12.75" hidden="true" customHeight="false" outlineLevel="0" collapsed="false">
      <c r="A231" s="120" t="n">
        <f aca="false">A230+1</f>
        <v>37117</v>
      </c>
      <c r="B231" s="131" t="str">
        <f aca="false">INDEX('Master Data'!$A$2:$B$8,MATCH(WEEKDAY('Arg Total Power'!A231,3),'Master Data'!$A$2:$A$8,0),2)</f>
        <v>T</v>
      </c>
      <c r="D231" s="124" t="n">
        <v>0</v>
      </c>
      <c r="E231" s="124" t="n">
        <v>410503.283720885</v>
      </c>
      <c r="F231" s="124" t="n">
        <v>0</v>
      </c>
      <c r="G231" s="124" t="n">
        <v>0</v>
      </c>
      <c r="I231" s="124" t="n">
        <f aca="false">IF(MONTH($A231)=MONTH($A230),IF(G231=0,I230,G231),G231)</f>
        <v>0</v>
      </c>
      <c r="J231" s="124" t="n">
        <f aca="false">IF(MONTH($A231)=MONTH($A230),SUM(I231-I230),I231)</f>
        <v>0</v>
      </c>
      <c r="K231" s="124" t="n">
        <f aca="false">IF(WEEKDAY(A231,3)&gt;4,0,(IF(A231&lt;K$2,0,IF(A231&lt;=K$3,1,0))))</f>
        <v>0</v>
      </c>
      <c r="L231" s="124" t="n">
        <f aca="false">J231*K231</f>
        <v>0</v>
      </c>
      <c r="M231" s="124" t="n">
        <f aca="false">SUM(J$97:J231)</f>
        <v>0</v>
      </c>
      <c r="N231" s="124" t="n">
        <f aca="false">SUM(J$6:J231)</f>
        <v>0</v>
      </c>
      <c r="P231" s="124" t="n">
        <f aca="false">D231/P$3</f>
        <v>0</v>
      </c>
      <c r="Q231" s="143" t="n">
        <f aca="false">E231/P$3</f>
        <v>0.410503283720885</v>
      </c>
      <c r="R231" s="124" t="n">
        <f aca="false">F231/R$3</f>
        <v>0</v>
      </c>
      <c r="S231" s="126" t="n">
        <f aca="false">J231/$R$3</f>
        <v>0</v>
      </c>
      <c r="T231" s="126" t="n">
        <f aca="false">L231/$R$3</f>
        <v>0</v>
      </c>
      <c r="U231" s="126" t="n">
        <f aca="false">I231/$R$3</f>
        <v>0</v>
      </c>
      <c r="V231" s="126" t="n">
        <f aca="false">M231/$R$3</f>
        <v>0</v>
      </c>
      <c r="W231" s="126" t="n">
        <f aca="false">N231/$R$3</f>
        <v>0</v>
      </c>
    </row>
    <row r="232" customFormat="false" ht="12.75" hidden="true" customHeight="false" outlineLevel="0" collapsed="false">
      <c r="A232" s="120" t="n">
        <f aca="false">A231+1</f>
        <v>37118</v>
      </c>
      <c r="B232" s="131" t="str">
        <f aca="false">INDEX('Master Data'!$A$2:$B$8,MATCH(WEEKDAY('Arg Total Power'!A232,3),'Master Data'!$A$2:$A$8,0),2)</f>
        <v>W</v>
      </c>
      <c r="D232" s="124" t="n">
        <v>0</v>
      </c>
      <c r="E232" s="124" t="n">
        <v>409955.386218738</v>
      </c>
      <c r="F232" s="124" t="n">
        <v>0</v>
      </c>
      <c r="G232" s="124" t="n">
        <v>0</v>
      </c>
      <c r="I232" s="124" t="n">
        <f aca="false">IF(MONTH($A232)=MONTH($A231),IF(G232=0,I231,G232),G232)</f>
        <v>0</v>
      </c>
      <c r="J232" s="124" t="n">
        <f aca="false">IF(MONTH($A232)=MONTH($A231),SUM(I232-I231),I232)</f>
        <v>0</v>
      </c>
      <c r="K232" s="124" t="n">
        <f aca="false">IF(WEEKDAY(A232,3)&gt;4,0,(IF(A232&lt;K$2,0,IF(A232&lt;=K$3,1,0))))</f>
        <v>0</v>
      </c>
      <c r="L232" s="124" t="n">
        <f aca="false">J232*K232</f>
        <v>0</v>
      </c>
      <c r="M232" s="124" t="n">
        <f aca="false">SUM(J$97:J232)</f>
        <v>0</v>
      </c>
      <c r="N232" s="124" t="n">
        <f aca="false">SUM(J$6:J232)</f>
        <v>0</v>
      </c>
      <c r="P232" s="124" t="n">
        <f aca="false">D232/P$3</f>
        <v>0</v>
      </c>
      <c r="Q232" s="143" t="n">
        <f aca="false">E232/P$3</f>
        <v>0.409955386218738</v>
      </c>
      <c r="R232" s="124" t="n">
        <f aca="false">F232/R$3</f>
        <v>0</v>
      </c>
      <c r="S232" s="126" t="n">
        <f aca="false">J232/$R$3</f>
        <v>0</v>
      </c>
      <c r="T232" s="126" t="n">
        <f aca="false">L232/$R$3</f>
        <v>0</v>
      </c>
      <c r="U232" s="126" t="n">
        <f aca="false">I232/$R$3</f>
        <v>0</v>
      </c>
      <c r="V232" s="126" t="n">
        <f aca="false">M232/$R$3</f>
        <v>0</v>
      </c>
      <c r="W232" s="126" t="n">
        <f aca="false">N232/$R$3</f>
        <v>0</v>
      </c>
    </row>
    <row r="233" customFormat="false" ht="12.75" hidden="true" customHeight="false" outlineLevel="0" collapsed="false">
      <c r="A233" s="120" t="n">
        <f aca="false">A232+1</f>
        <v>37119</v>
      </c>
      <c r="B233" s="131" t="str">
        <f aca="false">INDEX('Master Data'!$A$2:$B$8,MATCH(WEEKDAY('Arg Total Power'!A233,3),'Master Data'!$A$2:$A$8,0),2)</f>
        <v>Th</v>
      </c>
      <c r="D233" s="124" t="n">
        <v>0</v>
      </c>
      <c r="E233" s="124" t="n">
        <v>409016.829372777</v>
      </c>
      <c r="F233" s="124" t="n">
        <v>0</v>
      </c>
      <c r="G233" s="124" t="n">
        <v>0</v>
      </c>
      <c r="I233" s="124" t="n">
        <f aca="false">IF(MONTH($A233)=MONTH($A232),IF(G233=0,I232,G233),G233)</f>
        <v>0</v>
      </c>
      <c r="J233" s="124" t="n">
        <f aca="false">IF(MONTH($A233)=MONTH($A232),SUM(I233-I232),I233)</f>
        <v>0</v>
      </c>
      <c r="K233" s="124" t="n">
        <f aca="false">IF(WEEKDAY(A233,3)&gt;4,0,(IF(A233&lt;K$2,0,IF(A233&lt;=K$3,1,0))))</f>
        <v>0</v>
      </c>
      <c r="L233" s="124" t="n">
        <f aca="false">J233*K233</f>
        <v>0</v>
      </c>
      <c r="M233" s="124" t="n">
        <f aca="false">SUM(J$97:J233)</f>
        <v>0</v>
      </c>
      <c r="N233" s="124" t="n">
        <f aca="false">SUM(J$6:J233)</f>
        <v>0</v>
      </c>
      <c r="P233" s="124" t="n">
        <f aca="false">D233/P$3</f>
        <v>0</v>
      </c>
      <c r="Q233" s="143" t="n">
        <f aca="false">E233/P$3</f>
        <v>0.409016829372777</v>
      </c>
      <c r="R233" s="124" t="n">
        <f aca="false">F233/R$3</f>
        <v>0</v>
      </c>
      <c r="S233" s="126" t="n">
        <f aca="false">J233/$R$3</f>
        <v>0</v>
      </c>
      <c r="T233" s="126" t="n">
        <f aca="false">L233/$R$3</f>
        <v>0</v>
      </c>
      <c r="U233" s="126" t="n">
        <f aca="false">I233/$R$3</f>
        <v>0</v>
      </c>
      <c r="V233" s="126" t="n">
        <f aca="false">M233/$R$3</f>
        <v>0</v>
      </c>
      <c r="W233" s="126" t="n">
        <f aca="false">N233/$R$3</f>
        <v>0</v>
      </c>
    </row>
    <row r="234" customFormat="false" ht="12.75" hidden="true" customHeight="false" outlineLevel="0" collapsed="false">
      <c r="A234" s="120" t="n">
        <f aca="false">A233+1</f>
        <v>37120</v>
      </c>
      <c r="B234" s="131" t="str">
        <f aca="false">INDEX('Master Data'!$A$2:$B$8,MATCH(WEEKDAY('Arg Total Power'!A234,3),'Master Data'!$A$2:$A$8,0),2)</f>
        <v>F</v>
      </c>
      <c r="D234" s="124" t="n">
        <v>0</v>
      </c>
      <c r="E234" s="124" t="n">
        <v>409807.562034382</v>
      </c>
      <c r="F234" s="124" t="n">
        <v>0</v>
      </c>
      <c r="G234" s="124" t="n">
        <v>0</v>
      </c>
      <c r="I234" s="124" t="n">
        <f aca="false">IF(MONTH($A234)=MONTH($A233),IF(G234=0,I233,G234),G234)</f>
        <v>0</v>
      </c>
      <c r="J234" s="124" t="n">
        <f aca="false">IF(MONTH($A234)=MONTH($A233),SUM(I234-I233),I234)</f>
        <v>0</v>
      </c>
      <c r="K234" s="124" t="n">
        <f aca="false">IF(WEEKDAY(A234,3)&gt;4,0,(IF(A234&lt;K$2,0,IF(A234&lt;=K$3,1,0))))</f>
        <v>0</v>
      </c>
      <c r="L234" s="124" t="n">
        <f aca="false">J234*K234</f>
        <v>0</v>
      </c>
      <c r="M234" s="124" t="n">
        <f aca="false">SUM(J$97:J234)</f>
        <v>0</v>
      </c>
      <c r="N234" s="124" t="n">
        <f aca="false">SUM(J$6:J234)</f>
        <v>0</v>
      </c>
      <c r="P234" s="124" t="n">
        <f aca="false">D234/P$3</f>
        <v>0</v>
      </c>
      <c r="Q234" s="143" t="n">
        <f aca="false">E234/P$3</f>
        <v>0.409807562034382</v>
      </c>
      <c r="R234" s="124" t="n">
        <f aca="false">F234/R$3</f>
        <v>0</v>
      </c>
      <c r="S234" s="126" t="n">
        <f aca="false">J234/$R$3</f>
        <v>0</v>
      </c>
      <c r="T234" s="126" t="n">
        <f aca="false">L234/$R$3</f>
        <v>0</v>
      </c>
      <c r="U234" s="126" t="n">
        <f aca="false">I234/$R$3</f>
        <v>0</v>
      </c>
      <c r="V234" s="126" t="n">
        <f aca="false">M234/$R$3</f>
        <v>0</v>
      </c>
      <c r="W234" s="126" t="n">
        <f aca="false">N234/$R$3</f>
        <v>0</v>
      </c>
    </row>
    <row r="235" customFormat="false" ht="12.75" hidden="true" customHeight="false" outlineLevel="0" collapsed="false">
      <c r="A235" s="120" t="n">
        <f aca="false">A234+1</f>
        <v>37121</v>
      </c>
      <c r="B235" s="131" t="str">
        <f aca="false">INDEX('Master Data'!$A$2:$B$8,MATCH(WEEKDAY('Arg Total Power'!A235,3),'Master Data'!$A$2:$A$8,0),2)</f>
        <v>Sa</v>
      </c>
      <c r="D235" s="124" t="n">
        <v>0</v>
      </c>
      <c r="E235" s="124" t="n">
        <v>0</v>
      </c>
      <c r="F235" s="124" t="n">
        <v>0</v>
      </c>
      <c r="G235" s="124" t="n">
        <v>0</v>
      </c>
      <c r="I235" s="124" t="n">
        <f aca="false">IF(MONTH($A235)=MONTH($A234),IF(G235=0,I234,G235),G235)</f>
        <v>0</v>
      </c>
      <c r="J235" s="124" t="n">
        <f aca="false">IF(MONTH($A235)=MONTH($A234),SUM(I235-I234),I235)</f>
        <v>0</v>
      </c>
      <c r="K235" s="124" t="n">
        <f aca="false">IF(WEEKDAY(A235,3)&gt;4,0,(IF(A235&lt;K$2,0,IF(A235&lt;=K$3,1,0))))</f>
        <v>0</v>
      </c>
      <c r="L235" s="124" t="n">
        <f aca="false">J235*K235</f>
        <v>0</v>
      </c>
      <c r="M235" s="124" t="n">
        <f aca="false">SUM(J$97:J235)</f>
        <v>0</v>
      </c>
      <c r="N235" s="124" t="n">
        <f aca="false">SUM(J$6:J235)</f>
        <v>0</v>
      </c>
      <c r="P235" s="124" t="n">
        <f aca="false">D235/P$3</f>
        <v>0</v>
      </c>
      <c r="Q235" s="143" t="n">
        <f aca="false">E235/P$3</f>
        <v>0</v>
      </c>
      <c r="R235" s="124" t="n">
        <f aca="false">F235/R$3</f>
        <v>0</v>
      </c>
      <c r="S235" s="126" t="n">
        <f aca="false">J235/$R$3</f>
        <v>0</v>
      </c>
      <c r="T235" s="126" t="n">
        <f aca="false">L235/$R$3</f>
        <v>0</v>
      </c>
      <c r="U235" s="126" t="n">
        <f aca="false">I235/$R$3</f>
        <v>0</v>
      </c>
      <c r="V235" s="126" t="n">
        <f aca="false">M235/$R$3</f>
        <v>0</v>
      </c>
      <c r="W235" s="126" t="n">
        <f aca="false">N235/$R$3</f>
        <v>0</v>
      </c>
    </row>
    <row r="236" customFormat="false" ht="12.75" hidden="true" customHeight="false" outlineLevel="0" collapsed="false">
      <c r="A236" s="120" t="n">
        <f aca="false">A235+1</f>
        <v>37122</v>
      </c>
      <c r="B236" s="131" t="str">
        <f aca="false">INDEX('Master Data'!$A$2:$B$8,MATCH(WEEKDAY('Arg Total Power'!A236,3),'Master Data'!$A$2:$A$8,0),2)</f>
        <v>Su</v>
      </c>
      <c r="D236" s="124" t="n">
        <v>0</v>
      </c>
      <c r="E236" s="124" t="n">
        <v>0</v>
      </c>
      <c r="F236" s="124" t="n">
        <v>0</v>
      </c>
      <c r="G236" s="124" t="n">
        <v>0</v>
      </c>
      <c r="I236" s="124" t="n">
        <f aca="false">IF(MONTH($A236)=MONTH($A235),IF(G236=0,I235,G236),G236)</f>
        <v>0</v>
      </c>
      <c r="J236" s="124" t="n">
        <f aca="false">IF(MONTH($A236)=MONTH($A235),SUM(I236-I235),I236)</f>
        <v>0</v>
      </c>
      <c r="K236" s="124" t="n">
        <f aca="false">IF(WEEKDAY(A236,3)&gt;4,0,(IF(A236&lt;K$2,0,IF(A236&lt;=K$3,1,0))))</f>
        <v>0</v>
      </c>
      <c r="L236" s="124" t="n">
        <f aca="false">J236*K236</f>
        <v>0</v>
      </c>
      <c r="M236" s="124" t="n">
        <f aca="false">SUM(J$97:J236)</f>
        <v>0</v>
      </c>
      <c r="N236" s="124" t="n">
        <f aca="false">SUM(J$6:J236)</f>
        <v>0</v>
      </c>
      <c r="P236" s="124" t="n">
        <f aca="false">D236/P$3</f>
        <v>0</v>
      </c>
      <c r="Q236" s="143" t="n">
        <f aca="false">E236/P$3</f>
        <v>0</v>
      </c>
      <c r="R236" s="124" t="n">
        <f aca="false">F236/R$3</f>
        <v>0</v>
      </c>
      <c r="S236" s="126" t="n">
        <f aca="false">J236/$R$3</f>
        <v>0</v>
      </c>
      <c r="T236" s="126" t="n">
        <f aca="false">L236/$R$3</f>
        <v>0</v>
      </c>
      <c r="U236" s="126" t="n">
        <f aca="false">I236/$R$3</f>
        <v>0</v>
      </c>
      <c r="V236" s="126" t="n">
        <f aca="false">M236/$R$3</f>
        <v>0</v>
      </c>
      <c r="W236" s="126" t="n">
        <f aca="false">N236/$R$3</f>
        <v>0</v>
      </c>
    </row>
    <row r="237" customFormat="false" ht="12.75" hidden="true" customHeight="false" outlineLevel="0" collapsed="false">
      <c r="A237" s="120" t="n">
        <f aca="false">A236+1</f>
        <v>37123</v>
      </c>
      <c r="B237" s="131" t="str">
        <f aca="false">INDEX('Master Data'!$A$2:$B$8,MATCH(WEEKDAY('Arg Total Power'!A237,3),'Master Data'!$A$2:$A$8,0),2)</f>
        <v>M</v>
      </c>
      <c r="D237" s="124" t="n">
        <v>0</v>
      </c>
      <c r="E237" s="124" t="n">
        <v>410905.197271874</v>
      </c>
      <c r="F237" s="124" t="n">
        <v>0</v>
      </c>
      <c r="G237" s="124" t="n">
        <v>0</v>
      </c>
      <c r="I237" s="124" t="n">
        <f aca="false">IF(MONTH($A237)=MONTH($A236),IF(G237=0,I236,G237),G237)</f>
        <v>0</v>
      </c>
      <c r="J237" s="124" t="n">
        <f aca="false">IF(MONTH($A237)=MONTH($A236),SUM(I237-I236),I237)</f>
        <v>0</v>
      </c>
      <c r="K237" s="124" t="n">
        <f aca="false">IF(WEEKDAY(A237,3)&gt;4,0,(IF(A237&lt;K$2,0,IF(A237&lt;=K$3,1,0))))</f>
        <v>0</v>
      </c>
      <c r="L237" s="124" t="n">
        <f aca="false">J237*K237</f>
        <v>0</v>
      </c>
      <c r="M237" s="124" t="n">
        <f aca="false">SUM(J$97:J237)</f>
        <v>0</v>
      </c>
      <c r="N237" s="124" t="n">
        <f aca="false">SUM(J$6:J237)</f>
        <v>0</v>
      </c>
      <c r="P237" s="124" t="n">
        <f aca="false">D237/P$3</f>
        <v>0</v>
      </c>
      <c r="Q237" s="143" t="n">
        <f aca="false">E237/P$3</f>
        <v>0.410905197271873</v>
      </c>
      <c r="R237" s="124" t="n">
        <f aca="false">F237/R$3</f>
        <v>0</v>
      </c>
      <c r="S237" s="126" t="n">
        <f aca="false">J237/$R$3</f>
        <v>0</v>
      </c>
      <c r="T237" s="126" t="n">
        <f aca="false">L237/$R$3</f>
        <v>0</v>
      </c>
      <c r="U237" s="126" t="n">
        <f aca="false">I237/$R$3</f>
        <v>0</v>
      </c>
      <c r="V237" s="126" t="n">
        <f aca="false">M237/$R$3</f>
        <v>0</v>
      </c>
      <c r="W237" s="126" t="n">
        <f aca="false">N237/$R$3</f>
        <v>0</v>
      </c>
    </row>
    <row r="238" customFormat="false" ht="12.75" hidden="true" customHeight="false" outlineLevel="0" collapsed="false">
      <c r="A238" s="120" t="n">
        <f aca="false">A237+1</f>
        <v>37124</v>
      </c>
      <c r="B238" s="131" t="str">
        <f aca="false">INDEX('Master Data'!$A$2:$B$8,MATCH(WEEKDAY('Arg Total Power'!A238,3),'Master Data'!$A$2:$A$8,0),2)</f>
        <v>T</v>
      </c>
      <c r="D238" s="124" t="n">
        <v>0</v>
      </c>
      <c r="E238" s="124" t="n">
        <v>410183.584731679</v>
      </c>
      <c r="F238" s="124" t="n">
        <v>0</v>
      </c>
      <c r="G238" s="124" t="n">
        <v>0</v>
      </c>
      <c r="I238" s="124" t="n">
        <f aca="false">IF(MONTH($A238)=MONTH($A237),IF(G238=0,I237,G238),G238)</f>
        <v>0</v>
      </c>
      <c r="J238" s="124" t="n">
        <f aca="false">IF(MONTH($A238)=MONTH($A237),SUM(I238-I237),I238)</f>
        <v>0</v>
      </c>
      <c r="K238" s="124" t="n">
        <f aca="false">IF(WEEKDAY(A238,3)&gt;4,0,(IF(A238&lt;K$2,0,IF(A238&lt;=K$3,1,0))))</f>
        <v>0</v>
      </c>
      <c r="L238" s="124" t="n">
        <f aca="false">J238*K238</f>
        <v>0</v>
      </c>
      <c r="M238" s="124" t="n">
        <f aca="false">SUM(J$97:J238)</f>
        <v>0</v>
      </c>
      <c r="N238" s="124" t="n">
        <f aca="false">SUM(J$6:J238)</f>
        <v>0</v>
      </c>
      <c r="P238" s="124" t="n">
        <f aca="false">D238/P$3</f>
        <v>0</v>
      </c>
      <c r="Q238" s="143" t="n">
        <f aca="false">E238/P$3</f>
        <v>0.410183584731679</v>
      </c>
      <c r="R238" s="124" t="n">
        <f aca="false">F238/R$3</f>
        <v>0</v>
      </c>
      <c r="S238" s="126" t="n">
        <f aca="false">J238/$R$3</f>
        <v>0</v>
      </c>
      <c r="T238" s="126" t="n">
        <f aca="false">L238/$R$3</f>
        <v>0</v>
      </c>
      <c r="U238" s="126" t="n">
        <f aca="false">I238/$R$3</f>
        <v>0</v>
      </c>
      <c r="V238" s="126" t="n">
        <f aca="false">M238/$R$3</f>
        <v>0</v>
      </c>
      <c r="W238" s="126" t="n">
        <f aca="false">N238/$R$3</f>
        <v>0</v>
      </c>
    </row>
    <row r="239" customFormat="false" ht="12.75" hidden="true" customHeight="false" outlineLevel="0" collapsed="false">
      <c r="A239" s="120" t="n">
        <f aca="false">A238+1</f>
        <v>37125</v>
      </c>
      <c r="B239" s="131" t="str">
        <f aca="false">INDEX('Master Data'!$A$2:$B$8,MATCH(WEEKDAY('Arg Total Power'!A239,3),'Master Data'!$A$2:$A$8,0),2)</f>
        <v>W</v>
      </c>
      <c r="D239" s="124" t="n">
        <v>0</v>
      </c>
      <c r="E239" s="124" t="n">
        <v>410917.30559989</v>
      </c>
      <c r="F239" s="124" t="n">
        <v>0</v>
      </c>
      <c r="G239" s="124" t="n">
        <v>0</v>
      </c>
      <c r="I239" s="124" t="n">
        <f aca="false">IF(MONTH($A239)=MONTH($A238),IF(G239=0,I238,G239),G239)</f>
        <v>0</v>
      </c>
      <c r="J239" s="124" t="n">
        <f aca="false">IF(MONTH($A239)=MONTH($A238),SUM(I239-I238),I239)</f>
        <v>0</v>
      </c>
      <c r="K239" s="124" t="n">
        <f aca="false">IF(WEEKDAY(A239,3)&gt;4,0,(IF(A239&lt;K$2,0,IF(A239&lt;=K$3,1,0))))</f>
        <v>0</v>
      </c>
      <c r="L239" s="124" t="n">
        <f aca="false">J239*K239</f>
        <v>0</v>
      </c>
      <c r="M239" s="124" t="n">
        <f aca="false">SUM(J$97:J239)</f>
        <v>0</v>
      </c>
      <c r="N239" s="124" t="n">
        <f aca="false">SUM(J$6:J239)</f>
        <v>0</v>
      </c>
      <c r="P239" s="124" t="n">
        <f aca="false">D239/P$3</f>
        <v>0</v>
      </c>
      <c r="Q239" s="143" t="n">
        <f aca="false">E239/P$3</f>
        <v>0.41091730559989</v>
      </c>
      <c r="R239" s="124" t="n">
        <f aca="false">F239/R$3</f>
        <v>0</v>
      </c>
      <c r="S239" s="126" t="n">
        <f aca="false">J239/$R$3</f>
        <v>0</v>
      </c>
      <c r="T239" s="126" t="n">
        <f aca="false">L239/$R$3</f>
        <v>0</v>
      </c>
      <c r="U239" s="126" t="n">
        <f aca="false">I239/$R$3</f>
        <v>0</v>
      </c>
      <c r="V239" s="126" t="n">
        <f aca="false">M239/$R$3</f>
        <v>0</v>
      </c>
      <c r="W239" s="126" t="n">
        <f aca="false">N239/$R$3</f>
        <v>0</v>
      </c>
    </row>
    <row r="240" customFormat="false" ht="12.75" hidden="true" customHeight="false" outlineLevel="0" collapsed="false">
      <c r="A240" s="120" t="n">
        <f aca="false">A239+1</f>
        <v>37126</v>
      </c>
      <c r="B240" s="131" t="str">
        <f aca="false">INDEX('Master Data'!$A$2:$B$8,MATCH(WEEKDAY('Arg Total Power'!A240,3),'Master Data'!$A$2:$A$8,0),2)</f>
        <v>Th</v>
      </c>
      <c r="D240" s="124" t="n">
        <v>0</v>
      </c>
      <c r="E240" s="124" t="n">
        <v>410609.635888581</v>
      </c>
      <c r="F240" s="124" t="n">
        <v>0</v>
      </c>
      <c r="G240" s="124" t="n">
        <v>0</v>
      </c>
      <c r="I240" s="124" t="n">
        <f aca="false">IF(MONTH($A240)=MONTH($A239),IF(G240=0,I239,G240),G240)</f>
        <v>0</v>
      </c>
      <c r="J240" s="124" t="n">
        <f aca="false">IF(MONTH($A240)=MONTH($A239),SUM(I240-I239),I240)</f>
        <v>0</v>
      </c>
      <c r="K240" s="124" t="n">
        <f aca="false">IF(WEEKDAY(A240,3)&gt;4,0,(IF(A240&lt;K$2,0,IF(A240&lt;=K$3,1,0))))</f>
        <v>0</v>
      </c>
      <c r="L240" s="124" t="n">
        <f aca="false">J240*K240</f>
        <v>0</v>
      </c>
      <c r="M240" s="124" t="n">
        <f aca="false">SUM(J$97:J240)</f>
        <v>0</v>
      </c>
      <c r="N240" s="124" t="n">
        <f aca="false">SUM(J$6:J240)</f>
        <v>0</v>
      </c>
      <c r="P240" s="124" t="n">
        <f aca="false">D240/P$3</f>
        <v>0</v>
      </c>
      <c r="Q240" s="143" t="n">
        <f aca="false">E240/P$3</f>
        <v>0.410609635888581</v>
      </c>
      <c r="R240" s="124" t="n">
        <f aca="false">F240/R$3</f>
        <v>0</v>
      </c>
      <c r="S240" s="126" t="n">
        <f aca="false">J240/$R$3</f>
        <v>0</v>
      </c>
      <c r="T240" s="126" t="n">
        <f aca="false">L240/$R$3</f>
        <v>0</v>
      </c>
      <c r="U240" s="126" t="n">
        <f aca="false">I240/$R$3</f>
        <v>0</v>
      </c>
      <c r="V240" s="126" t="n">
        <f aca="false">M240/$R$3</f>
        <v>0</v>
      </c>
      <c r="W240" s="126" t="n">
        <f aca="false">N240/$R$3</f>
        <v>0</v>
      </c>
    </row>
    <row r="241" customFormat="false" ht="12.75" hidden="true" customHeight="false" outlineLevel="0" collapsed="false">
      <c r="A241" s="120" t="n">
        <f aca="false">A240+1</f>
        <v>37127</v>
      </c>
      <c r="B241" s="131" t="str">
        <f aca="false">INDEX('Master Data'!$A$2:$B$8,MATCH(WEEKDAY('Arg Total Power'!A241,3),'Master Data'!$A$2:$A$8,0),2)</f>
        <v>F</v>
      </c>
      <c r="D241" s="124" t="n">
        <v>0</v>
      </c>
      <c r="E241" s="124" t="n">
        <v>410708.498111288</v>
      </c>
      <c r="F241" s="124" t="n">
        <v>0</v>
      </c>
      <c r="G241" s="124" t="n">
        <v>0</v>
      </c>
      <c r="I241" s="124" t="n">
        <f aca="false">IF(MONTH($A241)=MONTH($A240),IF(G241=0,I240,G241),G241)</f>
        <v>0</v>
      </c>
      <c r="J241" s="124" t="n">
        <f aca="false">IF(MONTH($A241)=MONTH($A240),SUM(I241-I240),I241)</f>
        <v>0</v>
      </c>
      <c r="K241" s="124" t="n">
        <f aca="false">IF(WEEKDAY(A241,3)&gt;4,0,(IF(A241&lt;K$2,0,IF(A241&lt;=K$3,1,0))))</f>
        <v>0</v>
      </c>
      <c r="L241" s="124" t="n">
        <f aca="false">J241*K241</f>
        <v>0</v>
      </c>
      <c r="M241" s="124" t="n">
        <f aca="false">SUM(J$97:J241)</f>
        <v>0</v>
      </c>
      <c r="N241" s="124" t="n">
        <f aca="false">SUM(J$6:J241)</f>
        <v>0</v>
      </c>
      <c r="P241" s="124" t="n">
        <f aca="false">D241/P$3</f>
        <v>0</v>
      </c>
      <c r="Q241" s="143" t="n">
        <f aca="false">E241/P$3</f>
        <v>0.410708498111288</v>
      </c>
      <c r="R241" s="124" t="n">
        <f aca="false">F241/R$3</f>
        <v>0</v>
      </c>
      <c r="S241" s="126" t="n">
        <f aca="false">J241/$R$3</f>
        <v>0</v>
      </c>
      <c r="T241" s="126" t="n">
        <f aca="false">L241/$R$3</f>
        <v>0</v>
      </c>
      <c r="U241" s="126" t="n">
        <f aca="false">I241/$R$3</f>
        <v>0</v>
      </c>
      <c r="V241" s="126" t="n">
        <f aca="false">M241/$R$3</f>
        <v>0</v>
      </c>
      <c r="W241" s="126" t="n">
        <f aca="false">N241/$R$3</f>
        <v>0</v>
      </c>
    </row>
    <row r="242" customFormat="false" ht="12.75" hidden="true" customHeight="false" outlineLevel="0" collapsed="false">
      <c r="A242" s="120" t="n">
        <f aca="false">A241+1</f>
        <v>37128</v>
      </c>
      <c r="B242" s="131" t="str">
        <f aca="false">INDEX('Master Data'!$A$2:$B$8,MATCH(WEEKDAY('Arg Total Power'!A242,3),'Master Data'!$A$2:$A$8,0),2)</f>
        <v>Sa</v>
      </c>
      <c r="D242" s="124" t="n">
        <v>0</v>
      </c>
      <c r="E242" s="124" t="n">
        <v>0</v>
      </c>
      <c r="F242" s="124" t="n">
        <v>0</v>
      </c>
      <c r="G242" s="124" t="n">
        <v>0</v>
      </c>
      <c r="I242" s="124" t="n">
        <f aca="false">IF(MONTH($A242)=MONTH($A241),IF(G242=0,I241,G242),G242)</f>
        <v>0</v>
      </c>
      <c r="J242" s="124" t="n">
        <f aca="false">IF(MONTH($A242)=MONTH($A241),SUM(I242-I241),I242)</f>
        <v>0</v>
      </c>
      <c r="K242" s="124" t="n">
        <f aca="false">IF(WEEKDAY(A242,3)&gt;4,0,(IF(A242&lt;K$2,0,IF(A242&lt;=K$3,1,0))))</f>
        <v>0</v>
      </c>
      <c r="L242" s="124" t="n">
        <f aca="false">J242*K242</f>
        <v>0</v>
      </c>
      <c r="M242" s="124" t="n">
        <f aca="false">SUM(J$97:J242)</f>
        <v>0</v>
      </c>
      <c r="N242" s="124" t="n">
        <f aca="false">SUM(J$6:J242)</f>
        <v>0</v>
      </c>
      <c r="P242" s="124" t="n">
        <f aca="false">D242/P$3</f>
        <v>0</v>
      </c>
      <c r="Q242" s="143" t="n">
        <f aca="false">E242/P$3</f>
        <v>0</v>
      </c>
      <c r="R242" s="124" t="n">
        <f aca="false">F242/R$3</f>
        <v>0</v>
      </c>
      <c r="S242" s="126" t="n">
        <f aca="false">J242/$R$3</f>
        <v>0</v>
      </c>
      <c r="T242" s="126" t="n">
        <f aca="false">L242/$R$3</f>
        <v>0</v>
      </c>
      <c r="U242" s="126" t="n">
        <f aca="false">I242/$R$3</f>
        <v>0</v>
      </c>
      <c r="V242" s="126" t="n">
        <f aca="false">M242/$R$3</f>
        <v>0</v>
      </c>
      <c r="W242" s="126" t="n">
        <f aca="false">N242/$R$3</f>
        <v>0</v>
      </c>
    </row>
    <row r="243" customFormat="false" ht="12.75" hidden="true" customHeight="false" outlineLevel="0" collapsed="false">
      <c r="A243" s="120" t="n">
        <f aca="false">A242+1</f>
        <v>37129</v>
      </c>
      <c r="B243" s="131" t="str">
        <f aca="false">INDEX('Master Data'!$A$2:$B$8,MATCH(WEEKDAY('Arg Total Power'!A243,3),'Master Data'!$A$2:$A$8,0),2)</f>
        <v>Su</v>
      </c>
      <c r="D243" s="124" t="n">
        <v>0</v>
      </c>
      <c r="E243" s="124" t="n">
        <v>0</v>
      </c>
      <c r="F243" s="124" t="n">
        <v>0</v>
      </c>
      <c r="G243" s="124" t="n">
        <v>0</v>
      </c>
      <c r="I243" s="124" t="n">
        <f aca="false">IF(MONTH($A243)=MONTH($A242),IF(G243=0,I242,G243),G243)</f>
        <v>0</v>
      </c>
      <c r="J243" s="124" t="n">
        <f aca="false">IF(MONTH($A243)=MONTH($A242),SUM(I243-I242),I243)</f>
        <v>0</v>
      </c>
      <c r="K243" s="124" t="n">
        <f aca="false">IF(WEEKDAY(A243,3)&gt;4,0,(IF(A243&lt;K$2,0,IF(A243&lt;=K$3,1,0))))</f>
        <v>0</v>
      </c>
      <c r="L243" s="124" t="n">
        <f aca="false">J243*K243</f>
        <v>0</v>
      </c>
      <c r="M243" s="124" t="n">
        <f aca="false">SUM(J$97:J243)</f>
        <v>0</v>
      </c>
      <c r="N243" s="124" t="n">
        <f aca="false">SUM(J$6:J243)</f>
        <v>0</v>
      </c>
      <c r="P243" s="124" t="n">
        <f aca="false">D243/P$3</f>
        <v>0</v>
      </c>
      <c r="Q243" s="143" t="n">
        <f aca="false">E243/P$3</f>
        <v>0</v>
      </c>
      <c r="R243" s="124" t="n">
        <f aca="false">F243/R$3</f>
        <v>0</v>
      </c>
      <c r="S243" s="126" t="n">
        <f aca="false">J243/$R$3</f>
        <v>0</v>
      </c>
      <c r="T243" s="126" t="n">
        <f aca="false">L243/$R$3</f>
        <v>0</v>
      </c>
      <c r="U243" s="126" t="n">
        <f aca="false">I243/$R$3</f>
        <v>0</v>
      </c>
      <c r="V243" s="126" t="n">
        <f aca="false">M243/$R$3</f>
        <v>0</v>
      </c>
      <c r="W243" s="126" t="n">
        <f aca="false">N243/$R$3</f>
        <v>0</v>
      </c>
    </row>
    <row r="244" customFormat="false" ht="12.75" hidden="true" customHeight="false" outlineLevel="0" collapsed="false">
      <c r="A244" s="120" t="n">
        <f aca="false">A243+1</f>
        <v>37130</v>
      </c>
      <c r="B244" s="131" t="str">
        <f aca="false">INDEX('Master Data'!$A$2:$B$8,MATCH(WEEKDAY('Arg Total Power'!A244,3),'Master Data'!$A$2:$A$8,0),2)</f>
        <v>M</v>
      </c>
      <c r="D244" s="124" t="n">
        <v>0</v>
      </c>
      <c r="E244" s="124" t="n">
        <v>410364.812839361</v>
      </c>
      <c r="F244" s="124" t="n">
        <v>0</v>
      </c>
      <c r="G244" s="124" t="n">
        <v>0</v>
      </c>
      <c r="I244" s="124" t="n">
        <f aca="false">IF(MONTH($A244)=MONTH($A243),IF(G244=0,I243,G244),G244)</f>
        <v>0</v>
      </c>
      <c r="J244" s="124" t="n">
        <f aca="false">IF(MONTH($A244)=MONTH($A243),SUM(I244-I243),I244)</f>
        <v>0</v>
      </c>
      <c r="K244" s="124" t="n">
        <f aca="false">IF(WEEKDAY(A244,3)&gt;4,0,(IF(A244&lt;K$2,0,IF(A244&lt;=K$3,1,0))))</f>
        <v>0</v>
      </c>
      <c r="L244" s="124" t="n">
        <f aca="false">J244*K244</f>
        <v>0</v>
      </c>
      <c r="M244" s="124" t="n">
        <f aca="false">SUM(J$97:J244)</f>
        <v>0</v>
      </c>
      <c r="N244" s="124" t="n">
        <f aca="false">SUM(J$6:J244)</f>
        <v>0</v>
      </c>
      <c r="P244" s="124" t="n">
        <f aca="false">D244/P$3</f>
        <v>0</v>
      </c>
      <c r="Q244" s="143" t="n">
        <f aca="false">E244/P$3</f>
        <v>0.410364812839361</v>
      </c>
      <c r="R244" s="124" t="n">
        <f aca="false">F244/R$3</f>
        <v>0</v>
      </c>
      <c r="S244" s="126" t="n">
        <f aca="false">J244/$R$3</f>
        <v>0</v>
      </c>
      <c r="T244" s="126" t="n">
        <f aca="false">L244/$R$3</f>
        <v>0</v>
      </c>
      <c r="U244" s="126" t="n">
        <f aca="false">I244/$R$3</f>
        <v>0</v>
      </c>
      <c r="V244" s="126" t="n">
        <f aca="false">M244/$R$3</f>
        <v>0</v>
      </c>
      <c r="W244" s="126" t="n">
        <f aca="false">N244/$R$3</f>
        <v>0</v>
      </c>
    </row>
    <row r="245" customFormat="false" ht="12.75" hidden="true" customHeight="false" outlineLevel="0" collapsed="false">
      <c r="A245" s="120" t="n">
        <f aca="false">A244+1</f>
        <v>37131</v>
      </c>
      <c r="B245" s="131" t="str">
        <f aca="false">INDEX('Master Data'!$A$2:$B$8,MATCH(WEEKDAY('Arg Total Power'!A245,3),'Master Data'!$A$2:$A$8,0),2)</f>
        <v>T</v>
      </c>
      <c r="D245" s="124" t="n">
        <v>0</v>
      </c>
      <c r="E245" s="124" t="n">
        <v>410372.791066679</v>
      </c>
      <c r="F245" s="124" t="n">
        <v>0</v>
      </c>
      <c r="G245" s="124" t="n">
        <v>0</v>
      </c>
      <c r="I245" s="124" t="n">
        <f aca="false">IF(MONTH($A245)=MONTH($A244),IF(G245=0,I244,G245),G245)</f>
        <v>0</v>
      </c>
      <c r="J245" s="124" t="n">
        <f aca="false">IF(MONTH($A245)=MONTH($A244),SUM(I245-I244),I245)</f>
        <v>0</v>
      </c>
      <c r="K245" s="124" t="n">
        <f aca="false">IF(WEEKDAY(A245,3)&gt;4,0,(IF(A245&lt;K$2,0,IF(A245&lt;=K$3,1,0))))</f>
        <v>0</v>
      </c>
      <c r="L245" s="124" t="n">
        <f aca="false">J245*K245</f>
        <v>0</v>
      </c>
      <c r="M245" s="124" t="n">
        <f aca="false">SUM(J$97:J245)</f>
        <v>0</v>
      </c>
      <c r="N245" s="124" t="n">
        <f aca="false">SUM(J$6:J245)</f>
        <v>0</v>
      </c>
      <c r="P245" s="124" t="n">
        <f aca="false">D245/P$3</f>
        <v>0</v>
      </c>
      <c r="Q245" s="143" t="n">
        <f aca="false">E245/P$3</f>
        <v>0.410372791066679</v>
      </c>
      <c r="R245" s="124" t="n">
        <f aca="false">F245/R$3</f>
        <v>0</v>
      </c>
      <c r="S245" s="126" t="n">
        <f aca="false">J245/$R$3</f>
        <v>0</v>
      </c>
      <c r="T245" s="126" t="n">
        <f aca="false">L245/$R$3</f>
        <v>0</v>
      </c>
      <c r="U245" s="126" t="n">
        <f aca="false">I245/$R$3</f>
        <v>0</v>
      </c>
      <c r="V245" s="126" t="n">
        <f aca="false">M245/$R$3</f>
        <v>0</v>
      </c>
      <c r="W245" s="126" t="n">
        <f aca="false">N245/$R$3</f>
        <v>0</v>
      </c>
    </row>
    <row r="246" customFormat="false" ht="12.75" hidden="true" customHeight="false" outlineLevel="0" collapsed="false">
      <c r="A246" s="120" t="n">
        <f aca="false">A245+1</f>
        <v>37132</v>
      </c>
      <c r="B246" s="131" t="str">
        <f aca="false">INDEX('Master Data'!$A$2:$B$8,MATCH(WEEKDAY('Arg Total Power'!A246,3),'Master Data'!$A$2:$A$8,0),2)</f>
        <v>W</v>
      </c>
      <c r="D246" s="124" t="n">
        <v>0</v>
      </c>
      <c r="E246" s="124" t="n">
        <v>411665.670433135</v>
      </c>
      <c r="F246" s="124" t="n">
        <v>0</v>
      </c>
      <c r="G246" s="124" t="n">
        <v>0</v>
      </c>
      <c r="I246" s="124" t="n">
        <f aca="false">IF(MONTH($A246)=MONTH($A245),IF(G246=0,I245,G246),G246)</f>
        <v>0</v>
      </c>
      <c r="J246" s="124" t="n">
        <f aca="false">IF(MONTH($A246)=MONTH($A245),SUM(I246-I245),I246)</f>
        <v>0</v>
      </c>
      <c r="K246" s="124" t="n">
        <f aca="false">IF(WEEKDAY(A246,3)&gt;4,0,(IF(A246&lt;K$2,0,IF(A246&lt;=K$3,1,0))))</f>
        <v>0</v>
      </c>
      <c r="L246" s="124" t="n">
        <f aca="false">J246*K246</f>
        <v>0</v>
      </c>
      <c r="M246" s="124" t="n">
        <f aca="false">SUM(J$97:J246)</f>
        <v>0</v>
      </c>
      <c r="N246" s="124" t="n">
        <f aca="false">SUM(J$6:J246)</f>
        <v>0</v>
      </c>
      <c r="P246" s="124" t="n">
        <f aca="false">D246/P$3</f>
        <v>0</v>
      </c>
      <c r="Q246" s="143" t="n">
        <f aca="false">E246/P$3</f>
        <v>0.411665670433135</v>
      </c>
      <c r="R246" s="124" t="n">
        <f aca="false">F246/R$3</f>
        <v>0</v>
      </c>
      <c r="S246" s="126" t="n">
        <f aca="false">J246/$R$3</f>
        <v>0</v>
      </c>
      <c r="T246" s="126" t="n">
        <f aca="false">L246/$R$3</f>
        <v>0</v>
      </c>
      <c r="U246" s="126" t="n">
        <f aca="false">I246/$R$3</f>
        <v>0</v>
      </c>
      <c r="V246" s="126" t="n">
        <f aca="false">M246/$R$3</f>
        <v>0</v>
      </c>
      <c r="W246" s="126" t="n">
        <f aca="false">N246/$R$3</f>
        <v>0</v>
      </c>
    </row>
    <row r="247" customFormat="false" ht="12.75" hidden="true" customHeight="false" outlineLevel="0" collapsed="false">
      <c r="A247" s="120" t="n">
        <f aca="false">A246+1</f>
        <v>37133</v>
      </c>
      <c r="B247" s="131" t="str">
        <f aca="false">INDEX('Master Data'!$A$2:$B$8,MATCH(WEEKDAY('Arg Total Power'!A247,3),'Master Data'!$A$2:$A$8,0),2)</f>
        <v>Th</v>
      </c>
      <c r="D247" s="124" t="n">
        <v>0</v>
      </c>
      <c r="E247" s="124" t="n">
        <v>412236.153674817</v>
      </c>
      <c r="F247" s="124" t="n">
        <v>0</v>
      </c>
      <c r="G247" s="124" t="n">
        <v>0</v>
      </c>
      <c r="I247" s="124" t="n">
        <f aca="false">IF(MONTH($A247)=MONTH($A246),IF(G247=0,I246,G247),G247)</f>
        <v>0</v>
      </c>
      <c r="J247" s="124" t="n">
        <f aca="false">IF(MONTH($A247)=MONTH($A246),SUM(I247-I246),I247)</f>
        <v>0</v>
      </c>
      <c r="K247" s="124" t="n">
        <f aca="false">IF(WEEKDAY(A247,3)&gt;4,0,(IF(A247&lt;K$2,0,IF(A247&lt;=K$3,1,0))))</f>
        <v>0</v>
      </c>
      <c r="L247" s="124" t="n">
        <f aca="false">J247*K247</f>
        <v>0</v>
      </c>
      <c r="M247" s="124" t="n">
        <f aca="false">SUM(J$97:J247)</f>
        <v>0</v>
      </c>
      <c r="N247" s="124" t="n">
        <f aca="false">SUM(J$6:J247)</f>
        <v>0</v>
      </c>
      <c r="P247" s="124" t="n">
        <f aca="false">D247/P$3</f>
        <v>0</v>
      </c>
      <c r="Q247" s="143" t="n">
        <f aca="false">E247/P$3</f>
        <v>0.412236153674817</v>
      </c>
      <c r="R247" s="124" t="n">
        <f aca="false">F247/R$3</f>
        <v>0</v>
      </c>
      <c r="S247" s="126" t="n">
        <f aca="false">J247/$R$3</f>
        <v>0</v>
      </c>
      <c r="T247" s="126" t="n">
        <f aca="false">L247/$R$3</f>
        <v>0</v>
      </c>
      <c r="U247" s="126" t="n">
        <f aca="false">I247/$R$3</f>
        <v>0</v>
      </c>
      <c r="V247" s="126" t="n">
        <f aca="false">M247/$R$3</f>
        <v>0</v>
      </c>
      <c r="W247" s="126" t="n">
        <f aca="false">N247/$R$3</f>
        <v>0</v>
      </c>
    </row>
    <row r="248" customFormat="false" ht="12.75" hidden="false" customHeight="false" outlineLevel="0" collapsed="false">
      <c r="A248" s="120" t="n">
        <f aca="false">A247+1</f>
        <v>37134</v>
      </c>
      <c r="B248" s="131" t="str">
        <f aca="false">INDEX('Master Data'!$A$2:$B$8,MATCH(WEEKDAY('Arg Total Power'!A248,3),'Master Data'!$A$2:$A$8,0),2)</f>
        <v>F</v>
      </c>
      <c r="D248" s="124" t="n">
        <v>0</v>
      </c>
      <c r="E248" s="124" t="n">
        <v>412967.64458346</v>
      </c>
      <c r="F248" s="124" t="n">
        <v>0</v>
      </c>
      <c r="G248" s="124" t="n">
        <v>0</v>
      </c>
      <c r="I248" s="124" t="n">
        <f aca="false">IF(MONTH($A248)=MONTH($A247),IF(G248=0,I247,G248),G248)</f>
        <v>0</v>
      </c>
      <c r="J248" s="124" t="n">
        <f aca="false">IF(MONTH($A248)=MONTH($A247),SUM(I248-I247),I248)</f>
        <v>0</v>
      </c>
      <c r="K248" s="124" t="n">
        <f aca="false">IF(WEEKDAY(A248,3)&gt;4,0,(IF(A248&lt;K$2,0,IF(A248&lt;=K$3,1,0))))</f>
        <v>0</v>
      </c>
      <c r="L248" s="124" t="n">
        <f aca="false">J248*K248</f>
        <v>0</v>
      </c>
      <c r="M248" s="124" t="n">
        <f aca="false">SUM(J$97:J248)</f>
        <v>0</v>
      </c>
      <c r="N248" s="124" t="n">
        <f aca="false">SUM(J$6:J248)</f>
        <v>0</v>
      </c>
      <c r="P248" s="124" t="n">
        <f aca="false">D248/P$3</f>
        <v>0</v>
      </c>
      <c r="Q248" s="143" t="n">
        <f aca="false">E248/P$3</f>
        <v>0.41296764458346</v>
      </c>
      <c r="R248" s="124" t="n">
        <f aca="false">F248/R$3</f>
        <v>0</v>
      </c>
      <c r="S248" s="126" t="n">
        <f aca="false">J248/$R$3</f>
        <v>0</v>
      </c>
      <c r="T248" s="126" t="n">
        <f aca="false">L248/$R$3</f>
        <v>0</v>
      </c>
      <c r="U248" s="126" t="n">
        <f aca="false">I248/$R$3</f>
        <v>0</v>
      </c>
      <c r="V248" s="126" t="n">
        <f aca="false">M248/$R$3</f>
        <v>0</v>
      </c>
      <c r="W248" s="126" t="n">
        <f aca="false">N248/$R$3</f>
        <v>0</v>
      </c>
    </row>
    <row r="249" customFormat="false" ht="12.75" hidden="true" customHeight="false" outlineLevel="0" collapsed="false">
      <c r="A249" s="120" t="n">
        <f aca="false">A248+1</f>
        <v>37135</v>
      </c>
      <c r="B249" s="131" t="str">
        <f aca="false">INDEX('Master Data'!$A$2:$B$8,MATCH(WEEKDAY('Arg Total Power'!A249,3),'Master Data'!$A$2:$A$8,0),2)</f>
        <v>Sa</v>
      </c>
      <c r="D249" s="124" t="n">
        <v>0</v>
      </c>
      <c r="E249" s="124" t="n">
        <v>0</v>
      </c>
      <c r="F249" s="124" t="n">
        <v>0</v>
      </c>
      <c r="G249" s="124" t="n">
        <v>0</v>
      </c>
      <c r="I249" s="124" t="n">
        <f aca="false">IF(MONTH($A249)=MONTH($A248),IF(G249=0,I248,G249),G249)</f>
        <v>0</v>
      </c>
      <c r="J249" s="124" t="n">
        <f aca="false">IF(MONTH($A249)=MONTH($A248),SUM(I249-I248),I249)</f>
        <v>0</v>
      </c>
      <c r="K249" s="124" t="n">
        <f aca="false">IF(WEEKDAY(A249,3)&gt;4,0,(IF(A249&lt;K$2,0,IF(A249&lt;=K$3,1,0))))</f>
        <v>0</v>
      </c>
      <c r="L249" s="124" t="n">
        <f aca="false">J249*K249</f>
        <v>0</v>
      </c>
      <c r="M249" s="124" t="n">
        <f aca="false">SUM(J$97:J249)</f>
        <v>0</v>
      </c>
      <c r="N249" s="124" t="n">
        <f aca="false">SUM(J$6:J249)</f>
        <v>0</v>
      </c>
      <c r="P249" s="124" t="n">
        <f aca="false">D249/P$3</f>
        <v>0</v>
      </c>
      <c r="Q249" s="143" t="n">
        <f aca="false">E249/P$3</f>
        <v>0</v>
      </c>
      <c r="R249" s="124" t="n">
        <f aca="false">F249/R$3</f>
        <v>0</v>
      </c>
      <c r="S249" s="126" t="n">
        <f aca="false">J249/$R$3</f>
        <v>0</v>
      </c>
      <c r="T249" s="126" t="n">
        <f aca="false">L249/$R$3</f>
        <v>0</v>
      </c>
      <c r="U249" s="126" t="n">
        <f aca="false">I249/$R$3</f>
        <v>0</v>
      </c>
      <c r="V249" s="126" t="n">
        <f aca="false">M249/$R$3</f>
        <v>0</v>
      </c>
      <c r="W249" s="126" t="n">
        <f aca="false">N249/$R$3</f>
        <v>0</v>
      </c>
    </row>
    <row r="250" customFormat="false" ht="12.75" hidden="true" customHeight="false" outlineLevel="0" collapsed="false">
      <c r="A250" s="120" t="n">
        <f aca="false">A249+1</f>
        <v>37136</v>
      </c>
      <c r="B250" s="131" t="str">
        <f aca="false">INDEX('Master Data'!$A$2:$B$8,MATCH(WEEKDAY('Arg Total Power'!A250,3),'Master Data'!$A$2:$A$8,0),2)</f>
        <v>Su</v>
      </c>
      <c r="D250" s="124" t="n">
        <v>0</v>
      </c>
      <c r="E250" s="124" t="n">
        <v>0</v>
      </c>
      <c r="F250" s="124" t="n">
        <v>0</v>
      </c>
      <c r="G250" s="124" t="n">
        <v>0</v>
      </c>
      <c r="I250" s="124" t="n">
        <f aca="false">IF(MONTH($A250)=MONTH($A249),IF(G250=0,I249,G250),G250)</f>
        <v>0</v>
      </c>
      <c r="J250" s="124" t="n">
        <f aca="false">IF(MONTH($A250)=MONTH($A249),SUM(I250-I249),I250)</f>
        <v>0</v>
      </c>
      <c r="K250" s="124" t="n">
        <f aca="false">IF(WEEKDAY(A250,3)&gt;4,0,(IF(A250&lt;K$2,0,IF(A250&lt;=K$3,1,0))))</f>
        <v>0</v>
      </c>
      <c r="L250" s="124" t="n">
        <f aca="false">J250*K250</f>
        <v>0</v>
      </c>
      <c r="M250" s="124" t="n">
        <f aca="false">SUM(J$97:J250)</f>
        <v>0</v>
      </c>
      <c r="N250" s="124" t="n">
        <f aca="false">SUM(J$6:J250)</f>
        <v>0</v>
      </c>
      <c r="P250" s="124" t="n">
        <f aca="false">D250/P$3</f>
        <v>0</v>
      </c>
      <c r="Q250" s="143" t="n">
        <f aca="false">E250/P$3</f>
        <v>0</v>
      </c>
      <c r="R250" s="124" t="n">
        <f aca="false">F250/R$3</f>
        <v>0</v>
      </c>
      <c r="S250" s="126" t="n">
        <f aca="false">J250/$R$3</f>
        <v>0</v>
      </c>
      <c r="T250" s="126" t="n">
        <f aca="false">L250/$R$3</f>
        <v>0</v>
      </c>
      <c r="U250" s="126" t="n">
        <f aca="false">I250/$R$3</f>
        <v>0</v>
      </c>
      <c r="V250" s="126" t="n">
        <f aca="false">M250/$R$3</f>
        <v>0</v>
      </c>
      <c r="W250" s="126" t="n">
        <f aca="false">N250/$R$3</f>
        <v>0</v>
      </c>
    </row>
    <row r="251" customFormat="false" ht="12.75" hidden="true" customHeight="false" outlineLevel="0" collapsed="false">
      <c r="A251" s="120" t="n">
        <f aca="false">A250+1</f>
        <v>37137</v>
      </c>
      <c r="B251" s="131" t="str">
        <f aca="false">INDEX('Master Data'!$A$2:$B$8,MATCH(WEEKDAY('Arg Total Power'!A251,3),'Master Data'!$A$2:$A$8,0),2)</f>
        <v>M</v>
      </c>
      <c r="D251" s="124" t="n">
        <v>0</v>
      </c>
      <c r="E251" s="124" t="n">
        <v>0</v>
      </c>
      <c r="F251" s="124" t="n">
        <v>0</v>
      </c>
      <c r="G251" s="124" t="n">
        <v>0</v>
      </c>
      <c r="I251" s="124" t="n">
        <f aca="false">IF(MONTH($A251)=MONTH($A250),IF(G251=0,I250,G251),G251)</f>
        <v>0</v>
      </c>
      <c r="J251" s="124" t="n">
        <f aca="false">IF(MONTH($A251)=MONTH($A250),SUM(I251-I250),I251)</f>
        <v>0</v>
      </c>
      <c r="K251" s="124" t="n">
        <f aca="false">IF(WEEKDAY(A251,3)&gt;4,0,(IF(A251&lt;K$2,0,IF(A251&lt;=K$3,1,0))))</f>
        <v>0</v>
      </c>
      <c r="L251" s="124" t="n">
        <f aca="false">J251*K251</f>
        <v>0</v>
      </c>
      <c r="M251" s="124" t="n">
        <f aca="false">SUM(J$97:J251)</f>
        <v>0</v>
      </c>
      <c r="N251" s="124" t="n">
        <f aca="false">SUM(J$6:J251)</f>
        <v>0</v>
      </c>
      <c r="P251" s="124" t="n">
        <f aca="false">D251/P$3</f>
        <v>0</v>
      </c>
      <c r="Q251" s="143" t="n">
        <f aca="false">E251/P$3</f>
        <v>0</v>
      </c>
      <c r="R251" s="124" t="n">
        <f aca="false">F251/R$3</f>
        <v>0</v>
      </c>
      <c r="S251" s="126" t="n">
        <f aca="false">J251/$R$3</f>
        <v>0</v>
      </c>
      <c r="T251" s="126" t="n">
        <f aca="false">L251/$R$3</f>
        <v>0</v>
      </c>
      <c r="U251" s="126" t="n">
        <f aca="false">I251/$R$3</f>
        <v>0</v>
      </c>
      <c r="V251" s="126" t="n">
        <f aca="false">M251/$R$3</f>
        <v>0</v>
      </c>
      <c r="W251" s="126" t="n">
        <f aca="false">N251/$R$3</f>
        <v>0</v>
      </c>
    </row>
    <row r="252" customFormat="false" ht="12.75" hidden="true" customHeight="false" outlineLevel="0" collapsed="false">
      <c r="A252" s="120" t="n">
        <f aca="false">A251+1</f>
        <v>37138</v>
      </c>
      <c r="B252" s="131" t="str">
        <f aca="false">INDEX('Master Data'!$A$2:$B$8,MATCH(WEEKDAY('Arg Total Power'!A252,3),'Master Data'!$A$2:$A$8,0),2)</f>
        <v>T</v>
      </c>
      <c r="D252" s="124" t="n">
        <v>0</v>
      </c>
      <c r="E252" s="124" t="n">
        <v>412862.557211186</v>
      </c>
      <c r="F252" s="124" t="n">
        <v>0</v>
      </c>
      <c r="G252" s="124" t="n">
        <v>0</v>
      </c>
      <c r="I252" s="124" t="n">
        <f aca="false">IF(MONTH($A252)=MONTH($A251),IF(G252=0,I251,G252),G252)</f>
        <v>0</v>
      </c>
      <c r="J252" s="124" t="n">
        <f aca="false">IF(MONTH($A252)=MONTH($A251),SUM(I252-I251),I252)</f>
        <v>0</v>
      </c>
      <c r="K252" s="124" t="n">
        <f aca="false">IF(WEEKDAY(A252,3)&gt;4,0,(IF(A252&lt;K$2,0,IF(A252&lt;=K$3,1,0))))</f>
        <v>0</v>
      </c>
      <c r="L252" s="124" t="n">
        <f aca="false">J252*K252</f>
        <v>0</v>
      </c>
      <c r="M252" s="124" t="n">
        <f aca="false">SUM(J$97:J252)</f>
        <v>0</v>
      </c>
      <c r="N252" s="124" t="n">
        <f aca="false">SUM(J$6:J252)</f>
        <v>0</v>
      </c>
      <c r="P252" s="124" t="n">
        <f aca="false">D252/P$3</f>
        <v>0</v>
      </c>
      <c r="Q252" s="143" t="n">
        <f aca="false">E252/P$3</f>
        <v>0.412862557211186</v>
      </c>
      <c r="R252" s="124" t="n">
        <f aca="false">F252/R$3</f>
        <v>0</v>
      </c>
      <c r="S252" s="126" t="n">
        <f aca="false">J252/$R$3</f>
        <v>0</v>
      </c>
      <c r="T252" s="126" t="n">
        <f aca="false">L252/$R$3</f>
        <v>0</v>
      </c>
      <c r="U252" s="126" t="n">
        <f aca="false">I252/$R$3</f>
        <v>0</v>
      </c>
      <c r="V252" s="126" t="n">
        <f aca="false">M252/$R$3</f>
        <v>0</v>
      </c>
      <c r="W252" s="126" t="n">
        <f aca="false">N252/$R$3</f>
        <v>0</v>
      </c>
    </row>
    <row r="253" customFormat="false" ht="12.75" hidden="true" customHeight="false" outlineLevel="0" collapsed="false">
      <c r="A253" s="120" t="n">
        <f aca="false">A252+1</f>
        <v>37139</v>
      </c>
      <c r="B253" s="131" t="str">
        <f aca="false">INDEX('Master Data'!$A$2:$B$8,MATCH(WEEKDAY('Arg Total Power'!A253,3),'Master Data'!$A$2:$A$8,0),2)</f>
        <v>W</v>
      </c>
      <c r="D253" s="124" t="n">
        <v>0</v>
      </c>
      <c r="E253" s="124" t="n">
        <v>410165.458129517</v>
      </c>
      <c r="F253" s="124" t="n">
        <v>0</v>
      </c>
      <c r="G253" s="124" t="n">
        <v>0</v>
      </c>
      <c r="I253" s="124" t="n">
        <f aca="false">IF(MONTH($A253)=MONTH($A252),IF(G253=0,I252,G253),G253)</f>
        <v>0</v>
      </c>
      <c r="J253" s="124" t="n">
        <f aca="false">IF(MONTH($A253)=MONTH($A252),SUM(I253-I252),I253)</f>
        <v>0</v>
      </c>
      <c r="K253" s="124" t="n">
        <f aca="false">IF(WEEKDAY(A253,3)&gt;4,0,(IF(A253&lt;K$2,0,IF(A253&lt;=K$3,1,0))))</f>
        <v>0</v>
      </c>
      <c r="L253" s="124" t="n">
        <f aca="false">J253*K253</f>
        <v>0</v>
      </c>
      <c r="M253" s="124" t="n">
        <f aca="false">SUM(J$97:J253)</f>
        <v>0</v>
      </c>
      <c r="N253" s="124" t="n">
        <f aca="false">SUM(J$6:J253)</f>
        <v>0</v>
      </c>
      <c r="P253" s="124" t="n">
        <f aca="false">D253/P$3</f>
        <v>0</v>
      </c>
      <c r="Q253" s="143" t="n">
        <f aca="false">E253/P$3</f>
        <v>0.410165458129517</v>
      </c>
      <c r="R253" s="124" t="n">
        <f aca="false">F253/R$3</f>
        <v>0</v>
      </c>
      <c r="S253" s="126" t="n">
        <f aca="false">J253/$R$3</f>
        <v>0</v>
      </c>
      <c r="T253" s="126" t="n">
        <f aca="false">L253/$R$3</f>
        <v>0</v>
      </c>
      <c r="U253" s="126" t="n">
        <f aca="false">I253/$R$3</f>
        <v>0</v>
      </c>
      <c r="V253" s="126" t="n">
        <f aca="false">M253/$R$3</f>
        <v>0</v>
      </c>
      <c r="W253" s="126" t="n">
        <f aca="false">N253/$R$3</f>
        <v>0</v>
      </c>
    </row>
    <row r="254" customFormat="false" ht="12.75" hidden="true" customHeight="false" outlineLevel="0" collapsed="false">
      <c r="A254" s="120" t="n">
        <f aca="false">A253+1</f>
        <v>37140</v>
      </c>
      <c r="B254" s="131" t="str">
        <f aca="false">INDEX('Master Data'!$A$2:$B$8,MATCH(WEEKDAY('Arg Total Power'!A254,3),'Master Data'!$A$2:$A$8,0),2)</f>
        <v>Th</v>
      </c>
      <c r="D254" s="124" t="n">
        <v>0</v>
      </c>
      <c r="E254" s="124" t="n">
        <v>411042.040173962</v>
      </c>
      <c r="F254" s="124" t="n">
        <v>0</v>
      </c>
      <c r="G254" s="124" t="n">
        <v>0</v>
      </c>
      <c r="I254" s="124" t="n">
        <f aca="false">IF(MONTH($A254)=MONTH($A253),IF(G254=0,I253,G254),G254)</f>
        <v>0</v>
      </c>
      <c r="J254" s="124" t="n">
        <f aca="false">IF(MONTH($A254)=MONTH($A253),SUM(I254-I253),I254)</f>
        <v>0</v>
      </c>
      <c r="K254" s="124" t="n">
        <f aca="false">IF(WEEKDAY(A254,3)&gt;4,0,(IF(A254&lt;K$2,0,IF(A254&lt;=K$3,1,0))))</f>
        <v>0</v>
      </c>
      <c r="L254" s="124" t="n">
        <f aca="false">J254*K254</f>
        <v>0</v>
      </c>
      <c r="M254" s="124" t="n">
        <f aca="false">SUM(J$97:J254)</f>
        <v>0</v>
      </c>
      <c r="N254" s="124" t="n">
        <f aca="false">SUM(J$6:J254)</f>
        <v>0</v>
      </c>
      <c r="P254" s="124" t="n">
        <f aca="false">D254/P$3</f>
        <v>0</v>
      </c>
      <c r="Q254" s="143" t="n">
        <f aca="false">E254/P$3</f>
        <v>0.411042040173962</v>
      </c>
      <c r="R254" s="124" t="n">
        <f aca="false">F254/R$3</f>
        <v>0</v>
      </c>
      <c r="S254" s="126" t="n">
        <f aca="false">J254/$R$3</f>
        <v>0</v>
      </c>
      <c r="T254" s="126" t="n">
        <f aca="false">L254/$R$3</f>
        <v>0</v>
      </c>
      <c r="U254" s="126" t="n">
        <f aca="false">I254/$R$3</f>
        <v>0</v>
      </c>
      <c r="V254" s="126" t="n">
        <f aca="false">M254/$R$3</f>
        <v>0</v>
      </c>
      <c r="W254" s="126" t="n">
        <f aca="false">N254/$R$3</f>
        <v>0</v>
      </c>
    </row>
    <row r="255" customFormat="false" ht="12.75" hidden="true" customHeight="false" outlineLevel="0" collapsed="false">
      <c r="A255" s="120" t="n">
        <f aca="false">A254+1</f>
        <v>37141</v>
      </c>
      <c r="B255" s="131" t="str">
        <f aca="false">INDEX('Master Data'!$A$2:$B$8,MATCH(WEEKDAY('Arg Total Power'!A255,3),'Master Data'!$A$2:$A$8,0),2)</f>
        <v>F</v>
      </c>
      <c r="D255" s="124" t="n">
        <v>0</v>
      </c>
      <c r="E255" s="124" t="n">
        <v>412730.473941434</v>
      </c>
      <c r="F255" s="124" t="n">
        <v>0</v>
      </c>
      <c r="G255" s="124" t="n">
        <v>0</v>
      </c>
      <c r="I255" s="124" t="n">
        <f aca="false">IF(MONTH($A255)=MONTH($A254),IF(G255=0,I254,G255),G255)</f>
        <v>0</v>
      </c>
      <c r="J255" s="124" t="n">
        <f aca="false">IF(MONTH($A255)=MONTH($A254),SUM(I255-I254),I255)</f>
        <v>0</v>
      </c>
      <c r="K255" s="124" t="n">
        <f aca="false">IF(WEEKDAY(A255,3)&gt;4,0,(IF(A255&lt;K$2,0,IF(A255&lt;=K$3,1,0))))</f>
        <v>0</v>
      </c>
      <c r="L255" s="124" t="n">
        <f aca="false">J255*K255</f>
        <v>0</v>
      </c>
      <c r="M255" s="124" t="n">
        <f aca="false">SUM(J$97:J255)</f>
        <v>0</v>
      </c>
      <c r="N255" s="124" t="n">
        <f aca="false">SUM(J$6:J255)</f>
        <v>0</v>
      </c>
      <c r="P255" s="124" t="n">
        <f aca="false">D255/P$3</f>
        <v>0</v>
      </c>
      <c r="Q255" s="143" t="n">
        <f aca="false">E255/P$3</f>
        <v>0.412730473941434</v>
      </c>
      <c r="R255" s="124" t="n">
        <f aca="false">F255/R$3</f>
        <v>0</v>
      </c>
      <c r="S255" s="126" t="n">
        <f aca="false">J255/$R$3</f>
        <v>0</v>
      </c>
      <c r="T255" s="126" t="n">
        <f aca="false">L255/$R$3</f>
        <v>0</v>
      </c>
      <c r="U255" s="126" t="n">
        <f aca="false">I255/$R$3</f>
        <v>0</v>
      </c>
      <c r="V255" s="126" t="n">
        <f aca="false">M255/$R$3</f>
        <v>0</v>
      </c>
      <c r="W255" s="126" t="n">
        <f aca="false">N255/$R$3</f>
        <v>0</v>
      </c>
    </row>
    <row r="256" customFormat="false" ht="12.75" hidden="true" customHeight="false" outlineLevel="0" collapsed="false">
      <c r="A256" s="120" t="n">
        <f aca="false">A255+1</f>
        <v>37142</v>
      </c>
      <c r="B256" s="131" t="str">
        <f aca="false">INDEX('Master Data'!$A$2:$B$8,MATCH(WEEKDAY('Arg Total Power'!A256,3),'Master Data'!$A$2:$A$8,0),2)</f>
        <v>Sa</v>
      </c>
      <c r="D256" s="124" t="n">
        <v>0</v>
      </c>
      <c r="E256" s="124" t="n">
        <v>0</v>
      </c>
      <c r="F256" s="124" t="n">
        <v>0</v>
      </c>
      <c r="G256" s="124" t="n">
        <v>0</v>
      </c>
      <c r="I256" s="124" t="n">
        <f aca="false">IF(MONTH($A256)=MONTH($A255),IF(G256=0,I255,G256),G256)</f>
        <v>0</v>
      </c>
      <c r="J256" s="124" t="n">
        <f aca="false">IF(MONTH($A256)=MONTH($A255),SUM(I256-I255),I256)</f>
        <v>0</v>
      </c>
      <c r="K256" s="124" t="n">
        <f aca="false">IF(WEEKDAY(A256,3)&gt;4,0,(IF(A256&lt;K$2,0,IF(A256&lt;=K$3,1,0))))</f>
        <v>0</v>
      </c>
      <c r="L256" s="124" t="n">
        <f aca="false">J256*K256</f>
        <v>0</v>
      </c>
      <c r="M256" s="124" t="n">
        <f aca="false">SUM(J$97:J256)</f>
        <v>0</v>
      </c>
      <c r="N256" s="124" t="n">
        <f aca="false">SUM(J$6:J256)</f>
        <v>0</v>
      </c>
      <c r="P256" s="124" t="n">
        <f aca="false">D256/P$3</f>
        <v>0</v>
      </c>
      <c r="Q256" s="143" t="n">
        <f aca="false">E256/P$3</f>
        <v>0</v>
      </c>
      <c r="R256" s="124" t="n">
        <f aca="false">F256/R$3</f>
        <v>0</v>
      </c>
      <c r="S256" s="126" t="n">
        <f aca="false">J256/$R$3</f>
        <v>0</v>
      </c>
      <c r="T256" s="126" t="n">
        <f aca="false">L256/$R$3</f>
        <v>0</v>
      </c>
      <c r="U256" s="126" t="n">
        <f aca="false">I256/$R$3</f>
        <v>0</v>
      </c>
      <c r="V256" s="126" t="n">
        <f aca="false">M256/$R$3</f>
        <v>0</v>
      </c>
      <c r="W256" s="126" t="n">
        <f aca="false">N256/$R$3</f>
        <v>0</v>
      </c>
    </row>
    <row r="257" customFormat="false" ht="12.75" hidden="true" customHeight="false" outlineLevel="0" collapsed="false">
      <c r="A257" s="120" t="n">
        <f aca="false">A256+1</f>
        <v>37143</v>
      </c>
      <c r="B257" s="131" t="str">
        <f aca="false">INDEX('Master Data'!$A$2:$B$8,MATCH(WEEKDAY('Arg Total Power'!A257,3),'Master Data'!$A$2:$A$8,0),2)</f>
        <v>Su</v>
      </c>
      <c r="D257" s="124" t="n">
        <v>0</v>
      </c>
      <c r="E257" s="124" t="n">
        <v>0</v>
      </c>
      <c r="F257" s="124" t="n">
        <v>0</v>
      </c>
      <c r="G257" s="124" t="n">
        <v>0</v>
      </c>
      <c r="I257" s="124" t="n">
        <f aca="false">IF(MONTH($A257)=MONTH($A256),IF(G257=0,I256,G257),G257)</f>
        <v>0</v>
      </c>
      <c r="J257" s="124" t="n">
        <f aca="false">IF(MONTH($A257)=MONTH($A256),SUM(I257-I256),I257)</f>
        <v>0</v>
      </c>
      <c r="K257" s="124" t="n">
        <f aca="false">IF(WEEKDAY(A257,3)&gt;4,0,(IF(A257&lt;K$2,0,IF(A257&lt;=K$3,1,0))))</f>
        <v>0</v>
      </c>
      <c r="L257" s="124" t="n">
        <f aca="false">J257*K257</f>
        <v>0</v>
      </c>
      <c r="M257" s="124" t="n">
        <f aca="false">SUM(J$97:J257)</f>
        <v>0</v>
      </c>
      <c r="N257" s="124" t="n">
        <f aca="false">SUM(J$6:J257)</f>
        <v>0</v>
      </c>
      <c r="P257" s="124" t="n">
        <f aca="false">D257/P$3</f>
        <v>0</v>
      </c>
      <c r="Q257" s="143" t="n">
        <f aca="false">E257/P$3</f>
        <v>0</v>
      </c>
      <c r="R257" s="124" t="n">
        <f aca="false">F257/R$3</f>
        <v>0</v>
      </c>
      <c r="S257" s="126" t="n">
        <f aca="false">J257/$R$3</f>
        <v>0</v>
      </c>
      <c r="T257" s="126" t="n">
        <f aca="false">L257/$R$3</f>
        <v>0</v>
      </c>
      <c r="U257" s="126" t="n">
        <f aca="false">I257/$R$3</f>
        <v>0</v>
      </c>
      <c r="V257" s="126" t="n">
        <f aca="false">M257/$R$3</f>
        <v>0</v>
      </c>
      <c r="W257" s="126" t="n">
        <f aca="false">N257/$R$3</f>
        <v>0</v>
      </c>
    </row>
    <row r="258" customFormat="false" ht="12.75" hidden="true" customHeight="false" outlineLevel="0" collapsed="false">
      <c r="A258" s="120" t="n">
        <f aca="false">A257+1</f>
        <v>37144</v>
      </c>
      <c r="B258" s="131" t="str">
        <f aca="false">INDEX('Master Data'!$A$2:$B$8,MATCH(WEEKDAY('Arg Total Power'!A258,3),'Master Data'!$A$2:$A$8,0),2)</f>
        <v>M</v>
      </c>
      <c r="D258" s="124" t="n">
        <v>0</v>
      </c>
      <c r="E258" s="124" t="n">
        <v>414384.178384403</v>
      </c>
      <c r="F258" s="124" t="n">
        <v>0</v>
      </c>
      <c r="G258" s="124" t="n">
        <v>0</v>
      </c>
      <c r="I258" s="124" t="n">
        <f aca="false">IF(MONTH($A258)=MONTH($A257),IF(G258=0,I257,G258),G258)</f>
        <v>0</v>
      </c>
      <c r="J258" s="124" t="n">
        <f aca="false">IF(MONTH($A258)=MONTH($A257),SUM(I258-I257),I258)</f>
        <v>0</v>
      </c>
      <c r="K258" s="124" t="n">
        <f aca="false">IF(WEEKDAY(A258,3)&gt;4,0,(IF(A258&lt;K$2,0,IF(A258&lt;=K$3,1,0))))</f>
        <v>0</v>
      </c>
      <c r="L258" s="124" t="n">
        <f aca="false">J258*K258</f>
        <v>0</v>
      </c>
      <c r="M258" s="124" t="n">
        <f aca="false">SUM(J$97:J258)</f>
        <v>0</v>
      </c>
      <c r="N258" s="124" t="n">
        <f aca="false">SUM(J$6:J258)</f>
        <v>0</v>
      </c>
      <c r="P258" s="124" t="n">
        <f aca="false">D258/P$3</f>
        <v>0</v>
      </c>
      <c r="Q258" s="143" t="n">
        <f aca="false">E258/P$3</f>
        <v>0.414384178384403</v>
      </c>
      <c r="R258" s="124" t="n">
        <f aca="false">F258/R$3</f>
        <v>0</v>
      </c>
      <c r="S258" s="126" t="n">
        <f aca="false">J258/$R$3</f>
        <v>0</v>
      </c>
      <c r="T258" s="126" t="n">
        <f aca="false">L258/$R$3</f>
        <v>0</v>
      </c>
      <c r="U258" s="126" t="n">
        <f aca="false">I258/$R$3</f>
        <v>0</v>
      </c>
      <c r="V258" s="126" t="n">
        <f aca="false">M258/$R$3</f>
        <v>0</v>
      </c>
      <c r="W258" s="126" t="n">
        <f aca="false">N258/$R$3</f>
        <v>0</v>
      </c>
    </row>
    <row r="259" customFormat="false" ht="12.75" hidden="true" customHeight="false" outlineLevel="0" collapsed="false">
      <c r="A259" s="120" t="n">
        <f aca="false">A258+1</f>
        <v>37145</v>
      </c>
      <c r="B259" s="131" t="str">
        <f aca="false">INDEX('Master Data'!$A$2:$B$8,MATCH(WEEKDAY('Arg Total Power'!A259,3),'Master Data'!$A$2:$A$8,0),2)</f>
        <v>T</v>
      </c>
      <c r="D259" s="124" t="n">
        <v>0</v>
      </c>
      <c r="E259" s="124" t="n">
        <v>0</v>
      </c>
      <c r="F259" s="124" t="n">
        <v>0</v>
      </c>
      <c r="G259" s="124" t="n">
        <v>0</v>
      </c>
      <c r="I259" s="124" t="n">
        <f aca="false">IF(MONTH($A259)=MONTH($A258),IF(G259=0,I258,G259),G259)</f>
        <v>0</v>
      </c>
      <c r="J259" s="124" t="n">
        <f aca="false">IF(MONTH($A259)=MONTH($A258),SUM(I259-I258),I259)</f>
        <v>0</v>
      </c>
      <c r="K259" s="124" t="n">
        <f aca="false">IF(WEEKDAY(A259,3)&gt;4,0,(IF(A259&lt;K$2,0,IF(A259&lt;=K$3,1,0))))</f>
        <v>0</v>
      </c>
      <c r="L259" s="124" t="n">
        <f aca="false">J259*K259</f>
        <v>0</v>
      </c>
      <c r="M259" s="124" t="n">
        <f aca="false">SUM(J$97:J259)</f>
        <v>0</v>
      </c>
      <c r="N259" s="124" t="n">
        <f aca="false">SUM(J$6:J259)</f>
        <v>0</v>
      </c>
      <c r="P259" s="124" t="n">
        <f aca="false">D259/P$3</f>
        <v>0</v>
      </c>
      <c r="Q259" s="143" t="n">
        <f aca="false">E259/P$3</f>
        <v>0</v>
      </c>
      <c r="R259" s="124" t="n">
        <f aca="false">F259/R$3</f>
        <v>0</v>
      </c>
      <c r="S259" s="126" t="n">
        <f aca="false">J259/$R$3</f>
        <v>0</v>
      </c>
      <c r="T259" s="126" t="n">
        <f aca="false">L259/$R$3</f>
        <v>0</v>
      </c>
      <c r="U259" s="126" t="n">
        <f aca="false">I259/$R$3</f>
        <v>0</v>
      </c>
      <c r="V259" s="126" t="n">
        <f aca="false">M259/$R$3</f>
        <v>0</v>
      </c>
      <c r="W259" s="126" t="n">
        <f aca="false">N259/$R$3</f>
        <v>0</v>
      </c>
    </row>
    <row r="260" customFormat="false" ht="12.75" hidden="true" customHeight="false" outlineLevel="0" collapsed="false">
      <c r="A260" s="120" t="n">
        <f aca="false">A259+1</f>
        <v>37146</v>
      </c>
      <c r="B260" s="131" t="str">
        <f aca="false">INDEX('Master Data'!$A$2:$B$8,MATCH(WEEKDAY('Arg Total Power'!A260,3),'Master Data'!$A$2:$A$8,0),2)</f>
        <v>W</v>
      </c>
      <c r="D260" s="124" t="n">
        <v>0</v>
      </c>
      <c r="E260" s="124" t="n">
        <v>416242.3585516</v>
      </c>
      <c r="F260" s="124" t="n">
        <v>0</v>
      </c>
      <c r="G260" s="124" t="n">
        <v>0</v>
      </c>
      <c r="I260" s="124" t="n">
        <f aca="false">IF(MONTH($A260)=MONTH($A259),IF(G260=0,I259,G260),G260)</f>
        <v>0</v>
      </c>
      <c r="J260" s="124" t="n">
        <f aca="false">IF(MONTH($A260)=MONTH($A259),SUM(I260-I259),I260)</f>
        <v>0</v>
      </c>
      <c r="K260" s="124" t="n">
        <f aca="false">IF(WEEKDAY(A260,3)&gt;4,0,(IF(A260&lt;K$2,0,IF(A260&lt;=K$3,1,0))))</f>
        <v>0</v>
      </c>
      <c r="L260" s="124" t="n">
        <f aca="false">J260*K260</f>
        <v>0</v>
      </c>
      <c r="M260" s="124" t="n">
        <f aca="false">SUM(J$97:J260)</f>
        <v>0</v>
      </c>
      <c r="N260" s="124" t="n">
        <f aca="false">SUM(J$6:J260)</f>
        <v>0</v>
      </c>
      <c r="P260" s="124" t="n">
        <f aca="false">D260/P$3</f>
        <v>0</v>
      </c>
      <c r="Q260" s="143" t="n">
        <f aca="false">E260/P$3</f>
        <v>0.416242358551599</v>
      </c>
      <c r="R260" s="124" t="n">
        <f aca="false">F260/R$3</f>
        <v>0</v>
      </c>
      <c r="S260" s="126" t="n">
        <f aca="false">J260/$R$3</f>
        <v>0</v>
      </c>
      <c r="T260" s="126" t="n">
        <f aca="false">L260/$R$3</f>
        <v>0</v>
      </c>
      <c r="U260" s="126" t="n">
        <f aca="false">I260/$R$3</f>
        <v>0</v>
      </c>
      <c r="V260" s="126" t="n">
        <f aca="false">M260/$R$3</f>
        <v>0</v>
      </c>
      <c r="W260" s="126" t="n">
        <f aca="false">N260/$R$3</f>
        <v>0</v>
      </c>
    </row>
    <row r="261" customFormat="false" ht="12.75" hidden="true" customHeight="false" outlineLevel="0" collapsed="false">
      <c r="A261" s="120" t="n">
        <f aca="false">A260+1</f>
        <v>37147</v>
      </c>
      <c r="B261" s="131" t="str">
        <f aca="false">INDEX('Master Data'!$A$2:$B$8,MATCH(WEEKDAY('Arg Total Power'!A261,3),'Master Data'!$A$2:$A$8,0),2)</f>
        <v>Th</v>
      </c>
      <c r="D261" s="124" t="n">
        <v>0</v>
      </c>
      <c r="E261" s="124" t="n">
        <v>416286.921648669</v>
      </c>
      <c r="F261" s="124" t="n">
        <v>0</v>
      </c>
      <c r="G261" s="124" t="n">
        <v>0</v>
      </c>
      <c r="I261" s="124" t="n">
        <f aca="false">IF(MONTH($A261)=MONTH($A260),IF(G261=0,I260,G261),G261)</f>
        <v>0</v>
      </c>
      <c r="J261" s="124" t="n">
        <f aca="false">IF(MONTH($A261)=MONTH($A260),SUM(I261-I260),I261)</f>
        <v>0</v>
      </c>
      <c r="K261" s="124" t="n">
        <f aca="false">IF(WEEKDAY(A261,3)&gt;4,0,(IF(A261&lt;K$2,0,IF(A261&lt;=K$3,1,0))))</f>
        <v>0</v>
      </c>
      <c r="L261" s="124" t="n">
        <f aca="false">J261*K261</f>
        <v>0</v>
      </c>
      <c r="M261" s="124" t="n">
        <f aca="false">SUM(J$97:J261)</f>
        <v>0</v>
      </c>
      <c r="N261" s="124" t="n">
        <f aca="false">SUM(J$6:J261)</f>
        <v>0</v>
      </c>
      <c r="P261" s="124" t="n">
        <f aca="false">D261/P$3</f>
        <v>0</v>
      </c>
      <c r="Q261" s="143" t="n">
        <f aca="false">E261/P$3</f>
        <v>0.416286921648669</v>
      </c>
      <c r="R261" s="124" t="n">
        <f aca="false">F261/R$3</f>
        <v>0</v>
      </c>
      <c r="S261" s="126" t="n">
        <f aca="false">J261/$R$3</f>
        <v>0</v>
      </c>
      <c r="T261" s="126" t="n">
        <f aca="false">L261/$R$3</f>
        <v>0</v>
      </c>
      <c r="U261" s="126" t="n">
        <f aca="false">I261/$R$3</f>
        <v>0</v>
      </c>
      <c r="V261" s="126" t="n">
        <f aca="false">M261/$R$3</f>
        <v>0</v>
      </c>
      <c r="W261" s="126" t="n">
        <f aca="false">N261/$R$3</f>
        <v>0</v>
      </c>
    </row>
    <row r="262" customFormat="false" ht="12.75" hidden="true" customHeight="false" outlineLevel="0" collapsed="false">
      <c r="A262" s="120" t="n">
        <f aca="false">A261+1</f>
        <v>37148</v>
      </c>
      <c r="B262" s="131" t="str">
        <f aca="false">INDEX('Master Data'!$A$2:$B$8,MATCH(WEEKDAY('Arg Total Power'!A262,3),'Master Data'!$A$2:$A$8,0),2)</f>
        <v>F</v>
      </c>
      <c r="D262" s="124" t="n">
        <v>0</v>
      </c>
      <c r="E262" s="124" t="n">
        <v>418805.486390101</v>
      </c>
      <c r="F262" s="124" t="n">
        <v>0</v>
      </c>
      <c r="G262" s="124" t="n">
        <v>0</v>
      </c>
      <c r="I262" s="124" t="n">
        <f aca="false">IF(MONTH($A262)=MONTH($A261),IF(G262=0,I261,G262),G262)</f>
        <v>0</v>
      </c>
      <c r="J262" s="124" t="n">
        <f aca="false">IF(MONTH($A262)=MONTH($A261),SUM(I262-I261),I262)</f>
        <v>0</v>
      </c>
      <c r="K262" s="124" t="n">
        <f aca="false">IF(WEEKDAY(A262,3)&gt;4,0,(IF(A262&lt;K$2,0,IF(A262&lt;=K$3,1,0))))</f>
        <v>0</v>
      </c>
      <c r="L262" s="124" t="n">
        <f aca="false">J262*K262</f>
        <v>0</v>
      </c>
      <c r="M262" s="124" t="n">
        <f aca="false">SUM(J$97:J262)</f>
        <v>0</v>
      </c>
      <c r="N262" s="124" t="n">
        <f aca="false">SUM(J$6:J262)</f>
        <v>0</v>
      </c>
      <c r="P262" s="124" t="n">
        <f aca="false">D262/P$3</f>
        <v>0</v>
      </c>
      <c r="Q262" s="143" t="n">
        <f aca="false">E262/P$3</f>
        <v>0.418805486390101</v>
      </c>
      <c r="R262" s="124" t="n">
        <f aca="false">F262/R$3</f>
        <v>0</v>
      </c>
      <c r="S262" s="126" t="n">
        <f aca="false">J262/$R$3</f>
        <v>0</v>
      </c>
      <c r="T262" s="126" t="n">
        <f aca="false">L262/$R$3</f>
        <v>0</v>
      </c>
      <c r="U262" s="126" t="n">
        <f aca="false">I262/$R$3</f>
        <v>0</v>
      </c>
      <c r="V262" s="126" t="n">
        <f aca="false">M262/$R$3</f>
        <v>0</v>
      </c>
      <c r="W262" s="126" t="n">
        <f aca="false">N262/$R$3</f>
        <v>0</v>
      </c>
    </row>
    <row r="263" customFormat="false" ht="12.75" hidden="true" customHeight="false" outlineLevel="0" collapsed="false">
      <c r="A263" s="120" t="n">
        <f aca="false">A262+1</f>
        <v>37149</v>
      </c>
      <c r="B263" s="131" t="str">
        <f aca="false">INDEX('Master Data'!$A$2:$B$8,MATCH(WEEKDAY('Arg Total Power'!A263,3),'Master Data'!$A$2:$A$8,0),2)</f>
        <v>Sa</v>
      </c>
      <c r="D263" s="124" t="n">
        <v>0</v>
      </c>
      <c r="E263" s="124" t="n">
        <v>0</v>
      </c>
      <c r="F263" s="124" t="n">
        <v>0</v>
      </c>
      <c r="G263" s="124" t="n">
        <v>0</v>
      </c>
      <c r="I263" s="124" t="n">
        <f aca="false">IF(MONTH($A263)=MONTH($A262),IF(G263=0,I262,G263),G263)</f>
        <v>0</v>
      </c>
      <c r="J263" s="124" t="n">
        <f aca="false">IF(MONTH($A263)=MONTH($A262),SUM(I263-I262),I263)</f>
        <v>0</v>
      </c>
      <c r="K263" s="124" t="n">
        <f aca="false">IF(WEEKDAY(A263,3)&gt;4,0,(IF(A263&lt;K$2,0,IF(A263&lt;=K$3,1,0))))</f>
        <v>0</v>
      </c>
      <c r="L263" s="124" t="n">
        <f aca="false">J263*K263</f>
        <v>0</v>
      </c>
      <c r="M263" s="124" t="n">
        <f aca="false">SUM(J$97:J263)</f>
        <v>0</v>
      </c>
      <c r="N263" s="124" t="n">
        <f aca="false">SUM(J$6:J263)</f>
        <v>0</v>
      </c>
      <c r="P263" s="124" t="n">
        <f aca="false">D263/P$3</f>
        <v>0</v>
      </c>
      <c r="Q263" s="143" t="n">
        <f aca="false">E263/P$3</f>
        <v>0</v>
      </c>
      <c r="R263" s="124" t="n">
        <f aca="false">F263/R$3</f>
        <v>0</v>
      </c>
      <c r="S263" s="126" t="n">
        <f aca="false">J263/$R$3</f>
        <v>0</v>
      </c>
      <c r="T263" s="126" t="n">
        <f aca="false">L263/$R$3</f>
        <v>0</v>
      </c>
      <c r="U263" s="126" t="n">
        <f aca="false">I263/$R$3</f>
        <v>0</v>
      </c>
      <c r="V263" s="126" t="n">
        <f aca="false">M263/$R$3</f>
        <v>0</v>
      </c>
      <c r="W263" s="126" t="n">
        <f aca="false">N263/$R$3</f>
        <v>0</v>
      </c>
    </row>
    <row r="264" customFormat="false" ht="12.75" hidden="true" customHeight="false" outlineLevel="0" collapsed="false">
      <c r="A264" s="120" t="n">
        <f aca="false">A263+1</f>
        <v>37150</v>
      </c>
      <c r="B264" s="131" t="str">
        <f aca="false">INDEX('Master Data'!$A$2:$B$8,MATCH(WEEKDAY('Arg Total Power'!A264,3),'Master Data'!$A$2:$A$8,0),2)</f>
        <v>Su</v>
      </c>
      <c r="D264" s="124" t="n">
        <v>0</v>
      </c>
      <c r="E264" s="124" t="n">
        <v>0</v>
      </c>
      <c r="F264" s="124" t="n">
        <v>0</v>
      </c>
      <c r="G264" s="124" t="n">
        <v>0</v>
      </c>
      <c r="I264" s="124" t="n">
        <f aca="false">IF(MONTH($A264)=MONTH($A263),IF(G264=0,I263,G264),G264)</f>
        <v>0</v>
      </c>
      <c r="J264" s="124" t="n">
        <f aca="false">IF(MONTH($A264)=MONTH($A263),SUM(I264-I263),I264)</f>
        <v>0</v>
      </c>
      <c r="K264" s="124" t="n">
        <f aca="false">IF(WEEKDAY(A264,3)&gt;4,0,(IF(A264&lt;K$2,0,IF(A264&lt;=K$3,1,0))))</f>
        <v>0</v>
      </c>
      <c r="L264" s="124" t="n">
        <f aca="false">J264*K264</f>
        <v>0</v>
      </c>
      <c r="M264" s="124" t="n">
        <f aca="false">SUM(J$97:J264)</f>
        <v>0</v>
      </c>
      <c r="N264" s="124" t="n">
        <f aca="false">SUM(J$6:J264)</f>
        <v>0</v>
      </c>
      <c r="P264" s="124" t="n">
        <f aca="false">D264/P$3</f>
        <v>0</v>
      </c>
      <c r="Q264" s="143" t="n">
        <f aca="false">E264/P$3</f>
        <v>0</v>
      </c>
      <c r="R264" s="124" t="n">
        <f aca="false">F264/R$3</f>
        <v>0</v>
      </c>
      <c r="S264" s="126" t="n">
        <f aca="false">J264/$R$3</f>
        <v>0</v>
      </c>
      <c r="T264" s="126" t="n">
        <f aca="false">L264/$R$3</f>
        <v>0</v>
      </c>
      <c r="U264" s="126" t="n">
        <f aca="false">I264/$R$3</f>
        <v>0</v>
      </c>
      <c r="V264" s="126" t="n">
        <f aca="false">M264/$R$3</f>
        <v>0</v>
      </c>
      <c r="W264" s="126" t="n">
        <f aca="false">N264/$R$3</f>
        <v>0</v>
      </c>
    </row>
    <row r="265" customFormat="false" ht="12.75" hidden="true" customHeight="false" outlineLevel="0" collapsed="false">
      <c r="A265" s="120" t="n">
        <f aca="false">A264+1</f>
        <v>37151</v>
      </c>
      <c r="B265" s="131" t="str">
        <f aca="false">INDEX('Master Data'!$A$2:$B$8,MATCH(WEEKDAY('Arg Total Power'!A265,3),'Master Data'!$A$2:$A$8,0),2)</f>
        <v>M</v>
      </c>
      <c r="D265" s="124" t="n">
        <v>0</v>
      </c>
      <c r="E265" s="124" t="n">
        <v>420164.153153669</v>
      </c>
      <c r="F265" s="124" t="n">
        <v>0</v>
      </c>
      <c r="G265" s="124" t="n">
        <v>0</v>
      </c>
      <c r="I265" s="124" t="n">
        <f aca="false">IF(MONTH($A265)=MONTH($A264),IF(G265=0,I264,G265),G265)</f>
        <v>0</v>
      </c>
      <c r="J265" s="124" t="n">
        <f aca="false">IF(MONTH($A265)=MONTH($A264),SUM(I265-I264),I265)</f>
        <v>0</v>
      </c>
      <c r="K265" s="124" t="n">
        <f aca="false">IF(WEEKDAY(A265,3)&gt;4,0,(IF(A265&lt;K$2,0,IF(A265&lt;=K$3,1,0))))</f>
        <v>0</v>
      </c>
      <c r="L265" s="124" t="n">
        <f aca="false">J265*K265</f>
        <v>0</v>
      </c>
      <c r="M265" s="124" t="n">
        <f aca="false">SUM(J$97:J265)</f>
        <v>0</v>
      </c>
      <c r="N265" s="124" t="n">
        <f aca="false">SUM(J$6:J265)</f>
        <v>0</v>
      </c>
      <c r="P265" s="124" t="n">
        <f aca="false">D265/P$3</f>
        <v>0</v>
      </c>
      <c r="Q265" s="143" t="n">
        <f aca="false">E265/P$3</f>
        <v>0.420164153153669</v>
      </c>
      <c r="R265" s="124" t="n">
        <f aca="false">F265/R$3</f>
        <v>0</v>
      </c>
      <c r="S265" s="126" t="n">
        <f aca="false">J265/$R$3</f>
        <v>0</v>
      </c>
      <c r="T265" s="126" t="n">
        <f aca="false">L265/$R$3</f>
        <v>0</v>
      </c>
      <c r="U265" s="126" t="n">
        <f aca="false">I265/$R$3</f>
        <v>0</v>
      </c>
      <c r="V265" s="126" t="n">
        <f aca="false">M265/$R$3</f>
        <v>0</v>
      </c>
      <c r="W265" s="126" t="n">
        <f aca="false">N265/$R$3</f>
        <v>0</v>
      </c>
    </row>
    <row r="266" customFormat="false" ht="12.75" hidden="true" customHeight="false" outlineLevel="0" collapsed="false">
      <c r="A266" s="120" t="n">
        <f aca="false">A265+1</f>
        <v>37152</v>
      </c>
      <c r="B266" s="131" t="str">
        <f aca="false">INDEX('Master Data'!$A$2:$B$8,MATCH(WEEKDAY('Arg Total Power'!A266,3),'Master Data'!$A$2:$A$8,0),2)</f>
        <v>T</v>
      </c>
      <c r="D266" s="124" t="n">
        <v>0</v>
      </c>
      <c r="E266" s="124" t="n">
        <v>420117.305047623</v>
      </c>
      <c r="F266" s="124" t="n">
        <v>0</v>
      </c>
      <c r="G266" s="124" t="n">
        <v>0</v>
      </c>
      <c r="I266" s="124" t="n">
        <f aca="false">IF(MONTH($A266)=MONTH($A265),IF(G266=0,I265,G266),G266)</f>
        <v>0</v>
      </c>
      <c r="J266" s="124" t="n">
        <f aca="false">IF(MONTH($A266)=MONTH($A265),SUM(I266-I265),I266)</f>
        <v>0</v>
      </c>
      <c r="K266" s="124" t="n">
        <f aca="false">IF(WEEKDAY(A266,3)&gt;4,0,(IF(A266&lt;K$2,0,IF(A266&lt;=K$3,1,0))))</f>
        <v>0</v>
      </c>
      <c r="L266" s="124" t="n">
        <f aca="false">J266*K266</f>
        <v>0</v>
      </c>
      <c r="M266" s="124" t="n">
        <f aca="false">SUM(J$97:J266)</f>
        <v>0</v>
      </c>
      <c r="N266" s="124" t="n">
        <f aca="false">SUM(J$6:J266)</f>
        <v>0</v>
      </c>
      <c r="P266" s="124" t="n">
        <f aca="false">D266/P$3</f>
        <v>0</v>
      </c>
      <c r="Q266" s="143" t="n">
        <f aca="false">E266/P$3</f>
        <v>0.420117305047622</v>
      </c>
      <c r="R266" s="124" t="n">
        <f aca="false">F266/R$3</f>
        <v>0</v>
      </c>
      <c r="S266" s="126" t="n">
        <f aca="false">J266/$R$3</f>
        <v>0</v>
      </c>
      <c r="T266" s="126" t="n">
        <f aca="false">L266/$R$3</f>
        <v>0</v>
      </c>
      <c r="U266" s="126" t="n">
        <f aca="false">I266/$R$3</f>
        <v>0</v>
      </c>
      <c r="V266" s="126" t="n">
        <f aca="false">M266/$R$3</f>
        <v>0</v>
      </c>
      <c r="W266" s="126" t="n">
        <f aca="false">N266/$R$3</f>
        <v>0</v>
      </c>
    </row>
    <row r="267" customFormat="false" ht="12.75" hidden="true" customHeight="false" outlineLevel="0" collapsed="false">
      <c r="A267" s="120" t="n">
        <f aca="false">A266+1</f>
        <v>37153</v>
      </c>
      <c r="B267" s="131" t="str">
        <f aca="false">INDEX('Master Data'!$A$2:$B$8,MATCH(WEEKDAY('Arg Total Power'!A267,3),'Master Data'!$A$2:$A$8,0),2)</f>
        <v>W</v>
      </c>
      <c r="D267" s="124" t="n">
        <v>0</v>
      </c>
      <c r="E267" s="124" t="n">
        <v>419835.047201058</v>
      </c>
      <c r="F267" s="124" t="n">
        <v>0</v>
      </c>
      <c r="G267" s="124" t="n">
        <v>0</v>
      </c>
      <c r="I267" s="124" t="n">
        <f aca="false">IF(MONTH($A267)=MONTH($A266),IF(G267=0,I266,G267),G267)</f>
        <v>0</v>
      </c>
      <c r="J267" s="124" t="n">
        <f aca="false">IF(MONTH($A267)=MONTH($A266),SUM(I267-I266),I267)</f>
        <v>0</v>
      </c>
      <c r="K267" s="124" t="n">
        <f aca="false">IF(WEEKDAY(A267,3)&gt;4,0,(IF(A267&lt;K$2,0,IF(A267&lt;=K$3,1,0))))</f>
        <v>0</v>
      </c>
      <c r="L267" s="124" t="n">
        <f aca="false">J267*K267</f>
        <v>0</v>
      </c>
      <c r="M267" s="124" t="n">
        <f aca="false">SUM(J$97:J267)</f>
        <v>0</v>
      </c>
      <c r="N267" s="124" t="n">
        <f aca="false">SUM(J$6:J267)</f>
        <v>0</v>
      </c>
      <c r="P267" s="124" t="n">
        <f aca="false">D267/P$3</f>
        <v>0</v>
      </c>
      <c r="Q267" s="143" t="n">
        <f aca="false">E267/P$3</f>
        <v>0.419835047201057</v>
      </c>
      <c r="R267" s="124" t="n">
        <f aca="false">F267/R$3</f>
        <v>0</v>
      </c>
      <c r="S267" s="126" t="n">
        <f aca="false">J267/$R$3</f>
        <v>0</v>
      </c>
      <c r="T267" s="126" t="n">
        <f aca="false">L267/$R$3</f>
        <v>0</v>
      </c>
      <c r="U267" s="126" t="n">
        <f aca="false">I267/$R$3</f>
        <v>0</v>
      </c>
      <c r="V267" s="126" t="n">
        <f aca="false">M267/$R$3</f>
        <v>0</v>
      </c>
      <c r="W267" s="126" t="n">
        <f aca="false">N267/$R$3</f>
        <v>0</v>
      </c>
    </row>
    <row r="268" customFormat="false" ht="12.75" hidden="true" customHeight="false" outlineLevel="0" collapsed="false">
      <c r="A268" s="120" t="n">
        <f aca="false">A267+1</f>
        <v>37154</v>
      </c>
      <c r="B268" s="131" t="str">
        <f aca="false">INDEX('Master Data'!$A$2:$B$8,MATCH(WEEKDAY('Arg Total Power'!A268,3),'Master Data'!$A$2:$A$8,0),2)</f>
        <v>Th</v>
      </c>
      <c r="D268" s="124" t="n">
        <v>0</v>
      </c>
      <c r="E268" s="124" t="n">
        <v>421338.66906566</v>
      </c>
      <c r="F268" s="124" t="n">
        <v>0</v>
      </c>
      <c r="G268" s="124" t="n">
        <v>0</v>
      </c>
      <c r="I268" s="124" t="n">
        <f aca="false">IF(MONTH($A268)=MONTH($A267),IF(G268=0,I267,G268),G268)</f>
        <v>0</v>
      </c>
      <c r="J268" s="124" t="n">
        <f aca="false">IF(MONTH($A268)=MONTH($A267),SUM(I268-I267),I268)</f>
        <v>0</v>
      </c>
      <c r="K268" s="124" t="n">
        <f aca="false">IF(WEEKDAY(A268,3)&gt;4,0,(IF(A268&lt;K$2,0,IF(A268&lt;=K$3,1,0))))</f>
        <v>0</v>
      </c>
      <c r="L268" s="124" t="n">
        <f aca="false">J268*K268</f>
        <v>0</v>
      </c>
      <c r="M268" s="124" t="n">
        <f aca="false">SUM(J$97:J268)</f>
        <v>0</v>
      </c>
      <c r="N268" s="124" t="n">
        <f aca="false">SUM(J$6:J268)</f>
        <v>0</v>
      </c>
      <c r="P268" s="124" t="n">
        <f aca="false">D268/P$3</f>
        <v>0</v>
      </c>
      <c r="Q268" s="143" t="n">
        <f aca="false">E268/P$3</f>
        <v>0.42133866906566</v>
      </c>
      <c r="R268" s="124" t="n">
        <f aca="false">F268/R$3</f>
        <v>0</v>
      </c>
      <c r="S268" s="126" t="n">
        <f aca="false">J268/$R$3</f>
        <v>0</v>
      </c>
      <c r="T268" s="126" t="n">
        <f aca="false">L268/$R$3</f>
        <v>0</v>
      </c>
      <c r="U268" s="126" t="n">
        <f aca="false">I268/$R$3</f>
        <v>0</v>
      </c>
      <c r="V268" s="126" t="n">
        <f aca="false">M268/$R$3</f>
        <v>0</v>
      </c>
      <c r="W268" s="126" t="n">
        <f aca="false">N268/$R$3</f>
        <v>0</v>
      </c>
    </row>
    <row r="269" customFormat="false" ht="12.75" hidden="true" customHeight="false" outlineLevel="0" collapsed="false">
      <c r="A269" s="120" t="n">
        <f aca="false">A268+1</f>
        <v>37155</v>
      </c>
      <c r="B269" s="131" t="str">
        <f aca="false">INDEX('Master Data'!$A$2:$B$8,MATCH(WEEKDAY('Arg Total Power'!A269,3),'Master Data'!$A$2:$A$8,0),2)</f>
        <v>F</v>
      </c>
      <c r="D269" s="124" t="n">
        <v>0</v>
      </c>
      <c r="E269" s="124" t="n">
        <v>422011.818350934</v>
      </c>
      <c r="F269" s="124" t="n">
        <v>0</v>
      </c>
      <c r="G269" s="124" t="n">
        <v>0</v>
      </c>
      <c r="I269" s="124" t="n">
        <f aca="false">IF(MONTH($A269)=MONTH($A268),IF(G269=0,I268,G269),G269)</f>
        <v>0</v>
      </c>
      <c r="J269" s="124" t="n">
        <f aca="false">IF(MONTH($A269)=MONTH($A268),SUM(I269-I268),I269)</f>
        <v>0</v>
      </c>
      <c r="K269" s="124" t="n">
        <f aca="false">IF(WEEKDAY(A269,3)&gt;4,0,(IF(A269&lt;K$2,0,IF(A269&lt;=K$3,1,0))))</f>
        <v>0</v>
      </c>
      <c r="L269" s="124" t="n">
        <f aca="false">J269*K269</f>
        <v>0</v>
      </c>
      <c r="M269" s="124" t="n">
        <f aca="false">SUM(J$97:J269)</f>
        <v>0</v>
      </c>
      <c r="N269" s="124" t="n">
        <f aca="false">SUM(J$6:J269)</f>
        <v>0</v>
      </c>
      <c r="P269" s="124" t="n">
        <f aca="false">D269/P$3</f>
        <v>0</v>
      </c>
      <c r="Q269" s="143" t="n">
        <f aca="false">E269/P$3</f>
        <v>0.422011818350934</v>
      </c>
      <c r="R269" s="124" t="n">
        <f aca="false">F269/R$3</f>
        <v>0</v>
      </c>
      <c r="S269" s="126" t="n">
        <f aca="false">J269/$R$3</f>
        <v>0</v>
      </c>
      <c r="T269" s="126" t="n">
        <f aca="false">L269/$R$3</f>
        <v>0</v>
      </c>
      <c r="U269" s="126" t="n">
        <f aca="false">I269/$R$3</f>
        <v>0</v>
      </c>
      <c r="V269" s="126" t="n">
        <f aca="false">M269/$R$3</f>
        <v>0</v>
      </c>
      <c r="W269" s="126" t="n">
        <f aca="false">N269/$R$3</f>
        <v>0</v>
      </c>
    </row>
    <row r="270" customFormat="false" ht="12.75" hidden="true" customHeight="false" outlineLevel="0" collapsed="false">
      <c r="A270" s="120" t="n">
        <f aca="false">A269+1</f>
        <v>37156</v>
      </c>
      <c r="B270" s="131" t="str">
        <f aca="false">INDEX('Master Data'!$A$2:$B$8,MATCH(WEEKDAY('Arg Total Power'!A270,3),'Master Data'!$A$2:$A$8,0),2)</f>
        <v>Sa</v>
      </c>
      <c r="D270" s="124" t="n">
        <v>0</v>
      </c>
      <c r="E270" s="124" t="n">
        <v>0</v>
      </c>
      <c r="F270" s="124" t="n">
        <v>0</v>
      </c>
      <c r="G270" s="124" t="n">
        <v>0</v>
      </c>
      <c r="I270" s="124" t="n">
        <f aca="false">IF(MONTH($A270)=MONTH($A269),IF(G270=0,I269,G270),G270)</f>
        <v>0</v>
      </c>
      <c r="J270" s="124" t="n">
        <f aca="false">IF(MONTH($A270)=MONTH($A269),SUM(I270-I269),I270)</f>
        <v>0</v>
      </c>
      <c r="K270" s="124" t="n">
        <f aca="false">IF(WEEKDAY(A270,3)&gt;4,0,(IF(A270&lt;K$2,0,IF(A270&lt;=K$3,1,0))))</f>
        <v>0</v>
      </c>
      <c r="L270" s="124" t="n">
        <f aca="false">J270*K270</f>
        <v>0</v>
      </c>
      <c r="M270" s="124" t="n">
        <f aca="false">SUM(J$97:J270)</f>
        <v>0</v>
      </c>
      <c r="N270" s="124" t="n">
        <f aca="false">SUM(J$6:J270)</f>
        <v>0</v>
      </c>
      <c r="P270" s="124" t="n">
        <f aca="false">D270/P$3</f>
        <v>0</v>
      </c>
      <c r="Q270" s="143" t="n">
        <f aca="false">E270/P$3</f>
        <v>0</v>
      </c>
      <c r="R270" s="124" t="n">
        <f aca="false">F270/R$3</f>
        <v>0</v>
      </c>
      <c r="S270" s="126" t="n">
        <f aca="false">J270/$R$3</f>
        <v>0</v>
      </c>
      <c r="T270" s="126" t="n">
        <f aca="false">L270/$R$3</f>
        <v>0</v>
      </c>
      <c r="U270" s="126" t="n">
        <f aca="false">I270/$R$3</f>
        <v>0</v>
      </c>
      <c r="V270" s="126" t="n">
        <f aca="false">M270/$R$3</f>
        <v>0</v>
      </c>
      <c r="W270" s="126" t="n">
        <f aca="false">N270/$R$3</f>
        <v>0</v>
      </c>
    </row>
    <row r="271" customFormat="false" ht="12.75" hidden="true" customHeight="false" outlineLevel="0" collapsed="false">
      <c r="A271" s="120" t="n">
        <f aca="false">A270+1</f>
        <v>37157</v>
      </c>
      <c r="B271" s="131" t="str">
        <f aca="false">INDEX('Master Data'!$A$2:$B$8,MATCH(WEEKDAY('Arg Total Power'!A271,3),'Master Data'!$A$2:$A$8,0),2)</f>
        <v>Su</v>
      </c>
      <c r="D271" s="124" t="n">
        <v>0</v>
      </c>
      <c r="E271" s="124" t="n">
        <v>0</v>
      </c>
      <c r="F271" s="124" t="n">
        <v>0</v>
      </c>
      <c r="G271" s="124" t="n">
        <v>0</v>
      </c>
      <c r="I271" s="124" t="n">
        <f aca="false">IF(MONTH($A271)=MONTH($A270),IF(G271=0,I270,G271),G271)</f>
        <v>0</v>
      </c>
      <c r="J271" s="124" t="n">
        <f aca="false">IF(MONTH($A271)=MONTH($A270),SUM(I271-I270),I271)</f>
        <v>0</v>
      </c>
      <c r="K271" s="124" t="n">
        <f aca="false">IF(WEEKDAY(A271,3)&gt;4,0,(IF(A271&lt;K$2,0,IF(A271&lt;=K$3,1,0))))</f>
        <v>0</v>
      </c>
      <c r="L271" s="124" t="n">
        <f aca="false">J271*K271</f>
        <v>0</v>
      </c>
      <c r="M271" s="124" t="n">
        <f aca="false">SUM(J$97:J271)</f>
        <v>0</v>
      </c>
      <c r="N271" s="124" t="n">
        <f aca="false">SUM(J$6:J271)</f>
        <v>0</v>
      </c>
      <c r="P271" s="124" t="n">
        <f aca="false">D271/P$3</f>
        <v>0</v>
      </c>
      <c r="Q271" s="143" t="n">
        <f aca="false">E271/P$3</f>
        <v>0</v>
      </c>
      <c r="R271" s="124" t="n">
        <f aca="false">F271/R$3</f>
        <v>0</v>
      </c>
      <c r="S271" s="126" t="n">
        <f aca="false">J271/$R$3</f>
        <v>0</v>
      </c>
      <c r="T271" s="126" t="n">
        <f aca="false">L271/$R$3</f>
        <v>0</v>
      </c>
      <c r="U271" s="126" t="n">
        <f aca="false">I271/$R$3</f>
        <v>0</v>
      </c>
      <c r="V271" s="126" t="n">
        <f aca="false">M271/$R$3</f>
        <v>0</v>
      </c>
      <c r="W271" s="126" t="n">
        <f aca="false">N271/$R$3</f>
        <v>0</v>
      </c>
    </row>
    <row r="272" customFormat="false" ht="12.75" hidden="true" customHeight="false" outlineLevel="0" collapsed="false">
      <c r="A272" s="120" t="n">
        <f aca="false">A271+1</f>
        <v>37158</v>
      </c>
      <c r="B272" s="131" t="str">
        <f aca="false">INDEX('Master Data'!$A$2:$B$8,MATCH(WEEKDAY('Arg Total Power'!A272,3),'Master Data'!$A$2:$A$8,0),2)</f>
        <v>M</v>
      </c>
      <c r="D272" s="124" t="n">
        <v>0</v>
      </c>
      <c r="E272" s="124" t="n">
        <v>422458.345090091</v>
      </c>
      <c r="F272" s="124" t="n">
        <v>0</v>
      </c>
      <c r="G272" s="124" t="n">
        <v>0</v>
      </c>
      <c r="I272" s="124" t="n">
        <f aca="false">IF(MONTH($A272)=MONTH($A271),IF(G272=0,I271,G272),G272)</f>
        <v>0</v>
      </c>
      <c r="J272" s="124" t="n">
        <f aca="false">IF(MONTH($A272)=MONTH($A271),SUM(I272-I271),I272)</f>
        <v>0</v>
      </c>
      <c r="K272" s="124" t="n">
        <f aca="false">IF(WEEKDAY(A272,3)&gt;4,0,(IF(A272&lt;K$2,0,IF(A272&lt;=K$3,1,0))))</f>
        <v>0</v>
      </c>
      <c r="L272" s="124" t="n">
        <f aca="false">J272*K272</f>
        <v>0</v>
      </c>
      <c r="M272" s="124" t="n">
        <f aca="false">SUM(J$97:J272)</f>
        <v>0</v>
      </c>
      <c r="N272" s="124" t="n">
        <f aca="false">SUM(J$6:J272)</f>
        <v>0</v>
      </c>
      <c r="P272" s="124" t="n">
        <f aca="false">D272/P$3</f>
        <v>0</v>
      </c>
      <c r="Q272" s="143" t="n">
        <f aca="false">E272/P$3</f>
        <v>0.422458345090091</v>
      </c>
      <c r="R272" s="124" t="n">
        <f aca="false">F272/R$3</f>
        <v>0</v>
      </c>
      <c r="S272" s="126" t="n">
        <f aca="false">J272/$R$3</f>
        <v>0</v>
      </c>
      <c r="T272" s="126" t="n">
        <f aca="false">L272/$R$3</f>
        <v>0</v>
      </c>
      <c r="U272" s="126" t="n">
        <f aca="false">I272/$R$3</f>
        <v>0</v>
      </c>
      <c r="V272" s="126" t="n">
        <f aca="false">M272/$R$3</f>
        <v>0</v>
      </c>
      <c r="W272" s="126" t="n">
        <f aca="false">N272/$R$3</f>
        <v>0</v>
      </c>
    </row>
    <row r="273" customFormat="false" ht="12.75" hidden="true" customHeight="false" outlineLevel="0" collapsed="false">
      <c r="A273" s="120" t="n">
        <f aca="false">A272+1</f>
        <v>37159</v>
      </c>
      <c r="B273" s="131" t="str">
        <f aca="false">INDEX('Master Data'!$A$2:$B$8,MATCH(WEEKDAY('Arg Total Power'!A273,3),'Master Data'!$A$2:$A$8,0),2)</f>
        <v>T</v>
      </c>
      <c r="D273" s="124" t="n">
        <v>0</v>
      </c>
      <c r="E273" s="124" t="n">
        <v>422418.03821913</v>
      </c>
      <c r="F273" s="124" t="n">
        <v>0</v>
      </c>
      <c r="G273" s="124" t="n">
        <v>0</v>
      </c>
      <c r="I273" s="124" t="n">
        <f aca="false">IF(MONTH($A273)=MONTH($A272),IF(G273=0,I272,G273),G273)</f>
        <v>0</v>
      </c>
      <c r="J273" s="124" t="n">
        <f aca="false">IF(MONTH($A273)=MONTH($A272),SUM(I273-I272),I273)</f>
        <v>0</v>
      </c>
      <c r="K273" s="124" t="n">
        <f aca="false">IF(WEEKDAY(A273,3)&gt;4,0,(IF(A273&lt;K$2,0,IF(A273&lt;=K$3,1,0))))</f>
        <v>0</v>
      </c>
      <c r="L273" s="124" t="n">
        <f aca="false">J273*K273</f>
        <v>0</v>
      </c>
      <c r="M273" s="124" t="n">
        <f aca="false">SUM(J$97:J273)</f>
        <v>0</v>
      </c>
      <c r="N273" s="124" t="n">
        <f aca="false">SUM(J$6:J273)</f>
        <v>0</v>
      </c>
      <c r="P273" s="124" t="n">
        <f aca="false">D273/P$3</f>
        <v>0</v>
      </c>
      <c r="Q273" s="143" t="n">
        <f aca="false">E273/P$3</f>
        <v>0.42241803821913</v>
      </c>
      <c r="R273" s="124" t="n">
        <f aca="false">F273/R$3</f>
        <v>0</v>
      </c>
      <c r="S273" s="126" t="n">
        <f aca="false">J273/$R$3</f>
        <v>0</v>
      </c>
      <c r="T273" s="126" t="n">
        <f aca="false">L273/$R$3</f>
        <v>0</v>
      </c>
      <c r="U273" s="126" t="n">
        <f aca="false">I273/$R$3</f>
        <v>0</v>
      </c>
      <c r="V273" s="126" t="n">
        <f aca="false">M273/$R$3</f>
        <v>0</v>
      </c>
      <c r="W273" s="126" t="n">
        <f aca="false">N273/$R$3</f>
        <v>0</v>
      </c>
    </row>
    <row r="274" customFormat="false" ht="12.75" hidden="true" customHeight="false" outlineLevel="0" collapsed="false">
      <c r="A274" s="120" t="n">
        <f aca="false">A273+1</f>
        <v>37160</v>
      </c>
      <c r="B274" s="131" t="str">
        <f aca="false">INDEX('Master Data'!$A$2:$B$8,MATCH(WEEKDAY('Arg Total Power'!A274,3),'Master Data'!$A$2:$A$8,0),2)</f>
        <v>W</v>
      </c>
      <c r="D274" s="124" t="n">
        <v>0</v>
      </c>
      <c r="E274" s="124" t="n">
        <v>423309.445666766</v>
      </c>
      <c r="F274" s="124" t="n">
        <v>0</v>
      </c>
      <c r="G274" s="124" t="n">
        <v>0</v>
      </c>
      <c r="I274" s="124" t="n">
        <f aca="false">IF(MONTH($A274)=MONTH($A273),IF(G274=0,I273,G274),G274)</f>
        <v>0</v>
      </c>
      <c r="J274" s="124" t="n">
        <f aca="false">IF(MONTH($A274)=MONTH($A273),SUM(I274-I273),I274)</f>
        <v>0</v>
      </c>
      <c r="K274" s="124" t="n">
        <f aca="false">IF(WEEKDAY(A274,3)&gt;4,0,(IF(A274&lt;K$2,0,IF(A274&lt;=K$3,1,0))))</f>
        <v>0</v>
      </c>
      <c r="L274" s="124" t="n">
        <f aca="false">J274*K274</f>
        <v>0</v>
      </c>
      <c r="M274" s="124" t="n">
        <f aca="false">SUM(J$97:J274)</f>
        <v>0</v>
      </c>
      <c r="N274" s="124" t="n">
        <f aca="false">SUM(J$6:J274)</f>
        <v>0</v>
      </c>
      <c r="P274" s="124" t="n">
        <f aca="false">D274/P$3</f>
        <v>0</v>
      </c>
      <c r="Q274" s="143" t="n">
        <f aca="false">E274/P$3</f>
        <v>0.423309445666766</v>
      </c>
      <c r="R274" s="124" t="n">
        <f aca="false">F274/R$3</f>
        <v>0</v>
      </c>
      <c r="S274" s="126" t="n">
        <f aca="false">J274/$R$3</f>
        <v>0</v>
      </c>
      <c r="T274" s="126" t="n">
        <f aca="false">L274/$R$3</f>
        <v>0</v>
      </c>
      <c r="U274" s="126" t="n">
        <f aca="false">I274/$R$3</f>
        <v>0</v>
      </c>
      <c r="V274" s="126" t="n">
        <f aca="false">M274/$R$3</f>
        <v>0</v>
      </c>
      <c r="W274" s="126" t="n">
        <f aca="false">N274/$R$3</f>
        <v>0</v>
      </c>
    </row>
    <row r="275" customFormat="false" ht="12.75" hidden="true" customHeight="false" outlineLevel="0" collapsed="false">
      <c r="A275" s="120" t="n">
        <f aca="false">A274+1</f>
        <v>37161</v>
      </c>
      <c r="B275" s="131" t="str">
        <f aca="false">INDEX('Master Data'!$A$2:$B$8,MATCH(WEEKDAY('Arg Total Power'!A275,3),'Master Data'!$A$2:$A$8,0),2)</f>
        <v>Th</v>
      </c>
      <c r="D275" s="124" t="n">
        <v>0</v>
      </c>
      <c r="E275" s="124" t="n">
        <v>424012.494028779</v>
      </c>
      <c r="F275" s="124" t="n">
        <v>0</v>
      </c>
      <c r="G275" s="124" t="n">
        <v>0</v>
      </c>
      <c r="I275" s="124" t="n">
        <f aca="false">IF(MONTH($A275)=MONTH($A274),IF(G275=0,I274,G275),G275)</f>
        <v>0</v>
      </c>
      <c r="J275" s="124" t="n">
        <f aca="false">IF(MONTH($A275)=MONTH($A274),SUM(I275-I274),I275)</f>
        <v>0</v>
      </c>
      <c r="K275" s="124" t="n">
        <f aca="false">IF(WEEKDAY(A275,3)&gt;4,0,(IF(A275&lt;K$2,0,IF(A275&lt;=K$3,1,0))))</f>
        <v>0</v>
      </c>
      <c r="L275" s="124" t="n">
        <f aca="false">J275*K275</f>
        <v>0</v>
      </c>
      <c r="M275" s="124" t="n">
        <f aca="false">SUM(J$97:J275)</f>
        <v>0</v>
      </c>
      <c r="N275" s="124" t="n">
        <f aca="false">SUM(J$6:J275)</f>
        <v>0</v>
      </c>
      <c r="P275" s="124" t="n">
        <f aca="false">D275/P$3</f>
        <v>0</v>
      </c>
      <c r="Q275" s="143" t="n">
        <f aca="false">E275/P$3</f>
        <v>0.424012494028779</v>
      </c>
      <c r="R275" s="124" t="n">
        <f aca="false">F275/R$3</f>
        <v>0</v>
      </c>
      <c r="S275" s="126" t="n">
        <f aca="false">J275/$R$3</f>
        <v>0</v>
      </c>
      <c r="T275" s="126" t="n">
        <f aca="false">L275/$R$3</f>
        <v>0</v>
      </c>
      <c r="U275" s="126" t="n">
        <f aca="false">I275/$R$3</f>
        <v>0</v>
      </c>
      <c r="V275" s="126" t="n">
        <f aca="false">M275/$R$3</f>
        <v>0</v>
      </c>
      <c r="W275" s="126" t="n">
        <f aca="false">N275/$R$3</f>
        <v>0</v>
      </c>
    </row>
    <row r="276" customFormat="false" ht="12.75" hidden="false" customHeight="false" outlineLevel="0" collapsed="false">
      <c r="A276" s="120" t="n">
        <f aca="false">A275+1</f>
        <v>37162</v>
      </c>
      <c r="B276" s="131" t="str">
        <f aca="false">INDEX('Master Data'!$A$2:$B$8,MATCH(WEEKDAY('Arg Total Power'!A276,3),'Master Data'!$A$2:$A$8,0),2)</f>
        <v>F</v>
      </c>
      <c r="D276" s="124" t="n">
        <v>0</v>
      </c>
      <c r="E276" s="124" t="n">
        <v>424730.975598909</v>
      </c>
      <c r="F276" s="124" t="n">
        <v>0</v>
      </c>
      <c r="G276" s="124" t="n">
        <v>0</v>
      </c>
      <c r="I276" s="124" t="n">
        <f aca="false">IF(MONTH($A276)=MONTH($A275),IF(G276=0,I275,G276),G276)</f>
        <v>0</v>
      </c>
      <c r="J276" s="124" t="n">
        <f aca="false">IF(MONTH($A276)=MONTH($A275),SUM(I276-I275),I276)</f>
        <v>0</v>
      </c>
      <c r="K276" s="124" t="n">
        <f aca="false">IF(WEEKDAY(A276,3)&gt;4,0,(IF(A276&lt;K$2,0,IF(A276&lt;=K$3,1,0))))</f>
        <v>0</v>
      </c>
      <c r="L276" s="124" t="n">
        <f aca="false">J276*K276</f>
        <v>0</v>
      </c>
      <c r="M276" s="124" t="n">
        <f aca="false">SUM(J$97:J276)</f>
        <v>0</v>
      </c>
      <c r="N276" s="124" t="n">
        <f aca="false">SUM(J$6:J276)</f>
        <v>0</v>
      </c>
      <c r="P276" s="124" t="n">
        <f aca="false">D276/P$3</f>
        <v>0</v>
      </c>
      <c r="Q276" s="143" t="n">
        <f aca="false">E276/P$3</f>
        <v>0.424730975598909</v>
      </c>
      <c r="R276" s="124" t="n">
        <f aca="false">F276/R$3</f>
        <v>0</v>
      </c>
      <c r="S276" s="126" t="n">
        <f aca="false">J276/$R$3</f>
        <v>0</v>
      </c>
      <c r="T276" s="126" t="n">
        <f aca="false">L276/$R$3</f>
        <v>0</v>
      </c>
      <c r="U276" s="126" t="n">
        <f aca="false">I276/$R$3</f>
        <v>0</v>
      </c>
      <c r="V276" s="126" t="n">
        <f aca="false">M276/$R$3</f>
        <v>0</v>
      </c>
      <c r="W276" s="126" t="n">
        <f aca="false">N276/$R$3</f>
        <v>0</v>
      </c>
    </row>
    <row r="277" customFormat="false" ht="12.75" hidden="false" customHeight="false" outlineLevel="0" collapsed="false">
      <c r="A277" s="120" t="n">
        <f aca="false">A276+1</f>
        <v>37163</v>
      </c>
      <c r="B277" s="131" t="str">
        <f aca="false">INDEX('Master Data'!$A$2:$B$8,MATCH(WEEKDAY('Arg Total Power'!A277,3),'Master Data'!$A$2:$A$8,0),2)</f>
        <v>Sa</v>
      </c>
      <c r="D277" s="124" t="n">
        <v>0</v>
      </c>
      <c r="E277" s="124" t="n">
        <v>0</v>
      </c>
      <c r="F277" s="124" t="n">
        <v>0</v>
      </c>
      <c r="G277" s="124" t="n">
        <v>0</v>
      </c>
      <c r="I277" s="124" t="n">
        <f aca="false">IF(MONTH($A277)=MONTH($A276),IF(G277=0,I276,G277),G277)</f>
        <v>0</v>
      </c>
      <c r="J277" s="124" t="n">
        <f aca="false">IF(MONTH($A277)=MONTH($A276),SUM(I277-I276),I277)</f>
        <v>0</v>
      </c>
      <c r="K277" s="124" t="n">
        <f aca="false">IF(WEEKDAY(A277,3)&gt;4,0,(IF(A277&lt;K$2,0,IF(A277&lt;=K$3,1,0))))</f>
        <v>0</v>
      </c>
      <c r="L277" s="124" t="n">
        <f aca="false">J277*K277</f>
        <v>0</v>
      </c>
      <c r="M277" s="124" t="n">
        <f aca="false">SUM(J$97:J277)</f>
        <v>0</v>
      </c>
      <c r="N277" s="124" t="n">
        <f aca="false">SUM(J$6:J277)</f>
        <v>0</v>
      </c>
      <c r="P277" s="124" t="n">
        <f aca="false">D277/P$3</f>
        <v>0</v>
      </c>
      <c r="Q277" s="143" t="n">
        <f aca="false">E277/P$3</f>
        <v>0</v>
      </c>
      <c r="R277" s="124" t="n">
        <f aca="false">F277/R$3</f>
        <v>0</v>
      </c>
      <c r="S277" s="126" t="n">
        <f aca="false">J277/$R$3</f>
        <v>0</v>
      </c>
      <c r="T277" s="126" t="n">
        <f aca="false">L277/$R$3</f>
        <v>0</v>
      </c>
      <c r="U277" s="126" t="n">
        <f aca="false">I277/$R$3</f>
        <v>0</v>
      </c>
      <c r="V277" s="126" t="n">
        <f aca="false">M277/$R$3</f>
        <v>0</v>
      </c>
      <c r="W277" s="126" t="n">
        <f aca="false">N277/$R$3</f>
        <v>0</v>
      </c>
    </row>
    <row r="278" customFormat="false" ht="14.25" hidden="false" customHeight="true" outlineLevel="0" collapsed="false">
      <c r="A278" s="120" t="n">
        <f aca="false">A277+1</f>
        <v>37164</v>
      </c>
      <c r="B278" s="131" t="str">
        <f aca="false">INDEX('Master Data'!$A$2:$B$8,MATCH(WEEKDAY('Arg Total Power'!A278,3),'Master Data'!$A$2:$A$8,0),2)</f>
        <v>Su</v>
      </c>
      <c r="D278" s="124" t="n">
        <v>0</v>
      </c>
      <c r="E278" s="124" t="n">
        <v>0</v>
      </c>
      <c r="F278" s="124" t="n">
        <v>0</v>
      </c>
      <c r="G278" s="124" t="n">
        <v>0</v>
      </c>
      <c r="I278" s="124" t="n">
        <f aca="false">IF(MONTH($A278)=MONTH($A277),IF(G278=0,I277,G278),G278)</f>
        <v>0</v>
      </c>
      <c r="J278" s="124" t="n">
        <f aca="false">IF(MONTH($A278)=MONTH($A277),SUM(I278-I277),I278)</f>
        <v>0</v>
      </c>
      <c r="K278" s="124" t="n">
        <f aca="false">IF(WEEKDAY(A278,3)&gt;4,0,(IF(A278&lt;K$2,0,IF(A278&lt;=K$3,1,0))))</f>
        <v>0</v>
      </c>
      <c r="L278" s="124" t="n">
        <f aca="false">J278*K278</f>
        <v>0</v>
      </c>
      <c r="M278" s="124" t="n">
        <f aca="false">SUM(J$97:J278)</f>
        <v>0</v>
      </c>
      <c r="N278" s="124" t="n">
        <f aca="false">SUM(J$6:J278)</f>
        <v>0</v>
      </c>
      <c r="P278" s="124" t="n">
        <f aca="false">D278/P$3</f>
        <v>0</v>
      </c>
      <c r="Q278" s="143" t="n">
        <f aca="false">E278/P$3</f>
        <v>0</v>
      </c>
      <c r="R278" s="124" t="n">
        <f aca="false">F278/R$3</f>
        <v>0</v>
      </c>
      <c r="S278" s="126" t="n">
        <f aca="false">J278/$R$3</f>
        <v>0</v>
      </c>
      <c r="T278" s="126" t="n">
        <f aca="false">L278/$R$3</f>
        <v>0</v>
      </c>
      <c r="U278" s="126" t="n">
        <f aca="false">I278/$R$3</f>
        <v>0</v>
      </c>
      <c r="V278" s="126" t="n">
        <f aca="false">M278/$R$3</f>
        <v>0</v>
      </c>
      <c r="W278" s="126" t="n">
        <f aca="false">N278/$R$3</f>
        <v>0</v>
      </c>
    </row>
    <row r="279" customFormat="false" ht="12.75" hidden="true" customHeight="false" outlineLevel="0" collapsed="false">
      <c r="A279" s="120" t="n">
        <f aca="false">A278+1</f>
        <v>37165</v>
      </c>
      <c r="B279" s="131" t="str">
        <f aca="false">INDEX('Master Data'!$A$2:$B$8,MATCH(WEEKDAY('Arg Total Power'!A279,3),'Master Data'!$A$2:$A$8,0),2)</f>
        <v>M</v>
      </c>
      <c r="D279" s="124" t="n">
        <v>0</v>
      </c>
      <c r="E279" s="124" t="n">
        <v>424170.078914748</v>
      </c>
      <c r="F279" s="124" t="n">
        <v>0</v>
      </c>
      <c r="G279" s="124" t="n">
        <v>0</v>
      </c>
      <c r="I279" s="124" t="n">
        <f aca="false">IF(MONTH($A279)=MONTH($A278),IF(G279=0,I278,G279),G279)</f>
        <v>0</v>
      </c>
      <c r="J279" s="124" t="n">
        <f aca="false">IF(MONTH($A279)=MONTH($A278),SUM(I279-I278),I279)</f>
        <v>0</v>
      </c>
      <c r="K279" s="124" t="n">
        <f aca="false">IF(WEEKDAY(A279,3)&gt;4,0,(IF(A279&lt;K$2,0,IF(A279&lt;=K$3,1,0))))</f>
        <v>0</v>
      </c>
      <c r="L279" s="124" t="n">
        <f aca="false">J279*K279</f>
        <v>0</v>
      </c>
      <c r="M279" s="124" t="n">
        <f aca="false">SUM(J$188:J279)</f>
        <v>0</v>
      </c>
      <c r="N279" s="124" t="n">
        <f aca="false">SUM(J$6:J279)</f>
        <v>0</v>
      </c>
      <c r="P279" s="124" t="n">
        <f aca="false">D279/P$3</f>
        <v>0</v>
      </c>
      <c r="Q279" s="143" t="n">
        <f aca="false">E279/P$3</f>
        <v>0.424170078914748</v>
      </c>
      <c r="R279" s="124" t="n">
        <f aca="false">F279/R$3</f>
        <v>0</v>
      </c>
      <c r="S279" s="126" t="n">
        <f aca="false">J279/$R$3</f>
        <v>0</v>
      </c>
      <c r="T279" s="126" t="n">
        <f aca="false">L279/$R$3</f>
        <v>0</v>
      </c>
      <c r="U279" s="126" t="n">
        <f aca="false">I279/$R$3</f>
        <v>0</v>
      </c>
      <c r="V279" s="126" t="n">
        <f aca="false">M279/$R$3</f>
        <v>0</v>
      </c>
      <c r="W279" s="126" t="n">
        <f aca="false">N279/$R$3</f>
        <v>0</v>
      </c>
    </row>
    <row r="280" customFormat="false" ht="12.75" hidden="true" customHeight="false" outlineLevel="0" collapsed="false">
      <c r="A280" s="120" t="n">
        <f aca="false">A279+1</f>
        <v>37166</v>
      </c>
      <c r="B280" s="131" t="str">
        <f aca="false">INDEX('Master Data'!$A$2:$B$8,MATCH(WEEKDAY('Arg Total Power'!A280,3),'Master Data'!$A$2:$A$8,0),2)</f>
        <v>T</v>
      </c>
      <c r="D280" s="124" t="n">
        <v>0</v>
      </c>
      <c r="E280" s="124" t="n">
        <v>424209.042903816</v>
      </c>
      <c r="F280" s="124" t="n">
        <v>0</v>
      </c>
      <c r="G280" s="124" t="n">
        <v>0</v>
      </c>
      <c r="I280" s="124" t="n">
        <f aca="false">IF(MONTH($A280)=MONTH($A279),IF(G280=0,I279,G280),G280)</f>
        <v>0</v>
      </c>
      <c r="J280" s="124" t="n">
        <f aca="false">IF(MONTH($A280)=MONTH($A279),SUM(I280-I279),I280)</f>
        <v>0</v>
      </c>
      <c r="K280" s="124" t="n">
        <f aca="false">IF(WEEKDAY(A280,3)&gt;4,0,(IF(A280&lt;K$2,0,IF(A280&lt;=K$3,1,0))))</f>
        <v>0</v>
      </c>
      <c r="L280" s="124" t="n">
        <f aca="false">J280*K280</f>
        <v>0</v>
      </c>
      <c r="M280" s="124" t="n">
        <f aca="false">SUM(J$280:J280)</f>
        <v>0</v>
      </c>
      <c r="N280" s="124" t="n">
        <f aca="false">SUM(J$6:J280)</f>
        <v>0</v>
      </c>
      <c r="P280" s="124" t="n">
        <f aca="false">D280/P$3</f>
        <v>0</v>
      </c>
      <c r="Q280" s="143" t="n">
        <f aca="false">E280/P$3</f>
        <v>0.424209042903816</v>
      </c>
      <c r="R280" s="124" t="n">
        <f aca="false">F280/R$3</f>
        <v>0</v>
      </c>
      <c r="S280" s="126" t="n">
        <f aca="false">J280/$R$3</f>
        <v>0</v>
      </c>
      <c r="T280" s="126" t="n">
        <f aca="false">L280/$R$3</f>
        <v>0</v>
      </c>
      <c r="U280" s="126" t="n">
        <f aca="false">I280/$R$3</f>
        <v>0</v>
      </c>
      <c r="V280" s="126" t="n">
        <f aca="false">M280/$R$3</f>
        <v>0</v>
      </c>
      <c r="W280" s="126" t="n">
        <f aca="false">N280/$R$3</f>
        <v>0</v>
      </c>
    </row>
    <row r="281" customFormat="false" ht="12.75" hidden="true" customHeight="false" outlineLevel="0" collapsed="false">
      <c r="A281" s="120" t="n">
        <f aca="false">A280+1</f>
        <v>37167</v>
      </c>
      <c r="B281" s="131" t="str">
        <f aca="false">INDEX('Master Data'!$A$2:$B$8,MATCH(WEEKDAY('Arg Total Power'!A281,3),'Master Data'!$A$2:$A$8,0),2)</f>
        <v>W</v>
      </c>
      <c r="D281" s="124" t="n">
        <v>0</v>
      </c>
      <c r="E281" s="124" t="n">
        <v>425456.862325917</v>
      </c>
      <c r="F281" s="124" t="n">
        <v>0</v>
      </c>
      <c r="G281" s="124" t="n">
        <v>0</v>
      </c>
      <c r="I281" s="124" t="n">
        <f aca="false">IF(MONTH($A281)=MONTH($A280),IF(G281=0,I280,G281),G281)</f>
        <v>0</v>
      </c>
      <c r="J281" s="124" t="n">
        <f aca="false">IF(MONTH($A281)=MONTH($A280),SUM(I281-I280),I281)</f>
        <v>0</v>
      </c>
      <c r="K281" s="124" t="n">
        <f aca="false">IF(WEEKDAY(A281,3)&gt;4,0,(IF(A281&lt;K$2,0,IF(A281&lt;=K$3,1,0))))</f>
        <v>0</v>
      </c>
      <c r="L281" s="124" t="n">
        <f aca="false">J281*K281</f>
        <v>0</v>
      </c>
      <c r="M281" s="124" t="n">
        <f aca="false">SUM(J$280:J281)</f>
        <v>0</v>
      </c>
      <c r="N281" s="124" t="n">
        <f aca="false">SUM(J$6:J281)</f>
        <v>0</v>
      </c>
      <c r="P281" s="124" t="n">
        <f aca="false">D281/P$3</f>
        <v>0</v>
      </c>
      <c r="Q281" s="143" t="n">
        <f aca="false">E281/P$3</f>
        <v>0.425456862325917</v>
      </c>
      <c r="R281" s="124" t="n">
        <f aca="false">F281/R$3</f>
        <v>0</v>
      </c>
      <c r="S281" s="126" t="n">
        <f aca="false">J281/$R$3</f>
        <v>0</v>
      </c>
      <c r="T281" s="126" t="n">
        <f aca="false">L281/$R$3</f>
        <v>0</v>
      </c>
      <c r="U281" s="126" t="n">
        <f aca="false">I281/$R$3</f>
        <v>0</v>
      </c>
      <c r="V281" s="126" t="n">
        <f aca="false">M281/$R$3</f>
        <v>0</v>
      </c>
      <c r="W281" s="126" t="n">
        <f aca="false">N281/$R$3</f>
        <v>0</v>
      </c>
    </row>
    <row r="282" customFormat="false" ht="12.75" hidden="true" customHeight="false" outlineLevel="0" collapsed="false">
      <c r="A282" s="120" t="n">
        <f aca="false">A281+1</f>
        <v>37168</v>
      </c>
      <c r="B282" s="131" t="str">
        <f aca="false">INDEX('Master Data'!$A$2:$B$8,MATCH(WEEKDAY('Arg Total Power'!A282,3),'Master Data'!$A$2:$A$8,0),2)</f>
        <v>Th</v>
      </c>
      <c r="D282" s="124" t="n">
        <v>0</v>
      </c>
      <c r="E282" s="124" t="n">
        <v>425571.756993949</v>
      </c>
      <c r="F282" s="124" t="n">
        <v>0</v>
      </c>
      <c r="G282" s="124" t="n">
        <v>0</v>
      </c>
      <c r="I282" s="124" t="n">
        <f aca="false">IF(MONTH($A282)=MONTH($A281),IF(G282=0,I281,G282),G282)</f>
        <v>0</v>
      </c>
      <c r="J282" s="124" t="n">
        <f aca="false">IF(MONTH($A282)=MONTH($A281),SUM(I282-I281),I282)</f>
        <v>0</v>
      </c>
      <c r="K282" s="124" t="n">
        <f aca="false">IF(WEEKDAY(A282,3)&gt;4,0,(IF(A282&lt;K$2,0,IF(A282&lt;=K$3,1,0))))</f>
        <v>0</v>
      </c>
      <c r="L282" s="124" t="n">
        <f aca="false">J282*K282</f>
        <v>0</v>
      </c>
      <c r="M282" s="124" t="n">
        <f aca="false">SUM(J$280:J282)</f>
        <v>0</v>
      </c>
      <c r="N282" s="124" t="n">
        <f aca="false">SUM(J$6:J282)</f>
        <v>0</v>
      </c>
      <c r="P282" s="124" t="n">
        <f aca="false">D282/P$3</f>
        <v>0</v>
      </c>
      <c r="Q282" s="143" t="n">
        <f aca="false">E282/P$3</f>
        <v>0.425571756993949</v>
      </c>
      <c r="R282" s="124" t="n">
        <f aca="false">F282/R$3</f>
        <v>0</v>
      </c>
      <c r="S282" s="126" t="n">
        <f aca="false">J282/$R$3</f>
        <v>0</v>
      </c>
      <c r="T282" s="126" t="n">
        <f aca="false">L282/$R$3</f>
        <v>0</v>
      </c>
      <c r="U282" s="126" t="n">
        <f aca="false">I282/$R$3</f>
        <v>0</v>
      </c>
      <c r="V282" s="126" t="n">
        <f aca="false">M282/$R$3</f>
        <v>0</v>
      </c>
      <c r="W282" s="126" t="n">
        <f aca="false">N282/$R$3</f>
        <v>0</v>
      </c>
    </row>
    <row r="283" customFormat="false" ht="12.75" hidden="true" customHeight="false" outlineLevel="0" collapsed="false">
      <c r="A283" s="120" t="n">
        <f aca="false">A282+1</f>
        <v>37169</v>
      </c>
      <c r="B283" s="131" t="str">
        <f aca="false">INDEX('Master Data'!$A$2:$B$8,MATCH(WEEKDAY('Arg Total Power'!A283,3),'Master Data'!$A$2:$A$8,0),2)</f>
        <v>F</v>
      </c>
      <c r="D283" s="124" t="n">
        <v>0</v>
      </c>
      <c r="E283" s="124" t="n">
        <v>425960.3138962</v>
      </c>
      <c r="F283" s="124" t="n">
        <v>0</v>
      </c>
      <c r="G283" s="124" t="n">
        <v>0</v>
      </c>
      <c r="I283" s="124" t="n">
        <f aca="false">IF(MONTH($A283)=MONTH($A282),IF(G283=0,I282,G283),G283)</f>
        <v>0</v>
      </c>
      <c r="J283" s="124" t="n">
        <f aca="false">IF(MONTH($A283)=MONTH($A282),SUM(I283-I282),I283)</f>
        <v>0</v>
      </c>
      <c r="K283" s="124" t="n">
        <f aca="false">IF(WEEKDAY(A283,3)&gt;4,0,(IF(A283&lt;K$2,0,IF(A283&lt;=K$3,1,0))))</f>
        <v>0</v>
      </c>
      <c r="L283" s="124" t="n">
        <f aca="false">J283*K283</f>
        <v>0</v>
      </c>
      <c r="M283" s="124" t="n">
        <f aca="false">SUM(J$280:J283)</f>
        <v>0</v>
      </c>
      <c r="N283" s="124" t="n">
        <f aca="false">SUM(J$6:J283)</f>
        <v>0</v>
      </c>
      <c r="P283" s="124" t="n">
        <f aca="false">D283/P$3</f>
        <v>0</v>
      </c>
      <c r="Q283" s="143" t="n">
        <f aca="false">E283/P$3</f>
        <v>0.4259603138962</v>
      </c>
      <c r="R283" s="124" t="n">
        <f aca="false">F283/R$3</f>
        <v>0</v>
      </c>
      <c r="S283" s="126" t="n">
        <f aca="false">J283/$R$3</f>
        <v>0</v>
      </c>
      <c r="T283" s="126" t="n">
        <f aca="false">L283/$R$3</f>
        <v>0</v>
      </c>
      <c r="U283" s="126" t="n">
        <f aca="false">I283/$R$3</f>
        <v>0</v>
      </c>
      <c r="V283" s="126" t="n">
        <f aca="false">M283/$R$3</f>
        <v>0</v>
      </c>
      <c r="W283" s="126" t="n">
        <f aca="false">N283/$R$3</f>
        <v>0</v>
      </c>
    </row>
    <row r="284" customFormat="false" ht="12.75" hidden="true" customHeight="false" outlineLevel="0" collapsed="false">
      <c r="A284" s="120" t="n">
        <f aca="false">A283+1</f>
        <v>37170</v>
      </c>
      <c r="B284" s="131" t="str">
        <f aca="false">INDEX('Master Data'!$A$2:$B$8,MATCH(WEEKDAY('Arg Total Power'!A284,3),'Master Data'!$A$2:$A$8,0),2)</f>
        <v>Sa</v>
      </c>
      <c r="D284" s="124" t="n">
        <v>0</v>
      </c>
      <c r="E284" s="124" t="n">
        <v>0</v>
      </c>
      <c r="F284" s="124" t="n">
        <v>0</v>
      </c>
      <c r="G284" s="124" t="n">
        <v>0</v>
      </c>
      <c r="I284" s="124" t="n">
        <f aca="false">IF(MONTH($A284)=MONTH($A283),IF(G284=0,I283,G284),G284)</f>
        <v>0</v>
      </c>
      <c r="J284" s="124" t="n">
        <f aca="false">IF(MONTH($A284)=MONTH($A283),SUM(I284-I283),I284)</f>
        <v>0</v>
      </c>
      <c r="K284" s="124" t="n">
        <f aca="false">IF(WEEKDAY(A284,3)&gt;4,0,(IF(A284&lt;K$2,0,IF(A284&lt;=K$3,1,0))))</f>
        <v>0</v>
      </c>
      <c r="L284" s="124" t="n">
        <f aca="false">J284*K284</f>
        <v>0</v>
      </c>
      <c r="M284" s="124" t="n">
        <f aca="false">SUM(J$280:J284)</f>
        <v>0</v>
      </c>
      <c r="N284" s="124" t="n">
        <f aca="false">SUM(J$6:J284)</f>
        <v>0</v>
      </c>
      <c r="P284" s="124" t="n">
        <f aca="false">D284/P$3</f>
        <v>0</v>
      </c>
      <c r="Q284" s="143" t="n">
        <f aca="false">E284/P$3</f>
        <v>0</v>
      </c>
      <c r="R284" s="124" t="n">
        <f aca="false">F284/R$3</f>
        <v>0</v>
      </c>
      <c r="S284" s="126" t="n">
        <f aca="false">J284/$R$3</f>
        <v>0</v>
      </c>
      <c r="T284" s="126" t="n">
        <f aca="false">L284/$R$3</f>
        <v>0</v>
      </c>
      <c r="U284" s="126" t="n">
        <f aca="false">I284/$R$3</f>
        <v>0</v>
      </c>
      <c r="V284" s="126" t="n">
        <f aca="false">M284/$R$3</f>
        <v>0</v>
      </c>
      <c r="W284" s="126" t="n">
        <f aca="false">N284/$R$3</f>
        <v>0</v>
      </c>
    </row>
    <row r="285" customFormat="false" ht="12.75" hidden="true" customHeight="false" outlineLevel="0" collapsed="false">
      <c r="A285" s="120" t="n">
        <f aca="false">A284+1</f>
        <v>37171</v>
      </c>
      <c r="B285" s="131" t="str">
        <f aca="false">INDEX('Master Data'!$A$2:$B$8,MATCH(WEEKDAY('Arg Total Power'!A285,3),'Master Data'!$A$2:$A$8,0),2)</f>
        <v>Su</v>
      </c>
      <c r="D285" s="124" t="n">
        <v>0</v>
      </c>
      <c r="E285" s="124" t="n">
        <v>0</v>
      </c>
      <c r="F285" s="124" t="n">
        <v>0</v>
      </c>
      <c r="G285" s="124" t="n">
        <v>0</v>
      </c>
      <c r="I285" s="124" t="n">
        <f aca="false">IF(MONTH($A285)=MONTH($A284),IF(G285=0,I284,G285),G285)</f>
        <v>0</v>
      </c>
      <c r="J285" s="124" t="n">
        <f aca="false">IF(MONTH($A285)=MONTH($A284),SUM(I285-I284),I285)</f>
        <v>0</v>
      </c>
      <c r="K285" s="124" t="n">
        <f aca="false">IF(WEEKDAY(A285,3)&gt;4,0,(IF(A285&lt;K$2,0,IF(A285&lt;=K$3,1,0))))</f>
        <v>0</v>
      </c>
      <c r="L285" s="124" t="n">
        <f aca="false">J285*K285</f>
        <v>0</v>
      </c>
      <c r="M285" s="124" t="n">
        <f aca="false">SUM(J$280:J285)</f>
        <v>0</v>
      </c>
      <c r="N285" s="124" t="n">
        <f aca="false">SUM(J$6:J285)</f>
        <v>0</v>
      </c>
      <c r="P285" s="124" t="n">
        <f aca="false">D285/P$3</f>
        <v>0</v>
      </c>
      <c r="Q285" s="143" t="n">
        <f aca="false">E285/P$3</f>
        <v>0</v>
      </c>
      <c r="R285" s="124" t="n">
        <f aca="false">F285/R$3</f>
        <v>0</v>
      </c>
      <c r="S285" s="126" t="n">
        <f aca="false">J285/$R$3</f>
        <v>0</v>
      </c>
      <c r="T285" s="126" t="n">
        <f aca="false">L285/$R$3</f>
        <v>0</v>
      </c>
      <c r="U285" s="126" t="n">
        <f aca="false">I285/$R$3</f>
        <v>0</v>
      </c>
      <c r="V285" s="126" t="n">
        <f aca="false">M285/$R$3</f>
        <v>0</v>
      </c>
      <c r="W285" s="126" t="n">
        <f aca="false">N285/$R$3</f>
        <v>0</v>
      </c>
    </row>
    <row r="286" customFormat="false" ht="12.75" hidden="true" customHeight="false" outlineLevel="0" collapsed="false">
      <c r="A286" s="120" t="n">
        <f aca="false">A285+1</f>
        <v>37172</v>
      </c>
      <c r="B286" s="131" t="str">
        <f aca="false">INDEX('Master Data'!$A$2:$B$8,MATCH(WEEKDAY('Arg Total Power'!A286,3),'Master Data'!$A$2:$A$8,0),2)</f>
        <v>M</v>
      </c>
      <c r="D286" s="124" t="n">
        <v>0</v>
      </c>
      <c r="E286" s="124" t="n">
        <v>426838.914701055</v>
      </c>
      <c r="F286" s="124" t="n">
        <v>0</v>
      </c>
      <c r="G286" s="124" t="n">
        <v>0</v>
      </c>
      <c r="I286" s="124" t="n">
        <f aca="false">IF(MONTH($A286)=MONTH($A285),IF(G286=0,I285,G286),G286)</f>
        <v>0</v>
      </c>
      <c r="J286" s="124" t="n">
        <f aca="false">IF(MONTH($A286)=MONTH($A285),SUM(I286-I285),I286)</f>
        <v>0</v>
      </c>
      <c r="K286" s="124" t="n">
        <f aca="false">IF(WEEKDAY(A286,3)&gt;4,0,(IF(A286&lt;K$2,0,IF(A286&lt;=K$3,1,0))))</f>
        <v>0</v>
      </c>
      <c r="L286" s="124" t="n">
        <f aca="false">J286*K286</f>
        <v>0</v>
      </c>
      <c r="M286" s="124" t="n">
        <f aca="false">SUM(J$280:J286)</f>
        <v>0</v>
      </c>
      <c r="N286" s="124" t="n">
        <f aca="false">SUM(J$6:J286)</f>
        <v>0</v>
      </c>
      <c r="P286" s="124" t="n">
        <f aca="false">D286/P$3</f>
        <v>0</v>
      </c>
      <c r="Q286" s="143" t="n">
        <f aca="false">E286/P$3</f>
        <v>0.426838914701055</v>
      </c>
      <c r="R286" s="124" t="n">
        <f aca="false">F286/R$3</f>
        <v>0</v>
      </c>
      <c r="S286" s="126" t="n">
        <f aca="false">J286/$R$3</f>
        <v>0</v>
      </c>
      <c r="T286" s="126" t="n">
        <f aca="false">L286/$R$3</f>
        <v>0</v>
      </c>
      <c r="U286" s="126" t="n">
        <f aca="false">I286/$R$3</f>
        <v>0</v>
      </c>
      <c r="V286" s="126" t="n">
        <f aca="false">M286/$R$3</f>
        <v>0</v>
      </c>
      <c r="W286" s="126" t="n">
        <f aca="false">N286/$R$3</f>
        <v>0</v>
      </c>
    </row>
    <row r="287" customFormat="false" ht="12.75" hidden="true" customHeight="false" outlineLevel="0" collapsed="false">
      <c r="A287" s="120" t="n">
        <f aca="false">A286+1</f>
        <v>37173</v>
      </c>
      <c r="B287" s="131" t="str">
        <f aca="false">INDEX('Master Data'!$A$2:$B$8,MATCH(WEEKDAY('Arg Total Power'!A287,3),'Master Data'!$A$2:$A$8,0),2)</f>
        <v>T</v>
      </c>
      <c r="D287" s="124" t="n">
        <v>0</v>
      </c>
      <c r="E287" s="124" t="n">
        <v>426875.937194359</v>
      </c>
      <c r="F287" s="124" t="n">
        <v>0</v>
      </c>
      <c r="G287" s="124" t="n">
        <v>0</v>
      </c>
      <c r="I287" s="124" t="n">
        <f aca="false">IF(MONTH($A287)=MONTH($A286),IF(G287=0,I286,G287),G287)</f>
        <v>0</v>
      </c>
      <c r="J287" s="124" t="n">
        <f aca="false">IF(MONTH($A287)=MONTH($A286),SUM(I287-I286),I287)</f>
        <v>0</v>
      </c>
      <c r="K287" s="124" t="n">
        <f aca="false">IF(WEEKDAY(A287,3)&gt;4,0,(IF(A287&lt;K$2,0,IF(A287&lt;=K$3,1,0))))</f>
        <v>0</v>
      </c>
      <c r="L287" s="124" t="n">
        <f aca="false">J287*K287</f>
        <v>0</v>
      </c>
      <c r="M287" s="124" t="n">
        <f aca="false">SUM(J$280:J287)</f>
        <v>0</v>
      </c>
      <c r="N287" s="124" t="n">
        <f aca="false">SUM(J$6:J287)</f>
        <v>0</v>
      </c>
      <c r="P287" s="124" t="n">
        <f aca="false">D287/P$3</f>
        <v>0</v>
      </c>
      <c r="Q287" s="143" t="n">
        <f aca="false">E287/P$3</f>
        <v>0.426875937194359</v>
      </c>
      <c r="R287" s="124" t="n">
        <f aca="false">F287/R$3</f>
        <v>0</v>
      </c>
      <c r="S287" s="126" t="n">
        <f aca="false">J287/$R$3</f>
        <v>0</v>
      </c>
      <c r="T287" s="126" t="n">
        <f aca="false">L287/$R$3</f>
        <v>0</v>
      </c>
      <c r="U287" s="126" t="n">
        <f aca="false">I287/$R$3</f>
        <v>0</v>
      </c>
      <c r="V287" s="126" t="n">
        <f aca="false">M287/$R$3</f>
        <v>0</v>
      </c>
      <c r="W287" s="126" t="n">
        <f aca="false">N287/$R$3</f>
        <v>0</v>
      </c>
    </row>
    <row r="288" customFormat="false" ht="12.75" hidden="true" customHeight="false" outlineLevel="0" collapsed="false">
      <c r="A288" s="120" t="n">
        <f aca="false">A287+1</f>
        <v>37174</v>
      </c>
      <c r="B288" s="131" t="str">
        <f aca="false">INDEX('Master Data'!$A$2:$B$8,MATCH(WEEKDAY('Arg Total Power'!A288,3),'Master Data'!$A$2:$A$8,0),2)</f>
        <v>W</v>
      </c>
      <c r="D288" s="124" t="n">
        <v>0</v>
      </c>
      <c r="E288" s="124" t="n">
        <v>426611.811015377</v>
      </c>
      <c r="F288" s="124" t="n">
        <v>0</v>
      </c>
      <c r="G288" s="124" t="n">
        <v>0</v>
      </c>
      <c r="I288" s="124" t="n">
        <f aca="false">IF(MONTH($A288)=MONTH($A287),IF(G288=0,I287,G288),G288)</f>
        <v>0</v>
      </c>
      <c r="J288" s="124" t="n">
        <f aca="false">IF(MONTH($A288)=MONTH($A287),SUM(I288-I287),I288)</f>
        <v>0</v>
      </c>
      <c r="K288" s="124" t="n">
        <f aca="false">IF(WEEKDAY(A288,3)&gt;4,0,(IF(A288&lt;K$2,0,IF(A288&lt;=K$3,1,0))))</f>
        <v>0</v>
      </c>
      <c r="L288" s="124" t="n">
        <f aca="false">J288*K288</f>
        <v>0</v>
      </c>
      <c r="M288" s="124" t="n">
        <f aca="false">SUM(J$280:J288)</f>
        <v>0</v>
      </c>
      <c r="N288" s="124" t="n">
        <f aca="false">SUM(J$6:J288)</f>
        <v>0</v>
      </c>
      <c r="P288" s="124" t="n">
        <f aca="false">D288/P$3</f>
        <v>0</v>
      </c>
      <c r="Q288" s="143" t="n">
        <f aca="false">E288/P$3</f>
        <v>0.426611811015377</v>
      </c>
      <c r="R288" s="124" t="n">
        <f aca="false">F288/R$3</f>
        <v>0</v>
      </c>
      <c r="S288" s="126" t="n">
        <f aca="false">J288/$R$3</f>
        <v>0</v>
      </c>
      <c r="T288" s="126" t="n">
        <f aca="false">L288/$R$3</f>
        <v>0</v>
      </c>
      <c r="U288" s="126" t="n">
        <f aca="false">I288/$R$3</f>
        <v>0</v>
      </c>
      <c r="V288" s="126" t="n">
        <f aca="false">M288/$R$3</f>
        <v>0</v>
      </c>
      <c r="W288" s="126" t="n">
        <f aca="false">N288/$R$3</f>
        <v>0</v>
      </c>
    </row>
    <row r="289" customFormat="false" ht="12.75" hidden="true" customHeight="false" outlineLevel="0" collapsed="false">
      <c r="A289" s="120" t="n">
        <f aca="false">A288+1</f>
        <v>37175</v>
      </c>
      <c r="B289" s="131" t="str">
        <f aca="false">INDEX('Master Data'!$A$2:$B$8,MATCH(WEEKDAY('Arg Total Power'!A289,3),'Master Data'!$A$2:$A$8,0),2)</f>
        <v>Th</v>
      </c>
      <c r="D289" s="124" t="n">
        <v>0</v>
      </c>
      <c r="E289" s="124" t="n">
        <v>426349.500178966</v>
      </c>
      <c r="F289" s="124" t="n">
        <v>0</v>
      </c>
      <c r="G289" s="124" t="n">
        <v>0</v>
      </c>
      <c r="I289" s="124" t="n">
        <f aca="false">IF(MONTH($A289)=MONTH($A288),IF(G289=0,I288,G289),G289)</f>
        <v>0</v>
      </c>
      <c r="J289" s="124" t="n">
        <f aca="false">IF(MONTH($A289)=MONTH($A288),SUM(I289-I288),I289)</f>
        <v>0</v>
      </c>
      <c r="K289" s="124" t="n">
        <f aca="false">IF(WEEKDAY(A289,3)&gt;4,0,(IF(A289&lt;K$2,0,IF(A289&lt;=K$3,1,0))))</f>
        <v>0</v>
      </c>
      <c r="L289" s="124" t="n">
        <f aca="false">J289*K289</f>
        <v>0</v>
      </c>
      <c r="M289" s="124" t="n">
        <f aca="false">SUM(J$280:J289)</f>
        <v>0</v>
      </c>
      <c r="N289" s="124" t="n">
        <f aca="false">SUM(J$6:J289)</f>
        <v>0</v>
      </c>
      <c r="P289" s="124" t="n">
        <f aca="false">D289/P$3</f>
        <v>0</v>
      </c>
      <c r="Q289" s="143" t="n">
        <f aca="false">E289/P$3</f>
        <v>0.426349500178966</v>
      </c>
      <c r="R289" s="124" t="n">
        <f aca="false">F289/R$3</f>
        <v>0</v>
      </c>
      <c r="S289" s="126" t="n">
        <f aca="false">J289/$R$3</f>
        <v>0</v>
      </c>
      <c r="T289" s="126" t="n">
        <f aca="false">L289/$R$3</f>
        <v>0</v>
      </c>
      <c r="U289" s="126" t="n">
        <f aca="false">I289/$R$3</f>
        <v>0</v>
      </c>
      <c r="V289" s="126" t="n">
        <f aca="false">M289/$R$3</f>
        <v>0</v>
      </c>
      <c r="W289" s="126" t="n">
        <f aca="false">N289/$R$3</f>
        <v>0</v>
      </c>
    </row>
    <row r="290" customFormat="false" ht="12.75" hidden="true" customHeight="false" outlineLevel="0" collapsed="false">
      <c r="A290" s="120" t="n">
        <f aca="false">A289+1</f>
        <v>37176</v>
      </c>
      <c r="B290" s="131" t="str">
        <f aca="false">INDEX('Master Data'!$A$2:$B$8,MATCH(WEEKDAY('Arg Total Power'!A290,3),'Master Data'!$A$2:$A$8,0),2)</f>
        <v>F</v>
      </c>
      <c r="D290" s="124" t="n">
        <v>0</v>
      </c>
      <c r="E290" s="124" t="n">
        <v>425016.65976834</v>
      </c>
      <c r="F290" s="124" t="n">
        <v>0</v>
      </c>
      <c r="G290" s="124" t="n">
        <v>0</v>
      </c>
      <c r="I290" s="124" t="n">
        <f aca="false">IF(MONTH($A290)=MONTH($A289),IF(G290=0,I289,G290),G290)</f>
        <v>0</v>
      </c>
      <c r="J290" s="124" t="n">
        <f aca="false">IF(MONTH($A290)=MONTH($A289),SUM(I290-I289),I290)</f>
        <v>0</v>
      </c>
      <c r="K290" s="124" t="n">
        <f aca="false">IF(WEEKDAY(A290,3)&gt;4,0,(IF(A290&lt;K$2,0,IF(A290&lt;=K$3,1,0))))</f>
        <v>0</v>
      </c>
      <c r="L290" s="124" t="n">
        <f aca="false">J290*K290</f>
        <v>0</v>
      </c>
      <c r="M290" s="124" t="n">
        <f aca="false">SUM(J$280:J290)</f>
        <v>0</v>
      </c>
      <c r="N290" s="124" t="n">
        <f aca="false">SUM(J$6:J290)</f>
        <v>0</v>
      </c>
      <c r="P290" s="124" t="n">
        <f aca="false">D290/P$3</f>
        <v>0</v>
      </c>
      <c r="Q290" s="143" t="n">
        <f aca="false">E290/P$3</f>
        <v>0.42501665976834</v>
      </c>
      <c r="R290" s="124" t="n">
        <f aca="false">F290/R$3</f>
        <v>0</v>
      </c>
      <c r="S290" s="126" t="n">
        <f aca="false">J290/$R$3</f>
        <v>0</v>
      </c>
      <c r="T290" s="126" t="n">
        <f aca="false">L290/$R$3</f>
        <v>0</v>
      </c>
      <c r="U290" s="126" t="n">
        <f aca="false">I290/$R$3</f>
        <v>0</v>
      </c>
      <c r="V290" s="126" t="n">
        <f aca="false">M290/$R$3</f>
        <v>0</v>
      </c>
      <c r="W290" s="126" t="n">
        <f aca="false">N290/$R$3</f>
        <v>0</v>
      </c>
    </row>
    <row r="291" customFormat="false" ht="12.75" hidden="true" customHeight="false" outlineLevel="0" collapsed="false">
      <c r="A291" s="120" t="n">
        <f aca="false">A290+1</f>
        <v>37177</v>
      </c>
      <c r="B291" s="131" t="str">
        <f aca="false">INDEX('Master Data'!$A$2:$B$8,MATCH(WEEKDAY('Arg Total Power'!A291,3),'Master Data'!$A$2:$A$8,0),2)</f>
        <v>Sa</v>
      </c>
      <c r="D291" s="124" t="n">
        <v>0</v>
      </c>
      <c r="E291" s="124" t="n">
        <v>0</v>
      </c>
      <c r="F291" s="124" t="n">
        <v>0</v>
      </c>
      <c r="G291" s="124" t="n">
        <v>0</v>
      </c>
      <c r="I291" s="124" t="n">
        <f aca="false">IF(MONTH($A291)=MONTH($A290),IF(G291=0,I290,G291),G291)</f>
        <v>0</v>
      </c>
      <c r="J291" s="124" t="n">
        <f aca="false">IF(MONTH($A291)=MONTH($A290),SUM(I291-I290),I291)</f>
        <v>0</v>
      </c>
      <c r="K291" s="124" t="n">
        <f aca="false">IF(WEEKDAY(A291,3)&gt;4,0,(IF(A291&lt;K$2,0,IF(A291&lt;=K$3,1,0))))</f>
        <v>0</v>
      </c>
      <c r="L291" s="124" t="n">
        <f aca="false">J291*K291</f>
        <v>0</v>
      </c>
      <c r="M291" s="124" t="n">
        <f aca="false">SUM(J$280:J291)</f>
        <v>0</v>
      </c>
      <c r="N291" s="124" t="n">
        <f aca="false">SUM(J$6:J291)</f>
        <v>0</v>
      </c>
      <c r="P291" s="124" t="n">
        <f aca="false">D291/P$3</f>
        <v>0</v>
      </c>
      <c r="Q291" s="143" t="n">
        <f aca="false">E291/P$3</f>
        <v>0</v>
      </c>
      <c r="R291" s="124" t="n">
        <f aca="false">F291/R$3</f>
        <v>0</v>
      </c>
      <c r="S291" s="126" t="n">
        <f aca="false">J291/$R$3</f>
        <v>0</v>
      </c>
      <c r="T291" s="126" t="n">
        <f aca="false">L291/$R$3</f>
        <v>0</v>
      </c>
      <c r="U291" s="126" t="n">
        <f aca="false">I291/$R$3</f>
        <v>0</v>
      </c>
      <c r="V291" s="126" t="n">
        <f aca="false">M291/$R$3</f>
        <v>0</v>
      </c>
      <c r="W291" s="126" t="n">
        <f aca="false">N291/$R$3</f>
        <v>0</v>
      </c>
    </row>
    <row r="292" customFormat="false" ht="12.75" hidden="true" customHeight="false" outlineLevel="0" collapsed="false">
      <c r="A292" s="120" t="n">
        <f aca="false">A291+1</f>
        <v>37178</v>
      </c>
      <c r="B292" s="131" t="str">
        <f aca="false">INDEX('Master Data'!$A$2:$B$8,MATCH(WEEKDAY('Arg Total Power'!A292,3),'Master Data'!$A$2:$A$8,0),2)</f>
        <v>Su</v>
      </c>
      <c r="D292" s="124" t="n">
        <v>0</v>
      </c>
      <c r="E292" s="124" t="n">
        <v>0</v>
      </c>
      <c r="F292" s="124" t="n">
        <v>0</v>
      </c>
      <c r="G292" s="124" t="n">
        <v>0</v>
      </c>
      <c r="I292" s="124" t="n">
        <f aca="false">IF(MONTH($A292)=MONTH($A291),IF(G292=0,I291,G292),G292)</f>
        <v>0</v>
      </c>
      <c r="J292" s="124" t="n">
        <f aca="false">IF(MONTH($A292)=MONTH($A291),SUM(I292-I291),I292)</f>
        <v>0</v>
      </c>
      <c r="K292" s="124" t="n">
        <f aca="false">IF(WEEKDAY(A292,3)&gt;4,0,(IF(A292&lt;K$2,0,IF(A292&lt;=K$3,1,0))))</f>
        <v>0</v>
      </c>
      <c r="L292" s="124" t="n">
        <f aca="false">J292*K292</f>
        <v>0</v>
      </c>
      <c r="M292" s="124" t="n">
        <f aca="false">SUM(J$280:J292)</f>
        <v>0</v>
      </c>
      <c r="N292" s="124" t="n">
        <f aca="false">SUM(J$6:J292)</f>
        <v>0</v>
      </c>
      <c r="P292" s="124" t="n">
        <f aca="false">D292/P$3</f>
        <v>0</v>
      </c>
      <c r="Q292" s="143" t="n">
        <f aca="false">E292/P$3</f>
        <v>0</v>
      </c>
      <c r="R292" s="124" t="n">
        <f aca="false">F292/R$3</f>
        <v>0</v>
      </c>
      <c r="S292" s="126" t="n">
        <f aca="false">J292/$R$3</f>
        <v>0</v>
      </c>
      <c r="T292" s="126" t="n">
        <f aca="false">L292/$R$3</f>
        <v>0</v>
      </c>
      <c r="U292" s="126" t="n">
        <f aca="false">I292/$R$3</f>
        <v>0</v>
      </c>
      <c r="V292" s="126" t="n">
        <f aca="false">M292/$R$3</f>
        <v>0</v>
      </c>
      <c r="W292" s="126" t="n">
        <f aca="false">N292/$R$3</f>
        <v>0</v>
      </c>
    </row>
    <row r="293" customFormat="false" ht="12.75" hidden="true" customHeight="false" outlineLevel="0" collapsed="false">
      <c r="A293" s="120" t="n">
        <f aca="false">A292+1</f>
        <v>37179</v>
      </c>
      <c r="B293" s="131" t="str">
        <f aca="false">INDEX('Master Data'!$A$2:$B$8,MATCH(WEEKDAY('Arg Total Power'!A293,3),'Master Data'!$A$2:$A$8,0),2)</f>
        <v>M</v>
      </c>
      <c r="D293" s="124" t="n">
        <v>0</v>
      </c>
      <c r="E293" s="124" t="n">
        <v>425610.394360851</v>
      </c>
      <c r="F293" s="124" t="n">
        <v>0</v>
      </c>
      <c r="G293" s="124" t="n">
        <v>0</v>
      </c>
      <c r="I293" s="124" t="n">
        <f aca="false">IF(MONTH($A293)=MONTH($A292),IF(G293=0,I292,G293),G293)</f>
        <v>0</v>
      </c>
      <c r="J293" s="124" t="n">
        <f aca="false">IF(MONTH($A293)=MONTH($A292),SUM(I293-I292),I293)</f>
        <v>0</v>
      </c>
      <c r="K293" s="124" t="n">
        <f aca="false">IF(WEEKDAY(A293,3)&gt;4,0,(IF(A293&lt;K$2,0,IF(A293&lt;=K$3,1,0))))</f>
        <v>0</v>
      </c>
      <c r="L293" s="124" t="n">
        <f aca="false">J293*K293</f>
        <v>0</v>
      </c>
      <c r="M293" s="124" t="n">
        <f aca="false">SUM(J$280:J293)</f>
        <v>0</v>
      </c>
      <c r="N293" s="124" t="n">
        <f aca="false">SUM(J$6:J293)</f>
        <v>0</v>
      </c>
      <c r="P293" s="124" t="n">
        <f aca="false">D293/P$3</f>
        <v>0</v>
      </c>
      <c r="Q293" s="143" t="n">
        <f aca="false">E293/P$3</f>
        <v>0.425610394360851</v>
      </c>
      <c r="R293" s="124" t="n">
        <f aca="false">F293/R$3</f>
        <v>0</v>
      </c>
      <c r="S293" s="126" t="n">
        <f aca="false">J293/$R$3</f>
        <v>0</v>
      </c>
      <c r="T293" s="126" t="n">
        <f aca="false">L293/$R$3</f>
        <v>0</v>
      </c>
      <c r="U293" s="126" t="n">
        <f aca="false">I293/$R$3</f>
        <v>0</v>
      </c>
      <c r="V293" s="126" t="n">
        <f aca="false">M293/$R$3</f>
        <v>0</v>
      </c>
      <c r="W293" s="126" t="n">
        <f aca="false">N293/$R$3</f>
        <v>0</v>
      </c>
    </row>
    <row r="294" customFormat="false" ht="12.75" hidden="true" customHeight="false" outlineLevel="0" collapsed="false">
      <c r="A294" s="120" t="n">
        <f aca="false">A293+1</f>
        <v>37180</v>
      </c>
      <c r="B294" s="131" t="str">
        <f aca="false">INDEX('Master Data'!$A$2:$B$8,MATCH(WEEKDAY('Arg Total Power'!A294,3),'Master Data'!$A$2:$A$8,0),2)</f>
        <v>T</v>
      </c>
      <c r="D294" s="124" t="n">
        <v>0</v>
      </c>
      <c r="E294" s="124" t="n">
        <v>426274.824343536</v>
      </c>
      <c r="F294" s="124" t="n">
        <v>0</v>
      </c>
      <c r="G294" s="124" t="n">
        <v>0</v>
      </c>
      <c r="I294" s="124" t="n">
        <f aca="false">IF(MONTH($A294)=MONTH($A293),IF(G294=0,I293,G294),G294)</f>
        <v>0</v>
      </c>
      <c r="J294" s="124" t="n">
        <f aca="false">IF(MONTH($A294)=MONTH($A293),SUM(I294-I293),I294)</f>
        <v>0</v>
      </c>
      <c r="K294" s="124" t="n">
        <f aca="false">IF(WEEKDAY(A294,3)&gt;4,0,(IF(A294&lt;K$2,0,IF(A294&lt;=K$3,1,0))))</f>
        <v>0</v>
      </c>
      <c r="L294" s="124" t="n">
        <f aca="false">J294*K294</f>
        <v>0</v>
      </c>
      <c r="M294" s="124" t="n">
        <f aca="false">SUM(J$280:J294)</f>
        <v>0</v>
      </c>
      <c r="N294" s="124" t="n">
        <f aca="false">SUM(J$6:J294)</f>
        <v>0</v>
      </c>
      <c r="P294" s="124" t="n">
        <f aca="false">D294/P$3</f>
        <v>0</v>
      </c>
      <c r="Q294" s="143" t="n">
        <f aca="false">E294/P$3</f>
        <v>0.426274824343536</v>
      </c>
      <c r="R294" s="124" t="n">
        <f aca="false">F294/R$3</f>
        <v>0</v>
      </c>
      <c r="S294" s="126" t="n">
        <f aca="false">J294/$R$3</f>
        <v>0</v>
      </c>
      <c r="T294" s="126" t="n">
        <f aca="false">L294/$R$3</f>
        <v>0</v>
      </c>
      <c r="U294" s="126" t="n">
        <f aca="false">I294/$R$3</f>
        <v>0</v>
      </c>
      <c r="V294" s="126" t="n">
        <f aca="false">M294/$R$3</f>
        <v>0</v>
      </c>
      <c r="W294" s="126" t="n">
        <f aca="false">N294/$R$3</f>
        <v>0</v>
      </c>
    </row>
    <row r="295" customFormat="false" ht="12.75" hidden="true" customHeight="false" outlineLevel="0" collapsed="false">
      <c r="A295" s="120" t="n">
        <f aca="false">A294+1</f>
        <v>37181</v>
      </c>
      <c r="B295" s="131" t="str">
        <f aca="false">INDEX('Master Data'!$A$2:$B$8,MATCH(WEEKDAY('Arg Total Power'!A295,3),'Master Data'!$A$2:$A$8,0),2)</f>
        <v>W</v>
      </c>
      <c r="D295" s="124" t="n">
        <v>0</v>
      </c>
      <c r="E295" s="124" t="n">
        <v>426374.685951392</v>
      </c>
      <c r="F295" s="124" t="n">
        <v>0</v>
      </c>
      <c r="G295" s="124" t="n">
        <v>0</v>
      </c>
      <c r="I295" s="124" t="n">
        <f aca="false">IF(MONTH($A295)=MONTH($A294),IF(G295=0,I294,G295),G295)</f>
        <v>0</v>
      </c>
      <c r="J295" s="124" t="n">
        <f aca="false">IF(MONTH($A295)=MONTH($A294),SUM(I295-I294),I295)</f>
        <v>0</v>
      </c>
      <c r="K295" s="124" t="n">
        <f aca="false">IF(WEEKDAY(A295,3)&gt;4,0,(IF(A295&lt;K$2,0,IF(A295&lt;=K$3,1,0))))</f>
        <v>0</v>
      </c>
      <c r="L295" s="124" t="n">
        <f aca="false">J295*K295</f>
        <v>0</v>
      </c>
      <c r="M295" s="124" t="n">
        <f aca="false">SUM(J$280:J295)</f>
        <v>0</v>
      </c>
      <c r="N295" s="124" t="n">
        <f aca="false">SUM(J$6:J295)</f>
        <v>0</v>
      </c>
      <c r="P295" s="124" t="n">
        <f aca="false">D295/P$3</f>
        <v>0</v>
      </c>
      <c r="Q295" s="143" t="n">
        <f aca="false">E295/P$3</f>
        <v>0.426374685951392</v>
      </c>
      <c r="R295" s="124" t="n">
        <f aca="false">F295/R$3</f>
        <v>0</v>
      </c>
      <c r="S295" s="126" t="n">
        <f aca="false">J295/$R$3</f>
        <v>0</v>
      </c>
      <c r="T295" s="126" t="n">
        <f aca="false">L295/$R$3</f>
        <v>0</v>
      </c>
      <c r="U295" s="126" t="n">
        <f aca="false">I295/$R$3</f>
        <v>0</v>
      </c>
      <c r="V295" s="126" t="n">
        <f aca="false">M295/$R$3</f>
        <v>0</v>
      </c>
      <c r="W295" s="126" t="n">
        <f aca="false">N295/$R$3</f>
        <v>0</v>
      </c>
    </row>
    <row r="296" customFormat="false" ht="12.75" hidden="true" customHeight="false" outlineLevel="0" collapsed="false">
      <c r="A296" s="120" t="n">
        <f aca="false">A295+1</f>
        <v>37182</v>
      </c>
      <c r="B296" s="131" t="str">
        <f aca="false">INDEX('Master Data'!$A$2:$B$8,MATCH(WEEKDAY('Arg Total Power'!A296,3),'Master Data'!$A$2:$A$8,0),2)</f>
        <v>Th</v>
      </c>
      <c r="D296" s="124" t="n">
        <v>0</v>
      </c>
      <c r="E296" s="124" t="n">
        <v>419250.686960182</v>
      </c>
      <c r="F296" s="124" t="n">
        <v>0</v>
      </c>
      <c r="G296" s="124" t="n">
        <v>0</v>
      </c>
      <c r="I296" s="124" t="n">
        <f aca="false">IF(MONTH($A296)=MONTH($A295),IF(G296=0,I295,G296),G296)</f>
        <v>0</v>
      </c>
      <c r="J296" s="124" t="n">
        <f aca="false">IF(MONTH($A296)=MONTH($A295),SUM(I296-I295),I296)</f>
        <v>0</v>
      </c>
      <c r="K296" s="124" t="n">
        <f aca="false">IF(WEEKDAY(A296,3)&gt;4,0,(IF(A296&lt;K$2,0,IF(A296&lt;=K$3,1,0))))</f>
        <v>0</v>
      </c>
      <c r="L296" s="124" t="n">
        <f aca="false">J296*K296</f>
        <v>0</v>
      </c>
      <c r="M296" s="124" t="n">
        <f aca="false">SUM(J$280:J296)</f>
        <v>0</v>
      </c>
      <c r="N296" s="124" t="n">
        <f aca="false">SUM(J$6:J296)</f>
        <v>0</v>
      </c>
      <c r="P296" s="124" t="n">
        <f aca="false">D296/P$3</f>
        <v>0</v>
      </c>
      <c r="Q296" s="143" t="n">
        <f aca="false">E296/P$3</f>
        <v>0.419250686960182</v>
      </c>
      <c r="R296" s="124" t="n">
        <f aca="false">F296/R$3</f>
        <v>0</v>
      </c>
      <c r="S296" s="126" t="n">
        <f aca="false">J296/$R$3</f>
        <v>0</v>
      </c>
      <c r="T296" s="126" t="n">
        <f aca="false">L296/$R$3</f>
        <v>0</v>
      </c>
      <c r="U296" s="126" t="n">
        <f aca="false">I296/$R$3</f>
        <v>0</v>
      </c>
      <c r="V296" s="126" t="n">
        <f aca="false">M296/$R$3</f>
        <v>0</v>
      </c>
      <c r="W296" s="126" t="n">
        <f aca="false">N296/$R$3</f>
        <v>0</v>
      </c>
    </row>
    <row r="297" customFormat="false" ht="12.75" hidden="true" customHeight="false" outlineLevel="0" collapsed="false">
      <c r="A297" s="120" t="n">
        <f aca="false">A296+1</f>
        <v>37183</v>
      </c>
      <c r="B297" s="131" t="str">
        <f aca="false">INDEX('Master Data'!$A$2:$B$8,MATCH(WEEKDAY('Arg Total Power'!A297,3),'Master Data'!$A$2:$A$8,0),2)</f>
        <v>F</v>
      </c>
      <c r="D297" s="124" t="n">
        <v>0</v>
      </c>
      <c r="E297" s="124" t="n">
        <v>419939.20634686</v>
      </c>
      <c r="F297" s="124" t="n">
        <v>0</v>
      </c>
      <c r="G297" s="124" t="n">
        <v>0</v>
      </c>
      <c r="I297" s="124" t="n">
        <f aca="false">IF(MONTH($A297)=MONTH($A296),IF(G297=0,I296,G297),G297)</f>
        <v>0</v>
      </c>
      <c r="J297" s="124" t="n">
        <f aca="false">IF(MONTH($A297)=MONTH($A296),SUM(I297-I296),I297)</f>
        <v>0</v>
      </c>
      <c r="K297" s="124" t="n">
        <f aca="false">IF(WEEKDAY(A297,3)&gt;4,0,(IF(A297&lt;K$2,0,IF(A297&lt;=K$3,1,0))))</f>
        <v>0</v>
      </c>
      <c r="L297" s="124" t="n">
        <f aca="false">J297*K297</f>
        <v>0</v>
      </c>
      <c r="M297" s="124" t="n">
        <f aca="false">SUM(J$280:J297)</f>
        <v>0</v>
      </c>
      <c r="N297" s="124" t="n">
        <f aca="false">SUM(J$6:J297)</f>
        <v>0</v>
      </c>
      <c r="P297" s="124" t="n">
        <f aca="false">D297/P$3</f>
        <v>0</v>
      </c>
      <c r="Q297" s="143" t="n">
        <f aca="false">E297/P$3</f>
        <v>0.41993920634686</v>
      </c>
      <c r="R297" s="124" t="n">
        <f aca="false">F297/R$3</f>
        <v>0</v>
      </c>
      <c r="S297" s="126" t="n">
        <f aca="false">J297/$R$3</f>
        <v>0</v>
      </c>
      <c r="T297" s="126" t="n">
        <f aca="false">L297/$R$3</f>
        <v>0</v>
      </c>
      <c r="U297" s="126" t="n">
        <f aca="false">I297/$R$3</f>
        <v>0</v>
      </c>
      <c r="V297" s="126" t="n">
        <f aca="false">M297/$R$3</f>
        <v>0</v>
      </c>
      <c r="W297" s="126" t="n">
        <f aca="false">N297/$R$3</f>
        <v>0</v>
      </c>
    </row>
    <row r="298" customFormat="false" ht="12.75" hidden="true" customHeight="false" outlineLevel="0" collapsed="false">
      <c r="A298" s="120" t="n">
        <f aca="false">A297+1</f>
        <v>37184</v>
      </c>
      <c r="B298" s="131" t="str">
        <f aca="false">INDEX('Master Data'!$A$2:$B$8,MATCH(WEEKDAY('Arg Total Power'!A298,3),'Master Data'!$A$2:$A$8,0),2)</f>
        <v>Sa</v>
      </c>
      <c r="D298" s="124" t="n">
        <v>0</v>
      </c>
      <c r="E298" s="124" t="n">
        <v>0</v>
      </c>
      <c r="F298" s="124" t="n">
        <v>0</v>
      </c>
      <c r="G298" s="124" t="n">
        <v>0</v>
      </c>
      <c r="I298" s="124" t="n">
        <f aca="false">IF(MONTH($A298)=MONTH($A297),IF(G298=0,I297,G298),G298)</f>
        <v>0</v>
      </c>
      <c r="J298" s="124" t="n">
        <f aca="false">IF(MONTH($A298)=MONTH($A297),SUM(I298-I297),I298)</f>
        <v>0</v>
      </c>
      <c r="K298" s="124" t="n">
        <f aca="false">IF(WEEKDAY(A298,3)&gt;4,0,(IF(A298&lt;K$2,0,IF(A298&lt;=K$3,1,0))))</f>
        <v>0</v>
      </c>
      <c r="L298" s="124" t="n">
        <f aca="false">J298*K298</f>
        <v>0</v>
      </c>
      <c r="M298" s="124" t="n">
        <f aca="false">SUM(J$280:J298)</f>
        <v>0</v>
      </c>
      <c r="N298" s="124" t="n">
        <f aca="false">SUM(J$6:J298)</f>
        <v>0</v>
      </c>
      <c r="P298" s="124" t="n">
        <f aca="false">D298/P$3</f>
        <v>0</v>
      </c>
      <c r="Q298" s="143" t="n">
        <f aca="false">E298/P$3</f>
        <v>0</v>
      </c>
      <c r="R298" s="124" t="n">
        <f aca="false">F298/R$3</f>
        <v>0</v>
      </c>
      <c r="S298" s="126" t="n">
        <f aca="false">J298/$R$3</f>
        <v>0</v>
      </c>
      <c r="T298" s="126" t="n">
        <f aca="false">L298/$R$3</f>
        <v>0</v>
      </c>
      <c r="U298" s="126" t="n">
        <f aca="false">I298/$R$3</f>
        <v>0</v>
      </c>
      <c r="V298" s="126" t="n">
        <f aca="false">M298/$R$3</f>
        <v>0</v>
      </c>
      <c r="W298" s="126" t="n">
        <f aca="false">N298/$R$3</f>
        <v>0</v>
      </c>
    </row>
    <row r="299" customFormat="false" ht="12.75" hidden="true" customHeight="false" outlineLevel="0" collapsed="false">
      <c r="A299" s="120" t="n">
        <f aca="false">A298+1</f>
        <v>37185</v>
      </c>
      <c r="B299" s="131" t="str">
        <f aca="false">INDEX('Master Data'!$A$2:$B$8,MATCH(WEEKDAY('Arg Total Power'!A299,3),'Master Data'!$A$2:$A$8,0),2)</f>
        <v>Su</v>
      </c>
      <c r="D299" s="124" t="n">
        <v>0</v>
      </c>
      <c r="E299" s="124" t="n">
        <v>0</v>
      </c>
      <c r="F299" s="124" t="n">
        <v>0</v>
      </c>
      <c r="G299" s="124" t="n">
        <v>0</v>
      </c>
      <c r="I299" s="124" t="n">
        <f aca="false">IF(MONTH($A299)=MONTH($A298),IF(G299=0,I298,G299),G299)</f>
        <v>0</v>
      </c>
      <c r="J299" s="124" t="n">
        <f aca="false">IF(MONTH($A299)=MONTH($A298),SUM(I299-I298),I299)</f>
        <v>0</v>
      </c>
      <c r="K299" s="124" t="n">
        <f aca="false">IF(WEEKDAY(A299,3)&gt;4,0,(IF(A299&lt;K$2,0,IF(A299&lt;=K$3,1,0))))</f>
        <v>0</v>
      </c>
      <c r="L299" s="124" t="n">
        <f aca="false">J299*K299</f>
        <v>0</v>
      </c>
      <c r="M299" s="124" t="n">
        <f aca="false">SUM(J$280:J299)</f>
        <v>0</v>
      </c>
      <c r="N299" s="124" t="n">
        <f aca="false">SUM(J$6:J299)</f>
        <v>0</v>
      </c>
      <c r="P299" s="124" t="n">
        <f aca="false">D299/P$3</f>
        <v>0</v>
      </c>
      <c r="Q299" s="143" t="n">
        <f aca="false">E299/P$3</f>
        <v>0</v>
      </c>
      <c r="R299" s="124" t="n">
        <f aca="false">F299/R$3</f>
        <v>0</v>
      </c>
      <c r="S299" s="126" t="n">
        <f aca="false">J299/$R$3</f>
        <v>0</v>
      </c>
      <c r="T299" s="126" t="n">
        <f aca="false">L299/$R$3</f>
        <v>0</v>
      </c>
      <c r="U299" s="126" t="n">
        <f aca="false">I299/$R$3</f>
        <v>0</v>
      </c>
      <c r="V299" s="126" t="n">
        <f aca="false">M299/$R$3</f>
        <v>0</v>
      </c>
      <c r="W299" s="126" t="n">
        <f aca="false">N299/$R$3</f>
        <v>0</v>
      </c>
    </row>
    <row r="300" customFormat="false" ht="12.75" hidden="true" customHeight="false" outlineLevel="0" collapsed="false">
      <c r="A300" s="120" t="n">
        <f aca="false">A299+1</f>
        <v>37186</v>
      </c>
      <c r="B300" s="131" t="str">
        <f aca="false">INDEX('Master Data'!$A$2:$B$8,MATCH(WEEKDAY('Arg Total Power'!A300,3),'Master Data'!$A$2:$A$8,0),2)</f>
        <v>M</v>
      </c>
      <c r="D300" s="124" t="n">
        <v>0</v>
      </c>
      <c r="E300" s="124" t="n">
        <v>419981.890009246</v>
      </c>
      <c r="F300" s="124" t="n">
        <v>0</v>
      </c>
      <c r="G300" s="124" t="n">
        <v>0</v>
      </c>
      <c r="I300" s="124" t="n">
        <f aca="false">IF(MONTH($A300)=MONTH($A299),IF(G300=0,I299,G300),G300)</f>
        <v>0</v>
      </c>
      <c r="J300" s="124" t="n">
        <f aca="false">IF(MONTH($A300)=MONTH($A299),SUM(I300-I299),I300)</f>
        <v>0</v>
      </c>
      <c r="K300" s="124" t="n">
        <f aca="false">IF(WEEKDAY(A300,3)&gt;4,0,(IF(A300&lt;K$2,0,IF(A300&lt;=K$3,1,0))))</f>
        <v>0</v>
      </c>
      <c r="L300" s="124" t="n">
        <f aca="false">J300*K300</f>
        <v>0</v>
      </c>
      <c r="M300" s="124" t="n">
        <f aca="false">SUM(J$280:J300)</f>
        <v>0</v>
      </c>
      <c r="N300" s="124" t="n">
        <f aca="false">SUM(J$6:J300)</f>
        <v>0</v>
      </c>
      <c r="P300" s="124" t="n">
        <f aca="false">D300/P$3</f>
        <v>0</v>
      </c>
      <c r="Q300" s="143" t="n">
        <f aca="false">E300/P$3</f>
        <v>0.419981890009246</v>
      </c>
      <c r="R300" s="124" t="n">
        <f aca="false">F300/R$3</f>
        <v>0</v>
      </c>
      <c r="S300" s="126" t="n">
        <f aca="false">J300/$R$3</f>
        <v>0</v>
      </c>
      <c r="T300" s="126" t="n">
        <f aca="false">L300/$R$3</f>
        <v>0</v>
      </c>
      <c r="U300" s="126" t="n">
        <f aca="false">I300/$R$3</f>
        <v>0</v>
      </c>
      <c r="V300" s="126" t="n">
        <f aca="false">M300/$R$3</f>
        <v>0</v>
      </c>
      <c r="W300" s="126" t="n">
        <f aca="false">N300/$R$3</f>
        <v>0</v>
      </c>
    </row>
    <row r="301" customFormat="false" ht="12.75" hidden="true" customHeight="false" outlineLevel="0" collapsed="false">
      <c r="A301" s="120" t="n">
        <f aca="false">A300+1</f>
        <v>37187</v>
      </c>
      <c r="B301" s="131" t="str">
        <f aca="false">INDEX('Master Data'!$A$2:$B$8,MATCH(WEEKDAY('Arg Total Power'!A301,3),'Master Data'!$A$2:$A$8,0),2)</f>
        <v>T</v>
      </c>
      <c r="D301" s="124" t="n">
        <v>0</v>
      </c>
      <c r="E301" s="124" t="n">
        <v>419850.473083227</v>
      </c>
      <c r="F301" s="124" t="n">
        <v>0</v>
      </c>
      <c r="G301" s="124" t="n">
        <v>0</v>
      </c>
      <c r="I301" s="124" t="n">
        <f aca="false">IF(MONTH($A301)=MONTH($A300),IF(G301=0,I300,G301),G301)</f>
        <v>0</v>
      </c>
      <c r="J301" s="124" t="n">
        <f aca="false">IF(MONTH($A301)=MONTH($A300),SUM(I301-I300),I301)</f>
        <v>0</v>
      </c>
      <c r="K301" s="124" t="n">
        <f aca="false">IF(WEEKDAY(A301,3)&gt;4,0,(IF(A301&lt;K$2,0,IF(A301&lt;=K$3,1,0))))</f>
        <v>0</v>
      </c>
      <c r="L301" s="124" t="n">
        <f aca="false">J301*K301</f>
        <v>0</v>
      </c>
      <c r="M301" s="124" t="n">
        <f aca="false">SUM(J$280:J301)</f>
        <v>0</v>
      </c>
      <c r="N301" s="124" t="n">
        <f aca="false">SUM(J$6:J301)</f>
        <v>0</v>
      </c>
      <c r="P301" s="124" t="n">
        <f aca="false">D301/P$3</f>
        <v>0</v>
      </c>
      <c r="Q301" s="143" t="n">
        <f aca="false">E301/P$3</f>
        <v>0.419850473083227</v>
      </c>
      <c r="R301" s="124" t="n">
        <f aca="false">F301/R$3</f>
        <v>0</v>
      </c>
      <c r="S301" s="126" t="n">
        <f aca="false">J301/$R$3</f>
        <v>0</v>
      </c>
      <c r="T301" s="126" t="n">
        <f aca="false">L301/$R$3</f>
        <v>0</v>
      </c>
      <c r="U301" s="126" t="n">
        <f aca="false">I301/$R$3</f>
        <v>0</v>
      </c>
      <c r="V301" s="126" t="n">
        <f aca="false">M301/$R$3</f>
        <v>0</v>
      </c>
      <c r="W301" s="126" t="n">
        <f aca="false">N301/$R$3</f>
        <v>0</v>
      </c>
    </row>
    <row r="302" customFormat="false" ht="12.75" hidden="true" customHeight="false" outlineLevel="0" collapsed="false">
      <c r="A302" s="120" t="n">
        <f aca="false">A301+1</f>
        <v>37188</v>
      </c>
      <c r="B302" s="131" t="str">
        <f aca="false">INDEX('Master Data'!$A$2:$B$8,MATCH(WEEKDAY('Arg Total Power'!A302,3),'Master Data'!$A$2:$A$8,0),2)</f>
        <v>W</v>
      </c>
      <c r="D302" s="124" t="n">
        <v>0</v>
      </c>
      <c r="E302" s="124" t="n">
        <v>419775.168932049</v>
      </c>
      <c r="F302" s="124" t="n">
        <v>0</v>
      </c>
      <c r="G302" s="124" t="n">
        <v>0</v>
      </c>
      <c r="I302" s="124" t="n">
        <f aca="false">IF(MONTH($A302)=MONTH($A301),IF(G302=0,I301,G302),G302)</f>
        <v>0</v>
      </c>
      <c r="J302" s="124" t="n">
        <f aca="false">IF(MONTH($A302)=MONTH($A301),SUM(I302-I301),I302)</f>
        <v>0</v>
      </c>
      <c r="K302" s="124" t="n">
        <f aca="false">IF(WEEKDAY(A302,3)&gt;4,0,(IF(A302&lt;K$2,0,IF(A302&lt;=K$3,1,0))))</f>
        <v>0</v>
      </c>
      <c r="L302" s="124" t="n">
        <f aca="false">J302*K302</f>
        <v>0</v>
      </c>
      <c r="M302" s="124" t="n">
        <f aca="false">SUM(J$280:J302)</f>
        <v>0</v>
      </c>
      <c r="N302" s="124" t="n">
        <f aca="false">SUM(J$6:J302)</f>
        <v>0</v>
      </c>
      <c r="P302" s="124" t="n">
        <f aca="false">D302/P$3</f>
        <v>0</v>
      </c>
      <c r="Q302" s="143" t="n">
        <f aca="false">E302/P$3</f>
        <v>0.419775168932049</v>
      </c>
      <c r="R302" s="124" t="n">
        <f aca="false">F302/R$3</f>
        <v>0</v>
      </c>
      <c r="S302" s="126" t="n">
        <f aca="false">J302/$R$3</f>
        <v>0</v>
      </c>
      <c r="T302" s="126" t="n">
        <f aca="false">L302/$R$3</f>
        <v>0</v>
      </c>
      <c r="U302" s="126" t="n">
        <f aca="false">I302/$R$3</f>
        <v>0</v>
      </c>
      <c r="V302" s="126" t="n">
        <f aca="false">M302/$R$3</f>
        <v>0</v>
      </c>
      <c r="W302" s="126" t="n">
        <f aca="false">N302/$R$3</f>
        <v>0</v>
      </c>
    </row>
    <row r="303" customFormat="false" ht="12.75" hidden="true" customHeight="false" outlineLevel="0" collapsed="false">
      <c r="A303" s="120" t="n">
        <f aca="false">A302+1</f>
        <v>37189</v>
      </c>
      <c r="B303" s="131" t="str">
        <f aca="false">INDEX('Master Data'!$A$2:$B$8,MATCH(WEEKDAY('Arg Total Power'!A303,3),'Master Data'!$A$2:$A$8,0),2)</f>
        <v>Th</v>
      </c>
      <c r="D303" s="124" t="n">
        <v>0</v>
      </c>
      <c r="E303" s="124" t="n">
        <v>420591.39288574</v>
      </c>
      <c r="F303" s="124" t="n">
        <v>0</v>
      </c>
      <c r="G303" s="124" t="n">
        <v>0</v>
      </c>
      <c r="I303" s="124" t="n">
        <f aca="false">IF(MONTH($A303)=MONTH($A302),IF(G303=0,I302,G303),G303)</f>
        <v>0</v>
      </c>
      <c r="J303" s="124" t="n">
        <f aca="false">IF(MONTH($A303)=MONTH($A302),SUM(I303-I302),I303)</f>
        <v>0</v>
      </c>
      <c r="K303" s="124" t="n">
        <f aca="false">IF(WEEKDAY(A303,3)&gt;4,0,(IF(A303&lt;K$2,0,IF(A303&lt;=K$3,1,0))))</f>
        <v>0</v>
      </c>
      <c r="L303" s="124" t="n">
        <f aca="false">J303*K303</f>
        <v>0</v>
      </c>
      <c r="M303" s="124" t="n">
        <f aca="false">SUM(J$280:J303)</f>
        <v>0</v>
      </c>
      <c r="N303" s="124" t="n">
        <f aca="false">SUM(J$6:J303)</f>
        <v>0</v>
      </c>
      <c r="P303" s="124" t="n">
        <f aca="false">D303/P$3</f>
        <v>0</v>
      </c>
      <c r="Q303" s="143" t="n">
        <f aca="false">E303/P$3</f>
        <v>0.42059139288574</v>
      </c>
      <c r="R303" s="124" t="n">
        <f aca="false">F303/R$3</f>
        <v>0</v>
      </c>
      <c r="S303" s="126" t="n">
        <f aca="false">J303/$R$3</f>
        <v>0</v>
      </c>
      <c r="T303" s="126" t="n">
        <f aca="false">L303/$R$3</f>
        <v>0</v>
      </c>
      <c r="U303" s="126" t="n">
        <f aca="false">I303/$R$3</f>
        <v>0</v>
      </c>
      <c r="V303" s="126" t="n">
        <f aca="false">M303/$R$3</f>
        <v>0</v>
      </c>
      <c r="W303" s="126" t="n">
        <f aca="false">N303/$R$3</f>
        <v>0</v>
      </c>
    </row>
    <row r="304" customFormat="false" ht="12.75" hidden="false" customHeight="false" outlineLevel="0" collapsed="false">
      <c r="A304" s="120" t="n">
        <f aca="false">A303+1</f>
        <v>37190</v>
      </c>
      <c r="B304" s="131" t="str">
        <f aca="false">INDEX('Master Data'!$A$2:$B$8,MATCH(WEEKDAY('Arg Total Power'!A304,3),'Master Data'!$A$2:$A$8,0),2)</f>
        <v>F</v>
      </c>
      <c r="D304" s="124" t="n">
        <v>0</v>
      </c>
      <c r="E304" s="124" t="n">
        <v>421727.108561184</v>
      </c>
      <c r="F304" s="124" t="n">
        <v>0</v>
      </c>
      <c r="G304" s="124" t="n">
        <v>0</v>
      </c>
      <c r="I304" s="124" t="n">
        <f aca="false">IF(MONTH($A304)=MONTH($A303),IF(G304=0,I303,G304),G304)</f>
        <v>0</v>
      </c>
      <c r="J304" s="124" t="n">
        <f aca="false">IF(MONTH($A304)=MONTH($A303),SUM(I304-I303),I304)</f>
        <v>0</v>
      </c>
      <c r="K304" s="124" t="n">
        <f aca="false">IF(WEEKDAY(A304,3)&gt;4,0,(IF(A304&lt;K$2,0,IF(A304&lt;=K$3,1,0))))</f>
        <v>1</v>
      </c>
      <c r="L304" s="124" t="n">
        <f aca="false">J304*K304</f>
        <v>0</v>
      </c>
      <c r="M304" s="124" t="n">
        <f aca="false">SUM(J$280:J304)</f>
        <v>0</v>
      </c>
      <c r="N304" s="124" t="n">
        <f aca="false">SUM(J$6:J304)</f>
        <v>0</v>
      </c>
      <c r="P304" s="124" t="n">
        <f aca="false">D304/P$3</f>
        <v>0</v>
      </c>
      <c r="Q304" s="143" t="n">
        <f aca="false">E304/P$3</f>
        <v>0.421727108561184</v>
      </c>
      <c r="R304" s="124" t="n">
        <f aca="false">F304/R$3</f>
        <v>0</v>
      </c>
      <c r="S304" s="126" t="n">
        <f aca="false">J304/$R$3</f>
        <v>0</v>
      </c>
      <c r="T304" s="126" t="n">
        <f aca="false">L304/$R$3</f>
        <v>0</v>
      </c>
      <c r="U304" s="126" t="n">
        <f aca="false">I304/$R$3</f>
        <v>0</v>
      </c>
      <c r="V304" s="126" t="n">
        <f aca="false">M304/$R$3</f>
        <v>0</v>
      </c>
      <c r="W304" s="126" t="n">
        <f aca="false">N304/$R$3</f>
        <v>0</v>
      </c>
    </row>
    <row r="305" customFormat="false" ht="12.75" hidden="false" customHeight="false" outlineLevel="0" collapsed="false">
      <c r="A305" s="120" t="n">
        <f aca="false">A304+1</f>
        <v>37191</v>
      </c>
      <c r="B305" s="131" t="str">
        <f aca="false">INDEX('Master Data'!$A$2:$B$8,MATCH(WEEKDAY('Arg Total Power'!A305,3),'Master Data'!$A$2:$A$8,0),2)</f>
        <v>Sa</v>
      </c>
      <c r="D305" s="124" t="n">
        <v>0</v>
      </c>
      <c r="E305" s="124" t="n">
        <v>0</v>
      </c>
      <c r="F305" s="124" t="n">
        <v>0</v>
      </c>
      <c r="G305" s="124" t="n">
        <v>0</v>
      </c>
      <c r="I305" s="124" t="n">
        <f aca="false">IF(MONTH($A305)=MONTH($A304),IF(G305=0,I304,G305),G305)</f>
        <v>0</v>
      </c>
      <c r="J305" s="124" t="n">
        <f aca="false">IF(MONTH($A305)=MONTH($A304),SUM(I305-I304),I305)</f>
        <v>0</v>
      </c>
      <c r="K305" s="124" t="n">
        <f aca="false">IF(WEEKDAY(A305,3)&gt;4,0,(IF(A305&lt;K$2,0,IF(A305&lt;=K$3,1,0))))</f>
        <v>0</v>
      </c>
      <c r="L305" s="124" t="n">
        <f aca="false">J305*K305</f>
        <v>0</v>
      </c>
      <c r="M305" s="124" t="n">
        <f aca="false">SUM(J$280:J305)</f>
        <v>0</v>
      </c>
      <c r="N305" s="124" t="n">
        <f aca="false">SUM(J$6:J305)</f>
        <v>0</v>
      </c>
      <c r="P305" s="124" t="n">
        <f aca="false">D305/P$3</f>
        <v>0</v>
      </c>
      <c r="Q305" s="143" t="n">
        <f aca="false">E305/P$3</f>
        <v>0</v>
      </c>
      <c r="R305" s="124" t="n">
        <f aca="false">F305/R$3</f>
        <v>0</v>
      </c>
      <c r="S305" s="126" t="n">
        <f aca="false">J305/$R$3</f>
        <v>0</v>
      </c>
      <c r="T305" s="126" t="n">
        <f aca="false">L305/$R$3</f>
        <v>0</v>
      </c>
      <c r="U305" s="126" t="n">
        <f aca="false">I305/$R$3</f>
        <v>0</v>
      </c>
      <c r="V305" s="126" t="n">
        <f aca="false">M305/$R$3</f>
        <v>0</v>
      </c>
      <c r="W305" s="126" t="n">
        <f aca="false">N305/$R$3</f>
        <v>0</v>
      </c>
    </row>
    <row r="306" customFormat="false" ht="12.75" hidden="false" customHeight="false" outlineLevel="0" collapsed="false">
      <c r="A306" s="120" t="n">
        <f aca="false">A305+1</f>
        <v>37192</v>
      </c>
      <c r="B306" s="131" t="str">
        <f aca="false">INDEX('Master Data'!$A$2:$B$8,MATCH(WEEKDAY('Arg Total Power'!A306,3),'Master Data'!$A$2:$A$8,0),2)</f>
        <v>Su</v>
      </c>
      <c r="D306" s="124" t="n">
        <v>0</v>
      </c>
      <c r="E306" s="124" t="n">
        <v>0</v>
      </c>
      <c r="F306" s="124" t="n">
        <v>0</v>
      </c>
      <c r="G306" s="124" t="n">
        <v>0</v>
      </c>
      <c r="I306" s="124" t="n">
        <f aca="false">IF(MONTH($A306)=MONTH($A305),IF(G306=0,I305,G306),G306)</f>
        <v>0</v>
      </c>
      <c r="J306" s="124" t="n">
        <f aca="false">IF(MONTH($A306)=MONTH($A305),SUM(I306-I305),I306)</f>
        <v>0</v>
      </c>
      <c r="K306" s="124" t="n">
        <f aca="false">IF(WEEKDAY(A306,3)&gt;4,0,(IF(A306&lt;K$2,0,IF(A306&lt;=K$3,1,0))))</f>
        <v>0</v>
      </c>
      <c r="L306" s="124" t="n">
        <f aca="false">J306*K306</f>
        <v>0</v>
      </c>
      <c r="M306" s="124" t="n">
        <f aca="false">SUM(J$280:J306)</f>
        <v>0</v>
      </c>
      <c r="N306" s="124" t="n">
        <f aca="false">SUM(J$6:J306)</f>
        <v>0</v>
      </c>
      <c r="P306" s="124" t="n">
        <f aca="false">D306/P$3</f>
        <v>0</v>
      </c>
      <c r="Q306" s="143" t="n">
        <f aca="false">E306/P$3</f>
        <v>0</v>
      </c>
      <c r="R306" s="124" t="n">
        <f aca="false">F306/R$3</f>
        <v>0</v>
      </c>
      <c r="S306" s="126" t="n">
        <f aca="false">J306/$R$3</f>
        <v>0</v>
      </c>
      <c r="T306" s="126" t="n">
        <f aca="false">L306/$R$3</f>
        <v>0</v>
      </c>
      <c r="U306" s="126" t="n">
        <f aca="false">I306/$R$3</f>
        <v>0</v>
      </c>
      <c r="V306" s="126" t="n">
        <f aca="false">M306/$R$3</f>
        <v>0</v>
      </c>
      <c r="W306" s="126" t="n">
        <f aca="false">N306/$R$3</f>
        <v>0</v>
      </c>
    </row>
    <row r="307" customFormat="false" ht="12.75" hidden="false" customHeight="false" outlineLevel="0" collapsed="false">
      <c r="A307" s="120" t="n">
        <f aca="false">A306+1</f>
        <v>37193</v>
      </c>
      <c r="B307" s="131" t="str">
        <f aca="false">INDEX('Master Data'!$A$2:$B$8,MATCH(WEEKDAY('Arg Total Power'!A307,3),'Master Data'!$A$2:$A$8,0),2)</f>
        <v>M</v>
      </c>
      <c r="D307" s="124" t="n">
        <v>0</v>
      </c>
      <c r="E307" s="124" t="n">
        <v>421850.030329599</v>
      </c>
      <c r="F307" s="124" t="n">
        <v>0</v>
      </c>
      <c r="G307" s="124" t="n">
        <v>0</v>
      </c>
      <c r="I307" s="124" t="n">
        <f aca="false">IF(MONTH($A307)=MONTH($A306),IF(G307=0,I306,G307),G307)</f>
        <v>0</v>
      </c>
      <c r="J307" s="124" t="n">
        <f aca="false">IF(MONTH($A307)=MONTH($A306),SUM(I307-I306),I307)</f>
        <v>0</v>
      </c>
      <c r="K307" s="124" t="n">
        <f aca="false">IF(WEEKDAY(A307,3)&gt;4,0,(IF(A307&lt;K$2,0,IF(A307&lt;=K$3,1,0))))</f>
        <v>1</v>
      </c>
      <c r="L307" s="124" t="n">
        <f aca="false">J307*K307</f>
        <v>0</v>
      </c>
      <c r="M307" s="124" t="n">
        <f aca="false">SUM(J$280:J307)</f>
        <v>0</v>
      </c>
      <c r="N307" s="124" t="n">
        <f aca="false">SUM(J$6:J307)</f>
        <v>0</v>
      </c>
      <c r="P307" s="124" t="n">
        <f aca="false">D307/P$3</f>
        <v>0</v>
      </c>
      <c r="Q307" s="143" t="n">
        <f aca="false">E307/P$3</f>
        <v>0.421850030329599</v>
      </c>
      <c r="R307" s="124" t="n">
        <f aca="false">F307/R$3</f>
        <v>0</v>
      </c>
      <c r="S307" s="126" t="n">
        <f aca="false">J307/$R$3</f>
        <v>0</v>
      </c>
      <c r="T307" s="126" t="n">
        <f aca="false">L307/$R$3</f>
        <v>0</v>
      </c>
      <c r="U307" s="126" t="n">
        <f aca="false">I307/$R$3</f>
        <v>0</v>
      </c>
      <c r="V307" s="126" t="n">
        <f aca="false">M307/$R$3</f>
        <v>0</v>
      </c>
      <c r="W307" s="126" t="n">
        <f aca="false">N307/$R$3</f>
        <v>0</v>
      </c>
    </row>
    <row r="308" customFormat="false" ht="12.75" hidden="false" customHeight="false" outlineLevel="0" collapsed="false">
      <c r="A308" s="120" t="n">
        <f aca="false">A307+1</f>
        <v>37194</v>
      </c>
      <c r="B308" s="131" t="str">
        <f aca="false">INDEX('Master Data'!$A$2:$B$8,MATCH(WEEKDAY('Arg Total Power'!A308,3),'Master Data'!$A$2:$A$8,0),2)</f>
        <v>T</v>
      </c>
      <c r="D308" s="124" t="n">
        <v>0</v>
      </c>
      <c r="E308" s="124" t="n">
        <v>422731.424188119</v>
      </c>
      <c r="F308" s="124" t="n">
        <v>0</v>
      </c>
      <c r="G308" s="124" t="n">
        <v>0</v>
      </c>
      <c r="I308" s="124" t="n">
        <f aca="false">IF(MONTH($A308)=MONTH($A307),IF(G308=0,I307,G308),G308)</f>
        <v>0</v>
      </c>
      <c r="J308" s="124" t="n">
        <f aca="false">IF(MONTH($A308)=MONTH($A307),SUM(I308-I307),I308)</f>
        <v>0</v>
      </c>
      <c r="K308" s="124" t="n">
        <f aca="false">IF(WEEKDAY(A308,3)&gt;4,0,(IF(A308&lt;K$2,0,IF(A308&lt;=K$3,1,0))))</f>
        <v>1</v>
      </c>
      <c r="L308" s="124" t="n">
        <f aca="false">J308*K308</f>
        <v>0</v>
      </c>
      <c r="M308" s="124" t="n">
        <f aca="false">SUM(J$280:J308)</f>
        <v>0</v>
      </c>
      <c r="N308" s="124" t="n">
        <f aca="false">SUM(J$6:J308)</f>
        <v>0</v>
      </c>
      <c r="P308" s="124" t="n">
        <f aca="false">D308/P$3</f>
        <v>0</v>
      </c>
      <c r="Q308" s="143" t="n">
        <f aca="false">E308/P$3</f>
        <v>0.422731424188119</v>
      </c>
      <c r="R308" s="124" t="n">
        <f aca="false">F308/R$3</f>
        <v>0</v>
      </c>
      <c r="S308" s="126" t="n">
        <f aca="false">J308/$R$3</f>
        <v>0</v>
      </c>
      <c r="T308" s="126" t="n">
        <f aca="false">L308/$R$3</f>
        <v>0</v>
      </c>
      <c r="U308" s="126" t="n">
        <f aca="false">I308/$R$3</f>
        <v>0</v>
      </c>
      <c r="V308" s="126" t="n">
        <f aca="false">M308/$R$3</f>
        <v>0</v>
      </c>
      <c r="W308" s="126" t="n">
        <f aca="false">N308/$R$3</f>
        <v>0</v>
      </c>
    </row>
    <row r="309" customFormat="false" ht="12.75" hidden="false" customHeight="false" outlineLevel="0" collapsed="false">
      <c r="A309" s="120" t="n">
        <f aca="false">A308+1</f>
        <v>37195</v>
      </c>
      <c r="B309" s="131" t="str">
        <f aca="false">INDEX('Master Data'!$A$2:$B$8,MATCH(WEEKDAY('Arg Total Power'!A309,3),'Master Data'!$A$2:$A$8,0),2)</f>
        <v>W</v>
      </c>
      <c r="D309" s="124" t="n">
        <v>0</v>
      </c>
      <c r="E309" s="124" t="n">
        <v>423915.09196296</v>
      </c>
      <c r="F309" s="124" t="n">
        <v>0</v>
      </c>
      <c r="G309" s="124" t="n">
        <v>0</v>
      </c>
      <c r="I309" s="124" t="n">
        <f aca="false">IF(MONTH($A309)=MONTH($A308),IF(G309=0,I308,G309),G309)</f>
        <v>0</v>
      </c>
      <c r="J309" s="124" t="n">
        <f aca="false">IF(MONTH($A309)=MONTH($A308),SUM(I309-I308),I309)</f>
        <v>0</v>
      </c>
      <c r="K309" s="124" t="n">
        <f aca="false">IF(WEEKDAY(A309,3)&gt;4,0,(IF(A309&lt;K$2,0,IF(A309&lt;=K$3,1,0))))</f>
        <v>1</v>
      </c>
      <c r="L309" s="124" t="n">
        <f aca="false">J309*K309</f>
        <v>0</v>
      </c>
      <c r="M309" s="124" t="n">
        <f aca="false">SUM(J$280:J309)</f>
        <v>0</v>
      </c>
      <c r="N309" s="124" t="n">
        <f aca="false">SUM(J$6:J309)</f>
        <v>0</v>
      </c>
      <c r="P309" s="124" t="n">
        <f aca="false">D309/P$3</f>
        <v>0</v>
      </c>
      <c r="Q309" s="143" t="n">
        <f aca="false">E309/P$3</f>
        <v>0.42391509196296</v>
      </c>
      <c r="R309" s="124" t="n">
        <f aca="false">F309/R$3</f>
        <v>0</v>
      </c>
      <c r="S309" s="126" t="n">
        <f aca="false">J309/$R$3</f>
        <v>0</v>
      </c>
      <c r="T309" s="126" t="n">
        <f aca="false">L309/$R$3</f>
        <v>0</v>
      </c>
      <c r="U309" s="126" t="n">
        <f aca="false">I309/$R$3</f>
        <v>0</v>
      </c>
      <c r="V309" s="126" t="n">
        <f aca="false">M309/$R$3</f>
        <v>0</v>
      </c>
      <c r="W309" s="126" t="n">
        <f aca="false">N309/$R$3</f>
        <v>0</v>
      </c>
    </row>
    <row r="310" customFormat="false" ht="12.75" hidden="false" customHeight="false" outlineLevel="0" collapsed="false">
      <c r="A310" s="120" t="n">
        <f aca="false">A309+1</f>
        <v>37196</v>
      </c>
      <c r="B310" s="131" t="str">
        <f aca="false">INDEX('Master Data'!$A$2:$B$8,MATCH(WEEKDAY('Arg Total Power'!A310,3),'Master Data'!$A$2:$A$8,0),2)</f>
        <v>Th</v>
      </c>
      <c r="D310" s="124" t="n">
        <v>0</v>
      </c>
      <c r="E310" s="124" t="n">
        <v>424569.202671919</v>
      </c>
      <c r="F310" s="124" t="n">
        <v>0</v>
      </c>
      <c r="G310" s="124" t="n">
        <v>0</v>
      </c>
      <c r="I310" s="124" t="n">
        <f aca="false">IF(MONTH($A310)=MONTH($A309),IF(G310=0,I309,G310),G310)</f>
        <v>0</v>
      </c>
      <c r="J310" s="124" t="n">
        <f aca="false">IF(MONTH($A310)=MONTH($A309),SUM(I310-I309),I310)</f>
        <v>0</v>
      </c>
      <c r="K310" s="124" t="n">
        <f aca="false">IF(WEEKDAY(A310,3)&gt;4,0,(IF(A310&lt;K$2,0,IF(A310&lt;=K$3,1,0))))</f>
        <v>1</v>
      </c>
      <c r="L310" s="124" t="n">
        <f aca="false">J310*K310</f>
        <v>0</v>
      </c>
      <c r="M310" s="124" t="n">
        <f aca="false">SUM(J$280:J310)</f>
        <v>0</v>
      </c>
      <c r="N310" s="124" t="n">
        <f aca="false">SUM(J$6:J310)</f>
        <v>0</v>
      </c>
      <c r="P310" s="124" t="n">
        <f aca="false">D310/P$3</f>
        <v>0</v>
      </c>
      <c r="Q310" s="143" t="n">
        <f aca="false">E310/P$3</f>
        <v>0.424569202671919</v>
      </c>
      <c r="R310" s="124" t="n">
        <f aca="false">F310/R$3</f>
        <v>0</v>
      </c>
      <c r="S310" s="126" t="n">
        <f aca="false">J310/$R$3</f>
        <v>0</v>
      </c>
      <c r="T310" s="126" t="n">
        <f aca="false">L310/$R$3</f>
        <v>0</v>
      </c>
      <c r="U310" s="126" t="n">
        <f aca="false">I310/$R$3</f>
        <v>0</v>
      </c>
      <c r="V310" s="126" t="n">
        <f aca="false">M310/$R$3</f>
        <v>0</v>
      </c>
      <c r="W310" s="126" t="n">
        <f aca="false">N310/$R$3</f>
        <v>0</v>
      </c>
    </row>
    <row r="311" customFormat="false" ht="12.75" hidden="false" customHeight="false" outlineLevel="0" collapsed="false">
      <c r="A311" s="120" t="n">
        <f aca="false">A310+1</f>
        <v>37197</v>
      </c>
      <c r="B311" s="131" t="str">
        <f aca="false">INDEX('Master Data'!$A$2:$B$8,MATCH(WEEKDAY('Arg Total Power'!A311,3),'Master Data'!$A$2:$A$8,0),2)</f>
        <v>F</v>
      </c>
      <c r="D311" s="124" t="n">
        <v>0</v>
      </c>
      <c r="E311" s="124" t="n">
        <v>0</v>
      </c>
      <c r="F311" s="124" t="n">
        <v>0</v>
      </c>
      <c r="G311" s="124" t="n">
        <v>0</v>
      </c>
      <c r="I311" s="124" t="n">
        <f aca="false">IF(MONTH($A311)=MONTH($A310),IF(G311=0,I310,G311),G311)</f>
        <v>0</v>
      </c>
      <c r="J311" s="124" t="n">
        <f aca="false">IF(MONTH($A311)=MONTH($A310),SUM(I311-I310),I311)</f>
        <v>0</v>
      </c>
      <c r="K311" s="124" t="n">
        <f aca="false">IF(WEEKDAY(A311,3)&gt;4,0,(IF(A311&lt;K$2,0,IF(A311&lt;=K$3,1,0))))</f>
        <v>0</v>
      </c>
      <c r="L311" s="124" t="n">
        <f aca="false">J311*K311</f>
        <v>0</v>
      </c>
      <c r="M311" s="124" t="n">
        <f aca="false">SUM(J$280:J311)</f>
        <v>0</v>
      </c>
      <c r="N311" s="124" t="n">
        <f aca="false">SUM(J$6:J311)</f>
        <v>0</v>
      </c>
      <c r="P311" s="124" t="n">
        <f aca="false">D311/P$3</f>
        <v>0</v>
      </c>
      <c r="Q311" s="143" t="n">
        <f aca="false">E311/P$3</f>
        <v>0</v>
      </c>
      <c r="R311" s="124" t="n">
        <f aca="false">F311/R$3</f>
        <v>0</v>
      </c>
      <c r="S311" s="126" t="n">
        <f aca="false">J311/$R$3</f>
        <v>0</v>
      </c>
      <c r="T311" s="126" t="n">
        <f aca="false">L311/$R$3</f>
        <v>0</v>
      </c>
      <c r="U311" s="126" t="n">
        <f aca="false">I311/$R$3</f>
        <v>0</v>
      </c>
      <c r="V311" s="126" t="n">
        <f aca="false">M311/$R$3</f>
        <v>0</v>
      </c>
      <c r="W311" s="126" t="n">
        <f aca="false">N311/$R$3</f>
        <v>0</v>
      </c>
    </row>
    <row r="312" customFormat="false" ht="12.75" hidden="false" customHeight="false" outlineLevel="0" collapsed="false">
      <c r="A312" s="120" t="n">
        <f aca="false">A311+1</f>
        <v>37198</v>
      </c>
      <c r="B312" s="131" t="str">
        <f aca="false">INDEX('Master Data'!$A$2:$B$8,MATCH(WEEKDAY('Arg Total Power'!A312,3),'Master Data'!$A$2:$A$8,0),2)</f>
        <v>Sa</v>
      </c>
      <c r="D312" s="124" t="n">
        <v>0</v>
      </c>
      <c r="E312" s="124" t="n">
        <v>0</v>
      </c>
      <c r="F312" s="124" t="n">
        <v>0</v>
      </c>
      <c r="G312" s="124" t="n">
        <v>0</v>
      </c>
      <c r="I312" s="124" t="n">
        <f aca="false">IF(MONTH($A312)=MONTH($A311),IF(G312=0,I311,G312),G312)</f>
        <v>0</v>
      </c>
      <c r="J312" s="124" t="n">
        <f aca="false">IF(MONTH($A312)=MONTH($A311),SUM(I312-I311),I312)</f>
        <v>0</v>
      </c>
      <c r="K312" s="124" t="n">
        <f aca="false">IF(WEEKDAY(A312,3)&gt;4,0,(IF(A312&lt;K$2,0,IF(A312&lt;=K$3,1,0))))</f>
        <v>0</v>
      </c>
      <c r="L312" s="124" t="n">
        <f aca="false">J312*K312</f>
        <v>0</v>
      </c>
      <c r="M312" s="124" t="n">
        <f aca="false">SUM(J$280:J312)</f>
        <v>0</v>
      </c>
      <c r="N312" s="124" t="n">
        <f aca="false">SUM(J$6:J312)</f>
        <v>0</v>
      </c>
      <c r="P312" s="124" t="n">
        <f aca="false">D312/P$3</f>
        <v>0</v>
      </c>
      <c r="Q312" s="143" t="n">
        <f aca="false">E312/P$3</f>
        <v>0</v>
      </c>
      <c r="R312" s="124" t="n">
        <f aca="false">F312/R$3</f>
        <v>0</v>
      </c>
      <c r="S312" s="126" t="n">
        <f aca="false">J312/$R$3</f>
        <v>0</v>
      </c>
      <c r="T312" s="126" t="n">
        <f aca="false">L312/$R$3</f>
        <v>0</v>
      </c>
      <c r="U312" s="126" t="n">
        <f aca="false">I312/$R$3</f>
        <v>0</v>
      </c>
      <c r="V312" s="126" t="n">
        <f aca="false">M312/$R$3</f>
        <v>0</v>
      </c>
      <c r="W312" s="126" t="n">
        <f aca="false">N312/$R$3</f>
        <v>0</v>
      </c>
    </row>
    <row r="313" customFormat="false" ht="12.75" hidden="false" customHeight="false" outlineLevel="0" collapsed="false">
      <c r="A313" s="120" t="n">
        <f aca="false">A312+1</f>
        <v>37199</v>
      </c>
      <c r="B313" s="131" t="str">
        <f aca="false">INDEX('Master Data'!$A$2:$B$8,MATCH(WEEKDAY('Arg Total Power'!A313,3),'Master Data'!$A$2:$A$8,0),2)</f>
        <v>Su</v>
      </c>
      <c r="D313" s="124" t="n">
        <v>0</v>
      </c>
      <c r="E313" s="124" t="n">
        <v>0</v>
      </c>
      <c r="F313" s="124" t="n">
        <v>0</v>
      </c>
      <c r="G313" s="124" t="n">
        <v>0</v>
      </c>
      <c r="I313" s="124" t="n">
        <f aca="false">IF(MONTH($A313)=MONTH($A312),IF(G313=0,I312,G313),G313)</f>
        <v>0</v>
      </c>
      <c r="J313" s="124" t="n">
        <f aca="false">IF(MONTH($A313)=MONTH($A312),SUM(I313-I312),I313)</f>
        <v>0</v>
      </c>
      <c r="K313" s="124" t="n">
        <f aca="false">IF(WEEKDAY(A313,3)&gt;4,0,(IF(A313&lt;K$2,0,IF(A313&lt;=K$3,1,0))))</f>
        <v>0</v>
      </c>
      <c r="L313" s="124" t="n">
        <f aca="false">J313*K313</f>
        <v>0</v>
      </c>
      <c r="M313" s="124" t="n">
        <f aca="false">SUM(J$280:J313)</f>
        <v>0</v>
      </c>
      <c r="N313" s="124" t="n">
        <f aca="false">SUM(J$6:J313)</f>
        <v>0</v>
      </c>
      <c r="P313" s="124" t="n">
        <f aca="false">D313/P$3</f>
        <v>0</v>
      </c>
      <c r="Q313" s="143" t="n">
        <f aca="false">E313/P$3</f>
        <v>0</v>
      </c>
      <c r="R313" s="124" t="n">
        <f aca="false">F313/R$3</f>
        <v>0</v>
      </c>
      <c r="S313" s="126" t="n">
        <f aca="false">J313/$R$3</f>
        <v>0</v>
      </c>
      <c r="T313" s="126" t="n">
        <f aca="false">L313/$R$3</f>
        <v>0</v>
      </c>
      <c r="U313" s="126" t="n">
        <f aca="false">I313/$R$3</f>
        <v>0</v>
      </c>
      <c r="V313" s="126" t="n">
        <f aca="false">M313/$R$3</f>
        <v>0</v>
      </c>
      <c r="W313" s="126" t="n">
        <f aca="false">N313/$R$3</f>
        <v>0</v>
      </c>
    </row>
    <row r="314" customFormat="false" ht="12.75" hidden="false" customHeight="false" outlineLevel="0" collapsed="false">
      <c r="A314" s="120" t="n">
        <f aca="false">A313+1</f>
        <v>37200</v>
      </c>
      <c r="B314" s="131" t="str">
        <f aca="false">INDEX('Master Data'!$A$2:$B$8,MATCH(WEEKDAY('Arg Total Power'!A314,3),'Master Data'!$A$2:$A$8,0),2)</f>
        <v>M</v>
      </c>
      <c r="D314" s="124" t="n">
        <v>0</v>
      </c>
      <c r="E314" s="124" t="n">
        <v>0</v>
      </c>
      <c r="F314" s="124" t="n">
        <v>0</v>
      </c>
      <c r="G314" s="124" t="n">
        <v>0</v>
      </c>
      <c r="I314" s="124" t="n">
        <f aca="false">IF(MONTH($A314)=MONTH($A313),IF(G314=0,I313,G314),G314)</f>
        <v>0</v>
      </c>
      <c r="J314" s="124" t="n">
        <f aca="false">IF(MONTH($A314)=MONTH($A313),SUM(I314-I313),I314)</f>
        <v>0</v>
      </c>
      <c r="K314" s="124" t="n">
        <f aca="false">IF(WEEKDAY(A314,3)&gt;4,0,(IF(A314&lt;K$2,0,IF(A314&lt;=K$3,1,0))))</f>
        <v>0</v>
      </c>
      <c r="L314" s="124" t="n">
        <f aca="false">J314*K314</f>
        <v>0</v>
      </c>
      <c r="M314" s="124" t="n">
        <f aca="false">SUM(J$280:J314)</f>
        <v>0</v>
      </c>
      <c r="N314" s="124" t="n">
        <f aca="false">SUM(J$6:J314)</f>
        <v>0</v>
      </c>
      <c r="P314" s="124" t="n">
        <f aca="false">D314/P$3</f>
        <v>0</v>
      </c>
      <c r="Q314" s="143" t="n">
        <f aca="false">E314/P$3</f>
        <v>0</v>
      </c>
      <c r="R314" s="124" t="n">
        <f aca="false">F314/R$3</f>
        <v>0</v>
      </c>
      <c r="S314" s="126" t="n">
        <f aca="false">J314/$R$3</f>
        <v>0</v>
      </c>
      <c r="T314" s="126" t="n">
        <f aca="false">L314/$R$3</f>
        <v>0</v>
      </c>
      <c r="U314" s="126" t="n">
        <f aca="false">I314/$R$3</f>
        <v>0</v>
      </c>
      <c r="V314" s="126" t="n">
        <f aca="false">M314/$R$3</f>
        <v>0</v>
      </c>
      <c r="W314" s="126" t="n">
        <f aca="false">N314/$R$3</f>
        <v>0</v>
      </c>
    </row>
    <row r="315" customFormat="false" ht="12.75" hidden="false" customHeight="false" outlineLevel="0" collapsed="false">
      <c r="A315" s="120" t="n">
        <f aca="false">A314+1</f>
        <v>37201</v>
      </c>
      <c r="B315" s="131" t="str">
        <f aca="false">INDEX('Master Data'!$A$2:$B$8,MATCH(WEEKDAY('Arg Total Power'!A315,3),'Master Data'!$A$2:$A$8,0),2)</f>
        <v>T</v>
      </c>
      <c r="D315" s="124" t="n">
        <v>0</v>
      </c>
      <c r="E315" s="124" t="n">
        <v>0</v>
      </c>
      <c r="F315" s="124" t="n">
        <v>0</v>
      </c>
      <c r="G315" s="124" t="n">
        <v>0</v>
      </c>
      <c r="I315" s="124" t="n">
        <f aca="false">IF(MONTH($A315)=MONTH($A314),IF(G315=0,I314,G315),G315)</f>
        <v>0</v>
      </c>
      <c r="J315" s="124" t="n">
        <f aca="false">IF(MONTH($A315)=MONTH($A314),SUM(I315-I314),I315)</f>
        <v>0</v>
      </c>
      <c r="K315" s="124" t="n">
        <f aca="false">IF(WEEKDAY(A315,3)&gt;4,0,(IF(A315&lt;K$2,0,IF(A315&lt;=K$3,1,0))))</f>
        <v>0</v>
      </c>
      <c r="L315" s="124" t="n">
        <f aca="false">J315*K315</f>
        <v>0</v>
      </c>
      <c r="M315" s="124" t="n">
        <f aca="false">SUM(J$280:J315)</f>
        <v>0</v>
      </c>
      <c r="N315" s="124" t="n">
        <f aca="false">SUM(J$6:J315)</f>
        <v>0</v>
      </c>
      <c r="P315" s="124" t="n">
        <f aca="false">D315/P$3</f>
        <v>0</v>
      </c>
      <c r="Q315" s="143" t="n">
        <f aca="false">E315/P$3</f>
        <v>0</v>
      </c>
      <c r="R315" s="124" t="n">
        <f aca="false">F315/R$3</f>
        <v>0</v>
      </c>
      <c r="S315" s="126" t="n">
        <f aca="false">J315/$R$3</f>
        <v>0</v>
      </c>
      <c r="T315" s="126" t="n">
        <f aca="false">L315/$R$3</f>
        <v>0</v>
      </c>
      <c r="U315" s="126" t="n">
        <f aca="false">I315/$R$3</f>
        <v>0</v>
      </c>
      <c r="V315" s="126" t="n">
        <f aca="false">M315/$R$3</f>
        <v>0</v>
      </c>
      <c r="W315" s="126" t="n">
        <f aca="false">N315/$R$3</f>
        <v>0</v>
      </c>
    </row>
    <row r="316" customFormat="false" ht="12.75" hidden="false" customHeight="false" outlineLevel="0" collapsed="false">
      <c r="A316" s="120" t="n">
        <f aca="false">A315+1</f>
        <v>37202</v>
      </c>
      <c r="B316" s="131" t="str">
        <f aca="false">INDEX('Master Data'!$A$2:$B$8,MATCH(WEEKDAY('Arg Total Power'!A316,3),'Master Data'!$A$2:$A$8,0),2)</f>
        <v>W</v>
      </c>
      <c r="D316" s="124" t="n">
        <v>0</v>
      </c>
      <c r="E316" s="124" t="n">
        <v>0</v>
      </c>
      <c r="F316" s="124" t="n">
        <v>0</v>
      </c>
      <c r="G316" s="124" t="n">
        <v>0</v>
      </c>
      <c r="I316" s="124" t="n">
        <f aca="false">IF(MONTH($A316)=MONTH($A315),IF(G316=0,I315,G316),G316)</f>
        <v>0</v>
      </c>
      <c r="J316" s="124" t="n">
        <f aca="false">IF(MONTH($A316)=MONTH($A315),SUM(I316-I315),I316)</f>
        <v>0</v>
      </c>
      <c r="K316" s="124" t="n">
        <f aca="false">IF(WEEKDAY(A316,3)&gt;4,0,(IF(A316&lt;K$2,0,IF(A316&lt;=K$3,1,0))))</f>
        <v>0</v>
      </c>
      <c r="L316" s="124" t="n">
        <f aca="false">J316*K316</f>
        <v>0</v>
      </c>
      <c r="M316" s="124" t="n">
        <f aca="false">SUM(J$280:J316)</f>
        <v>0</v>
      </c>
      <c r="N316" s="124" t="n">
        <f aca="false">SUM(J$6:J316)</f>
        <v>0</v>
      </c>
      <c r="P316" s="124" t="n">
        <f aca="false">D316/P$3</f>
        <v>0</v>
      </c>
      <c r="Q316" s="143" t="n">
        <f aca="false">E316/P$3</f>
        <v>0</v>
      </c>
      <c r="R316" s="124" t="n">
        <f aca="false">F316/R$3</f>
        <v>0</v>
      </c>
      <c r="S316" s="126" t="n">
        <f aca="false">J316/$R$3</f>
        <v>0</v>
      </c>
      <c r="T316" s="126" t="n">
        <f aca="false">L316/$R$3</f>
        <v>0</v>
      </c>
      <c r="U316" s="126" t="n">
        <f aca="false">I316/$R$3</f>
        <v>0</v>
      </c>
      <c r="V316" s="126" t="n">
        <f aca="false">M316/$R$3</f>
        <v>0</v>
      </c>
      <c r="W316" s="126" t="n">
        <f aca="false">N316/$R$3</f>
        <v>0</v>
      </c>
    </row>
    <row r="317" customFormat="false" ht="12.75" hidden="false" customHeight="false" outlineLevel="0" collapsed="false">
      <c r="A317" s="120" t="n">
        <f aca="false">A316+1</f>
        <v>37203</v>
      </c>
      <c r="B317" s="131" t="str">
        <f aca="false">INDEX('Master Data'!$A$2:$B$8,MATCH(WEEKDAY('Arg Total Power'!A317,3),'Master Data'!$A$2:$A$8,0),2)</f>
        <v>Th</v>
      </c>
      <c r="D317" s="124" t="n">
        <v>0</v>
      </c>
      <c r="E317" s="124" t="n">
        <v>0</v>
      </c>
      <c r="F317" s="124" t="n">
        <v>0</v>
      </c>
      <c r="G317" s="124" t="n">
        <v>0</v>
      </c>
      <c r="I317" s="124" t="n">
        <f aca="false">IF(MONTH($A317)=MONTH($A316),IF(G317=0,I316,G317),G317)</f>
        <v>0</v>
      </c>
      <c r="J317" s="124" t="n">
        <f aca="false">IF(MONTH($A317)=MONTH($A316),SUM(I317-I316),I317)</f>
        <v>0</v>
      </c>
      <c r="K317" s="124" t="n">
        <f aca="false">IF(WEEKDAY(A317,3)&gt;4,0,(IF(A317&lt;K$2,0,IF(A317&lt;=K$3,1,0))))</f>
        <v>0</v>
      </c>
      <c r="L317" s="124" t="n">
        <f aca="false">J317*K317</f>
        <v>0</v>
      </c>
      <c r="M317" s="124" t="n">
        <f aca="false">SUM(J$280:J317)</f>
        <v>0</v>
      </c>
      <c r="N317" s="124" t="n">
        <f aca="false">SUM(J$6:J317)</f>
        <v>0</v>
      </c>
      <c r="P317" s="124" t="n">
        <f aca="false">D317/P$3</f>
        <v>0</v>
      </c>
      <c r="Q317" s="143" t="n">
        <f aca="false">E317/P$3</f>
        <v>0</v>
      </c>
      <c r="R317" s="124" t="n">
        <f aca="false">F317/R$3</f>
        <v>0</v>
      </c>
      <c r="S317" s="126" t="n">
        <f aca="false">J317/$R$3</f>
        <v>0</v>
      </c>
      <c r="T317" s="126" t="n">
        <f aca="false">L317/$R$3</f>
        <v>0</v>
      </c>
      <c r="U317" s="126" t="n">
        <f aca="false">I317/$R$3</f>
        <v>0</v>
      </c>
      <c r="V317" s="126" t="n">
        <f aca="false">M317/$R$3</f>
        <v>0</v>
      </c>
      <c r="W317" s="126" t="n">
        <f aca="false">N317/$R$3</f>
        <v>0</v>
      </c>
    </row>
    <row r="318" customFormat="false" ht="12.75" hidden="false" customHeight="false" outlineLevel="0" collapsed="false">
      <c r="A318" s="120" t="n">
        <f aca="false">A317+1</f>
        <v>37204</v>
      </c>
      <c r="B318" s="131" t="str">
        <f aca="false">INDEX('Master Data'!$A$2:$B$8,MATCH(WEEKDAY('Arg Total Power'!A318,3),'Master Data'!$A$2:$A$8,0),2)</f>
        <v>F</v>
      </c>
      <c r="D318" s="124" t="n">
        <v>0</v>
      </c>
      <c r="E318" s="124" t="n">
        <v>0</v>
      </c>
      <c r="F318" s="124" t="n">
        <v>0</v>
      </c>
      <c r="G318" s="124" t="n">
        <v>0</v>
      </c>
      <c r="I318" s="124" t="n">
        <f aca="false">IF(MONTH($A318)=MONTH($A317),IF(G318=0,I317,G318),G318)</f>
        <v>0</v>
      </c>
      <c r="J318" s="124" t="n">
        <f aca="false">IF(MONTH($A318)=MONTH($A317),SUM(I318-I317),I318)</f>
        <v>0</v>
      </c>
      <c r="K318" s="124" t="n">
        <f aca="false">IF(WEEKDAY(A318,3)&gt;4,0,(IF(A318&lt;K$2,0,IF(A318&lt;=K$3,1,0))))</f>
        <v>0</v>
      </c>
      <c r="L318" s="124" t="n">
        <f aca="false">J318*K318</f>
        <v>0</v>
      </c>
      <c r="M318" s="124" t="n">
        <f aca="false">SUM(J$280:J318)</f>
        <v>0</v>
      </c>
      <c r="N318" s="124" t="n">
        <f aca="false">SUM(J$6:J318)</f>
        <v>0</v>
      </c>
      <c r="P318" s="124" t="n">
        <f aca="false">D318/P$3</f>
        <v>0</v>
      </c>
      <c r="Q318" s="143" t="n">
        <f aca="false">E318/P$3</f>
        <v>0</v>
      </c>
      <c r="R318" s="124" t="n">
        <f aca="false">F318/R$3</f>
        <v>0</v>
      </c>
      <c r="S318" s="126" t="n">
        <f aca="false">J318/$R$3</f>
        <v>0</v>
      </c>
      <c r="T318" s="126" t="n">
        <f aca="false">L318/$R$3</f>
        <v>0</v>
      </c>
      <c r="U318" s="126" t="n">
        <f aca="false">I318/$R$3</f>
        <v>0</v>
      </c>
      <c r="V318" s="126" t="n">
        <f aca="false">M318/$R$3</f>
        <v>0</v>
      </c>
      <c r="W318" s="126" t="n">
        <f aca="false">N318/$R$3</f>
        <v>0</v>
      </c>
    </row>
    <row r="319" customFormat="false" ht="12.75" hidden="false" customHeight="false" outlineLevel="0" collapsed="false">
      <c r="A319" s="120" t="n">
        <f aca="false">A318+1</f>
        <v>37205</v>
      </c>
      <c r="B319" s="131" t="str">
        <f aca="false">INDEX('Master Data'!$A$2:$B$8,MATCH(WEEKDAY('Arg Total Power'!A319,3),'Master Data'!$A$2:$A$8,0),2)</f>
        <v>Sa</v>
      </c>
      <c r="D319" s="124" t="n">
        <v>0</v>
      </c>
      <c r="E319" s="124" t="n">
        <v>0</v>
      </c>
      <c r="F319" s="124" t="n">
        <v>0</v>
      </c>
      <c r="G319" s="124" t="n">
        <v>0</v>
      </c>
      <c r="I319" s="124" t="n">
        <f aca="false">IF(MONTH($A319)=MONTH($A318),IF(G319=0,I318,G319),G319)</f>
        <v>0</v>
      </c>
      <c r="J319" s="124" t="n">
        <f aca="false">IF(MONTH($A319)=MONTH($A318),SUM(I319-I318),I319)</f>
        <v>0</v>
      </c>
      <c r="K319" s="124" t="n">
        <f aca="false">IF(WEEKDAY(A319,3)&gt;4,0,(IF(A319&lt;K$2,0,IF(A319&lt;=K$3,1,0))))</f>
        <v>0</v>
      </c>
      <c r="L319" s="124" t="n">
        <f aca="false">J319*K319</f>
        <v>0</v>
      </c>
      <c r="M319" s="124" t="n">
        <f aca="false">SUM(J$280:J319)</f>
        <v>0</v>
      </c>
      <c r="N319" s="124" t="n">
        <f aca="false">SUM(J$6:J319)</f>
        <v>0</v>
      </c>
      <c r="P319" s="124" t="n">
        <f aca="false">D319/P$3</f>
        <v>0</v>
      </c>
      <c r="Q319" s="143" t="n">
        <f aca="false">E319/P$3</f>
        <v>0</v>
      </c>
      <c r="R319" s="124" t="n">
        <f aca="false">F319/R$3</f>
        <v>0</v>
      </c>
      <c r="S319" s="126" t="n">
        <f aca="false">J319/$R$3</f>
        <v>0</v>
      </c>
      <c r="T319" s="126" t="n">
        <f aca="false">L319/$R$3</f>
        <v>0</v>
      </c>
      <c r="U319" s="126" t="n">
        <f aca="false">I319/$R$3</f>
        <v>0</v>
      </c>
      <c r="V319" s="126" t="n">
        <f aca="false">M319/$R$3</f>
        <v>0</v>
      </c>
      <c r="W319" s="126" t="n">
        <f aca="false">N319/$R$3</f>
        <v>0</v>
      </c>
    </row>
    <row r="320" customFormat="false" ht="12.75" hidden="false" customHeight="false" outlineLevel="0" collapsed="false">
      <c r="A320" s="120" t="n">
        <f aca="false">A319+1</f>
        <v>37206</v>
      </c>
      <c r="B320" s="131" t="str">
        <f aca="false">INDEX('Master Data'!$A$2:$B$8,MATCH(WEEKDAY('Arg Total Power'!A320,3),'Master Data'!$A$2:$A$8,0),2)</f>
        <v>Su</v>
      </c>
      <c r="D320" s="124" t="n">
        <v>0</v>
      </c>
      <c r="E320" s="124" t="n">
        <v>0</v>
      </c>
      <c r="F320" s="124" t="n">
        <v>0</v>
      </c>
      <c r="G320" s="124" t="n">
        <v>0</v>
      </c>
      <c r="I320" s="124" t="n">
        <f aca="false">IF(MONTH($A320)=MONTH($A319),IF(G320=0,I319,G320),G320)</f>
        <v>0</v>
      </c>
      <c r="J320" s="124" t="n">
        <f aca="false">IF(MONTH($A320)=MONTH($A319),SUM(I320-I319),I320)</f>
        <v>0</v>
      </c>
      <c r="K320" s="124" t="n">
        <f aca="false">IF(WEEKDAY(A320,3)&gt;4,0,(IF(A320&lt;K$2,0,IF(A320&lt;=K$3,1,0))))</f>
        <v>0</v>
      </c>
      <c r="L320" s="124" t="n">
        <f aca="false">J320*K320</f>
        <v>0</v>
      </c>
      <c r="M320" s="124" t="n">
        <f aca="false">SUM(J$280:J320)</f>
        <v>0</v>
      </c>
      <c r="N320" s="124" t="n">
        <f aca="false">SUM(J$6:J320)</f>
        <v>0</v>
      </c>
      <c r="P320" s="124" t="n">
        <f aca="false">D320/P$3</f>
        <v>0</v>
      </c>
      <c r="Q320" s="143" t="n">
        <f aca="false">E320/P$3</f>
        <v>0</v>
      </c>
      <c r="R320" s="124" t="n">
        <f aca="false">F320/R$3</f>
        <v>0</v>
      </c>
      <c r="S320" s="126" t="n">
        <f aca="false">J320/$R$3</f>
        <v>0</v>
      </c>
      <c r="T320" s="126" t="n">
        <f aca="false">L320/$R$3</f>
        <v>0</v>
      </c>
      <c r="U320" s="126" t="n">
        <f aca="false">I320/$R$3</f>
        <v>0</v>
      </c>
      <c r="V320" s="126" t="n">
        <f aca="false">M320/$R$3</f>
        <v>0</v>
      </c>
      <c r="W320" s="126" t="n">
        <f aca="false">N320/$R$3</f>
        <v>0</v>
      </c>
    </row>
    <row r="321" customFormat="false" ht="12.75" hidden="false" customHeight="false" outlineLevel="0" collapsed="false">
      <c r="A321" s="120" t="n">
        <f aca="false">A320+1</f>
        <v>37207</v>
      </c>
      <c r="B321" s="131" t="str">
        <f aca="false">INDEX('Master Data'!$A$2:$B$8,MATCH(WEEKDAY('Arg Total Power'!A321,3),'Master Data'!$A$2:$A$8,0),2)</f>
        <v>M</v>
      </c>
      <c r="D321" s="124" t="n">
        <v>0</v>
      </c>
      <c r="E321" s="124" t="n">
        <v>0</v>
      </c>
      <c r="F321" s="124" t="n">
        <v>0</v>
      </c>
      <c r="G321" s="124" t="n">
        <v>0</v>
      </c>
      <c r="I321" s="124" t="n">
        <f aca="false">IF(MONTH($A321)=MONTH($A320),IF(G321=0,I320,G321),G321)</f>
        <v>0</v>
      </c>
      <c r="J321" s="124" t="n">
        <f aca="false">IF(MONTH($A321)=MONTH($A320),SUM(I321-I320),I321)</f>
        <v>0</v>
      </c>
      <c r="K321" s="124" t="n">
        <f aca="false">IF(WEEKDAY(A321,3)&gt;4,0,(IF(A321&lt;K$2,0,IF(A321&lt;=K$3,1,0))))</f>
        <v>0</v>
      </c>
      <c r="L321" s="124" t="n">
        <f aca="false">J321*K321</f>
        <v>0</v>
      </c>
      <c r="M321" s="124" t="n">
        <f aca="false">SUM(J$280:J321)</f>
        <v>0</v>
      </c>
      <c r="N321" s="124" t="n">
        <f aca="false">SUM(J$6:J321)</f>
        <v>0</v>
      </c>
      <c r="P321" s="124" t="n">
        <f aca="false">D321/P$3</f>
        <v>0</v>
      </c>
      <c r="Q321" s="143" t="n">
        <f aca="false">E321/P$3</f>
        <v>0</v>
      </c>
      <c r="R321" s="124" t="n">
        <f aca="false">F321/R$3</f>
        <v>0</v>
      </c>
      <c r="S321" s="126" t="n">
        <f aca="false">J321/$R$3</f>
        <v>0</v>
      </c>
      <c r="T321" s="126" t="n">
        <f aca="false">L321/$R$3</f>
        <v>0</v>
      </c>
      <c r="U321" s="126" t="n">
        <f aca="false">I321/$R$3</f>
        <v>0</v>
      </c>
      <c r="V321" s="126" t="n">
        <f aca="false">M321/$R$3</f>
        <v>0</v>
      </c>
      <c r="W321" s="126" t="n">
        <f aca="false">N321/$R$3</f>
        <v>0</v>
      </c>
    </row>
    <row r="322" customFormat="false" ht="12.75" hidden="false" customHeight="false" outlineLevel="0" collapsed="false">
      <c r="A322" s="120" t="n">
        <f aca="false">A321+1</f>
        <v>37208</v>
      </c>
      <c r="B322" s="131" t="str">
        <f aca="false">INDEX('Master Data'!$A$2:$B$8,MATCH(WEEKDAY('Arg Total Power'!A322,3),'Master Data'!$A$2:$A$8,0),2)</f>
        <v>T</v>
      </c>
      <c r="D322" s="124" t="n">
        <v>0</v>
      </c>
      <c r="E322" s="124" t="n">
        <v>0</v>
      </c>
      <c r="F322" s="124" t="n">
        <v>0</v>
      </c>
      <c r="G322" s="124" t="n">
        <v>0</v>
      </c>
      <c r="I322" s="124" t="n">
        <f aca="false">IF(MONTH($A322)=MONTH($A321),IF(G322=0,I321,G322),G322)</f>
        <v>0</v>
      </c>
      <c r="J322" s="124" t="n">
        <f aca="false">IF(MONTH($A322)=MONTH($A321),SUM(I322-I321),I322)</f>
        <v>0</v>
      </c>
      <c r="K322" s="124" t="n">
        <f aca="false">IF(WEEKDAY(A322,3)&gt;4,0,(IF(A322&lt;K$2,0,IF(A322&lt;=K$3,1,0))))</f>
        <v>0</v>
      </c>
      <c r="L322" s="124" t="n">
        <f aca="false">J322*K322</f>
        <v>0</v>
      </c>
      <c r="M322" s="124" t="n">
        <f aca="false">SUM(J$280:J322)</f>
        <v>0</v>
      </c>
      <c r="N322" s="124" t="n">
        <f aca="false">SUM(J$6:J322)</f>
        <v>0</v>
      </c>
      <c r="P322" s="124" t="n">
        <f aca="false">D322/P$3</f>
        <v>0</v>
      </c>
      <c r="Q322" s="143" t="n">
        <f aca="false">E322/P$3</f>
        <v>0</v>
      </c>
      <c r="R322" s="124" t="n">
        <f aca="false">F322/R$3</f>
        <v>0</v>
      </c>
      <c r="S322" s="126" t="n">
        <f aca="false">J322/$R$3</f>
        <v>0</v>
      </c>
      <c r="T322" s="126" t="n">
        <f aca="false">L322/$R$3</f>
        <v>0</v>
      </c>
      <c r="U322" s="126" t="n">
        <f aca="false">I322/$R$3</f>
        <v>0</v>
      </c>
      <c r="V322" s="126" t="n">
        <f aca="false">M322/$R$3</f>
        <v>0</v>
      </c>
      <c r="W322" s="126" t="n">
        <f aca="false">N322/$R$3</f>
        <v>0</v>
      </c>
    </row>
    <row r="323" customFormat="false" ht="12.75" hidden="false" customHeight="false" outlineLevel="0" collapsed="false">
      <c r="A323" s="120" t="n">
        <f aca="false">A322+1</f>
        <v>37209</v>
      </c>
      <c r="B323" s="131" t="str">
        <f aca="false">INDEX('Master Data'!$A$2:$B$8,MATCH(WEEKDAY('Arg Total Power'!A323,3),'Master Data'!$A$2:$A$8,0),2)</f>
        <v>W</v>
      </c>
      <c r="D323" s="124" t="n">
        <v>0</v>
      </c>
      <c r="E323" s="124" t="n">
        <v>0</v>
      </c>
      <c r="F323" s="124" t="n">
        <v>0</v>
      </c>
      <c r="G323" s="124" t="n">
        <v>0</v>
      </c>
      <c r="I323" s="124" t="n">
        <f aca="false">IF(MONTH($A323)=MONTH($A322),IF(G323=0,I322,G323),G323)</f>
        <v>0</v>
      </c>
      <c r="J323" s="124" t="n">
        <f aca="false">IF(MONTH($A323)=MONTH($A322),SUM(I323-I322),I323)</f>
        <v>0</v>
      </c>
      <c r="K323" s="124" t="n">
        <f aca="false">IF(WEEKDAY(A323,3)&gt;4,0,(IF(A323&lt;K$2,0,IF(A323&lt;=K$3,1,0))))</f>
        <v>0</v>
      </c>
      <c r="L323" s="124" t="n">
        <f aca="false">J323*K323</f>
        <v>0</v>
      </c>
      <c r="M323" s="124" t="n">
        <f aca="false">SUM(J$280:J323)</f>
        <v>0</v>
      </c>
      <c r="N323" s="124" t="n">
        <f aca="false">SUM(J$6:J323)</f>
        <v>0</v>
      </c>
      <c r="P323" s="124" t="n">
        <f aca="false">D323/P$3</f>
        <v>0</v>
      </c>
      <c r="Q323" s="143" t="n">
        <f aca="false">E323/P$3</f>
        <v>0</v>
      </c>
      <c r="R323" s="124" t="n">
        <f aca="false">F323/R$3</f>
        <v>0</v>
      </c>
      <c r="S323" s="126" t="n">
        <f aca="false">J323/$R$3</f>
        <v>0</v>
      </c>
      <c r="T323" s="126" t="n">
        <f aca="false">L323/$R$3</f>
        <v>0</v>
      </c>
      <c r="U323" s="126" t="n">
        <f aca="false">I323/$R$3</f>
        <v>0</v>
      </c>
      <c r="V323" s="126" t="n">
        <f aca="false">M323/$R$3</f>
        <v>0</v>
      </c>
      <c r="W323" s="126" t="n">
        <f aca="false">N323/$R$3</f>
        <v>0</v>
      </c>
    </row>
    <row r="324" customFormat="false" ht="12.75" hidden="false" customHeight="false" outlineLevel="0" collapsed="false">
      <c r="A324" s="120" t="n">
        <f aca="false">A323+1</f>
        <v>37210</v>
      </c>
      <c r="B324" s="131" t="str">
        <f aca="false">INDEX('Master Data'!$A$2:$B$8,MATCH(WEEKDAY('Arg Total Power'!A324,3),'Master Data'!$A$2:$A$8,0),2)</f>
        <v>Th</v>
      </c>
      <c r="D324" s="124" t="n">
        <v>0</v>
      </c>
      <c r="E324" s="124" t="n">
        <v>0</v>
      </c>
      <c r="F324" s="124" t="n">
        <v>0</v>
      </c>
      <c r="G324" s="124" t="n">
        <v>0</v>
      </c>
      <c r="I324" s="124" t="n">
        <f aca="false">IF(MONTH($A324)=MONTH($A323),IF(G324=0,I323,G324),G324)</f>
        <v>0</v>
      </c>
      <c r="J324" s="124" t="n">
        <f aca="false">IF(MONTH($A324)=MONTH($A323),SUM(I324-I323),I324)</f>
        <v>0</v>
      </c>
      <c r="K324" s="124" t="n">
        <f aca="false">IF(WEEKDAY(A324,3)&gt;4,0,(IF(A324&lt;K$2,0,IF(A324&lt;=K$3,1,0))))</f>
        <v>0</v>
      </c>
      <c r="L324" s="124" t="n">
        <f aca="false">J324*K324</f>
        <v>0</v>
      </c>
      <c r="M324" s="124" t="n">
        <f aca="false">SUM(J$280:J324)</f>
        <v>0</v>
      </c>
      <c r="N324" s="124" t="n">
        <f aca="false">SUM(J$6:J324)</f>
        <v>0</v>
      </c>
      <c r="P324" s="124" t="n">
        <f aca="false">D324/P$3</f>
        <v>0</v>
      </c>
      <c r="Q324" s="143" t="n">
        <f aca="false">E324/P$3</f>
        <v>0</v>
      </c>
      <c r="R324" s="124" t="n">
        <f aca="false">F324/R$3</f>
        <v>0</v>
      </c>
      <c r="S324" s="126" t="n">
        <f aca="false">J324/$R$3</f>
        <v>0</v>
      </c>
      <c r="T324" s="126" t="n">
        <f aca="false">L324/$R$3</f>
        <v>0</v>
      </c>
      <c r="U324" s="126" t="n">
        <f aca="false">I324/$R$3</f>
        <v>0</v>
      </c>
      <c r="V324" s="126" t="n">
        <f aca="false">M324/$R$3</f>
        <v>0</v>
      </c>
      <c r="W324" s="126" t="n">
        <f aca="false">N324/$R$3</f>
        <v>0</v>
      </c>
    </row>
    <row r="325" customFormat="false" ht="12.75" hidden="false" customHeight="false" outlineLevel="0" collapsed="false">
      <c r="A325" s="120" t="n">
        <f aca="false">A324+1</f>
        <v>37211</v>
      </c>
      <c r="B325" s="131" t="str">
        <f aca="false">INDEX('Master Data'!$A$2:$B$8,MATCH(WEEKDAY('Arg Total Power'!A325,3),'Master Data'!$A$2:$A$8,0),2)</f>
        <v>F</v>
      </c>
      <c r="D325" s="124" t="n">
        <v>0</v>
      </c>
      <c r="E325" s="124" t="n">
        <v>0</v>
      </c>
      <c r="F325" s="124" t="n">
        <v>0</v>
      </c>
      <c r="G325" s="124" t="n">
        <v>0</v>
      </c>
      <c r="I325" s="124" t="n">
        <f aca="false">IF(MONTH($A325)=MONTH($A324),IF(G325=0,I324,G325),G325)</f>
        <v>0</v>
      </c>
      <c r="J325" s="124" t="n">
        <f aca="false">IF(MONTH($A325)=MONTH($A324),SUM(I325-I324),I325)</f>
        <v>0</v>
      </c>
      <c r="K325" s="124" t="n">
        <f aca="false">IF(WEEKDAY(A325,3)&gt;4,0,(IF(A325&lt;K$2,0,IF(A325&lt;=K$3,1,0))))</f>
        <v>0</v>
      </c>
      <c r="L325" s="124" t="n">
        <f aca="false">J325*K325</f>
        <v>0</v>
      </c>
      <c r="M325" s="124" t="n">
        <f aca="false">SUM(J$280:J325)</f>
        <v>0</v>
      </c>
      <c r="N325" s="124" t="n">
        <f aca="false">SUM(J$6:J325)</f>
        <v>0</v>
      </c>
      <c r="P325" s="124" t="n">
        <f aca="false">D325/P$3</f>
        <v>0</v>
      </c>
      <c r="Q325" s="143" t="n">
        <f aca="false">E325/P$3</f>
        <v>0</v>
      </c>
      <c r="R325" s="124" t="n">
        <f aca="false">F325/R$3</f>
        <v>0</v>
      </c>
      <c r="S325" s="126" t="n">
        <f aca="false">J325/$R$3</f>
        <v>0</v>
      </c>
      <c r="T325" s="126" t="n">
        <f aca="false">L325/$R$3</f>
        <v>0</v>
      </c>
      <c r="U325" s="126" t="n">
        <f aca="false">I325/$R$3</f>
        <v>0</v>
      </c>
      <c r="V325" s="126" t="n">
        <f aca="false">M325/$R$3</f>
        <v>0</v>
      </c>
      <c r="W325" s="126" t="n">
        <f aca="false">N325/$R$3</f>
        <v>0</v>
      </c>
    </row>
    <row r="326" customFormat="false" ht="12.75" hidden="false" customHeight="false" outlineLevel="0" collapsed="false">
      <c r="A326" s="120" t="n">
        <f aca="false">A325+1</f>
        <v>37212</v>
      </c>
      <c r="B326" s="131" t="str">
        <f aca="false">INDEX('Master Data'!$A$2:$B$8,MATCH(WEEKDAY('Arg Total Power'!A326,3),'Master Data'!$A$2:$A$8,0),2)</f>
        <v>Sa</v>
      </c>
      <c r="D326" s="124" t="n">
        <v>0</v>
      </c>
      <c r="E326" s="124" t="n">
        <v>0</v>
      </c>
      <c r="F326" s="124" t="n">
        <v>0</v>
      </c>
      <c r="G326" s="124" t="n">
        <v>0</v>
      </c>
      <c r="I326" s="124" t="n">
        <f aca="false">IF(MONTH($A326)=MONTH($A325),IF(G326=0,I325,G326),G326)</f>
        <v>0</v>
      </c>
      <c r="J326" s="124" t="n">
        <f aca="false">IF(MONTH($A326)=MONTH($A325),SUM(I326-I325),I326)</f>
        <v>0</v>
      </c>
      <c r="K326" s="124" t="n">
        <f aca="false">IF(WEEKDAY(A326,3)&gt;4,0,(IF(A326&lt;K$2,0,IF(A326&lt;=K$3,1,0))))</f>
        <v>0</v>
      </c>
      <c r="L326" s="124" t="n">
        <f aca="false">J326*K326</f>
        <v>0</v>
      </c>
      <c r="M326" s="124" t="n">
        <f aca="false">SUM(J$280:J326)</f>
        <v>0</v>
      </c>
      <c r="N326" s="124" t="n">
        <f aca="false">SUM(J$6:J326)</f>
        <v>0</v>
      </c>
      <c r="P326" s="124" t="n">
        <f aca="false">D326/P$3</f>
        <v>0</v>
      </c>
      <c r="Q326" s="143" t="n">
        <f aca="false">E326/P$3</f>
        <v>0</v>
      </c>
      <c r="R326" s="124" t="n">
        <f aca="false">F326/R$3</f>
        <v>0</v>
      </c>
      <c r="S326" s="126" t="n">
        <f aca="false">J326/$R$3</f>
        <v>0</v>
      </c>
      <c r="T326" s="126" t="n">
        <f aca="false">L326/$R$3</f>
        <v>0</v>
      </c>
      <c r="U326" s="126" t="n">
        <f aca="false">I326/$R$3</f>
        <v>0</v>
      </c>
      <c r="V326" s="126" t="n">
        <f aca="false">M326/$R$3</f>
        <v>0</v>
      </c>
      <c r="W326" s="126" t="n">
        <f aca="false">N326/$R$3</f>
        <v>0</v>
      </c>
    </row>
    <row r="327" customFormat="false" ht="12.75" hidden="false" customHeight="false" outlineLevel="0" collapsed="false">
      <c r="A327" s="120" t="n">
        <f aca="false">A326+1</f>
        <v>37213</v>
      </c>
      <c r="B327" s="131" t="str">
        <f aca="false">INDEX('Master Data'!$A$2:$B$8,MATCH(WEEKDAY('Arg Total Power'!A327,3),'Master Data'!$A$2:$A$8,0),2)</f>
        <v>Su</v>
      </c>
      <c r="D327" s="124" t="n">
        <v>0</v>
      </c>
      <c r="E327" s="124" t="n">
        <v>0</v>
      </c>
      <c r="F327" s="124" t="n">
        <v>0</v>
      </c>
      <c r="G327" s="124" t="n">
        <v>0</v>
      </c>
      <c r="I327" s="124" t="n">
        <f aca="false">IF(MONTH($A327)=MONTH($A326),IF(G327=0,I326,G327),G327)</f>
        <v>0</v>
      </c>
      <c r="J327" s="124" t="n">
        <f aca="false">IF(MONTH($A327)=MONTH($A326),SUM(I327-I326),I327)</f>
        <v>0</v>
      </c>
      <c r="K327" s="124" t="n">
        <f aca="false">IF(WEEKDAY(A327,3)&gt;4,0,(IF(A327&lt;K$2,0,IF(A327&lt;=K$3,1,0))))</f>
        <v>0</v>
      </c>
      <c r="L327" s="124" t="n">
        <f aca="false">J327*K327</f>
        <v>0</v>
      </c>
      <c r="M327" s="124" t="n">
        <f aca="false">SUM(J$280:J327)</f>
        <v>0</v>
      </c>
      <c r="N327" s="124" t="n">
        <f aca="false">SUM(J$6:J327)</f>
        <v>0</v>
      </c>
      <c r="P327" s="124" t="n">
        <f aca="false">D327/P$3</f>
        <v>0</v>
      </c>
      <c r="Q327" s="143" t="n">
        <f aca="false">E327/P$3</f>
        <v>0</v>
      </c>
      <c r="R327" s="124" t="n">
        <f aca="false">F327/R$3</f>
        <v>0</v>
      </c>
      <c r="S327" s="126" t="n">
        <f aca="false">J327/$R$3</f>
        <v>0</v>
      </c>
      <c r="T327" s="126" t="n">
        <f aca="false">L327/$R$3</f>
        <v>0</v>
      </c>
      <c r="U327" s="126" t="n">
        <f aca="false">I327/$R$3</f>
        <v>0</v>
      </c>
      <c r="V327" s="126" t="n">
        <f aca="false">M327/$R$3</f>
        <v>0</v>
      </c>
      <c r="W327" s="126" t="n">
        <f aca="false">N327/$R$3</f>
        <v>0</v>
      </c>
    </row>
    <row r="328" customFormat="false" ht="12.75" hidden="false" customHeight="false" outlineLevel="0" collapsed="false">
      <c r="A328" s="120" t="n">
        <f aca="false">A327+1</f>
        <v>37214</v>
      </c>
      <c r="B328" s="131" t="str">
        <f aca="false">INDEX('Master Data'!$A$2:$B$8,MATCH(WEEKDAY('Arg Total Power'!A328,3),'Master Data'!$A$2:$A$8,0),2)</f>
        <v>M</v>
      </c>
      <c r="D328" s="124" t="n">
        <v>0</v>
      </c>
      <c r="E328" s="124" t="n">
        <v>0</v>
      </c>
      <c r="F328" s="124" t="n">
        <v>0</v>
      </c>
      <c r="G328" s="124" t="n">
        <v>0</v>
      </c>
      <c r="I328" s="124" t="n">
        <f aca="false">IF(MONTH($A328)=MONTH($A327),IF(G328=0,I327,G328),G328)</f>
        <v>0</v>
      </c>
      <c r="J328" s="124" t="n">
        <f aca="false">IF(MONTH($A328)=MONTH($A327),SUM(I328-I327),I328)</f>
        <v>0</v>
      </c>
      <c r="K328" s="124" t="n">
        <f aca="false">IF(WEEKDAY(A328,3)&gt;4,0,(IF(A328&lt;K$2,0,IF(A328&lt;=K$3,1,0))))</f>
        <v>0</v>
      </c>
      <c r="L328" s="124" t="n">
        <f aca="false">J328*K328</f>
        <v>0</v>
      </c>
      <c r="M328" s="124" t="n">
        <f aca="false">SUM(J$280:J328)</f>
        <v>0</v>
      </c>
      <c r="N328" s="124" t="n">
        <f aca="false">SUM(J$6:J328)</f>
        <v>0</v>
      </c>
      <c r="P328" s="124" t="n">
        <f aca="false">D328/P$3</f>
        <v>0</v>
      </c>
      <c r="Q328" s="143" t="n">
        <f aca="false">E328/P$3</f>
        <v>0</v>
      </c>
      <c r="R328" s="124" t="n">
        <f aca="false">F328/R$3</f>
        <v>0</v>
      </c>
      <c r="S328" s="126" t="n">
        <f aca="false">J328/$R$3</f>
        <v>0</v>
      </c>
      <c r="T328" s="126" t="n">
        <f aca="false">L328/$R$3</f>
        <v>0</v>
      </c>
      <c r="U328" s="126" t="n">
        <f aca="false">I328/$R$3</f>
        <v>0</v>
      </c>
      <c r="V328" s="126" t="n">
        <f aca="false">M328/$R$3</f>
        <v>0</v>
      </c>
      <c r="W328" s="126" t="n">
        <f aca="false">N328/$R$3</f>
        <v>0</v>
      </c>
    </row>
    <row r="329" customFormat="false" ht="12.75" hidden="false" customHeight="false" outlineLevel="0" collapsed="false">
      <c r="A329" s="120" t="n">
        <f aca="false">A328+1</f>
        <v>37215</v>
      </c>
      <c r="B329" s="131" t="str">
        <f aca="false">INDEX('Master Data'!$A$2:$B$8,MATCH(WEEKDAY('Arg Total Power'!A329,3),'Master Data'!$A$2:$A$8,0),2)</f>
        <v>T</v>
      </c>
      <c r="D329" s="124" t="n">
        <v>0</v>
      </c>
      <c r="E329" s="124" t="n">
        <v>0</v>
      </c>
      <c r="F329" s="124" t="n">
        <v>0</v>
      </c>
      <c r="G329" s="124" t="n">
        <v>0</v>
      </c>
      <c r="I329" s="124" t="n">
        <f aca="false">IF(MONTH($A329)=MONTH($A328),IF(G329=0,I328,G329),G329)</f>
        <v>0</v>
      </c>
      <c r="J329" s="124" t="n">
        <f aca="false">IF(MONTH($A329)=MONTH($A328),SUM(I329-I328),I329)</f>
        <v>0</v>
      </c>
      <c r="K329" s="124" t="n">
        <f aca="false">IF(WEEKDAY(A329,3)&gt;4,0,(IF(A329&lt;K$2,0,IF(A329&lt;=K$3,1,0))))</f>
        <v>0</v>
      </c>
      <c r="L329" s="124" t="n">
        <f aca="false">J329*K329</f>
        <v>0</v>
      </c>
      <c r="M329" s="124" t="n">
        <f aca="false">SUM(J$280:J329)</f>
        <v>0</v>
      </c>
      <c r="N329" s="124" t="n">
        <f aca="false">SUM(J$6:J329)</f>
        <v>0</v>
      </c>
      <c r="P329" s="124" t="n">
        <f aca="false">D329/P$3</f>
        <v>0</v>
      </c>
      <c r="Q329" s="143" t="n">
        <f aca="false">E329/P$3</f>
        <v>0</v>
      </c>
      <c r="R329" s="124" t="n">
        <f aca="false">F329/R$3</f>
        <v>0</v>
      </c>
      <c r="S329" s="126" t="n">
        <f aca="false">J329/$R$3</f>
        <v>0</v>
      </c>
      <c r="T329" s="126" t="n">
        <f aca="false">L329/$R$3</f>
        <v>0</v>
      </c>
      <c r="U329" s="126" t="n">
        <f aca="false">I329/$R$3</f>
        <v>0</v>
      </c>
      <c r="V329" s="126" t="n">
        <f aca="false">M329/$R$3</f>
        <v>0</v>
      </c>
      <c r="W329" s="126" t="n">
        <f aca="false">N329/$R$3</f>
        <v>0</v>
      </c>
    </row>
    <row r="330" customFormat="false" ht="12.75" hidden="false" customHeight="false" outlineLevel="0" collapsed="false">
      <c r="A330" s="120" t="n">
        <f aca="false">A329+1</f>
        <v>37216</v>
      </c>
      <c r="B330" s="131" t="str">
        <f aca="false">INDEX('Master Data'!$A$2:$B$8,MATCH(WEEKDAY('Arg Total Power'!A330,3),'Master Data'!$A$2:$A$8,0),2)</f>
        <v>W</v>
      </c>
      <c r="D330" s="124" t="n">
        <v>0</v>
      </c>
      <c r="E330" s="124" t="n">
        <v>0</v>
      </c>
      <c r="F330" s="124" t="n">
        <v>0</v>
      </c>
      <c r="G330" s="124" t="n">
        <v>0</v>
      </c>
      <c r="I330" s="124" t="n">
        <f aca="false">IF(MONTH($A330)=MONTH($A329),IF(G330=0,I329,G330),G330)</f>
        <v>0</v>
      </c>
      <c r="J330" s="124" t="n">
        <f aca="false">IF(MONTH($A330)=MONTH($A329),SUM(I330-I329),I330)</f>
        <v>0</v>
      </c>
      <c r="K330" s="124" t="n">
        <f aca="false">IF(WEEKDAY(A330,3)&gt;4,0,(IF(A330&lt;K$2,0,IF(A330&lt;=K$3,1,0))))</f>
        <v>0</v>
      </c>
      <c r="L330" s="124" t="n">
        <f aca="false">J330*K330</f>
        <v>0</v>
      </c>
      <c r="M330" s="124" t="n">
        <f aca="false">SUM(J$280:J330)</f>
        <v>0</v>
      </c>
      <c r="N330" s="124" t="n">
        <f aca="false">SUM(J$6:J330)</f>
        <v>0</v>
      </c>
      <c r="P330" s="124" t="n">
        <f aca="false">D330/P$3</f>
        <v>0</v>
      </c>
      <c r="Q330" s="143" t="n">
        <f aca="false">E330/P$3</f>
        <v>0</v>
      </c>
      <c r="R330" s="124" t="n">
        <f aca="false">F330/R$3</f>
        <v>0</v>
      </c>
      <c r="S330" s="126" t="n">
        <f aca="false">J330/$R$3</f>
        <v>0</v>
      </c>
      <c r="T330" s="126" t="n">
        <f aca="false">L330/$R$3</f>
        <v>0</v>
      </c>
      <c r="U330" s="126" t="n">
        <f aca="false">I330/$R$3</f>
        <v>0</v>
      </c>
      <c r="V330" s="126" t="n">
        <f aca="false">M330/$R$3</f>
        <v>0</v>
      </c>
      <c r="W330" s="126" t="n">
        <f aca="false">N330/$R$3</f>
        <v>0</v>
      </c>
    </row>
    <row r="331" customFormat="false" ht="12.75" hidden="false" customHeight="false" outlineLevel="0" collapsed="false">
      <c r="A331" s="120" t="n">
        <f aca="false">A330+1</f>
        <v>37217</v>
      </c>
      <c r="B331" s="131" t="str">
        <f aca="false">INDEX('Master Data'!$A$2:$B$8,MATCH(WEEKDAY('Arg Total Power'!A331,3),'Master Data'!$A$2:$A$8,0),2)</f>
        <v>Th</v>
      </c>
      <c r="D331" s="124" t="n">
        <v>0</v>
      </c>
      <c r="E331" s="124" t="n">
        <v>0</v>
      </c>
      <c r="F331" s="124" t="n">
        <v>0</v>
      </c>
      <c r="G331" s="124" t="n">
        <v>0</v>
      </c>
      <c r="I331" s="124" t="n">
        <f aca="false">IF(MONTH($A331)=MONTH($A330),IF(G331=0,I330,G331),G331)</f>
        <v>0</v>
      </c>
      <c r="J331" s="124" t="n">
        <f aca="false">IF(MONTH($A331)=MONTH($A330),SUM(I331-I330),I331)</f>
        <v>0</v>
      </c>
      <c r="K331" s="124" t="n">
        <f aca="false">IF(WEEKDAY(A331,3)&gt;4,0,(IF(A331&lt;K$2,0,IF(A331&lt;=K$3,1,0))))</f>
        <v>0</v>
      </c>
      <c r="L331" s="124" t="n">
        <f aca="false">J331*K331</f>
        <v>0</v>
      </c>
      <c r="M331" s="124" t="n">
        <f aca="false">SUM(J$280:J331)</f>
        <v>0</v>
      </c>
      <c r="N331" s="124" t="n">
        <f aca="false">SUM(J$6:J331)</f>
        <v>0</v>
      </c>
      <c r="P331" s="124" t="n">
        <f aca="false">D331/P$3</f>
        <v>0</v>
      </c>
      <c r="Q331" s="143" t="n">
        <f aca="false">E331/P$3</f>
        <v>0</v>
      </c>
      <c r="R331" s="124" t="n">
        <f aca="false">F331/R$3</f>
        <v>0</v>
      </c>
      <c r="S331" s="126" t="n">
        <f aca="false">J331/$R$3</f>
        <v>0</v>
      </c>
      <c r="T331" s="126" t="n">
        <f aca="false">L331/$R$3</f>
        <v>0</v>
      </c>
      <c r="U331" s="126" t="n">
        <f aca="false">I331/$R$3</f>
        <v>0</v>
      </c>
      <c r="V331" s="126" t="n">
        <f aca="false">M331/$R$3</f>
        <v>0</v>
      </c>
      <c r="W331" s="126" t="n">
        <f aca="false">N331/$R$3</f>
        <v>0</v>
      </c>
    </row>
    <row r="332" customFormat="false" ht="12.75" hidden="false" customHeight="false" outlineLevel="0" collapsed="false">
      <c r="A332" s="120" t="n">
        <f aca="false">A331+1</f>
        <v>37218</v>
      </c>
      <c r="B332" s="131" t="str">
        <f aca="false">INDEX('Master Data'!$A$2:$B$8,MATCH(WEEKDAY('Arg Total Power'!A332,3),'Master Data'!$A$2:$A$8,0),2)</f>
        <v>F</v>
      </c>
      <c r="D332" s="124" t="n">
        <v>0</v>
      </c>
      <c r="E332" s="124" t="n">
        <v>0</v>
      </c>
      <c r="F332" s="124" t="n">
        <v>0</v>
      </c>
      <c r="G332" s="124" t="n">
        <v>0</v>
      </c>
      <c r="I332" s="124" t="n">
        <f aca="false">IF(MONTH($A332)=MONTH($A331),IF(G332=0,I331,G332),G332)</f>
        <v>0</v>
      </c>
      <c r="J332" s="124" t="n">
        <f aca="false">IF(MONTH($A332)=MONTH($A331),SUM(I332-I331),I332)</f>
        <v>0</v>
      </c>
      <c r="K332" s="124" t="n">
        <f aca="false">IF(WEEKDAY(A332,3)&gt;4,0,(IF(A332&lt;K$2,0,IF(A332&lt;=K$3,1,0))))</f>
        <v>0</v>
      </c>
      <c r="L332" s="124" t="n">
        <f aca="false">J332*K332</f>
        <v>0</v>
      </c>
      <c r="M332" s="124" t="n">
        <f aca="false">SUM(J$280:J332)</f>
        <v>0</v>
      </c>
      <c r="N332" s="124" t="n">
        <f aca="false">SUM(J$6:J332)</f>
        <v>0</v>
      </c>
      <c r="P332" s="124" t="n">
        <f aca="false">D332/P$3</f>
        <v>0</v>
      </c>
      <c r="Q332" s="143" t="n">
        <f aca="false">E332/P$3</f>
        <v>0</v>
      </c>
      <c r="R332" s="124" t="n">
        <f aca="false">F332/R$3</f>
        <v>0</v>
      </c>
      <c r="S332" s="126" t="n">
        <f aca="false">J332/$R$3</f>
        <v>0</v>
      </c>
      <c r="T332" s="126" t="n">
        <f aca="false">L332/$R$3</f>
        <v>0</v>
      </c>
      <c r="U332" s="126" t="n">
        <f aca="false">I332/$R$3</f>
        <v>0</v>
      </c>
      <c r="V332" s="126" t="n">
        <f aca="false">M332/$R$3</f>
        <v>0</v>
      </c>
      <c r="W332" s="126" t="n">
        <f aca="false">N332/$R$3</f>
        <v>0</v>
      </c>
    </row>
    <row r="333" customFormat="false" ht="12.75" hidden="false" customHeight="false" outlineLevel="0" collapsed="false">
      <c r="A333" s="120" t="n">
        <f aca="false">A332+1</f>
        <v>37219</v>
      </c>
      <c r="B333" s="131" t="str">
        <f aca="false">INDEX('Master Data'!$A$2:$B$8,MATCH(WEEKDAY('Arg Total Power'!A333,3),'Master Data'!$A$2:$A$8,0),2)</f>
        <v>Sa</v>
      </c>
      <c r="D333" s="124" t="n">
        <v>0</v>
      </c>
      <c r="E333" s="124" t="n">
        <v>0</v>
      </c>
      <c r="F333" s="124" t="n">
        <v>0</v>
      </c>
      <c r="G333" s="124" t="n">
        <v>0</v>
      </c>
      <c r="I333" s="124" t="n">
        <f aca="false">IF(MONTH($A333)=MONTH($A332),IF(G333=0,I332,G333),G333)</f>
        <v>0</v>
      </c>
      <c r="J333" s="124" t="n">
        <f aca="false">IF(MONTH($A333)=MONTH($A332),SUM(I333-I332),I333)</f>
        <v>0</v>
      </c>
      <c r="K333" s="124" t="n">
        <f aca="false">IF(WEEKDAY(A333,3)&gt;4,0,(IF(A333&lt;K$2,0,IF(A333&lt;=K$3,1,0))))</f>
        <v>0</v>
      </c>
      <c r="L333" s="124" t="n">
        <f aca="false">J333*K333</f>
        <v>0</v>
      </c>
      <c r="M333" s="124" t="n">
        <f aca="false">SUM(J$280:J333)</f>
        <v>0</v>
      </c>
      <c r="N333" s="124" t="n">
        <f aca="false">SUM(J$6:J333)</f>
        <v>0</v>
      </c>
      <c r="P333" s="124" t="n">
        <f aca="false">D333/P$3</f>
        <v>0</v>
      </c>
      <c r="Q333" s="143" t="n">
        <f aca="false">E333/P$3</f>
        <v>0</v>
      </c>
      <c r="R333" s="124" t="n">
        <f aca="false">F333/R$3</f>
        <v>0</v>
      </c>
      <c r="S333" s="126" t="n">
        <f aca="false">J333/$R$3</f>
        <v>0</v>
      </c>
      <c r="T333" s="126" t="n">
        <f aca="false">L333/$R$3</f>
        <v>0</v>
      </c>
      <c r="U333" s="126" t="n">
        <f aca="false">I333/$R$3</f>
        <v>0</v>
      </c>
      <c r="V333" s="126" t="n">
        <f aca="false">M333/$R$3</f>
        <v>0</v>
      </c>
      <c r="W333" s="126" t="n">
        <f aca="false">N333/$R$3</f>
        <v>0</v>
      </c>
    </row>
    <row r="334" customFormat="false" ht="12.75" hidden="false" customHeight="false" outlineLevel="0" collapsed="false">
      <c r="A334" s="120" t="n">
        <f aca="false">A333+1</f>
        <v>37220</v>
      </c>
      <c r="B334" s="131" t="str">
        <f aca="false">INDEX('Master Data'!$A$2:$B$8,MATCH(WEEKDAY('Arg Total Power'!A334,3),'Master Data'!$A$2:$A$8,0),2)</f>
        <v>Su</v>
      </c>
      <c r="D334" s="124" t="n">
        <v>0</v>
      </c>
      <c r="E334" s="124" t="n">
        <v>0</v>
      </c>
      <c r="F334" s="124" t="n">
        <v>0</v>
      </c>
      <c r="G334" s="124" t="n">
        <v>0</v>
      </c>
      <c r="I334" s="124" t="n">
        <f aca="false">IF(MONTH($A334)=MONTH($A333),IF(G334=0,I333,G334),G334)</f>
        <v>0</v>
      </c>
      <c r="J334" s="124" t="n">
        <f aca="false">IF(MONTH($A334)=MONTH($A333),SUM(I334-I333),I334)</f>
        <v>0</v>
      </c>
      <c r="K334" s="124" t="n">
        <f aca="false">IF(WEEKDAY(A334,3)&gt;4,0,(IF(A334&lt;K$2,0,IF(A334&lt;=K$3,1,0))))</f>
        <v>0</v>
      </c>
      <c r="L334" s="124" t="n">
        <f aca="false">J334*K334</f>
        <v>0</v>
      </c>
      <c r="M334" s="124" t="n">
        <f aca="false">SUM(J$280:J334)</f>
        <v>0</v>
      </c>
      <c r="N334" s="124" t="n">
        <f aca="false">SUM(J$6:J334)</f>
        <v>0</v>
      </c>
      <c r="P334" s="124" t="n">
        <f aca="false">D334/P$3</f>
        <v>0</v>
      </c>
      <c r="Q334" s="143" t="n">
        <f aca="false">E334/P$3</f>
        <v>0</v>
      </c>
      <c r="R334" s="124" t="n">
        <f aca="false">F334/R$3</f>
        <v>0</v>
      </c>
      <c r="S334" s="126" t="n">
        <f aca="false">J334/$R$3</f>
        <v>0</v>
      </c>
      <c r="T334" s="126" t="n">
        <f aca="false">L334/$R$3</f>
        <v>0</v>
      </c>
      <c r="U334" s="126" t="n">
        <f aca="false">I334/$R$3</f>
        <v>0</v>
      </c>
      <c r="V334" s="126" t="n">
        <f aca="false">M334/$R$3</f>
        <v>0</v>
      </c>
      <c r="W334" s="126" t="n">
        <f aca="false">N334/$R$3</f>
        <v>0</v>
      </c>
    </row>
    <row r="335" customFormat="false" ht="12.75" hidden="false" customHeight="false" outlineLevel="0" collapsed="false">
      <c r="A335" s="120" t="n">
        <f aca="false">A334+1</f>
        <v>37221</v>
      </c>
      <c r="B335" s="131" t="str">
        <f aca="false">INDEX('Master Data'!$A$2:$B$8,MATCH(WEEKDAY('Arg Total Power'!A335,3),'Master Data'!$A$2:$A$8,0),2)</f>
        <v>M</v>
      </c>
      <c r="D335" s="124" t="n">
        <v>0</v>
      </c>
      <c r="E335" s="124" t="n">
        <v>0</v>
      </c>
      <c r="F335" s="124" t="n">
        <v>0</v>
      </c>
      <c r="G335" s="124" t="n">
        <v>0</v>
      </c>
      <c r="I335" s="124" t="n">
        <f aca="false">IF(MONTH($A335)=MONTH($A334),IF(G335=0,I334,G335),G335)</f>
        <v>0</v>
      </c>
      <c r="J335" s="124" t="n">
        <f aca="false">IF(MONTH($A335)=MONTH($A334),SUM(I335-I334),I335)</f>
        <v>0</v>
      </c>
      <c r="K335" s="124" t="n">
        <f aca="false">IF(WEEKDAY(A335,3)&gt;4,0,(IF(A335&lt;K$2,0,IF(A335&lt;=K$3,1,0))))</f>
        <v>0</v>
      </c>
      <c r="L335" s="124" t="n">
        <f aca="false">J335*K335</f>
        <v>0</v>
      </c>
      <c r="M335" s="124" t="n">
        <f aca="false">SUM(J$280:J335)</f>
        <v>0</v>
      </c>
      <c r="N335" s="124" t="n">
        <f aca="false">SUM(J$6:J335)</f>
        <v>0</v>
      </c>
      <c r="P335" s="124" t="n">
        <f aca="false">D335/P$3</f>
        <v>0</v>
      </c>
      <c r="Q335" s="143" t="n">
        <f aca="false">E335/P$3</f>
        <v>0</v>
      </c>
      <c r="R335" s="124" t="n">
        <f aca="false">F335/R$3</f>
        <v>0</v>
      </c>
      <c r="S335" s="126" t="n">
        <f aca="false">J335/$R$3</f>
        <v>0</v>
      </c>
      <c r="T335" s="126" t="n">
        <f aca="false">L335/$R$3</f>
        <v>0</v>
      </c>
      <c r="U335" s="126" t="n">
        <f aca="false">I335/$R$3</f>
        <v>0</v>
      </c>
      <c r="V335" s="126" t="n">
        <f aca="false">M335/$R$3</f>
        <v>0</v>
      </c>
      <c r="W335" s="126" t="n">
        <f aca="false">N335/$R$3</f>
        <v>0</v>
      </c>
    </row>
    <row r="336" customFormat="false" ht="12.75" hidden="false" customHeight="false" outlineLevel="0" collapsed="false">
      <c r="A336" s="120" t="n">
        <f aca="false">A335+1</f>
        <v>37222</v>
      </c>
      <c r="B336" s="131" t="str">
        <f aca="false">INDEX('Master Data'!$A$2:$B$8,MATCH(WEEKDAY('Arg Total Power'!A336,3),'Master Data'!$A$2:$A$8,0),2)</f>
        <v>T</v>
      </c>
      <c r="D336" s="124" t="n">
        <v>0</v>
      </c>
      <c r="E336" s="124" t="n">
        <v>0</v>
      </c>
      <c r="F336" s="124" t="n">
        <v>0</v>
      </c>
      <c r="G336" s="124" t="n">
        <v>0</v>
      </c>
      <c r="I336" s="124" t="n">
        <f aca="false">IF(MONTH($A336)=MONTH($A335),IF(G336=0,I335,G336),G336)</f>
        <v>0</v>
      </c>
      <c r="J336" s="124" t="n">
        <f aca="false">IF(MONTH($A336)=MONTH($A335),SUM(I336-I335),I336)</f>
        <v>0</v>
      </c>
      <c r="K336" s="124" t="n">
        <f aca="false">IF(WEEKDAY(A336,3)&gt;4,0,(IF(A336&lt;K$2,0,IF(A336&lt;=K$3,1,0))))</f>
        <v>0</v>
      </c>
      <c r="L336" s="124" t="n">
        <f aca="false">J336*K336</f>
        <v>0</v>
      </c>
      <c r="M336" s="124" t="n">
        <f aca="false">SUM(J$280:J336)</f>
        <v>0</v>
      </c>
      <c r="N336" s="124" t="n">
        <f aca="false">SUM(J$6:J336)</f>
        <v>0</v>
      </c>
      <c r="P336" s="124" t="n">
        <f aca="false">D336/P$3</f>
        <v>0</v>
      </c>
      <c r="Q336" s="143" t="n">
        <f aca="false">E336/P$3</f>
        <v>0</v>
      </c>
      <c r="R336" s="124" t="n">
        <f aca="false">F336/R$3</f>
        <v>0</v>
      </c>
      <c r="S336" s="126" t="n">
        <f aca="false">J336/$R$3</f>
        <v>0</v>
      </c>
      <c r="T336" s="126" t="n">
        <f aca="false">L336/$R$3</f>
        <v>0</v>
      </c>
      <c r="U336" s="126" t="n">
        <f aca="false">I336/$R$3</f>
        <v>0</v>
      </c>
      <c r="V336" s="126" t="n">
        <f aca="false">M336/$R$3</f>
        <v>0</v>
      </c>
      <c r="W336" s="126" t="n">
        <f aca="false">N336/$R$3</f>
        <v>0</v>
      </c>
    </row>
    <row r="337" customFormat="false" ht="12.75" hidden="false" customHeight="false" outlineLevel="0" collapsed="false">
      <c r="A337" s="120" t="n">
        <f aca="false">A336+1</f>
        <v>37223</v>
      </c>
      <c r="B337" s="131" t="str">
        <f aca="false">INDEX('Master Data'!$A$2:$B$8,MATCH(WEEKDAY('Arg Total Power'!A337,3),'Master Data'!$A$2:$A$8,0),2)</f>
        <v>W</v>
      </c>
      <c r="D337" s="124" t="n">
        <v>0</v>
      </c>
      <c r="E337" s="124" t="n">
        <v>0</v>
      </c>
      <c r="F337" s="124" t="n">
        <v>0</v>
      </c>
      <c r="G337" s="124" t="n">
        <v>0</v>
      </c>
      <c r="I337" s="124" t="n">
        <f aca="false">IF(MONTH($A337)=MONTH($A336),IF(G337=0,I336,G337),G337)</f>
        <v>0</v>
      </c>
      <c r="J337" s="124" t="n">
        <f aca="false">IF(MONTH($A337)=MONTH($A336),SUM(I337-I336),I337)</f>
        <v>0</v>
      </c>
      <c r="K337" s="124" t="n">
        <f aca="false">IF(WEEKDAY(A337,3)&gt;4,0,(IF(A337&lt;K$2,0,IF(A337&lt;=K$3,1,0))))</f>
        <v>0</v>
      </c>
      <c r="L337" s="124" t="n">
        <f aca="false">J337*K337</f>
        <v>0</v>
      </c>
      <c r="M337" s="124" t="n">
        <f aca="false">SUM(J$280:J337)</f>
        <v>0</v>
      </c>
      <c r="N337" s="124" t="n">
        <f aca="false">SUM(J$6:J337)</f>
        <v>0</v>
      </c>
      <c r="P337" s="124" t="n">
        <f aca="false">D337/P$3</f>
        <v>0</v>
      </c>
      <c r="Q337" s="143" t="n">
        <f aca="false">E337/P$3</f>
        <v>0</v>
      </c>
      <c r="R337" s="124" t="n">
        <f aca="false">F337/R$3</f>
        <v>0</v>
      </c>
      <c r="S337" s="126" t="n">
        <f aca="false">J337/$R$3</f>
        <v>0</v>
      </c>
      <c r="T337" s="126" t="n">
        <f aca="false">L337/$R$3</f>
        <v>0</v>
      </c>
      <c r="U337" s="126" t="n">
        <f aca="false">I337/$R$3</f>
        <v>0</v>
      </c>
      <c r="V337" s="126" t="n">
        <f aca="false">M337/$R$3</f>
        <v>0</v>
      </c>
      <c r="W337" s="126" t="n">
        <f aca="false">N337/$R$3</f>
        <v>0</v>
      </c>
    </row>
    <row r="338" customFormat="false" ht="12.75" hidden="false" customHeight="false" outlineLevel="0" collapsed="false">
      <c r="A338" s="120" t="n">
        <f aca="false">A337+1</f>
        <v>37224</v>
      </c>
      <c r="B338" s="131" t="str">
        <f aca="false">INDEX('Master Data'!$A$2:$B$8,MATCH(WEEKDAY('Arg Total Power'!A338,3),'Master Data'!$A$2:$A$8,0),2)</f>
        <v>Th</v>
      </c>
      <c r="D338" s="124" t="n">
        <v>0</v>
      </c>
      <c r="E338" s="124" t="n">
        <v>0</v>
      </c>
      <c r="F338" s="124" t="n">
        <v>0</v>
      </c>
      <c r="G338" s="124" t="n">
        <v>0</v>
      </c>
      <c r="I338" s="124" t="n">
        <f aca="false">IF(MONTH($A338)=MONTH($A337),IF(G338=0,I337,G338),G338)</f>
        <v>0</v>
      </c>
      <c r="J338" s="124" t="n">
        <f aca="false">IF(MONTH($A338)=MONTH($A337),SUM(I338-I337),I338)</f>
        <v>0</v>
      </c>
      <c r="K338" s="124" t="n">
        <f aca="false">IF(WEEKDAY(A338,3)&gt;4,0,(IF(A338&lt;K$2,0,IF(A338&lt;=K$3,1,0))))</f>
        <v>0</v>
      </c>
      <c r="L338" s="124" t="n">
        <f aca="false">J338*K338</f>
        <v>0</v>
      </c>
      <c r="M338" s="124" t="n">
        <f aca="false">SUM(J$280:J338)</f>
        <v>0</v>
      </c>
      <c r="N338" s="124" t="n">
        <f aca="false">SUM(J$6:J338)</f>
        <v>0</v>
      </c>
      <c r="P338" s="124" t="n">
        <f aca="false">D338/P$3</f>
        <v>0</v>
      </c>
      <c r="Q338" s="143" t="n">
        <f aca="false">E338/P$3</f>
        <v>0</v>
      </c>
      <c r="R338" s="124" t="n">
        <f aca="false">F338/R$3</f>
        <v>0</v>
      </c>
      <c r="S338" s="126" t="n">
        <f aca="false">J338/$R$3</f>
        <v>0</v>
      </c>
      <c r="T338" s="126" t="n">
        <f aca="false">L338/$R$3</f>
        <v>0</v>
      </c>
      <c r="U338" s="126" t="n">
        <f aca="false">I338/$R$3</f>
        <v>0</v>
      </c>
      <c r="V338" s="126" t="n">
        <f aca="false">M338/$R$3</f>
        <v>0</v>
      </c>
      <c r="W338" s="126" t="n">
        <f aca="false">N338/$R$3</f>
        <v>0</v>
      </c>
    </row>
    <row r="339" customFormat="false" ht="12.75" hidden="false" customHeight="false" outlineLevel="0" collapsed="false">
      <c r="A339" s="120" t="n">
        <f aca="false">A338+1</f>
        <v>37225</v>
      </c>
      <c r="B339" s="131" t="str">
        <f aca="false">INDEX('Master Data'!$A$2:$B$8,MATCH(WEEKDAY('Arg Total Power'!A339,3),'Master Data'!$A$2:$A$8,0),2)</f>
        <v>F</v>
      </c>
      <c r="D339" s="124" t="n">
        <v>0</v>
      </c>
      <c r="E339" s="124" t="n">
        <v>0</v>
      </c>
      <c r="F339" s="124" t="n">
        <v>0</v>
      </c>
      <c r="G339" s="124" t="n">
        <v>0</v>
      </c>
      <c r="I339" s="124" t="n">
        <f aca="false">IF(MONTH($A339)=MONTH($A338),IF(G339=0,I338,G339),G339)</f>
        <v>0</v>
      </c>
      <c r="J339" s="124" t="n">
        <f aca="false">IF(MONTH($A339)=MONTH($A338),SUM(I339-I338),I339)</f>
        <v>0</v>
      </c>
      <c r="K339" s="124" t="n">
        <f aca="false">IF(WEEKDAY(A339,3)&gt;4,0,(IF(A339&lt;K$2,0,IF(A339&lt;=K$3,1,0))))</f>
        <v>0</v>
      </c>
      <c r="L339" s="124" t="n">
        <f aca="false">J339*K339</f>
        <v>0</v>
      </c>
      <c r="M339" s="124" t="n">
        <f aca="false">SUM(J$280:J339)</f>
        <v>0</v>
      </c>
      <c r="N339" s="124" t="n">
        <f aca="false">SUM(J$6:J339)</f>
        <v>0</v>
      </c>
      <c r="P339" s="124" t="n">
        <f aca="false">D339/P$3</f>
        <v>0</v>
      </c>
      <c r="Q339" s="143" t="n">
        <f aca="false">E339/P$3</f>
        <v>0</v>
      </c>
      <c r="R339" s="124" t="n">
        <f aca="false">F339/R$3</f>
        <v>0</v>
      </c>
      <c r="S339" s="126" t="n">
        <f aca="false">J339/$R$3</f>
        <v>0</v>
      </c>
      <c r="T339" s="126" t="n">
        <f aca="false">L339/$R$3</f>
        <v>0</v>
      </c>
      <c r="U339" s="126" t="n">
        <f aca="false">I339/$R$3</f>
        <v>0</v>
      </c>
      <c r="V339" s="126" t="n">
        <f aca="false">M339/$R$3</f>
        <v>0</v>
      </c>
      <c r="W339" s="126" t="n">
        <f aca="false">N339/$R$3</f>
        <v>0</v>
      </c>
    </row>
    <row r="340" customFormat="false" ht="12.75" hidden="false" customHeight="false" outlineLevel="0" collapsed="false">
      <c r="A340" s="120" t="n">
        <f aca="false">A339+1</f>
        <v>37226</v>
      </c>
      <c r="B340" s="131" t="str">
        <f aca="false">INDEX('Master Data'!$A$2:$B$8,MATCH(WEEKDAY('Arg Total Power'!A340,3),'Master Data'!$A$2:$A$8,0),2)</f>
        <v>Sa</v>
      </c>
      <c r="D340" s="124" t="n">
        <v>0</v>
      </c>
      <c r="E340" s="124" t="n">
        <v>0</v>
      </c>
      <c r="F340" s="124" t="n">
        <v>0</v>
      </c>
      <c r="G340" s="124" t="n">
        <v>0</v>
      </c>
      <c r="I340" s="124" t="n">
        <f aca="false">IF(MONTH($A340)=MONTH($A339),IF(G340=0,I339,G340),G340)</f>
        <v>0</v>
      </c>
      <c r="J340" s="124" t="n">
        <f aca="false">IF(MONTH($A340)=MONTH($A339),SUM(I340-I339),I340)</f>
        <v>0</v>
      </c>
      <c r="K340" s="124" t="n">
        <f aca="false">IF(WEEKDAY(A340,3)&gt;4,0,(IF(A340&lt;K$2,0,IF(A340&lt;=K$3,1,0))))</f>
        <v>0</v>
      </c>
      <c r="L340" s="124" t="n">
        <f aca="false">J340*K340</f>
        <v>0</v>
      </c>
      <c r="M340" s="124" t="n">
        <f aca="false">SUM(J$280:J340)</f>
        <v>0</v>
      </c>
      <c r="N340" s="124" t="n">
        <f aca="false">SUM(J$6:J340)</f>
        <v>0</v>
      </c>
      <c r="P340" s="124" t="n">
        <f aca="false">D340/P$3</f>
        <v>0</v>
      </c>
      <c r="Q340" s="143" t="n">
        <f aca="false">E340/P$3</f>
        <v>0</v>
      </c>
      <c r="R340" s="124" t="n">
        <f aca="false">F340/R$3</f>
        <v>0</v>
      </c>
      <c r="S340" s="126" t="n">
        <f aca="false">J340/$R$3</f>
        <v>0</v>
      </c>
      <c r="T340" s="126" t="n">
        <f aca="false">L340/$R$3</f>
        <v>0</v>
      </c>
      <c r="U340" s="126" t="n">
        <f aca="false">I340/$R$3</f>
        <v>0</v>
      </c>
      <c r="V340" s="126" t="n">
        <f aca="false">M340/$R$3</f>
        <v>0</v>
      </c>
      <c r="W340" s="126" t="n">
        <f aca="false">N340/$R$3</f>
        <v>0</v>
      </c>
    </row>
    <row r="341" customFormat="false" ht="12.75" hidden="false" customHeight="false" outlineLevel="0" collapsed="false">
      <c r="A341" s="120" t="n">
        <f aca="false">A340+1</f>
        <v>37227</v>
      </c>
      <c r="B341" s="131" t="str">
        <f aca="false">INDEX('Master Data'!$A$2:$B$8,MATCH(WEEKDAY('Arg Total Power'!A341,3),'Master Data'!$A$2:$A$8,0),2)</f>
        <v>Su</v>
      </c>
      <c r="D341" s="124" t="n">
        <v>0</v>
      </c>
      <c r="E341" s="124" t="n">
        <v>0</v>
      </c>
      <c r="F341" s="124" t="n">
        <v>0</v>
      </c>
      <c r="G341" s="124" t="n">
        <v>0</v>
      </c>
      <c r="I341" s="124" t="n">
        <f aca="false">IF(MONTH($A341)=MONTH($A340),IF(G341=0,I340,G341),G341)</f>
        <v>0</v>
      </c>
      <c r="J341" s="124" t="n">
        <f aca="false">IF(MONTH($A341)=MONTH($A340),SUM(I341-I340),I341)</f>
        <v>0</v>
      </c>
      <c r="K341" s="124" t="n">
        <f aca="false">IF(WEEKDAY(A341,3)&gt;4,0,(IF(A341&lt;K$2,0,IF(A341&lt;=K$3,1,0))))</f>
        <v>0</v>
      </c>
      <c r="L341" s="124" t="n">
        <f aca="false">J341*K341</f>
        <v>0</v>
      </c>
      <c r="M341" s="124" t="n">
        <f aca="false">SUM(J$280:J341)</f>
        <v>0</v>
      </c>
      <c r="N341" s="124" t="n">
        <f aca="false">SUM(J$6:J341)</f>
        <v>0</v>
      </c>
      <c r="P341" s="124" t="n">
        <f aca="false">D341/P$3</f>
        <v>0</v>
      </c>
      <c r="Q341" s="143" t="n">
        <f aca="false">E341/P$3</f>
        <v>0</v>
      </c>
      <c r="R341" s="124" t="n">
        <f aca="false">F341/R$3</f>
        <v>0</v>
      </c>
      <c r="S341" s="126" t="n">
        <f aca="false">J341/$R$3</f>
        <v>0</v>
      </c>
      <c r="T341" s="126" t="n">
        <f aca="false">L341/$R$3</f>
        <v>0</v>
      </c>
      <c r="U341" s="126" t="n">
        <f aca="false">I341/$R$3</f>
        <v>0</v>
      </c>
      <c r="V341" s="126" t="n">
        <f aca="false">M341/$R$3</f>
        <v>0</v>
      </c>
      <c r="W341" s="126" t="n">
        <f aca="false">N341/$R$3</f>
        <v>0</v>
      </c>
    </row>
    <row r="342" customFormat="false" ht="12.75" hidden="false" customHeight="false" outlineLevel="0" collapsed="false">
      <c r="A342" s="120" t="n">
        <f aca="false">A341+1</f>
        <v>37228</v>
      </c>
      <c r="B342" s="131" t="str">
        <f aca="false">INDEX('Master Data'!$A$2:$B$8,MATCH(WEEKDAY('Arg Total Power'!A342,3),'Master Data'!$A$2:$A$8,0),2)</f>
        <v>M</v>
      </c>
      <c r="D342" s="124" t="n">
        <v>0</v>
      </c>
      <c r="E342" s="124" t="n">
        <v>0</v>
      </c>
      <c r="F342" s="124" t="n">
        <v>0</v>
      </c>
      <c r="G342" s="124" t="n">
        <v>0</v>
      </c>
      <c r="I342" s="124" t="n">
        <f aca="false">IF(MONTH($A342)=MONTH($A341),IF(G342=0,I341,G342),G342)</f>
        <v>0</v>
      </c>
      <c r="J342" s="124" t="n">
        <f aca="false">IF(MONTH($A342)=MONTH($A341),SUM(I342-I341),I342)</f>
        <v>0</v>
      </c>
      <c r="K342" s="124" t="n">
        <f aca="false">IF(WEEKDAY(A342,3)&gt;4,0,(IF(A342&lt;K$2,0,IF(A342&lt;=K$3,1,0))))</f>
        <v>0</v>
      </c>
      <c r="L342" s="124" t="n">
        <f aca="false">J342*K342</f>
        <v>0</v>
      </c>
      <c r="M342" s="124" t="n">
        <f aca="false">SUM(J$280:J342)</f>
        <v>0</v>
      </c>
      <c r="N342" s="124" t="n">
        <f aca="false">SUM(J$6:J342)</f>
        <v>0</v>
      </c>
      <c r="P342" s="124" t="n">
        <f aca="false">D342/P$3</f>
        <v>0</v>
      </c>
      <c r="Q342" s="143" t="n">
        <f aca="false">E342/P$3</f>
        <v>0</v>
      </c>
      <c r="R342" s="124" t="n">
        <f aca="false">F342/R$3</f>
        <v>0</v>
      </c>
      <c r="S342" s="126" t="n">
        <f aca="false">J342/$R$3</f>
        <v>0</v>
      </c>
      <c r="T342" s="126" t="n">
        <f aca="false">L342/$R$3</f>
        <v>0</v>
      </c>
      <c r="U342" s="126" t="n">
        <f aca="false">I342/$R$3</f>
        <v>0</v>
      </c>
      <c r="V342" s="126" t="n">
        <f aca="false">M342/$R$3</f>
        <v>0</v>
      </c>
      <c r="W342" s="126" t="n">
        <f aca="false">N342/$R$3</f>
        <v>0</v>
      </c>
    </row>
    <row r="343" customFormat="false" ht="12.75" hidden="false" customHeight="false" outlineLevel="0" collapsed="false">
      <c r="A343" s="120" t="n">
        <f aca="false">A342+1</f>
        <v>37229</v>
      </c>
      <c r="B343" s="131" t="str">
        <f aca="false">INDEX('Master Data'!$A$2:$B$8,MATCH(WEEKDAY('Arg Total Power'!A343,3),'Master Data'!$A$2:$A$8,0),2)</f>
        <v>T</v>
      </c>
      <c r="D343" s="124" t="n">
        <v>0</v>
      </c>
      <c r="E343" s="124" t="n">
        <v>0</v>
      </c>
      <c r="F343" s="124" t="n">
        <v>0</v>
      </c>
      <c r="G343" s="124" t="n">
        <v>0</v>
      </c>
      <c r="I343" s="124" t="n">
        <f aca="false">IF(MONTH($A343)=MONTH($A342),IF(G343=0,I342,G343),G343)</f>
        <v>0</v>
      </c>
      <c r="J343" s="124" t="n">
        <f aca="false">IF(MONTH($A343)=MONTH($A342),SUM(I343-I342),I343)</f>
        <v>0</v>
      </c>
      <c r="K343" s="124" t="n">
        <f aca="false">IF(WEEKDAY(A343,3)&gt;4,0,(IF(A343&lt;K$2,0,IF(A343&lt;=K$3,1,0))))</f>
        <v>0</v>
      </c>
      <c r="L343" s="124" t="n">
        <f aca="false">J343*K343</f>
        <v>0</v>
      </c>
      <c r="M343" s="124" t="n">
        <f aca="false">SUM(J$280:J343)</f>
        <v>0</v>
      </c>
      <c r="N343" s="124" t="n">
        <f aca="false">SUM(J$6:J343)</f>
        <v>0</v>
      </c>
      <c r="P343" s="124" t="n">
        <f aca="false">D343/P$3</f>
        <v>0</v>
      </c>
      <c r="Q343" s="143" t="n">
        <f aca="false">E343/P$3</f>
        <v>0</v>
      </c>
      <c r="R343" s="124" t="n">
        <f aca="false">F343/R$3</f>
        <v>0</v>
      </c>
      <c r="S343" s="126" t="n">
        <f aca="false">J343/$R$3</f>
        <v>0</v>
      </c>
      <c r="T343" s="126" t="n">
        <f aca="false">L343/$R$3</f>
        <v>0</v>
      </c>
      <c r="U343" s="126" t="n">
        <f aca="false">I343/$R$3</f>
        <v>0</v>
      </c>
      <c r="V343" s="126" t="n">
        <f aca="false">M343/$R$3</f>
        <v>0</v>
      </c>
      <c r="W343" s="126" t="n">
        <f aca="false">N343/$R$3</f>
        <v>0</v>
      </c>
    </row>
    <row r="344" customFormat="false" ht="12.75" hidden="false" customHeight="false" outlineLevel="0" collapsed="false">
      <c r="A344" s="120" t="n">
        <f aca="false">A343+1</f>
        <v>37230</v>
      </c>
      <c r="B344" s="131" t="str">
        <f aca="false">INDEX('Master Data'!$A$2:$B$8,MATCH(WEEKDAY('Arg Total Power'!A344,3),'Master Data'!$A$2:$A$8,0),2)</f>
        <v>W</v>
      </c>
      <c r="D344" s="124" t="n">
        <v>0</v>
      </c>
      <c r="E344" s="124" t="n">
        <v>0</v>
      </c>
      <c r="F344" s="124" t="n">
        <v>0</v>
      </c>
      <c r="G344" s="124" t="n">
        <v>0</v>
      </c>
      <c r="I344" s="124" t="n">
        <f aca="false">IF(MONTH($A344)=MONTH($A343),IF(G344=0,I343,G344),G344)</f>
        <v>0</v>
      </c>
      <c r="J344" s="124" t="n">
        <f aca="false">IF(MONTH($A344)=MONTH($A343),SUM(I344-I343),I344)</f>
        <v>0</v>
      </c>
      <c r="K344" s="124" t="n">
        <f aca="false">IF(WEEKDAY(A344,3)&gt;4,0,(IF(A344&lt;K$2,0,IF(A344&lt;=K$3,1,0))))</f>
        <v>0</v>
      </c>
      <c r="L344" s="124" t="n">
        <f aca="false">J344*K344</f>
        <v>0</v>
      </c>
      <c r="M344" s="124" t="n">
        <f aca="false">SUM(J$280:J344)</f>
        <v>0</v>
      </c>
      <c r="N344" s="124" t="n">
        <f aca="false">SUM(J$6:J344)</f>
        <v>0</v>
      </c>
      <c r="P344" s="124" t="n">
        <f aca="false">D344/P$3</f>
        <v>0</v>
      </c>
      <c r="Q344" s="143" t="n">
        <f aca="false">E344/P$3</f>
        <v>0</v>
      </c>
      <c r="R344" s="124" t="n">
        <f aca="false">F344/R$3</f>
        <v>0</v>
      </c>
      <c r="S344" s="126" t="n">
        <f aca="false">J344/$R$3</f>
        <v>0</v>
      </c>
      <c r="T344" s="126" t="n">
        <f aca="false">L344/$R$3</f>
        <v>0</v>
      </c>
      <c r="U344" s="126" t="n">
        <f aca="false">I344/$R$3</f>
        <v>0</v>
      </c>
      <c r="V344" s="126" t="n">
        <f aca="false">M344/$R$3</f>
        <v>0</v>
      </c>
      <c r="W344" s="126" t="n">
        <f aca="false">N344/$R$3</f>
        <v>0</v>
      </c>
    </row>
    <row r="345" customFormat="false" ht="12.75" hidden="false" customHeight="false" outlineLevel="0" collapsed="false">
      <c r="A345" s="120" t="n">
        <f aca="false">A344+1</f>
        <v>37231</v>
      </c>
      <c r="B345" s="131" t="str">
        <f aca="false">INDEX('Master Data'!$A$2:$B$8,MATCH(WEEKDAY('Arg Total Power'!A345,3),'Master Data'!$A$2:$A$8,0),2)</f>
        <v>Th</v>
      </c>
      <c r="D345" s="124" t="n">
        <v>0</v>
      </c>
      <c r="E345" s="124" t="n">
        <v>0</v>
      </c>
      <c r="F345" s="124" t="n">
        <v>0</v>
      </c>
      <c r="G345" s="124" t="n">
        <v>0</v>
      </c>
      <c r="I345" s="124" t="n">
        <f aca="false">IF(MONTH($A345)=MONTH($A344),IF(G345=0,I344,G345),G345)</f>
        <v>0</v>
      </c>
      <c r="J345" s="124" t="n">
        <f aca="false">IF(MONTH($A345)=MONTH($A344),SUM(I345-I344),I345)</f>
        <v>0</v>
      </c>
      <c r="K345" s="124" t="n">
        <f aca="false">IF(WEEKDAY(A345,3)&gt;4,0,(IF(A345&lt;K$2,0,IF(A345&lt;=K$3,1,0))))</f>
        <v>0</v>
      </c>
      <c r="L345" s="124" t="n">
        <f aca="false">J345*K345</f>
        <v>0</v>
      </c>
      <c r="M345" s="124" t="n">
        <f aca="false">SUM(J$280:J345)</f>
        <v>0</v>
      </c>
      <c r="N345" s="124" t="n">
        <f aca="false">SUM(J$6:J345)</f>
        <v>0</v>
      </c>
      <c r="P345" s="124" t="n">
        <f aca="false">D345/P$3</f>
        <v>0</v>
      </c>
      <c r="Q345" s="143" t="n">
        <f aca="false">E345/P$3</f>
        <v>0</v>
      </c>
      <c r="R345" s="124" t="n">
        <f aca="false">F345/R$3</f>
        <v>0</v>
      </c>
      <c r="S345" s="126" t="n">
        <f aca="false">J345/$R$3</f>
        <v>0</v>
      </c>
      <c r="T345" s="126" t="n">
        <f aca="false">L345/$R$3</f>
        <v>0</v>
      </c>
      <c r="U345" s="126" t="n">
        <f aca="false">I345/$R$3</f>
        <v>0</v>
      </c>
      <c r="V345" s="126" t="n">
        <f aca="false">M345/$R$3</f>
        <v>0</v>
      </c>
      <c r="W345" s="126" t="n">
        <f aca="false">N345/$R$3</f>
        <v>0</v>
      </c>
    </row>
    <row r="346" customFormat="false" ht="12.75" hidden="false" customHeight="false" outlineLevel="0" collapsed="false">
      <c r="A346" s="120" t="n">
        <f aca="false">A345+1</f>
        <v>37232</v>
      </c>
      <c r="B346" s="131" t="str">
        <f aca="false">INDEX('Master Data'!$A$2:$B$8,MATCH(WEEKDAY('Arg Total Power'!A346,3),'Master Data'!$A$2:$A$8,0),2)</f>
        <v>F</v>
      </c>
      <c r="D346" s="124" t="n">
        <v>0</v>
      </c>
      <c r="E346" s="124" t="n">
        <v>0</v>
      </c>
      <c r="F346" s="124" t="n">
        <v>0</v>
      </c>
      <c r="G346" s="124" t="n">
        <v>0</v>
      </c>
      <c r="I346" s="124" t="n">
        <f aca="false">IF(MONTH($A346)=MONTH($A345),IF(G346=0,I345,G346),G346)</f>
        <v>0</v>
      </c>
      <c r="J346" s="124" t="n">
        <f aca="false">IF(MONTH($A346)=MONTH($A345),SUM(I346-I345),I346)</f>
        <v>0</v>
      </c>
      <c r="K346" s="124" t="n">
        <f aca="false">IF(WEEKDAY(A346,3)&gt;4,0,(IF(A346&lt;K$2,0,IF(A346&lt;=K$3,1,0))))</f>
        <v>0</v>
      </c>
      <c r="L346" s="124" t="n">
        <f aca="false">J346*K346</f>
        <v>0</v>
      </c>
      <c r="M346" s="124" t="n">
        <f aca="false">SUM(J$280:J346)</f>
        <v>0</v>
      </c>
      <c r="N346" s="124" t="n">
        <f aca="false">SUM(J$6:J346)</f>
        <v>0</v>
      </c>
      <c r="P346" s="124" t="n">
        <f aca="false">D346/P$3</f>
        <v>0</v>
      </c>
      <c r="Q346" s="143" t="n">
        <f aca="false">E346/P$3</f>
        <v>0</v>
      </c>
      <c r="R346" s="124" t="n">
        <f aca="false">F346/R$3</f>
        <v>0</v>
      </c>
      <c r="S346" s="126" t="n">
        <f aca="false">J346/$R$3</f>
        <v>0</v>
      </c>
      <c r="T346" s="126" t="n">
        <f aca="false">L346/$R$3</f>
        <v>0</v>
      </c>
      <c r="U346" s="126" t="n">
        <f aca="false">I346/$R$3</f>
        <v>0</v>
      </c>
      <c r="V346" s="126" t="n">
        <f aca="false">M346/$R$3</f>
        <v>0</v>
      </c>
      <c r="W346" s="126" t="n">
        <f aca="false">N346/$R$3</f>
        <v>0</v>
      </c>
    </row>
    <row r="347" customFormat="false" ht="12.75" hidden="false" customHeight="false" outlineLevel="0" collapsed="false">
      <c r="A347" s="120" t="n">
        <f aca="false">A346+1</f>
        <v>37233</v>
      </c>
      <c r="B347" s="131" t="str">
        <f aca="false">INDEX('Master Data'!$A$2:$B$8,MATCH(WEEKDAY('Arg Total Power'!A347,3),'Master Data'!$A$2:$A$8,0),2)</f>
        <v>Sa</v>
      </c>
      <c r="D347" s="124" t="n">
        <v>0</v>
      </c>
      <c r="E347" s="124" t="n">
        <v>0</v>
      </c>
      <c r="F347" s="124" t="n">
        <v>0</v>
      </c>
      <c r="G347" s="124" t="n">
        <v>0</v>
      </c>
      <c r="I347" s="124" t="n">
        <f aca="false">IF(MONTH($A347)=MONTH($A346),IF(G347=0,I346,G347),G347)</f>
        <v>0</v>
      </c>
      <c r="J347" s="124" t="n">
        <f aca="false">IF(MONTH($A347)=MONTH($A346),SUM(I347-I346),I347)</f>
        <v>0</v>
      </c>
      <c r="K347" s="124" t="n">
        <f aca="false">IF(WEEKDAY(A347,3)&gt;4,0,(IF(A347&lt;K$2,0,IF(A347&lt;=K$3,1,0))))</f>
        <v>0</v>
      </c>
      <c r="L347" s="124" t="n">
        <f aca="false">J347*K347</f>
        <v>0</v>
      </c>
      <c r="M347" s="124" t="n">
        <f aca="false">SUM(J$280:J347)</f>
        <v>0</v>
      </c>
      <c r="N347" s="124" t="n">
        <f aca="false">SUM(J$6:J347)</f>
        <v>0</v>
      </c>
      <c r="P347" s="124" t="n">
        <f aca="false">D347/P$3</f>
        <v>0</v>
      </c>
      <c r="Q347" s="143" t="n">
        <f aca="false">E347/P$3</f>
        <v>0</v>
      </c>
      <c r="R347" s="124" t="n">
        <f aca="false">F347/R$3</f>
        <v>0</v>
      </c>
      <c r="S347" s="126" t="n">
        <f aca="false">J347/$R$3</f>
        <v>0</v>
      </c>
      <c r="T347" s="126" t="n">
        <f aca="false">L347/$R$3</f>
        <v>0</v>
      </c>
      <c r="U347" s="126" t="n">
        <f aca="false">I347/$R$3</f>
        <v>0</v>
      </c>
      <c r="V347" s="126" t="n">
        <f aca="false">M347/$R$3</f>
        <v>0</v>
      </c>
      <c r="W347" s="126" t="n">
        <f aca="false">N347/$R$3</f>
        <v>0</v>
      </c>
    </row>
    <row r="348" customFormat="false" ht="12.75" hidden="false" customHeight="false" outlineLevel="0" collapsed="false">
      <c r="A348" s="120" t="n">
        <f aca="false">A347+1</f>
        <v>37234</v>
      </c>
      <c r="B348" s="131" t="str">
        <f aca="false">INDEX('Master Data'!$A$2:$B$8,MATCH(WEEKDAY('Arg Total Power'!A348,3),'Master Data'!$A$2:$A$8,0),2)</f>
        <v>Su</v>
      </c>
      <c r="D348" s="124" t="n">
        <v>0</v>
      </c>
      <c r="E348" s="124" t="n">
        <v>0</v>
      </c>
      <c r="F348" s="124" t="n">
        <v>0</v>
      </c>
      <c r="G348" s="124" t="n">
        <v>0</v>
      </c>
      <c r="I348" s="124" t="n">
        <f aca="false">IF(MONTH($A348)=MONTH($A347),IF(G348=0,I347,G348),G348)</f>
        <v>0</v>
      </c>
      <c r="J348" s="124" t="n">
        <f aca="false">IF(MONTH($A348)=MONTH($A347),SUM(I348-I347),I348)</f>
        <v>0</v>
      </c>
      <c r="K348" s="124" t="n">
        <f aca="false">IF(WEEKDAY(A348,3)&gt;4,0,(IF(A348&lt;K$2,0,IF(A348&lt;=K$3,1,0))))</f>
        <v>0</v>
      </c>
      <c r="L348" s="124" t="n">
        <f aca="false">J348*K348</f>
        <v>0</v>
      </c>
      <c r="M348" s="124" t="n">
        <f aca="false">SUM(J$280:J348)</f>
        <v>0</v>
      </c>
      <c r="N348" s="124" t="n">
        <f aca="false">SUM(J$6:J348)</f>
        <v>0</v>
      </c>
      <c r="P348" s="124" t="n">
        <f aca="false">D348/P$3</f>
        <v>0</v>
      </c>
      <c r="Q348" s="143" t="n">
        <f aca="false">E348/P$3</f>
        <v>0</v>
      </c>
      <c r="R348" s="124" t="n">
        <f aca="false">F348/R$3</f>
        <v>0</v>
      </c>
      <c r="S348" s="126" t="n">
        <f aca="false">J348/$R$3</f>
        <v>0</v>
      </c>
      <c r="T348" s="126" t="n">
        <f aca="false">L348/$R$3</f>
        <v>0</v>
      </c>
      <c r="U348" s="126" t="n">
        <f aca="false">I348/$R$3</f>
        <v>0</v>
      </c>
      <c r="V348" s="126" t="n">
        <f aca="false">M348/$R$3</f>
        <v>0</v>
      </c>
      <c r="W348" s="126" t="n">
        <f aca="false">N348/$R$3</f>
        <v>0</v>
      </c>
    </row>
    <row r="349" customFormat="false" ht="12.75" hidden="false" customHeight="false" outlineLevel="0" collapsed="false">
      <c r="A349" s="120" t="n">
        <f aca="false">A348+1</f>
        <v>37235</v>
      </c>
      <c r="B349" s="131" t="str">
        <f aca="false">INDEX('Master Data'!$A$2:$B$8,MATCH(WEEKDAY('Arg Total Power'!A349,3),'Master Data'!$A$2:$A$8,0),2)</f>
        <v>M</v>
      </c>
      <c r="D349" s="124" t="n">
        <v>0</v>
      </c>
      <c r="E349" s="124" t="n">
        <v>0</v>
      </c>
      <c r="F349" s="124" t="n">
        <v>0</v>
      </c>
      <c r="G349" s="124" t="n">
        <v>0</v>
      </c>
      <c r="I349" s="124" t="n">
        <f aca="false">IF(MONTH($A349)=MONTH($A348),IF(G349=0,I348,G349),G349)</f>
        <v>0</v>
      </c>
      <c r="J349" s="124" t="n">
        <f aca="false">IF(MONTH($A349)=MONTH($A348),SUM(I349-I348),I349)</f>
        <v>0</v>
      </c>
      <c r="K349" s="124" t="n">
        <f aca="false">IF(WEEKDAY(A349,3)&gt;4,0,(IF(A349&lt;K$2,0,IF(A349&lt;=K$3,1,0))))</f>
        <v>0</v>
      </c>
      <c r="L349" s="124" t="n">
        <f aca="false">J349*K349</f>
        <v>0</v>
      </c>
      <c r="M349" s="124" t="n">
        <f aca="false">SUM(J$280:J349)</f>
        <v>0</v>
      </c>
      <c r="N349" s="124" t="n">
        <f aca="false">SUM(J$6:J349)</f>
        <v>0</v>
      </c>
      <c r="P349" s="124" t="n">
        <f aca="false">D349/P$3</f>
        <v>0</v>
      </c>
      <c r="Q349" s="143" t="n">
        <f aca="false">E349/P$3</f>
        <v>0</v>
      </c>
      <c r="R349" s="124" t="n">
        <f aca="false">F349/R$3</f>
        <v>0</v>
      </c>
      <c r="S349" s="126" t="n">
        <f aca="false">J349/$R$3</f>
        <v>0</v>
      </c>
      <c r="T349" s="126" t="n">
        <f aca="false">L349/$R$3</f>
        <v>0</v>
      </c>
      <c r="U349" s="126" t="n">
        <f aca="false">I349/$R$3</f>
        <v>0</v>
      </c>
      <c r="V349" s="126" t="n">
        <f aca="false">M349/$R$3</f>
        <v>0</v>
      </c>
      <c r="W349" s="126" t="n">
        <f aca="false">N349/$R$3</f>
        <v>0</v>
      </c>
    </row>
    <row r="350" customFormat="false" ht="12.75" hidden="false" customHeight="false" outlineLevel="0" collapsed="false">
      <c r="A350" s="120" t="n">
        <f aca="false">A349+1</f>
        <v>37236</v>
      </c>
      <c r="B350" s="131" t="str">
        <f aca="false">INDEX('Master Data'!$A$2:$B$8,MATCH(WEEKDAY('Arg Total Power'!A350,3),'Master Data'!$A$2:$A$8,0),2)</f>
        <v>T</v>
      </c>
      <c r="D350" s="124" t="n">
        <v>0</v>
      </c>
      <c r="E350" s="124" t="n">
        <v>0</v>
      </c>
      <c r="F350" s="124" t="n">
        <v>0</v>
      </c>
      <c r="G350" s="124" t="n">
        <v>0</v>
      </c>
      <c r="I350" s="124" t="n">
        <f aca="false">IF(MONTH($A350)=MONTH($A349),IF(G350=0,I349,G350),G350)</f>
        <v>0</v>
      </c>
      <c r="J350" s="124" t="n">
        <f aca="false">IF(MONTH($A350)=MONTH($A349),SUM(I350-I349),I350)</f>
        <v>0</v>
      </c>
      <c r="K350" s="124" t="n">
        <f aca="false">IF(WEEKDAY(A350,3)&gt;4,0,(IF(A350&lt;K$2,0,IF(A350&lt;=K$3,1,0))))</f>
        <v>0</v>
      </c>
      <c r="L350" s="124" t="n">
        <f aca="false">J350*K350</f>
        <v>0</v>
      </c>
      <c r="M350" s="124" t="n">
        <f aca="false">SUM(J$280:J350)</f>
        <v>0</v>
      </c>
      <c r="N350" s="124" t="n">
        <f aca="false">SUM(J$6:J350)</f>
        <v>0</v>
      </c>
      <c r="P350" s="124" t="n">
        <f aca="false">D350/P$3</f>
        <v>0</v>
      </c>
      <c r="Q350" s="143" t="n">
        <f aca="false">E350/P$3</f>
        <v>0</v>
      </c>
      <c r="R350" s="124" t="n">
        <f aca="false">F350/R$3</f>
        <v>0</v>
      </c>
      <c r="S350" s="126" t="n">
        <f aca="false">J350/$R$3</f>
        <v>0</v>
      </c>
      <c r="T350" s="126" t="n">
        <f aca="false">L350/$R$3</f>
        <v>0</v>
      </c>
      <c r="U350" s="126" t="n">
        <f aca="false">I350/$R$3</f>
        <v>0</v>
      </c>
      <c r="V350" s="126" t="n">
        <f aca="false">M350/$R$3</f>
        <v>0</v>
      </c>
      <c r="W350" s="126" t="n">
        <f aca="false">N350/$R$3</f>
        <v>0</v>
      </c>
    </row>
    <row r="351" customFormat="false" ht="12.75" hidden="false" customHeight="false" outlineLevel="0" collapsed="false">
      <c r="A351" s="120" t="n">
        <f aca="false">A350+1</f>
        <v>37237</v>
      </c>
      <c r="B351" s="131" t="str">
        <f aca="false">INDEX('Master Data'!$A$2:$B$8,MATCH(WEEKDAY('Arg Total Power'!A351,3),'Master Data'!$A$2:$A$8,0),2)</f>
        <v>W</v>
      </c>
      <c r="D351" s="124" t="n">
        <v>0</v>
      </c>
      <c r="E351" s="124" t="n">
        <v>0</v>
      </c>
      <c r="F351" s="124" t="n">
        <v>0</v>
      </c>
      <c r="G351" s="124" t="n">
        <v>0</v>
      </c>
      <c r="I351" s="124" t="n">
        <f aca="false">IF(MONTH($A351)=MONTH($A350),IF(G351=0,I350,G351),G351)</f>
        <v>0</v>
      </c>
      <c r="J351" s="124" t="n">
        <f aca="false">IF(MONTH($A351)=MONTH($A350),SUM(I351-I350),I351)</f>
        <v>0</v>
      </c>
      <c r="K351" s="124" t="n">
        <f aca="false">IF(WEEKDAY(A351,3)&gt;4,0,(IF(A351&lt;K$2,0,IF(A351&lt;=K$3,1,0))))</f>
        <v>0</v>
      </c>
      <c r="L351" s="124" t="n">
        <f aca="false">J351*K351</f>
        <v>0</v>
      </c>
      <c r="M351" s="124" t="n">
        <f aca="false">SUM(J$280:J351)</f>
        <v>0</v>
      </c>
      <c r="N351" s="124" t="n">
        <f aca="false">SUM(J$6:J351)</f>
        <v>0</v>
      </c>
      <c r="P351" s="124" t="n">
        <f aca="false">D351/P$3</f>
        <v>0</v>
      </c>
      <c r="Q351" s="143" t="n">
        <f aca="false">E351/P$3</f>
        <v>0</v>
      </c>
      <c r="R351" s="124" t="n">
        <f aca="false">F351/R$3</f>
        <v>0</v>
      </c>
      <c r="S351" s="126" t="n">
        <f aca="false">J351/$R$3</f>
        <v>0</v>
      </c>
      <c r="T351" s="126" t="n">
        <f aca="false">L351/$R$3</f>
        <v>0</v>
      </c>
      <c r="U351" s="126" t="n">
        <f aca="false">I351/$R$3</f>
        <v>0</v>
      </c>
      <c r="V351" s="126" t="n">
        <f aca="false">M351/$R$3</f>
        <v>0</v>
      </c>
      <c r="W351" s="126" t="n">
        <f aca="false">N351/$R$3</f>
        <v>0</v>
      </c>
    </row>
    <row r="352" customFormat="false" ht="12.75" hidden="false" customHeight="false" outlineLevel="0" collapsed="false">
      <c r="A352" s="120" t="n">
        <f aca="false">A351+1</f>
        <v>37238</v>
      </c>
      <c r="B352" s="131" t="str">
        <f aca="false">INDEX('Master Data'!$A$2:$B$8,MATCH(WEEKDAY('Arg Total Power'!A352,3),'Master Data'!$A$2:$A$8,0),2)</f>
        <v>Th</v>
      </c>
      <c r="D352" s="124" t="n">
        <v>0</v>
      </c>
      <c r="E352" s="124" t="n">
        <v>0</v>
      </c>
      <c r="F352" s="124" t="n">
        <v>0</v>
      </c>
      <c r="G352" s="124" t="n">
        <v>0</v>
      </c>
      <c r="I352" s="124" t="n">
        <f aca="false">IF(MONTH($A352)=MONTH($A351),IF(G352=0,I351,G352),G352)</f>
        <v>0</v>
      </c>
      <c r="J352" s="124" t="n">
        <f aca="false">IF(MONTH($A352)=MONTH($A351),SUM(I352-I351),I352)</f>
        <v>0</v>
      </c>
      <c r="K352" s="124" t="n">
        <f aca="false">IF(WEEKDAY(A352,3)&gt;4,0,(IF(A352&lt;K$2,0,IF(A352&lt;=K$3,1,0))))</f>
        <v>0</v>
      </c>
      <c r="L352" s="124" t="n">
        <f aca="false">J352*K352</f>
        <v>0</v>
      </c>
      <c r="M352" s="124" t="n">
        <f aca="false">SUM(J$280:J352)</f>
        <v>0</v>
      </c>
      <c r="N352" s="124" t="n">
        <f aca="false">SUM(J$6:J352)</f>
        <v>0</v>
      </c>
      <c r="P352" s="124" t="n">
        <f aca="false">D352/P$3</f>
        <v>0</v>
      </c>
      <c r="Q352" s="143" t="n">
        <f aca="false">E352/P$3</f>
        <v>0</v>
      </c>
      <c r="R352" s="124" t="n">
        <f aca="false">F352/R$3</f>
        <v>0</v>
      </c>
      <c r="S352" s="126" t="n">
        <f aca="false">J352/$R$3</f>
        <v>0</v>
      </c>
      <c r="T352" s="126" t="n">
        <f aca="false">L352/$R$3</f>
        <v>0</v>
      </c>
      <c r="U352" s="126" t="n">
        <f aca="false">I352/$R$3</f>
        <v>0</v>
      </c>
      <c r="V352" s="126" t="n">
        <f aca="false">M352/$R$3</f>
        <v>0</v>
      </c>
      <c r="W352" s="126" t="n">
        <f aca="false">N352/$R$3</f>
        <v>0</v>
      </c>
    </row>
    <row r="353" customFormat="false" ht="12.75" hidden="false" customHeight="false" outlineLevel="0" collapsed="false">
      <c r="A353" s="120" t="n">
        <f aca="false">A352+1</f>
        <v>37239</v>
      </c>
      <c r="B353" s="131" t="str">
        <f aca="false">INDEX('Master Data'!$A$2:$B$8,MATCH(WEEKDAY('Arg Total Power'!A353,3),'Master Data'!$A$2:$A$8,0),2)</f>
        <v>F</v>
      </c>
      <c r="D353" s="124" t="n">
        <v>0</v>
      </c>
      <c r="E353" s="124" t="n">
        <v>0</v>
      </c>
      <c r="F353" s="124" t="n">
        <v>0</v>
      </c>
      <c r="G353" s="124" t="n">
        <v>0</v>
      </c>
      <c r="I353" s="124" t="n">
        <f aca="false">IF(MONTH($A353)=MONTH($A352),IF(G353=0,I352,G353),G353)</f>
        <v>0</v>
      </c>
      <c r="J353" s="124" t="n">
        <f aca="false">IF(MONTH($A353)=MONTH($A352),SUM(I353-I352),I353)</f>
        <v>0</v>
      </c>
      <c r="K353" s="124" t="n">
        <f aca="false">IF(WEEKDAY(A353,3)&gt;4,0,(IF(A353&lt;K$2,0,IF(A353&lt;=K$3,1,0))))</f>
        <v>0</v>
      </c>
      <c r="L353" s="124" t="n">
        <f aca="false">J353*K353</f>
        <v>0</v>
      </c>
      <c r="M353" s="124" t="n">
        <f aca="false">SUM(J$280:J353)</f>
        <v>0</v>
      </c>
      <c r="N353" s="124" t="n">
        <f aca="false">SUM(J$6:J353)</f>
        <v>0</v>
      </c>
      <c r="P353" s="124" t="n">
        <f aca="false">D353/P$3</f>
        <v>0</v>
      </c>
      <c r="Q353" s="143" t="n">
        <f aca="false">E353/P$3</f>
        <v>0</v>
      </c>
      <c r="R353" s="124" t="n">
        <f aca="false">F353/R$3</f>
        <v>0</v>
      </c>
      <c r="S353" s="126" t="n">
        <f aca="false">J353/$R$3</f>
        <v>0</v>
      </c>
      <c r="T353" s="126" t="n">
        <f aca="false">L353/$R$3</f>
        <v>0</v>
      </c>
      <c r="U353" s="126" t="n">
        <f aca="false">I353/$R$3</f>
        <v>0</v>
      </c>
      <c r="V353" s="126" t="n">
        <f aca="false">M353/$R$3</f>
        <v>0</v>
      </c>
      <c r="W353" s="126" t="n">
        <f aca="false">N353/$R$3</f>
        <v>0</v>
      </c>
    </row>
    <row r="354" customFormat="false" ht="12.75" hidden="false" customHeight="false" outlineLevel="0" collapsed="false">
      <c r="A354" s="120" t="n">
        <f aca="false">A353+1</f>
        <v>37240</v>
      </c>
      <c r="B354" s="131" t="str">
        <f aca="false">INDEX('Master Data'!$A$2:$B$8,MATCH(WEEKDAY('Arg Total Power'!A354,3),'Master Data'!$A$2:$A$8,0),2)</f>
        <v>Sa</v>
      </c>
      <c r="D354" s="124" t="n">
        <v>0</v>
      </c>
      <c r="E354" s="124" t="n">
        <v>0</v>
      </c>
      <c r="F354" s="124" t="n">
        <v>0</v>
      </c>
      <c r="G354" s="124" t="n">
        <v>0</v>
      </c>
      <c r="I354" s="124" t="n">
        <f aca="false">IF(MONTH($A354)=MONTH($A353),IF(G354=0,I353,G354),G354)</f>
        <v>0</v>
      </c>
      <c r="J354" s="124" t="n">
        <f aca="false">IF(MONTH($A354)=MONTH($A353),SUM(I354-I353),I354)</f>
        <v>0</v>
      </c>
      <c r="K354" s="124" t="n">
        <f aca="false">IF(WEEKDAY(A354,3)&gt;4,0,(IF(A354&lt;K$2,0,IF(A354&lt;=K$3,1,0))))</f>
        <v>0</v>
      </c>
      <c r="L354" s="124" t="n">
        <f aca="false">J354*K354</f>
        <v>0</v>
      </c>
      <c r="M354" s="124" t="n">
        <f aca="false">SUM(J$280:J354)</f>
        <v>0</v>
      </c>
      <c r="N354" s="124" t="n">
        <f aca="false">SUM(J$6:J354)</f>
        <v>0</v>
      </c>
      <c r="P354" s="124" t="n">
        <f aca="false">D354/P$3</f>
        <v>0</v>
      </c>
      <c r="Q354" s="143" t="n">
        <f aca="false">E354/P$3</f>
        <v>0</v>
      </c>
      <c r="R354" s="124" t="n">
        <f aca="false">F354/R$3</f>
        <v>0</v>
      </c>
      <c r="S354" s="126" t="n">
        <f aca="false">J354/$R$3</f>
        <v>0</v>
      </c>
      <c r="T354" s="126" t="n">
        <f aca="false">L354/$R$3</f>
        <v>0</v>
      </c>
      <c r="U354" s="126" t="n">
        <f aca="false">I354/$R$3</f>
        <v>0</v>
      </c>
      <c r="V354" s="126" t="n">
        <f aca="false">M354/$R$3</f>
        <v>0</v>
      </c>
      <c r="W354" s="126" t="n">
        <f aca="false">N354/$R$3</f>
        <v>0</v>
      </c>
    </row>
    <row r="355" customFormat="false" ht="12.75" hidden="false" customHeight="false" outlineLevel="0" collapsed="false">
      <c r="A355" s="120" t="n">
        <f aca="false">A354+1</f>
        <v>37241</v>
      </c>
      <c r="B355" s="131" t="str">
        <f aca="false">INDEX('Master Data'!$A$2:$B$8,MATCH(WEEKDAY('Arg Total Power'!A355,3),'Master Data'!$A$2:$A$8,0),2)</f>
        <v>Su</v>
      </c>
      <c r="D355" s="124" t="n">
        <v>0</v>
      </c>
      <c r="E355" s="124" t="n">
        <v>0</v>
      </c>
      <c r="F355" s="124" t="n">
        <v>0</v>
      </c>
      <c r="G355" s="124" t="n">
        <v>0</v>
      </c>
      <c r="I355" s="124" t="n">
        <f aca="false">IF(MONTH($A355)=MONTH($A354),IF(G355=0,I354,G355),G355)</f>
        <v>0</v>
      </c>
      <c r="J355" s="124" t="n">
        <f aca="false">IF(MONTH($A355)=MONTH($A354),SUM(I355-I354),I355)</f>
        <v>0</v>
      </c>
      <c r="K355" s="124" t="n">
        <f aca="false">IF(WEEKDAY(A355,3)&gt;4,0,(IF(A355&lt;K$2,0,IF(A355&lt;=K$3,1,0))))</f>
        <v>0</v>
      </c>
      <c r="L355" s="124" t="n">
        <f aca="false">J355*K355</f>
        <v>0</v>
      </c>
      <c r="M355" s="124" t="n">
        <f aca="false">SUM(J$280:J355)</f>
        <v>0</v>
      </c>
      <c r="N355" s="124" t="n">
        <f aca="false">SUM(J$6:J355)</f>
        <v>0</v>
      </c>
      <c r="P355" s="124" t="n">
        <f aca="false">D355/P$3</f>
        <v>0</v>
      </c>
      <c r="Q355" s="143" t="n">
        <f aca="false">E355/P$3</f>
        <v>0</v>
      </c>
      <c r="R355" s="124" t="n">
        <f aca="false">F355/R$3</f>
        <v>0</v>
      </c>
      <c r="S355" s="126" t="n">
        <f aca="false">J355/$R$3</f>
        <v>0</v>
      </c>
      <c r="T355" s="126" t="n">
        <f aca="false">L355/$R$3</f>
        <v>0</v>
      </c>
      <c r="U355" s="126" t="n">
        <f aca="false">I355/$R$3</f>
        <v>0</v>
      </c>
      <c r="V355" s="126" t="n">
        <f aca="false">M355/$R$3</f>
        <v>0</v>
      </c>
      <c r="W355" s="126" t="n">
        <f aca="false">N355/$R$3</f>
        <v>0</v>
      </c>
    </row>
    <row r="356" customFormat="false" ht="12.75" hidden="false" customHeight="false" outlineLevel="0" collapsed="false">
      <c r="A356" s="120" t="n">
        <f aca="false">A355+1</f>
        <v>37242</v>
      </c>
      <c r="B356" s="131" t="str">
        <f aca="false">INDEX('Master Data'!$A$2:$B$8,MATCH(WEEKDAY('Arg Total Power'!A356,3),'Master Data'!$A$2:$A$8,0),2)</f>
        <v>M</v>
      </c>
      <c r="D356" s="124" t="n">
        <v>0</v>
      </c>
      <c r="E356" s="124" t="n">
        <v>0</v>
      </c>
      <c r="F356" s="124" t="n">
        <v>0</v>
      </c>
      <c r="G356" s="124" t="n">
        <v>0</v>
      </c>
      <c r="I356" s="124" t="n">
        <f aca="false">IF(MONTH($A356)=MONTH($A355),IF(G356=0,I355,G356),G356)</f>
        <v>0</v>
      </c>
      <c r="J356" s="124" t="n">
        <f aca="false">IF(MONTH($A356)=MONTH($A355),SUM(I356-I355),I356)</f>
        <v>0</v>
      </c>
      <c r="K356" s="124" t="n">
        <f aca="false">IF(WEEKDAY(A356,3)&gt;4,0,(IF(A356&lt;K$2,0,IF(A356&lt;=K$3,1,0))))</f>
        <v>0</v>
      </c>
      <c r="L356" s="124" t="n">
        <f aca="false">J356*K356</f>
        <v>0</v>
      </c>
      <c r="M356" s="124" t="n">
        <f aca="false">SUM(J$280:J356)</f>
        <v>0</v>
      </c>
      <c r="N356" s="124" t="n">
        <f aca="false">SUM(J$6:J356)</f>
        <v>0</v>
      </c>
      <c r="P356" s="124" t="n">
        <f aca="false">D356/P$3</f>
        <v>0</v>
      </c>
      <c r="Q356" s="143" t="n">
        <f aca="false">E356/P$3</f>
        <v>0</v>
      </c>
      <c r="R356" s="124" t="n">
        <f aca="false">F356/R$3</f>
        <v>0</v>
      </c>
      <c r="S356" s="126" t="n">
        <f aca="false">J356/$R$3</f>
        <v>0</v>
      </c>
      <c r="T356" s="126" t="n">
        <f aca="false">L356/$R$3</f>
        <v>0</v>
      </c>
      <c r="U356" s="126" t="n">
        <f aca="false">I356/$R$3</f>
        <v>0</v>
      </c>
      <c r="V356" s="126" t="n">
        <f aca="false">M356/$R$3</f>
        <v>0</v>
      </c>
      <c r="W356" s="126" t="n">
        <f aca="false">N356/$R$3</f>
        <v>0</v>
      </c>
    </row>
    <row r="357" customFormat="false" ht="12.75" hidden="false" customHeight="false" outlineLevel="0" collapsed="false">
      <c r="A357" s="120" t="n">
        <f aca="false">A356+1</f>
        <v>37243</v>
      </c>
      <c r="B357" s="131" t="str">
        <f aca="false">INDEX('Master Data'!$A$2:$B$8,MATCH(WEEKDAY('Arg Total Power'!A357,3),'Master Data'!$A$2:$A$8,0),2)</f>
        <v>T</v>
      </c>
      <c r="D357" s="124" t="n">
        <v>0</v>
      </c>
      <c r="E357" s="124" t="n">
        <v>0</v>
      </c>
      <c r="F357" s="124" t="n">
        <v>0</v>
      </c>
      <c r="G357" s="124" t="n">
        <v>0</v>
      </c>
      <c r="I357" s="124" t="n">
        <f aca="false">IF(MONTH($A357)=MONTH($A356),IF(G357=0,I356,G357),G357)</f>
        <v>0</v>
      </c>
      <c r="J357" s="124" t="n">
        <f aca="false">IF(MONTH($A357)=MONTH($A356),SUM(I357-I356),I357)</f>
        <v>0</v>
      </c>
      <c r="K357" s="124" t="n">
        <f aca="false">IF(WEEKDAY(A357,3)&gt;4,0,(IF(A357&lt;K$2,0,IF(A357&lt;=K$3,1,0))))</f>
        <v>0</v>
      </c>
      <c r="L357" s="124" t="n">
        <f aca="false">J357*K357</f>
        <v>0</v>
      </c>
      <c r="M357" s="124" t="n">
        <f aca="false">SUM(J$280:J357)</f>
        <v>0</v>
      </c>
      <c r="N357" s="124" t="n">
        <f aca="false">SUM(J$6:J357)</f>
        <v>0</v>
      </c>
      <c r="P357" s="124" t="n">
        <f aca="false">D357/P$3</f>
        <v>0</v>
      </c>
      <c r="Q357" s="143" t="n">
        <f aca="false">E357/P$3</f>
        <v>0</v>
      </c>
      <c r="R357" s="124" t="n">
        <f aca="false">F357/R$3</f>
        <v>0</v>
      </c>
      <c r="S357" s="126" t="n">
        <f aca="false">J357/$R$3</f>
        <v>0</v>
      </c>
      <c r="T357" s="126" t="n">
        <f aca="false">L357/$R$3</f>
        <v>0</v>
      </c>
      <c r="U357" s="126" t="n">
        <f aca="false">I357/$R$3</f>
        <v>0</v>
      </c>
      <c r="V357" s="126" t="n">
        <f aca="false">M357/$R$3</f>
        <v>0</v>
      </c>
      <c r="W357" s="126" t="n">
        <f aca="false">N357/$R$3</f>
        <v>0</v>
      </c>
    </row>
    <row r="358" customFormat="false" ht="12.75" hidden="false" customHeight="false" outlineLevel="0" collapsed="false">
      <c r="A358" s="120" t="n">
        <f aca="false">A357+1</f>
        <v>37244</v>
      </c>
      <c r="B358" s="131" t="str">
        <f aca="false">INDEX('Master Data'!$A$2:$B$8,MATCH(WEEKDAY('Arg Total Power'!A358,3),'Master Data'!$A$2:$A$8,0),2)</f>
        <v>W</v>
      </c>
      <c r="D358" s="124" t="n">
        <v>0</v>
      </c>
      <c r="E358" s="124" t="n">
        <v>0</v>
      </c>
      <c r="F358" s="124" t="n">
        <v>0</v>
      </c>
      <c r="G358" s="124" t="n">
        <v>0</v>
      </c>
      <c r="I358" s="124" t="n">
        <f aca="false">IF(MONTH($A358)=MONTH($A357),IF(G358=0,I357,G358),G358)</f>
        <v>0</v>
      </c>
      <c r="J358" s="124" t="n">
        <f aca="false">IF(MONTH($A358)=MONTH($A357),SUM(I358-I357),I358)</f>
        <v>0</v>
      </c>
      <c r="K358" s="124" t="n">
        <f aca="false">IF(WEEKDAY(A358,3)&gt;4,0,(IF(A358&lt;K$2,0,IF(A358&lt;=K$3,1,0))))</f>
        <v>0</v>
      </c>
      <c r="L358" s="124" t="n">
        <f aca="false">J358*K358</f>
        <v>0</v>
      </c>
      <c r="M358" s="124" t="n">
        <f aca="false">SUM(J$280:J358)</f>
        <v>0</v>
      </c>
      <c r="N358" s="124" t="n">
        <f aca="false">SUM(J$6:J358)</f>
        <v>0</v>
      </c>
      <c r="P358" s="124" t="n">
        <f aca="false">D358/P$3</f>
        <v>0</v>
      </c>
      <c r="Q358" s="143" t="n">
        <f aca="false">E358/P$3</f>
        <v>0</v>
      </c>
      <c r="R358" s="124" t="n">
        <f aca="false">F358/R$3</f>
        <v>0</v>
      </c>
      <c r="S358" s="126" t="n">
        <f aca="false">J358/$R$3</f>
        <v>0</v>
      </c>
      <c r="T358" s="126" t="n">
        <f aca="false">L358/$R$3</f>
        <v>0</v>
      </c>
      <c r="U358" s="126" t="n">
        <f aca="false">I358/$R$3</f>
        <v>0</v>
      </c>
      <c r="V358" s="126" t="n">
        <f aca="false">M358/$R$3</f>
        <v>0</v>
      </c>
      <c r="W358" s="126" t="n">
        <f aca="false">N358/$R$3</f>
        <v>0</v>
      </c>
    </row>
    <row r="359" customFormat="false" ht="12.75" hidden="false" customHeight="false" outlineLevel="0" collapsed="false">
      <c r="A359" s="120" t="n">
        <f aca="false">A358+1</f>
        <v>37245</v>
      </c>
      <c r="B359" s="131" t="str">
        <f aca="false">INDEX('Master Data'!$A$2:$B$8,MATCH(WEEKDAY('Arg Total Power'!A359,3),'Master Data'!$A$2:$A$8,0),2)</f>
        <v>Th</v>
      </c>
      <c r="D359" s="124" t="n">
        <v>0</v>
      </c>
      <c r="E359" s="124" t="n">
        <v>0</v>
      </c>
      <c r="F359" s="124" t="n">
        <v>0</v>
      </c>
      <c r="G359" s="124" t="n">
        <v>0</v>
      </c>
      <c r="I359" s="124" t="n">
        <f aca="false">IF(MONTH($A359)=MONTH($A358),IF(G359=0,I358,G359),G359)</f>
        <v>0</v>
      </c>
      <c r="J359" s="124" t="n">
        <f aca="false">IF(MONTH($A359)=MONTH($A358),SUM(I359-I358),I359)</f>
        <v>0</v>
      </c>
      <c r="K359" s="124" t="n">
        <f aca="false">IF(WEEKDAY(A359,3)&gt;4,0,(IF(A359&lt;K$2,0,IF(A359&lt;=K$3,1,0))))</f>
        <v>0</v>
      </c>
      <c r="L359" s="124" t="n">
        <f aca="false">J359*K359</f>
        <v>0</v>
      </c>
      <c r="M359" s="124" t="n">
        <f aca="false">SUM(J$280:J359)</f>
        <v>0</v>
      </c>
      <c r="N359" s="124" t="n">
        <f aca="false">SUM(J$6:J359)</f>
        <v>0</v>
      </c>
      <c r="P359" s="124" t="n">
        <f aca="false">D359/P$3</f>
        <v>0</v>
      </c>
      <c r="Q359" s="143" t="n">
        <f aca="false">E359/P$3</f>
        <v>0</v>
      </c>
      <c r="R359" s="124" t="n">
        <f aca="false">F359/R$3</f>
        <v>0</v>
      </c>
      <c r="S359" s="126" t="n">
        <f aca="false">J359/$R$3</f>
        <v>0</v>
      </c>
      <c r="T359" s="126" t="n">
        <f aca="false">L359/$R$3</f>
        <v>0</v>
      </c>
      <c r="U359" s="126" t="n">
        <f aca="false">I359/$R$3</f>
        <v>0</v>
      </c>
      <c r="V359" s="126" t="n">
        <f aca="false">M359/$R$3</f>
        <v>0</v>
      </c>
      <c r="W359" s="126" t="n">
        <f aca="false">N359/$R$3</f>
        <v>0</v>
      </c>
    </row>
    <row r="360" customFormat="false" ht="12.75" hidden="false" customHeight="false" outlineLevel="0" collapsed="false">
      <c r="A360" s="120" t="n">
        <f aca="false">A359+1</f>
        <v>37246</v>
      </c>
      <c r="B360" s="131" t="str">
        <f aca="false">INDEX('Master Data'!$A$2:$B$8,MATCH(WEEKDAY('Arg Total Power'!A360,3),'Master Data'!$A$2:$A$8,0),2)</f>
        <v>F</v>
      </c>
      <c r="D360" s="124" t="n">
        <v>0</v>
      </c>
      <c r="E360" s="124" t="n">
        <v>0</v>
      </c>
      <c r="F360" s="124" t="n">
        <v>0</v>
      </c>
      <c r="G360" s="124" t="n">
        <v>0</v>
      </c>
      <c r="I360" s="124" t="n">
        <f aca="false">IF(MONTH($A360)=MONTH($A359),IF(G360=0,I359,G360),G360)</f>
        <v>0</v>
      </c>
      <c r="J360" s="124" t="n">
        <f aca="false">IF(MONTH($A360)=MONTH($A359),SUM(I360-I359),I360)</f>
        <v>0</v>
      </c>
      <c r="K360" s="124" t="n">
        <f aca="false">IF(WEEKDAY(A360,3)&gt;4,0,(IF(A360&lt;K$2,0,IF(A360&lt;=K$3,1,0))))</f>
        <v>0</v>
      </c>
      <c r="L360" s="124" t="n">
        <f aca="false">J360*K360</f>
        <v>0</v>
      </c>
      <c r="M360" s="124" t="n">
        <f aca="false">SUM(J$280:J360)</f>
        <v>0</v>
      </c>
      <c r="N360" s="124" t="n">
        <f aca="false">SUM(J$6:J360)</f>
        <v>0</v>
      </c>
      <c r="P360" s="124" t="n">
        <f aca="false">D360/P$3</f>
        <v>0</v>
      </c>
      <c r="Q360" s="143" t="n">
        <f aca="false">E360/P$3</f>
        <v>0</v>
      </c>
      <c r="R360" s="124" t="n">
        <f aca="false">F360/R$3</f>
        <v>0</v>
      </c>
      <c r="S360" s="126" t="n">
        <f aca="false">J360/$R$3</f>
        <v>0</v>
      </c>
      <c r="T360" s="126" t="n">
        <f aca="false">L360/$R$3</f>
        <v>0</v>
      </c>
      <c r="U360" s="126" t="n">
        <f aca="false">I360/$R$3</f>
        <v>0</v>
      </c>
      <c r="V360" s="126" t="n">
        <f aca="false">M360/$R$3</f>
        <v>0</v>
      </c>
      <c r="W360" s="126" t="n">
        <f aca="false">N360/$R$3</f>
        <v>0</v>
      </c>
    </row>
    <row r="361" customFormat="false" ht="12.75" hidden="false" customHeight="false" outlineLevel="0" collapsed="false">
      <c r="A361" s="120" t="n">
        <f aca="false">A360+1</f>
        <v>37247</v>
      </c>
      <c r="B361" s="131" t="str">
        <f aca="false">INDEX('Master Data'!$A$2:$B$8,MATCH(WEEKDAY('Arg Total Power'!A361,3),'Master Data'!$A$2:$A$8,0),2)</f>
        <v>Sa</v>
      </c>
      <c r="D361" s="124" t="n">
        <v>0</v>
      </c>
      <c r="E361" s="124" t="n">
        <v>0</v>
      </c>
      <c r="F361" s="124" t="n">
        <v>0</v>
      </c>
      <c r="G361" s="124" t="n">
        <v>0</v>
      </c>
      <c r="I361" s="124" t="n">
        <f aca="false">IF(MONTH($A361)=MONTH($A360),IF(G361=0,I360,G361),G361)</f>
        <v>0</v>
      </c>
      <c r="J361" s="124" t="n">
        <f aca="false">IF(MONTH($A361)=MONTH($A360),SUM(I361-I360),I361)</f>
        <v>0</v>
      </c>
      <c r="K361" s="124" t="n">
        <f aca="false">IF(WEEKDAY(A361,3)&gt;4,0,(IF(A361&lt;K$2,0,IF(A361&lt;=K$3,1,0))))</f>
        <v>0</v>
      </c>
      <c r="L361" s="124" t="n">
        <f aca="false">J361*K361</f>
        <v>0</v>
      </c>
      <c r="M361" s="124" t="n">
        <f aca="false">SUM(J$280:J361)</f>
        <v>0</v>
      </c>
      <c r="N361" s="124" t="n">
        <f aca="false">SUM(J$6:J361)</f>
        <v>0</v>
      </c>
      <c r="P361" s="124" t="n">
        <f aca="false">D361/P$3</f>
        <v>0</v>
      </c>
      <c r="Q361" s="143" t="n">
        <f aca="false">E361/P$3</f>
        <v>0</v>
      </c>
      <c r="R361" s="124" t="n">
        <f aca="false">F361/R$3</f>
        <v>0</v>
      </c>
      <c r="S361" s="126" t="n">
        <f aca="false">J361/$R$3</f>
        <v>0</v>
      </c>
      <c r="T361" s="126" t="n">
        <f aca="false">L361/$R$3</f>
        <v>0</v>
      </c>
      <c r="U361" s="126" t="n">
        <f aca="false">I361/$R$3</f>
        <v>0</v>
      </c>
      <c r="V361" s="126" t="n">
        <f aca="false">M361/$R$3</f>
        <v>0</v>
      </c>
      <c r="W361" s="126" t="n">
        <f aca="false">N361/$R$3</f>
        <v>0</v>
      </c>
    </row>
    <row r="362" customFormat="false" ht="12.75" hidden="false" customHeight="false" outlineLevel="0" collapsed="false">
      <c r="A362" s="120" t="n">
        <f aca="false">A361+1</f>
        <v>37248</v>
      </c>
      <c r="B362" s="131" t="str">
        <f aca="false">INDEX('Master Data'!$A$2:$B$8,MATCH(WEEKDAY('Arg Total Power'!A362,3),'Master Data'!$A$2:$A$8,0),2)</f>
        <v>Su</v>
      </c>
      <c r="D362" s="124" t="n">
        <v>0</v>
      </c>
      <c r="E362" s="124" t="n">
        <v>0</v>
      </c>
      <c r="F362" s="124" t="n">
        <v>0</v>
      </c>
      <c r="G362" s="124" t="n">
        <v>0</v>
      </c>
      <c r="I362" s="124" t="n">
        <f aca="false">IF(MONTH($A362)=MONTH($A361),IF(G362=0,I361,G362),G362)</f>
        <v>0</v>
      </c>
      <c r="J362" s="124" t="n">
        <f aca="false">IF(MONTH($A362)=MONTH($A361),SUM(I362-I361),I362)</f>
        <v>0</v>
      </c>
      <c r="K362" s="124" t="n">
        <f aca="false">IF(WEEKDAY(A362,3)&gt;4,0,(IF(A362&lt;K$2,0,IF(A362&lt;=K$3,1,0))))</f>
        <v>0</v>
      </c>
      <c r="L362" s="124" t="n">
        <f aca="false">J362*K362</f>
        <v>0</v>
      </c>
      <c r="M362" s="124" t="n">
        <f aca="false">SUM(J$280:J362)</f>
        <v>0</v>
      </c>
      <c r="N362" s="124" t="n">
        <f aca="false">SUM(J$6:J362)</f>
        <v>0</v>
      </c>
      <c r="P362" s="124" t="n">
        <f aca="false">D362/P$3</f>
        <v>0</v>
      </c>
      <c r="Q362" s="143" t="n">
        <f aca="false">E362/P$3</f>
        <v>0</v>
      </c>
      <c r="R362" s="124" t="n">
        <f aca="false">F362/R$3</f>
        <v>0</v>
      </c>
      <c r="S362" s="126" t="n">
        <f aca="false">J362/$R$3</f>
        <v>0</v>
      </c>
      <c r="T362" s="126" t="n">
        <f aca="false">L362/$R$3</f>
        <v>0</v>
      </c>
      <c r="U362" s="126" t="n">
        <f aca="false">I362/$R$3</f>
        <v>0</v>
      </c>
      <c r="V362" s="126" t="n">
        <f aca="false">M362/$R$3</f>
        <v>0</v>
      </c>
      <c r="W362" s="126" t="n">
        <f aca="false">N362/$R$3</f>
        <v>0</v>
      </c>
    </row>
    <row r="363" customFormat="false" ht="12.75" hidden="false" customHeight="false" outlineLevel="0" collapsed="false">
      <c r="A363" s="120" t="n">
        <f aca="false">A362+1</f>
        <v>37249</v>
      </c>
      <c r="B363" s="131" t="str">
        <f aca="false">INDEX('Master Data'!$A$2:$B$8,MATCH(WEEKDAY('Arg Total Power'!A363,3),'Master Data'!$A$2:$A$8,0),2)</f>
        <v>M</v>
      </c>
      <c r="D363" s="124" t="n">
        <v>0</v>
      </c>
      <c r="E363" s="124" t="n">
        <v>0</v>
      </c>
      <c r="F363" s="124" t="n">
        <v>0</v>
      </c>
      <c r="G363" s="124" t="n">
        <v>0</v>
      </c>
      <c r="I363" s="124" t="n">
        <f aca="false">IF(MONTH($A363)=MONTH($A362),IF(G363=0,I362,G363),G363)</f>
        <v>0</v>
      </c>
      <c r="J363" s="124" t="n">
        <f aca="false">IF(MONTH($A363)=MONTH($A362),SUM(I363-I362),I363)</f>
        <v>0</v>
      </c>
      <c r="K363" s="124" t="n">
        <f aca="false">IF(WEEKDAY(A363,3)&gt;4,0,(IF(A363&lt;K$2,0,IF(A363&lt;=K$3,1,0))))</f>
        <v>0</v>
      </c>
      <c r="L363" s="124" t="n">
        <f aca="false">J363*K363</f>
        <v>0</v>
      </c>
      <c r="M363" s="124" t="n">
        <f aca="false">SUM(J$280:J363)</f>
        <v>0</v>
      </c>
      <c r="N363" s="124" t="n">
        <f aca="false">SUM(J$6:J363)</f>
        <v>0</v>
      </c>
      <c r="P363" s="124" t="n">
        <f aca="false">D363/P$3</f>
        <v>0</v>
      </c>
      <c r="Q363" s="143" t="n">
        <f aca="false">E363/P$3</f>
        <v>0</v>
      </c>
      <c r="R363" s="124" t="n">
        <f aca="false">F363/R$3</f>
        <v>0</v>
      </c>
      <c r="S363" s="126" t="n">
        <f aca="false">J363/$R$3</f>
        <v>0</v>
      </c>
      <c r="T363" s="126" t="n">
        <f aca="false">L363/$R$3</f>
        <v>0</v>
      </c>
      <c r="U363" s="126" t="n">
        <f aca="false">I363/$R$3</f>
        <v>0</v>
      </c>
      <c r="V363" s="126" t="n">
        <f aca="false">M363/$R$3</f>
        <v>0</v>
      </c>
      <c r="W363" s="126" t="n">
        <f aca="false">N363/$R$3</f>
        <v>0</v>
      </c>
    </row>
    <row r="364" customFormat="false" ht="12.75" hidden="false" customHeight="false" outlineLevel="0" collapsed="false">
      <c r="A364" s="120" t="n">
        <f aca="false">A363+1</f>
        <v>37250</v>
      </c>
      <c r="B364" s="131" t="str">
        <f aca="false">INDEX('Master Data'!$A$2:$B$8,MATCH(WEEKDAY('Arg Total Power'!A364,3),'Master Data'!$A$2:$A$8,0),2)</f>
        <v>T</v>
      </c>
      <c r="D364" s="124" t="n">
        <v>0</v>
      </c>
      <c r="E364" s="124" t="n">
        <v>0</v>
      </c>
      <c r="F364" s="124" t="n">
        <v>0</v>
      </c>
      <c r="G364" s="124" t="n">
        <v>0</v>
      </c>
      <c r="I364" s="124" t="n">
        <f aca="false">IF(MONTH($A364)=MONTH($A363),IF(G364=0,I363,G364),G364)</f>
        <v>0</v>
      </c>
      <c r="J364" s="124" t="n">
        <f aca="false">IF(MONTH($A364)=MONTH($A363),SUM(I364-I363),I364)</f>
        <v>0</v>
      </c>
      <c r="K364" s="124" t="n">
        <f aca="false">IF(WEEKDAY(A364,3)&gt;4,0,(IF(A364&lt;K$2,0,IF(A364&lt;=K$3,1,0))))</f>
        <v>0</v>
      </c>
      <c r="L364" s="124" t="n">
        <f aca="false">J364*K364</f>
        <v>0</v>
      </c>
      <c r="M364" s="124" t="n">
        <f aca="false">SUM(J$280:J364)</f>
        <v>0</v>
      </c>
      <c r="N364" s="124" t="n">
        <f aca="false">SUM(J$6:J364)</f>
        <v>0</v>
      </c>
      <c r="P364" s="124" t="n">
        <f aca="false">D364/P$3</f>
        <v>0</v>
      </c>
      <c r="Q364" s="143" t="n">
        <f aca="false">E364/P$3</f>
        <v>0</v>
      </c>
      <c r="R364" s="124" t="n">
        <f aca="false">F364/R$3</f>
        <v>0</v>
      </c>
      <c r="S364" s="126" t="n">
        <f aca="false">J364/$R$3</f>
        <v>0</v>
      </c>
      <c r="T364" s="126" t="n">
        <f aca="false">L364/$R$3</f>
        <v>0</v>
      </c>
      <c r="U364" s="126" t="n">
        <f aca="false">I364/$R$3</f>
        <v>0</v>
      </c>
      <c r="V364" s="126" t="n">
        <f aca="false">M364/$R$3</f>
        <v>0</v>
      </c>
      <c r="W364" s="126" t="n">
        <f aca="false">N364/$R$3</f>
        <v>0</v>
      </c>
    </row>
    <row r="365" customFormat="false" ht="12.75" hidden="false" customHeight="false" outlineLevel="0" collapsed="false">
      <c r="A365" s="120" t="n">
        <f aca="false">A364+1</f>
        <v>37251</v>
      </c>
      <c r="B365" s="131" t="str">
        <f aca="false">INDEX('Master Data'!$A$2:$B$8,MATCH(WEEKDAY('Arg Total Power'!A365,3),'Master Data'!$A$2:$A$8,0),2)</f>
        <v>W</v>
      </c>
      <c r="D365" s="124" t="n">
        <v>0</v>
      </c>
      <c r="E365" s="124" t="n">
        <v>0</v>
      </c>
      <c r="F365" s="124" t="n">
        <v>0</v>
      </c>
      <c r="G365" s="124" t="n">
        <v>0</v>
      </c>
      <c r="I365" s="124" t="n">
        <f aca="false">IF(MONTH($A365)=MONTH($A364),IF(G365=0,I364,G365),G365)</f>
        <v>0</v>
      </c>
      <c r="J365" s="124" t="n">
        <f aca="false">IF(MONTH($A365)=MONTH($A364),SUM(I365-I364),I365)</f>
        <v>0</v>
      </c>
      <c r="K365" s="124" t="n">
        <f aca="false">IF(WEEKDAY(A365,3)&gt;4,0,(IF(A365&lt;K$2,0,IF(A365&lt;=K$3,1,0))))</f>
        <v>0</v>
      </c>
      <c r="L365" s="124" t="n">
        <f aca="false">J365*K365</f>
        <v>0</v>
      </c>
      <c r="M365" s="124" t="n">
        <f aca="false">SUM(J$280:J365)</f>
        <v>0</v>
      </c>
      <c r="N365" s="124" t="n">
        <f aca="false">SUM(J$6:J365)</f>
        <v>0</v>
      </c>
      <c r="P365" s="124" t="n">
        <f aca="false">D365/P$3</f>
        <v>0</v>
      </c>
      <c r="Q365" s="143" t="n">
        <f aca="false">E365/P$3</f>
        <v>0</v>
      </c>
      <c r="R365" s="124" t="n">
        <f aca="false">F365/R$3</f>
        <v>0</v>
      </c>
      <c r="S365" s="126" t="n">
        <f aca="false">J365/$R$3</f>
        <v>0</v>
      </c>
      <c r="T365" s="126" t="n">
        <f aca="false">L365/$R$3</f>
        <v>0</v>
      </c>
      <c r="U365" s="126" t="n">
        <f aca="false">I365/$R$3</f>
        <v>0</v>
      </c>
      <c r="V365" s="126" t="n">
        <f aca="false">M365/$R$3</f>
        <v>0</v>
      </c>
      <c r="W365" s="126" t="n">
        <f aca="false">N365/$R$3</f>
        <v>0</v>
      </c>
    </row>
    <row r="366" customFormat="false" ht="12.75" hidden="false" customHeight="false" outlineLevel="0" collapsed="false">
      <c r="A366" s="120" t="n">
        <f aca="false">A365+1</f>
        <v>37252</v>
      </c>
      <c r="B366" s="131" t="str">
        <f aca="false">INDEX('Master Data'!$A$2:$B$8,MATCH(WEEKDAY('Arg Total Power'!A366,3),'Master Data'!$A$2:$A$8,0),2)</f>
        <v>Th</v>
      </c>
      <c r="D366" s="124" t="n">
        <v>0</v>
      </c>
      <c r="E366" s="124" t="n">
        <v>0</v>
      </c>
      <c r="F366" s="124" t="n">
        <v>0</v>
      </c>
      <c r="G366" s="124" t="n">
        <v>0</v>
      </c>
      <c r="I366" s="124" t="n">
        <f aca="false">IF(MONTH($A366)=MONTH($A365),IF(G366=0,I365,G366),G366)</f>
        <v>0</v>
      </c>
      <c r="J366" s="124" t="n">
        <f aca="false">IF(MONTH($A366)=MONTH($A365),SUM(I366-I365),I366)</f>
        <v>0</v>
      </c>
      <c r="K366" s="124" t="n">
        <f aca="false">IF(WEEKDAY(A366,3)&gt;4,0,(IF(A366&lt;K$2,0,IF(A366&lt;=K$3,1,0))))</f>
        <v>0</v>
      </c>
      <c r="L366" s="124" t="n">
        <f aca="false">J366*K366</f>
        <v>0</v>
      </c>
      <c r="M366" s="124" t="n">
        <f aca="false">SUM(J$280:J366)</f>
        <v>0</v>
      </c>
      <c r="N366" s="124" t="n">
        <f aca="false">SUM(J$6:J366)</f>
        <v>0</v>
      </c>
      <c r="P366" s="124" t="n">
        <f aca="false">D366/P$3</f>
        <v>0</v>
      </c>
      <c r="Q366" s="143" t="n">
        <f aca="false">E366/P$3</f>
        <v>0</v>
      </c>
      <c r="R366" s="124" t="n">
        <f aca="false">F366/R$3</f>
        <v>0</v>
      </c>
      <c r="S366" s="126" t="n">
        <f aca="false">J366/$R$3</f>
        <v>0</v>
      </c>
      <c r="T366" s="126" t="n">
        <f aca="false">L366/$R$3</f>
        <v>0</v>
      </c>
      <c r="U366" s="126" t="n">
        <f aca="false">I366/$R$3</f>
        <v>0</v>
      </c>
      <c r="V366" s="126" t="n">
        <f aca="false">M366/$R$3</f>
        <v>0</v>
      </c>
      <c r="W366" s="126" t="n">
        <f aca="false">N366/$R$3</f>
        <v>0</v>
      </c>
    </row>
    <row r="367" customFormat="false" ht="12.75" hidden="false" customHeight="false" outlineLevel="0" collapsed="false">
      <c r="A367" s="120" t="n">
        <f aca="false">A366+1</f>
        <v>37253</v>
      </c>
      <c r="B367" s="131" t="str">
        <f aca="false">INDEX('Master Data'!$A$2:$B$8,MATCH(WEEKDAY('Arg Total Power'!A367,3),'Master Data'!$A$2:$A$8,0),2)</f>
        <v>F</v>
      </c>
      <c r="D367" s="124" t="n">
        <v>0</v>
      </c>
      <c r="E367" s="124" t="n">
        <v>0</v>
      </c>
      <c r="F367" s="124" t="n">
        <v>0</v>
      </c>
      <c r="G367" s="124" t="n">
        <v>0</v>
      </c>
      <c r="I367" s="124" t="n">
        <f aca="false">IF(MONTH($A367)=MONTH($A366),IF(G367=0,I366,G367),G367)</f>
        <v>0</v>
      </c>
      <c r="J367" s="124" t="n">
        <f aca="false">IF(MONTH($A367)=MONTH($A366),SUM(I367-I366),I367)</f>
        <v>0</v>
      </c>
      <c r="K367" s="124" t="n">
        <f aca="false">IF(WEEKDAY(A367,3)&gt;4,0,(IF(A367&lt;K$2,0,IF(A367&lt;=K$3,1,0))))</f>
        <v>0</v>
      </c>
      <c r="L367" s="124" t="n">
        <f aca="false">J367*K367</f>
        <v>0</v>
      </c>
      <c r="M367" s="124" t="n">
        <f aca="false">SUM(J$280:J367)</f>
        <v>0</v>
      </c>
      <c r="N367" s="124" t="n">
        <f aca="false">SUM(J$6:J367)</f>
        <v>0</v>
      </c>
      <c r="P367" s="124" t="n">
        <f aca="false">D367/P$3</f>
        <v>0</v>
      </c>
      <c r="Q367" s="143" t="n">
        <f aca="false">E367/P$3</f>
        <v>0</v>
      </c>
      <c r="R367" s="124" t="n">
        <f aca="false">F367/R$3</f>
        <v>0</v>
      </c>
      <c r="S367" s="126" t="n">
        <f aca="false">J367/$R$3</f>
        <v>0</v>
      </c>
      <c r="T367" s="126" t="n">
        <f aca="false">L367/$R$3</f>
        <v>0</v>
      </c>
      <c r="U367" s="126" t="n">
        <f aca="false">I367/$R$3</f>
        <v>0</v>
      </c>
      <c r="V367" s="126" t="n">
        <f aca="false">M367/$R$3</f>
        <v>0</v>
      </c>
      <c r="W367" s="126" t="n">
        <f aca="false">N367/$R$3</f>
        <v>0</v>
      </c>
    </row>
    <row r="368" customFormat="false" ht="12.75" hidden="false" customHeight="false" outlineLevel="0" collapsed="false">
      <c r="A368" s="120" t="n">
        <f aca="false">A367+1</f>
        <v>37254</v>
      </c>
      <c r="B368" s="131" t="str">
        <f aca="false">INDEX('Master Data'!$A$2:$B$8,MATCH(WEEKDAY('Arg Total Power'!A368,3),'Master Data'!$A$2:$A$8,0),2)</f>
        <v>Sa</v>
      </c>
      <c r="D368" s="124" t="n">
        <v>0</v>
      </c>
      <c r="E368" s="124" t="n">
        <v>0</v>
      </c>
      <c r="F368" s="124" t="n">
        <v>0</v>
      </c>
      <c r="G368" s="124" t="n">
        <v>0</v>
      </c>
      <c r="I368" s="124" t="n">
        <f aca="false">IF(MONTH($A368)=MONTH($A367),IF(G368=0,I367,G368),G368)</f>
        <v>0</v>
      </c>
      <c r="J368" s="124" t="n">
        <f aca="false">IF(MONTH($A368)=MONTH($A367),SUM(I368-I367),I368)</f>
        <v>0</v>
      </c>
      <c r="K368" s="124" t="n">
        <f aca="false">IF(WEEKDAY(A368,3)&gt;4,0,(IF(A368&lt;K$2,0,IF(A368&lt;=K$3,1,0))))</f>
        <v>0</v>
      </c>
      <c r="L368" s="124" t="n">
        <f aca="false">J368*K368</f>
        <v>0</v>
      </c>
      <c r="M368" s="124" t="n">
        <f aca="false">SUM(J$280:J368)</f>
        <v>0</v>
      </c>
      <c r="N368" s="124" t="n">
        <f aca="false">SUM(J$6:J368)</f>
        <v>0</v>
      </c>
      <c r="P368" s="124" t="n">
        <f aca="false">D368/P$3</f>
        <v>0</v>
      </c>
      <c r="Q368" s="143" t="n">
        <f aca="false">E368/P$3</f>
        <v>0</v>
      </c>
      <c r="R368" s="124" t="n">
        <f aca="false">F368/R$3</f>
        <v>0</v>
      </c>
      <c r="S368" s="126" t="n">
        <f aca="false">J368/$R$3</f>
        <v>0</v>
      </c>
      <c r="T368" s="126" t="n">
        <f aca="false">L368/$R$3</f>
        <v>0</v>
      </c>
      <c r="U368" s="126" t="n">
        <f aca="false">I368/$R$3</f>
        <v>0</v>
      </c>
      <c r="V368" s="126" t="n">
        <f aca="false">M368/$R$3</f>
        <v>0</v>
      </c>
      <c r="W368" s="126" t="n">
        <f aca="false">N368/$R$3</f>
        <v>0</v>
      </c>
    </row>
    <row r="369" customFormat="false" ht="12.75" hidden="false" customHeight="false" outlineLevel="0" collapsed="false">
      <c r="A369" s="120" t="n">
        <f aca="false">A368+1</f>
        <v>37255</v>
      </c>
      <c r="B369" s="131" t="str">
        <f aca="false">INDEX('Master Data'!$A$2:$B$8,MATCH(WEEKDAY('Arg Total Power'!A369,3),'Master Data'!$A$2:$A$8,0),2)</f>
        <v>Su</v>
      </c>
      <c r="D369" s="124" t="n">
        <v>0</v>
      </c>
      <c r="E369" s="124" t="n">
        <v>0</v>
      </c>
      <c r="F369" s="124" t="n">
        <v>0</v>
      </c>
      <c r="G369" s="124" t="n">
        <v>0</v>
      </c>
      <c r="I369" s="124" t="n">
        <f aca="false">IF(MONTH($A369)=MONTH($A368),IF(G369=0,I368,G369),G369)</f>
        <v>0</v>
      </c>
      <c r="J369" s="124" t="n">
        <f aca="false">IF(MONTH($A369)=MONTH($A368),SUM(I369-I368),I369)</f>
        <v>0</v>
      </c>
      <c r="K369" s="124" t="n">
        <f aca="false">IF(WEEKDAY(A369,3)&gt;4,0,(IF(A369&lt;K$2,0,IF(A369&lt;=K$3,1,0))))</f>
        <v>0</v>
      </c>
      <c r="L369" s="124" t="n">
        <f aca="false">J369*K369</f>
        <v>0</v>
      </c>
      <c r="M369" s="124" t="n">
        <f aca="false">SUM(J$280:J369)</f>
        <v>0</v>
      </c>
      <c r="N369" s="124" t="n">
        <f aca="false">SUM(J$6:J369)</f>
        <v>0</v>
      </c>
      <c r="P369" s="124" t="n">
        <f aca="false">D369/P$3</f>
        <v>0</v>
      </c>
      <c r="Q369" s="143" t="n">
        <f aca="false">E369/P$3</f>
        <v>0</v>
      </c>
      <c r="R369" s="124" t="n">
        <f aca="false">F369/R$3</f>
        <v>0</v>
      </c>
      <c r="S369" s="126" t="n">
        <f aca="false">J369/$R$3</f>
        <v>0</v>
      </c>
      <c r="T369" s="126" t="n">
        <f aca="false">L369/$R$3</f>
        <v>0</v>
      </c>
      <c r="U369" s="126" t="n">
        <f aca="false">I369/$R$3</f>
        <v>0</v>
      </c>
      <c r="V369" s="126" t="n">
        <f aca="false">M369/$R$3</f>
        <v>0</v>
      </c>
      <c r="W369" s="126" t="n">
        <f aca="false">N369/$R$3</f>
        <v>0</v>
      </c>
    </row>
    <row r="370" customFormat="false" ht="12.75" hidden="false" customHeight="false" outlineLevel="0" collapsed="false">
      <c r="A370" s="120" t="n">
        <f aca="false">A369+1</f>
        <v>37256</v>
      </c>
      <c r="B370" s="131" t="str">
        <f aca="false">INDEX('Master Data'!$A$2:$B$8,MATCH(WEEKDAY('Arg Total Power'!A370,3),'Master Data'!$A$2:$A$8,0),2)</f>
        <v>M</v>
      </c>
      <c r="D370" s="124" t="n">
        <v>0</v>
      </c>
      <c r="E370" s="124" t="n">
        <v>0</v>
      </c>
      <c r="F370" s="124" t="n">
        <v>0</v>
      </c>
      <c r="G370" s="124" t="n">
        <v>0</v>
      </c>
      <c r="I370" s="124" t="n">
        <f aca="false">IF(MONTH($A370)=MONTH($A369),IF(G370=0,I369,G370),G370)</f>
        <v>0</v>
      </c>
      <c r="J370" s="124" t="n">
        <f aca="false">IF(MONTH($A370)=MONTH($A369),SUM(I370-I369),I370)</f>
        <v>0</v>
      </c>
      <c r="K370" s="124" t="n">
        <f aca="false">IF(WEEKDAY(A370,3)&gt;4,0,(IF(A370&lt;K$2,0,IF(A370&lt;=K$3,1,0))))</f>
        <v>0</v>
      </c>
      <c r="L370" s="124" t="n">
        <f aca="false">J370*K370</f>
        <v>0</v>
      </c>
      <c r="M370" s="124" t="n">
        <f aca="false">SUM(J$280:J370)</f>
        <v>0</v>
      </c>
      <c r="N370" s="124" t="n">
        <f aca="false">SUM(J$6:J370)</f>
        <v>0</v>
      </c>
      <c r="P370" s="124" t="n">
        <f aca="false">D370/P$3</f>
        <v>0</v>
      </c>
      <c r="Q370" s="143" t="n">
        <f aca="false">E370/P$3</f>
        <v>0</v>
      </c>
      <c r="R370" s="124" t="n">
        <f aca="false">F370/R$3</f>
        <v>0</v>
      </c>
      <c r="S370" s="126" t="n">
        <f aca="false">J370/$R$3</f>
        <v>0</v>
      </c>
      <c r="T370" s="126" t="n">
        <f aca="false">L370/$R$3</f>
        <v>0</v>
      </c>
      <c r="U370" s="126" t="n">
        <f aca="false">I370/$R$3</f>
        <v>0</v>
      </c>
      <c r="V370" s="126" t="n">
        <f aca="false">M370/$R$3</f>
        <v>0</v>
      </c>
      <c r="W370" s="126" t="n">
        <f aca="false">N370/$R$3</f>
        <v>0</v>
      </c>
    </row>
    <row r="371" customFormat="false" ht="12.75" hidden="false" customHeight="false" outlineLevel="0" collapsed="false">
      <c r="A371" s="120" t="n">
        <f aca="false">A370+1</f>
        <v>37257</v>
      </c>
      <c r="B371" s="131" t="str">
        <f aca="false">INDEX('Master Data'!$A$2:$B$8,MATCH(WEEKDAY('Arg Total Power'!A371,3),'Master Data'!$A$2:$A$8,0),2)</f>
        <v>T</v>
      </c>
      <c r="D371" s="124" t="n">
        <v>0</v>
      </c>
      <c r="E371" s="124" t="n">
        <v>0</v>
      </c>
      <c r="F371" s="124" t="n">
        <v>0</v>
      </c>
      <c r="G371" s="124" t="n">
        <v>0</v>
      </c>
      <c r="I371" s="124" t="n">
        <f aca="false">IF(MONTH($A371)=MONTH($A370),IF(G371=0,I370,G371),G371)</f>
        <v>0</v>
      </c>
      <c r="J371" s="124" t="n">
        <f aca="false">IF(MONTH($A371)=MONTH($A370),SUM(I371-I370),I371)</f>
        <v>0</v>
      </c>
      <c r="K371" s="124" t="n">
        <f aca="false">IF(WEEKDAY(A371,3)&gt;4,0,(IF(A371&lt;K$2,0,IF(A371&lt;=K$3,1,0))))</f>
        <v>0</v>
      </c>
      <c r="L371" s="124" t="n">
        <f aca="false">J371*K371</f>
        <v>0</v>
      </c>
      <c r="M371" s="124" t="n">
        <f aca="false">SUM(J$280:J371)</f>
        <v>0</v>
      </c>
      <c r="N371" s="124" t="n">
        <f aca="false">SUM(J$6:J371)</f>
        <v>0</v>
      </c>
      <c r="P371" s="124" t="n">
        <f aca="false">D371/P$3</f>
        <v>0</v>
      </c>
      <c r="Q371" s="143" t="n">
        <f aca="false">E371/P$3</f>
        <v>0</v>
      </c>
      <c r="R371" s="124" t="n">
        <f aca="false">F371/R$3</f>
        <v>0</v>
      </c>
      <c r="S371" s="126" t="n">
        <f aca="false">J371/$R$3</f>
        <v>0</v>
      </c>
      <c r="T371" s="126" t="n">
        <f aca="false">L371/$R$3</f>
        <v>0</v>
      </c>
      <c r="U371" s="126" t="n">
        <f aca="false">I371/$R$3</f>
        <v>0</v>
      </c>
      <c r="V371" s="126" t="n">
        <f aca="false">M371/$R$3</f>
        <v>0</v>
      </c>
      <c r="W371" s="126" t="n">
        <f aca="false">N371/$R$3</f>
        <v>0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3" ySplit="35" topLeftCell="D36" activePane="bottomRight" state="frozen"/>
      <selection pane="topLeft" activeCell="A1" activeCellId="0" sqref="A1"/>
      <selection pane="topRight" activeCell="D1" activeCellId="0" sqref="D1"/>
      <selection pane="bottomLeft" activeCell="A36" activeCellId="0" sqref="A36"/>
      <selection pane="bottomRight" activeCell="D310" activeCellId="0" sqref="D310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20" width="7.28"/>
    <col collapsed="false" customWidth="true" hidden="false" outlineLevel="0" max="2" min="2" style="121" width="4.14"/>
    <col collapsed="false" customWidth="true" hidden="false" outlineLevel="0" max="3" min="3" style="122" width="2.7"/>
    <col collapsed="false" customWidth="true" hidden="false" outlineLevel="0" max="4" min="4" style="121" width="16.7"/>
    <col collapsed="false" customWidth="true" hidden="false" outlineLevel="0" max="5" min="5" style="121" width="16.42"/>
    <col collapsed="false" customWidth="true" hidden="false" outlineLevel="0" max="13" min="6" style="121" width="14.99"/>
    <col collapsed="false" customWidth="true" hidden="false" outlineLevel="0" max="14" min="14" style="121" width="15.7"/>
    <col collapsed="false" customWidth="true" hidden="false" outlineLevel="0" max="15" min="15" style="122" width="2.7"/>
    <col collapsed="false" customWidth="true" hidden="false" outlineLevel="0" max="16" min="16" style="121" width="16.7"/>
    <col collapsed="false" customWidth="true" hidden="false" outlineLevel="0" max="26" min="17" style="126" width="16.7"/>
    <col collapsed="false" customWidth="false" hidden="false" outlineLevel="0" max="257" min="27" style="121" width="9.14"/>
  </cols>
  <sheetData>
    <row r="1" customFormat="false" ht="12.75" hidden="false" customHeight="false" outlineLevel="0" collapsed="false">
      <c r="A1" s="127" t="n">
        <v>1</v>
      </c>
      <c r="B1" s="121" t="n">
        <f aca="false">+A1+1</f>
        <v>2</v>
      </c>
      <c r="C1" s="122" t="n">
        <f aca="false">+B1+1</f>
        <v>3</v>
      </c>
      <c r="D1" s="121" t="n">
        <f aca="false">+C1+1</f>
        <v>4</v>
      </c>
      <c r="E1" s="121" t="n">
        <f aca="false">+D1+1</f>
        <v>5</v>
      </c>
      <c r="F1" s="121" t="n">
        <f aca="false">+E1+1</f>
        <v>6</v>
      </c>
      <c r="G1" s="121" t="n">
        <f aca="false">+F1+1</f>
        <v>7</v>
      </c>
      <c r="H1" s="121" t="n">
        <f aca="false">+G1+1</f>
        <v>8</v>
      </c>
      <c r="I1" s="121" t="n">
        <f aca="false">+H1+1</f>
        <v>9</v>
      </c>
      <c r="J1" s="121" t="n">
        <f aca="false">+I1+1</f>
        <v>10</v>
      </c>
      <c r="K1" s="121" t="n">
        <f aca="false">+J1+1</f>
        <v>11</v>
      </c>
      <c r="L1" s="121" t="n">
        <f aca="false">+K1+1</f>
        <v>12</v>
      </c>
      <c r="M1" s="121" t="n">
        <f aca="false">+L1+1</f>
        <v>13</v>
      </c>
      <c r="N1" s="121" t="n">
        <f aca="false">+M1+1</f>
        <v>14</v>
      </c>
      <c r="O1" s="121" t="n">
        <f aca="false">+N1+1</f>
        <v>15</v>
      </c>
      <c r="P1" s="121" t="n">
        <f aca="false">+O1+1</f>
        <v>16</v>
      </c>
      <c r="Q1" s="121" t="n">
        <f aca="false">+P1+1</f>
        <v>17</v>
      </c>
      <c r="R1" s="121" t="n">
        <f aca="false">+Q1+1</f>
        <v>18</v>
      </c>
      <c r="S1" s="121" t="n">
        <f aca="false">+R1+1</f>
        <v>19</v>
      </c>
      <c r="T1" s="121" t="n">
        <f aca="false">+S1+1</f>
        <v>20</v>
      </c>
      <c r="U1" s="121" t="n">
        <f aca="false">+T1+1</f>
        <v>21</v>
      </c>
      <c r="V1" s="121" t="n">
        <f aca="false">+U1+1</f>
        <v>22</v>
      </c>
      <c r="W1" s="121" t="n">
        <f aca="false">+V1+1</f>
        <v>23</v>
      </c>
      <c r="X1" s="121" t="n">
        <f aca="false">+W1+1</f>
        <v>24</v>
      </c>
      <c r="Y1" s="121" t="n">
        <f aca="false">+X1+1</f>
        <v>25</v>
      </c>
      <c r="Z1" s="121" t="n">
        <f aca="false">+Y1+1</f>
        <v>26</v>
      </c>
    </row>
    <row r="3" customFormat="false" ht="12.75" hidden="false" customHeight="false" outlineLevel="0" collapsed="false">
      <c r="P3" s="124" t="n">
        <v>1000</v>
      </c>
      <c r="Q3" s="121"/>
      <c r="V3" s="121"/>
    </row>
    <row r="4" customFormat="false" ht="12.75" hidden="false" customHeight="false" outlineLevel="0" collapsed="false"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P4" s="135" t="s">
        <v>60</v>
      </c>
      <c r="Q4" s="135"/>
      <c r="R4" s="135"/>
      <c r="S4" s="135"/>
      <c r="T4" s="135"/>
      <c r="U4" s="135"/>
      <c r="V4" s="135"/>
      <c r="W4" s="135"/>
      <c r="X4" s="135"/>
      <c r="Y4" s="135"/>
      <c r="Z4" s="135"/>
    </row>
    <row r="5" customFormat="false" ht="12.75" hidden="false" customHeight="false" outlineLevel="0" collapsed="false">
      <c r="A5" s="136" t="s">
        <v>61</v>
      </c>
      <c r="B5" s="131" t="s">
        <v>62</v>
      </c>
      <c r="C5" s="137"/>
      <c r="D5" s="138" t="s">
        <v>73</v>
      </c>
      <c r="E5" s="138" t="s">
        <v>74</v>
      </c>
      <c r="F5" s="138" t="s">
        <v>75</v>
      </c>
      <c r="G5" s="138" t="s">
        <v>76</v>
      </c>
      <c r="H5" s="138" t="s">
        <v>77</v>
      </c>
      <c r="I5" s="138" t="s">
        <v>78</v>
      </c>
      <c r="J5" s="138" t="s">
        <v>79</v>
      </c>
      <c r="K5" s="138" t="s">
        <v>80</v>
      </c>
      <c r="L5" s="138" t="s">
        <v>81</v>
      </c>
      <c r="M5" s="138" t="s">
        <v>82</v>
      </c>
      <c r="N5" s="138" t="s">
        <v>83</v>
      </c>
      <c r="O5" s="139"/>
      <c r="P5" s="138" t="str">
        <f aca="false">D5</f>
        <v>BOL/BRAZ-POWER</v>
      </c>
      <c r="Q5" s="138" t="str">
        <f aca="false">E5</f>
        <v>BOL/BRAZ-LIQUID</v>
      </c>
      <c r="R5" s="138" t="str">
        <f aca="false">F5</f>
        <v>BOL/BRAZ-GAS</v>
      </c>
      <c r="S5" s="138" t="str">
        <f aca="false">G5</f>
        <v>ARG-POWER</v>
      </c>
      <c r="T5" s="138" t="str">
        <f aca="false">H5</f>
        <v>ARG-GAS</v>
      </c>
      <c r="U5" s="138" t="str">
        <f aca="false">I5</f>
        <v>SC-BOL/BRAZ</v>
      </c>
      <c r="V5" s="138" t="str">
        <f aca="false">J5</f>
        <v>SC-ARG</v>
      </c>
      <c r="W5" s="138" t="str">
        <f aca="false">K5</f>
        <v>SC-POWER</v>
      </c>
      <c r="X5" s="138" t="str">
        <f aca="false">L5</f>
        <v>SC-LIQUIDS</v>
      </c>
      <c r="Y5" s="138" t="str">
        <f aca="false">M5</f>
        <v>SC-GAS</v>
      </c>
      <c r="Z5" s="138" t="str">
        <f aca="false">N5</f>
        <v>SOUTHERN-CONE</v>
      </c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1"/>
      <c r="AW5" s="131"/>
      <c r="AX5" s="131"/>
      <c r="AY5" s="131"/>
      <c r="AZ5" s="131"/>
      <c r="BA5" s="131"/>
      <c r="BB5" s="131"/>
      <c r="BC5" s="131"/>
      <c r="BD5" s="131"/>
      <c r="BE5" s="131"/>
      <c r="BF5" s="131"/>
      <c r="BG5" s="131"/>
      <c r="BH5" s="131"/>
      <c r="BI5" s="131"/>
      <c r="BJ5" s="131"/>
      <c r="BK5" s="131"/>
      <c r="BL5" s="131"/>
      <c r="BM5" s="131"/>
      <c r="BN5" s="131"/>
      <c r="BO5" s="131"/>
      <c r="BP5" s="131"/>
      <c r="BQ5" s="131"/>
      <c r="BR5" s="131"/>
      <c r="BS5" s="131"/>
      <c r="BT5" s="131"/>
      <c r="BU5" s="131"/>
      <c r="BV5" s="131"/>
      <c r="BW5" s="131"/>
      <c r="BX5" s="131"/>
      <c r="BY5" s="131"/>
      <c r="BZ5" s="131"/>
      <c r="CA5" s="131"/>
      <c r="CB5" s="131"/>
      <c r="CC5" s="131"/>
      <c r="CD5" s="131"/>
      <c r="CE5" s="131"/>
      <c r="CF5" s="131"/>
      <c r="CG5" s="131"/>
      <c r="CH5" s="131"/>
      <c r="CI5" s="131"/>
      <c r="CJ5" s="131"/>
      <c r="CK5" s="131"/>
      <c r="CL5" s="131"/>
      <c r="CM5" s="131"/>
      <c r="CN5" s="131"/>
      <c r="CO5" s="131"/>
      <c r="CP5" s="131"/>
      <c r="CQ5" s="131"/>
      <c r="CR5" s="131"/>
      <c r="CS5" s="131"/>
      <c r="CT5" s="131"/>
      <c r="CU5" s="131"/>
      <c r="CV5" s="131"/>
      <c r="CW5" s="131"/>
      <c r="CX5" s="131"/>
      <c r="CY5" s="131"/>
      <c r="CZ5" s="131"/>
      <c r="DA5" s="131"/>
      <c r="DB5" s="131"/>
      <c r="DC5" s="131"/>
      <c r="DD5" s="131"/>
      <c r="DE5" s="131"/>
      <c r="DF5" s="131"/>
      <c r="DG5" s="131"/>
      <c r="DH5" s="131"/>
      <c r="DI5" s="131"/>
      <c r="DJ5" s="131"/>
      <c r="DK5" s="131"/>
      <c r="DL5" s="131"/>
      <c r="DM5" s="131"/>
      <c r="DN5" s="131"/>
      <c r="DO5" s="131"/>
      <c r="DP5" s="131"/>
      <c r="DQ5" s="131"/>
      <c r="DR5" s="131"/>
      <c r="DS5" s="131"/>
      <c r="DT5" s="131"/>
      <c r="DU5" s="131"/>
      <c r="DV5" s="131"/>
      <c r="DW5" s="131"/>
      <c r="DX5" s="131"/>
      <c r="DY5" s="131"/>
      <c r="DZ5" s="131"/>
      <c r="EA5" s="131"/>
      <c r="EB5" s="131"/>
      <c r="EC5" s="131"/>
      <c r="ED5" s="131"/>
      <c r="EE5" s="131"/>
      <c r="EF5" s="131"/>
      <c r="EG5" s="131"/>
      <c r="EH5" s="131"/>
      <c r="EI5" s="131"/>
      <c r="EJ5" s="131"/>
      <c r="EK5" s="131"/>
      <c r="EL5" s="131"/>
      <c r="EM5" s="131"/>
      <c r="EN5" s="131"/>
      <c r="EO5" s="131"/>
      <c r="EP5" s="131"/>
      <c r="EQ5" s="131"/>
      <c r="ER5" s="131"/>
      <c r="ES5" s="131"/>
      <c r="ET5" s="131"/>
      <c r="EU5" s="131"/>
      <c r="EV5" s="131"/>
      <c r="EW5" s="131"/>
      <c r="EX5" s="131"/>
      <c r="EY5" s="131"/>
      <c r="EZ5" s="131"/>
      <c r="FA5" s="131"/>
      <c r="FB5" s="131"/>
      <c r="FC5" s="131"/>
      <c r="FD5" s="131"/>
      <c r="FE5" s="131"/>
      <c r="FF5" s="131"/>
      <c r="FG5" s="131"/>
      <c r="FH5" s="131"/>
      <c r="FI5" s="131"/>
      <c r="FJ5" s="131"/>
      <c r="FK5" s="131"/>
      <c r="FL5" s="131"/>
      <c r="FM5" s="131"/>
      <c r="FN5" s="131"/>
      <c r="FO5" s="131"/>
      <c r="FP5" s="131"/>
      <c r="FQ5" s="131"/>
      <c r="FR5" s="131"/>
      <c r="FS5" s="131"/>
      <c r="FT5" s="131"/>
      <c r="FU5" s="131"/>
      <c r="FV5" s="131"/>
      <c r="FW5" s="131"/>
      <c r="FX5" s="131"/>
      <c r="FY5" s="131"/>
      <c r="FZ5" s="131"/>
      <c r="GA5" s="131"/>
      <c r="GB5" s="131"/>
      <c r="GC5" s="131"/>
      <c r="GD5" s="131"/>
      <c r="GE5" s="131"/>
      <c r="GF5" s="131"/>
      <c r="GG5" s="131"/>
      <c r="GH5" s="131"/>
      <c r="GI5" s="131"/>
      <c r="GJ5" s="131"/>
      <c r="GK5" s="131"/>
      <c r="GL5" s="131"/>
      <c r="GM5" s="131"/>
      <c r="GN5" s="131"/>
      <c r="GO5" s="131"/>
      <c r="GP5" s="131"/>
      <c r="GQ5" s="131"/>
      <c r="GR5" s="131"/>
      <c r="GS5" s="131"/>
      <c r="GT5" s="131"/>
      <c r="GU5" s="131"/>
      <c r="GV5" s="131"/>
      <c r="GW5" s="131"/>
      <c r="GX5" s="131"/>
      <c r="GY5" s="131"/>
      <c r="GZ5" s="131"/>
      <c r="HA5" s="131"/>
      <c r="HB5" s="131"/>
      <c r="HC5" s="131"/>
      <c r="HD5" s="131"/>
      <c r="HE5" s="131"/>
      <c r="HF5" s="131"/>
      <c r="HG5" s="131"/>
      <c r="HH5" s="131"/>
      <c r="HI5" s="131"/>
      <c r="HJ5" s="131"/>
      <c r="HK5" s="131"/>
      <c r="HL5" s="131"/>
      <c r="HM5" s="131"/>
      <c r="HN5" s="131"/>
      <c r="HO5" s="131"/>
      <c r="HP5" s="131"/>
      <c r="HQ5" s="131"/>
      <c r="HR5" s="131"/>
      <c r="HS5" s="131"/>
      <c r="HT5" s="131"/>
      <c r="HU5" s="131"/>
      <c r="HV5" s="131"/>
      <c r="HW5" s="131"/>
      <c r="HX5" s="131"/>
      <c r="HY5" s="131"/>
      <c r="HZ5" s="131"/>
      <c r="IA5" s="131"/>
      <c r="IB5" s="131"/>
      <c r="IC5" s="131"/>
      <c r="ID5" s="131"/>
      <c r="IE5" s="131"/>
      <c r="IF5" s="131"/>
      <c r="IG5" s="131"/>
      <c r="IH5" s="131"/>
      <c r="II5" s="131"/>
      <c r="IJ5" s="131"/>
      <c r="IK5" s="131"/>
      <c r="IL5" s="131"/>
      <c r="IM5" s="131"/>
      <c r="IN5" s="131"/>
      <c r="IO5" s="131"/>
      <c r="IP5" s="131"/>
      <c r="IQ5" s="131"/>
      <c r="IR5" s="131"/>
      <c r="IS5" s="131"/>
      <c r="IT5" s="131"/>
      <c r="IU5" s="131"/>
      <c r="IV5" s="131"/>
      <c r="IW5" s="131"/>
    </row>
    <row r="6" customFormat="false" ht="12.75" hidden="true" customHeight="false" outlineLevel="0" collapsed="false">
      <c r="A6" s="120" t="n">
        <v>36892</v>
      </c>
      <c r="B6" s="131" t="str">
        <f aca="false">INDEX('Master Data'!$A$2:$B$8,MATCH(WEEKDAY('RAC V@r Total'!A6,3),'Master Data'!$A$2:$A$8,0),2)</f>
        <v>M</v>
      </c>
      <c r="D6" s="124" t="n">
        <v>0</v>
      </c>
      <c r="E6" s="124" t="n">
        <v>0</v>
      </c>
      <c r="F6" s="124" t="n">
        <v>0</v>
      </c>
      <c r="G6" s="124" t="n">
        <v>0</v>
      </c>
      <c r="H6" s="124" t="n">
        <v>0</v>
      </c>
      <c r="I6" s="124" t="n">
        <v>0</v>
      </c>
      <c r="J6" s="124" t="n">
        <v>0</v>
      </c>
      <c r="K6" s="124" t="n">
        <v>0</v>
      </c>
      <c r="L6" s="124" t="n">
        <v>0</v>
      </c>
      <c r="M6" s="124" t="n">
        <v>0</v>
      </c>
      <c r="N6" s="124" t="n">
        <v>0</v>
      </c>
      <c r="P6" s="124" t="n">
        <f aca="false">ABS(D6)/$P$3</f>
        <v>0</v>
      </c>
      <c r="Q6" s="124" t="n">
        <f aca="false">ABS(E6)/$P$3</f>
        <v>0</v>
      </c>
      <c r="R6" s="124" t="n">
        <f aca="false">ABS(F6)/$P$3</f>
        <v>0</v>
      </c>
      <c r="S6" s="124" t="n">
        <f aca="false">ABS(G6)/$P$3</f>
        <v>0</v>
      </c>
      <c r="T6" s="124" t="n">
        <f aca="false">ABS(H6)/$P$3</f>
        <v>0</v>
      </c>
      <c r="U6" s="124" t="n">
        <f aca="false">ABS(I6)/$P$3</f>
        <v>0</v>
      </c>
      <c r="V6" s="124" t="n">
        <f aca="false">ABS(J6)/$P$3</f>
        <v>0</v>
      </c>
      <c r="W6" s="124" t="n">
        <f aca="false">ABS(K6)/$P$3</f>
        <v>0</v>
      </c>
      <c r="X6" s="124" t="n">
        <f aca="false">ABS(L6)/$P$3</f>
        <v>0</v>
      </c>
      <c r="Y6" s="124" t="n">
        <f aca="false">ABS(M6)/$P$3</f>
        <v>0</v>
      </c>
      <c r="Z6" s="124" t="n">
        <f aca="false">ABS(N6)/$P$3</f>
        <v>0</v>
      </c>
    </row>
    <row r="7" customFormat="false" ht="12.75" hidden="true" customHeight="false" outlineLevel="0" collapsed="false">
      <c r="A7" s="120" t="n">
        <f aca="false">A6+1</f>
        <v>36893</v>
      </c>
      <c r="B7" s="131" t="str">
        <f aca="false">INDEX('Master Data'!$A$2:$B$8,MATCH(WEEKDAY('RAC V@r Total'!A7,3),'Master Data'!$A$2:$A$8,0),2)</f>
        <v>T</v>
      </c>
      <c r="D7" s="124" t="n">
        <v>-323476</v>
      </c>
      <c r="E7" s="124" t="n">
        <v>0</v>
      </c>
      <c r="F7" s="124" t="n">
        <v>-430353</v>
      </c>
      <c r="G7" s="124" t="n">
        <v>-37667</v>
      </c>
      <c r="H7" s="124" t="n">
        <v>-46674</v>
      </c>
      <c r="I7" s="124" t="n">
        <v>-543452</v>
      </c>
      <c r="J7" s="124" t="n">
        <v>-59884</v>
      </c>
      <c r="K7" s="124" t="n">
        <v>-287735</v>
      </c>
      <c r="L7" s="124" t="n">
        <v>0</v>
      </c>
      <c r="M7" s="124" t="n">
        <v>-459072</v>
      </c>
      <c r="N7" s="124" t="n">
        <v>-489251</v>
      </c>
      <c r="P7" s="124" t="n">
        <f aca="false">ABS(D7)/$P$3</f>
        <v>323.476</v>
      </c>
      <c r="Q7" s="124" t="n">
        <f aca="false">ABS(E7)/$P$3</f>
        <v>0</v>
      </c>
      <c r="R7" s="124" t="n">
        <f aca="false">ABS(F7)/$P$3</f>
        <v>430.353</v>
      </c>
      <c r="S7" s="124" t="n">
        <f aca="false">ABS(G7)/$P$3</f>
        <v>37.667</v>
      </c>
      <c r="T7" s="124" t="n">
        <f aca="false">ABS(H7)/$P$3</f>
        <v>46.674</v>
      </c>
      <c r="U7" s="124" t="n">
        <f aca="false">ABS(I7)/$P$3</f>
        <v>543.452</v>
      </c>
      <c r="V7" s="124" t="n">
        <f aca="false">ABS(J7)/$P$3</f>
        <v>59.884</v>
      </c>
      <c r="W7" s="124" t="n">
        <f aca="false">ABS(K7)/$P$3</f>
        <v>287.735</v>
      </c>
      <c r="X7" s="124" t="n">
        <f aca="false">ABS(L7)/$P$3</f>
        <v>0</v>
      </c>
      <c r="Y7" s="124" t="n">
        <f aca="false">ABS(M7)/$P$3</f>
        <v>459.072</v>
      </c>
      <c r="Z7" s="124" t="n">
        <f aca="false">ABS(N7)/$P$3</f>
        <v>489.251</v>
      </c>
    </row>
    <row r="8" customFormat="false" ht="12.75" hidden="true" customHeight="false" outlineLevel="0" collapsed="false">
      <c r="A8" s="120" t="n">
        <f aca="false">A7+1</f>
        <v>36894</v>
      </c>
      <c r="B8" s="131" t="str">
        <f aca="false">INDEX('Master Data'!$A$2:$B$8,MATCH(WEEKDAY('RAC V@r Total'!A8,3),'Master Data'!$A$2:$A$8,0),2)</f>
        <v>W</v>
      </c>
      <c r="D8" s="124" t="n">
        <v>-320410</v>
      </c>
      <c r="E8" s="124" t="n">
        <v>0</v>
      </c>
      <c r="F8" s="124" t="n">
        <v>-421365</v>
      </c>
      <c r="G8" s="124" t="n">
        <v>-36733</v>
      </c>
      <c r="H8" s="124" t="n">
        <v>-46312</v>
      </c>
      <c r="I8" s="124" t="n">
        <v>-535606</v>
      </c>
      <c r="J8" s="124" t="n">
        <v>-59093</v>
      </c>
      <c r="K8" s="124" t="n">
        <v>-285774</v>
      </c>
      <c r="L8" s="124" t="n">
        <v>0</v>
      </c>
      <c r="M8" s="124" t="n">
        <v>-463325</v>
      </c>
      <c r="N8" s="124" t="n">
        <v>-478698</v>
      </c>
      <c r="P8" s="124" t="n">
        <f aca="false">ABS(D8)/$P$3</f>
        <v>320.41</v>
      </c>
      <c r="Q8" s="124" t="n">
        <f aca="false">ABS(E8)/$P$3</f>
        <v>0</v>
      </c>
      <c r="R8" s="124" t="n">
        <f aca="false">ABS(F8)/$P$3</f>
        <v>421.365</v>
      </c>
      <c r="S8" s="124" t="n">
        <f aca="false">ABS(G8)/$P$3</f>
        <v>36.733</v>
      </c>
      <c r="T8" s="124" t="n">
        <f aca="false">ABS(H8)/$P$3</f>
        <v>46.312</v>
      </c>
      <c r="U8" s="124" t="n">
        <f aca="false">ABS(I8)/$P$3</f>
        <v>535.606</v>
      </c>
      <c r="V8" s="124" t="n">
        <f aca="false">ABS(J8)/$P$3</f>
        <v>59.093</v>
      </c>
      <c r="W8" s="124" t="n">
        <f aca="false">ABS(K8)/$P$3</f>
        <v>285.774</v>
      </c>
      <c r="X8" s="124" t="n">
        <f aca="false">ABS(L8)/$P$3</f>
        <v>0</v>
      </c>
      <c r="Y8" s="124" t="n">
        <f aca="false">ABS(M8)/$P$3</f>
        <v>463.325</v>
      </c>
      <c r="Z8" s="124" t="n">
        <f aca="false">ABS(N8)/$P$3</f>
        <v>478.698</v>
      </c>
    </row>
    <row r="9" customFormat="false" ht="12.75" hidden="true" customHeight="false" outlineLevel="0" collapsed="false">
      <c r="A9" s="120" t="n">
        <f aca="false">A8+1</f>
        <v>36895</v>
      </c>
      <c r="B9" s="131" t="str">
        <f aca="false">INDEX('Master Data'!$A$2:$B$8,MATCH(WEEKDAY('RAC V@r Total'!A9,3),'Master Data'!$A$2:$A$8,0),2)</f>
        <v>Th</v>
      </c>
      <c r="D9" s="124" t="n">
        <v>-334126</v>
      </c>
      <c r="E9" s="124" t="n">
        <v>0</v>
      </c>
      <c r="F9" s="124" t="n">
        <v>-425760</v>
      </c>
      <c r="G9" s="124" t="n">
        <v>-35780</v>
      </c>
      <c r="H9" s="124" t="n">
        <v>-46659</v>
      </c>
      <c r="I9" s="124" t="n">
        <v>-544273</v>
      </c>
      <c r="J9" s="124" t="n">
        <v>-59225</v>
      </c>
      <c r="K9" s="124" t="n">
        <v>-302333</v>
      </c>
      <c r="L9" s="124" t="n">
        <v>0</v>
      </c>
      <c r="M9" s="124" t="n">
        <v>-464870</v>
      </c>
      <c r="N9" s="124" t="n">
        <v>-489360</v>
      </c>
      <c r="P9" s="124" t="n">
        <f aca="false">ABS(D9)/$P$3</f>
        <v>334.126</v>
      </c>
      <c r="Q9" s="124" t="n">
        <f aca="false">ABS(E9)/$P$3</f>
        <v>0</v>
      </c>
      <c r="R9" s="124" t="n">
        <f aca="false">ABS(F9)/$P$3</f>
        <v>425.76</v>
      </c>
      <c r="S9" s="124" t="n">
        <f aca="false">ABS(G9)/$P$3</f>
        <v>35.78</v>
      </c>
      <c r="T9" s="124" t="n">
        <f aca="false">ABS(H9)/$P$3</f>
        <v>46.659</v>
      </c>
      <c r="U9" s="124" t="n">
        <f aca="false">ABS(I9)/$P$3</f>
        <v>544.273</v>
      </c>
      <c r="V9" s="124" t="n">
        <f aca="false">ABS(J9)/$P$3</f>
        <v>59.225</v>
      </c>
      <c r="W9" s="124" t="n">
        <f aca="false">ABS(K9)/$P$3</f>
        <v>302.333</v>
      </c>
      <c r="X9" s="124" t="n">
        <f aca="false">ABS(L9)/$P$3</f>
        <v>0</v>
      </c>
      <c r="Y9" s="124" t="n">
        <f aca="false">ABS(M9)/$P$3</f>
        <v>464.87</v>
      </c>
      <c r="Z9" s="124" t="n">
        <f aca="false">ABS(N9)/$P$3</f>
        <v>489.36</v>
      </c>
    </row>
    <row r="10" customFormat="false" ht="12.75" hidden="true" customHeight="false" outlineLevel="0" collapsed="false">
      <c r="A10" s="120" t="n">
        <f aca="false">A9+1</f>
        <v>36896</v>
      </c>
      <c r="B10" s="131" t="str">
        <f aca="false">INDEX('Master Data'!$A$2:$B$8,MATCH(WEEKDAY('RAC V@r Total'!A10,3),'Master Data'!$A$2:$A$8,0),2)</f>
        <v>F</v>
      </c>
      <c r="D10" s="124" t="n">
        <v>-338521</v>
      </c>
      <c r="E10" s="124" t="n">
        <v>0</v>
      </c>
      <c r="F10" s="124" t="n">
        <v>-409408</v>
      </c>
      <c r="G10" s="124" t="n">
        <v>-34859</v>
      </c>
      <c r="H10" s="124" t="n">
        <v>-46995</v>
      </c>
      <c r="I10" s="124" t="n">
        <v>-527440</v>
      </c>
      <c r="J10" s="124" t="n">
        <v>-59109</v>
      </c>
      <c r="K10" s="124" t="n">
        <v>-306691</v>
      </c>
      <c r="L10" s="124" t="n">
        <v>0</v>
      </c>
      <c r="M10" s="124" t="n">
        <v>-441326</v>
      </c>
      <c r="N10" s="124" t="n">
        <v>-483914</v>
      </c>
      <c r="P10" s="124" t="n">
        <f aca="false">ABS(D10)/$P$3</f>
        <v>338.521</v>
      </c>
      <c r="Q10" s="124" t="n">
        <f aca="false">ABS(E10)/$P$3</f>
        <v>0</v>
      </c>
      <c r="R10" s="124" t="n">
        <f aca="false">ABS(F10)/$P$3</f>
        <v>409.408</v>
      </c>
      <c r="S10" s="124" t="n">
        <f aca="false">ABS(G10)/$P$3</f>
        <v>34.859</v>
      </c>
      <c r="T10" s="124" t="n">
        <f aca="false">ABS(H10)/$P$3</f>
        <v>46.995</v>
      </c>
      <c r="U10" s="124" t="n">
        <f aca="false">ABS(I10)/$P$3</f>
        <v>527.44</v>
      </c>
      <c r="V10" s="124" t="n">
        <f aca="false">ABS(J10)/$P$3</f>
        <v>59.109</v>
      </c>
      <c r="W10" s="124" t="n">
        <f aca="false">ABS(K10)/$P$3</f>
        <v>306.691</v>
      </c>
      <c r="X10" s="124" t="n">
        <f aca="false">ABS(L10)/$P$3</f>
        <v>0</v>
      </c>
      <c r="Y10" s="124" t="n">
        <f aca="false">ABS(M10)/$P$3</f>
        <v>441.326</v>
      </c>
      <c r="Z10" s="124" t="n">
        <f aca="false">ABS(N10)/$P$3</f>
        <v>483.914</v>
      </c>
    </row>
    <row r="11" customFormat="false" ht="12.75" hidden="true" customHeight="false" outlineLevel="0" collapsed="false">
      <c r="A11" s="120" t="n">
        <f aca="false">A10+1</f>
        <v>36897</v>
      </c>
      <c r="B11" s="131" t="str">
        <f aca="false">INDEX('Master Data'!$A$2:$B$8,MATCH(WEEKDAY('RAC V@r Total'!A11,3),'Master Data'!$A$2:$A$8,0),2)</f>
        <v>Sa</v>
      </c>
      <c r="D11" s="124" t="n">
        <v>0</v>
      </c>
      <c r="E11" s="124" t="n">
        <v>0</v>
      </c>
      <c r="F11" s="124" t="n">
        <v>0</v>
      </c>
      <c r="G11" s="124" t="n">
        <v>0</v>
      </c>
      <c r="H11" s="124" t="n">
        <v>0</v>
      </c>
      <c r="I11" s="124" t="n">
        <v>0</v>
      </c>
      <c r="J11" s="124" t="n">
        <v>0</v>
      </c>
      <c r="K11" s="124" t="n">
        <v>0</v>
      </c>
      <c r="L11" s="124" t="n">
        <v>0</v>
      </c>
      <c r="M11" s="124" t="n">
        <v>0</v>
      </c>
      <c r="N11" s="124" t="n">
        <v>0</v>
      </c>
      <c r="P11" s="124" t="n">
        <f aca="false">ABS(D11)/$P$3</f>
        <v>0</v>
      </c>
      <c r="Q11" s="124" t="n">
        <f aca="false">ABS(E11)/$P$3</f>
        <v>0</v>
      </c>
      <c r="R11" s="124" t="n">
        <f aca="false">ABS(F11)/$P$3</f>
        <v>0</v>
      </c>
      <c r="S11" s="124" t="n">
        <f aca="false">ABS(G11)/$P$3</f>
        <v>0</v>
      </c>
      <c r="T11" s="124" t="n">
        <f aca="false">ABS(H11)/$P$3</f>
        <v>0</v>
      </c>
      <c r="U11" s="124" t="n">
        <f aca="false">ABS(I11)/$P$3</f>
        <v>0</v>
      </c>
      <c r="V11" s="124" t="n">
        <f aca="false">ABS(J11)/$P$3</f>
        <v>0</v>
      </c>
      <c r="W11" s="124" t="n">
        <f aca="false">ABS(K11)/$P$3</f>
        <v>0</v>
      </c>
      <c r="X11" s="124" t="n">
        <f aca="false">ABS(L11)/$P$3</f>
        <v>0</v>
      </c>
      <c r="Y11" s="124" t="n">
        <f aca="false">ABS(M11)/$P$3</f>
        <v>0</v>
      </c>
      <c r="Z11" s="124" t="n">
        <f aca="false">ABS(N11)/$P$3</f>
        <v>0</v>
      </c>
    </row>
    <row r="12" customFormat="false" ht="12.75" hidden="true" customHeight="false" outlineLevel="0" collapsed="false">
      <c r="A12" s="120" t="n">
        <f aca="false">A11+1</f>
        <v>36898</v>
      </c>
      <c r="B12" s="131" t="str">
        <f aca="false">INDEX('Master Data'!$A$2:$B$8,MATCH(WEEKDAY('RAC V@r Total'!A12,3),'Master Data'!$A$2:$A$8,0),2)</f>
        <v>Su</v>
      </c>
      <c r="D12" s="124" t="n">
        <v>0</v>
      </c>
      <c r="E12" s="124" t="n">
        <v>0</v>
      </c>
      <c r="F12" s="124" t="n">
        <v>0</v>
      </c>
      <c r="G12" s="124" t="n">
        <v>0</v>
      </c>
      <c r="H12" s="124" t="n">
        <v>0</v>
      </c>
      <c r="I12" s="124" t="n">
        <v>0</v>
      </c>
      <c r="J12" s="124" t="n">
        <v>0</v>
      </c>
      <c r="K12" s="124" t="n">
        <v>0</v>
      </c>
      <c r="L12" s="124" t="n">
        <v>0</v>
      </c>
      <c r="M12" s="124" t="n">
        <v>0</v>
      </c>
      <c r="N12" s="124" t="n">
        <v>0</v>
      </c>
      <c r="P12" s="124" t="n">
        <f aca="false">ABS(D12)/$P$3</f>
        <v>0</v>
      </c>
      <c r="Q12" s="124" t="n">
        <f aca="false">ABS(E12)/$P$3</f>
        <v>0</v>
      </c>
      <c r="R12" s="124" t="n">
        <f aca="false">ABS(F12)/$P$3</f>
        <v>0</v>
      </c>
      <c r="S12" s="124" t="n">
        <f aca="false">ABS(G12)/$P$3</f>
        <v>0</v>
      </c>
      <c r="T12" s="124" t="n">
        <f aca="false">ABS(H12)/$P$3</f>
        <v>0</v>
      </c>
      <c r="U12" s="124" t="n">
        <f aca="false">ABS(I12)/$P$3</f>
        <v>0</v>
      </c>
      <c r="V12" s="124" t="n">
        <f aca="false">ABS(J12)/$P$3</f>
        <v>0</v>
      </c>
      <c r="W12" s="124" t="n">
        <f aca="false">ABS(K12)/$P$3</f>
        <v>0</v>
      </c>
      <c r="X12" s="124" t="n">
        <f aca="false">ABS(L12)/$P$3</f>
        <v>0</v>
      </c>
      <c r="Y12" s="124" t="n">
        <f aca="false">ABS(M12)/$P$3</f>
        <v>0</v>
      </c>
      <c r="Z12" s="124" t="n">
        <f aca="false">ABS(N12)/$P$3</f>
        <v>0</v>
      </c>
    </row>
    <row r="13" customFormat="false" ht="12.75" hidden="true" customHeight="false" outlineLevel="0" collapsed="false">
      <c r="A13" s="120" t="n">
        <f aca="false">A12+1</f>
        <v>36899</v>
      </c>
      <c r="B13" s="131" t="str">
        <f aca="false">INDEX('Master Data'!$A$2:$B$8,MATCH(WEEKDAY('RAC V@r Total'!A13,3),'Master Data'!$A$2:$A$8,0),2)</f>
        <v>M</v>
      </c>
      <c r="D13" s="124" t="n">
        <v>-339036</v>
      </c>
      <c r="E13" s="124" t="n">
        <v>0</v>
      </c>
      <c r="F13" s="124" t="n">
        <v>-412812</v>
      </c>
      <c r="G13" s="124" t="n">
        <v>-32286</v>
      </c>
      <c r="H13" s="124" t="n">
        <v>-47199</v>
      </c>
      <c r="I13" s="124" t="n">
        <v>-532321</v>
      </c>
      <c r="J13" s="124" t="n">
        <v>-57944</v>
      </c>
      <c r="K13" s="124" t="n">
        <v>-310071</v>
      </c>
      <c r="L13" s="124" t="n">
        <v>0</v>
      </c>
      <c r="M13" s="124" t="n">
        <v>-427667</v>
      </c>
      <c r="N13" s="124" t="n">
        <v>-486109</v>
      </c>
      <c r="P13" s="124" t="n">
        <f aca="false">ABS(D13)/$P$3</f>
        <v>339.036</v>
      </c>
      <c r="Q13" s="124" t="n">
        <f aca="false">ABS(E13)/$P$3</f>
        <v>0</v>
      </c>
      <c r="R13" s="124" t="n">
        <f aca="false">ABS(F13)/$P$3</f>
        <v>412.812</v>
      </c>
      <c r="S13" s="124" t="n">
        <f aca="false">ABS(G13)/$P$3</f>
        <v>32.286</v>
      </c>
      <c r="T13" s="124" t="n">
        <f aca="false">ABS(H13)/$P$3</f>
        <v>47.199</v>
      </c>
      <c r="U13" s="124" t="n">
        <f aca="false">ABS(I13)/$P$3</f>
        <v>532.321</v>
      </c>
      <c r="V13" s="124" t="n">
        <f aca="false">ABS(J13)/$P$3</f>
        <v>57.944</v>
      </c>
      <c r="W13" s="124" t="n">
        <f aca="false">ABS(K13)/$P$3</f>
        <v>310.071</v>
      </c>
      <c r="X13" s="124" t="n">
        <f aca="false">ABS(L13)/$P$3</f>
        <v>0</v>
      </c>
      <c r="Y13" s="124" t="n">
        <f aca="false">ABS(M13)/$P$3</f>
        <v>427.667</v>
      </c>
      <c r="Z13" s="124" t="n">
        <f aca="false">ABS(N13)/$P$3</f>
        <v>486.109</v>
      </c>
    </row>
    <row r="14" customFormat="false" ht="12.75" hidden="true" customHeight="false" outlineLevel="0" collapsed="false">
      <c r="A14" s="120" t="n">
        <f aca="false">A13+1</f>
        <v>36900</v>
      </c>
      <c r="B14" s="131" t="str">
        <f aca="false">INDEX('Master Data'!$A$2:$B$8,MATCH(WEEKDAY('RAC V@r Total'!A14,3),'Master Data'!$A$2:$A$8,0),2)</f>
        <v>T</v>
      </c>
      <c r="D14" s="124" t="n">
        <v>-337230</v>
      </c>
      <c r="E14" s="124" t="n">
        <v>0</v>
      </c>
      <c r="F14" s="124" t="n">
        <v>-410593</v>
      </c>
      <c r="G14" s="124" t="n">
        <v>-31433</v>
      </c>
      <c r="H14" s="124" t="n">
        <v>-47044</v>
      </c>
      <c r="I14" s="124" t="n">
        <v>-529419</v>
      </c>
      <c r="J14" s="124" t="n">
        <v>-57386</v>
      </c>
      <c r="K14" s="124" t="n">
        <v>-308559</v>
      </c>
      <c r="L14" s="124" t="n">
        <v>0</v>
      </c>
      <c r="M14" s="124" t="n">
        <v>-437662</v>
      </c>
      <c r="N14" s="124" t="n">
        <v>-483640</v>
      </c>
      <c r="P14" s="124" t="n">
        <f aca="false">ABS(D14)/$P$3</f>
        <v>337.23</v>
      </c>
      <c r="Q14" s="124" t="n">
        <f aca="false">ABS(E14)/$P$3</f>
        <v>0</v>
      </c>
      <c r="R14" s="124" t="n">
        <f aca="false">ABS(F14)/$P$3</f>
        <v>410.593</v>
      </c>
      <c r="S14" s="124" t="n">
        <f aca="false">ABS(G14)/$P$3</f>
        <v>31.433</v>
      </c>
      <c r="T14" s="124" t="n">
        <f aca="false">ABS(H14)/$P$3</f>
        <v>47.044</v>
      </c>
      <c r="U14" s="124" t="n">
        <f aca="false">ABS(I14)/$P$3</f>
        <v>529.419</v>
      </c>
      <c r="V14" s="124" t="n">
        <f aca="false">ABS(J14)/$P$3</f>
        <v>57.386</v>
      </c>
      <c r="W14" s="124" t="n">
        <f aca="false">ABS(K14)/$P$3</f>
        <v>308.559</v>
      </c>
      <c r="X14" s="124" t="n">
        <f aca="false">ABS(L14)/$P$3</f>
        <v>0</v>
      </c>
      <c r="Y14" s="124" t="n">
        <f aca="false">ABS(M14)/$P$3</f>
        <v>437.662</v>
      </c>
      <c r="Z14" s="124" t="n">
        <f aca="false">ABS(N14)/$P$3</f>
        <v>483.64</v>
      </c>
    </row>
    <row r="15" customFormat="false" ht="12.75" hidden="true" customHeight="false" outlineLevel="0" collapsed="false">
      <c r="A15" s="120" t="n">
        <f aca="false">A14+1</f>
        <v>36901</v>
      </c>
      <c r="B15" s="131" t="str">
        <f aca="false">INDEX('Master Data'!$A$2:$B$8,MATCH(WEEKDAY('RAC V@r Total'!A15,3),'Master Data'!$A$2:$A$8,0),2)</f>
        <v>W</v>
      </c>
      <c r="D15" s="124" t="n">
        <v>-337401</v>
      </c>
      <c r="E15" s="124" t="n">
        <v>0</v>
      </c>
      <c r="F15" s="124" t="n">
        <v>-406675</v>
      </c>
      <c r="G15" s="124" t="n">
        <v>-30580</v>
      </c>
      <c r="H15" s="124" t="n">
        <v>-46727</v>
      </c>
      <c r="I15" s="124" t="n">
        <v>-524580</v>
      </c>
      <c r="J15" s="124" t="n">
        <v>-56662</v>
      </c>
      <c r="K15" s="124" t="n">
        <v>-308919</v>
      </c>
      <c r="L15" s="124" t="n">
        <v>0</v>
      </c>
      <c r="M15" s="124" t="n">
        <v>-457372</v>
      </c>
      <c r="N15" s="124" t="n">
        <v>-482910</v>
      </c>
      <c r="P15" s="124" t="n">
        <f aca="false">ABS(D15)/$P$3</f>
        <v>337.401</v>
      </c>
      <c r="Q15" s="124" t="n">
        <f aca="false">ABS(E15)/$P$3</f>
        <v>0</v>
      </c>
      <c r="R15" s="124" t="n">
        <f aca="false">ABS(F15)/$P$3</f>
        <v>406.675</v>
      </c>
      <c r="S15" s="124" t="n">
        <f aca="false">ABS(G15)/$P$3</f>
        <v>30.58</v>
      </c>
      <c r="T15" s="124" t="n">
        <f aca="false">ABS(H15)/$P$3</f>
        <v>46.727</v>
      </c>
      <c r="U15" s="124" t="n">
        <f aca="false">ABS(I15)/$P$3</f>
        <v>524.58</v>
      </c>
      <c r="V15" s="124" t="n">
        <f aca="false">ABS(J15)/$P$3</f>
        <v>56.662</v>
      </c>
      <c r="W15" s="124" t="n">
        <f aca="false">ABS(K15)/$P$3</f>
        <v>308.919</v>
      </c>
      <c r="X15" s="124" t="n">
        <f aca="false">ABS(L15)/$P$3</f>
        <v>0</v>
      </c>
      <c r="Y15" s="124" t="n">
        <f aca="false">ABS(M15)/$P$3</f>
        <v>457.372</v>
      </c>
      <c r="Z15" s="124" t="n">
        <f aca="false">ABS(N15)/$P$3</f>
        <v>482.91</v>
      </c>
    </row>
    <row r="16" customFormat="false" ht="12.75" hidden="true" customHeight="false" outlineLevel="0" collapsed="false">
      <c r="A16" s="120" t="n">
        <f aca="false">A15+1</f>
        <v>36902</v>
      </c>
      <c r="B16" s="131" t="str">
        <f aca="false">INDEX('Master Data'!$A$2:$B$8,MATCH(WEEKDAY('RAC V@r Total'!A16,3),'Master Data'!$A$2:$A$8,0),2)</f>
        <v>Th</v>
      </c>
      <c r="D16" s="124" t="n">
        <v>-339570</v>
      </c>
      <c r="E16" s="124" t="n">
        <v>0</v>
      </c>
      <c r="F16" s="124" t="n">
        <v>-403977</v>
      </c>
      <c r="G16" s="124" t="n">
        <v>-29727</v>
      </c>
      <c r="H16" s="124" t="n">
        <v>-46500</v>
      </c>
      <c r="I16" s="124" t="n">
        <v>-523827</v>
      </c>
      <c r="J16" s="124" t="n">
        <v>-56154</v>
      </c>
      <c r="K16" s="124" t="n">
        <v>-312032</v>
      </c>
      <c r="L16" s="124" t="n">
        <v>0</v>
      </c>
      <c r="M16" s="124" t="n">
        <v>-453367</v>
      </c>
      <c r="N16" s="124" t="n">
        <v>-479905</v>
      </c>
      <c r="P16" s="124" t="n">
        <f aca="false">ABS(D16)/$P$3</f>
        <v>339.57</v>
      </c>
      <c r="Q16" s="124" t="n">
        <f aca="false">ABS(E16)/$P$3</f>
        <v>0</v>
      </c>
      <c r="R16" s="124" t="n">
        <f aca="false">ABS(F16)/$P$3</f>
        <v>403.977</v>
      </c>
      <c r="S16" s="124" t="n">
        <f aca="false">ABS(G16)/$P$3</f>
        <v>29.727</v>
      </c>
      <c r="T16" s="124" t="n">
        <f aca="false">ABS(H16)/$P$3</f>
        <v>46.5</v>
      </c>
      <c r="U16" s="124" t="n">
        <f aca="false">ABS(I16)/$P$3</f>
        <v>523.827</v>
      </c>
      <c r="V16" s="124" t="n">
        <f aca="false">ABS(J16)/$P$3</f>
        <v>56.154</v>
      </c>
      <c r="W16" s="124" t="n">
        <f aca="false">ABS(K16)/$P$3</f>
        <v>312.032</v>
      </c>
      <c r="X16" s="124" t="n">
        <f aca="false">ABS(L16)/$P$3</f>
        <v>0</v>
      </c>
      <c r="Y16" s="124" t="n">
        <f aca="false">ABS(M16)/$P$3</f>
        <v>453.367</v>
      </c>
      <c r="Z16" s="124" t="n">
        <f aca="false">ABS(N16)/$P$3</f>
        <v>479.905</v>
      </c>
    </row>
    <row r="17" customFormat="false" ht="12.75" hidden="true" customHeight="false" outlineLevel="0" collapsed="false">
      <c r="A17" s="120" t="n">
        <f aca="false">A16+1</f>
        <v>36903</v>
      </c>
      <c r="B17" s="131" t="str">
        <f aca="false">INDEX('Master Data'!$A$2:$B$8,MATCH(WEEKDAY('RAC V@r Total'!A17,3),'Master Data'!$A$2:$A$8,0),2)</f>
        <v>F</v>
      </c>
      <c r="D17" s="124" t="n">
        <v>-330933</v>
      </c>
      <c r="E17" s="124" t="n">
        <v>0</v>
      </c>
      <c r="F17" s="124" t="n">
        <v>-395095</v>
      </c>
      <c r="G17" s="124" t="n">
        <v>-29424</v>
      </c>
      <c r="H17" s="124" t="n">
        <v>-47150</v>
      </c>
      <c r="I17" s="124" t="n">
        <v>-544259</v>
      </c>
      <c r="J17" s="124" t="n">
        <v>-52418</v>
      </c>
      <c r="K17" s="124" t="n">
        <v>-312167</v>
      </c>
      <c r="L17" s="124" t="n">
        <v>0</v>
      </c>
      <c r="M17" s="124" t="n">
        <v>-408622</v>
      </c>
      <c r="N17" s="124" t="n">
        <v>-497122</v>
      </c>
      <c r="P17" s="124" t="n">
        <f aca="false">ABS(D17)/$P$3</f>
        <v>330.933</v>
      </c>
      <c r="Q17" s="124" t="n">
        <f aca="false">ABS(E17)/$P$3</f>
        <v>0</v>
      </c>
      <c r="R17" s="124" t="n">
        <f aca="false">ABS(F17)/$P$3</f>
        <v>395.095</v>
      </c>
      <c r="S17" s="124" t="n">
        <f aca="false">ABS(G17)/$P$3</f>
        <v>29.424</v>
      </c>
      <c r="T17" s="124" t="n">
        <f aca="false">ABS(H17)/$P$3</f>
        <v>47.15</v>
      </c>
      <c r="U17" s="124" t="n">
        <f aca="false">ABS(I17)/$P$3</f>
        <v>544.259</v>
      </c>
      <c r="V17" s="124" t="n">
        <f aca="false">ABS(J17)/$P$3</f>
        <v>52.418</v>
      </c>
      <c r="W17" s="124" t="n">
        <f aca="false">ABS(K17)/$P$3</f>
        <v>312.167</v>
      </c>
      <c r="X17" s="124" t="n">
        <f aca="false">ABS(L17)/$P$3</f>
        <v>0</v>
      </c>
      <c r="Y17" s="124" t="n">
        <f aca="false">ABS(M17)/$P$3</f>
        <v>408.622</v>
      </c>
      <c r="Z17" s="124" t="n">
        <f aca="false">ABS(N17)/$P$3</f>
        <v>497.122</v>
      </c>
    </row>
    <row r="18" customFormat="false" ht="12.75" hidden="true" customHeight="false" outlineLevel="0" collapsed="false">
      <c r="A18" s="120" t="n">
        <f aca="false">A17+1</f>
        <v>36904</v>
      </c>
      <c r="B18" s="131" t="str">
        <f aca="false">INDEX('Master Data'!$A$2:$B$8,MATCH(WEEKDAY('RAC V@r Total'!A18,3),'Master Data'!$A$2:$A$8,0),2)</f>
        <v>Sa</v>
      </c>
      <c r="D18" s="124" t="n">
        <v>0</v>
      </c>
      <c r="E18" s="124" t="n">
        <v>0</v>
      </c>
      <c r="F18" s="124" t="n">
        <v>0</v>
      </c>
      <c r="G18" s="124" t="n">
        <v>0</v>
      </c>
      <c r="H18" s="124" t="n">
        <v>0</v>
      </c>
      <c r="I18" s="124" t="n">
        <v>0</v>
      </c>
      <c r="J18" s="124" t="n">
        <v>0</v>
      </c>
      <c r="K18" s="124" t="n">
        <v>0</v>
      </c>
      <c r="L18" s="124" t="n">
        <v>0</v>
      </c>
      <c r="M18" s="124" t="n">
        <v>0</v>
      </c>
      <c r="N18" s="124" t="n">
        <v>0</v>
      </c>
      <c r="P18" s="124" t="n">
        <f aca="false">ABS(D18)/$P$3</f>
        <v>0</v>
      </c>
      <c r="Q18" s="124" t="n">
        <f aca="false">ABS(E18)/$P$3</f>
        <v>0</v>
      </c>
      <c r="R18" s="124" t="n">
        <f aca="false">ABS(F18)/$P$3</f>
        <v>0</v>
      </c>
      <c r="S18" s="124" t="n">
        <f aca="false">ABS(G18)/$P$3</f>
        <v>0</v>
      </c>
      <c r="T18" s="124" t="n">
        <f aca="false">ABS(H18)/$P$3</f>
        <v>0</v>
      </c>
      <c r="U18" s="124" t="n">
        <f aca="false">ABS(I18)/$P$3</f>
        <v>0</v>
      </c>
      <c r="V18" s="124" t="n">
        <f aca="false">ABS(J18)/$P$3</f>
        <v>0</v>
      </c>
      <c r="W18" s="124" t="n">
        <f aca="false">ABS(K18)/$P$3</f>
        <v>0</v>
      </c>
      <c r="X18" s="124" t="n">
        <f aca="false">ABS(L18)/$P$3</f>
        <v>0</v>
      </c>
      <c r="Y18" s="124" t="n">
        <f aca="false">ABS(M18)/$P$3</f>
        <v>0</v>
      </c>
      <c r="Z18" s="124" t="n">
        <f aca="false">ABS(N18)/$P$3</f>
        <v>0</v>
      </c>
    </row>
    <row r="19" customFormat="false" ht="12.75" hidden="true" customHeight="false" outlineLevel="0" collapsed="false">
      <c r="A19" s="120" t="n">
        <f aca="false">A18+1</f>
        <v>36905</v>
      </c>
      <c r="B19" s="131" t="str">
        <f aca="false">INDEX('Master Data'!$A$2:$B$8,MATCH(WEEKDAY('RAC V@r Total'!A19,3),'Master Data'!$A$2:$A$8,0),2)</f>
        <v>Su</v>
      </c>
      <c r="D19" s="124" t="n">
        <v>0</v>
      </c>
      <c r="E19" s="124" t="n">
        <v>0</v>
      </c>
      <c r="F19" s="124" t="n">
        <v>0</v>
      </c>
      <c r="G19" s="124" t="n">
        <v>0</v>
      </c>
      <c r="H19" s="124" t="n">
        <v>0</v>
      </c>
      <c r="I19" s="124" t="n">
        <v>0</v>
      </c>
      <c r="J19" s="124" t="n">
        <v>0</v>
      </c>
      <c r="K19" s="124" t="n">
        <v>0</v>
      </c>
      <c r="L19" s="124" t="n">
        <v>0</v>
      </c>
      <c r="M19" s="124" t="n">
        <v>0</v>
      </c>
      <c r="N19" s="124" t="n">
        <v>0</v>
      </c>
      <c r="P19" s="124" t="n">
        <f aca="false">ABS(D19)/$P$3</f>
        <v>0</v>
      </c>
      <c r="Q19" s="124" t="n">
        <f aca="false">ABS(E19)/$P$3</f>
        <v>0</v>
      </c>
      <c r="R19" s="124" t="n">
        <f aca="false">ABS(F19)/$P$3</f>
        <v>0</v>
      </c>
      <c r="S19" s="124" t="n">
        <f aca="false">ABS(G19)/$P$3</f>
        <v>0</v>
      </c>
      <c r="T19" s="124" t="n">
        <f aca="false">ABS(H19)/$P$3</f>
        <v>0</v>
      </c>
      <c r="U19" s="124" t="n">
        <f aca="false">ABS(I19)/$P$3</f>
        <v>0</v>
      </c>
      <c r="V19" s="124" t="n">
        <f aca="false">ABS(J19)/$P$3</f>
        <v>0</v>
      </c>
      <c r="W19" s="124" t="n">
        <f aca="false">ABS(K19)/$P$3</f>
        <v>0</v>
      </c>
      <c r="X19" s="124" t="n">
        <f aca="false">ABS(L19)/$P$3</f>
        <v>0</v>
      </c>
      <c r="Y19" s="124" t="n">
        <f aca="false">ABS(M19)/$P$3</f>
        <v>0</v>
      </c>
      <c r="Z19" s="124" t="n">
        <f aca="false">ABS(N19)/$P$3</f>
        <v>0</v>
      </c>
    </row>
    <row r="20" customFormat="false" ht="12.75" hidden="true" customHeight="false" outlineLevel="0" collapsed="false">
      <c r="A20" s="120" t="n">
        <f aca="false">A19+1</f>
        <v>36906</v>
      </c>
      <c r="B20" s="131" t="str">
        <f aca="false">INDEX('Master Data'!$A$2:$B$8,MATCH(WEEKDAY('RAC V@r Total'!A20,3),'Master Data'!$A$2:$A$8,0),2)</f>
        <v>M</v>
      </c>
      <c r="D20" s="124" t="n">
        <v>0</v>
      </c>
      <c r="E20" s="124" t="n">
        <v>0</v>
      </c>
      <c r="F20" s="124" t="n">
        <v>0</v>
      </c>
      <c r="G20" s="124" t="n">
        <v>0</v>
      </c>
      <c r="H20" s="124" t="n">
        <v>0</v>
      </c>
      <c r="I20" s="124" t="n">
        <v>0</v>
      </c>
      <c r="J20" s="124" t="n">
        <v>0</v>
      </c>
      <c r="K20" s="124" t="n">
        <v>0</v>
      </c>
      <c r="L20" s="124" t="n">
        <v>0</v>
      </c>
      <c r="M20" s="124" t="n">
        <v>0</v>
      </c>
      <c r="N20" s="124" t="n">
        <v>0</v>
      </c>
      <c r="P20" s="124" t="n">
        <f aca="false">ABS(D20)/$P$3</f>
        <v>0</v>
      </c>
      <c r="Q20" s="124" t="n">
        <f aca="false">ABS(E20)/$P$3</f>
        <v>0</v>
      </c>
      <c r="R20" s="124" t="n">
        <f aca="false">ABS(F20)/$P$3</f>
        <v>0</v>
      </c>
      <c r="S20" s="124" t="n">
        <f aca="false">ABS(G20)/$P$3</f>
        <v>0</v>
      </c>
      <c r="T20" s="124" t="n">
        <f aca="false">ABS(H20)/$P$3</f>
        <v>0</v>
      </c>
      <c r="U20" s="124" t="n">
        <f aca="false">ABS(I20)/$P$3</f>
        <v>0</v>
      </c>
      <c r="V20" s="124" t="n">
        <f aca="false">ABS(J20)/$P$3</f>
        <v>0</v>
      </c>
      <c r="W20" s="124" t="n">
        <f aca="false">ABS(K20)/$P$3</f>
        <v>0</v>
      </c>
      <c r="X20" s="124" t="n">
        <f aca="false">ABS(L20)/$P$3</f>
        <v>0</v>
      </c>
      <c r="Y20" s="124" t="n">
        <f aca="false">ABS(M20)/$P$3</f>
        <v>0</v>
      </c>
      <c r="Z20" s="124" t="n">
        <f aca="false">ABS(N20)/$P$3</f>
        <v>0</v>
      </c>
    </row>
    <row r="21" customFormat="false" ht="12.75" hidden="true" customHeight="false" outlineLevel="0" collapsed="false">
      <c r="A21" s="120" t="n">
        <f aca="false">A20+1</f>
        <v>36907</v>
      </c>
      <c r="B21" s="131" t="str">
        <f aca="false">INDEX('Master Data'!$A$2:$B$8,MATCH(WEEKDAY('RAC V@r Total'!A21,3),'Master Data'!$A$2:$A$8,0),2)</f>
        <v>T</v>
      </c>
      <c r="D21" s="124" t="n">
        <v>-169622</v>
      </c>
      <c r="E21" s="124" t="n">
        <v>0</v>
      </c>
      <c r="F21" s="124" t="n">
        <v>-396408</v>
      </c>
      <c r="G21" s="124" t="n">
        <v>-25017</v>
      </c>
      <c r="H21" s="124" t="n">
        <v>-47184</v>
      </c>
      <c r="I21" s="124" t="n">
        <v>-429522</v>
      </c>
      <c r="J21" s="124" t="n">
        <v>-50607</v>
      </c>
      <c r="K21" s="124" t="n">
        <v>-154765</v>
      </c>
      <c r="L21" s="124" t="n">
        <v>0</v>
      </c>
      <c r="M21" s="124" t="n">
        <v>-410100</v>
      </c>
      <c r="N21" s="124" t="n">
        <v>-388825</v>
      </c>
      <c r="P21" s="124" t="n">
        <f aca="false">ABS(D21)/$P$3</f>
        <v>169.622</v>
      </c>
      <c r="Q21" s="124" t="n">
        <f aca="false">ABS(E21)/$P$3</f>
        <v>0</v>
      </c>
      <c r="R21" s="124" t="n">
        <f aca="false">ABS(F21)/$P$3</f>
        <v>396.408</v>
      </c>
      <c r="S21" s="124" t="n">
        <f aca="false">ABS(G21)/$P$3</f>
        <v>25.017</v>
      </c>
      <c r="T21" s="124" t="n">
        <f aca="false">ABS(H21)/$P$3</f>
        <v>47.184</v>
      </c>
      <c r="U21" s="124" t="n">
        <f aca="false">ABS(I21)/$P$3</f>
        <v>429.522</v>
      </c>
      <c r="V21" s="124" t="n">
        <f aca="false">ABS(J21)/$P$3</f>
        <v>50.607</v>
      </c>
      <c r="W21" s="124" t="n">
        <f aca="false">ABS(K21)/$P$3</f>
        <v>154.765</v>
      </c>
      <c r="X21" s="124" t="n">
        <f aca="false">ABS(L21)/$P$3</f>
        <v>0</v>
      </c>
      <c r="Y21" s="124" t="n">
        <f aca="false">ABS(M21)/$P$3</f>
        <v>410.1</v>
      </c>
      <c r="Z21" s="124" t="n">
        <f aca="false">ABS(N21)/$P$3</f>
        <v>388.825</v>
      </c>
    </row>
    <row r="22" customFormat="false" ht="12.75" hidden="true" customHeight="false" outlineLevel="0" collapsed="false">
      <c r="A22" s="120" t="n">
        <f aca="false">A21+1</f>
        <v>36908</v>
      </c>
      <c r="B22" s="131" t="str">
        <f aca="false">INDEX('Master Data'!$A$2:$B$8,MATCH(WEEKDAY('RAC V@r Total'!A22,3),'Master Data'!$A$2:$A$8,0),2)</f>
        <v>W</v>
      </c>
      <c r="D22" s="124" t="n">
        <v>-313773</v>
      </c>
      <c r="E22" s="124" t="n">
        <v>0</v>
      </c>
      <c r="F22" s="124" t="n">
        <v>-400860</v>
      </c>
      <c r="G22" s="124" t="n">
        <v>-24120</v>
      </c>
      <c r="H22" s="124" t="n">
        <v>-47443</v>
      </c>
      <c r="I22" s="124" t="n">
        <v>-526143</v>
      </c>
      <c r="J22" s="124" t="n">
        <v>-50662</v>
      </c>
      <c r="K22" s="124" t="n">
        <v>-296727</v>
      </c>
      <c r="L22" s="124" t="n">
        <v>0</v>
      </c>
      <c r="M22" s="124" t="n">
        <v>-403282</v>
      </c>
      <c r="N22" s="124" t="n">
        <v>-481369</v>
      </c>
      <c r="P22" s="124" t="n">
        <f aca="false">ABS(D22)/$P$3</f>
        <v>313.773</v>
      </c>
      <c r="Q22" s="124" t="n">
        <f aca="false">ABS(E22)/$P$3</f>
        <v>0</v>
      </c>
      <c r="R22" s="124" t="n">
        <f aca="false">ABS(F22)/$P$3</f>
        <v>400.86</v>
      </c>
      <c r="S22" s="124" t="n">
        <f aca="false">ABS(G22)/$P$3</f>
        <v>24.12</v>
      </c>
      <c r="T22" s="124" t="n">
        <f aca="false">ABS(H22)/$P$3</f>
        <v>47.443</v>
      </c>
      <c r="U22" s="124" t="n">
        <f aca="false">ABS(I22)/$P$3</f>
        <v>526.143</v>
      </c>
      <c r="V22" s="124" t="n">
        <f aca="false">ABS(J22)/$P$3</f>
        <v>50.662</v>
      </c>
      <c r="W22" s="124" t="n">
        <f aca="false">ABS(K22)/$P$3</f>
        <v>296.727</v>
      </c>
      <c r="X22" s="124" t="n">
        <f aca="false">ABS(L22)/$P$3</f>
        <v>0</v>
      </c>
      <c r="Y22" s="124" t="n">
        <f aca="false">ABS(M22)/$P$3</f>
        <v>403.282</v>
      </c>
      <c r="Z22" s="124" t="n">
        <f aca="false">ABS(N22)/$P$3</f>
        <v>481.369</v>
      </c>
    </row>
    <row r="23" customFormat="false" ht="12.75" hidden="true" customHeight="false" outlineLevel="0" collapsed="false">
      <c r="A23" s="120" t="n">
        <f aca="false">A22+1</f>
        <v>36909</v>
      </c>
      <c r="B23" s="131" t="str">
        <f aca="false">INDEX('Master Data'!$A$2:$B$8,MATCH(WEEKDAY('RAC V@r Total'!A23,3),'Master Data'!$A$2:$A$8,0),2)</f>
        <v>Th</v>
      </c>
      <c r="D23" s="124" t="n">
        <v>-313935</v>
      </c>
      <c r="E23" s="124" t="n">
        <v>0</v>
      </c>
      <c r="F23" s="124" t="n">
        <v>-401306</v>
      </c>
      <c r="G23" s="124" t="n">
        <v>-23251</v>
      </c>
      <c r="H23" s="124" t="n">
        <v>-47456</v>
      </c>
      <c r="I23" s="124" t="n">
        <v>-526708</v>
      </c>
      <c r="J23" s="124" t="n">
        <v>-50270</v>
      </c>
      <c r="K23" s="124" t="n">
        <v>-296788</v>
      </c>
      <c r="L23" s="124" t="n">
        <v>0</v>
      </c>
      <c r="M23" s="124" t="n">
        <v>-404656</v>
      </c>
      <c r="N23" s="124" t="n">
        <v>-481970</v>
      </c>
      <c r="P23" s="124" t="n">
        <f aca="false">ABS(D23)/$P$3</f>
        <v>313.935</v>
      </c>
      <c r="Q23" s="124" t="n">
        <f aca="false">ABS(E23)/$P$3</f>
        <v>0</v>
      </c>
      <c r="R23" s="124" t="n">
        <f aca="false">ABS(F23)/$P$3</f>
        <v>401.306</v>
      </c>
      <c r="S23" s="124" t="n">
        <f aca="false">ABS(G23)/$P$3</f>
        <v>23.251</v>
      </c>
      <c r="T23" s="124" t="n">
        <f aca="false">ABS(H23)/$P$3</f>
        <v>47.456</v>
      </c>
      <c r="U23" s="124" t="n">
        <f aca="false">ABS(I23)/$P$3</f>
        <v>526.708</v>
      </c>
      <c r="V23" s="124" t="n">
        <f aca="false">ABS(J23)/$P$3</f>
        <v>50.27</v>
      </c>
      <c r="W23" s="124" t="n">
        <f aca="false">ABS(K23)/$P$3</f>
        <v>296.788</v>
      </c>
      <c r="X23" s="124" t="n">
        <f aca="false">ABS(L23)/$P$3</f>
        <v>0</v>
      </c>
      <c r="Y23" s="124" t="n">
        <f aca="false">ABS(M23)/$P$3</f>
        <v>404.656</v>
      </c>
      <c r="Z23" s="124" t="n">
        <f aca="false">ABS(N23)/$P$3</f>
        <v>481.97</v>
      </c>
    </row>
    <row r="24" customFormat="false" ht="12.75" hidden="true" customHeight="false" outlineLevel="0" collapsed="false">
      <c r="A24" s="120" t="n">
        <f aca="false">A23+1</f>
        <v>36910</v>
      </c>
      <c r="B24" s="131" t="str">
        <f aca="false">INDEX('Master Data'!$A$2:$B$8,MATCH(WEEKDAY('RAC V@r Total'!A24,3),'Master Data'!$A$2:$A$8,0),2)</f>
        <v>F</v>
      </c>
      <c r="D24" s="124" t="n">
        <v>-314257</v>
      </c>
      <c r="E24" s="124" t="n">
        <v>0</v>
      </c>
      <c r="F24" s="124" t="n">
        <v>-401719</v>
      </c>
      <c r="G24" s="124" t="n">
        <v>-22445</v>
      </c>
      <c r="H24" s="124" t="n">
        <v>-47469</v>
      </c>
      <c r="I24" s="124" t="n">
        <v>-527270</v>
      </c>
      <c r="J24" s="124" t="n">
        <v>-50159</v>
      </c>
      <c r="K24" s="124" t="n">
        <v>-297002</v>
      </c>
      <c r="L24" s="124" t="n">
        <v>0</v>
      </c>
      <c r="M24" s="124" t="n">
        <v>-418619</v>
      </c>
      <c r="N24" s="124" t="n">
        <v>-482692</v>
      </c>
      <c r="P24" s="124" t="n">
        <f aca="false">ABS(D24)/$P$3</f>
        <v>314.257</v>
      </c>
      <c r="Q24" s="124" t="n">
        <f aca="false">ABS(E24)/$P$3</f>
        <v>0</v>
      </c>
      <c r="R24" s="124" t="n">
        <f aca="false">ABS(F24)/$P$3</f>
        <v>401.719</v>
      </c>
      <c r="S24" s="124" t="n">
        <f aca="false">ABS(G24)/$P$3</f>
        <v>22.445</v>
      </c>
      <c r="T24" s="124" t="n">
        <f aca="false">ABS(H24)/$P$3</f>
        <v>47.469</v>
      </c>
      <c r="U24" s="124" t="n">
        <f aca="false">ABS(I24)/$P$3</f>
        <v>527.27</v>
      </c>
      <c r="V24" s="124" t="n">
        <f aca="false">ABS(J24)/$P$3</f>
        <v>50.159</v>
      </c>
      <c r="W24" s="124" t="n">
        <f aca="false">ABS(K24)/$P$3</f>
        <v>297.002</v>
      </c>
      <c r="X24" s="124" t="n">
        <f aca="false">ABS(L24)/$P$3</f>
        <v>0</v>
      </c>
      <c r="Y24" s="124" t="n">
        <f aca="false">ABS(M24)/$P$3</f>
        <v>418.619</v>
      </c>
      <c r="Z24" s="124" t="n">
        <f aca="false">ABS(N24)/$P$3</f>
        <v>482.692</v>
      </c>
    </row>
    <row r="25" customFormat="false" ht="12.75" hidden="true" customHeight="false" outlineLevel="0" collapsed="false">
      <c r="A25" s="120" t="n">
        <f aca="false">A24+1</f>
        <v>36911</v>
      </c>
      <c r="B25" s="131" t="str">
        <f aca="false">INDEX('Master Data'!$A$2:$B$8,MATCH(WEEKDAY('RAC V@r Total'!A25,3),'Master Data'!$A$2:$A$8,0),2)</f>
        <v>Sa</v>
      </c>
      <c r="D25" s="124" t="n">
        <v>0</v>
      </c>
      <c r="E25" s="124" t="n">
        <v>0</v>
      </c>
      <c r="F25" s="124" t="n">
        <v>0</v>
      </c>
      <c r="G25" s="124" t="n">
        <v>0</v>
      </c>
      <c r="H25" s="124" t="n">
        <v>0</v>
      </c>
      <c r="I25" s="124" t="n">
        <v>0</v>
      </c>
      <c r="J25" s="124" t="n">
        <v>0</v>
      </c>
      <c r="K25" s="124" t="n">
        <v>0</v>
      </c>
      <c r="L25" s="124" t="n">
        <v>0</v>
      </c>
      <c r="M25" s="124" t="n">
        <v>0</v>
      </c>
      <c r="N25" s="124" t="n">
        <v>0</v>
      </c>
      <c r="P25" s="124" t="n">
        <f aca="false">ABS(D25)/$P$3</f>
        <v>0</v>
      </c>
      <c r="Q25" s="124" t="n">
        <f aca="false">ABS(E25)/$P$3</f>
        <v>0</v>
      </c>
      <c r="R25" s="124" t="n">
        <f aca="false">ABS(F25)/$P$3</f>
        <v>0</v>
      </c>
      <c r="S25" s="124" t="n">
        <f aca="false">ABS(G25)/$P$3</f>
        <v>0</v>
      </c>
      <c r="T25" s="124" t="n">
        <f aca="false">ABS(H25)/$P$3</f>
        <v>0</v>
      </c>
      <c r="U25" s="124" t="n">
        <f aca="false">ABS(I25)/$P$3</f>
        <v>0</v>
      </c>
      <c r="V25" s="124" t="n">
        <f aca="false">ABS(J25)/$P$3</f>
        <v>0</v>
      </c>
      <c r="W25" s="124" t="n">
        <f aca="false">ABS(K25)/$P$3</f>
        <v>0</v>
      </c>
      <c r="X25" s="124" t="n">
        <f aca="false">ABS(L25)/$P$3</f>
        <v>0</v>
      </c>
      <c r="Y25" s="124" t="n">
        <f aca="false">ABS(M25)/$P$3</f>
        <v>0</v>
      </c>
      <c r="Z25" s="124" t="n">
        <f aca="false">ABS(N25)/$P$3</f>
        <v>0</v>
      </c>
    </row>
    <row r="26" customFormat="false" ht="12.75" hidden="true" customHeight="false" outlineLevel="0" collapsed="false">
      <c r="A26" s="120" t="n">
        <f aca="false">A25+1</f>
        <v>36912</v>
      </c>
      <c r="B26" s="131" t="str">
        <f aca="false">INDEX('Master Data'!$A$2:$B$8,MATCH(WEEKDAY('RAC V@r Total'!A26,3),'Master Data'!$A$2:$A$8,0),2)</f>
        <v>Su</v>
      </c>
      <c r="D26" s="124" t="n">
        <v>0</v>
      </c>
      <c r="E26" s="124" t="n">
        <v>0</v>
      </c>
      <c r="F26" s="124" t="n">
        <v>0</v>
      </c>
      <c r="G26" s="124" t="n">
        <v>0</v>
      </c>
      <c r="H26" s="124" t="n">
        <v>0</v>
      </c>
      <c r="I26" s="124" t="n">
        <v>0</v>
      </c>
      <c r="J26" s="124" t="n">
        <v>0</v>
      </c>
      <c r="K26" s="124" t="n">
        <v>0</v>
      </c>
      <c r="L26" s="124" t="n">
        <v>0</v>
      </c>
      <c r="M26" s="124" t="n">
        <v>0</v>
      </c>
      <c r="N26" s="124" t="n">
        <v>0</v>
      </c>
      <c r="P26" s="124" t="n">
        <f aca="false">ABS(D26)/$P$3</f>
        <v>0</v>
      </c>
      <c r="Q26" s="124" t="n">
        <f aca="false">ABS(E26)/$P$3</f>
        <v>0</v>
      </c>
      <c r="R26" s="124" t="n">
        <f aca="false">ABS(F26)/$P$3</f>
        <v>0</v>
      </c>
      <c r="S26" s="124" t="n">
        <f aca="false">ABS(G26)/$P$3</f>
        <v>0</v>
      </c>
      <c r="T26" s="124" t="n">
        <f aca="false">ABS(H26)/$P$3</f>
        <v>0</v>
      </c>
      <c r="U26" s="124" t="n">
        <f aca="false">ABS(I26)/$P$3</f>
        <v>0</v>
      </c>
      <c r="V26" s="124" t="n">
        <f aca="false">ABS(J26)/$P$3</f>
        <v>0</v>
      </c>
      <c r="W26" s="124" t="n">
        <f aca="false">ABS(K26)/$P$3</f>
        <v>0</v>
      </c>
      <c r="X26" s="124" t="n">
        <f aca="false">ABS(L26)/$P$3</f>
        <v>0</v>
      </c>
      <c r="Y26" s="124" t="n">
        <f aca="false">ABS(M26)/$P$3</f>
        <v>0</v>
      </c>
      <c r="Z26" s="124" t="n">
        <f aca="false">ABS(N26)/$P$3</f>
        <v>0</v>
      </c>
    </row>
    <row r="27" customFormat="false" ht="12.75" hidden="true" customHeight="false" outlineLevel="0" collapsed="false">
      <c r="A27" s="120" t="n">
        <f aca="false">A26+1</f>
        <v>36913</v>
      </c>
      <c r="B27" s="131" t="str">
        <f aca="false">INDEX('Master Data'!$A$2:$B$8,MATCH(WEEKDAY('RAC V@r Total'!A27,3),'Master Data'!$A$2:$A$8,0),2)</f>
        <v>M</v>
      </c>
      <c r="D27" s="124" t="n">
        <v>-314743</v>
      </c>
      <c r="E27" s="124" t="n">
        <v>0</v>
      </c>
      <c r="F27" s="124" t="n">
        <v>-400569</v>
      </c>
      <c r="G27" s="124" t="n">
        <v>-19840</v>
      </c>
      <c r="H27" s="124" t="n">
        <v>-47362</v>
      </c>
      <c r="I27" s="124" t="n">
        <v>-526004</v>
      </c>
      <c r="J27" s="124" t="n">
        <v>-49569</v>
      </c>
      <c r="K27" s="124" t="n">
        <v>-299563</v>
      </c>
      <c r="L27" s="124" t="n">
        <v>0</v>
      </c>
      <c r="M27" s="124" t="n">
        <v>-409944</v>
      </c>
      <c r="N27" s="124" t="n">
        <v>-482746</v>
      </c>
      <c r="P27" s="124" t="n">
        <f aca="false">ABS(D27)/$P$3</f>
        <v>314.743</v>
      </c>
      <c r="Q27" s="124" t="n">
        <f aca="false">ABS(E27)/$P$3</f>
        <v>0</v>
      </c>
      <c r="R27" s="124" t="n">
        <f aca="false">ABS(F27)/$P$3</f>
        <v>400.569</v>
      </c>
      <c r="S27" s="124" t="n">
        <f aca="false">ABS(G27)/$P$3</f>
        <v>19.84</v>
      </c>
      <c r="T27" s="124" t="n">
        <f aca="false">ABS(H27)/$P$3</f>
        <v>47.362</v>
      </c>
      <c r="U27" s="124" t="n">
        <f aca="false">ABS(I27)/$P$3</f>
        <v>526.004</v>
      </c>
      <c r="V27" s="124" t="n">
        <f aca="false">ABS(J27)/$P$3</f>
        <v>49.569</v>
      </c>
      <c r="W27" s="124" t="n">
        <f aca="false">ABS(K27)/$P$3</f>
        <v>299.563</v>
      </c>
      <c r="X27" s="124" t="n">
        <f aca="false">ABS(L27)/$P$3</f>
        <v>0</v>
      </c>
      <c r="Y27" s="124" t="n">
        <f aca="false">ABS(M27)/$P$3</f>
        <v>409.944</v>
      </c>
      <c r="Z27" s="124" t="n">
        <f aca="false">ABS(N27)/$P$3</f>
        <v>482.746</v>
      </c>
    </row>
    <row r="28" customFormat="false" ht="12.75" hidden="true" customHeight="false" outlineLevel="0" collapsed="false">
      <c r="A28" s="120" t="n">
        <f aca="false">A27+1</f>
        <v>36914</v>
      </c>
      <c r="B28" s="131" t="str">
        <f aca="false">INDEX('Master Data'!$A$2:$B$8,MATCH(WEEKDAY('RAC V@r Total'!A28,3),'Master Data'!$A$2:$A$8,0),2)</f>
        <v>T</v>
      </c>
      <c r="D28" s="124" t="n">
        <v>-315549</v>
      </c>
      <c r="E28" s="124" t="n">
        <v>0</v>
      </c>
      <c r="F28" s="124" t="n">
        <v>-397658</v>
      </c>
      <c r="G28" s="124" t="n">
        <v>-18926</v>
      </c>
      <c r="H28" s="124" t="n">
        <v>-47223</v>
      </c>
      <c r="I28" s="124" t="n">
        <v>-524726</v>
      </c>
      <c r="J28" s="124" t="n">
        <v>-49118</v>
      </c>
      <c r="K28" s="124" t="n">
        <v>-301071</v>
      </c>
      <c r="L28" s="124" t="n">
        <v>0</v>
      </c>
      <c r="M28" s="124" t="n">
        <v>-410093</v>
      </c>
      <c r="N28" s="124" t="n">
        <v>-482102</v>
      </c>
      <c r="P28" s="124" t="n">
        <f aca="false">ABS(D28)/$P$3</f>
        <v>315.549</v>
      </c>
      <c r="Q28" s="124" t="n">
        <f aca="false">ABS(E28)/$P$3</f>
        <v>0</v>
      </c>
      <c r="R28" s="124" t="n">
        <f aca="false">ABS(F28)/$P$3</f>
        <v>397.658</v>
      </c>
      <c r="S28" s="124" t="n">
        <f aca="false">ABS(G28)/$P$3</f>
        <v>18.926</v>
      </c>
      <c r="T28" s="124" t="n">
        <f aca="false">ABS(H28)/$P$3</f>
        <v>47.223</v>
      </c>
      <c r="U28" s="124" t="n">
        <f aca="false">ABS(I28)/$P$3</f>
        <v>524.726</v>
      </c>
      <c r="V28" s="124" t="n">
        <f aca="false">ABS(J28)/$P$3</f>
        <v>49.118</v>
      </c>
      <c r="W28" s="124" t="n">
        <f aca="false">ABS(K28)/$P$3</f>
        <v>301.071</v>
      </c>
      <c r="X28" s="124" t="n">
        <f aca="false">ABS(L28)/$P$3</f>
        <v>0</v>
      </c>
      <c r="Y28" s="124" t="n">
        <f aca="false">ABS(M28)/$P$3</f>
        <v>410.093</v>
      </c>
      <c r="Z28" s="124" t="n">
        <f aca="false">ABS(N28)/$P$3</f>
        <v>482.102</v>
      </c>
    </row>
    <row r="29" customFormat="false" ht="12.75" hidden="true" customHeight="false" outlineLevel="0" collapsed="false">
      <c r="A29" s="120" t="n">
        <f aca="false">A28+1</f>
        <v>36915</v>
      </c>
      <c r="B29" s="131" t="str">
        <f aca="false">INDEX('Master Data'!$A$2:$B$8,MATCH(WEEKDAY('RAC V@r Total'!A29,3),'Master Data'!$A$2:$A$8,0),2)</f>
        <v>W</v>
      </c>
      <c r="D29" s="124" t="n">
        <v>-316999</v>
      </c>
      <c r="E29" s="124" t="n">
        <v>0</v>
      </c>
      <c r="F29" s="124" t="n">
        <v>-397760</v>
      </c>
      <c r="G29" s="124" t="n">
        <v>-18008</v>
      </c>
      <c r="H29" s="124" t="n">
        <v>-47218</v>
      </c>
      <c r="I29" s="124" t="n">
        <v>-526685</v>
      </c>
      <c r="J29" s="124" t="n">
        <v>-48855</v>
      </c>
      <c r="K29" s="124" t="n">
        <v>-302631</v>
      </c>
      <c r="L29" s="124" t="n">
        <v>0</v>
      </c>
      <c r="M29" s="124" t="n">
        <v>-406098</v>
      </c>
      <c r="N29" s="124" t="n">
        <v>-485643</v>
      </c>
      <c r="P29" s="124" t="n">
        <f aca="false">ABS(D29)/$P$3</f>
        <v>316.999</v>
      </c>
      <c r="Q29" s="124" t="n">
        <f aca="false">ABS(E29)/$P$3</f>
        <v>0</v>
      </c>
      <c r="R29" s="124" t="n">
        <f aca="false">ABS(F29)/$P$3</f>
        <v>397.76</v>
      </c>
      <c r="S29" s="124" t="n">
        <f aca="false">ABS(G29)/$P$3</f>
        <v>18.008</v>
      </c>
      <c r="T29" s="124" t="n">
        <f aca="false">ABS(H29)/$P$3</f>
        <v>47.218</v>
      </c>
      <c r="U29" s="124" t="n">
        <f aca="false">ABS(I29)/$P$3</f>
        <v>526.685</v>
      </c>
      <c r="V29" s="124" t="n">
        <f aca="false">ABS(J29)/$P$3</f>
        <v>48.855</v>
      </c>
      <c r="W29" s="124" t="n">
        <f aca="false">ABS(K29)/$P$3</f>
        <v>302.631</v>
      </c>
      <c r="X29" s="124" t="n">
        <f aca="false">ABS(L29)/$P$3</f>
        <v>0</v>
      </c>
      <c r="Y29" s="124" t="n">
        <f aca="false">ABS(M29)/$P$3</f>
        <v>406.098</v>
      </c>
      <c r="Z29" s="124" t="n">
        <f aca="false">ABS(N29)/$P$3</f>
        <v>485.643</v>
      </c>
    </row>
    <row r="30" customFormat="false" ht="12.75" hidden="true" customHeight="false" outlineLevel="0" collapsed="false">
      <c r="A30" s="120" t="n">
        <f aca="false">A29+1</f>
        <v>36916</v>
      </c>
      <c r="B30" s="131" t="str">
        <f aca="false">INDEX('Master Data'!$A$2:$B$8,MATCH(WEEKDAY('RAC V@r Total'!A30,3),'Master Data'!$A$2:$A$8,0),2)</f>
        <v>Th</v>
      </c>
      <c r="D30" s="124" t="n">
        <v>-317162</v>
      </c>
      <c r="E30" s="124" t="n">
        <v>0</v>
      </c>
      <c r="F30" s="124" t="n">
        <v>-400911</v>
      </c>
      <c r="G30" s="124" t="n">
        <v>-17091</v>
      </c>
      <c r="H30" s="124" t="n">
        <v>-47376</v>
      </c>
      <c r="I30" s="124" t="n">
        <v>-527870</v>
      </c>
      <c r="J30" s="124" t="n">
        <v>-48847</v>
      </c>
      <c r="K30" s="124" t="n">
        <v>-302933</v>
      </c>
      <c r="L30" s="124" t="n">
        <v>0</v>
      </c>
      <c r="M30" s="124" t="n">
        <v>-411374</v>
      </c>
      <c r="N30" s="124" t="n">
        <v>-487234</v>
      </c>
      <c r="P30" s="124" t="n">
        <f aca="false">ABS(D30)/$P$3</f>
        <v>317.162</v>
      </c>
      <c r="Q30" s="124" t="n">
        <f aca="false">ABS(E30)/$P$3</f>
        <v>0</v>
      </c>
      <c r="R30" s="124" t="n">
        <f aca="false">ABS(F30)/$P$3</f>
        <v>400.911</v>
      </c>
      <c r="S30" s="124" t="n">
        <f aca="false">ABS(G30)/$P$3</f>
        <v>17.091</v>
      </c>
      <c r="T30" s="124" t="n">
        <f aca="false">ABS(H30)/$P$3</f>
        <v>47.376</v>
      </c>
      <c r="U30" s="124" t="n">
        <f aca="false">ABS(I30)/$P$3</f>
        <v>527.87</v>
      </c>
      <c r="V30" s="124" t="n">
        <f aca="false">ABS(J30)/$P$3</f>
        <v>48.847</v>
      </c>
      <c r="W30" s="124" t="n">
        <f aca="false">ABS(K30)/$P$3</f>
        <v>302.933</v>
      </c>
      <c r="X30" s="124" t="n">
        <f aca="false">ABS(L30)/$P$3</f>
        <v>0</v>
      </c>
      <c r="Y30" s="124" t="n">
        <f aca="false">ABS(M30)/$P$3</f>
        <v>411.374</v>
      </c>
      <c r="Z30" s="124" t="n">
        <f aca="false">ABS(N30)/$P$3</f>
        <v>487.234</v>
      </c>
    </row>
    <row r="31" customFormat="false" ht="12.75" hidden="true" customHeight="false" outlineLevel="0" collapsed="false">
      <c r="A31" s="120" t="n">
        <f aca="false">A30+1</f>
        <v>36917</v>
      </c>
      <c r="B31" s="131" t="str">
        <f aca="false">INDEX('Master Data'!$A$2:$B$8,MATCH(WEEKDAY('RAC V@r Total'!A31,3),'Master Data'!$A$2:$A$8,0),2)</f>
        <v>F</v>
      </c>
      <c r="D31" s="124" t="n">
        <v>-318051</v>
      </c>
      <c r="E31" s="124" t="n">
        <v>0</v>
      </c>
      <c r="F31" s="124" t="n">
        <v>-401044</v>
      </c>
      <c r="G31" s="124" t="n">
        <v>-16272</v>
      </c>
      <c r="H31" s="124" t="n">
        <v>-47374</v>
      </c>
      <c r="I31" s="124" t="n">
        <v>-529089</v>
      </c>
      <c r="J31" s="124" t="n">
        <v>-48705</v>
      </c>
      <c r="K31" s="124" t="n">
        <v>-304457</v>
      </c>
      <c r="L31" s="124" t="n">
        <v>0</v>
      </c>
      <c r="M31" s="124" t="n">
        <v>-412923</v>
      </c>
      <c r="N31" s="124" t="n">
        <v>-489865</v>
      </c>
      <c r="P31" s="124" t="n">
        <f aca="false">ABS(D31)/$P$3</f>
        <v>318.051</v>
      </c>
      <c r="Q31" s="124" t="n">
        <f aca="false">ABS(E31)/$P$3</f>
        <v>0</v>
      </c>
      <c r="R31" s="124" t="n">
        <f aca="false">ABS(F31)/$P$3</f>
        <v>401.044</v>
      </c>
      <c r="S31" s="124" t="n">
        <f aca="false">ABS(G31)/$P$3</f>
        <v>16.272</v>
      </c>
      <c r="T31" s="124" t="n">
        <f aca="false">ABS(H31)/$P$3</f>
        <v>47.374</v>
      </c>
      <c r="U31" s="124" t="n">
        <f aca="false">ABS(I31)/$P$3</f>
        <v>529.089</v>
      </c>
      <c r="V31" s="124" t="n">
        <f aca="false">ABS(J31)/$P$3</f>
        <v>48.705</v>
      </c>
      <c r="W31" s="124" t="n">
        <f aca="false">ABS(K31)/$P$3</f>
        <v>304.457</v>
      </c>
      <c r="X31" s="124" t="n">
        <f aca="false">ABS(L31)/$P$3</f>
        <v>0</v>
      </c>
      <c r="Y31" s="124" t="n">
        <f aca="false">ABS(M31)/$P$3</f>
        <v>412.923</v>
      </c>
      <c r="Z31" s="124" t="n">
        <f aca="false">ABS(N31)/$P$3</f>
        <v>489.865</v>
      </c>
    </row>
    <row r="32" customFormat="false" ht="12.75" hidden="true" customHeight="false" outlineLevel="0" collapsed="false">
      <c r="A32" s="120" t="n">
        <f aca="false">A31+1</f>
        <v>36918</v>
      </c>
      <c r="B32" s="131" t="str">
        <f aca="false">INDEX('Master Data'!$A$2:$B$8,MATCH(WEEKDAY('RAC V@r Total'!A32,3),'Master Data'!$A$2:$A$8,0),2)</f>
        <v>Sa</v>
      </c>
      <c r="D32" s="124" t="n">
        <v>0</v>
      </c>
      <c r="E32" s="124" t="n">
        <v>0</v>
      </c>
      <c r="F32" s="124" t="n">
        <v>0</v>
      </c>
      <c r="G32" s="124" t="n">
        <v>0</v>
      </c>
      <c r="H32" s="124" t="n">
        <v>0</v>
      </c>
      <c r="I32" s="124" t="n">
        <v>0</v>
      </c>
      <c r="J32" s="124" t="n">
        <v>0</v>
      </c>
      <c r="K32" s="124" t="n">
        <v>0</v>
      </c>
      <c r="L32" s="124" t="n">
        <v>0</v>
      </c>
      <c r="M32" s="124" t="n">
        <v>0</v>
      </c>
      <c r="N32" s="124" t="n">
        <v>0</v>
      </c>
      <c r="P32" s="124" t="n">
        <f aca="false">ABS(D32)/$P$3</f>
        <v>0</v>
      </c>
      <c r="Q32" s="124" t="n">
        <f aca="false">ABS(E32)/$P$3</f>
        <v>0</v>
      </c>
      <c r="R32" s="124" t="n">
        <f aca="false">ABS(F32)/$P$3</f>
        <v>0</v>
      </c>
      <c r="S32" s="124" t="n">
        <f aca="false">ABS(G32)/$P$3</f>
        <v>0</v>
      </c>
      <c r="T32" s="124" t="n">
        <f aca="false">ABS(H32)/$P$3</f>
        <v>0</v>
      </c>
      <c r="U32" s="124" t="n">
        <f aca="false">ABS(I32)/$P$3</f>
        <v>0</v>
      </c>
      <c r="V32" s="124" t="n">
        <f aca="false">ABS(J32)/$P$3</f>
        <v>0</v>
      </c>
      <c r="W32" s="124" t="n">
        <f aca="false">ABS(K32)/$P$3</f>
        <v>0</v>
      </c>
      <c r="X32" s="124" t="n">
        <f aca="false">ABS(L32)/$P$3</f>
        <v>0</v>
      </c>
      <c r="Y32" s="124" t="n">
        <f aca="false">ABS(M32)/$P$3</f>
        <v>0</v>
      </c>
      <c r="Z32" s="124" t="n">
        <f aca="false">ABS(N32)/$P$3</f>
        <v>0</v>
      </c>
    </row>
    <row r="33" customFormat="false" ht="12.75" hidden="true" customHeight="false" outlineLevel="0" collapsed="false">
      <c r="A33" s="120" t="n">
        <f aca="false">A32+1</f>
        <v>36919</v>
      </c>
      <c r="B33" s="131" t="str">
        <f aca="false">INDEX('Master Data'!$A$2:$B$8,MATCH(WEEKDAY('RAC V@r Total'!A33,3),'Master Data'!$A$2:$A$8,0),2)</f>
        <v>Su</v>
      </c>
      <c r="D33" s="124" t="n">
        <v>0</v>
      </c>
      <c r="E33" s="124" t="n">
        <v>0</v>
      </c>
      <c r="F33" s="124" t="n">
        <v>0</v>
      </c>
      <c r="G33" s="124" t="n">
        <v>0</v>
      </c>
      <c r="H33" s="124" t="n">
        <v>0</v>
      </c>
      <c r="I33" s="124" t="n">
        <v>0</v>
      </c>
      <c r="J33" s="124" t="n">
        <v>0</v>
      </c>
      <c r="K33" s="124" t="n">
        <v>0</v>
      </c>
      <c r="L33" s="124" t="n">
        <v>0</v>
      </c>
      <c r="M33" s="124" t="n">
        <v>0</v>
      </c>
      <c r="N33" s="124" t="n">
        <v>0</v>
      </c>
      <c r="P33" s="124" t="n">
        <f aca="false">ABS(D33)/$P$3</f>
        <v>0</v>
      </c>
      <c r="Q33" s="124" t="n">
        <f aca="false">ABS(E33)/$P$3</f>
        <v>0</v>
      </c>
      <c r="R33" s="124" t="n">
        <f aca="false">ABS(F33)/$P$3</f>
        <v>0</v>
      </c>
      <c r="S33" s="124" t="n">
        <f aca="false">ABS(G33)/$P$3</f>
        <v>0</v>
      </c>
      <c r="T33" s="124" t="n">
        <f aca="false">ABS(H33)/$P$3</f>
        <v>0</v>
      </c>
      <c r="U33" s="124" t="n">
        <f aca="false">ABS(I33)/$P$3</f>
        <v>0</v>
      </c>
      <c r="V33" s="124" t="n">
        <f aca="false">ABS(J33)/$P$3</f>
        <v>0</v>
      </c>
      <c r="W33" s="124" t="n">
        <f aca="false">ABS(K33)/$P$3</f>
        <v>0</v>
      </c>
      <c r="X33" s="124" t="n">
        <f aca="false">ABS(L33)/$P$3</f>
        <v>0</v>
      </c>
      <c r="Y33" s="124" t="n">
        <f aca="false">ABS(M33)/$P$3</f>
        <v>0</v>
      </c>
      <c r="Z33" s="124" t="n">
        <f aca="false">ABS(N33)/$P$3</f>
        <v>0</v>
      </c>
    </row>
    <row r="34" customFormat="false" ht="12.75" hidden="true" customHeight="false" outlineLevel="0" collapsed="false">
      <c r="A34" s="120" t="n">
        <f aca="false">A33+1</f>
        <v>36920</v>
      </c>
      <c r="B34" s="131" t="str">
        <f aca="false">INDEX('Master Data'!$A$2:$B$8,MATCH(WEEKDAY('RAC V@r Total'!A34,3),'Master Data'!$A$2:$A$8,0),2)</f>
        <v>M</v>
      </c>
      <c r="D34" s="124" t="n">
        <v>-318542</v>
      </c>
      <c r="E34" s="124" t="n">
        <v>0</v>
      </c>
      <c r="F34" s="124" t="n">
        <v>-401405</v>
      </c>
      <c r="G34" s="124" t="n">
        <v>-13931</v>
      </c>
      <c r="H34" s="124" t="n">
        <v>-47356</v>
      </c>
      <c r="I34" s="124" t="n">
        <v>-529837</v>
      </c>
      <c r="J34" s="124" t="n">
        <v>-47494</v>
      </c>
      <c r="K34" s="124" t="n">
        <v>-307411</v>
      </c>
      <c r="L34" s="124" t="n">
        <v>0</v>
      </c>
      <c r="M34" s="124" t="n">
        <v>-405725</v>
      </c>
      <c r="N34" s="124" t="n">
        <v>-494235</v>
      </c>
      <c r="P34" s="124" t="n">
        <f aca="false">ABS(D34)/$P$3</f>
        <v>318.542</v>
      </c>
      <c r="Q34" s="124" t="n">
        <f aca="false">ABS(E34)/$P$3</f>
        <v>0</v>
      </c>
      <c r="R34" s="124" t="n">
        <f aca="false">ABS(F34)/$P$3</f>
        <v>401.405</v>
      </c>
      <c r="S34" s="124" t="n">
        <f aca="false">ABS(G34)/$P$3</f>
        <v>13.931</v>
      </c>
      <c r="T34" s="124" t="n">
        <f aca="false">ABS(H34)/$P$3</f>
        <v>47.356</v>
      </c>
      <c r="U34" s="124" t="n">
        <f aca="false">ABS(I34)/$P$3</f>
        <v>529.837</v>
      </c>
      <c r="V34" s="124" t="n">
        <f aca="false">ABS(J34)/$P$3</f>
        <v>47.494</v>
      </c>
      <c r="W34" s="124" t="n">
        <f aca="false">ABS(K34)/$P$3</f>
        <v>307.411</v>
      </c>
      <c r="X34" s="124" t="n">
        <f aca="false">ABS(L34)/$P$3</f>
        <v>0</v>
      </c>
      <c r="Y34" s="124" t="n">
        <f aca="false">ABS(M34)/$P$3</f>
        <v>405.725</v>
      </c>
      <c r="Z34" s="124" t="n">
        <f aca="false">ABS(N34)/$P$3</f>
        <v>494.235</v>
      </c>
    </row>
    <row r="35" customFormat="false" ht="12.75" hidden="true" customHeight="false" outlineLevel="0" collapsed="false">
      <c r="A35" s="120" t="n">
        <f aca="false">A34+1</f>
        <v>36921</v>
      </c>
      <c r="B35" s="131" t="str">
        <f aca="false">INDEX('Master Data'!$A$2:$B$8,MATCH(WEEKDAY('RAC V@r Total'!A35,3),'Master Data'!$A$2:$A$8,0),2)</f>
        <v>T</v>
      </c>
      <c r="D35" s="124" t="n">
        <v>-317253</v>
      </c>
      <c r="E35" s="124" t="n">
        <v>0</v>
      </c>
      <c r="F35" s="124" t="n">
        <v>-406758</v>
      </c>
      <c r="G35" s="124" t="n">
        <v>-12991</v>
      </c>
      <c r="H35" s="124" t="n">
        <v>-47632</v>
      </c>
      <c r="I35" s="124" t="n">
        <v>-533541</v>
      </c>
      <c r="J35" s="124" t="n">
        <v>-47748</v>
      </c>
      <c r="K35" s="124" t="n">
        <v>-306225</v>
      </c>
      <c r="L35" s="124" t="n">
        <v>0</v>
      </c>
      <c r="M35" s="124" t="n">
        <v>-409300</v>
      </c>
      <c r="N35" s="124" t="n">
        <v>-493785</v>
      </c>
      <c r="P35" s="124" t="n">
        <f aca="false">ABS(D35)/$P$3</f>
        <v>317.253</v>
      </c>
      <c r="Q35" s="124" t="n">
        <f aca="false">ABS(E35)/$P$3</f>
        <v>0</v>
      </c>
      <c r="R35" s="124" t="n">
        <f aca="false">ABS(F35)/$P$3</f>
        <v>406.758</v>
      </c>
      <c r="S35" s="124" t="n">
        <f aca="false">ABS(G35)/$P$3</f>
        <v>12.991</v>
      </c>
      <c r="T35" s="124" t="n">
        <f aca="false">ABS(H35)/$P$3</f>
        <v>47.632</v>
      </c>
      <c r="U35" s="124" t="n">
        <f aca="false">ABS(I35)/$P$3</f>
        <v>533.541</v>
      </c>
      <c r="V35" s="124" t="n">
        <f aca="false">ABS(J35)/$P$3</f>
        <v>47.748</v>
      </c>
      <c r="W35" s="124" t="n">
        <f aca="false">ABS(K35)/$P$3</f>
        <v>306.225</v>
      </c>
      <c r="X35" s="124" t="n">
        <f aca="false">ABS(L35)/$P$3</f>
        <v>0</v>
      </c>
      <c r="Y35" s="124" t="n">
        <f aca="false">ABS(M35)/$P$3</f>
        <v>409.3</v>
      </c>
      <c r="Z35" s="124" t="n">
        <f aca="false">ABS(N35)/$P$3</f>
        <v>493.785</v>
      </c>
    </row>
    <row r="36" customFormat="false" ht="12.75" hidden="false" customHeight="false" outlineLevel="0" collapsed="false">
      <c r="A36" s="120" t="n">
        <f aca="false">A35+1</f>
        <v>36922</v>
      </c>
      <c r="B36" s="131" t="str">
        <f aca="false">INDEX('Master Data'!$A$2:$B$8,MATCH(WEEKDAY('RAC V@r Total'!A36,3),'Master Data'!$A$2:$A$8,0),2)</f>
        <v>W</v>
      </c>
      <c r="D36" s="124" t="n">
        <v>-317416</v>
      </c>
      <c r="E36" s="124" t="n">
        <v>0</v>
      </c>
      <c r="F36" s="124" t="n">
        <v>-413552</v>
      </c>
      <c r="G36" s="124" t="n">
        <v>-12158</v>
      </c>
      <c r="H36" s="124" t="n">
        <v>-46629</v>
      </c>
      <c r="I36" s="124" t="n">
        <v>-536653</v>
      </c>
      <c r="J36" s="124" t="n">
        <v>-45922</v>
      </c>
      <c r="K36" s="124" t="n">
        <v>-306459</v>
      </c>
      <c r="L36" s="124" t="n">
        <v>0</v>
      </c>
      <c r="M36" s="124" t="n">
        <v>-410004</v>
      </c>
      <c r="N36" s="124" t="n">
        <v>-495223</v>
      </c>
      <c r="P36" s="124" t="n">
        <f aca="false">ABS(D36)/$P$3</f>
        <v>317.416</v>
      </c>
      <c r="Q36" s="124" t="n">
        <f aca="false">ABS(E36)/$P$3</f>
        <v>0</v>
      </c>
      <c r="R36" s="124" t="n">
        <f aca="false">ABS(F36)/$P$3</f>
        <v>413.552</v>
      </c>
      <c r="S36" s="124" t="n">
        <f aca="false">ABS(G36)/$P$3</f>
        <v>12.158</v>
      </c>
      <c r="T36" s="124" t="n">
        <f aca="false">ABS(H36)/$P$3</f>
        <v>46.629</v>
      </c>
      <c r="U36" s="124" t="n">
        <f aca="false">ABS(I36)/$P$3</f>
        <v>536.653</v>
      </c>
      <c r="V36" s="124" t="n">
        <f aca="false">ABS(J36)/$P$3</f>
        <v>45.922</v>
      </c>
      <c r="W36" s="124" t="n">
        <f aca="false">ABS(K36)/$P$3</f>
        <v>306.459</v>
      </c>
      <c r="X36" s="124" t="n">
        <f aca="false">ABS(L36)/$P$3</f>
        <v>0</v>
      </c>
      <c r="Y36" s="124" t="n">
        <f aca="false">ABS(M36)/$P$3</f>
        <v>410.004</v>
      </c>
      <c r="Z36" s="124" t="n">
        <f aca="false">ABS(N36)/$P$3</f>
        <v>495.223</v>
      </c>
    </row>
    <row r="37" customFormat="false" ht="12.75" hidden="true" customHeight="false" outlineLevel="0" collapsed="false">
      <c r="A37" s="120" t="n">
        <f aca="false">A36+1</f>
        <v>36923</v>
      </c>
      <c r="B37" s="131" t="str">
        <f aca="false">INDEX('Master Data'!$A$2:$B$8,MATCH(WEEKDAY('RAC V@r Total'!A37,3),'Master Data'!$A$2:$A$8,0),2)</f>
        <v>Th</v>
      </c>
      <c r="D37" s="124" t="n">
        <v>-330919</v>
      </c>
      <c r="E37" s="124" t="n">
        <v>0</v>
      </c>
      <c r="F37" s="124" t="n">
        <v>-413490</v>
      </c>
      <c r="G37" s="124" t="n">
        <v>-12076</v>
      </c>
      <c r="H37" s="124" t="n">
        <v>-46301</v>
      </c>
      <c r="I37" s="124" t="n">
        <v>-548445</v>
      </c>
      <c r="J37" s="124" t="n">
        <v>-46605</v>
      </c>
      <c r="K37" s="124" t="n">
        <v>-321281</v>
      </c>
      <c r="L37" s="124" t="n">
        <v>0</v>
      </c>
      <c r="M37" s="124" t="n">
        <v>-424060</v>
      </c>
      <c r="N37" s="124" t="n">
        <v>-516463</v>
      </c>
      <c r="P37" s="124" t="n">
        <f aca="false">ABS(D37)/$P$3</f>
        <v>330.919</v>
      </c>
      <c r="Q37" s="124" t="n">
        <f aca="false">ABS(E37)/$P$3</f>
        <v>0</v>
      </c>
      <c r="R37" s="124" t="n">
        <f aca="false">ABS(F37)/$P$3</f>
        <v>413.49</v>
      </c>
      <c r="S37" s="124" t="n">
        <f aca="false">ABS(G37)/$P$3</f>
        <v>12.076</v>
      </c>
      <c r="T37" s="124" t="n">
        <f aca="false">ABS(H37)/$P$3</f>
        <v>46.301</v>
      </c>
      <c r="U37" s="124" t="n">
        <f aca="false">ABS(I37)/$P$3</f>
        <v>548.445</v>
      </c>
      <c r="V37" s="124" t="n">
        <f aca="false">ABS(J37)/$P$3</f>
        <v>46.605</v>
      </c>
      <c r="W37" s="124" t="n">
        <f aca="false">ABS(K37)/$P$3</f>
        <v>321.281</v>
      </c>
      <c r="X37" s="124" t="n">
        <f aca="false">ABS(L37)/$P$3</f>
        <v>0</v>
      </c>
      <c r="Y37" s="124" t="n">
        <f aca="false">ABS(M37)/$P$3</f>
        <v>424.06</v>
      </c>
      <c r="Z37" s="124" t="n">
        <f aca="false">ABS(N37)/$P$3</f>
        <v>516.463</v>
      </c>
    </row>
    <row r="38" customFormat="false" ht="12.75" hidden="true" customHeight="false" outlineLevel="0" collapsed="false">
      <c r="A38" s="120" t="n">
        <f aca="false">A37+1</f>
        <v>36924</v>
      </c>
      <c r="B38" s="131" t="str">
        <f aca="false">INDEX('Master Data'!$A$2:$B$8,MATCH(WEEKDAY('RAC V@r Total'!A38,3),'Master Data'!$A$2:$A$8,0),2)</f>
        <v>F</v>
      </c>
      <c r="D38" s="124" t="n">
        <v>-334423</v>
      </c>
      <c r="E38" s="124" t="n">
        <v>0</v>
      </c>
      <c r="F38" s="124" t="n">
        <v>-613823</v>
      </c>
      <c r="G38" s="124" t="n">
        <v>-12017</v>
      </c>
      <c r="H38" s="124" t="n">
        <v>-46043</v>
      </c>
      <c r="I38" s="124" t="n">
        <v>-720969</v>
      </c>
      <c r="J38" s="124" t="n">
        <v>-46361</v>
      </c>
      <c r="K38" s="124" t="n">
        <v>-325346</v>
      </c>
      <c r="L38" s="124" t="n">
        <v>0</v>
      </c>
      <c r="M38" s="124" t="n">
        <v>-421119</v>
      </c>
      <c r="N38" s="124" t="n">
        <f aca="false">-683512+182978</f>
        <v>-500534</v>
      </c>
      <c r="P38" s="124" t="n">
        <f aca="false">ABS(D38)/$P$3</f>
        <v>334.423</v>
      </c>
      <c r="Q38" s="124" t="n">
        <f aca="false">ABS(E38)/$P$3</f>
        <v>0</v>
      </c>
      <c r="R38" s="124" t="n">
        <f aca="false">ABS(F38)/$P$3</f>
        <v>613.823</v>
      </c>
      <c r="S38" s="124" t="n">
        <f aca="false">ABS(G38)/$P$3</f>
        <v>12.017</v>
      </c>
      <c r="T38" s="124" t="n">
        <f aca="false">ABS(H38)/$P$3</f>
        <v>46.043</v>
      </c>
      <c r="U38" s="124" t="n">
        <f aca="false">ABS(I38)/$P$3</f>
        <v>720.969</v>
      </c>
      <c r="V38" s="124" t="n">
        <f aca="false">ABS(J38)/$P$3</f>
        <v>46.361</v>
      </c>
      <c r="W38" s="124" t="n">
        <f aca="false">ABS(K38)/$P$3</f>
        <v>325.346</v>
      </c>
      <c r="X38" s="124" t="n">
        <f aca="false">ABS(L38)/$P$3</f>
        <v>0</v>
      </c>
      <c r="Y38" s="124" t="n">
        <f aca="false">ABS(M38)/$P$3</f>
        <v>421.119</v>
      </c>
      <c r="Z38" s="124" t="n">
        <f aca="false">ABS(N38)/$P$3</f>
        <v>500.534</v>
      </c>
    </row>
    <row r="39" customFormat="false" ht="12.75" hidden="true" customHeight="false" outlineLevel="0" collapsed="false">
      <c r="A39" s="120" t="n">
        <f aca="false">A38+1</f>
        <v>36925</v>
      </c>
      <c r="B39" s="131" t="str">
        <f aca="false">INDEX('Master Data'!$A$2:$B$8,MATCH(WEEKDAY('RAC V@r Total'!A39,3),'Master Data'!$A$2:$A$8,0),2)</f>
        <v>Sa</v>
      </c>
      <c r="D39" s="124" t="n">
        <v>0</v>
      </c>
      <c r="E39" s="124" t="n">
        <v>0</v>
      </c>
      <c r="F39" s="124" t="n">
        <v>0</v>
      </c>
      <c r="G39" s="124" t="n">
        <v>0</v>
      </c>
      <c r="H39" s="124" t="n">
        <v>0</v>
      </c>
      <c r="I39" s="124" t="n">
        <v>0</v>
      </c>
      <c r="J39" s="124" t="n">
        <v>0</v>
      </c>
      <c r="K39" s="124" t="n">
        <v>0</v>
      </c>
      <c r="L39" s="124" t="n">
        <v>0</v>
      </c>
      <c r="M39" s="124" t="n">
        <v>0</v>
      </c>
      <c r="N39" s="124" t="n">
        <v>0</v>
      </c>
      <c r="P39" s="124" t="n">
        <f aca="false">ABS(D39)/$P$3</f>
        <v>0</v>
      </c>
      <c r="Q39" s="124" t="n">
        <f aca="false">ABS(E39)/$P$3</f>
        <v>0</v>
      </c>
      <c r="R39" s="124" t="n">
        <f aca="false">ABS(F39)/$P$3</f>
        <v>0</v>
      </c>
      <c r="S39" s="124" t="n">
        <f aca="false">ABS(G39)/$P$3</f>
        <v>0</v>
      </c>
      <c r="T39" s="124" t="n">
        <f aca="false">ABS(H39)/$P$3</f>
        <v>0</v>
      </c>
      <c r="U39" s="124" t="n">
        <f aca="false">ABS(I39)/$P$3</f>
        <v>0</v>
      </c>
      <c r="V39" s="124" t="n">
        <f aca="false">ABS(J39)/$P$3</f>
        <v>0</v>
      </c>
      <c r="W39" s="124" t="n">
        <f aca="false">ABS(K39)/$P$3</f>
        <v>0</v>
      </c>
      <c r="X39" s="124" t="n">
        <f aca="false">ABS(L39)/$P$3</f>
        <v>0</v>
      </c>
      <c r="Y39" s="124" t="n">
        <f aca="false">ABS(M39)/$P$3</f>
        <v>0</v>
      </c>
      <c r="Z39" s="124" t="n">
        <f aca="false">ABS(N39)/$P$3</f>
        <v>0</v>
      </c>
    </row>
    <row r="40" customFormat="false" ht="12.75" hidden="true" customHeight="false" outlineLevel="0" collapsed="false">
      <c r="A40" s="120" t="n">
        <f aca="false">A39+1</f>
        <v>36926</v>
      </c>
      <c r="B40" s="131" t="str">
        <f aca="false">INDEX('Master Data'!$A$2:$B$8,MATCH(WEEKDAY('RAC V@r Total'!A40,3),'Master Data'!$A$2:$A$8,0),2)</f>
        <v>Su</v>
      </c>
      <c r="D40" s="124" t="n">
        <v>0</v>
      </c>
      <c r="E40" s="124" t="n">
        <v>0</v>
      </c>
      <c r="F40" s="124" t="n">
        <v>0</v>
      </c>
      <c r="G40" s="124" t="n">
        <v>0</v>
      </c>
      <c r="H40" s="124" t="n">
        <v>0</v>
      </c>
      <c r="I40" s="124" t="n">
        <v>0</v>
      </c>
      <c r="J40" s="124" t="n">
        <v>0</v>
      </c>
      <c r="K40" s="124" t="n">
        <v>0</v>
      </c>
      <c r="L40" s="124" t="n">
        <v>0</v>
      </c>
      <c r="M40" s="124" t="n">
        <v>0</v>
      </c>
      <c r="N40" s="124" t="n">
        <v>0</v>
      </c>
      <c r="P40" s="124" t="n">
        <f aca="false">ABS(D40)/$P$3</f>
        <v>0</v>
      </c>
      <c r="Q40" s="124" t="n">
        <f aca="false">ABS(E40)/$P$3</f>
        <v>0</v>
      </c>
      <c r="R40" s="124" t="n">
        <f aca="false">ABS(F40)/$P$3</f>
        <v>0</v>
      </c>
      <c r="S40" s="124" t="n">
        <f aca="false">ABS(G40)/$P$3</f>
        <v>0</v>
      </c>
      <c r="T40" s="124" t="n">
        <f aca="false">ABS(H40)/$P$3</f>
        <v>0</v>
      </c>
      <c r="U40" s="124" t="n">
        <f aca="false">ABS(I40)/$P$3</f>
        <v>0</v>
      </c>
      <c r="V40" s="124" t="n">
        <f aca="false">ABS(J40)/$P$3</f>
        <v>0</v>
      </c>
      <c r="W40" s="124" t="n">
        <f aca="false">ABS(K40)/$P$3</f>
        <v>0</v>
      </c>
      <c r="X40" s="124" t="n">
        <f aca="false">ABS(L40)/$P$3</f>
        <v>0</v>
      </c>
      <c r="Y40" s="124" t="n">
        <f aca="false">ABS(M40)/$P$3</f>
        <v>0</v>
      </c>
      <c r="Z40" s="124" t="n">
        <f aca="false">ABS(N40)/$P$3</f>
        <v>0</v>
      </c>
    </row>
    <row r="41" customFormat="false" ht="12.75" hidden="true" customHeight="false" outlineLevel="0" collapsed="false">
      <c r="A41" s="120" t="n">
        <f aca="false">A40+1</f>
        <v>36927</v>
      </c>
      <c r="B41" s="131" t="str">
        <f aca="false">INDEX('Master Data'!$A$2:$B$8,MATCH(WEEKDAY('RAC V@r Total'!A41,3),'Master Data'!$A$2:$A$8,0),2)</f>
        <v>M</v>
      </c>
      <c r="D41" s="124" t="n">
        <v>-334423</v>
      </c>
      <c r="E41" s="124" t="n">
        <v>0</v>
      </c>
      <c r="F41" s="124" t="n">
        <v>-409275</v>
      </c>
      <c r="G41" s="124" t="n">
        <v>-11903</v>
      </c>
      <c r="H41" s="124" t="n">
        <v>-46005</v>
      </c>
      <c r="I41" s="124" t="n">
        <v>-447208</v>
      </c>
      <c r="J41" s="124" t="n">
        <v>-46406</v>
      </c>
      <c r="K41" s="124" t="n">
        <v>-325346</v>
      </c>
      <c r="L41" s="124" t="n">
        <v>0</v>
      </c>
      <c r="M41" s="124" t="n">
        <v>-421108</v>
      </c>
      <c r="N41" s="124" t="n">
        <v>-413692</v>
      </c>
      <c r="P41" s="124" t="n">
        <f aca="false">ABS(D41)/$P$3</f>
        <v>334.423</v>
      </c>
      <c r="Q41" s="124" t="n">
        <f aca="false">ABS(E41)/$P$3</f>
        <v>0</v>
      </c>
      <c r="R41" s="124" t="n">
        <f aca="false">ABS(F41)/$P$3</f>
        <v>409.275</v>
      </c>
      <c r="S41" s="124" t="n">
        <f aca="false">ABS(G41)/$P$3</f>
        <v>11.903</v>
      </c>
      <c r="T41" s="124" t="n">
        <f aca="false">ABS(H41)/$P$3</f>
        <v>46.005</v>
      </c>
      <c r="U41" s="124" t="n">
        <f aca="false">ABS(I41)/$P$3</f>
        <v>447.208</v>
      </c>
      <c r="V41" s="124" t="n">
        <f aca="false">ABS(J41)/$P$3</f>
        <v>46.406</v>
      </c>
      <c r="W41" s="124" t="n">
        <f aca="false">ABS(K41)/$P$3</f>
        <v>325.346</v>
      </c>
      <c r="X41" s="124" t="n">
        <f aca="false">ABS(L41)/$P$3</f>
        <v>0</v>
      </c>
      <c r="Y41" s="124" t="n">
        <f aca="false">ABS(M41)/$P$3</f>
        <v>421.108</v>
      </c>
      <c r="Z41" s="124" t="n">
        <f aca="false">ABS(N41)/$P$3</f>
        <v>413.692</v>
      </c>
    </row>
    <row r="42" customFormat="false" ht="12.75" hidden="true" customHeight="false" outlineLevel="0" collapsed="false">
      <c r="A42" s="120" t="n">
        <f aca="false">A41+1</f>
        <v>36928</v>
      </c>
      <c r="B42" s="131" t="str">
        <f aca="false">INDEX('Master Data'!$A$2:$B$8,MATCH(WEEKDAY('RAC V@r Total'!A42,3),'Master Data'!$A$2:$A$8,0),2)</f>
        <v>T</v>
      </c>
      <c r="D42" s="124" t="n">
        <v>-336724</v>
      </c>
      <c r="E42" s="124" t="n">
        <v>0</v>
      </c>
      <c r="F42" s="124" t="n">
        <v>-407280</v>
      </c>
      <c r="G42" s="124" t="n">
        <v>-11844</v>
      </c>
      <c r="H42" s="124" t="n">
        <v>-46011</v>
      </c>
      <c r="I42" s="124" t="n">
        <v>-551181</v>
      </c>
      <c r="J42" s="124" t="n">
        <v>-46553</v>
      </c>
      <c r="K42" s="124" t="n">
        <v>-327630</v>
      </c>
      <c r="L42" s="124" t="n">
        <v>0</v>
      </c>
      <c r="M42" s="124" t="n">
        <v>-419122</v>
      </c>
      <c r="N42" s="124" t="n">
        <v>-513581</v>
      </c>
      <c r="P42" s="124" t="n">
        <f aca="false">ABS(D42)/$P$3</f>
        <v>336.724</v>
      </c>
      <c r="Q42" s="124" t="n">
        <f aca="false">ABS(E42)/$P$3</f>
        <v>0</v>
      </c>
      <c r="R42" s="124" t="n">
        <f aca="false">ABS(F42)/$P$3</f>
        <v>407.28</v>
      </c>
      <c r="S42" s="124" t="n">
        <f aca="false">ABS(G42)/$P$3</f>
        <v>11.844</v>
      </c>
      <c r="T42" s="124" t="n">
        <f aca="false">ABS(H42)/$P$3</f>
        <v>46.011</v>
      </c>
      <c r="U42" s="124" t="n">
        <f aca="false">ABS(I42)/$P$3</f>
        <v>551.181</v>
      </c>
      <c r="V42" s="124" t="n">
        <f aca="false">ABS(J42)/$P$3</f>
        <v>46.553</v>
      </c>
      <c r="W42" s="124" t="n">
        <f aca="false">ABS(K42)/$P$3</f>
        <v>327.63</v>
      </c>
      <c r="X42" s="124" t="n">
        <f aca="false">ABS(L42)/$P$3</f>
        <v>0</v>
      </c>
      <c r="Y42" s="124" t="n">
        <f aca="false">ABS(M42)/$P$3</f>
        <v>419.122</v>
      </c>
      <c r="Z42" s="124" t="n">
        <f aca="false">ABS(N42)/$P$3</f>
        <v>513.581</v>
      </c>
    </row>
    <row r="43" customFormat="false" ht="12.75" hidden="true" customHeight="false" outlineLevel="0" collapsed="false">
      <c r="A43" s="120" t="n">
        <f aca="false">A42+1</f>
        <v>36929</v>
      </c>
      <c r="B43" s="131" t="str">
        <f aca="false">INDEX('Master Data'!$A$2:$B$8,MATCH(WEEKDAY('RAC V@r Total'!A43,3),'Master Data'!$A$2:$A$8,0),2)</f>
        <v>W</v>
      </c>
      <c r="D43" s="124" t="n">
        <v>-336338</v>
      </c>
      <c r="E43" s="124" t="n">
        <v>0</v>
      </c>
      <c r="F43" s="124" t="n">
        <v>-409549</v>
      </c>
      <c r="G43" s="124" t="n">
        <v>-11794</v>
      </c>
      <c r="H43" s="124" t="n">
        <v>-46225</v>
      </c>
      <c r="I43" s="124" t="n">
        <v>-551373</v>
      </c>
      <c r="J43" s="124" t="n">
        <v>-46818</v>
      </c>
      <c r="K43" s="124" t="n">
        <v>-327252</v>
      </c>
      <c r="L43" s="124" t="n">
        <v>0</v>
      </c>
      <c r="M43" s="124" t="n">
        <v>-428771</v>
      </c>
      <c r="N43" s="124" t="n">
        <v>-515743</v>
      </c>
      <c r="P43" s="124" t="n">
        <f aca="false">ABS(D43)/$P$3</f>
        <v>336.338</v>
      </c>
      <c r="Q43" s="124" t="n">
        <f aca="false">ABS(E43)/$P$3</f>
        <v>0</v>
      </c>
      <c r="R43" s="124" t="n">
        <f aca="false">ABS(F43)/$P$3</f>
        <v>409.549</v>
      </c>
      <c r="S43" s="124" t="n">
        <f aca="false">ABS(G43)/$P$3</f>
        <v>11.794</v>
      </c>
      <c r="T43" s="124" t="n">
        <f aca="false">ABS(H43)/$P$3</f>
        <v>46.225</v>
      </c>
      <c r="U43" s="124" t="n">
        <f aca="false">ABS(I43)/$P$3</f>
        <v>551.373</v>
      </c>
      <c r="V43" s="124" t="n">
        <f aca="false">ABS(J43)/$P$3</f>
        <v>46.818</v>
      </c>
      <c r="W43" s="124" t="n">
        <f aca="false">ABS(K43)/$P$3</f>
        <v>327.252</v>
      </c>
      <c r="X43" s="124" t="n">
        <f aca="false">ABS(L43)/$P$3</f>
        <v>0</v>
      </c>
      <c r="Y43" s="124" t="n">
        <f aca="false">ABS(M43)/$P$3</f>
        <v>428.771</v>
      </c>
      <c r="Z43" s="124" t="n">
        <f aca="false">ABS(N43)/$P$3</f>
        <v>515.743</v>
      </c>
    </row>
    <row r="44" customFormat="false" ht="12.75" hidden="true" customHeight="false" outlineLevel="0" collapsed="false">
      <c r="A44" s="120" t="n">
        <f aca="false">A43+1</f>
        <v>36930</v>
      </c>
      <c r="B44" s="131" t="str">
        <f aca="false">INDEX('Master Data'!$A$2:$B$8,MATCH(WEEKDAY('RAC V@r Total'!A44,3),'Master Data'!$A$2:$A$8,0),2)</f>
        <v>Th</v>
      </c>
      <c r="D44" s="124" t="n">
        <v>-336528</v>
      </c>
      <c r="E44" s="124" t="n">
        <v>0</v>
      </c>
      <c r="F44" s="124" t="n">
        <v>-409856</v>
      </c>
      <c r="G44" s="124" t="n">
        <v>-11745</v>
      </c>
      <c r="H44" s="124" t="n">
        <v>-46175</v>
      </c>
      <c r="I44" s="124" t="n">
        <v>-551682</v>
      </c>
      <c r="J44" s="124" t="n">
        <v>-46793</v>
      </c>
      <c r="K44" s="124" t="n">
        <v>-327442</v>
      </c>
      <c r="L44" s="124" t="n">
        <v>0</v>
      </c>
      <c r="M44" s="124" t="n">
        <v>-429553</v>
      </c>
      <c r="N44" s="124" t="n">
        <v>-516081</v>
      </c>
      <c r="P44" s="124" t="n">
        <f aca="false">ABS(D44)/$P$3</f>
        <v>336.528</v>
      </c>
      <c r="Q44" s="124" t="n">
        <f aca="false">ABS(E44)/$P$3</f>
        <v>0</v>
      </c>
      <c r="R44" s="124" t="n">
        <f aca="false">ABS(F44)/$P$3</f>
        <v>409.856</v>
      </c>
      <c r="S44" s="124" t="n">
        <f aca="false">ABS(G44)/$P$3</f>
        <v>11.745</v>
      </c>
      <c r="T44" s="124" t="n">
        <f aca="false">ABS(H44)/$P$3</f>
        <v>46.175</v>
      </c>
      <c r="U44" s="124" t="n">
        <f aca="false">ABS(I44)/$P$3</f>
        <v>551.682</v>
      </c>
      <c r="V44" s="124" t="n">
        <f aca="false">ABS(J44)/$P$3</f>
        <v>46.793</v>
      </c>
      <c r="W44" s="124" t="n">
        <f aca="false">ABS(K44)/$P$3</f>
        <v>327.442</v>
      </c>
      <c r="X44" s="124" t="n">
        <f aca="false">ABS(L44)/$P$3</f>
        <v>0</v>
      </c>
      <c r="Y44" s="124" t="n">
        <f aca="false">ABS(M44)/$P$3</f>
        <v>429.553</v>
      </c>
      <c r="Z44" s="124" t="n">
        <f aca="false">ABS(N44)/$P$3</f>
        <v>516.081</v>
      </c>
    </row>
    <row r="45" customFormat="false" ht="12.75" hidden="true" customHeight="false" outlineLevel="0" collapsed="false">
      <c r="A45" s="120" t="n">
        <f aca="false">A44+1</f>
        <v>36931</v>
      </c>
      <c r="B45" s="131" t="str">
        <f aca="false">INDEX('Master Data'!$A$2:$B$8,MATCH(WEEKDAY('RAC V@r Total'!A45,3),'Master Data'!$A$2:$A$8,0),2)</f>
        <v>F</v>
      </c>
      <c r="D45" s="124" t="n">
        <v>-1998304</v>
      </c>
      <c r="E45" s="124" t="n">
        <v>0</v>
      </c>
      <c r="F45" s="124" t="n">
        <v>-413241</v>
      </c>
      <c r="G45" s="124" t="n">
        <v>-11631</v>
      </c>
      <c r="H45" s="124" t="n">
        <v>-46352</v>
      </c>
      <c r="I45" s="124" t="n">
        <v>-2037856</v>
      </c>
      <c r="J45" s="124" t="n">
        <v>-46875</v>
      </c>
      <c r="K45" s="124" t="n">
        <v>-1991088</v>
      </c>
      <c r="L45" s="124" t="n">
        <v>0</v>
      </c>
      <c r="M45" s="124" t="n">
        <v>-431069</v>
      </c>
      <c r="N45" s="124" t="n">
        <v>-2026168</v>
      </c>
      <c r="P45" s="124" t="n">
        <f aca="false">ABS(D45)/$P$3</f>
        <v>1998.304</v>
      </c>
      <c r="Q45" s="124" t="n">
        <f aca="false">ABS(E45)/$P$3</f>
        <v>0</v>
      </c>
      <c r="R45" s="124" t="n">
        <f aca="false">ABS(F45)/$P$3</f>
        <v>413.241</v>
      </c>
      <c r="S45" s="124" t="n">
        <f aca="false">ABS(G45)/$P$3</f>
        <v>11.631</v>
      </c>
      <c r="T45" s="124" t="n">
        <f aca="false">ABS(H45)/$P$3</f>
        <v>46.352</v>
      </c>
      <c r="U45" s="124" t="n">
        <f aca="false">ABS(I45)/$P$3</f>
        <v>2037.856</v>
      </c>
      <c r="V45" s="124" t="n">
        <f aca="false">ABS(J45)/$P$3</f>
        <v>46.875</v>
      </c>
      <c r="W45" s="124" t="n">
        <f aca="false">ABS(K45)/$P$3</f>
        <v>1991.088</v>
      </c>
      <c r="X45" s="124" t="n">
        <f aca="false">ABS(L45)/$P$3</f>
        <v>0</v>
      </c>
      <c r="Y45" s="124" t="n">
        <f aca="false">ABS(M45)/$P$3</f>
        <v>431.069</v>
      </c>
      <c r="Z45" s="124" t="n">
        <f aca="false">ABS(N45)/$P$3</f>
        <v>2026.168</v>
      </c>
    </row>
    <row r="46" customFormat="false" ht="12.75" hidden="true" customHeight="false" outlineLevel="0" collapsed="false">
      <c r="A46" s="120" t="n">
        <f aca="false">A45+1</f>
        <v>36932</v>
      </c>
      <c r="B46" s="131" t="str">
        <f aca="false">INDEX('Master Data'!$A$2:$B$8,MATCH(WEEKDAY('RAC V@r Total'!A46,3),'Master Data'!$A$2:$A$8,0),2)</f>
        <v>Sa</v>
      </c>
      <c r="D46" s="124" t="n">
        <v>0</v>
      </c>
      <c r="E46" s="124" t="n">
        <v>0</v>
      </c>
      <c r="F46" s="124" t="n">
        <v>0</v>
      </c>
      <c r="G46" s="124" t="n">
        <v>0</v>
      </c>
      <c r="H46" s="124" t="n">
        <v>0</v>
      </c>
      <c r="I46" s="124" t="n">
        <v>0</v>
      </c>
      <c r="J46" s="124" t="n">
        <v>0</v>
      </c>
      <c r="K46" s="124" t="n">
        <v>0</v>
      </c>
      <c r="L46" s="124" t="n">
        <v>0</v>
      </c>
      <c r="M46" s="124" t="n">
        <v>0</v>
      </c>
      <c r="N46" s="124" t="n">
        <v>0</v>
      </c>
      <c r="P46" s="124" t="n">
        <f aca="false">ABS(D46)/$P$3</f>
        <v>0</v>
      </c>
      <c r="Q46" s="124" t="n">
        <f aca="false">ABS(E46)/$P$3</f>
        <v>0</v>
      </c>
      <c r="R46" s="124" t="n">
        <f aca="false">ABS(F46)/$P$3</f>
        <v>0</v>
      </c>
      <c r="S46" s="124" t="n">
        <f aca="false">ABS(G46)/$P$3</f>
        <v>0</v>
      </c>
      <c r="T46" s="124" t="n">
        <f aca="false">ABS(H46)/$P$3</f>
        <v>0</v>
      </c>
      <c r="U46" s="124" t="n">
        <f aca="false">ABS(I46)/$P$3</f>
        <v>0</v>
      </c>
      <c r="V46" s="124" t="n">
        <f aca="false">ABS(J46)/$P$3</f>
        <v>0</v>
      </c>
      <c r="W46" s="124" t="n">
        <f aca="false">ABS(K46)/$P$3</f>
        <v>0</v>
      </c>
      <c r="X46" s="124" t="n">
        <f aca="false">ABS(L46)/$P$3</f>
        <v>0</v>
      </c>
      <c r="Y46" s="124" t="n">
        <f aca="false">ABS(M46)/$P$3</f>
        <v>0</v>
      </c>
      <c r="Z46" s="124" t="n">
        <f aca="false">ABS(N46)/$P$3</f>
        <v>0</v>
      </c>
    </row>
    <row r="47" customFormat="false" ht="12.75" hidden="true" customHeight="false" outlineLevel="0" collapsed="false">
      <c r="A47" s="120" t="n">
        <f aca="false">A46+1</f>
        <v>36933</v>
      </c>
      <c r="B47" s="131" t="str">
        <f aca="false">INDEX('Master Data'!$A$2:$B$8,MATCH(WEEKDAY('RAC V@r Total'!A47,3),'Master Data'!$A$2:$A$8,0),2)</f>
        <v>Su</v>
      </c>
      <c r="D47" s="124" t="n">
        <v>0</v>
      </c>
      <c r="E47" s="124" t="n">
        <v>0</v>
      </c>
      <c r="F47" s="124" t="n">
        <v>0</v>
      </c>
      <c r="G47" s="124" t="n">
        <v>0</v>
      </c>
      <c r="H47" s="124" t="n">
        <v>0</v>
      </c>
      <c r="I47" s="124" t="n">
        <v>0</v>
      </c>
      <c r="J47" s="124" t="n">
        <v>0</v>
      </c>
      <c r="K47" s="124" t="n">
        <v>0</v>
      </c>
      <c r="L47" s="124" t="n">
        <v>0</v>
      </c>
      <c r="M47" s="124" t="n">
        <v>0</v>
      </c>
      <c r="N47" s="124" t="n">
        <v>0</v>
      </c>
      <c r="P47" s="124" t="n">
        <f aca="false">ABS(D47)/$P$3</f>
        <v>0</v>
      </c>
      <c r="Q47" s="124" t="n">
        <f aca="false">ABS(E47)/$P$3</f>
        <v>0</v>
      </c>
      <c r="R47" s="124" t="n">
        <f aca="false">ABS(F47)/$P$3</f>
        <v>0</v>
      </c>
      <c r="S47" s="124" t="n">
        <f aca="false">ABS(G47)/$P$3</f>
        <v>0</v>
      </c>
      <c r="T47" s="124" t="n">
        <f aca="false">ABS(H47)/$P$3</f>
        <v>0</v>
      </c>
      <c r="U47" s="124" t="n">
        <f aca="false">ABS(I47)/$P$3</f>
        <v>0</v>
      </c>
      <c r="V47" s="124" t="n">
        <f aca="false">ABS(J47)/$P$3</f>
        <v>0</v>
      </c>
      <c r="W47" s="124" t="n">
        <f aca="false">ABS(K47)/$P$3</f>
        <v>0</v>
      </c>
      <c r="X47" s="124" t="n">
        <f aca="false">ABS(L47)/$P$3</f>
        <v>0</v>
      </c>
      <c r="Y47" s="124" t="n">
        <f aca="false">ABS(M47)/$P$3</f>
        <v>0</v>
      </c>
      <c r="Z47" s="124" t="n">
        <f aca="false">ABS(N47)/$P$3</f>
        <v>0</v>
      </c>
    </row>
    <row r="48" customFormat="false" ht="12.75" hidden="true" customHeight="false" outlineLevel="0" collapsed="false">
      <c r="A48" s="120" t="n">
        <f aca="false">A47+1</f>
        <v>36934</v>
      </c>
      <c r="B48" s="131" t="str">
        <f aca="false">INDEX('Master Data'!$A$2:$B$8,MATCH(WEEKDAY('RAC V@r Total'!A48,3),'Master Data'!$A$2:$A$8,0),2)</f>
        <v>M</v>
      </c>
      <c r="D48" s="124" t="n">
        <v>-2001504</v>
      </c>
      <c r="E48" s="124" t="n">
        <v>0</v>
      </c>
      <c r="F48" s="124" t="n">
        <v>-413800</v>
      </c>
      <c r="G48" s="124" t="n">
        <v>-11545</v>
      </c>
      <c r="H48" s="124" t="n">
        <v>-46193</v>
      </c>
      <c r="I48" s="124" t="n">
        <v>-2041358</v>
      </c>
      <c r="J48" s="124" t="n">
        <v>-46670</v>
      </c>
      <c r="K48" s="124" t="n">
        <v>-1994319</v>
      </c>
      <c r="L48" s="124" t="n">
        <v>0</v>
      </c>
      <c r="M48" s="124" t="n">
        <v>-433116</v>
      </c>
      <c r="N48" s="124" t="n">
        <v>-2029265</v>
      </c>
      <c r="P48" s="124" t="n">
        <f aca="false">ABS(D48)/$P$3</f>
        <v>2001.504</v>
      </c>
      <c r="Q48" s="124" t="n">
        <f aca="false">ABS(E48)/$P$3</f>
        <v>0</v>
      </c>
      <c r="R48" s="124" t="n">
        <f aca="false">ABS(F48)/$P$3</f>
        <v>413.8</v>
      </c>
      <c r="S48" s="124" t="n">
        <f aca="false">ABS(G48)/$P$3</f>
        <v>11.545</v>
      </c>
      <c r="T48" s="124" t="n">
        <f aca="false">ABS(H48)/$P$3</f>
        <v>46.193</v>
      </c>
      <c r="U48" s="124" t="n">
        <f aca="false">ABS(I48)/$P$3</f>
        <v>2041.358</v>
      </c>
      <c r="V48" s="124" t="n">
        <f aca="false">ABS(J48)/$P$3</f>
        <v>46.67</v>
      </c>
      <c r="W48" s="124" t="n">
        <f aca="false">ABS(K48)/$P$3</f>
        <v>1994.319</v>
      </c>
      <c r="X48" s="124" t="n">
        <f aca="false">ABS(L48)/$P$3</f>
        <v>0</v>
      </c>
      <c r="Y48" s="124" t="n">
        <f aca="false">ABS(M48)/$P$3</f>
        <v>433.116</v>
      </c>
      <c r="Z48" s="124" t="n">
        <f aca="false">ABS(N48)/$P$3</f>
        <v>2029.265</v>
      </c>
    </row>
    <row r="49" customFormat="false" ht="12.75" hidden="true" customHeight="false" outlineLevel="0" collapsed="false">
      <c r="A49" s="120" t="n">
        <f aca="false">A48+1</f>
        <v>36935</v>
      </c>
      <c r="B49" s="131" t="str">
        <f aca="false">INDEX('Master Data'!$A$2:$B$8,MATCH(WEEKDAY('RAC V@r Total'!A49,3),'Master Data'!$A$2:$A$8,0),2)</f>
        <v>T</v>
      </c>
      <c r="D49" s="124" t="n">
        <v>-2005044</v>
      </c>
      <c r="E49" s="124" t="n">
        <v>0</v>
      </c>
      <c r="F49" s="124" t="n">
        <v>-413172</v>
      </c>
      <c r="G49" s="124" t="n">
        <v>-11500</v>
      </c>
      <c r="H49" s="124" t="n">
        <v>-46269</v>
      </c>
      <c r="I49" s="124" t="n">
        <v>-2046200</v>
      </c>
      <c r="J49" s="124" t="n">
        <v>-46465</v>
      </c>
      <c r="K49" s="124" t="n">
        <v>-1997876</v>
      </c>
      <c r="L49" s="124" t="n">
        <v>0</v>
      </c>
      <c r="M49" s="124" t="n">
        <v>-430553</v>
      </c>
      <c r="N49" s="124" t="n">
        <v>-2032697</v>
      </c>
      <c r="P49" s="124" t="n">
        <f aca="false">ABS(D49)/$P$3</f>
        <v>2005.044</v>
      </c>
      <c r="Q49" s="124" t="n">
        <f aca="false">ABS(E49)/$P$3</f>
        <v>0</v>
      </c>
      <c r="R49" s="124" t="n">
        <f aca="false">ABS(F49)/$P$3</f>
        <v>413.172</v>
      </c>
      <c r="S49" s="124" t="n">
        <f aca="false">ABS(G49)/$P$3</f>
        <v>11.5</v>
      </c>
      <c r="T49" s="124" t="n">
        <f aca="false">ABS(H49)/$P$3</f>
        <v>46.269</v>
      </c>
      <c r="U49" s="124" t="n">
        <f aca="false">ABS(I49)/$P$3</f>
        <v>2046.2</v>
      </c>
      <c r="V49" s="124" t="n">
        <f aca="false">ABS(J49)/$P$3</f>
        <v>46.465</v>
      </c>
      <c r="W49" s="124" t="n">
        <f aca="false">ABS(K49)/$P$3</f>
        <v>1997.876</v>
      </c>
      <c r="X49" s="124" t="n">
        <f aca="false">ABS(L49)/$P$3</f>
        <v>0</v>
      </c>
      <c r="Y49" s="124" t="n">
        <f aca="false">ABS(M49)/$P$3</f>
        <v>430.553</v>
      </c>
      <c r="Z49" s="124" t="n">
        <f aca="false">ABS(N49)/$P$3</f>
        <v>2032.697</v>
      </c>
    </row>
    <row r="50" customFormat="false" ht="12.75" hidden="true" customHeight="false" outlineLevel="0" collapsed="false">
      <c r="A50" s="120" t="n">
        <f aca="false">A49+1</f>
        <v>36936</v>
      </c>
      <c r="B50" s="131" t="str">
        <f aca="false">INDEX('Master Data'!$A$2:$B$8,MATCH(WEEKDAY('RAC V@r Total'!A50,3),'Master Data'!$A$2:$A$8,0),2)</f>
        <v>W</v>
      </c>
      <c r="D50" s="124" t="n">
        <v>-2005044</v>
      </c>
      <c r="E50" s="124" t="n">
        <v>0</v>
      </c>
      <c r="F50" s="124" t="n">
        <v>-409082</v>
      </c>
      <c r="G50" s="124" t="n">
        <v>-11742</v>
      </c>
      <c r="H50" s="124" t="n">
        <v>-46005</v>
      </c>
      <c r="I50" s="124" t="n">
        <v>-2046200</v>
      </c>
      <c r="J50" s="124" t="n">
        <v>-46582</v>
      </c>
      <c r="K50" s="124" t="n">
        <v>-1997876</v>
      </c>
      <c r="L50" s="124" t="n">
        <v>0</v>
      </c>
      <c r="M50" s="124" t="n">
        <v>-410595</v>
      </c>
      <c r="N50" s="124" t="n">
        <v>-2032697</v>
      </c>
      <c r="P50" s="124" t="n">
        <f aca="false">ABS(D50)/$P$3</f>
        <v>2005.044</v>
      </c>
      <c r="Q50" s="124" t="n">
        <f aca="false">ABS(E50)/$P$3</f>
        <v>0</v>
      </c>
      <c r="R50" s="124" t="n">
        <f aca="false">ABS(F50)/$P$3</f>
        <v>409.082</v>
      </c>
      <c r="S50" s="124" t="n">
        <f aca="false">ABS(G50)/$P$3</f>
        <v>11.742</v>
      </c>
      <c r="T50" s="124" t="n">
        <f aca="false">ABS(H50)/$P$3</f>
        <v>46.005</v>
      </c>
      <c r="U50" s="124" t="n">
        <f aca="false">ABS(I50)/$P$3</f>
        <v>2046.2</v>
      </c>
      <c r="V50" s="124" t="n">
        <f aca="false">ABS(J50)/$P$3</f>
        <v>46.582</v>
      </c>
      <c r="W50" s="124" t="n">
        <f aca="false">ABS(K50)/$P$3</f>
        <v>1997.876</v>
      </c>
      <c r="X50" s="124" t="n">
        <f aca="false">ABS(L50)/$P$3</f>
        <v>0</v>
      </c>
      <c r="Y50" s="124" t="n">
        <f aca="false">ABS(M50)/$P$3</f>
        <v>410.595</v>
      </c>
      <c r="Z50" s="124" t="n">
        <f aca="false">ABS(N50)/$P$3</f>
        <v>2032.697</v>
      </c>
    </row>
    <row r="51" customFormat="false" ht="12.75" hidden="true" customHeight="false" outlineLevel="0" collapsed="false">
      <c r="A51" s="120" t="n">
        <f aca="false">A50+1</f>
        <v>36937</v>
      </c>
      <c r="B51" s="131" t="str">
        <f aca="false">INDEX('Master Data'!$A$2:$B$8,MATCH(WEEKDAY('RAC V@r Total'!A51,3),'Master Data'!$A$2:$A$8,0),2)</f>
        <v>Th</v>
      </c>
      <c r="D51" s="124" t="n">
        <v>-2005044</v>
      </c>
      <c r="E51" s="124" t="n">
        <v>0</v>
      </c>
      <c r="F51" s="124" t="n">
        <v>-409082</v>
      </c>
      <c r="G51" s="124" t="n">
        <v>-11742</v>
      </c>
      <c r="H51" s="124" t="n">
        <v>-57596</v>
      </c>
      <c r="I51" s="124" t="n">
        <v>-2046200</v>
      </c>
      <c r="J51" s="124" t="n">
        <v>-57596</v>
      </c>
      <c r="K51" s="124" t="n">
        <v>-1997876</v>
      </c>
      <c r="L51" s="124" t="n">
        <v>0</v>
      </c>
      <c r="M51" s="124" t="n">
        <v>-401519</v>
      </c>
      <c r="N51" s="124" t="n">
        <v>-2032697</v>
      </c>
      <c r="P51" s="124" t="n">
        <f aca="false">ABS(D51)/$P$3</f>
        <v>2005.044</v>
      </c>
      <c r="Q51" s="124" t="n">
        <f aca="false">ABS(E51)/$P$3</f>
        <v>0</v>
      </c>
      <c r="R51" s="124" t="n">
        <f aca="false">ABS(F51)/$P$3</f>
        <v>409.082</v>
      </c>
      <c r="S51" s="124" t="n">
        <f aca="false">ABS(G51)/$P$3</f>
        <v>11.742</v>
      </c>
      <c r="T51" s="124" t="n">
        <f aca="false">ABS(H51)/$P$3</f>
        <v>57.596</v>
      </c>
      <c r="U51" s="124" t="n">
        <f aca="false">ABS(I51)/$P$3</f>
        <v>2046.2</v>
      </c>
      <c r="V51" s="124" t="n">
        <f aca="false">ABS(J51)/$P$3</f>
        <v>57.596</v>
      </c>
      <c r="W51" s="124" t="n">
        <f aca="false">ABS(K51)/$P$3</f>
        <v>1997.876</v>
      </c>
      <c r="X51" s="124" t="n">
        <f aca="false">ABS(L51)/$P$3</f>
        <v>0</v>
      </c>
      <c r="Y51" s="124" t="n">
        <f aca="false">ABS(M51)/$P$3</f>
        <v>401.519</v>
      </c>
      <c r="Z51" s="124" t="n">
        <f aca="false">ABS(N51)/$P$3</f>
        <v>2032.697</v>
      </c>
    </row>
    <row r="52" customFormat="false" ht="12.75" hidden="true" customHeight="false" outlineLevel="0" collapsed="false">
      <c r="A52" s="120" t="n">
        <f aca="false">A51+1</f>
        <v>36938</v>
      </c>
      <c r="B52" s="131" t="str">
        <f aca="false">INDEX('Master Data'!$A$2:$B$8,MATCH(WEEKDAY('RAC V@r Total'!A52,3),'Master Data'!$A$2:$A$8,0),2)</f>
        <v>F</v>
      </c>
      <c r="D52" s="125" t="n">
        <v>-2005044</v>
      </c>
      <c r="E52" s="124" t="n">
        <v>0</v>
      </c>
      <c r="F52" s="124" t="n">
        <v>-412135</v>
      </c>
      <c r="G52" s="124" t="n">
        <v>-11597</v>
      </c>
      <c r="H52" s="124" t="n">
        <v>-57794</v>
      </c>
      <c r="I52" s="125" t="n">
        <v>-2046200</v>
      </c>
      <c r="J52" s="124" t="n">
        <v>-57221</v>
      </c>
      <c r="K52" s="125" t="n">
        <v>-1997876</v>
      </c>
      <c r="L52" s="124" t="n">
        <v>0</v>
      </c>
      <c r="M52" s="124" t="n">
        <v>-406760</v>
      </c>
      <c r="N52" s="125" t="n">
        <v>-2032697</v>
      </c>
      <c r="P52" s="124" t="n">
        <f aca="false">ABS(D52)/$P$3</f>
        <v>2005.044</v>
      </c>
      <c r="Q52" s="124" t="n">
        <f aca="false">ABS(E52)/$P$3</f>
        <v>0</v>
      </c>
      <c r="R52" s="124" t="n">
        <f aca="false">ABS(F52)/$P$3</f>
        <v>412.135</v>
      </c>
      <c r="S52" s="124" t="n">
        <f aca="false">ABS(G52)/$P$3</f>
        <v>11.597</v>
      </c>
      <c r="T52" s="124" t="n">
        <f aca="false">ABS(H52)/$P$3</f>
        <v>57.794</v>
      </c>
      <c r="U52" s="124" t="n">
        <f aca="false">ABS(I52)/$P$3</f>
        <v>2046.2</v>
      </c>
      <c r="V52" s="124" t="n">
        <f aca="false">ABS(J52)/$P$3</f>
        <v>57.221</v>
      </c>
      <c r="W52" s="124" t="n">
        <f aca="false">ABS(K52)/$P$3</f>
        <v>1997.876</v>
      </c>
      <c r="X52" s="124" t="n">
        <f aca="false">ABS(L52)/$P$3</f>
        <v>0</v>
      </c>
      <c r="Y52" s="124" t="n">
        <f aca="false">ABS(M52)/$P$3</f>
        <v>406.76</v>
      </c>
      <c r="Z52" s="124" t="n">
        <f aca="false">ABS(N52)/$P$3</f>
        <v>2032.697</v>
      </c>
    </row>
    <row r="53" customFormat="false" ht="12.75" hidden="true" customHeight="false" outlineLevel="0" collapsed="false">
      <c r="A53" s="120" t="n">
        <f aca="false">A52+1</f>
        <v>36939</v>
      </c>
      <c r="B53" s="131" t="str">
        <f aca="false">INDEX('Master Data'!$A$2:$B$8,MATCH(WEEKDAY('RAC V@r Total'!A53,3),'Master Data'!$A$2:$A$8,0),2)</f>
        <v>Sa</v>
      </c>
      <c r="D53" s="124" t="n">
        <v>0</v>
      </c>
      <c r="E53" s="124" t="n">
        <v>0</v>
      </c>
      <c r="F53" s="124" t="n">
        <v>0</v>
      </c>
      <c r="G53" s="124" t="n">
        <v>0</v>
      </c>
      <c r="H53" s="124" t="n">
        <v>0</v>
      </c>
      <c r="I53" s="124" t="n">
        <v>0</v>
      </c>
      <c r="J53" s="124" t="n">
        <v>0</v>
      </c>
      <c r="K53" s="124" t="n">
        <v>0</v>
      </c>
      <c r="L53" s="124" t="n">
        <v>0</v>
      </c>
      <c r="M53" s="124" t="n">
        <v>0</v>
      </c>
      <c r="N53" s="124" t="n">
        <v>0</v>
      </c>
      <c r="P53" s="124" t="n">
        <f aca="false">ABS(D53)/$P$3</f>
        <v>0</v>
      </c>
      <c r="Q53" s="124" t="n">
        <f aca="false">ABS(E53)/$P$3</f>
        <v>0</v>
      </c>
      <c r="R53" s="124" t="n">
        <f aca="false">ABS(F53)/$P$3</f>
        <v>0</v>
      </c>
      <c r="S53" s="124" t="n">
        <f aca="false">ABS(G53)/$P$3</f>
        <v>0</v>
      </c>
      <c r="T53" s="124" t="n">
        <f aca="false">ABS(H53)/$P$3</f>
        <v>0</v>
      </c>
      <c r="U53" s="124" t="n">
        <f aca="false">ABS(I53)/$P$3</f>
        <v>0</v>
      </c>
      <c r="V53" s="124" t="n">
        <f aca="false">ABS(J53)/$P$3</f>
        <v>0</v>
      </c>
      <c r="W53" s="124" t="n">
        <f aca="false">ABS(K53)/$P$3</f>
        <v>0</v>
      </c>
      <c r="X53" s="124" t="n">
        <f aca="false">ABS(L53)/$P$3</f>
        <v>0</v>
      </c>
      <c r="Y53" s="124" t="n">
        <f aca="false">ABS(M53)/$P$3</f>
        <v>0</v>
      </c>
      <c r="Z53" s="124" t="n">
        <f aca="false">ABS(N53)/$P$3</f>
        <v>0</v>
      </c>
    </row>
    <row r="54" customFormat="false" ht="12.75" hidden="true" customHeight="false" outlineLevel="0" collapsed="false">
      <c r="A54" s="120" t="n">
        <f aca="false">A53+1</f>
        <v>36940</v>
      </c>
      <c r="B54" s="131" t="str">
        <f aca="false">INDEX('Master Data'!$A$2:$B$8,MATCH(WEEKDAY('RAC V@r Total'!A54,3),'Master Data'!$A$2:$A$8,0),2)</f>
        <v>Su</v>
      </c>
      <c r="D54" s="124" t="n">
        <v>0</v>
      </c>
      <c r="E54" s="124" t="n">
        <v>0</v>
      </c>
      <c r="F54" s="124" t="n">
        <v>0</v>
      </c>
      <c r="G54" s="124" t="n">
        <v>0</v>
      </c>
      <c r="H54" s="124" t="n">
        <v>0</v>
      </c>
      <c r="I54" s="124" t="n">
        <v>0</v>
      </c>
      <c r="J54" s="124" t="n">
        <v>0</v>
      </c>
      <c r="K54" s="124" t="n">
        <v>0</v>
      </c>
      <c r="L54" s="124" t="n">
        <v>0</v>
      </c>
      <c r="M54" s="124" t="n">
        <v>0</v>
      </c>
      <c r="N54" s="124" t="n">
        <v>0</v>
      </c>
      <c r="P54" s="124" t="n">
        <f aca="false">ABS(D54)/$P$3</f>
        <v>0</v>
      </c>
      <c r="Q54" s="124" t="n">
        <f aca="false">ABS(E54)/$P$3</f>
        <v>0</v>
      </c>
      <c r="R54" s="124" t="n">
        <f aca="false">ABS(F54)/$P$3</f>
        <v>0</v>
      </c>
      <c r="S54" s="124" t="n">
        <f aca="false">ABS(G54)/$P$3</f>
        <v>0</v>
      </c>
      <c r="T54" s="124" t="n">
        <f aca="false">ABS(H54)/$P$3</f>
        <v>0</v>
      </c>
      <c r="U54" s="124" t="n">
        <f aca="false">ABS(I54)/$P$3</f>
        <v>0</v>
      </c>
      <c r="V54" s="124" t="n">
        <f aca="false">ABS(J54)/$P$3</f>
        <v>0</v>
      </c>
      <c r="W54" s="124" t="n">
        <f aca="false">ABS(K54)/$P$3</f>
        <v>0</v>
      </c>
      <c r="X54" s="124" t="n">
        <f aca="false">ABS(L54)/$P$3</f>
        <v>0</v>
      </c>
      <c r="Y54" s="124" t="n">
        <f aca="false">ABS(M54)/$P$3</f>
        <v>0</v>
      </c>
      <c r="Z54" s="124" t="n">
        <f aca="false">ABS(N54)/$P$3</f>
        <v>0</v>
      </c>
    </row>
    <row r="55" customFormat="false" ht="12.75" hidden="true" customHeight="false" outlineLevel="0" collapsed="false">
      <c r="A55" s="120" t="n">
        <f aca="false">A54+1</f>
        <v>36941</v>
      </c>
      <c r="B55" s="131" t="str">
        <f aca="false">INDEX('Master Data'!$A$2:$B$8,MATCH(WEEKDAY('RAC V@r Total'!A55,3),'Master Data'!$A$2:$A$8,0),2)</f>
        <v>M</v>
      </c>
      <c r="D55" s="124" t="n">
        <v>0</v>
      </c>
      <c r="E55" s="124" t="n">
        <v>0</v>
      </c>
      <c r="F55" s="124" t="n">
        <v>0</v>
      </c>
      <c r="G55" s="124" t="n">
        <v>0</v>
      </c>
      <c r="H55" s="124" t="n">
        <v>0</v>
      </c>
      <c r="I55" s="124" t="n">
        <v>0</v>
      </c>
      <c r="J55" s="124" t="n">
        <v>0</v>
      </c>
      <c r="K55" s="124" t="n">
        <v>0</v>
      </c>
      <c r="L55" s="124" t="n">
        <v>0</v>
      </c>
      <c r="M55" s="124" t="n">
        <v>0</v>
      </c>
      <c r="N55" s="124" t="n">
        <v>0</v>
      </c>
      <c r="P55" s="124" t="n">
        <f aca="false">ABS(D55)/$P$3</f>
        <v>0</v>
      </c>
      <c r="Q55" s="124" t="n">
        <f aca="false">ABS(E55)/$P$3</f>
        <v>0</v>
      </c>
      <c r="R55" s="124" t="n">
        <f aca="false">ABS(F55)/$P$3</f>
        <v>0</v>
      </c>
      <c r="S55" s="124" t="n">
        <f aca="false">ABS(G55)/$P$3</f>
        <v>0</v>
      </c>
      <c r="T55" s="124" t="n">
        <f aca="false">ABS(H55)/$P$3</f>
        <v>0</v>
      </c>
      <c r="U55" s="124" t="n">
        <f aca="false">ABS(I55)/$P$3</f>
        <v>0</v>
      </c>
      <c r="V55" s="124" t="n">
        <f aca="false">ABS(J55)/$P$3</f>
        <v>0</v>
      </c>
      <c r="W55" s="124" t="n">
        <f aca="false">ABS(K55)/$P$3</f>
        <v>0</v>
      </c>
      <c r="X55" s="124" t="n">
        <f aca="false">ABS(L55)/$P$3</f>
        <v>0</v>
      </c>
      <c r="Y55" s="124" t="n">
        <f aca="false">ABS(M55)/$P$3</f>
        <v>0</v>
      </c>
      <c r="Z55" s="124" t="n">
        <f aca="false">ABS(N55)/$P$3</f>
        <v>0</v>
      </c>
    </row>
    <row r="56" customFormat="false" ht="12.75" hidden="true" customHeight="false" outlineLevel="0" collapsed="false">
      <c r="A56" s="120" t="n">
        <f aca="false">A55+1</f>
        <v>36942</v>
      </c>
      <c r="B56" s="131" t="str">
        <f aca="false">INDEX('Master Data'!$A$2:$B$8,MATCH(WEEKDAY('RAC V@r Total'!A56,3),'Master Data'!$A$2:$A$8,0),2)</f>
        <v>T</v>
      </c>
      <c r="D56" s="125" t="n">
        <v>-2005044</v>
      </c>
      <c r="E56" s="124" t="n">
        <v>0</v>
      </c>
      <c r="F56" s="124" t="n">
        <v>-414238</v>
      </c>
      <c r="G56" s="124" t="n">
        <v>-17003</v>
      </c>
      <c r="H56" s="124" t="n">
        <v>-57787</v>
      </c>
      <c r="I56" s="125" t="n">
        <v>-2046200</v>
      </c>
      <c r="J56" s="124" t="n">
        <v>-57940</v>
      </c>
      <c r="K56" s="125" t="n">
        <v>-1997876</v>
      </c>
      <c r="L56" s="124" t="n">
        <v>0</v>
      </c>
      <c r="M56" s="124" t="n">
        <v>-408769</v>
      </c>
      <c r="N56" s="125" t="n">
        <v>-2032697</v>
      </c>
      <c r="P56" s="124" t="n">
        <f aca="false">ABS(D56)/$P$3</f>
        <v>2005.044</v>
      </c>
      <c r="Q56" s="124" t="n">
        <f aca="false">ABS(E56)/$P$3</f>
        <v>0</v>
      </c>
      <c r="R56" s="124" t="n">
        <f aca="false">ABS(F56)/$P$3</f>
        <v>414.238</v>
      </c>
      <c r="S56" s="124" t="n">
        <f aca="false">ABS(G56)/$P$3</f>
        <v>17.003</v>
      </c>
      <c r="T56" s="124" t="n">
        <f aca="false">ABS(H56)/$P$3</f>
        <v>57.787</v>
      </c>
      <c r="U56" s="124" t="n">
        <f aca="false">ABS(I56)/$P$3</f>
        <v>2046.2</v>
      </c>
      <c r="V56" s="124" t="n">
        <f aca="false">ABS(J56)/$P$3</f>
        <v>57.94</v>
      </c>
      <c r="W56" s="124" t="n">
        <f aca="false">ABS(K56)/$P$3</f>
        <v>1997.876</v>
      </c>
      <c r="X56" s="124" t="n">
        <f aca="false">ABS(L56)/$P$3</f>
        <v>0</v>
      </c>
      <c r="Y56" s="124" t="n">
        <f aca="false">ABS(M56)/$P$3</f>
        <v>408.769</v>
      </c>
      <c r="Z56" s="124" t="n">
        <f aca="false">ABS(N56)/$P$3</f>
        <v>2032.697</v>
      </c>
    </row>
    <row r="57" customFormat="false" ht="12.75" hidden="true" customHeight="false" outlineLevel="0" collapsed="false">
      <c r="A57" s="120" t="n">
        <f aca="false">A56+1</f>
        <v>36943</v>
      </c>
      <c r="B57" s="131" t="str">
        <f aca="false">INDEX('Master Data'!$A$2:$B$8,MATCH(WEEKDAY('RAC V@r Total'!A57,3),'Master Data'!$A$2:$A$8,0),2)</f>
        <v>W</v>
      </c>
      <c r="D57" s="124" t="n">
        <v>-3596056</v>
      </c>
      <c r="E57" s="124" t="n">
        <v>0</v>
      </c>
      <c r="F57" s="124" t="n">
        <v>-377866</v>
      </c>
      <c r="G57" s="124" t="n">
        <v>-15809</v>
      </c>
      <c r="H57" s="124" t="n">
        <v>-53743</v>
      </c>
      <c r="I57" s="124" t="n">
        <v>-3588289</v>
      </c>
      <c r="J57" s="124" t="n">
        <v>-56379</v>
      </c>
      <c r="K57" s="124" t="n">
        <v>-3583239</v>
      </c>
      <c r="L57" s="124" t="n">
        <v>0</v>
      </c>
      <c r="M57" s="124" t="n">
        <v>-440898</v>
      </c>
      <c r="N57" s="124" t="n">
        <v>-3604626</v>
      </c>
      <c r="P57" s="124" t="n">
        <f aca="false">ABS(D57)/$P$3</f>
        <v>3596.056</v>
      </c>
      <c r="Q57" s="124" t="n">
        <f aca="false">ABS(E57)/$P$3</f>
        <v>0</v>
      </c>
      <c r="R57" s="124" t="n">
        <f aca="false">ABS(F57)/$P$3</f>
        <v>377.866</v>
      </c>
      <c r="S57" s="124" t="n">
        <f aca="false">ABS(G57)/$P$3</f>
        <v>15.809</v>
      </c>
      <c r="T57" s="124" t="n">
        <f aca="false">ABS(H57)/$P$3</f>
        <v>53.743</v>
      </c>
      <c r="U57" s="124" t="n">
        <f aca="false">ABS(I57)/$P$3</f>
        <v>3588.289</v>
      </c>
      <c r="V57" s="124" t="n">
        <f aca="false">ABS(J57)/$P$3</f>
        <v>56.379</v>
      </c>
      <c r="W57" s="124" t="n">
        <f aca="false">ABS(K57)/$P$3</f>
        <v>3583.239</v>
      </c>
      <c r="X57" s="124" t="n">
        <f aca="false">ABS(L57)/$P$3</f>
        <v>0</v>
      </c>
      <c r="Y57" s="124" t="n">
        <f aca="false">ABS(M57)/$P$3</f>
        <v>440.898</v>
      </c>
      <c r="Z57" s="124" t="n">
        <f aca="false">ABS(N57)/$P$3</f>
        <v>3604.626</v>
      </c>
    </row>
    <row r="58" customFormat="false" ht="12.75" hidden="true" customHeight="false" outlineLevel="0" collapsed="false">
      <c r="A58" s="120" t="n">
        <f aca="false">A57+1</f>
        <v>36944</v>
      </c>
      <c r="B58" s="131" t="str">
        <f aca="false">INDEX('Master Data'!$A$2:$B$8,MATCH(WEEKDAY('RAC V@r Total'!A58,3),'Master Data'!$A$2:$A$8,0),2)</f>
        <v>Th</v>
      </c>
      <c r="D58" s="124" t="n">
        <v>-3558042</v>
      </c>
      <c r="E58" s="124" t="n">
        <v>0</v>
      </c>
      <c r="F58" s="124" t="n">
        <v>-376577</v>
      </c>
      <c r="G58" s="124" t="n">
        <v>-15315</v>
      </c>
      <c r="H58" s="124" t="n">
        <v>-53805</v>
      </c>
      <c r="I58" s="124" t="n">
        <v>-3547003</v>
      </c>
      <c r="J58" s="124" t="n">
        <v>-55980</v>
      </c>
      <c r="K58" s="124" t="n">
        <v>-3545555</v>
      </c>
      <c r="L58" s="124" t="n">
        <v>0</v>
      </c>
      <c r="M58" s="124" t="n">
        <v>-441699</v>
      </c>
      <c r="N58" s="124" t="n">
        <v>-3555708</v>
      </c>
      <c r="P58" s="124" t="n">
        <f aca="false">ABS(D58)/$P$3</f>
        <v>3558.042</v>
      </c>
      <c r="Q58" s="124" t="n">
        <f aca="false">ABS(E58)/$P$3</f>
        <v>0</v>
      </c>
      <c r="R58" s="124" t="n">
        <f aca="false">ABS(F58)/$P$3</f>
        <v>376.577</v>
      </c>
      <c r="S58" s="124" t="n">
        <f aca="false">ABS(G58)/$P$3</f>
        <v>15.315</v>
      </c>
      <c r="T58" s="124" t="n">
        <f aca="false">ABS(H58)/$P$3</f>
        <v>53.805</v>
      </c>
      <c r="U58" s="124" t="n">
        <f aca="false">ABS(I58)/$P$3</f>
        <v>3547.003</v>
      </c>
      <c r="V58" s="124" t="n">
        <f aca="false">ABS(J58)/$P$3</f>
        <v>55.98</v>
      </c>
      <c r="W58" s="124" t="n">
        <f aca="false">ABS(K58)/$P$3</f>
        <v>3545.555</v>
      </c>
      <c r="X58" s="124" t="n">
        <f aca="false">ABS(L58)/$P$3</f>
        <v>0</v>
      </c>
      <c r="Y58" s="124" t="n">
        <f aca="false">ABS(M58)/$P$3</f>
        <v>441.699</v>
      </c>
      <c r="Z58" s="124" t="n">
        <f aca="false">ABS(N58)/$P$3</f>
        <v>3555.708</v>
      </c>
    </row>
    <row r="59" customFormat="false" ht="12.75" hidden="true" customHeight="false" outlineLevel="0" collapsed="false">
      <c r="A59" s="120" t="n">
        <f aca="false">A58+1</f>
        <v>36945</v>
      </c>
      <c r="B59" s="131" t="str">
        <f aca="false">INDEX('Master Data'!$A$2:$B$8,MATCH(WEEKDAY('RAC V@r Total'!A59,3),'Master Data'!$A$2:$A$8,0),2)</f>
        <v>F</v>
      </c>
      <c r="D59" s="124" t="n">
        <v>-3546183</v>
      </c>
      <c r="E59" s="124" t="n">
        <v>0</v>
      </c>
      <c r="F59" s="124" t="n">
        <v>-379083</v>
      </c>
      <c r="G59" s="124" t="n">
        <v>-15081</v>
      </c>
      <c r="H59" s="124" t="n">
        <v>-53925</v>
      </c>
      <c r="I59" s="124" t="n">
        <v>-3534271</v>
      </c>
      <c r="J59" s="124" t="n">
        <v>-56171</v>
      </c>
      <c r="K59" s="124" t="n">
        <v>-3533827</v>
      </c>
      <c r="L59" s="124" t="n">
        <v>0</v>
      </c>
      <c r="M59" s="124" t="n">
        <v>-445099</v>
      </c>
      <c r="N59" s="124" t="n">
        <v>-3537134</v>
      </c>
      <c r="P59" s="124" t="n">
        <f aca="false">ABS(D59)/$P$3</f>
        <v>3546.183</v>
      </c>
      <c r="Q59" s="124" t="n">
        <f aca="false">ABS(E59)/$P$3</f>
        <v>0</v>
      </c>
      <c r="R59" s="124" t="n">
        <f aca="false">ABS(F59)/$P$3</f>
        <v>379.083</v>
      </c>
      <c r="S59" s="124" t="n">
        <f aca="false">ABS(G59)/$P$3</f>
        <v>15.081</v>
      </c>
      <c r="T59" s="124" t="n">
        <f aca="false">ABS(H59)/$P$3</f>
        <v>53.925</v>
      </c>
      <c r="U59" s="124" t="n">
        <f aca="false">ABS(I59)/$P$3</f>
        <v>3534.271</v>
      </c>
      <c r="V59" s="124" t="n">
        <f aca="false">ABS(J59)/$P$3</f>
        <v>56.171</v>
      </c>
      <c r="W59" s="124" t="n">
        <f aca="false">ABS(K59)/$P$3</f>
        <v>3533.827</v>
      </c>
      <c r="X59" s="124" t="n">
        <f aca="false">ABS(L59)/$P$3</f>
        <v>0</v>
      </c>
      <c r="Y59" s="124" t="n">
        <f aca="false">ABS(M59)/$P$3</f>
        <v>445.099</v>
      </c>
      <c r="Z59" s="124" t="n">
        <f aca="false">ABS(N59)/$P$3</f>
        <v>3537.134</v>
      </c>
    </row>
    <row r="60" customFormat="false" ht="12.75" hidden="true" customHeight="false" outlineLevel="0" collapsed="false">
      <c r="A60" s="120" t="n">
        <f aca="false">A59+1</f>
        <v>36946</v>
      </c>
      <c r="B60" s="131" t="str">
        <f aca="false">INDEX('Master Data'!$A$2:$B$8,MATCH(WEEKDAY('RAC V@r Total'!A60,3),'Master Data'!$A$2:$A$8,0),2)</f>
        <v>Sa</v>
      </c>
      <c r="D60" s="124" t="n">
        <v>0</v>
      </c>
      <c r="E60" s="124" t="n">
        <v>0</v>
      </c>
      <c r="F60" s="124" t="n">
        <v>0</v>
      </c>
      <c r="G60" s="124" t="n">
        <v>0</v>
      </c>
      <c r="H60" s="124" t="n">
        <v>0</v>
      </c>
      <c r="I60" s="124" t="n">
        <v>0</v>
      </c>
      <c r="J60" s="124" t="n">
        <v>0</v>
      </c>
      <c r="K60" s="124" t="n">
        <v>0</v>
      </c>
      <c r="L60" s="124" t="n">
        <v>0</v>
      </c>
      <c r="M60" s="124" t="n">
        <v>0</v>
      </c>
      <c r="N60" s="124" t="n">
        <v>0</v>
      </c>
      <c r="P60" s="124" t="n">
        <f aca="false">ABS(D60)/$P$3</f>
        <v>0</v>
      </c>
      <c r="Q60" s="124" t="n">
        <f aca="false">ABS(E60)/$P$3</f>
        <v>0</v>
      </c>
      <c r="R60" s="124" t="n">
        <f aca="false">ABS(F60)/$P$3</f>
        <v>0</v>
      </c>
      <c r="S60" s="124" t="n">
        <f aca="false">ABS(G60)/$P$3</f>
        <v>0</v>
      </c>
      <c r="T60" s="124" t="n">
        <f aca="false">ABS(H60)/$P$3</f>
        <v>0</v>
      </c>
      <c r="U60" s="124" t="n">
        <f aca="false">ABS(I60)/$P$3</f>
        <v>0</v>
      </c>
      <c r="V60" s="124" t="n">
        <f aca="false">ABS(J60)/$P$3</f>
        <v>0</v>
      </c>
      <c r="W60" s="124" t="n">
        <f aca="false">ABS(K60)/$P$3</f>
        <v>0</v>
      </c>
      <c r="X60" s="124" t="n">
        <f aca="false">ABS(L60)/$P$3</f>
        <v>0</v>
      </c>
      <c r="Y60" s="124" t="n">
        <f aca="false">ABS(M60)/$P$3</f>
        <v>0</v>
      </c>
      <c r="Z60" s="124" t="n">
        <f aca="false">ABS(N60)/$P$3</f>
        <v>0</v>
      </c>
    </row>
    <row r="61" customFormat="false" ht="12.75" hidden="true" customHeight="false" outlineLevel="0" collapsed="false">
      <c r="A61" s="120" t="n">
        <f aca="false">A60+1</f>
        <v>36947</v>
      </c>
      <c r="B61" s="131" t="str">
        <f aca="false">INDEX('Master Data'!$A$2:$B$8,MATCH(WEEKDAY('RAC V@r Total'!A61,3),'Master Data'!$A$2:$A$8,0),2)</f>
        <v>Su</v>
      </c>
      <c r="D61" s="124" t="n">
        <v>0</v>
      </c>
      <c r="E61" s="124" t="n">
        <v>0</v>
      </c>
      <c r="F61" s="124" t="n">
        <v>0</v>
      </c>
      <c r="G61" s="124" t="n">
        <v>0</v>
      </c>
      <c r="H61" s="124" t="n">
        <v>0</v>
      </c>
      <c r="I61" s="124" t="n">
        <v>0</v>
      </c>
      <c r="J61" s="124" t="n">
        <v>0</v>
      </c>
      <c r="K61" s="124" t="n">
        <v>0</v>
      </c>
      <c r="L61" s="124" t="n">
        <v>0</v>
      </c>
      <c r="M61" s="124" t="n">
        <v>0</v>
      </c>
      <c r="N61" s="124" t="n">
        <v>0</v>
      </c>
      <c r="P61" s="124" t="n">
        <f aca="false">ABS(D61)/$P$3</f>
        <v>0</v>
      </c>
      <c r="Q61" s="124" t="n">
        <f aca="false">ABS(E61)/$P$3</f>
        <v>0</v>
      </c>
      <c r="R61" s="124" t="n">
        <f aca="false">ABS(F61)/$P$3</f>
        <v>0</v>
      </c>
      <c r="S61" s="124" t="n">
        <f aca="false">ABS(G61)/$P$3</f>
        <v>0</v>
      </c>
      <c r="T61" s="124" t="n">
        <f aca="false">ABS(H61)/$P$3</f>
        <v>0</v>
      </c>
      <c r="U61" s="124" t="n">
        <f aca="false">ABS(I61)/$P$3</f>
        <v>0</v>
      </c>
      <c r="V61" s="124" t="n">
        <f aca="false">ABS(J61)/$P$3</f>
        <v>0</v>
      </c>
      <c r="W61" s="124" t="n">
        <f aca="false">ABS(K61)/$P$3</f>
        <v>0</v>
      </c>
      <c r="X61" s="124" t="n">
        <f aca="false">ABS(L61)/$P$3</f>
        <v>0</v>
      </c>
      <c r="Y61" s="124" t="n">
        <f aca="false">ABS(M61)/$P$3</f>
        <v>0</v>
      </c>
      <c r="Z61" s="124" t="n">
        <f aca="false">ABS(N61)/$P$3</f>
        <v>0</v>
      </c>
    </row>
    <row r="62" customFormat="false" ht="12.75" hidden="true" customHeight="false" outlineLevel="0" collapsed="false">
      <c r="A62" s="120" t="n">
        <f aca="false">A61+1</f>
        <v>36948</v>
      </c>
      <c r="B62" s="131" t="str">
        <f aca="false">INDEX('Master Data'!$A$2:$B$8,MATCH(WEEKDAY('RAC V@r Total'!A62,3),'Master Data'!$A$2:$A$8,0),2)</f>
        <v>M</v>
      </c>
      <c r="D62" s="124" t="n">
        <v>-3542291</v>
      </c>
      <c r="E62" s="124" t="n">
        <v>0</v>
      </c>
      <c r="F62" s="124" t="n">
        <v>-382371</v>
      </c>
      <c r="G62" s="124" t="n">
        <v>-14640</v>
      </c>
      <c r="H62" s="124" t="n">
        <v>-53998</v>
      </c>
      <c r="I62" s="124" t="n">
        <v>-3525710</v>
      </c>
      <c r="J62" s="124" t="n">
        <v>-56462</v>
      </c>
      <c r="K62" s="124" t="n">
        <v>-3530220</v>
      </c>
      <c r="L62" s="124" t="n">
        <v>0</v>
      </c>
      <c r="M62" s="124" t="n">
        <v>-446645</v>
      </c>
      <c r="N62" s="124" t="n">
        <v>-3524460</v>
      </c>
      <c r="P62" s="124" t="n">
        <f aca="false">ABS(D62)/$P$3</f>
        <v>3542.291</v>
      </c>
      <c r="Q62" s="124" t="n">
        <f aca="false">ABS(E62)/$P$3</f>
        <v>0</v>
      </c>
      <c r="R62" s="124" t="n">
        <f aca="false">ABS(F62)/$P$3</f>
        <v>382.371</v>
      </c>
      <c r="S62" s="124" t="n">
        <f aca="false">ABS(G62)/$P$3</f>
        <v>14.64</v>
      </c>
      <c r="T62" s="124" t="n">
        <f aca="false">ABS(H62)/$P$3</f>
        <v>53.998</v>
      </c>
      <c r="U62" s="124" t="n">
        <f aca="false">ABS(I62)/$P$3</f>
        <v>3525.71</v>
      </c>
      <c r="V62" s="124" t="n">
        <f aca="false">ABS(J62)/$P$3</f>
        <v>56.462</v>
      </c>
      <c r="W62" s="124" t="n">
        <f aca="false">ABS(K62)/$P$3</f>
        <v>3530.22</v>
      </c>
      <c r="X62" s="124" t="n">
        <f aca="false">ABS(L62)/$P$3</f>
        <v>0</v>
      </c>
      <c r="Y62" s="124" t="n">
        <f aca="false">ABS(M62)/$P$3</f>
        <v>446.645</v>
      </c>
      <c r="Z62" s="124" t="n">
        <f aca="false">ABS(N62)/$P$3</f>
        <v>3524.46</v>
      </c>
    </row>
    <row r="63" customFormat="false" ht="12.75" hidden="true" customHeight="false" outlineLevel="0" collapsed="false">
      <c r="A63" s="120" t="n">
        <f aca="false">A62+1</f>
        <v>36949</v>
      </c>
      <c r="B63" s="131" t="str">
        <f aca="false">INDEX('Master Data'!$A$2:$B$8,MATCH(WEEKDAY('RAC V@r Total'!A63,3),'Master Data'!$A$2:$A$8,0),2)</f>
        <v>T</v>
      </c>
      <c r="D63" s="124" t="n">
        <v>-3536667</v>
      </c>
      <c r="E63" s="124" t="n">
        <v>0</v>
      </c>
      <c r="F63" s="124" t="n">
        <v>-386814</v>
      </c>
      <c r="G63" s="124" t="n">
        <v>-14509</v>
      </c>
      <c r="H63" s="124" t="n">
        <v>-54155</v>
      </c>
      <c r="I63" s="124" t="n">
        <v>-3521023</v>
      </c>
      <c r="J63" s="124" t="n">
        <v>-56787</v>
      </c>
      <c r="K63" s="124" t="n">
        <v>-3524687</v>
      </c>
      <c r="L63" s="124" t="n">
        <v>0</v>
      </c>
      <c r="M63" s="124" t="n">
        <v>-450315</v>
      </c>
      <c r="N63" s="124" t="n">
        <v>-3514920</v>
      </c>
      <c r="P63" s="124" t="n">
        <f aca="false">ABS(D63)/$P$3</f>
        <v>3536.667</v>
      </c>
      <c r="Q63" s="124" t="n">
        <f aca="false">ABS(E63)/$P$3</f>
        <v>0</v>
      </c>
      <c r="R63" s="124" t="n">
        <f aca="false">ABS(F63)/$P$3</f>
        <v>386.814</v>
      </c>
      <c r="S63" s="124" t="n">
        <f aca="false">ABS(G63)/$P$3</f>
        <v>14.509</v>
      </c>
      <c r="T63" s="124" t="n">
        <f aca="false">ABS(H63)/$P$3</f>
        <v>54.155</v>
      </c>
      <c r="U63" s="124" t="n">
        <f aca="false">ABS(I63)/$P$3</f>
        <v>3521.023</v>
      </c>
      <c r="V63" s="124" t="n">
        <f aca="false">ABS(J63)/$P$3</f>
        <v>56.787</v>
      </c>
      <c r="W63" s="124" t="n">
        <f aca="false">ABS(K63)/$P$3</f>
        <v>3524.687</v>
      </c>
      <c r="X63" s="124" t="n">
        <f aca="false">ABS(L63)/$P$3</f>
        <v>0</v>
      </c>
      <c r="Y63" s="124" t="n">
        <f aca="false">ABS(M63)/$P$3</f>
        <v>450.315</v>
      </c>
      <c r="Z63" s="124" t="n">
        <f aca="false">ABS(N63)/$P$3</f>
        <v>3514.92</v>
      </c>
    </row>
    <row r="64" customFormat="false" ht="12.75" hidden="false" customHeight="false" outlineLevel="0" collapsed="false">
      <c r="A64" s="120" t="n">
        <f aca="false">A63+1</f>
        <v>36950</v>
      </c>
      <c r="B64" s="131" t="str">
        <f aca="false">INDEX('Master Data'!$A$2:$B$8,MATCH(WEEKDAY('RAC V@r Total'!A64,3),'Master Data'!$A$2:$A$8,0),2)</f>
        <v>W</v>
      </c>
      <c r="D64" s="124" t="n">
        <v>-2795323</v>
      </c>
      <c r="E64" s="124" t="n">
        <v>0</v>
      </c>
      <c r="F64" s="124" t="n">
        <v>-367604</v>
      </c>
      <c r="G64" s="124" t="n">
        <v>-10901</v>
      </c>
      <c r="H64" s="124" t="n">
        <v>-52966</v>
      </c>
      <c r="I64" s="124" t="n">
        <v>-2739290</v>
      </c>
      <c r="J64" s="124" t="n">
        <v>-54608</v>
      </c>
      <c r="K64" s="124" t="n">
        <v>-2787247</v>
      </c>
      <c r="L64" s="124" t="n">
        <v>0</v>
      </c>
      <c r="M64" s="124" t="n">
        <v>-427875</v>
      </c>
      <c r="N64" s="124" t="n">
        <v>-2748149</v>
      </c>
      <c r="P64" s="124" t="n">
        <f aca="false">ABS(D64)/$P$3</f>
        <v>2795.323</v>
      </c>
      <c r="Q64" s="124" t="n">
        <f aca="false">ABS(E64)/$P$3</f>
        <v>0</v>
      </c>
      <c r="R64" s="124" t="n">
        <f aca="false">ABS(F64)/$P$3</f>
        <v>367.604</v>
      </c>
      <c r="S64" s="124" t="n">
        <f aca="false">ABS(G64)/$P$3</f>
        <v>10.901</v>
      </c>
      <c r="T64" s="124" t="n">
        <f aca="false">ABS(H64)/$P$3</f>
        <v>52.966</v>
      </c>
      <c r="U64" s="124" t="n">
        <f aca="false">ABS(I64)/$P$3</f>
        <v>2739.29</v>
      </c>
      <c r="V64" s="124" t="n">
        <f aca="false">ABS(J64)/$P$3</f>
        <v>54.608</v>
      </c>
      <c r="W64" s="124" t="n">
        <f aca="false">ABS(K64)/$P$3</f>
        <v>2787.247</v>
      </c>
      <c r="X64" s="124" t="n">
        <f aca="false">ABS(L64)/$P$3</f>
        <v>0</v>
      </c>
      <c r="Y64" s="124" t="n">
        <f aca="false">ABS(M64)/$P$3</f>
        <v>427.875</v>
      </c>
      <c r="Z64" s="124" t="n">
        <f aca="false">ABS(N64)/$P$3</f>
        <v>2748.149</v>
      </c>
    </row>
    <row r="65" customFormat="false" ht="12.75" hidden="true" customHeight="false" outlineLevel="0" collapsed="false">
      <c r="A65" s="120" t="n">
        <f aca="false">A64+1</f>
        <v>36951</v>
      </c>
      <c r="B65" s="131" t="str">
        <f aca="false">INDEX('Master Data'!$A$2:$B$8,MATCH(WEEKDAY('RAC V@r Total'!A65,3),'Master Data'!$A$2:$A$8,0),2)</f>
        <v>Th</v>
      </c>
      <c r="D65" s="124" t="n">
        <v>-2628932</v>
      </c>
      <c r="E65" s="124" t="n">
        <v>0</v>
      </c>
      <c r="F65" s="124" t="n">
        <v>-381011</v>
      </c>
      <c r="G65" s="124" t="n">
        <v>-10632</v>
      </c>
      <c r="H65" s="124" t="n">
        <v>-50190</v>
      </c>
      <c r="I65" s="124" t="n">
        <v>-2625334</v>
      </c>
      <c r="J65" s="124" t="n">
        <v>-52437</v>
      </c>
      <c r="K65" s="124" t="n">
        <v>-2622788</v>
      </c>
      <c r="L65" s="124" t="n">
        <v>0</v>
      </c>
      <c r="M65" s="124" t="n">
        <v>-453224</v>
      </c>
      <c r="N65" s="124" t="n">
        <v>-2610725</v>
      </c>
      <c r="P65" s="124" t="n">
        <f aca="false">ABS(D65)/$P$3</f>
        <v>2628.932</v>
      </c>
      <c r="Q65" s="124" t="n">
        <f aca="false">ABS(E65)/$P$3</f>
        <v>0</v>
      </c>
      <c r="R65" s="124" t="n">
        <f aca="false">ABS(F65)/$P$3</f>
        <v>381.011</v>
      </c>
      <c r="S65" s="124" t="n">
        <f aca="false">ABS(G65)/$P$3</f>
        <v>10.632</v>
      </c>
      <c r="T65" s="124" t="n">
        <f aca="false">ABS(H65)/$P$3</f>
        <v>50.19</v>
      </c>
      <c r="U65" s="124" t="n">
        <f aca="false">ABS(I65)/$P$3</f>
        <v>2625.334</v>
      </c>
      <c r="V65" s="124" t="n">
        <f aca="false">ABS(J65)/$P$3</f>
        <v>52.437</v>
      </c>
      <c r="W65" s="124" t="n">
        <f aca="false">ABS(K65)/$P$3</f>
        <v>2622.788</v>
      </c>
      <c r="X65" s="124" t="n">
        <f aca="false">ABS(L65)/$P$3</f>
        <v>0</v>
      </c>
      <c r="Y65" s="124" t="n">
        <f aca="false">ABS(M65)/$P$3</f>
        <v>453.224</v>
      </c>
      <c r="Z65" s="124" t="n">
        <f aca="false">ABS(N65)/$P$3</f>
        <v>2610.725</v>
      </c>
    </row>
    <row r="66" customFormat="false" ht="12.75" hidden="true" customHeight="false" outlineLevel="0" collapsed="false">
      <c r="A66" s="120" t="n">
        <f aca="false">A65+1</f>
        <v>36952</v>
      </c>
      <c r="B66" s="131" t="str">
        <f aca="false">INDEX('Master Data'!$A$2:$B$8,MATCH(WEEKDAY('RAC V@r Total'!A66,3),'Master Data'!$A$2:$A$8,0),2)</f>
        <v>F</v>
      </c>
      <c r="D66" s="124" t="n">
        <v>-2630170</v>
      </c>
      <c r="E66" s="124" t="n">
        <v>0</v>
      </c>
      <c r="F66" s="124" t="n">
        <v>-378349</v>
      </c>
      <c r="G66" s="124" t="n">
        <v>-10577</v>
      </c>
      <c r="H66" s="124" t="n">
        <v>-50073</v>
      </c>
      <c r="I66" s="124" t="n">
        <v>-2623878</v>
      </c>
      <c r="J66" s="124" t="n">
        <v>-52276</v>
      </c>
      <c r="K66" s="124" t="n">
        <v>-2624042</v>
      </c>
      <c r="L66" s="124" t="n">
        <v>0</v>
      </c>
      <c r="M66" s="124" t="n">
        <v>-448939</v>
      </c>
      <c r="N66" s="124" t="n">
        <v>-2612377</v>
      </c>
      <c r="P66" s="124" t="n">
        <f aca="false">ABS(D66)/$P$3</f>
        <v>2630.17</v>
      </c>
      <c r="Q66" s="124" t="n">
        <f aca="false">ABS(E66)/$P$3</f>
        <v>0</v>
      </c>
      <c r="R66" s="124" t="n">
        <f aca="false">ABS(F66)/$P$3</f>
        <v>378.349</v>
      </c>
      <c r="S66" s="124" t="n">
        <f aca="false">ABS(G66)/$P$3</f>
        <v>10.577</v>
      </c>
      <c r="T66" s="124" t="n">
        <f aca="false">ABS(H66)/$P$3</f>
        <v>50.073</v>
      </c>
      <c r="U66" s="124" t="n">
        <f aca="false">ABS(I66)/$P$3</f>
        <v>2623.878</v>
      </c>
      <c r="V66" s="124" t="n">
        <f aca="false">ABS(J66)/$P$3</f>
        <v>52.276</v>
      </c>
      <c r="W66" s="124" t="n">
        <f aca="false">ABS(K66)/$P$3</f>
        <v>2624.042</v>
      </c>
      <c r="X66" s="124" t="n">
        <f aca="false">ABS(L66)/$P$3</f>
        <v>0</v>
      </c>
      <c r="Y66" s="124" t="n">
        <f aca="false">ABS(M66)/$P$3</f>
        <v>448.939</v>
      </c>
      <c r="Z66" s="124" t="n">
        <f aca="false">ABS(N66)/$P$3</f>
        <v>2612.377</v>
      </c>
    </row>
    <row r="67" customFormat="false" ht="12.75" hidden="true" customHeight="false" outlineLevel="0" collapsed="false">
      <c r="A67" s="120" t="n">
        <f aca="false">A66+1</f>
        <v>36953</v>
      </c>
      <c r="B67" s="131" t="str">
        <f aca="false">INDEX('Master Data'!$A$2:$B$8,MATCH(WEEKDAY('RAC V@r Total'!A67,3),'Master Data'!$A$2:$A$8,0),2)</f>
        <v>Sa</v>
      </c>
      <c r="D67" s="124" t="n">
        <v>0</v>
      </c>
      <c r="E67" s="124" t="n">
        <v>0</v>
      </c>
      <c r="F67" s="124" t="n">
        <v>0</v>
      </c>
      <c r="G67" s="124" t="n">
        <v>0</v>
      </c>
      <c r="H67" s="124" t="n">
        <v>0</v>
      </c>
      <c r="I67" s="124" t="n">
        <v>0</v>
      </c>
      <c r="J67" s="124" t="n">
        <v>0</v>
      </c>
      <c r="K67" s="124" t="n">
        <v>0</v>
      </c>
      <c r="L67" s="124" t="n">
        <v>0</v>
      </c>
      <c r="M67" s="124" t="n">
        <v>0</v>
      </c>
      <c r="N67" s="124" t="n">
        <v>0</v>
      </c>
      <c r="P67" s="124" t="n">
        <f aca="false">ABS(D67)/$P$3</f>
        <v>0</v>
      </c>
      <c r="Q67" s="124" t="n">
        <f aca="false">ABS(E67)/$P$3</f>
        <v>0</v>
      </c>
      <c r="R67" s="124" t="n">
        <f aca="false">ABS(F67)/$P$3</f>
        <v>0</v>
      </c>
      <c r="S67" s="124" t="n">
        <f aca="false">ABS(G67)/$P$3</f>
        <v>0</v>
      </c>
      <c r="T67" s="124" t="n">
        <f aca="false">ABS(H67)/$P$3</f>
        <v>0</v>
      </c>
      <c r="U67" s="124" t="n">
        <f aca="false">ABS(I67)/$P$3</f>
        <v>0</v>
      </c>
      <c r="V67" s="124" t="n">
        <f aca="false">ABS(J67)/$P$3</f>
        <v>0</v>
      </c>
      <c r="W67" s="124" t="n">
        <f aca="false">ABS(K67)/$P$3</f>
        <v>0</v>
      </c>
      <c r="X67" s="124" t="n">
        <f aca="false">ABS(L67)/$P$3</f>
        <v>0</v>
      </c>
      <c r="Y67" s="124" t="n">
        <f aca="false">ABS(M67)/$P$3</f>
        <v>0</v>
      </c>
      <c r="Z67" s="124" t="n">
        <f aca="false">ABS(N67)/$P$3</f>
        <v>0</v>
      </c>
    </row>
    <row r="68" customFormat="false" ht="12.75" hidden="true" customHeight="false" outlineLevel="0" collapsed="false">
      <c r="A68" s="120" t="n">
        <f aca="false">A67+1</f>
        <v>36954</v>
      </c>
      <c r="B68" s="131" t="str">
        <f aca="false">INDEX('Master Data'!$A$2:$B$8,MATCH(WEEKDAY('RAC V@r Total'!A68,3),'Master Data'!$A$2:$A$8,0),2)</f>
        <v>Su</v>
      </c>
      <c r="D68" s="124" t="n">
        <v>0</v>
      </c>
      <c r="E68" s="124" t="n">
        <v>0</v>
      </c>
      <c r="F68" s="124" t="n">
        <v>0</v>
      </c>
      <c r="G68" s="124" t="n">
        <v>0</v>
      </c>
      <c r="H68" s="124" t="n">
        <v>0</v>
      </c>
      <c r="I68" s="124" t="n">
        <v>0</v>
      </c>
      <c r="J68" s="124" t="n">
        <v>0</v>
      </c>
      <c r="K68" s="124" t="n">
        <v>0</v>
      </c>
      <c r="L68" s="124" t="n">
        <v>0</v>
      </c>
      <c r="M68" s="124" t="n">
        <v>0</v>
      </c>
      <c r="N68" s="124" t="n">
        <v>0</v>
      </c>
      <c r="P68" s="124" t="n">
        <f aca="false">ABS(D68)/$P$3</f>
        <v>0</v>
      </c>
      <c r="Q68" s="124" t="n">
        <f aca="false">ABS(E68)/$P$3</f>
        <v>0</v>
      </c>
      <c r="R68" s="124" t="n">
        <f aca="false">ABS(F68)/$P$3</f>
        <v>0</v>
      </c>
      <c r="S68" s="124" t="n">
        <f aca="false">ABS(G68)/$P$3</f>
        <v>0</v>
      </c>
      <c r="T68" s="124" t="n">
        <f aca="false">ABS(H68)/$P$3</f>
        <v>0</v>
      </c>
      <c r="U68" s="124" t="n">
        <f aca="false">ABS(I68)/$P$3</f>
        <v>0</v>
      </c>
      <c r="V68" s="124" t="n">
        <f aca="false">ABS(J68)/$P$3</f>
        <v>0</v>
      </c>
      <c r="W68" s="124" t="n">
        <f aca="false">ABS(K68)/$P$3</f>
        <v>0</v>
      </c>
      <c r="X68" s="124" t="n">
        <f aca="false">ABS(L68)/$P$3</f>
        <v>0</v>
      </c>
      <c r="Y68" s="124" t="n">
        <f aca="false">ABS(M68)/$P$3</f>
        <v>0</v>
      </c>
      <c r="Z68" s="124" t="n">
        <f aca="false">ABS(N68)/$P$3</f>
        <v>0</v>
      </c>
    </row>
    <row r="69" customFormat="false" ht="12.75" hidden="true" customHeight="false" outlineLevel="0" collapsed="false">
      <c r="A69" s="120" t="n">
        <f aca="false">A68+1</f>
        <v>36955</v>
      </c>
      <c r="B69" s="131" t="str">
        <f aca="false">INDEX('Master Data'!$A$2:$B$8,MATCH(WEEKDAY('RAC V@r Total'!A69,3),'Master Data'!$A$2:$A$8,0),2)</f>
        <v>M</v>
      </c>
      <c r="D69" s="124" t="n">
        <v>-2609358</v>
      </c>
      <c r="E69" s="124" t="n">
        <v>0</v>
      </c>
      <c r="F69" s="124" t="n">
        <v>-379994</v>
      </c>
      <c r="G69" s="124" t="n">
        <v>-10472</v>
      </c>
      <c r="H69" s="124" t="n">
        <v>-44209</v>
      </c>
      <c r="I69" s="124" t="n">
        <v>-2607120</v>
      </c>
      <c r="J69" s="124" t="n">
        <v>-44308</v>
      </c>
      <c r="K69" s="124" t="n">
        <v>-2603261</v>
      </c>
      <c r="L69" s="124" t="n">
        <v>0</v>
      </c>
      <c r="M69" s="124" t="n">
        <v>-455624</v>
      </c>
      <c r="N69" s="124" t="n">
        <v>-2586960</v>
      </c>
      <c r="P69" s="124" t="n">
        <f aca="false">ABS(D69)/$P$3</f>
        <v>2609.358</v>
      </c>
      <c r="Q69" s="124" t="n">
        <f aca="false">ABS(E69)/$P$3</f>
        <v>0</v>
      </c>
      <c r="R69" s="124" t="n">
        <f aca="false">ABS(F69)/$P$3</f>
        <v>379.994</v>
      </c>
      <c r="S69" s="124" t="n">
        <f aca="false">ABS(G69)/$P$3</f>
        <v>10.472</v>
      </c>
      <c r="T69" s="124" t="n">
        <f aca="false">ABS(H69)/$P$3</f>
        <v>44.209</v>
      </c>
      <c r="U69" s="124" t="n">
        <f aca="false">ABS(I69)/$P$3</f>
        <v>2607.12</v>
      </c>
      <c r="V69" s="124" t="n">
        <f aca="false">ABS(J69)/$P$3</f>
        <v>44.308</v>
      </c>
      <c r="W69" s="124" t="n">
        <f aca="false">ABS(K69)/$P$3</f>
        <v>2603.261</v>
      </c>
      <c r="X69" s="124" t="n">
        <f aca="false">ABS(L69)/$P$3</f>
        <v>0</v>
      </c>
      <c r="Y69" s="124" t="n">
        <f aca="false">ABS(M69)/$P$3</f>
        <v>455.624</v>
      </c>
      <c r="Z69" s="124" t="n">
        <f aca="false">ABS(N69)/$P$3</f>
        <v>2586.96</v>
      </c>
    </row>
    <row r="70" customFormat="false" ht="12.75" hidden="true" customHeight="false" outlineLevel="0" collapsed="false">
      <c r="A70" s="120" t="n">
        <f aca="false">A69+1</f>
        <v>36956</v>
      </c>
      <c r="B70" s="131" t="str">
        <f aca="false">INDEX('Master Data'!$A$2:$B$8,MATCH(WEEKDAY('RAC V@r Total'!A70,3),'Master Data'!$A$2:$A$8,0),2)</f>
        <v>T</v>
      </c>
      <c r="D70" s="124" t="n">
        <v>-2610585</v>
      </c>
      <c r="E70" s="124" t="n">
        <v>0</v>
      </c>
      <c r="F70" s="124" t="n">
        <v>-366491</v>
      </c>
      <c r="G70" s="124" t="n">
        <v>-10418</v>
      </c>
      <c r="H70" s="124" t="n">
        <v>-44113</v>
      </c>
      <c r="I70" s="124" t="n">
        <v>-2598757</v>
      </c>
      <c r="J70" s="124" t="n">
        <v>-44181</v>
      </c>
      <c r="K70" s="124" t="n">
        <v>-2604504</v>
      </c>
      <c r="L70" s="124" t="n">
        <v>0</v>
      </c>
      <c r="M70" s="124" t="n">
        <v>-441546</v>
      </c>
      <c r="N70" s="124" t="n">
        <v>-2589220</v>
      </c>
      <c r="P70" s="124" t="n">
        <f aca="false">ABS(D70)/$P$3</f>
        <v>2610.585</v>
      </c>
      <c r="Q70" s="124" t="n">
        <f aca="false">ABS(E70)/$P$3</f>
        <v>0</v>
      </c>
      <c r="R70" s="124" t="n">
        <f aca="false">ABS(F70)/$P$3</f>
        <v>366.491</v>
      </c>
      <c r="S70" s="124" t="n">
        <f aca="false">ABS(G70)/$P$3</f>
        <v>10.418</v>
      </c>
      <c r="T70" s="124" t="n">
        <f aca="false">ABS(H70)/$P$3</f>
        <v>44.113</v>
      </c>
      <c r="U70" s="124" t="n">
        <f aca="false">ABS(I70)/$P$3</f>
        <v>2598.757</v>
      </c>
      <c r="V70" s="124" t="n">
        <f aca="false">ABS(J70)/$P$3</f>
        <v>44.181</v>
      </c>
      <c r="W70" s="124" t="n">
        <f aca="false">ABS(K70)/$P$3</f>
        <v>2604.504</v>
      </c>
      <c r="X70" s="124" t="n">
        <f aca="false">ABS(L70)/$P$3</f>
        <v>0</v>
      </c>
      <c r="Y70" s="124" t="n">
        <f aca="false">ABS(M70)/$P$3</f>
        <v>441.546</v>
      </c>
      <c r="Z70" s="124" t="n">
        <f aca="false">ABS(N70)/$P$3</f>
        <v>2589.22</v>
      </c>
    </row>
    <row r="71" customFormat="false" ht="12.75" hidden="true" customHeight="false" outlineLevel="0" collapsed="false">
      <c r="A71" s="120" t="n">
        <f aca="false">A70+1</f>
        <v>36957</v>
      </c>
      <c r="B71" s="131" t="str">
        <f aca="false">INDEX('Master Data'!$A$2:$B$8,MATCH(WEEKDAY('RAC V@r Total'!A71,3),'Master Data'!$A$2:$A$8,0),2)</f>
        <v>W</v>
      </c>
      <c r="D71" s="124" t="n">
        <v>-2635715</v>
      </c>
      <c r="E71" s="124" t="n">
        <v>0</v>
      </c>
      <c r="F71" s="124" t="n">
        <v>-367340</v>
      </c>
      <c r="G71" s="124" t="n">
        <v>-10364</v>
      </c>
      <c r="H71" s="124" t="n">
        <v>-44234</v>
      </c>
      <c r="I71" s="124" t="n">
        <v>-2625601</v>
      </c>
      <c r="J71" s="124" t="n">
        <v>-44340</v>
      </c>
      <c r="K71" s="124" t="n">
        <v>-2629650</v>
      </c>
      <c r="L71" s="124" t="n">
        <v>0</v>
      </c>
      <c r="M71" s="124" t="n">
        <v>-448140</v>
      </c>
      <c r="N71" s="124" t="n">
        <v>-2614582</v>
      </c>
      <c r="P71" s="124" t="n">
        <f aca="false">ABS(D71)/$P$3</f>
        <v>2635.715</v>
      </c>
      <c r="Q71" s="124" t="n">
        <f aca="false">ABS(E71)/$P$3</f>
        <v>0</v>
      </c>
      <c r="R71" s="124" t="n">
        <f aca="false">ABS(F71)/$P$3</f>
        <v>367.34</v>
      </c>
      <c r="S71" s="124" t="n">
        <f aca="false">ABS(G71)/$P$3</f>
        <v>10.364</v>
      </c>
      <c r="T71" s="124" t="n">
        <f aca="false">ABS(H71)/$P$3</f>
        <v>44.234</v>
      </c>
      <c r="U71" s="124" t="n">
        <f aca="false">ABS(I71)/$P$3</f>
        <v>2625.601</v>
      </c>
      <c r="V71" s="124" t="n">
        <f aca="false">ABS(J71)/$P$3</f>
        <v>44.34</v>
      </c>
      <c r="W71" s="124" t="n">
        <f aca="false">ABS(K71)/$P$3</f>
        <v>2629.65</v>
      </c>
      <c r="X71" s="124" t="n">
        <f aca="false">ABS(L71)/$P$3</f>
        <v>0</v>
      </c>
      <c r="Y71" s="124" t="n">
        <f aca="false">ABS(M71)/$P$3</f>
        <v>448.14</v>
      </c>
      <c r="Z71" s="124" t="n">
        <f aca="false">ABS(N71)/$P$3</f>
        <v>2614.582</v>
      </c>
    </row>
    <row r="72" customFormat="false" ht="12.75" hidden="true" customHeight="false" outlineLevel="0" collapsed="false">
      <c r="A72" s="120" t="n">
        <f aca="false">A71+1</f>
        <v>36958</v>
      </c>
      <c r="B72" s="131" t="str">
        <f aca="false">INDEX('Master Data'!$A$2:$B$8,MATCH(WEEKDAY('RAC V@r Total'!A72,3),'Master Data'!$A$2:$A$8,0),2)</f>
        <v>Th</v>
      </c>
      <c r="D72" s="124" t="n">
        <v>-1292624</v>
      </c>
      <c r="E72" s="124" t="n">
        <v>0</v>
      </c>
      <c r="F72" s="124" t="n">
        <v>-368774</v>
      </c>
      <c r="G72" s="124" t="n">
        <v>-10310</v>
      </c>
      <c r="H72" s="124" t="n">
        <v>-44264</v>
      </c>
      <c r="I72" s="124" t="n">
        <v>-1364282</v>
      </c>
      <c r="J72" s="124" t="n">
        <v>-44293</v>
      </c>
      <c r="K72" s="124" t="n">
        <v>-1285927</v>
      </c>
      <c r="L72" s="124" t="n">
        <v>0</v>
      </c>
      <c r="M72" s="124" t="n">
        <v>-444577</v>
      </c>
      <c r="N72" s="124" t="n">
        <v>-1320638</v>
      </c>
      <c r="P72" s="124" t="n">
        <f aca="false">ABS(D72)/$P$3</f>
        <v>1292.624</v>
      </c>
      <c r="Q72" s="124" t="n">
        <f aca="false">ABS(E72)/$P$3</f>
        <v>0</v>
      </c>
      <c r="R72" s="124" t="n">
        <f aca="false">ABS(F72)/$P$3</f>
        <v>368.774</v>
      </c>
      <c r="S72" s="124" t="n">
        <f aca="false">ABS(G72)/$P$3</f>
        <v>10.31</v>
      </c>
      <c r="T72" s="124" t="n">
        <f aca="false">ABS(H72)/$P$3</f>
        <v>44.264</v>
      </c>
      <c r="U72" s="124" t="n">
        <f aca="false">ABS(I72)/$P$3</f>
        <v>1364.282</v>
      </c>
      <c r="V72" s="124" t="n">
        <f aca="false">ABS(J72)/$P$3</f>
        <v>44.293</v>
      </c>
      <c r="W72" s="124" t="n">
        <f aca="false">ABS(K72)/$P$3</f>
        <v>1285.927</v>
      </c>
      <c r="X72" s="124" t="n">
        <f aca="false">ABS(L72)/$P$3</f>
        <v>0</v>
      </c>
      <c r="Y72" s="124" t="n">
        <f aca="false">ABS(M72)/$P$3</f>
        <v>444.577</v>
      </c>
      <c r="Z72" s="124" t="n">
        <f aca="false">ABS(N72)/$P$3</f>
        <v>1320.638</v>
      </c>
    </row>
    <row r="73" customFormat="false" ht="12.75" hidden="true" customHeight="false" outlineLevel="0" collapsed="false">
      <c r="A73" s="120" t="n">
        <f aca="false">A72+1</f>
        <v>36959</v>
      </c>
      <c r="B73" s="131" t="str">
        <f aca="false">INDEX('Master Data'!$A$2:$B$8,MATCH(WEEKDAY('RAC V@r Total'!A73,3),'Master Data'!$A$2:$A$8,0),2)</f>
        <v>F</v>
      </c>
      <c r="D73" s="124" t="n">
        <v>-1292624</v>
      </c>
      <c r="E73" s="124" t="n">
        <v>0</v>
      </c>
      <c r="F73" s="124" t="n">
        <v>-368774</v>
      </c>
      <c r="G73" s="124" t="n">
        <v>-10310</v>
      </c>
      <c r="H73" s="124" t="n">
        <v>-44264</v>
      </c>
      <c r="I73" s="124" t="n">
        <v>-1364282</v>
      </c>
      <c r="J73" s="124" t="n">
        <v>-44293</v>
      </c>
      <c r="K73" s="124" t="n">
        <v>-1285927</v>
      </c>
      <c r="L73" s="124" t="n">
        <v>0</v>
      </c>
      <c r="M73" s="124" t="n">
        <v>-444577</v>
      </c>
      <c r="N73" s="124" t="n">
        <v>-1320638</v>
      </c>
      <c r="P73" s="124" t="n">
        <f aca="false">ABS(D73)/$P$3</f>
        <v>1292.624</v>
      </c>
      <c r="Q73" s="124" t="n">
        <f aca="false">ABS(E73)/$P$3</f>
        <v>0</v>
      </c>
      <c r="R73" s="124" t="n">
        <f aca="false">ABS(F73)/$P$3</f>
        <v>368.774</v>
      </c>
      <c r="S73" s="124" t="n">
        <f aca="false">ABS(G73)/$P$3</f>
        <v>10.31</v>
      </c>
      <c r="T73" s="124" t="n">
        <f aca="false">ABS(H73)/$P$3</f>
        <v>44.264</v>
      </c>
      <c r="U73" s="124" t="n">
        <f aca="false">ABS(I73)/$P$3</f>
        <v>1364.282</v>
      </c>
      <c r="V73" s="124" t="n">
        <f aca="false">ABS(J73)/$P$3</f>
        <v>44.293</v>
      </c>
      <c r="W73" s="124" t="n">
        <f aca="false">ABS(K73)/$P$3</f>
        <v>1285.927</v>
      </c>
      <c r="X73" s="124" t="n">
        <f aca="false">ABS(L73)/$P$3</f>
        <v>0</v>
      </c>
      <c r="Y73" s="124" t="n">
        <f aca="false">ABS(M73)/$P$3</f>
        <v>444.577</v>
      </c>
      <c r="Z73" s="124" t="n">
        <f aca="false">ABS(N73)/$P$3</f>
        <v>1320.638</v>
      </c>
    </row>
    <row r="74" customFormat="false" ht="12.75" hidden="true" customHeight="false" outlineLevel="0" collapsed="false">
      <c r="A74" s="120" t="n">
        <f aca="false">A73+1</f>
        <v>36960</v>
      </c>
      <c r="B74" s="131" t="str">
        <f aca="false">INDEX('Master Data'!$A$2:$B$8,MATCH(WEEKDAY('RAC V@r Total'!A74,3),'Master Data'!$A$2:$A$8,0),2)</f>
        <v>Sa</v>
      </c>
      <c r="D74" s="124" t="n">
        <v>0</v>
      </c>
      <c r="E74" s="124" t="n">
        <v>0</v>
      </c>
      <c r="F74" s="124" t="n">
        <v>0</v>
      </c>
      <c r="G74" s="124" t="n">
        <v>0</v>
      </c>
      <c r="H74" s="124" t="n">
        <v>0</v>
      </c>
      <c r="I74" s="124" t="n">
        <v>0</v>
      </c>
      <c r="J74" s="124" t="n">
        <v>0</v>
      </c>
      <c r="K74" s="124" t="n">
        <v>0</v>
      </c>
      <c r="L74" s="124" t="n">
        <v>0</v>
      </c>
      <c r="M74" s="124" t="n">
        <v>0</v>
      </c>
      <c r="N74" s="124" t="n">
        <v>0</v>
      </c>
      <c r="P74" s="124" t="n">
        <f aca="false">ABS(D74)/$P$3</f>
        <v>0</v>
      </c>
      <c r="Q74" s="124" t="n">
        <f aca="false">ABS(E74)/$P$3</f>
        <v>0</v>
      </c>
      <c r="R74" s="124" t="n">
        <f aca="false">ABS(F74)/$P$3</f>
        <v>0</v>
      </c>
      <c r="S74" s="124" t="n">
        <f aca="false">ABS(G74)/$P$3</f>
        <v>0</v>
      </c>
      <c r="T74" s="124" t="n">
        <f aca="false">ABS(H74)/$P$3</f>
        <v>0</v>
      </c>
      <c r="U74" s="124" t="n">
        <f aca="false">ABS(I74)/$P$3</f>
        <v>0</v>
      </c>
      <c r="V74" s="124" t="n">
        <f aca="false">ABS(J74)/$P$3</f>
        <v>0</v>
      </c>
      <c r="W74" s="124" t="n">
        <f aca="false">ABS(K74)/$P$3</f>
        <v>0</v>
      </c>
      <c r="X74" s="124" t="n">
        <f aca="false">ABS(L74)/$P$3</f>
        <v>0</v>
      </c>
      <c r="Y74" s="124" t="n">
        <f aca="false">ABS(M74)/$P$3</f>
        <v>0</v>
      </c>
      <c r="Z74" s="124" t="n">
        <f aca="false">ABS(N74)/$P$3</f>
        <v>0</v>
      </c>
    </row>
    <row r="75" customFormat="false" ht="12.75" hidden="true" customHeight="false" outlineLevel="0" collapsed="false">
      <c r="A75" s="120" t="n">
        <f aca="false">A74+1</f>
        <v>36961</v>
      </c>
      <c r="B75" s="131" t="str">
        <f aca="false">INDEX('Master Data'!$A$2:$B$8,MATCH(WEEKDAY('RAC V@r Total'!A75,3),'Master Data'!$A$2:$A$8,0),2)</f>
        <v>Su</v>
      </c>
      <c r="D75" s="124" t="n">
        <v>0</v>
      </c>
      <c r="E75" s="124" t="n">
        <v>0</v>
      </c>
      <c r="F75" s="124" t="n">
        <v>0</v>
      </c>
      <c r="G75" s="124" t="n">
        <v>0</v>
      </c>
      <c r="H75" s="124" t="n">
        <v>0</v>
      </c>
      <c r="I75" s="124" t="n">
        <v>0</v>
      </c>
      <c r="J75" s="124" t="n">
        <v>0</v>
      </c>
      <c r="K75" s="124" t="n">
        <v>0</v>
      </c>
      <c r="L75" s="124" t="n">
        <v>0</v>
      </c>
      <c r="M75" s="124" t="n">
        <v>0</v>
      </c>
      <c r="N75" s="124" t="n">
        <v>0</v>
      </c>
      <c r="P75" s="124" t="n">
        <f aca="false">ABS(D75)/$P$3</f>
        <v>0</v>
      </c>
      <c r="Q75" s="124" t="n">
        <f aca="false">ABS(E75)/$P$3</f>
        <v>0</v>
      </c>
      <c r="R75" s="124" t="n">
        <f aca="false">ABS(F75)/$P$3</f>
        <v>0</v>
      </c>
      <c r="S75" s="124" t="n">
        <f aca="false">ABS(G75)/$P$3</f>
        <v>0</v>
      </c>
      <c r="T75" s="124" t="n">
        <f aca="false">ABS(H75)/$P$3</f>
        <v>0</v>
      </c>
      <c r="U75" s="124" t="n">
        <f aca="false">ABS(I75)/$P$3</f>
        <v>0</v>
      </c>
      <c r="V75" s="124" t="n">
        <f aca="false">ABS(J75)/$P$3</f>
        <v>0</v>
      </c>
      <c r="W75" s="124" t="n">
        <f aca="false">ABS(K75)/$P$3</f>
        <v>0</v>
      </c>
      <c r="X75" s="124" t="n">
        <f aca="false">ABS(L75)/$P$3</f>
        <v>0</v>
      </c>
      <c r="Y75" s="124" t="n">
        <f aca="false">ABS(M75)/$P$3</f>
        <v>0</v>
      </c>
      <c r="Z75" s="124" t="n">
        <f aca="false">ABS(N75)/$P$3</f>
        <v>0</v>
      </c>
    </row>
    <row r="76" customFormat="false" ht="12.75" hidden="true" customHeight="false" outlineLevel="0" collapsed="false">
      <c r="A76" s="120" t="n">
        <f aca="false">A75+1</f>
        <v>36962</v>
      </c>
      <c r="B76" s="131" t="str">
        <f aca="false">INDEX('Master Data'!$A$2:$B$8,MATCH(WEEKDAY('RAC V@r Total'!A76,3),'Master Data'!$A$2:$A$8,0),2)</f>
        <v>M</v>
      </c>
      <c r="D76" s="124" t="n">
        <v>-1321420</v>
      </c>
      <c r="E76" s="124" t="n">
        <v>0</v>
      </c>
      <c r="F76" s="124" t="n">
        <v>-368826</v>
      </c>
      <c r="G76" s="124" t="n">
        <v>-10060</v>
      </c>
      <c r="H76" s="124" t="n">
        <v>-44217</v>
      </c>
      <c r="I76" s="124" t="n">
        <v>-1396173</v>
      </c>
      <c r="J76" s="124" t="n">
        <v>-44047</v>
      </c>
      <c r="K76" s="124" t="n">
        <v>-1315477</v>
      </c>
      <c r="L76" s="124" t="n">
        <v>0</v>
      </c>
      <c r="M76" s="124" t="n">
        <v>-446912</v>
      </c>
      <c r="N76" s="124" t="n">
        <v>-1357235</v>
      </c>
      <c r="P76" s="124" t="n">
        <f aca="false">ABS(D76)/$P$3</f>
        <v>1321.42</v>
      </c>
      <c r="Q76" s="124" t="n">
        <f aca="false">ABS(E76)/$P$3</f>
        <v>0</v>
      </c>
      <c r="R76" s="124" t="n">
        <f aca="false">ABS(F76)/$P$3</f>
        <v>368.826</v>
      </c>
      <c r="S76" s="124" t="n">
        <f aca="false">ABS(G76)/$P$3</f>
        <v>10.06</v>
      </c>
      <c r="T76" s="124" t="n">
        <f aca="false">ABS(H76)/$P$3</f>
        <v>44.217</v>
      </c>
      <c r="U76" s="124" t="n">
        <f aca="false">ABS(I76)/$P$3</f>
        <v>1396.173</v>
      </c>
      <c r="V76" s="124" t="n">
        <f aca="false">ABS(J76)/$P$3</f>
        <v>44.047</v>
      </c>
      <c r="W76" s="124" t="n">
        <f aca="false">ABS(K76)/$P$3</f>
        <v>1315.477</v>
      </c>
      <c r="X76" s="124" t="n">
        <f aca="false">ABS(L76)/$P$3</f>
        <v>0</v>
      </c>
      <c r="Y76" s="124" t="n">
        <f aca="false">ABS(M76)/$P$3</f>
        <v>446.912</v>
      </c>
      <c r="Z76" s="124" t="n">
        <f aca="false">ABS(N76)/$P$3</f>
        <v>1357.235</v>
      </c>
    </row>
    <row r="77" customFormat="false" ht="12.75" hidden="true" customHeight="false" outlineLevel="0" collapsed="false">
      <c r="A77" s="120" t="n">
        <f aca="false">A76+1</f>
        <v>36963</v>
      </c>
      <c r="B77" s="131" t="str">
        <f aca="false">INDEX('Master Data'!$A$2:$B$8,MATCH(WEEKDAY('RAC V@r Total'!A77,3),'Master Data'!$A$2:$A$8,0),2)</f>
        <v>T</v>
      </c>
      <c r="D77" s="124" t="n">
        <v>-1322040</v>
      </c>
      <c r="E77" s="124" t="n">
        <v>0</v>
      </c>
      <c r="F77" s="124" t="n">
        <v>-368297</v>
      </c>
      <c r="G77" s="124" t="n">
        <v>-10008</v>
      </c>
      <c r="H77" s="124" t="n">
        <v>-44110</v>
      </c>
      <c r="I77" s="124" t="n">
        <v>-1396927</v>
      </c>
      <c r="J77" s="124" t="n">
        <v>-43920</v>
      </c>
      <c r="K77" s="124" t="n">
        <v>-1316113</v>
      </c>
      <c r="L77" s="124" t="n">
        <v>0</v>
      </c>
      <c r="M77" s="124" t="n">
        <v>-444160</v>
      </c>
      <c r="N77" s="124" t="n">
        <v>-1358052</v>
      </c>
      <c r="P77" s="124" t="n">
        <f aca="false">ABS(D77)/$P$3</f>
        <v>1322.04</v>
      </c>
      <c r="Q77" s="124" t="n">
        <f aca="false">ABS(E77)/$P$3</f>
        <v>0</v>
      </c>
      <c r="R77" s="124" t="n">
        <f aca="false">ABS(F77)/$P$3</f>
        <v>368.297</v>
      </c>
      <c r="S77" s="124" t="n">
        <f aca="false">ABS(G77)/$P$3</f>
        <v>10.008</v>
      </c>
      <c r="T77" s="124" t="n">
        <f aca="false">ABS(H77)/$P$3</f>
        <v>44.11</v>
      </c>
      <c r="U77" s="124" t="n">
        <f aca="false">ABS(I77)/$P$3</f>
        <v>1396.927</v>
      </c>
      <c r="V77" s="124" t="n">
        <f aca="false">ABS(J77)/$P$3</f>
        <v>43.92</v>
      </c>
      <c r="W77" s="124" t="n">
        <f aca="false">ABS(K77)/$P$3</f>
        <v>1316.113</v>
      </c>
      <c r="X77" s="124" t="n">
        <f aca="false">ABS(L77)/$P$3</f>
        <v>0</v>
      </c>
      <c r="Y77" s="124" t="n">
        <f aca="false">ABS(M77)/$P$3</f>
        <v>444.16</v>
      </c>
      <c r="Z77" s="124" t="n">
        <f aca="false">ABS(N77)/$P$3</f>
        <v>1358.052</v>
      </c>
    </row>
    <row r="78" customFormat="false" ht="12.75" hidden="true" customHeight="false" outlineLevel="0" collapsed="false">
      <c r="A78" s="120" t="n">
        <f aca="false">A77+1</f>
        <v>36964</v>
      </c>
      <c r="B78" s="131" t="str">
        <f aca="false">INDEX('Master Data'!$A$2:$B$8,MATCH(WEEKDAY('RAC V@r Total'!A78,3),'Master Data'!$A$2:$A$8,0),2)</f>
        <v>W</v>
      </c>
      <c r="D78" s="124" t="n">
        <v>-1322661</v>
      </c>
      <c r="E78" s="124" t="n">
        <v>0</v>
      </c>
      <c r="F78" s="124" t="n">
        <v>-372296</v>
      </c>
      <c r="G78" s="124" t="n">
        <v>-9956</v>
      </c>
      <c r="H78" s="124" t="n">
        <v>-44353</v>
      </c>
      <c r="I78" s="124" t="n">
        <v>-1396788</v>
      </c>
      <c r="J78" s="124" t="n">
        <v>-44176</v>
      </c>
      <c r="K78" s="124" t="n">
        <v>-1316749</v>
      </c>
      <c r="L78" s="124" t="n">
        <v>0</v>
      </c>
      <c r="M78" s="124" t="n">
        <v>-452604</v>
      </c>
      <c r="N78" s="124" t="n">
        <v>-1357739</v>
      </c>
      <c r="P78" s="124" t="n">
        <f aca="false">ABS(D78)/$P$3</f>
        <v>1322.661</v>
      </c>
      <c r="Q78" s="124" t="n">
        <f aca="false">ABS(E78)/$P$3</f>
        <v>0</v>
      </c>
      <c r="R78" s="124" t="n">
        <f aca="false">ABS(F78)/$P$3</f>
        <v>372.296</v>
      </c>
      <c r="S78" s="124" t="n">
        <f aca="false">ABS(G78)/$P$3</f>
        <v>9.956</v>
      </c>
      <c r="T78" s="124" t="n">
        <f aca="false">ABS(H78)/$P$3</f>
        <v>44.353</v>
      </c>
      <c r="U78" s="124" t="n">
        <f aca="false">ABS(I78)/$P$3</f>
        <v>1396.788</v>
      </c>
      <c r="V78" s="124" t="n">
        <f aca="false">ABS(J78)/$P$3</f>
        <v>44.176</v>
      </c>
      <c r="W78" s="124" t="n">
        <f aca="false">ABS(K78)/$P$3</f>
        <v>1316.749</v>
      </c>
      <c r="X78" s="124" t="n">
        <f aca="false">ABS(L78)/$P$3</f>
        <v>0</v>
      </c>
      <c r="Y78" s="124" t="n">
        <f aca="false">ABS(M78)/$P$3</f>
        <v>452.604</v>
      </c>
      <c r="Z78" s="124" t="n">
        <f aca="false">ABS(N78)/$P$3</f>
        <v>1357.739</v>
      </c>
    </row>
    <row r="79" customFormat="false" ht="12.75" hidden="true" customHeight="false" outlineLevel="0" collapsed="false">
      <c r="A79" s="120" t="n">
        <f aca="false">A78+1</f>
        <v>36965</v>
      </c>
      <c r="B79" s="131" t="str">
        <f aca="false">INDEX('Master Data'!$A$2:$B$8,MATCH(WEEKDAY('RAC V@r Total'!A79,3),'Master Data'!$A$2:$A$8,0),2)</f>
        <v>Th</v>
      </c>
      <c r="D79" s="124" t="n">
        <v>-1323282</v>
      </c>
      <c r="E79" s="124" t="n">
        <v>0</v>
      </c>
      <c r="F79" s="124" t="n">
        <v>-373587</v>
      </c>
      <c r="G79" s="124" t="n">
        <v>-9906</v>
      </c>
      <c r="H79" s="124" t="n">
        <v>-44481</v>
      </c>
      <c r="I79" s="124" t="n">
        <v>-1397190</v>
      </c>
      <c r="J79" s="124" t="n">
        <v>-44348</v>
      </c>
      <c r="K79" s="124" t="n">
        <v>-1317383</v>
      </c>
      <c r="L79" s="124" t="n">
        <v>0</v>
      </c>
      <c r="M79" s="124" t="n">
        <v>-454588</v>
      </c>
      <c r="N79" s="124" t="n">
        <v>-1358132</v>
      </c>
      <c r="P79" s="124" t="n">
        <f aca="false">ABS(D79)/$P$3</f>
        <v>1323.282</v>
      </c>
      <c r="Q79" s="124" t="n">
        <f aca="false">ABS(E79)/$P$3</f>
        <v>0</v>
      </c>
      <c r="R79" s="124" t="n">
        <f aca="false">ABS(F79)/$P$3</f>
        <v>373.587</v>
      </c>
      <c r="S79" s="124" t="n">
        <f aca="false">ABS(G79)/$P$3</f>
        <v>9.906</v>
      </c>
      <c r="T79" s="124" t="n">
        <f aca="false">ABS(H79)/$P$3</f>
        <v>44.481</v>
      </c>
      <c r="U79" s="124" t="n">
        <f aca="false">ABS(I79)/$P$3</f>
        <v>1397.19</v>
      </c>
      <c r="V79" s="124" t="n">
        <f aca="false">ABS(J79)/$P$3</f>
        <v>44.348</v>
      </c>
      <c r="W79" s="124" t="n">
        <f aca="false">ABS(K79)/$P$3</f>
        <v>1317.383</v>
      </c>
      <c r="X79" s="124" t="n">
        <f aca="false">ABS(L79)/$P$3</f>
        <v>0</v>
      </c>
      <c r="Y79" s="124" t="n">
        <f aca="false">ABS(M79)/$P$3</f>
        <v>454.588</v>
      </c>
      <c r="Z79" s="124" t="n">
        <f aca="false">ABS(N79)/$P$3</f>
        <v>1358.132</v>
      </c>
    </row>
    <row r="80" customFormat="false" ht="12.75" hidden="true" customHeight="false" outlineLevel="0" collapsed="false">
      <c r="A80" s="120" t="n">
        <f aca="false">A79+1</f>
        <v>36966</v>
      </c>
      <c r="B80" s="131" t="str">
        <f aca="false">INDEX('Master Data'!$A$2:$B$8,MATCH(WEEKDAY('RAC V@r Total'!A80,3),'Master Data'!$A$2:$A$8,0),2)</f>
        <v>F</v>
      </c>
      <c r="D80" s="124" t="n">
        <v>-1323903</v>
      </c>
      <c r="E80" s="124" t="n">
        <v>0</v>
      </c>
      <c r="F80" s="124" t="n">
        <v>-375381</v>
      </c>
      <c r="G80" s="124" t="n">
        <v>-9856</v>
      </c>
      <c r="H80" s="124" t="n">
        <v>-44514</v>
      </c>
      <c r="I80" s="124" t="n">
        <v>-1397491</v>
      </c>
      <c r="J80" s="124" t="n">
        <v>-44423</v>
      </c>
      <c r="K80" s="124" t="n">
        <v>-1318018</v>
      </c>
      <c r="L80" s="124" t="n">
        <v>0</v>
      </c>
      <c r="M80" s="124" t="n">
        <v>-453988</v>
      </c>
      <c r="N80" s="124" t="n">
        <v>-1358369</v>
      </c>
      <c r="P80" s="124" t="n">
        <f aca="false">ABS(D80)/$P$3</f>
        <v>1323.903</v>
      </c>
      <c r="Q80" s="124" t="n">
        <f aca="false">ABS(E80)/$P$3</f>
        <v>0</v>
      </c>
      <c r="R80" s="124" t="n">
        <f aca="false">ABS(F80)/$P$3</f>
        <v>375.381</v>
      </c>
      <c r="S80" s="124" t="n">
        <f aca="false">ABS(G80)/$P$3</f>
        <v>9.856</v>
      </c>
      <c r="T80" s="124" t="n">
        <f aca="false">ABS(H80)/$P$3</f>
        <v>44.514</v>
      </c>
      <c r="U80" s="124" t="n">
        <f aca="false">ABS(I80)/$P$3</f>
        <v>1397.491</v>
      </c>
      <c r="V80" s="124" t="n">
        <f aca="false">ABS(J80)/$P$3</f>
        <v>44.423</v>
      </c>
      <c r="W80" s="124" t="n">
        <f aca="false">ABS(K80)/$P$3</f>
        <v>1318.018</v>
      </c>
      <c r="X80" s="124" t="n">
        <f aca="false">ABS(L80)/$P$3</f>
        <v>0</v>
      </c>
      <c r="Y80" s="124" t="n">
        <f aca="false">ABS(M80)/$P$3</f>
        <v>453.988</v>
      </c>
      <c r="Z80" s="124" t="n">
        <f aca="false">ABS(N80)/$P$3</f>
        <v>1358.369</v>
      </c>
    </row>
    <row r="81" customFormat="false" ht="12.75" hidden="true" customHeight="false" outlineLevel="0" collapsed="false">
      <c r="A81" s="120" t="n">
        <f aca="false">A80+1</f>
        <v>36967</v>
      </c>
      <c r="B81" s="131" t="str">
        <f aca="false">INDEX('Master Data'!$A$2:$B$8,MATCH(WEEKDAY('RAC V@r Total'!A81,3),'Master Data'!$A$2:$A$8,0),2)</f>
        <v>Sa</v>
      </c>
      <c r="D81" s="124" t="n">
        <v>0</v>
      </c>
      <c r="E81" s="124" t="n">
        <v>0</v>
      </c>
      <c r="F81" s="124" t="n">
        <v>0</v>
      </c>
      <c r="G81" s="124" t="n">
        <v>0</v>
      </c>
      <c r="H81" s="124" t="n">
        <v>0</v>
      </c>
      <c r="I81" s="124" t="n">
        <v>0</v>
      </c>
      <c r="J81" s="124" t="n">
        <v>0</v>
      </c>
      <c r="K81" s="124" t="n">
        <v>0</v>
      </c>
      <c r="L81" s="124" t="n">
        <v>0</v>
      </c>
      <c r="M81" s="124" t="n">
        <v>0</v>
      </c>
      <c r="N81" s="124" t="n">
        <v>0</v>
      </c>
      <c r="P81" s="124" t="n">
        <f aca="false">ABS(D81)/$P$3</f>
        <v>0</v>
      </c>
      <c r="Q81" s="124" t="n">
        <f aca="false">ABS(E81)/$P$3</f>
        <v>0</v>
      </c>
      <c r="R81" s="124" t="n">
        <f aca="false">ABS(F81)/$P$3</f>
        <v>0</v>
      </c>
      <c r="S81" s="124" t="n">
        <f aca="false">ABS(G81)/$P$3</f>
        <v>0</v>
      </c>
      <c r="T81" s="124" t="n">
        <f aca="false">ABS(H81)/$P$3</f>
        <v>0</v>
      </c>
      <c r="U81" s="124" t="n">
        <f aca="false">ABS(I81)/$P$3</f>
        <v>0</v>
      </c>
      <c r="V81" s="124" t="n">
        <f aca="false">ABS(J81)/$P$3</f>
        <v>0</v>
      </c>
      <c r="W81" s="124" t="n">
        <f aca="false">ABS(K81)/$P$3</f>
        <v>0</v>
      </c>
      <c r="X81" s="124" t="n">
        <f aca="false">ABS(L81)/$P$3</f>
        <v>0</v>
      </c>
      <c r="Y81" s="124" t="n">
        <f aca="false">ABS(M81)/$P$3</f>
        <v>0</v>
      </c>
      <c r="Z81" s="124" t="n">
        <f aca="false">ABS(N81)/$P$3</f>
        <v>0</v>
      </c>
    </row>
    <row r="82" customFormat="false" ht="12.75" hidden="true" customHeight="false" outlineLevel="0" collapsed="false">
      <c r="A82" s="120" t="n">
        <f aca="false">A81+1</f>
        <v>36968</v>
      </c>
      <c r="B82" s="131" t="str">
        <f aca="false">INDEX('Master Data'!$A$2:$B$8,MATCH(WEEKDAY('RAC V@r Total'!A82,3),'Master Data'!$A$2:$A$8,0),2)</f>
        <v>Su</v>
      </c>
      <c r="D82" s="124" t="n">
        <v>0</v>
      </c>
      <c r="E82" s="124" t="n">
        <v>0</v>
      </c>
      <c r="F82" s="124" t="n">
        <v>0</v>
      </c>
      <c r="G82" s="124" t="n">
        <v>0</v>
      </c>
      <c r="H82" s="124" t="n">
        <v>0</v>
      </c>
      <c r="I82" s="124" t="n">
        <v>0</v>
      </c>
      <c r="J82" s="124" t="n">
        <v>0</v>
      </c>
      <c r="K82" s="124" t="n">
        <v>0</v>
      </c>
      <c r="L82" s="124" t="n">
        <v>0</v>
      </c>
      <c r="M82" s="124" t="n">
        <v>0</v>
      </c>
      <c r="N82" s="124" t="n">
        <v>0</v>
      </c>
      <c r="P82" s="124" t="n">
        <f aca="false">ABS(D82)/$P$3</f>
        <v>0</v>
      </c>
      <c r="Q82" s="124" t="n">
        <f aca="false">ABS(E82)/$P$3</f>
        <v>0</v>
      </c>
      <c r="R82" s="124" t="n">
        <f aca="false">ABS(F82)/$P$3</f>
        <v>0</v>
      </c>
      <c r="S82" s="124" t="n">
        <f aca="false">ABS(G82)/$P$3</f>
        <v>0</v>
      </c>
      <c r="T82" s="124" t="n">
        <f aca="false">ABS(H82)/$P$3</f>
        <v>0</v>
      </c>
      <c r="U82" s="124" t="n">
        <f aca="false">ABS(I82)/$P$3</f>
        <v>0</v>
      </c>
      <c r="V82" s="124" t="n">
        <f aca="false">ABS(J82)/$P$3</f>
        <v>0</v>
      </c>
      <c r="W82" s="124" t="n">
        <f aca="false">ABS(K82)/$P$3</f>
        <v>0</v>
      </c>
      <c r="X82" s="124" t="n">
        <f aca="false">ABS(L82)/$P$3</f>
        <v>0</v>
      </c>
      <c r="Y82" s="124" t="n">
        <f aca="false">ABS(M82)/$P$3</f>
        <v>0</v>
      </c>
      <c r="Z82" s="124" t="n">
        <f aca="false">ABS(N82)/$P$3</f>
        <v>0</v>
      </c>
    </row>
    <row r="83" customFormat="false" ht="12.75" hidden="true" customHeight="false" outlineLevel="0" collapsed="false">
      <c r="A83" s="120" t="n">
        <f aca="false">A82+1</f>
        <v>36969</v>
      </c>
      <c r="B83" s="131" t="str">
        <f aca="false">INDEX('Master Data'!$A$2:$B$8,MATCH(WEEKDAY('RAC V@r Total'!A83,3),'Master Data'!$A$2:$A$8,0),2)</f>
        <v>M</v>
      </c>
      <c r="D83" s="124" t="n">
        <v>-1325768</v>
      </c>
      <c r="E83" s="124" t="n">
        <v>0</v>
      </c>
      <c r="F83" s="124" t="n">
        <v>-417670</v>
      </c>
      <c r="G83" s="124" t="n">
        <v>-9792</v>
      </c>
      <c r="H83" s="124" t="n">
        <v>-44499</v>
      </c>
      <c r="I83" s="124" t="n">
        <v>-1422002</v>
      </c>
      <c r="J83" s="124" t="n">
        <v>-44199</v>
      </c>
      <c r="K83" s="124" t="n">
        <v>-1319927</v>
      </c>
      <c r="L83" s="124" t="n">
        <v>0</v>
      </c>
      <c r="M83" s="124" t="n">
        <v>-487664</v>
      </c>
      <c r="N83" s="124" t="n">
        <v>-1398212</v>
      </c>
      <c r="P83" s="124" t="n">
        <f aca="false">ABS(D83)/$P$3</f>
        <v>1325.768</v>
      </c>
      <c r="Q83" s="124" t="n">
        <f aca="false">ABS(E83)/$P$3</f>
        <v>0</v>
      </c>
      <c r="R83" s="124" t="n">
        <f aca="false">ABS(F83)/$P$3</f>
        <v>417.67</v>
      </c>
      <c r="S83" s="124" t="n">
        <f aca="false">ABS(G83)/$P$3</f>
        <v>9.792</v>
      </c>
      <c r="T83" s="124" t="n">
        <f aca="false">ABS(H83)/$P$3</f>
        <v>44.499</v>
      </c>
      <c r="U83" s="124" t="n">
        <f aca="false">ABS(I83)/$P$3</f>
        <v>1422.002</v>
      </c>
      <c r="V83" s="124" t="n">
        <f aca="false">ABS(J83)/$P$3</f>
        <v>44.199</v>
      </c>
      <c r="W83" s="124" t="n">
        <f aca="false">ABS(K83)/$P$3</f>
        <v>1319.927</v>
      </c>
      <c r="X83" s="124" t="n">
        <f aca="false">ABS(L83)/$P$3</f>
        <v>0</v>
      </c>
      <c r="Y83" s="124" t="n">
        <f aca="false">ABS(M83)/$P$3</f>
        <v>487.664</v>
      </c>
      <c r="Z83" s="124" t="n">
        <f aca="false">ABS(N83)/$P$3</f>
        <v>1398.212</v>
      </c>
    </row>
    <row r="84" customFormat="false" ht="12.75" hidden="true" customHeight="false" outlineLevel="0" collapsed="false">
      <c r="A84" s="120" t="n">
        <f aca="false">A83+1</f>
        <v>36970</v>
      </c>
      <c r="B84" s="131" t="str">
        <f aca="false">INDEX('Master Data'!$A$2:$B$8,MATCH(WEEKDAY('RAC V@r Total'!A84,3),'Master Data'!$A$2:$A$8,0),2)</f>
        <v>T</v>
      </c>
      <c r="D84" s="124" t="n">
        <v>-1326390</v>
      </c>
      <c r="E84" s="124" t="n">
        <v>0</v>
      </c>
      <c r="F84" s="124" t="n">
        <v>-193077</v>
      </c>
      <c r="G84" s="124" t="n">
        <v>-9740</v>
      </c>
      <c r="H84" s="124" t="n">
        <v>-44528</v>
      </c>
      <c r="I84" s="124" t="n">
        <v>-1305282</v>
      </c>
      <c r="J84" s="124" t="n">
        <v>-44356</v>
      </c>
      <c r="K84" s="124" t="n">
        <v>-1320562</v>
      </c>
      <c r="L84" s="124" t="n">
        <v>0</v>
      </c>
      <c r="M84" s="124" t="n">
        <v>-322393</v>
      </c>
      <c r="N84" s="124" t="n">
        <v>-1297462</v>
      </c>
      <c r="P84" s="124" t="n">
        <f aca="false">ABS(D84)/$P$3</f>
        <v>1326.39</v>
      </c>
      <c r="Q84" s="124" t="n">
        <f aca="false">ABS(E84)/$P$3</f>
        <v>0</v>
      </c>
      <c r="R84" s="124" t="n">
        <f aca="false">ABS(F84)/$P$3</f>
        <v>193.077</v>
      </c>
      <c r="S84" s="124" t="n">
        <f aca="false">ABS(G84)/$P$3</f>
        <v>9.74</v>
      </c>
      <c r="T84" s="124" t="n">
        <f aca="false">ABS(H84)/$P$3</f>
        <v>44.528</v>
      </c>
      <c r="U84" s="124" t="n">
        <f aca="false">ABS(I84)/$P$3</f>
        <v>1305.282</v>
      </c>
      <c r="V84" s="124" t="n">
        <f aca="false">ABS(J84)/$P$3</f>
        <v>44.356</v>
      </c>
      <c r="W84" s="124" t="n">
        <f aca="false">ABS(K84)/$P$3</f>
        <v>1320.562</v>
      </c>
      <c r="X84" s="124" t="n">
        <f aca="false">ABS(L84)/$P$3</f>
        <v>0</v>
      </c>
      <c r="Y84" s="124" t="n">
        <f aca="false">ABS(M84)/$P$3</f>
        <v>322.393</v>
      </c>
      <c r="Z84" s="124" t="n">
        <f aca="false">ABS(N84)/$P$3</f>
        <v>1297.462</v>
      </c>
    </row>
    <row r="85" customFormat="false" ht="12.75" hidden="true" customHeight="false" outlineLevel="0" collapsed="false">
      <c r="A85" s="120" t="n">
        <f aca="false">A84+1</f>
        <v>36971</v>
      </c>
      <c r="B85" s="131" t="str">
        <f aca="false">INDEX('Master Data'!$A$2:$B$8,MATCH(WEEKDAY('RAC V@r Total'!A85,3),'Master Data'!$A$2:$A$8,0),2)</f>
        <v>W</v>
      </c>
      <c r="D85" s="124" t="n">
        <v>-1326460</v>
      </c>
      <c r="E85" s="124" t="n">
        <v>0</v>
      </c>
      <c r="F85" s="124" t="n">
        <v>-228684</v>
      </c>
      <c r="G85" s="124" t="n">
        <v>-9726</v>
      </c>
      <c r="H85" s="124" t="n">
        <v>-44569</v>
      </c>
      <c r="I85" s="124" t="n">
        <v>-1299818</v>
      </c>
      <c r="J85" s="124" t="n">
        <v>-44469</v>
      </c>
      <c r="K85" s="124" t="n">
        <v>-1320636</v>
      </c>
      <c r="L85" s="124" t="n">
        <v>0</v>
      </c>
      <c r="M85" s="124" t="n">
        <v>-347452</v>
      </c>
      <c r="N85" s="124" t="n">
        <v>-1297524</v>
      </c>
      <c r="P85" s="124" t="n">
        <f aca="false">ABS(D85)/$P$3</f>
        <v>1326.46</v>
      </c>
      <c r="Q85" s="124" t="n">
        <f aca="false">ABS(E85)/$P$3</f>
        <v>0</v>
      </c>
      <c r="R85" s="124" t="n">
        <f aca="false">ABS(F85)/$P$3</f>
        <v>228.684</v>
      </c>
      <c r="S85" s="124" t="n">
        <f aca="false">ABS(G85)/$P$3</f>
        <v>9.726</v>
      </c>
      <c r="T85" s="124" t="n">
        <f aca="false">ABS(H85)/$P$3</f>
        <v>44.569</v>
      </c>
      <c r="U85" s="124" t="n">
        <f aca="false">ABS(I85)/$P$3</f>
        <v>1299.818</v>
      </c>
      <c r="V85" s="124" t="n">
        <f aca="false">ABS(J85)/$P$3</f>
        <v>44.469</v>
      </c>
      <c r="W85" s="124" t="n">
        <f aca="false">ABS(K85)/$P$3</f>
        <v>1320.636</v>
      </c>
      <c r="X85" s="124" t="n">
        <f aca="false">ABS(L85)/$P$3</f>
        <v>0</v>
      </c>
      <c r="Y85" s="124" t="n">
        <f aca="false">ABS(M85)/$P$3</f>
        <v>347.452</v>
      </c>
      <c r="Z85" s="124" t="n">
        <f aca="false">ABS(N85)/$P$3</f>
        <v>1297.524</v>
      </c>
    </row>
    <row r="86" customFormat="false" ht="12.75" hidden="true" customHeight="false" outlineLevel="0" collapsed="false">
      <c r="A86" s="120" t="n">
        <f aca="false">A85+1</f>
        <v>36972</v>
      </c>
      <c r="B86" s="131" t="str">
        <f aca="false">INDEX('Master Data'!$A$2:$B$8,MATCH(WEEKDAY('RAC V@r Total'!A86,3),'Master Data'!$A$2:$A$8,0),2)</f>
        <v>Th</v>
      </c>
      <c r="D86" s="124" t="n">
        <v>-510936</v>
      </c>
      <c r="E86" s="124" t="n">
        <v>0</v>
      </c>
      <c r="F86" s="124" t="n">
        <v>0</v>
      </c>
      <c r="G86" s="124" t="n">
        <v>-9626</v>
      </c>
      <c r="H86" s="124" t="n">
        <v>-44600</v>
      </c>
      <c r="I86" s="124" t="n">
        <v>-510936</v>
      </c>
      <c r="J86" s="124" t="n">
        <v>-44538</v>
      </c>
      <c r="K86" s="124" t="n">
        <v>-504029</v>
      </c>
      <c r="L86" s="124" t="n">
        <v>0</v>
      </c>
      <c r="M86" s="124" t="n">
        <v>-44600</v>
      </c>
      <c r="N86" s="124" t="n">
        <v>-501614</v>
      </c>
      <c r="P86" s="124" t="n">
        <f aca="false">ABS(D86)/$P$3</f>
        <v>510.936</v>
      </c>
      <c r="Q86" s="124" t="n">
        <f aca="false">ABS(E86)/$P$3</f>
        <v>0</v>
      </c>
      <c r="R86" s="124" t="n">
        <f aca="false">ABS(F86)/$P$3</f>
        <v>0</v>
      </c>
      <c r="S86" s="124" t="n">
        <f aca="false">ABS(G86)/$P$3</f>
        <v>9.626</v>
      </c>
      <c r="T86" s="124" t="n">
        <f aca="false">ABS(H86)/$P$3</f>
        <v>44.6</v>
      </c>
      <c r="U86" s="124" t="n">
        <f aca="false">ABS(I86)/$P$3</f>
        <v>510.936</v>
      </c>
      <c r="V86" s="124" t="n">
        <f aca="false">ABS(J86)/$P$3</f>
        <v>44.538</v>
      </c>
      <c r="W86" s="124" t="n">
        <f aca="false">ABS(K86)/$P$3</f>
        <v>504.029</v>
      </c>
      <c r="X86" s="124" t="n">
        <f aca="false">ABS(L86)/$P$3</f>
        <v>0</v>
      </c>
      <c r="Y86" s="124" t="n">
        <f aca="false">ABS(M86)/$P$3</f>
        <v>44.6</v>
      </c>
      <c r="Z86" s="124" t="n">
        <f aca="false">ABS(N86)/$P$3</f>
        <v>501.614</v>
      </c>
    </row>
    <row r="87" customFormat="false" ht="12.75" hidden="true" customHeight="false" outlineLevel="0" collapsed="false">
      <c r="A87" s="120" t="n">
        <f aca="false">A86+1</f>
        <v>36973</v>
      </c>
      <c r="B87" s="131" t="str">
        <f aca="false">INDEX('Master Data'!$A$2:$B$8,MATCH(WEEKDAY('RAC V@r Total'!A87,3),'Master Data'!$A$2:$A$8,0),2)</f>
        <v>F</v>
      </c>
      <c r="D87" s="124" t="n">
        <v>-511164</v>
      </c>
      <c r="E87" s="124" t="n">
        <v>0</v>
      </c>
      <c r="F87" s="124" t="n">
        <v>0</v>
      </c>
      <c r="G87" s="124" t="n">
        <v>-9576</v>
      </c>
      <c r="H87" s="124" t="n">
        <v>-44530</v>
      </c>
      <c r="I87" s="124" t="n">
        <v>-511164</v>
      </c>
      <c r="J87" s="124" t="n">
        <v>-44307</v>
      </c>
      <c r="K87" s="124" t="n">
        <v>-504278</v>
      </c>
      <c r="L87" s="124" t="n">
        <v>0</v>
      </c>
      <c r="M87" s="124" t="n">
        <v>-44530</v>
      </c>
      <c r="N87" s="124" t="n">
        <v>-502063</v>
      </c>
      <c r="P87" s="124" t="n">
        <f aca="false">ABS(D87)/$P$3</f>
        <v>511.164</v>
      </c>
      <c r="Q87" s="124" t="n">
        <f aca="false">ABS(E87)/$P$3</f>
        <v>0</v>
      </c>
      <c r="R87" s="124" t="n">
        <f aca="false">ABS(F87)/$P$3</f>
        <v>0</v>
      </c>
      <c r="S87" s="124" t="n">
        <f aca="false">ABS(G87)/$P$3</f>
        <v>9.576</v>
      </c>
      <c r="T87" s="124" t="n">
        <f aca="false">ABS(H87)/$P$3</f>
        <v>44.53</v>
      </c>
      <c r="U87" s="124" t="n">
        <f aca="false">ABS(I87)/$P$3</f>
        <v>511.164</v>
      </c>
      <c r="V87" s="124" t="n">
        <f aca="false">ABS(J87)/$P$3</f>
        <v>44.307</v>
      </c>
      <c r="W87" s="124" t="n">
        <f aca="false">ABS(K87)/$P$3</f>
        <v>504.278</v>
      </c>
      <c r="X87" s="124" t="n">
        <f aca="false">ABS(L87)/$P$3</f>
        <v>0</v>
      </c>
      <c r="Y87" s="124" t="n">
        <f aca="false">ABS(M87)/$P$3</f>
        <v>44.53</v>
      </c>
      <c r="Z87" s="124" t="n">
        <f aca="false">ABS(N87)/$P$3</f>
        <v>502.063</v>
      </c>
    </row>
    <row r="88" customFormat="false" ht="12.75" hidden="true" customHeight="false" outlineLevel="0" collapsed="false">
      <c r="A88" s="120" t="n">
        <f aca="false">A87+1</f>
        <v>36974</v>
      </c>
      <c r="B88" s="131" t="str">
        <f aca="false">INDEX('Master Data'!$A$2:$B$8,MATCH(WEEKDAY('RAC V@r Total'!A88,3),'Master Data'!$A$2:$A$8,0),2)</f>
        <v>Sa</v>
      </c>
      <c r="D88" s="124" t="n">
        <v>0</v>
      </c>
      <c r="E88" s="124" t="n">
        <v>0</v>
      </c>
      <c r="F88" s="124" t="n">
        <v>0</v>
      </c>
      <c r="G88" s="124" t="n">
        <v>0</v>
      </c>
      <c r="H88" s="124" t="n">
        <v>0</v>
      </c>
      <c r="I88" s="124" t="n">
        <v>0</v>
      </c>
      <c r="J88" s="124" t="n">
        <v>0</v>
      </c>
      <c r="K88" s="124" t="n">
        <v>0</v>
      </c>
      <c r="L88" s="124" t="n">
        <v>0</v>
      </c>
      <c r="M88" s="124" t="n">
        <v>0</v>
      </c>
      <c r="N88" s="124" t="n">
        <v>0</v>
      </c>
      <c r="P88" s="124" t="n">
        <f aca="false">ABS(D88)/$P$3</f>
        <v>0</v>
      </c>
      <c r="Q88" s="124" t="n">
        <f aca="false">ABS(E88)/$P$3</f>
        <v>0</v>
      </c>
      <c r="R88" s="124" t="n">
        <f aca="false">ABS(F88)/$P$3</f>
        <v>0</v>
      </c>
      <c r="S88" s="124" t="n">
        <f aca="false">ABS(G88)/$P$3</f>
        <v>0</v>
      </c>
      <c r="T88" s="124" t="n">
        <f aca="false">ABS(H88)/$P$3</f>
        <v>0</v>
      </c>
      <c r="U88" s="124" t="n">
        <f aca="false">ABS(I88)/$P$3</f>
        <v>0</v>
      </c>
      <c r="V88" s="124" t="n">
        <f aca="false">ABS(J88)/$P$3</f>
        <v>0</v>
      </c>
      <c r="W88" s="124" t="n">
        <f aca="false">ABS(K88)/$P$3</f>
        <v>0</v>
      </c>
      <c r="X88" s="124" t="n">
        <f aca="false">ABS(L88)/$P$3</f>
        <v>0</v>
      </c>
      <c r="Y88" s="124" t="n">
        <f aca="false">ABS(M88)/$P$3</f>
        <v>0</v>
      </c>
      <c r="Z88" s="124" t="n">
        <f aca="false">ABS(N88)/$P$3</f>
        <v>0</v>
      </c>
    </row>
    <row r="89" customFormat="false" ht="12.75" hidden="true" customHeight="false" outlineLevel="0" collapsed="false">
      <c r="A89" s="120" t="n">
        <f aca="false">A88+1</f>
        <v>36975</v>
      </c>
      <c r="B89" s="131" t="str">
        <f aca="false">INDEX('Master Data'!$A$2:$B$8,MATCH(WEEKDAY('RAC V@r Total'!A89,3),'Master Data'!$A$2:$A$8,0),2)</f>
        <v>Su</v>
      </c>
      <c r="D89" s="124" t="n">
        <v>0</v>
      </c>
      <c r="E89" s="124" t="n">
        <v>0</v>
      </c>
      <c r="F89" s="124" t="n">
        <v>0</v>
      </c>
      <c r="G89" s="124" t="n">
        <v>0</v>
      </c>
      <c r="H89" s="124" t="n">
        <v>0</v>
      </c>
      <c r="I89" s="124" t="n">
        <v>0</v>
      </c>
      <c r="J89" s="124" t="n">
        <v>0</v>
      </c>
      <c r="K89" s="124" t="n">
        <v>0</v>
      </c>
      <c r="L89" s="124" t="n">
        <v>0</v>
      </c>
      <c r="M89" s="124" t="n">
        <v>0</v>
      </c>
      <c r="N89" s="124" t="n">
        <v>0</v>
      </c>
      <c r="P89" s="124" t="n">
        <f aca="false">ABS(D89)/$P$3</f>
        <v>0</v>
      </c>
      <c r="Q89" s="124" t="n">
        <f aca="false">ABS(E89)/$P$3</f>
        <v>0</v>
      </c>
      <c r="R89" s="124" t="n">
        <f aca="false">ABS(F89)/$P$3</f>
        <v>0</v>
      </c>
      <c r="S89" s="124" t="n">
        <f aca="false">ABS(G89)/$P$3</f>
        <v>0</v>
      </c>
      <c r="T89" s="124" t="n">
        <f aca="false">ABS(H89)/$P$3</f>
        <v>0</v>
      </c>
      <c r="U89" s="124" t="n">
        <f aca="false">ABS(I89)/$P$3</f>
        <v>0</v>
      </c>
      <c r="V89" s="124" t="n">
        <f aca="false">ABS(J89)/$P$3</f>
        <v>0</v>
      </c>
      <c r="W89" s="124" t="n">
        <f aca="false">ABS(K89)/$P$3</f>
        <v>0</v>
      </c>
      <c r="X89" s="124" t="n">
        <f aca="false">ABS(L89)/$P$3</f>
        <v>0</v>
      </c>
      <c r="Y89" s="124" t="n">
        <f aca="false">ABS(M89)/$P$3</f>
        <v>0</v>
      </c>
      <c r="Z89" s="124" t="n">
        <f aca="false">ABS(N89)/$P$3</f>
        <v>0</v>
      </c>
    </row>
    <row r="90" customFormat="false" ht="12.75" hidden="true" customHeight="false" outlineLevel="0" collapsed="false">
      <c r="A90" s="120" t="n">
        <f aca="false">A89+1</f>
        <v>36976</v>
      </c>
      <c r="B90" s="131" t="str">
        <f aca="false">INDEX('Master Data'!$A$2:$B$8,MATCH(WEEKDAY('RAC V@r Total'!A90,3),'Master Data'!$A$2:$A$8,0),2)</f>
        <v>M</v>
      </c>
      <c r="D90" s="124" t="n">
        <v>-511846</v>
      </c>
      <c r="E90" s="124" t="n">
        <v>0</v>
      </c>
      <c r="F90" s="124" t="n">
        <v>0</v>
      </c>
      <c r="G90" s="124" t="n">
        <v>-9451</v>
      </c>
      <c r="H90" s="124" t="n">
        <v>-44505</v>
      </c>
      <c r="I90" s="124" t="n">
        <v>-511846</v>
      </c>
      <c r="J90" s="124" t="n">
        <v>-44178</v>
      </c>
      <c r="K90" s="124" t="n">
        <v>-505013</v>
      </c>
      <c r="L90" s="124" t="n">
        <v>0</v>
      </c>
      <c r="M90" s="124" t="n">
        <v>-44505</v>
      </c>
      <c r="N90" s="124" t="n">
        <v>-502976</v>
      </c>
      <c r="P90" s="124" t="n">
        <f aca="false">ABS(D90)/$P$3</f>
        <v>511.846</v>
      </c>
      <c r="Q90" s="124" t="n">
        <f aca="false">ABS(E90)/$P$3</f>
        <v>0</v>
      </c>
      <c r="R90" s="124" t="n">
        <f aca="false">ABS(F90)/$P$3</f>
        <v>0</v>
      </c>
      <c r="S90" s="124" t="n">
        <f aca="false">ABS(G90)/$P$3</f>
        <v>9.451</v>
      </c>
      <c r="T90" s="124" t="n">
        <f aca="false">ABS(H90)/$P$3</f>
        <v>44.505</v>
      </c>
      <c r="U90" s="124" t="n">
        <f aca="false">ABS(I90)/$P$3</f>
        <v>511.846</v>
      </c>
      <c r="V90" s="124" t="n">
        <f aca="false">ABS(J90)/$P$3</f>
        <v>44.178</v>
      </c>
      <c r="W90" s="124" t="n">
        <f aca="false">ABS(K90)/$P$3</f>
        <v>505.013</v>
      </c>
      <c r="X90" s="124" t="n">
        <f aca="false">ABS(L90)/$P$3</f>
        <v>0</v>
      </c>
      <c r="Y90" s="124" t="n">
        <f aca="false">ABS(M90)/$P$3</f>
        <v>44.505</v>
      </c>
      <c r="Z90" s="124" t="n">
        <f aca="false">ABS(N90)/$P$3</f>
        <v>502.976</v>
      </c>
    </row>
    <row r="91" customFormat="false" ht="12.75" hidden="true" customHeight="false" outlineLevel="0" collapsed="false">
      <c r="A91" s="120" t="n">
        <f aca="false">A90+1</f>
        <v>36977</v>
      </c>
      <c r="B91" s="131" t="str">
        <f aca="false">INDEX('Master Data'!$A$2:$B$8,MATCH(WEEKDAY('RAC V@r Total'!A91,3),'Master Data'!$A$2:$A$8,0),2)</f>
        <v>T</v>
      </c>
      <c r="D91" s="124" t="n">
        <v>-512073</v>
      </c>
      <c r="E91" s="124" t="n">
        <v>0</v>
      </c>
      <c r="F91" s="124" t="n">
        <v>0</v>
      </c>
      <c r="G91" s="124" t="n">
        <v>-9405</v>
      </c>
      <c r="H91" s="124" t="n">
        <v>-44191</v>
      </c>
      <c r="I91" s="124" t="n">
        <v>-512073</v>
      </c>
      <c r="J91" s="124" t="n">
        <v>-43774</v>
      </c>
      <c r="K91" s="124" t="n">
        <v>-505260</v>
      </c>
      <c r="L91" s="124" t="n">
        <v>0</v>
      </c>
      <c r="M91" s="124" t="n">
        <v>-44191</v>
      </c>
      <c r="N91" s="124" t="n">
        <v>-503543</v>
      </c>
      <c r="P91" s="124" t="n">
        <f aca="false">ABS(D91)/$P$3</f>
        <v>512.073</v>
      </c>
      <c r="Q91" s="124" t="n">
        <f aca="false">ABS(E91)/$P$3</f>
        <v>0</v>
      </c>
      <c r="R91" s="124" t="n">
        <f aca="false">ABS(F91)/$P$3</f>
        <v>0</v>
      </c>
      <c r="S91" s="124" t="n">
        <f aca="false">ABS(G91)/$P$3</f>
        <v>9.405</v>
      </c>
      <c r="T91" s="124" t="n">
        <f aca="false">ABS(H91)/$P$3</f>
        <v>44.191</v>
      </c>
      <c r="U91" s="124" t="n">
        <f aca="false">ABS(I91)/$P$3</f>
        <v>512.073</v>
      </c>
      <c r="V91" s="124" t="n">
        <f aca="false">ABS(J91)/$P$3</f>
        <v>43.774</v>
      </c>
      <c r="W91" s="124" t="n">
        <f aca="false">ABS(K91)/$P$3</f>
        <v>505.26</v>
      </c>
      <c r="X91" s="124" t="n">
        <f aca="false">ABS(L91)/$P$3</f>
        <v>0</v>
      </c>
      <c r="Y91" s="124" t="n">
        <f aca="false">ABS(M91)/$P$3</f>
        <v>44.191</v>
      </c>
      <c r="Z91" s="124" t="n">
        <f aca="false">ABS(N91)/$P$3</f>
        <v>503.543</v>
      </c>
    </row>
    <row r="92" customFormat="false" ht="12.75" hidden="true" customHeight="false" outlineLevel="0" collapsed="false">
      <c r="A92" s="120" t="n">
        <f aca="false">A91+1</f>
        <v>36978</v>
      </c>
      <c r="B92" s="131" t="str">
        <f aca="false">INDEX('Master Data'!$A$2:$B$8,MATCH(WEEKDAY('RAC V@r Total'!A92,3),'Master Data'!$A$2:$A$8,0),2)</f>
        <v>W</v>
      </c>
      <c r="D92" s="124" t="n">
        <v>-454424</v>
      </c>
      <c r="E92" s="124" t="n">
        <v>0</v>
      </c>
      <c r="F92" s="124" t="n">
        <v>0</v>
      </c>
      <c r="G92" s="124" t="n">
        <v>-7445</v>
      </c>
      <c r="H92" s="124" t="n">
        <v>-46236</v>
      </c>
      <c r="I92" s="124" t="n">
        <v>-454424</v>
      </c>
      <c r="J92" s="124" t="n">
        <v>-47795</v>
      </c>
      <c r="K92" s="124" t="n">
        <v>-448457</v>
      </c>
      <c r="L92" s="124" t="n">
        <v>0</v>
      </c>
      <c r="M92" s="124" t="n">
        <v>-46236</v>
      </c>
      <c r="N92" s="124" t="n">
        <v>-453043</v>
      </c>
      <c r="P92" s="124" t="n">
        <f aca="false">ABS(D92)/$P$3</f>
        <v>454.424</v>
      </c>
      <c r="Q92" s="124" t="n">
        <f aca="false">ABS(E92)/$P$3</f>
        <v>0</v>
      </c>
      <c r="R92" s="124" t="n">
        <f aca="false">ABS(F92)/$P$3</f>
        <v>0</v>
      </c>
      <c r="S92" s="124" t="n">
        <f aca="false">ABS(G92)/$P$3</f>
        <v>7.445</v>
      </c>
      <c r="T92" s="124" t="n">
        <f aca="false">ABS(H92)/$P$3</f>
        <v>46.236</v>
      </c>
      <c r="U92" s="124" t="n">
        <f aca="false">ABS(I92)/$P$3</f>
        <v>454.424</v>
      </c>
      <c r="V92" s="124" t="n">
        <f aca="false">ABS(J92)/$P$3</f>
        <v>47.795</v>
      </c>
      <c r="W92" s="124" t="n">
        <f aca="false">ABS(K92)/$P$3</f>
        <v>448.457</v>
      </c>
      <c r="X92" s="124" t="n">
        <f aca="false">ABS(L92)/$P$3</f>
        <v>0</v>
      </c>
      <c r="Y92" s="124" t="n">
        <f aca="false">ABS(M92)/$P$3</f>
        <v>46.236</v>
      </c>
      <c r="Z92" s="124" t="n">
        <f aca="false">ABS(N92)/$P$3</f>
        <v>453.043</v>
      </c>
    </row>
    <row r="93" customFormat="false" ht="12.75" hidden="true" customHeight="false" outlineLevel="0" collapsed="false">
      <c r="A93" s="120" t="n">
        <f aca="false">A92+1</f>
        <v>36979</v>
      </c>
      <c r="B93" s="131" t="str">
        <f aca="false">INDEX('Master Data'!$A$2:$B$8,MATCH(WEEKDAY('RAC V@r Total'!A93,3),'Master Data'!$A$2:$A$8,0),2)</f>
        <v>Th</v>
      </c>
      <c r="D93" s="124" t="n">
        <v>-454622</v>
      </c>
      <c r="E93" s="124" t="n">
        <v>0</v>
      </c>
      <c r="F93" s="124" t="n">
        <v>0</v>
      </c>
      <c r="G93" s="124" t="n">
        <v>-7394</v>
      </c>
      <c r="H93" s="124" t="n">
        <v>-46285</v>
      </c>
      <c r="I93" s="124" t="n">
        <v>-454622</v>
      </c>
      <c r="J93" s="124" t="n">
        <v>-47817</v>
      </c>
      <c r="K93" s="124" t="n">
        <v>-448699</v>
      </c>
      <c r="L93" s="124" t="n">
        <v>0</v>
      </c>
      <c r="M93" s="124" t="n">
        <v>-46285</v>
      </c>
      <c r="N93" s="124" t="n">
        <v>-453336</v>
      </c>
      <c r="P93" s="124" t="n">
        <f aca="false">ABS(D93)/$P$3</f>
        <v>454.622</v>
      </c>
      <c r="Q93" s="124" t="n">
        <f aca="false">ABS(E93)/$P$3</f>
        <v>0</v>
      </c>
      <c r="R93" s="124" t="n">
        <f aca="false">ABS(F93)/$P$3</f>
        <v>0</v>
      </c>
      <c r="S93" s="124" t="n">
        <f aca="false">ABS(G93)/$P$3</f>
        <v>7.394</v>
      </c>
      <c r="T93" s="124" t="n">
        <f aca="false">ABS(H93)/$P$3</f>
        <v>46.285</v>
      </c>
      <c r="U93" s="124" t="n">
        <f aca="false">ABS(I93)/$P$3</f>
        <v>454.622</v>
      </c>
      <c r="V93" s="124" t="n">
        <f aca="false">ABS(J93)/$P$3</f>
        <v>47.817</v>
      </c>
      <c r="W93" s="124" t="n">
        <f aca="false">ABS(K93)/$P$3</f>
        <v>448.699</v>
      </c>
      <c r="X93" s="124" t="n">
        <f aca="false">ABS(L93)/$P$3</f>
        <v>0</v>
      </c>
      <c r="Y93" s="124" t="n">
        <f aca="false">ABS(M93)/$P$3</f>
        <v>46.285</v>
      </c>
      <c r="Z93" s="124" t="n">
        <f aca="false">ABS(N93)/$P$3</f>
        <v>453.336</v>
      </c>
    </row>
    <row r="94" customFormat="false" ht="12.75" hidden="false" customHeight="false" outlineLevel="0" collapsed="false">
      <c r="A94" s="120" t="n">
        <f aca="false">A93+1</f>
        <v>36980</v>
      </c>
      <c r="B94" s="131" t="str">
        <f aca="false">INDEX('Master Data'!$A$2:$B$8,MATCH(WEEKDAY('RAC V@r Total'!A94,3),'Master Data'!$A$2:$A$8,0),2)</f>
        <v>F</v>
      </c>
      <c r="D94" s="124" t="n">
        <v>-446626</v>
      </c>
      <c r="E94" s="124" t="n">
        <v>0</v>
      </c>
      <c r="F94" s="124" t="n">
        <v>0</v>
      </c>
      <c r="G94" s="124" t="n">
        <v>-7352</v>
      </c>
      <c r="H94" s="124" t="n">
        <v>-45930</v>
      </c>
      <c r="I94" s="124" t="n">
        <v>-446626</v>
      </c>
      <c r="J94" s="124" t="n">
        <v>-47491</v>
      </c>
      <c r="K94" s="124" t="n">
        <v>-440737</v>
      </c>
      <c r="L94" s="124" t="n">
        <v>0</v>
      </c>
      <c r="M94" s="124" t="n">
        <v>-45930</v>
      </c>
      <c r="N94" s="124" t="n">
        <v>-444086</v>
      </c>
      <c r="P94" s="124" t="n">
        <f aca="false">ABS(D94)/$P$3</f>
        <v>446.626</v>
      </c>
      <c r="Q94" s="124" t="n">
        <f aca="false">ABS(E94)/$P$3</f>
        <v>0</v>
      </c>
      <c r="R94" s="124" t="n">
        <f aca="false">ABS(F94)/$P$3</f>
        <v>0</v>
      </c>
      <c r="S94" s="124" t="n">
        <f aca="false">ABS(G94)/$P$3</f>
        <v>7.352</v>
      </c>
      <c r="T94" s="124" t="n">
        <f aca="false">ABS(H94)/$P$3</f>
        <v>45.93</v>
      </c>
      <c r="U94" s="124" t="n">
        <f aca="false">ABS(I94)/$P$3</f>
        <v>446.626</v>
      </c>
      <c r="V94" s="124" t="n">
        <f aca="false">ABS(J94)/$P$3</f>
        <v>47.491</v>
      </c>
      <c r="W94" s="124" t="n">
        <f aca="false">ABS(K94)/$P$3</f>
        <v>440.737</v>
      </c>
      <c r="X94" s="124" t="n">
        <f aca="false">ABS(L94)/$P$3</f>
        <v>0</v>
      </c>
      <c r="Y94" s="124" t="n">
        <f aca="false">ABS(M94)/$P$3</f>
        <v>45.93</v>
      </c>
      <c r="Z94" s="124" t="n">
        <f aca="false">ABS(N94)/$P$3</f>
        <v>444.086</v>
      </c>
    </row>
    <row r="95" customFormat="false" ht="12.75" hidden="true" customHeight="false" outlineLevel="0" collapsed="false">
      <c r="A95" s="120" t="n">
        <f aca="false">A94+1</f>
        <v>36981</v>
      </c>
      <c r="B95" s="131" t="str">
        <f aca="false">INDEX('Master Data'!$A$2:$B$8,MATCH(WEEKDAY('RAC V@r Total'!A95,3),'Master Data'!$A$2:$A$8,0),2)</f>
        <v>Sa</v>
      </c>
      <c r="D95" s="124" t="n">
        <v>0</v>
      </c>
      <c r="E95" s="124" t="n">
        <v>0</v>
      </c>
      <c r="F95" s="124" t="n">
        <v>0</v>
      </c>
      <c r="G95" s="124" t="n">
        <v>0</v>
      </c>
      <c r="H95" s="124" t="n">
        <v>0</v>
      </c>
      <c r="I95" s="124" t="n">
        <v>0</v>
      </c>
      <c r="J95" s="124" t="n">
        <v>0</v>
      </c>
      <c r="K95" s="124" t="n">
        <v>0</v>
      </c>
      <c r="L95" s="124" t="n">
        <v>0</v>
      </c>
      <c r="M95" s="124" t="n">
        <v>0</v>
      </c>
      <c r="N95" s="124" t="n">
        <v>0</v>
      </c>
      <c r="P95" s="124" t="n">
        <f aca="false">ABS(D95)/$P$3</f>
        <v>0</v>
      </c>
      <c r="Q95" s="124" t="n">
        <f aca="false">ABS(E95)/$P$3</f>
        <v>0</v>
      </c>
      <c r="R95" s="124" t="n">
        <f aca="false">ABS(F95)/$P$3</f>
        <v>0</v>
      </c>
      <c r="S95" s="124" t="n">
        <f aca="false">ABS(G95)/$P$3</f>
        <v>0</v>
      </c>
      <c r="T95" s="124" t="n">
        <f aca="false">ABS(H95)/$P$3</f>
        <v>0</v>
      </c>
      <c r="U95" s="124" t="n">
        <f aca="false">ABS(I95)/$P$3</f>
        <v>0</v>
      </c>
      <c r="V95" s="124" t="n">
        <f aca="false">ABS(J95)/$P$3</f>
        <v>0</v>
      </c>
      <c r="W95" s="124" t="n">
        <f aca="false">ABS(K95)/$P$3</f>
        <v>0</v>
      </c>
      <c r="X95" s="124" t="n">
        <f aca="false">ABS(L95)/$P$3</f>
        <v>0</v>
      </c>
      <c r="Y95" s="124" t="n">
        <f aca="false">ABS(M95)/$P$3</f>
        <v>0</v>
      </c>
      <c r="Z95" s="124" t="n">
        <f aca="false">ABS(N95)/$P$3</f>
        <v>0</v>
      </c>
    </row>
    <row r="96" customFormat="false" ht="12.75" hidden="true" customHeight="false" outlineLevel="0" collapsed="false">
      <c r="A96" s="120" t="n">
        <f aca="false">A95+1</f>
        <v>36982</v>
      </c>
      <c r="B96" s="131" t="str">
        <f aca="false">INDEX('Master Data'!$A$2:$B$8,MATCH(WEEKDAY('RAC V@r Total'!A96,3),'Master Data'!$A$2:$A$8,0),2)</f>
        <v>Su</v>
      </c>
      <c r="D96" s="124" t="n">
        <v>0</v>
      </c>
      <c r="E96" s="124" t="n">
        <v>0</v>
      </c>
      <c r="F96" s="124" t="n">
        <v>0</v>
      </c>
      <c r="G96" s="124" t="n">
        <v>0</v>
      </c>
      <c r="H96" s="124" t="n">
        <v>0</v>
      </c>
      <c r="I96" s="124" t="n">
        <v>0</v>
      </c>
      <c r="J96" s="124" t="n">
        <v>0</v>
      </c>
      <c r="K96" s="124" t="n">
        <v>0</v>
      </c>
      <c r="L96" s="124" t="n">
        <v>0</v>
      </c>
      <c r="M96" s="124" t="n">
        <v>0</v>
      </c>
      <c r="N96" s="124" t="n">
        <v>0</v>
      </c>
      <c r="P96" s="124" t="n">
        <f aca="false">ABS(D96)/$P$3</f>
        <v>0</v>
      </c>
      <c r="Q96" s="124" t="n">
        <f aca="false">ABS(E96)/$P$3</f>
        <v>0</v>
      </c>
      <c r="R96" s="124" t="n">
        <f aca="false">ABS(F96)/$P$3</f>
        <v>0</v>
      </c>
      <c r="S96" s="124" t="n">
        <f aca="false">ABS(G96)/$P$3</f>
        <v>0</v>
      </c>
      <c r="T96" s="124" t="n">
        <f aca="false">ABS(H96)/$P$3</f>
        <v>0</v>
      </c>
      <c r="U96" s="124" t="n">
        <f aca="false">ABS(I96)/$P$3</f>
        <v>0</v>
      </c>
      <c r="V96" s="124" t="n">
        <f aca="false">ABS(J96)/$P$3</f>
        <v>0</v>
      </c>
      <c r="W96" s="124" t="n">
        <f aca="false">ABS(K96)/$P$3</f>
        <v>0</v>
      </c>
      <c r="X96" s="124" t="n">
        <f aca="false">ABS(L96)/$P$3</f>
        <v>0</v>
      </c>
      <c r="Y96" s="124" t="n">
        <f aca="false">ABS(M96)/$P$3</f>
        <v>0</v>
      </c>
      <c r="Z96" s="124" t="n">
        <f aca="false">ABS(N96)/$P$3</f>
        <v>0</v>
      </c>
    </row>
    <row r="97" customFormat="false" ht="12.75" hidden="true" customHeight="false" outlineLevel="0" collapsed="false">
      <c r="A97" s="120" t="n">
        <f aca="false">A96+1</f>
        <v>36983</v>
      </c>
      <c r="B97" s="131" t="str">
        <f aca="false">INDEX('Master Data'!$A$2:$B$8,MATCH(WEEKDAY('RAC V@r Total'!A97,3),'Master Data'!$A$2:$A$8,0),2)</f>
        <v>M</v>
      </c>
      <c r="D97" s="124" t="n">
        <v>-464722</v>
      </c>
      <c r="E97" s="124" t="n">
        <v>0</v>
      </c>
      <c r="F97" s="124" t="n">
        <v>0</v>
      </c>
      <c r="G97" s="124" t="n">
        <v>-9008</v>
      </c>
      <c r="H97" s="124" t="n">
        <v>-44984</v>
      </c>
      <c r="I97" s="124" t="n">
        <v>-464722</v>
      </c>
      <c r="J97" s="124" t="n">
        <v>-45982</v>
      </c>
      <c r="K97" s="124" t="n">
        <v>-455580</v>
      </c>
      <c r="L97" s="124" t="n">
        <v>0</v>
      </c>
      <c r="M97" s="124" t="n">
        <v>-44984</v>
      </c>
      <c r="N97" s="124" t="n">
        <v>-461116</v>
      </c>
      <c r="P97" s="124" t="n">
        <f aca="false">ABS(D97)/$P$3</f>
        <v>464.722</v>
      </c>
      <c r="Q97" s="124" t="n">
        <f aca="false">ABS(E97)/$P$3</f>
        <v>0</v>
      </c>
      <c r="R97" s="124" t="n">
        <f aca="false">ABS(F97)/$P$3</f>
        <v>0</v>
      </c>
      <c r="S97" s="124" t="n">
        <f aca="false">ABS(G97)/$P$3</f>
        <v>9.008</v>
      </c>
      <c r="T97" s="124" t="n">
        <f aca="false">ABS(H97)/$P$3</f>
        <v>44.984</v>
      </c>
      <c r="U97" s="124" t="n">
        <f aca="false">ABS(I97)/$P$3</f>
        <v>464.722</v>
      </c>
      <c r="V97" s="124" t="n">
        <f aca="false">ABS(J97)/$P$3</f>
        <v>45.982</v>
      </c>
      <c r="W97" s="124" t="n">
        <f aca="false">ABS(K97)/$P$3</f>
        <v>455.58</v>
      </c>
      <c r="X97" s="124" t="n">
        <f aca="false">ABS(L97)/$P$3</f>
        <v>0</v>
      </c>
      <c r="Y97" s="124" t="n">
        <f aca="false">ABS(M97)/$P$3</f>
        <v>44.984</v>
      </c>
      <c r="Z97" s="124" t="n">
        <f aca="false">ABS(N97)/$P$3</f>
        <v>461.116</v>
      </c>
    </row>
    <row r="98" customFormat="false" ht="12.75" hidden="true" customHeight="false" outlineLevel="0" collapsed="false">
      <c r="A98" s="120" t="n">
        <f aca="false">A97+1</f>
        <v>36984</v>
      </c>
      <c r="B98" s="131" t="str">
        <f aca="false">INDEX('Master Data'!$A$2:$B$8,MATCH(WEEKDAY('RAC V@r Total'!A98,3),'Master Data'!$A$2:$A$8,0),2)</f>
        <v>T</v>
      </c>
      <c r="D98" s="124" t="n">
        <v>-464925</v>
      </c>
      <c r="E98" s="124" t="n">
        <v>0</v>
      </c>
      <c r="F98" s="124" t="n">
        <v>0</v>
      </c>
      <c r="G98" s="124" t="n">
        <v>-8902</v>
      </c>
      <c r="H98" s="124" t="n">
        <v>-56007</v>
      </c>
      <c r="I98" s="124" t="n">
        <v>-464925</v>
      </c>
      <c r="J98" s="124" t="n">
        <v>-56721</v>
      </c>
      <c r="K98" s="124" t="n">
        <v>-455886</v>
      </c>
      <c r="L98" s="124" t="n">
        <v>0</v>
      </c>
      <c r="M98" s="124" t="n">
        <v>-26999</v>
      </c>
      <c r="N98" s="124" t="n">
        <v>-460989</v>
      </c>
      <c r="P98" s="124" t="n">
        <f aca="false">ABS(D98)/$P$3</f>
        <v>464.925</v>
      </c>
      <c r="Q98" s="124" t="n">
        <f aca="false">ABS(E98)/$P$3</f>
        <v>0</v>
      </c>
      <c r="R98" s="124" t="n">
        <f aca="false">ABS(F98)/$P$3</f>
        <v>0</v>
      </c>
      <c r="S98" s="124" t="n">
        <f aca="false">ABS(G98)/$P$3</f>
        <v>8.902</v>
      </c>
      <c r="T98" s="124" t="n">
        <f aca="false">ABS(H98)/$P$3</f>
        <v>56.007</v>
      </c>
      <c r="U98" s="124" t="n">
        <f aca="false">ABS(I98)/$P$3</f>
        <v>464.925</v>
      </c>
      <c r="V98" s="124" t="n">
        <f aca="false">ABS(J98)/$P$3</f>
        <v>56.721</v>
      </c>
      <c r="W98" s="124" t="n">
        <f aca="false">ABS(K98)/$P$3</f>
        <v>455.886</v>
      </c>
      <c r="X98" s="124" t="n">
        <f aca="false">ABS(L98)/$P$3</f>
        <v>0</v>
      </c>
      <c r="Y98" s="124" t="n">
        <f aca="false">ABS(M98)/$P$3</f>
        <v>26.999</v>
      </c>
      <c r="Z98" s="124" t="n">
        <f aca="false">ABS(N98)/$P$3</f>
        <v>460.989</v>
      </c>
    </row>
    <row r="99" customFormat="false" ht="12.75" hidden="true" customHeight="false" outlineLevel="0" collapsed="false">
      <c r="A99" s="120" t="n">
        <f aca="false">A98+1</f>
        <v>36985</v>
      </c>
      <c r="B99" s="131" t="str">
        <f aca="false">INDEX('Master Data'!$A$2:$B$8,MATCH(WEEKDAY('RAC V@r Total'!A99,3),'Master Data'!$A$2:$A$8,0),2)</f>
        <v>W</v>
      </c>
      <c r="D99" s="124" t="n">
        <v>-465123</v>
      </c>
      <c r="E99" s="124" t="n">
        <v>0</v>
      </c>
      <c r="F99" s="124" t="n">
        <v>0</v>
      </c>
      <c r="G99" s="124" t="n">
        <v>-8582</v>
      </c>
      <c r="H99" s="124" t="n">
        <v>-56059</v>
      </c>
      <c r="I99" s="124" t="n">
        <v>-465123</v>
      </c>
      <c r="J99" s="124" t="n">
        <v>-56754</v>
      </c>
      <c r="K99" s="124" t="n">
        <v>-456389</v>
      </c>
      <c r="L99" s="124" t="n">
        <v>0</v>
      </c>
      <c r="M99" s="124" t="n">
        <v>-27053</v>
      </c>
      <c r="N99" s="124" t="n">
        <v>-461419</v>
      </c>
      <c r="P99" s="124" t="n">
        <f aca="false">ABS(D99)/$P$3</f>
        <v>465.123</v>
      </c>
      <c r="Q99" s="124" t="n">
        <f aca="false">ABS(E99)/$P$3</f>
        <v>0</v>
      </c>
      <c r="R99" s="124" t="n">
        <f aca="false">ABS(F99)/$P$3</f>
        <v>0</v>
      </c>
      <c r="S99" s="124" t="n">
        <f aca="false">ABS(G99)/$P$3</f>
        <v>8.582</v>
      </c>
      <c r="T99" s="124" t="n">
        <f aca="false">ABS(H99)/$P$3</f>
        <v>56.059</v>
      </c>
      <c r="U99" s="124" t="n">
        <f aca="false">ABS(I99)/$P$3</f>
        <v>465.123</v>
      </c>
      <c r="V99" s="124" t="n">
        <f aca="false">ABS(J99)/$P$3</f>
        <v>56.754</v>
      </c>
      <c r="W99" s="124" t="n">
        <f aca="false">ABS(K99)/$P$3</f>
        <v>456.389</v>
      </c>
      <c r="X99" s="124" t="n">
        <f aca="false">ABS(L99)/$P$3</f>
        <v>0</v>
      </c>
      <c r="Y99" s="124" t="n">
        <f aca="false">ABS(M99)/$P$3</f>
        <v>27.053</v>
      </c>
      <c r="Z99" s="124" t="n">
        <f aca="false">ABS(N99)/$P$3</f>
        <v>461.419</v>
      </c>
    </row>
    <row r="100" customFormat="false" ht="12.75" hidden="true" customHeight="false" outlineLevel="0" collapsed="false">
      <c r="A100" s="120" t="n">
        <f aca="false">A99+1</f>
        <v>36986</v>
      </c>
      <c r="B100" s="131" t="str">
        <f aca="false">INDEX('Master Data'!$A$2:$B$8,MATCH(WEEKDAY('RAC V@r Total'!A100,3),'Master Data'!$A$2:$A$8,0),2)</f>
        <v>Th</v>
      </c>
      <c r="D100" s="124" t="n">
        <v>-465320</v>
      </c>
      <c r="E100" s="124" t="n">
        <v>0</v>
      </c>
      <c r="F100" s="124" t="n">
        <v>0</v>
      </c>
      <c r="G100" s="124" t="n">
        <v>-8518</v>
      </c>
      <c r="H100" s="124" t="n">
        <v>-55976</v>
      </c>
      <c r="I100" s="124" t="n">
        <v>-465320</v>
      </c>
      <c r="J100" s="124" t="n">
        <v>-56635</v>
      </c>
      <c r="K100" s="124" t="n">
        <v>-456670</v>
      </c>
      <c r="L100" s="124" t="n">
        <v>0</v>
      </c>
      <c r="M100" s="124" t="n">
        <v>-26943</v>
      </c>
      <c r="N100" s="124" t="n">
        <v>-461656</v>
      </c>
      <c r="P100" s="124" t="n">
        <f aca="false">ABS(D100)/$P$3</f>
        <v>465.32</v>
      </c>
      <c r="Q100" s="124" t="n">
        <f aca="false">ABS(E100)/$P$3</f>
        <v>0</v>
      </c>
      <c r="R100" s="124" t="n">
        <f aca="false">ABS(F100)/$P$3</f>
        <v>0</v>
      </c>
      <c r="S100" s="124" t="n">
        <f aca="false">ABS(G100)/$P$3</f>
        <v>8.518</v>
      </c>
      <c r="T100" s="124" t="n">
        <f aca="false">ABS(H100)/$P$3</f>
        <v>55.976</v>
      </c>
      <c r="U100" s="124" t="n">
        <f aca="false">ABS(I100)/$P$3</f>
        <v>465.32</v>
      </c>
      <c r="V100" s="124" t="n">
        <f aca="false">ABS(J100)/$P$3</f>
        <v>56.635</v>
      </c>
      <c r="W100" s="124" t="n">
        <f aca="false">ABS(K100)/$P$3</f>
        <v>456.67</v>
      </c>
      <c r="X100" s="124" t="n">
        <f aca="false">ABS(L100)/$P$3</f>
        <v>0</v>
      </c>
      <c r="Y100" s="124" t="n">
        <f aca="false">ABS(M100)/$P$3</f>
        <v>26.943</v>
      </c>
      <c r="Z100" s="124" t="n">
        <f aca="false">ABS(N100)/$P$3</f>
        <v>461.656</v>
      </c>
    </row>
    <row r="101" customFormat="false" ht="12.75" hidden="true" customHeight="false" outlineLevel="0" collapsed="false">
      <c r="A101" s="120" t="n">
        <f aca="false">A100+1</f>
        <v>36987</v>
      </c>
      <c r="B101" s="131" t="str">
        <f aca="false">INDEX('Master Data'!$A$2:$B$8,MATCH(WEEKDAY('RAC V@r Total'!A101,3),'Master Data'!$A$2:$A$8,0),2)</f>
        <v>F</v>
      </c>
      <c r="D101" s="124" t="n">
        <v>-465516</v>
      </c>
      <c r="E101" s="124" t="n">
        <v>0</v>
      </c>
      <c r="F101" s="124" t="n">
        <v>0</v>
      </c>
      <c r="G101" s="124" t="n">
        <v>-8453</v>
      </c>
      <c r="H101" s="124" t="n">
        <v>-56188</v>
      </c>
      <c r="I101" s="124" t="n">
        <v>-465516</v>
      </c>
      <c r="J101" s="124" t="n">
        <v>-56926</v>
      </c>
      <c r="K101" s="124" t="n">
        <v>-456950</v>
      </c>
      <c r="L101" s="124" t="n">
        <v>0</v>
      </c>
      <c r="M101" s="124" t="n">
        <v>-27211</v>
      </c>
      <c r="N101" s="124" t="n">
        <v>-462008</v>
      </c>
      <c r="P101" s="124" t="n">
        <f aca="false">ABS(D101)/$P$3</f>
        <v>465.516</v>
      </c>
      <c r="Q101" s="124" t="n">
        <f aca="false">ABS(E101)/$P$3</f>
        <v>0</v>
      </c>
      <c r="R101" s="124" t="n">
        <f aca="false">ABS(F101)/$P$3</f>
        <v>0</v>
      </c>
      <c r="S101" s="124" t="n">
        <f aca="false">ABS(G101)/$P$3</f>
        <v>8.453</v>
      </c>
      <c r="T101" s="124" t="n">
        <f aca="false">ABS(H101)/$P$3</f>
        <v>56.188</v>
      </c>
      <c r="U101" s="124" t="n">
        <f aca="false">ABS(I101)/$P$3</f>
        <v>465.516</v>
      </c>
      <c r="V101" s="124" t="n">
        <f aca="false">ABS(J101)/$P$3</f>
        <v>56.926</v>
      </c>
      <c r="W101" s="124" t="n">
        <f aca="false">ABS(K101)/$P$3</f>
        <v>456.95</v>
      </c>
      <c r="X101" s="124" t="n">
        <f aca="false">ABS(L101)/$P$3</f>
        <v>0</v>
      </c>
      <c r="Y101" s="124" t="n">
        <f aca="false">ABS(M101)/$P$3</f>
        <v>27.211</v>
      </c>
      <c r="Z101" s="124" t="n">
        <f aca="false">ABS(N101)/$P$3</f>
        <v>462.008</v>
      </c>
    </row>
    <row r="102" customFormat="false" ht="12.75" hidden="true" customHeight="false" outlineLevel="0" collapsed="false">
      <c r="A102" s="120" t="n">
        <f aca="false">A101+1</f>
        <v>36988</v>
      </c>
      <c r="B102" s="131" t="str">
        <f aca="false">INDEX('Master Data'!$A$2:$B$8,MATCH(WEEKDAY('RAC V@r Total'!A102,3),'Master Data'!$A$2:$A$8,0),2)</f>
        <v>Sa</v>
      </c>
      <c r="D102" s="124" t="n">
        <v>0</v>
      </c>
      <c r="E102" s="124" t="n">
        <v>0</v>
      </c>
      <c r="F102" s="124" t="n">
        <v>0</v>
      </c>
      <c r="G102" s="124" t="n">
        <v>0</v>
      </c>
      <c r="H102" s="124" t="n">
        <v>0</v>
      </c>
      <c r="I102" s="124" t="n">
        <v>0</v>
      </c>
      <c r="J102" s="124" t="n">
        <v>0</v>
      </c>
      <c r="K102" s="124" t="n">
        <v>0</v>
      </c>
      <c r="L102" s="124" t="n">
        <v>0</v>
      </c>
      <c r="M102" s="124" t="n">
        <v>0</v>
      </c>
      <c r="N102" s="124" t="n">
        <v>0</v>
      </c>
      <c r="P102" s="124" t="n">
        <f aca="false">ABS(D102)/$P$3</f>
        <v>0</v>
      </c>
      <c r="Q102" s="124" t="n">
        <f aca="false">ABS(E102)/$P$3</f>
        <v>0</v>
      </c>
      <c r="R102" s="124" t="n">
        <f aca="false">ABS(F102)/$P$3</f>
        <v>0</v>
      </c>
      <c r="S102" s="124" t="n">
        <f aca="false">ABS(G102)/$P$3</f>
        <v>0</v>
      </c>
      <c r="T102" s="124" t="n">
        <f aca="false">ABS(H102)/$P$3</f>
        <v>0</v>
      </c>
      <c r="U102" s="124" t="n">
        <f aca="false">ABS(I102)/$P$3</f>
        <v>0</v>
      </c>
      <c r="V102" s="124" t="n">
        <f aca="false">ABS(J102)/$P$3</f>
        <v>0</v>
      </c>
      <c r="W102" s="124" t="n">
        <f aca="false">ABS(K102)/$P$3</f>
        <v>0</v>
      </c>
      <c r="X102" s="124" t="n">
        <f aca="false">ABS(L102)/$P$3</f>
        <v>0</v>
      </c>
      <c r="Y102" s="124" t="n">
        <f aca="false">ABS(M102)/$P$3</f>
        <v>0</v>
      </c>
      <c r="Z102" s="124" t="n">
        <f aca="false">ABS(N102)/$P$3</f>
        <v>0</v>
      </c>
    </row>
    <row r="103" customFormat="false" ht="12.75" hidden="true" customHeight="false" outlineLevel="0" collapsed="false">
      <c r="A103" s="120" t="n">
        <f aca="false">A102+1</f>
        <v>36989</v>
      </c>
      <c r="B103" s="131" t="str">
        <f aca="false">INDEX('Master Data'!$A$2:$B$8,MATCH(WEEKDAY('RAC V@r Total'!A103,3),'Master Data'!$A$2:$A$8,0),2)</f>
        <v>Su</v>
      </c>
      <c r="D103" s="124" t="n">
        <v>0</v>
      </c>
      <c r="E103" s="124" t="n">
        <v>0</v>
      </c>
      <c r="F103" s="124" t="n">
        <v>0</v>
      </c>
      <c r="G103" s="124" t="n">
        <v>0</v>
      </c>
      <c r="H103" s="124" t="n">
        <v>0</v>
      </c>
      <c r="I103" s="124" t="n">
        <v>0</v>
      </c>
      <c r="J103" s="124" t="n">
        <v>0</v>
      </c>
      <c r="K103" s="124" t="n">
        <v>0</v>
      </c>
      <c r="L103" s="124" t="n">
        <v>0</v>
      </c>
      <c r="M103" s="124" t="n">
        <v>0</v>
      </c>
      <c r="N103" s="124" t="n">
        <v>0</v>
      </c>
      <c r="P103" s="124" t="n">
        <f aca="false">ABS(D103)/$P$3</f>
        <v>0</v>
      </c>
      <c r="Q103" s="124" t="n">
        <f aca="false">ABS(E103)/$P$3</f>
        <v>0</v>
      </c>
      <c r="R103" s="124" t="n">
        <f aca="false">ABS(F103)/$P$3</f>
        <v>0</v>
      </c>
      <c r="S103" s="124" t="n">
        <f aca="false">ABS(G103)/$P$3</f>
        <v>0</v>
      </c>
      <c r="T103" s="124" t="n">
        <f aca="false">ABS(H103)/$P$3</f>
        <v>0</v>
      </c>
      <c r="U103" s="124" t="n">
        <f aca="false">ABS(I103)/$P$3</f>
        <v>0</v>
      </c>
      <c r="V103" s="124" t="n">
        <f aca="false">ABS(J103)/$P$3</f>
        <v>0</v>
      </c>
      <c r="W103" s="124" t="n">
        <f aca="false">ABS(K103)/$P$3</f>
        <v>0</v>
      </c>
      <c r="X103" s="124" t="n">
        <f aca="false">ABS(L103)/$P$3</f>
        <v>0</v>
      </c>
      <c r="Y103" s="124" t="n">
        <f aca="false">ABS(M103)/$P$3</f>
        <v>0</v>
      </c>
      <c r="Z103" s="124" t="n">
        <f aca="false">ABS(N103)/$P$3</f>
        <v>0</v>
      </c>
    </row>
    <row r="104" customFormat="false" ht="12.75" hidden="true" customHeight="false" outlineLevel="0" collapsed="false">
      <c r="A104" s="120" t="n">
        <f aca="false">A103+1</f>
        <v>36990</v>
      </c>
      <c r="B104" s="131" t="str">
        <f aca="false">INDEX('Master Data'!$A$2:$B$8,MATCH(WEEKDAY('RAC V@r Total'!A104,3),'Master Data'!$A$2:$A$8,0),2)</f>
        <v>M</v>
      </c>
      <c r="D104" s="124" t="n">
        <v>-466102</v>
      </c>
      <c r="E104" s="124" t="n">
        <v>0</v>
      </c>
      <c r="F104" s="124" t="n">
        <v>0</v>
      </c>
      <c r="G104" s="124" t="n">
        <v>-8328</v>
      </c>
      <c r="H104" s="124" t="n">
        <v>-56175</v>
      </c>
      <c r="I104" s="124" t="n">
        <v>-466102</v>
      </c>
      <c r="J104" s="124" t="n">
        <v>-56891</v>
      </c>
      <c r="K104" s="124" t="n">
        <v>-457697</v>
      </c>
      <c r="L104" s="124" t="n">
        <v>0</v>
      </c>
      <c r="M104" s="124" t="n">
        <v>-27171</v>
      </c>
      <c r="N104" s="124" t="n">
        <v>-462744</v>
      </c>
      <c r="P104" s="124" t="n">
        <f aca="false">ABS(D104)/$P$3</f>
        <v>466.102</v>
      </c>
      <c r="Q104" s="124" t="n">
        <f aca="false">ABS(E104)/$P$3</f>
        <v>0</v>
      </c>
      <c r="R104" s="124" t="n">
        <f aca="false">ABS(F104)/$P$3</f>
        <v>0</v>
      </c>
      <c r="S104" s="124" t="n">
        <f aca="false">ABS(G104)/$P$3</f>
        <v>8.328</v>
      </c>
      <c r="T104" s="124" t="n">
        <f aca="false">ABS(H104)/$P$3</f>
        <v>56.175</v>
      </c>
      <c r="U104" s="124" t="n">
        <f aca="false">ABS(I104)/$P$3</f>
        <v>466.102</v>
      </c>
      <c r="V104" s="124" t="n">
        <f aca="false">ABS(J104)/$P$3</f>
        <v>56.891</v>
      </c>
      <c r="W104" s="124" t="n">
        <f aca="false">ABS(K104)/$P$3</f>
        <v>457.697</v>
      </c>
      <c r="X104" s="124" t="n">
        <f aca="false">ABS(L104)/$P$3</f>
        <v>0</v>
      </c>
      <c r="Y104" s="124" t="n">
        <f aca="false">ABS(M104)/$P$3</f>
        <v>27.171</v>
      </c>
      <c r="Z104" s="124" t="n">
        <f aca="false">ABS(N104)/$P$3</f>
        <v>462.744</v>
      </c>
    </row>
    <row r="105" customFormat="false" ht="12.75" hidden="true" customHeight="false" outlineLevel="0" collapsed="false">
      <c r="A105" s="120" t="n">
        <f aca="false">A104+1</f>
        <v>36991</v>
      </c>
      <c r="B105" s="131" t="str">
        <f aca="false">INDEX('Master Data'!$A$2:$B$8,MATCH(WEEKDAY('RAC V@r Total'!A105,3),'Master Data'!$A$2:$A$8,0),2)</f>
        <v>T</v>
      </c>
      <c r="D105" s="124" t="n">
        <v>-477984</v>
      </c>
      <c r="E105" s="124" t="n">
        <v>0</v>
      </c>
      <c r="F105" s="124" t="n">
        <v>0</v>
      </c>
      <c r="G105" s="124" t="n">
        <v>-8280</v>
      </c>
      <c r="H105" s="124" t="n">
        <v>-55821</v>
      </c>
      <c r="I105" s="124" t="n">
        <v>-477984</v>
      </c>
      <c r="J105" s="124" t="n">
        <v>-56397</v>
      </c>
      <c r="K105" s="124" t="n">
        <v>-471148</v>
      </c>
      <c r="L105" s="124" t="n">
        <v>0</v>
      </c>
      <c r="M105" s="124" t="n">
        <v>-26714</v>
      </c>
      <c r="N105" s="124" t="n">
        <v>-477349</v>
      </c>
      <c r="P105" s="124" t="n">
        <f aca="false">ABS(D105)/$P$3</f>
        <v>477.984</v>
      </c>
      <c r="Q105" s="124" t="n">
        <f aca="false">ABS(E105)/$P$3</f>
        <v>0</v>
      </c>
      <c r="R105" s="124" t="n">
        <f aca="false">ABS(F105)/$P$3</f>
        <v>0</v>
      </c>
      <c r="S105" s="124" t="n">
        <f aca="false">ABS(G105)/$P$3</f>
        <v>8.28</v>
      </c>
      <c r="T105" s="124" t="n">
        <f aca="false">ABS(H105)/$P$3</f>
        <v>55.821</v>
      </c>
      <c r="U105" s="124" t="n">
        <f aca="false">ABS(I105)/$P$3</f>
        <v>477.984</v>
      </c>
      <c r="V105" s="124" t="n">
        <f aca="false">ABS(J105)/$P$3</f>
        <v>56.397</v>
      </c>
      <c r="W105" s="124" t="n">
        <f aca="false">ABS(K105)/$P$3</f>
        <v>471.148</v>
      </c>
      <c r="X105" s="124" t="n">
        <f aca="false">ABS(L105)/$P$3</f>
        <v>0</v>
      </c>
      <c r="Y105" s="124" t="n">
        <f aca="false">ABS(M105)/$P$3</f>
        <v>26.714</v>
      </c>
      <c r="Z105" s="124" t="n">
        <f aca="false">ABS(N105)/$P$3</f>
        <v>477.349</v>
      </c>
    </row>
    <row r="106" customFormat="false" ht="12.75" hidden="true" customHeight="false" outlineLevel="0" collapsed="false">
      <c r="A106" s="120" t="n">
        <f aca="false">A105+1</f>
        <v>36992</v>
      </c>
      <c r="B106" s="131" t="str">
        <f aca="false">INDEX('Master Data'!$A$2:$B$8,MATCH(WEEKDAY('RAC V@r Total'!A106,3),'Master Data'!$A$2:$A$8,0),2)</f>
        <v>W</v>
      </c>
      <c r="D106" s="124" t="n">
        <v>-478207</v>
      </c>
      <c r="E106" s="124" t="n">
        <v>0</v>
      </c>
      <c r="F106" s="124" t="n">
        <v>0</v>
      </c>
      <c r="G106" s="124" t="n">
        <v>-8158</v>
      </c>
      <c r="H106" s="124" t="n">
        <v>-55845</v>
      </c>
      <c r="I106" s="124" t="n">
        <v>-478207</v>
      </c>
      <c r="J106" s="124" t="n">
        <v>-56425</v>
      </c>
      <c r="K106" s="124" t="n">
        <v>-471520</v>
      </c>
      <c r="L106" s="124" t="n">
        <v>0</v>
      </c>
      <c r="M106" s="124" t="n">
        <v>-26738</v>
      </c>
      <c r="N106" s="124" t="n">
        <v>-477679</v>
      </c>
      <c r="P106" s="124" t="n">
        <f aca="false">ABS(D106)/$P$3</f>
        <v>478.207</v>
      </c>
      <c r="Q106" s="124" t="n">
        <f aca="false">ABS(E106)/$P$3</f>
        <v>0</v>
      </c>
      <c r="R106" s="124" t="n">
        <f aca="false">ABS(F106)/$P$3</f>
        <v>0</v>
      </c>
      <c r="S106" s="124" t="n">
        <f aca="false">ABS(G106)/$P$3</f>
        <v>8.158</v>
      </c>
      <c r="T106" s="124" t="n">
        <f aca="false">ABS(H106)/$P$3</f>
        <v>55.845</v>
      </c>
      <c r="U106" s="124" t="n">
        <f aca="false">ABS(I106)/$P$3</f>
        <v>478.207</v>
      </c>
      <c r="V106" s="124" t="n">
        <f aca="false">ABS(J106)/$P$3</f>
        <v>56.425</v>
      </c>
      <c r="W106" s="124" t="n">
        <f aca="false">ABS(K106)/$P$3</f>
        <v>471.52</v>
      </c>
      <c r="X106" s="124" t="n">
        <f aca="false">ABS(L106)/$P$3</f>
        <v>0</v>
      </c>
      <c r="Y106" s="124" t="n">
        <f aca="false">ABS(M106)/$P$3</f>
        <v>26.738</v>
      </c>
      <c r="Z106" s="124" t="n">
        <f aca="false">ABS(N106)/$P$3</f>
        <v>477.679</v>
      </c>
    </row>
    <row r="107" customFormat="false" ht="12.75" hidden="true" customHeight="false" outlineLevel="0" collapsed="false">
      <c r="A107" s="120" t="n">
        <f aca="false">A106+1</f>
        <v>36993</v>
      </c>
      <c r="B107" s="131" t="str">
        <f aca="false">INDEX('Master Data'!$A$2:$B$8,MATCH(WEEKDAY('RAC V@r Total'!A107,3),'Master Data'!$A$2:$A$8,0),2)</f>
        <v>Th</v>
      </c>
      <c r="D107" s="124" t="n">
        <v>-478430</v>
      </c>
      <c r="E107" s="124" t="n">
        <v>0</v>
      </c>
      <c r="F107" s="124" t="n">
        <v>0</v>
      </c>
      <c r="G107" s="124" t="n">
        <v>-8130</v>
      </c>
      <c r="H107" s="124" t="n">
        <v>-55749</v>
      </c>
      <c r="I107" s="124" t="n">
        <v>-478430</v>
      </c>
      <c r="J107" s="124" t="n">
        <v>-56287</v>
      </c>
      <c r="K107" s="124" t="n">
        <v>-471762</v>
      </c>
      <c r="L107" s="124" t="n">
        <v>0</v>
      </c>
      <c r="M107" s="124" t="n">
        <v>-26608</v>
      </c>
      <c r="N107" s="124" t="n">
        <v>-477883</v>
      </c>
      <c r="P107" s="124" t="n">
        <f aca="false">ABS(D107)/$P$3</f>
        <v>478.43</v>
      </c>
      <c r="Q107" s="124" t="n">
        <f aca="false">ABS(E107)/$P$3</f>
        <v>0</v>
      </c>
      <c r="R107" s="124" t="n">
        <f aca="false">ABS(F107)/$P$3</f>
        <v>0</v>
      </c>
      <c r="S107" s="124" t="n">
        <f aca="false">ABS(G107)/$P$3</f>
        <v>8.13</v>
      </c>
      <c r="T107" s="124" t="n">
        <f aca="false">ABS(H107)/$P$3</f>
        <v>55.749</v>
      </c>
      <c r="U107" s="124" t="n">
        <f aca="false">ABS(I107)/$P$3</f>
        <v>478.43</v>
      </c>
      <c r="V107" s="124" t="n">
        <f aca="false">ABS(J107)/$P$3</f>
        <v>56.287</v>
      </c>
      <c r="W107" s="124" t="n">
        <f aca="false">ABS(K107)/$P$3</f>
        <v>471.762</v>
      </c>
      <c r="X107" s="124" t="n">
        <f aca="false">ABS(L107)/$P$3</f>
        <v>0</v>
      </c>
      <c r="Y107" s="124" t="n">
        <f aca="false">ABS(M107)/$P$3</f>
        <v>26.608</v>
      </c>
      <c r="Z107" s="124" t="n">
        <f aca="false">ABS(N107)/$P$3</f>
        <v>477.883</v>
      </c>
    </row>
    <row r="108" customFormat="false" ht="12.75" hidden="true" customHeight="false" outlineLevel="0" collapsed="false">
      <c r="A108" s="120" t="n">
        <f aca="false">A107+1</f>
        <v>36994</v>
      </c>
      <c r="B108" s="131" t="str">
        <f aca="false">INDEX('Master Data'!$A$2:$B$8,MATCH(WEEKDAY('RAC V@r Total'!A108,3),'Master Data'!$A$2:$A$8,0),2)</f>
        <v>F</v>
      </c>
      <c r="D108" s="124" t="n">
        <v>0</v>
      </c>
      <c r="E108" s="124" t="n">
        <v>0</v>
      </c>
      <c r="F108" s="124" t="n">
        <v>0</v>
      </c>
      <c r="G108" s="124" t="n">
        <v>0</v>
      </c>
      <c r="H108" s="124" t="n">
        <v>0</v>
      </c>
      <c r="I108" s="124" t="n">
        <v>0</v>
      </c>
      <c r="J108" s="124" t="n">
        <v>0</v>
      </c>
      <c r="K108" s="124" t="n">
        <v>0</v>
      </c>
      <c r="L108" s="124" t="n">
        <v>0</v>
      </c>
      <c r="M108" s="124" t="n">
        <v>0</v>
      </c>
      <c r="N108" s="124" t="n">
        <v>0</v>
      </c>
      <c r="P108" s="124" t="n">
        <f aca="false">ABS(D108)/$P$3</f>
        <v>0</v>
      </c>
      <c r="Q108" s="124" t="n">
        <f aca="false">ABS(E108)/$P$3</f>
        <v>0</v>
      </c>
      <c r="R108" s="124" t="n">
        <f aca="false">ABS(F108)/$P$3</f>
        <v>0</v>
      </c>
      <c r="S108" s="124" t="n">
        <f aca="false">ABS(G108)/$P$3</f>
        <v>0</v>
      </c>
      <c r="T108" s="124" t="n">
        <f aca="false">ABS(H108)/$P$3</f>
        <v>0</v>
      </c>
      <c r="U108" s="124" t="n">
        <f aca="false">ABS(I108)/$P$3</f>
        <v>0</v>
      </c>
      <c r="V108" s="124" t="n">
        <f aca="false">ABS(J108)/$P$3</f>
        <v>0</v>
      </c>
      <c r="W108" s="124" t="n">
        <f aca="false">ABS(K108)/$P$3</f>
        <v>0</v>
      </c>
      <c r="X108" s="124" t="n">
        <f aca="false">ABS(L108)/$P$3</f>
        <v>0</v>
      </c>
      <c r="Y108" s="124" t="n">
        <f aca="false">ABS(M108)/$P$3</f>
        <v>0</v>
      </c>
      <c r="Z108" s="124" t="n">
        <f aca="false">ABS(N108)/$P$3</f>
        <v>0</v>
      </c>
    </row>
    <row r="109" customFormat="false" ht="12.75" hidden="true" customHeight="false" outlineLevel="0" collapsed="false">
      <c r="A109" s="120" t="n">
        <f aca="false">A108+1</f>
        <v>36995</v>
      </c>
      <c r="B109" s="131" t="str">
        <f aca="false">INDEX('Master Data'!$A$2:$B$8,MATCH(WEEKDAY('RAC V@r Total'!A109,3),'Master Data'!$A$2:$A$8,0),2)</f>
        <v>Sa</v>
      </c>
      <c r="D109" s="124" t="n">
        <v>0</v>
      </c>
      <c r="E109" s="124" t="n">
        <v>0</v>
      </c>
      <c r="F109" s="124" t="n">
        <v>0</v>
      </c>
      <c r="G109" s="124" t="n">
        <v>0</v>
      </c>
      <c r="H109" s="124" t="n">
        <v>0</v>
      </c>
      <c r="I109" s="124" t="n">
        <v>0</v>
      </c>
      <c r="J109" s="124" t="n">
        <v>0</v>
      </c>
      <c r="K109" s="124" t="n">
        <v>0</v>
      </c>
      <c r="L109" s="124" t="n">
        <v>0</v>
      </c>
      <c r="M109" s="124" t="n">
        <v>0</v>
      </c>
      <c r="N109" s="124" t="n">
        <v>0</v>
      </c>
      <c r="P109" s="124" t="n">
        <f aca="false">ABS(D109)/$P$3</f>
        <v>0</v>
      </c>
      <c r="Q109" s="124" t="n">
        <f aca="false">ABS(E109)/$P$3</f>
        <v>0</v>
      </c>
      <c r="R109" s="124" t="n">
        <f aca="false">ABS(F109)/$P$3</f>
        <v>0</v>
      </c>
      <c r="S109" s="124" t="n">
        <f aca="false">ABS(G109)/$P$3</f>
        <v>0</v>
      </c>
      <c r="T109" s="124" t="n">
        <f aca="false">ABS(H109)/$P$3</f>
        <v>0</v>
      </c>
      <c r="U109" s="124" t="n">
        <f aca="false">ABS(I109)/$P$3</f>
        <v>0</v>
      </c>
      <c r="V109" s="124" t="n">
        <f aca="false">ABS(J109)/$P$3</f>
        <v>0</v>
      </c>
      <c r="W109" s="124" t="n">
        <f aca="false">ABS(K109)/$P$3</f>
        <v>0</v>
      </c>
      <c r="X109" s="124" t="n">
        <f aca="false">ABS(L109)/$P$3</f>
        <v>0</v>
      </c>
      <c r="Y109" s="124" t="n">
        <f aca="false">ABS(M109)/$P$3</f>
        <v>0</v>
      </c>
      <c r="Z109" s="124" t="n">
        <f aca="false">ABS(N109)/$P$3</f>
        <v>0</v>
      </c>
    </row>
    <row r="110" customFormat="false" ht="12.75" hidden="true" customHeight="false" outlineLevel="0" collapsed="false">
      <c r="A110" s="120" t="n">
        <f aca="false">A109+1</f>
        <v>36996</v>
      </c>
      <c r="B110" s="131" t="str">
        <f aca="false">INDEX('Master Data'!$A$2:$B$8,MATCH(WEEKDAY('RAC V@r Total'!A110,3),'Master Data'!$A$2:$A$8,0),2)</f>
        <v>Su</v>
      </c>
      <c r="D110" s="124" t="n">
        <v>0</v>
      </c>
      <c r="E110" s="124" t="n">
        <v>0</v>
      </c>
      <c r="F110" s="124" t="n">
        <v>0</v>
      </c>
      <c r="G110" s="124" t="n">
        <v>0</v>
      </c>
      <c r="H110" s="124" t="n">
        <v>0</v>
      </c>
      <c r="I110" s="124" t="n">
        <v>0</v>
      </c>
      <c r="J110" s="124" t="n">
        <v>0</v>
      </c>
      <c r="K110" s="124" t="n">
        <v>0</v>
      </c>
      <c r="L110" s="124" t="n">
        <v>0</v>
      </c>
      <c r="M110" s="124" t="n">
        <v>0</v>
      </c>
      <c r="N110" s="124" t="n">
        <v>0</v>
      </c>
      <c r="P110" s="124" t="n">
        <f aca="false">ABS(D110)/$P$3</f>
        <v>0</v>
      </c>
      <c r="Q110" s="124" t="n">
        <f aca="false">ABS(E110)/$P$3</f>
        <v>0</v>
      </c>
      <c r="R110" s="124" t="n">
        <f aca="false">ABS(F110)/$P$3</f>
        <v>0</v>
      </c>
      <c r="S110" s="124" t="n">
        <f aca="false">ABS(G110)/$P$3</f>
        <v>0</v>
      </c>
      <c r="T110" s="124" t="n">
        <f aca="false">ABS(H110)/$P$3</f>
        <v>0</v>
      </c>
      <c r="U110" s="124" t="n">
        <f aca="false">ABS(I110)/$P$3</f>
        <v>0</v>
      </c>
      <c r="V110" s="124" t="n">
        <f aca="false">ABS(J110)/$P$3</f>
        <v>0</v>
      </c>
      <c r="W110" s="124" t="n">
        <f aca="false">ABS(K110)/$P$3</f>
        <v>0</v>
      </c>
      <c r="X110" s="124" t="n">
        <f aca="false">ABS(L110)/$P$3</f>
        <v>0</v>
      </c>
      <c r="Y110" s="124" t="n">
        <f aca="false">ABS(M110)/$P$3</f>
        <v>0</v>
      </c>
      <c r="Z110" s="124" t="n">
        <f aca="false">ABS(N110)/$P$3</f>
        <v>0</v>
      </c>
    </row>
    <row r="111" customFormat="false" ht="12.75" hidden="true" customHeight="false" outlineLevel="0" collapsed="false">
      <c r="A111" s="120" t="n">
        <f aca="false">A110+1</f>
        <v>36997</v>
      </c>
      <c r="B111" s="131" t="str">
        <f aca="false">INDEX('Master Data'!$A$2:$B$8,MATCH(WEEKDAY('RAC V@r Total'!A111,3),'Master Data'!$A$2:$A$8,0),2)</f>
        <v>M</v>
      </c>
      <c r="D111" s="124" t="n">
        <v>-479319</v>
      </c>
      <c r="E111" s="124" t="n">
        <v>0</v>
      </c>
      <c r="F111" s="124" t="n">
        <v>0</v>
      </c>
      <c r="G111" s="124" t="n">
        <v>-7981</v>
      </c>
      <c r="H111" s="124" t="n">
        <v>-55542</v>
      </c>
      <c r="I111" s="124" t="n">
        <v>-479319</v>
      </c>
      <c r="J111" s="124" t="n">
        <v>-55542</v>
      </c>
      <c r="K111" s="124" t="n">
        <v>-472778</v>
      </c>
      <c r="L111" s="124" t="n">
        <v>0</v>
      </c>
      <c r="M111" s="124" t="n">
        <v>-26317</v>
      </c>
      <c r="N111" s="124" t="n">
        <v>-479797</v>
      </c>
      <c r="P111" s="124" t="n">
        <f aca="false">ABS(D111)/$P$3</f>
        <v>479.319</v>
      </c>
      <c r="Q111" s="124" t="n">
        <f aca="false">ABS(E111)/$P$3</f>
        <v>0</v>
      </c>
      <c r="R111" s="124" t="n">
        <f aca="false">ABS(F111)/$P$3</f>
        <v>0</v>
      </c>
      <c r="S111" s="124" t="n">
        <f aca="false">ABS(G111)/$P$3</f>
        <v>7.981</v>
      </c>
      <c r="T111" s="124" t="n">
        <f aca="false">ABS(H111)/$P$3</f>
        <v>55.542</v>
      </c>
      <c r="U111" s="124" t="n">
        <f aca="false">ABS(I111)/$P$3</f>
        <v>479.319</v>
      </c>
      <c r="V111" s="124" t="n">
        <f aca="false">ABS(J111)/$P$3</f>
        <v>55.542</v>
      </c>
      <c r="W111" s="124" t="n">
        <f aca="false">ABS(K111)/$P$3</f>
        <v>472.778</v>
      </c>
      <c r="X111" s="124" t="n">
        <f aca="false">ABS(L111)/$P$3</f>
        <v>0</v>
      </c>
      <c r="Y111" s="124" t="n">
        <f aca="false">ABS(M111)/$P$3</f>
        <v>26.317</v>
      </c>
      <c r="Z111" s="124" t="n">
        <f aca="false">ABS(N111)/$P$3</f>
        <v>479.797</v>
      </c>
    </row>
    <row r="112" customFormat="false" ht="12.75" hidden="true" customHeight="false" outlineLevel="0" collapsed="false">
      <c r="A112" s="120" t="n">
        <f aca="false">A111+1</f>
        <v>36998</v>
      </c>
      <c r="B112" s="131" t="str">
        <f aca="false">INDEX('Master Data'!$A$2:$B$8,MATCH(WEEKDAY('RAC V@r Total'!A112,3),'Master Data'!$A$2:$A$8,0),2)</f>
        <v>T</v>
      </c>
      <c r="D112" s="124" t="n">
        <v>-479541</v>
      </c>
      <c r="E112" s="124" t="n">
        <v>0</v>
      </c>
      <c r="F112" s="124" t="n">
        <v>0</v>
      </c>
      <c r="G112" s="124" t="n">
        <v>-7919</v>
      </c>
      <c r="H112" s="124" t="n">
        <v>-55716</v>
      </c>
      <c r="I112" s="124" t="n">
        <v>-479541</v>
      </c>
      <c r="J112" s="124" t="n">
        <v>-56218</v>
      </c>
      <c r="K112" s="124" t="n">
        <v>-473068</v>
      </c>
      <c r="L112" s="124" t="n">
        <v>0</v>
      </c>
      <c r="M112" s="124" t="n">
        <v>-26537</v>
      </c>
      <c r="N112" s="124" t="n">
        <v>-479136</v>
      </c>
      <c r="P112" s="124" t="n">
        <f aca="false">ABS(D112)/$P$3</f>
        <v>479.541</v>
      </c>
      <c r="Q112" s="124" t="n">
        <f aca="false">ABS(E112)/$P$3</f>
        <v>0</v>
      </c>
      <c r="R112" s="124" t="n">
        <f aca="false">ABS(F112)/$P$3</f>
        <v>0</v>
      </c>
      <c r="S112" s="124" t="n">
        <f aca="false">ABS(G112)/$P$3</f>
        <v>7.919</v>
      </c>
      <c r="T112" s="124" t="n">
        <f aca="false">ABS(H112)/$P$3</f>
        <v>55.716</v>
      </c>
      <c r="U112" s="124" t="n">
        <f aca="false">ABS(I112)/$P$3</f>
        <v>479.541</v>
      </c>
      <c r="V112" s="124" t="n">
        <f aca="false">ABS(J112)/$P$3</f>
        <v>56.218</v>
      </c>
      <c r="W112" s="124" t="n">
        <f aca="false">ABS(K112)/$P$3</f>
        <v>473.068</v>
      </c>
      <c r="X112" s="124" t="n">
        <f aca="false">ABS(L112)/$P$3</f>
        <v>0</v>
      </c>
      <c r="Y112" s="124" t="n">
        <f aca="false">ABS(M112)/$P$3</f>
        <v>26.537</v>
      </c>
      <c r="Z112" s="124" t="n">
        <f aca="false">ABS(N112)/$P$3</f>
        <v>479.136</v>
      </c>
    </row>
    <row r="113" customFormat="false" ht="12.75" hidden="true" customHeight="false" outlineLevel="0" collapsed="false">
      <c r="A113" s="120" t="n">
        <f aca="false">A112+1</f>
        <v>36999</v>
      </c>
      <c r="B113" s="131" t="str">
        <f aca="false">INDEX('Master Data'!$A$2:$B$8,MATCH(WEEKDAY('RAC V@r Total'!A113,3),'Master Data'!$A$2:$A$8,0),2)</f>
        <v>W</v>
      </c>
      <c r="D113" s="124" t="n">
        <v>-479763</v>
      </c>
      <c r="E113" s="124" t="n">
        <v>0</v>
      </c>
      <c r="F113" s="124" t="n">
        <v>0</v>
      </c>
      <c r="G113" s="124" t="n">
        <v>-7857</v>
      </c>
      <c r="H113" s="124" t="n">
        <v>-55962</v>
      </c>
      <c r="I113" s="124" t="n">
        <v>-479763</v>
      </c>
      <c r="J113" s="124" t="n">
        <v>-56524</v>
      </c>
      <c r="K113" s="124" t="n">
        <v>-473358</v>
      </c>
      <c r="L113" s="124" t="n">
        <v>0</v>
      </c>
      <c r="M113" s="124" t="n">
        <v>-26833</v>
      </c>
      <c r="N113" s="124" t="n">
        <v>-479497</v>
      </c>
      <c r="P113" s="124" t="n">
        <f aca="false">ABS(D113)/$P$3</f>
        <v>479.763</v>
      </c>
      <c r="Q113" s="124" t="n">
        <f aca="false">ABS(E113)/$P$3</f>
        <v>0</v>
      </c>
      <c r="R113" s="124" t="n">
        <f aca="false">ABS(F113)/$P$3</f>
        <v>0</v>
      </c>
      <c r="S113" s="124" t="n">
        <f aca="false">ABS(G113)/$P$3</f>
        <v>7.857</v>
      </c>
      <c r="T113" s="124" t="n">
        <f aca="false">ABS(H113)/$P$3</f>
        <v>55.962</v>
      </c>
      <c r="U113" s="124" t="n">
        <f aca="false">ABS(I113)/$P$3</f>
        <v>479.763</v>
      </c>
      <c r="V113" s="124" t="n">
        <f aca="false">ABS(J113)/$P$3</f>
        <v>56.524</v>
      </c>
      <c r="W113" s="124" t="n">
        <f aca="false">ABS(K113)/$P$3</f>
        <v>473.358</v>
      </c>
      <c r="X113" s="124" t="n">
        <f aca="false">ABS(L113)/$P$3</f>
        <v>0</v>
      </c>
      <c r="Y113" s="124" t="n">
        <f aca="false">ABS(M113)/$P$3</f>
        <v>26.833</v>
      </c>
      <c r="Z113" s="124" t="n">
        <f aca="false">ABS(N113)/$P$3</f>
        <v>479.497</v>
      </c>
    </row>
    <row r="114" customFormat="false" ht="12.75" hidden="true" customHeight="false" outlineLevel="0" collapsed="false">
      <c r="A114" s="120" t="n">
        <f aca="false">A113+1</f>
        <v>37000</v>
      </c>
      <c r="B114" s="131" t="str">
        <f aca="false">INDEX('Master Data'!$A$2:$B$8,MATCH(WEEKDAY('RAC V@r Total'!A114,3),'Master Data'!$A$2:$A$8,0),2)</f>
        <v>Th</v>
      </c>
      <c r="D114" s="124" t="n">
        <v>-479985</v>
      </c>
      <c r="E114" s="124" t="n">
        <v>0</v>
      </c>
      <c r="F114" s="124" t="n">
        <v>0</v>
      </c>
      <c r="G114" s="124" t="n">
        <v>-7799</v>
      </c>
      <c r="H114" s="124" t="n">
        <v>-55797</v>
      </c>
      <c r="I114" s="124" t="n">
        <v>-479985</v>
      </c>
      <c r="J114" s="124" t="n">
        <v>-56301</v>
      </c>
      <c r="K114" s="124" t="n">
        <v>-473649</v>
      </c>
      <c r="L114" s="124" t="n">
        <v>0</v>
      </c>
      <c r="M114" s="124" t="n">
        <v>-26579</v>
      </c>
      <c r="N114" s="124" t="n">
        <v>-479691</v>
      </c>
      <c r="P114" s="124" t="n">
        <f aca="false">ABS(D114)/$P$3</f>
        <v>479.985</v>
      </c>
      <c r="Q114" s="124" t="n">
        <f aca="false">ABS(E114)/$P$3</f>
        <v>0</v>
      </c>
      <c r="R114" s="124" t="n">
        <f aca="false">ABS(F114)/$P$3</f>
        <v>0</v>
      </c>
      <c r="S114" s="124" t="n">
        <f aca="false">ABS(G114)/$P$3</f>
        <v>7.799</v>
      </c>
      <c r="T114" s="124" t="n">
        <f aca="false">ABS(H114)/$P$3</f>
        <v>55.797</v>
      </c>
      <c r="U114" s="124" t="n">
        <f aca="false">ABS(I114)/$P$3</f>
        <v>479.985</v>
      </c>
      <c r="V114" s="124" t="n">
        <f aca="false">ABS(J114)/$P$3</f>
        <v>56.301</v>
      </c>
      <c r="W114" s="124" t="n">
        <f aca="false">ABS(K114)/$P$3</f>
        <v>473.649</v>
      </c>
      <c r="X114" s="124" t="n">
        <f aca="false">ABS(L114)/$P$3</f>
        <v>0</v>
      </c>
      <c r="Y114" s="124" t="n">
        <f aca="false">ABS(M114)/$P$3</f>
        <v>26.579</v>
      </c>
      <c r="Z114" s="124" t="n">
        <f aca="false">ABS(N114)/$P$3</f>
        <v>479.691</v>
      </c>
    </row>
    <row r="115" customFormat="false" ht="12.75" hidden="true" customHeight="false" outlineLevel="0" collapsed="false">
      <c r="A115" s="120" t="n">
        <f aca="false">A114+1</f>
        <v>37001</v>
      </c>
      <c r="B115" s="131" t="str">
        <f aca="false">INDEX('Master Data'!$A$2:$B$8,MATCH(WEEKDAY('RAC V@r Total'!A115,3),'Master Data'!$A$2:$A$8,0),2)</f>
        <v>F</v>
      </c>
      <c r="D115" s="124" t="n">
        <v>-430635</v>
      </c>
      <c r="E115" s="124" t="n">
        <v>0</v>
      </c>
      <c r="F115" s="124" t="n">
        <v>0</v>
      </c>
      <c r="G115" s="124" t="n">
        <v>-7250</v>
      </c>
      <c r="H115" s="124" t="n">
        <v>-58751</v>
      </c>
      <c r="I115" s="124" t="n">
        <v>-430635</v>
      </c>
      <c r="J115" s="124" t="n">
        <v>-58251</v>
      </c>
      <c r="K115" s="124" t="n">
        <v>-425576</v>
      </c>
      <c r="L115" s="124" t="n">
        <v>0</v>
      </c>
      <c r="M115" s="124" t="n">
        <v>-26695</v>
      </c>
      <c r="N115" s="124" t="n">
        <v>-419331</v>
      </c>
      <c r="P115" s="124" t="n">
        <f aca="false">ABS(D115)/$P$3</f>
        <v>430.635</v>
      </c>
      <c r="Q115" s="124" t="n">
        <f aca="false">ABS(E115)/$P$3</f>
        <v>0</v>
      </c>
      <c r="R115" s="124" t="n">
        <f aca="false">ABS(F115)/$P$3</f>
        <v>0</v>
      </c>
      <c r="S115" s="124" t="n">
        <f aca="false">ABS(G115)/$P$3</f>
        <v>7.25</v>
      </c>
      <c r="T115" s="124" t="n">
        <f aca="false">ABS(H115)/$P$3</f>
        <v>58.751</v>
      </c>
      <c r="U115" s="124" t="n">
        <f aca="false">ABS(I115)/$P$3</f>
        <v>430.635</v>
      </c>
      <c r="V115" s="124" t="n">
        <f aca="false">ABS(J115)/$P$3</f>
        <v>58.251</v>
      </c>
      <c r="W115" s="124" t="n">
        <f aca="false">ABS(K115)/$P$3</f>
        <v>425.576</v>
      </c>
      <c r="X115" s="124" t="n">
        <f aca="false">ABS(L115)/$P$3</f>
        <v>0</v>
      </c>
      <c r="Y115" s="124" t="n">
        <f aca="false">ABS(M115)/$P$3</f>
        <v>26.695</v>
      </c>
      <c r="Z115" s="124" t="n">
        <f aca="false">ABS(N115)/$P$3</f>
        <v>419.331</v>
      </c>
    </row>
    <row r="116" customFormat="false" ht="12.75" hidden="true" customHeight="false" outlineLevel="0" collapsed="false">
      <c r="A116" s="120" t="n">
        <f aca="false">A115+1</f>
        <v>37002</v>
      </c>
      <c r="B116" s="131" t="str">
        <f aca="false">INDEX('Master Data'!$A$2:$B$8,MATCH(WEEKDAY('RAC V@r Total'!A116,3),'Master Data'!$A$2:$A$8,0),2)</f>
        <v>Sa</v>
      </c>
      <c r="D116" s="124" t="n">
        <v>0</v>
      </c>
      <c r="E116" s="124" t="n">
        <v>0</v>
      </c>
      <c r="F116" s="124" t="n">
        <v>0</v>
      </c>
      <c r="G116" s="124" t="n">
        <v>0</v>
      </c>
      <c r="H116" s="124" t="n">
        <v>0</v>
      </c>
      <c r="I116" s="124" t="n">
        <v>0</v>
      </c>
      <c r="J116" s="124" t="n">
        <v>0</v>
      </c>
      <c r="K116" s="124" t="n">
        <v>0</v>
      </c>
      <c r="L116" s="124" t="n">
        <v>0</v>
      </c>
      <c r="M116" s="124" t="n">
        <v>0</v>
      </c>
      <c r="N116" s="124" t="n">
        <v>0</v>
      </c>
      <c r="P116" s="124" t="n">
        <f aca="false">ABS(D116)/$P$3</f>
        <v>0</v>
      </c>
      <c r="Q116" s="124" t="n">
        <f aca="false">ABS(E116)/$P$3</f>
        <v>0</v>
      </c>
      <c r="R116" s="124" t="n">
        <f aca="false">ABS(F116)/$P$3</f>
        <v>0</v>
      </c>
      <c r="S116" s="124" t="n">
        <f aca="false">ABS(G116)/$P$3</f>
        <v>0</v>
      </c>
      <c r="T116" s="124" t="n">
        <f aca="false">ABS(H116)/$P$3</f>
        <v>0</v>
      </c>
      <c r="U116" s="124" t="n">
        <f aca="false">ABS(I116)/$P$3</f>
        <v>0</v>
      </c>
      <c r="V116" s="124" t="n">
        <f aca="false">ABS(J116)/$P$3</f>
        <v>0</v>
      </c>
      <c r="W116" s="124" t="n">
        <f aca="false">ABS(K116)/$P$3</f>
        <v>0</v>
      </c>
      <c r="X116" s="124" t="n">
        <f aca="false">ABS(L116)/$P$3</f>
        <v>0</v>
      </c>
      <c r="Y116" s="124" t="n">
        <f aca="false">ABS(M116)/$P$3</f>
        <v>0</v>
      </c>
      <c r="Z116" s="124" t="n">
        <f aca="false">ABS(N116)/$P$3</f>
        <v>0</v>
      </c>
    </row>
    <row r="117" customFormat="false" ht="12.75" hidden="true" customHeight="false" outlineLevel="0" collapsed="false">
      <c r="A117" s="120" t="n">
        <f aca="false">A116+1</f>
        <v>37003</v>
      </c>
      <c r="B117" s="131" t="str">
        <f aca="false">INDEX('Master Data'!$A$2:$B$8,MATCH(WEEKDAY('RAC V@r Total'!A117,3),'Master Data'!$A$2:$A$8,0),2)</f>
        <v>Su</v>
      </c>
      <c r="D117" s="124" t="n">
        <v>0</v>
      </c>
      <c r="E117" s="124" t="n">
        <v>0</v>
      </c>
      <c r="F117" s="124" t="n">
        <v>0</v>
      </c>
      <c r="G117" s="124" t="n">
        <v>0</v>
      </c>
      <c r="H117" s="124" t="n">
        <v>0</v>
      </c>
      <c r="I117" s="124" t="n">
        <v>0</v>
      </c>
      <c r="J117" s="124" t="n">
        <v>0</v>
      </c>
      <c r="K117" s="124" t="n">
        <v>0</v>
      </c>
      <c r="L117" s="124" t="n">
        <v>0</v>
      </c>
      <c r="M117" s="124" t="n">
        <v>0</v>
      </c>
      <c r="N117" s="124" t="n">
        <v>0</v>
      </c>
      <c r="P117" s="124" t="n">
        <f aca="false">ABS(D117)/$P$3</f>
        <v>0</v>
      </c>
      <c r="Q117" s="124" t="n">
        <f aca="false">ABS(E117)/$P$3</f>
        <v>0</v>
      </c>
      <c r="R117" s="124" t="n">
        <f aca="false">ABS(F117)/$P$3</f>
        <v>0</v>
      </c>
      <c r="S117" s="124" t="n">
        <f aca="false">ABS(G117)/$P$3</f>
        <v>0</v>
      </c>
      <c r="T117" s="124" t="n">
        <f aca="false">ABS(H117)/$P$3</f>
        <v>0</v>
      </c>
      <c r="U117" s="124" t="n">
        <f aca="false">ABS(I117)/$P$3</f>
        <v>0</v>
      </c>
      <c r="V117" s="124" t="n">
        <f aca="false">ABS(J117)/$P$3</f>
        <v>0</v>
      </c>
      <c r="W117" s="124" t="n">
        <f aca="false">ABS(K117)/$P$3</f>
        <v>0</v>
      </c>
      <c r="X117" s="124" t="n">
        <f aca="false">ABS(L117)/$P$3</f>
        <v>0</v>
      </c>
      <c r="Y117" s="124" t="n">
        <f aca="false">ABS(M117)/$P$3</f>
        <v>0</v>
      </c>
      <c r="Z117" s="124" t="n">
        <f aca="false">ABS(N117)/$P$3</f>
        <v>0</v>
      </c>
    </row>
    <row r="118" customFormat="false" ht="12.75" hidden="true" customHeight="false" outlineLevel="0" collapsed="false">
      <c r="A118" s="120" t="n">
        <f aca="false">A117+1</f>
        <v>37004</v>
      </c>
      <c r="B118" s="131" t="str">
        <f aca="false">INDEX('Master Data'!$A$2:$B$8,MATCH(WEEKDAY('RAC V@r Total'!A118,3),'Master Data'!$A$2:$A$8,0),2)</f>
        <v>M</v>
      </c>
      <c r="D118" s="124" t="n">
        <v>-431225</v>
      </c>
      <c r="E118" s="124" t="n">
        <v>0</v>
      </c>
      <c r="F118" s="124" t="n">
        <v>0</v>
      </c>
      <c r="G118" s="124" t="n">
        <v>-7188</v>
      </c>
      <c r="H118" s="124" t="n">
        <v>-57888</v>
      </c>
      <c r="I118" s="124" t="n">
        <v>-431225</v>
      </c>
      <c r="J118" s="124" t="n">
        <v>-56931</v>
      </c>
      <c r="K118" s="124" t="n">
        <v>-426186</v>
      </c>
      <c r="L118" s="124" t="n">
        <v>0</v>
      </c>
      <c r="M118" s="124" t="n">
        <v>-25369</v>
      </c>
      <c r="N118" s="124" t="n">
        <v>-419715</v>
      </c>
      <c r="P118" s="124" t="n">
        <f aca="false">ABS(D118)/$P$3</f>
        <v>431.225</v>
      </c>
      <c r="Q118" s="124" t="n">
        <f aca="false">ABS(E118)/$P$3</f>
        <v>0</v>
      </c>
      <c r="R118" s="124" t="n">
        <f aca="false">ABS(F118)/$P$3</f>
        <v>0</v>
      </c>
      <c r="S118" s="124" t="n">
        <f aca="false">ABS(G118)/$P$3</f>
        <v>7.188</v>
      </c>
      <c r="T118" s="124" t="n">
        <f aca="false">ABS(H118)/$P$3</f>
        <v>57.888</v>
      </c>
      <c r="U118" s="124" t="n">
        <f aca="false">ABS(I118)/$P$3</f>
        <v>431.225</v>
      </c>
      <c r="V118" s="124" t="n">
        <f aca="false">ABS(J118)/$P$3</f>
        <v>56.931</v>
      </c>
      <c r="W118" s="124" t="n">
        <f aca="false">ABS(K118)/$P$3</f>
        <v>426.186</v>
      </c>
      <c r="X118" s="124" t="n">
        <f aca="false">ABS(L118)/$P$3</f>
        <v>0</v>
      </c>
      <c r="Y118" s="124" t="n">
        <f aca="false">ABS(M118)/$P$3</f>
        <v>25.369</v>
      </c>
      <c r="Z118" s="124" t="n">
        <f aca="false">ABS(N118)/$P$3</f>
        <v>419.715</v>
      </c>
    </row>
    <row r="119" customFormat="false" ht="12.75" hidden="true" customHeight="false" outlineLevel="0" collapsed="false">
      <c r="A119" s="120" t="n">
        <f aca="false">A118+1</f>
        <v>37005</v>
      </c>
      <c r="B119" s="131" t="str">
        <f aca="false">INDEX('Master Data'!$A$2:$B$8,MATCH(WEEKDAY('RAC V@r Total'!A119,3),'Master Data'!$A$2:$A$8,0),2)</f>
        <v>T</v>
      </c>
      <c r="D119" s="124" t="n">
        <v>-431422</v>
      </c>
      <c r="E119" s="124" t="n">
        <v>0</v>
      </c>
      <c r="F119" s="124" t="n">
        <v>0</v>
      </c>
      <c r="G119" s="124" t="n">
        <v>-7109</v>
      </c>
      <c r="H119" s="124" t="n">
        <v>-57836</v>
      </c>
      <c r="I119" s="124" t="n">
        <v>-431422</v>
      </c>
      <c r="J119" s="124" t="n">
        <v>-56915</v>
      </c>
      <c r="K119" s="124" t="n">
        <v>-426454</v>
      </c>
      <c r="L119" s="124" t="n">
        <v>0</v>
      </c>
      <c r="M119" s="124" t="n">
        <v>-25259</v>
      </c>
      <c r="N119" s="124" t="n">
        <v>-420021</v>
      </c>
      <c r="P119" s="124" t="n">
        <f aca="false">ABS(D119)/$P$3</f>
        <v>431.422</v>
      </c>
      <c r="Q119" s="124" t="n">
        <f aca="false">ABS(E119)/$P$3</f>
        <v>0</v>
      </c>
      <c r="R119" s="124" t="n">
        <f aca="false">ABS(F119)/$P$3</f>
        <v>0</v>
      </c>
      <c r="S119" s="124" t="n">
        <f aca="false">ABS(G119)/$P$3</f>
        <v>7.109</v>
      </c>
      <c r="T119" s="124" t="n">
        <f aca="false">ABS(H119)/$P$3</f>
        <v>57.836</v>
      </c>
      <c r="U119" s="124" t="n">
        <f aca="false">ABS(I119)/$P$3</f>
        <v>431.422</v>
      </c>
      <c r="V119" s="124" t="n">
        <f aca="false">ABS(J119)/$P$3</f>
        <v>56.915</v>
      </c>
      <c r="W119" s="124" t="n">
        <f aca="false">ABS(K119)/$P$3</f>
        <v>426.454</v>
      </c>
      <c r="X119" s="124" t="n">
        <f aca="false">ABS(L119)/$P$3</f>
        <v>0</v>
      </c>
      <c r="Y119" s="124" t="n">
        <f aca="false">ABS(M119)/$P$3</f>
        <v>25.259</v>
      </c>
      <c r="Z119" s="124" t="n">
        <f aca="false">ABS(N119)/$P$3</f>
        <v>420.021</v>
      </c>
    </row>
    <row r="120" customFormat="false" ht="12.75" hidden="true" customHeight="false" outlineLevel="0" collapsed="false">
      <c r="A120" s="120" t="n">
        <f aca="false">A119+1</f>
        <v>37006</v>
      </c>
      <c r="B120" s="131" t="str">
        <f aca="false">INDEX('Master Data'!$A$2:$B$8,MATCH(WEEKDAY('RAC V@r Total'!A120,3),'Master Data'!$A$2:$A$8,0),2)</f>
        <v>W</v>
      </c>
      <c r="D120" s="124" t="n">
        <v>-431619</v>
      </c>
      <c r="E120" s="124" t="n">
        <v>0</v>
      </c>
      <c r="F120" s="124" t="n">
        <v>0</v>
      </c>
      <c r="G120" s="124" t="n">
        <v>-7053</v>
      </c>
      <c r="H120" s="124" t="n">
        <v>-57759</v>
      </c>
      <c r="I120" s="124" t="n">
        <v>-431619</v>
      </c>
      <c r="J120" s="124" t="n">
        <v>-56817</v>
      </c>
      <c r="K120" s="124" t="n">
        <v>-426722</v>
      </c>
      <c r="L120" s="124" t="n">
        <v>0</v>
      </c>
      <c r="M120" s="124" t="n">
        <v>-25113</v>
      </c>
      <c r="N120" s="124" t="n">
        <v>-420321</v>
      </c>
      <c r="P120" s="124" t="n">
        <f aca="false">ABS(D120)/$P$3</f>
        <v>431.619</v>
      </c>
      <c r="Q120" s="124" t="n">
        <f aca="false">ABS(E120)/$P$3</f>
        <v>0</v>
      </c>
      <c r="R120" s="124" t="n">
        <f aca="false">ABS(F120)/$P$3</f>
        <v>0</v>
      </c>
      <c r="S120" s="124" t="n">
        <f aca="false">ABS(G120)/$P$3</f>
        <v>7.053</v>
      </c>
      <c r="T120" s="124" t="n">
        <f aca="false">ABS(H120)/$P$3</f>
        <v>57.759</v>
      </c>
      <c r="U120" s="124" t="n">
        <f aca="false">ABS(I120)/$P$3</f>
        <v>431.619</v>
      </c>
      <c r="V120" s="124" t="n">
        <f aca="false">ABS(J120)/$P$3</f>
        <v>56.817</v>
      </c>
      <c r="W120" s="124" t="n">
        <f aca="false">ABS(K120)/$P$3</f>
        <v>426.722</v>
      </c>
      <c r="X120" s="124" t="n">
        <f aca="false">ABS(L120)/$P$3</f>
        <v>0</v>
      </c>
      <c r="Y120" s="124" t="n">
        <f aca="false">ABS(M120)/$P$3</f>
        <v>25.113</v>
      </c>
      <c r="Z120" s="124" t="n">
        <f aca="false">ABS(N120)/$P$3</f>
        <v>420.321</v>
      </c>
    </row>
    <row r="121" customFormat="false" ht="12.75" hidden="true" customHeight="false" outlineLevel="0" collapsed="false">
      <c r="A121" s="120" t="n">
        <f aca="false">A120+1</f>
        <v>37007</v>
      </c>
      <c r="B121" s="131" t="str">
        <f aca="false">INDEX('Master Data'!$A$2:$B$8,MATCH(WEEKDAY('RAC V@r Total'!A121,3),'Master Data'!$A$2:$A$8,0),2)</f>
        <v>Th</v>
      </c>
      <c r="D121" s="124" t="n">
        <v>-431815</v>
      </c>
      <c r="E121" s="124" t="n">
        <v>0</v>
      </c>
      <c r="F121" s="124" t="n">
        <v>0</v>
      </c>
      <c r="G121" s="124" t="n">
        <v>-6981</v>
      </c>
      <c r="H121" s="124" t="n">
        <v>-57902</v>
      </c>
      <c r="I121" s="124" t="n">
        <v>-431815</v>
      </c>
      <c r="J121" s="124" t="n">
        <v>-56978</v>
      </c>
      <c r="K121" s="124" t="n">
        <v>-426990</v>
      </c>
      <c r="L121" s="124" t="n">
        <v>0</v>
      </c>
      <c r="M121" s="124" t="n">
        <v>-25365</v>
      </c>
      <c r="N121" s="124" t="n">
        <v>-420696</v>
      </c>
      <c r="P121" s="124" t="n">
        <f aca="false">ABS(D121)/$P$3</f>
        <v>431.815</v>
      </c>
      <c r="Q121" s="124" t="n">
        <f aca="false">ABS(E121)/$P$3</f>
        <v>0</v>
      </c>
      <c r="R121" s="124" t="n">
        <f aca="false">ABS(F121)/$P$3</f>
        <v>0</v>
      </c>
      <c r="S121" s="124" t="n">
        <f aca="false">ABS(G121)/$P$3</f>
        <v>6.981</v>
      </c>
      <c r="T121" s="124" t="n">
        <f aca="false">ABS(H121)/$P$3</f>
        <v>57.902</v>
      </c>
      <c r="U121" s="124" t="n">
        <f aca="false">ABS(I121)/$P$3</f>
        <v>431.815</v>
      </c>
      <c r="V121" s="124" t="n">
        <f aca="false">ABS(J121)/$P$3</f>
        <v>56.978</v>
      </c>
      <c r="W121" s="124" t="n">
        <f aca="false">ABS(K121)/$P$3</f>
        <v>426.99</v>
      </c>
      <c r="X121" s="124" t="n">
        <f aca="false">ABS(L121)/$P$3</f>
        <v>0</v>
      </c>
      <c r="Y121" s="124" t="n">
        <f aca="false">ABS(M121)/$P$3</f>
        <v>25.365</v>
      </c>
      <c r="Z121" s="124" t="n">
        <f aca="false">ABS(N121)/$P$3</f>
        <v>420.696</v>
      </c>
    </row>
    <row r="122" customFormat="false" ht="12.75" hidden="true" customHeight="false" outlineLevel="0" collapsed="false">
      <c r="A122" s="120" t="n">
        <f aca="false">A121+1</f>
        <v>37008</v>
      </c>
      <c r="B122" s="131" t="str">
        <f aca="false">INDEX('Master Data'!$A$2:$B$8,MATCH(WEEKDAY('RAC V@r Total'!A122,3),'Master Data'!$A$2:$A$8,0),2)</f>
        <v>F</v>
      </c>
      <c r="D122" s="124" t="n">
        <v>-432012</v>
      </c>
      <c r="E122" s="124" t="n">
        <v>0</v>
      </c>
      <c r="F122" s="124" t="n">
        <v>0</v>
      </c>
      <c r="G122" s="124" t="n">
        <v>-6835</v>
      </c>
      <c r="H122" s="124" t="n">
        <v>-57720</v>
      </c>
      <c r="I122" s="124" t="n">
        <v>-432012</v>
      </c>
      <c r="J122" s="124" t="n">
        <v>-56639</v>
      </c>
      <c r="K122" s="124" t="n">
        <v>-427326</v>
      </c>
      <c r="L122" s="124" t="n">
        <v>0</v>
      </c>
      <c r="M122" s="124" t="n">
        <v>-25026</v>
      </c>
      <c r="N122" s="124" t="n">
        <v>-421043</v>
      </c>
      <c r="P122" s="124" t="n">
        <f aca="false">ABS(D122)/$P$3</f>
        <v>432.012</v>
      </c>
      <c r="Q122" s="124" t="n">
        <f aca="false">ABS(E122)/$P$3</f>
        <v>0</v>
      </c>
      <c r="R122" s="124" t="n">
        <f aca="false">ABS(F122)/$P$3</f>
        <v>0</v>
      </c>
      <c r="S122" s="124" t="n">
        <f aca="false">ABS(G122)/$P$3</f>
        <v>6.835</v>
      </c>
      <c r="T122" s="124" t="n">
        <f aca="false">ABS(H122)/$P$3</f>
        <v>57.72</v>
      </c>
      <c r="U122" s="124" t="n">
        <f aca="false">ABS(I122)/$P$3</f>
        <v>432.012</v>
      </c>
      <c r="V122" s="124" t="n">
        <f aca="false">ABS(J122)/$P$3</f>
        <v>56.639</v>
      </c>
      <c r="W122" s="124" t="n">
        <f aca="false">ABS(K122)/$P$3</f>
        <v>427.326</v>
      </c>
      <c r="X122" s="124" t="n">
        <f aca="false">ABS(L122)/$P$3</f>
        <v>0</v>
      </c>
      <c r="Y122" s="124" t="n">
        <f aca="false">ABS(M122)/$P$3</f>
        <v>25.026</v>
      </c>
      <c r="Z122" s="124" t="n">
        <f aca="false">ABS(N122)/$P$3</f>
        <v>421.043</v>
      </c>
    </row>
    <row r="123" customFormat="false" ht="12.75" hidden="true" customHeight="false" outlineLevel="0" collapsed="false">
      <c r="A123" s="120" t="n">
        <f aca="false">A122+1</f>
        <v>37009</v>
      </c>
      <c r="B123" s="131" t="str">
        <f aca="false">INDEX('Master Data'!$A$2:$B$8,MATCH(WEEKDAY('RAC V@r Total'!A123,3),'Master Data'!$A$2:$A$8,0),2)</f>
        <v>Sa</v>
      </c>
      <c r="D123" s="124" t="n">
        <v>0</v>
      </c>
      <c r="E123" s="124" t="n">
        <v>0</v>
      </c>
      <c r="F123" s="124" t="n">
        <v>0</v>
      </c>
      <c r="G123" s="124" t="n">
        <v>0</v>
      </c>
      <c r="H123" s="124" t="n">
        <v>0</v>
      </c>
      <c r="I123" s="124" t="n">
        <v>0</v>
      </c>
      <c r="J123" s="124" t="n">
        <v>0</v>
      </c>
      <c r="K123" s="124" t="n">
        <v>0</v>
      </c>
      <c r="L123" s="124" t="n">
        <v>0</v>
      </c>
      <c r="M123" s="124" t="n">
        <v>0</v>
      </c>
      <c r="N123" s="124" t="n">
        <v>0</v>
      </c>
      <c r="P123" s="124" t="n">
        <f aca="false">ABS(D123)/$P$3</f>
        <v>0</v>
      </c>
      <c r="Q123" s="124" t="n">
        <f aca="false">ABS(E123)/$P$3</f>
        <v>0</v>
      </c>
      <c r="R123" s="124" t="n">
        <f aca="false">ABS(F123)/$P$3</f>
        <v>0</v>
      </c>
      <c r="S123" s="124" t="n">
        <f aca="false">ABS(G123)/$P$3</f>
        <v>0</v>
      </c>
      <c r="T123" s="124" t="n">
        <f aca="false">ABS(H123)/$P$3</f>
        <v>0</v>
      </c>
      <c r="U123" s="124" t="n">
        <f aca="false">ABS(I123)/$P$3</f>
        <v>0</v>
      </c>
      <c r="V123" s="124" t="n">
        <f aca="false">ABS(J123)/$P$3</f>
        <v>0</v>
      </c>
      <c r="W123" s="124" t="n">
        <f aca="false">ABS(K123)/$P$3</f>
        <v>0</v>
      </c>
      <c r="X123" s="124" t="n">
        <f aca="false">ABS(L123)/$P$3</f>
        <v>0</v>
      </c>
      <c r="Y123" s="124" t="n">
        <f aca="false">ABS(M123)/$P$3</f>
        <v>0</v>
      </c>
      <c r="Z123" s="124" t="n">
        <f aca="false">ABS(N123)/$P$3</f>
        <v>0</v>
      </c>
    </row>
    <row r="124" customFormat="false" ht="12.75" hidden="true" customHeight="false" outlineLevel="0" collapsed="false">
      <c r="A124" s="120" t="n">
        <f aca="false">A123+1</f>
        <v>37010</v>
      </c>
      <c r="B124" s="131" t="str">
        <f aca="false">INDEX('Master Data'!$A$2:$B$8,MATCH(WEEKDAY('RAC V@r Total'!A124,3),'Master Data'!$A$2:$A$8,0),2)</f>
        <v>Su</v>
      </c>
      <c r="D124" s="124" t="n">
        <v>0</v>
      </c>
      <c r="E124" s="124" t="n">
        <v>0</v>
      </c>
      <c r="F124" s="124" t="n">
        <v>0</v>
      </c>
      <c r="G124" s="124" t="n">
        <v>0</v>
      </c>
      <c r="H124" s="124" t="n">
        <v>0</v>
      </c>
      <c r="I124" s="124" t="n">
        <v>0</v>
      </c>
      <c r="J124" s="124" t="n">
        <v>0</v>
      </c>
      <c r="K124" s="124" t="n">
        <v>0</v>
      </c>
      <c r="L124" s="124" t="n">
        <v>0</v>
      </c>
      <c r="M124" s="124" t="n">
        <v>0</v>
      </c>
      <c r="N124" s="124" t="n">
        <v>0</v>
      </c>
      <c r="P124" s="124" t="n">
        <f aca="false">ABS(D124)/$P$3</f>
        <v>0</v>
      </c>
      <c r="Q124" s="124" t="n">
        <f aca="false">ABS(E124)/$P$3</f>
        <v>0</v>
      </c>
      <c r="R124" s="124" t="n">
        <f aca="false">ABS(F124)/$P$3</f>
        <v>0</v>
      </c>
      <c r="S124" s="124" t="n">
        <f aca="false">ABS(G124)/$P$3</f>
        <v>0</v>
      </c>
      <c r="T124" s="124" t="n">
        <f aca="false">ABS(H124)/$P$3</f>
        <v>0</v>
      </c>
      <c r="U124" s="124" t="n">
        <f aca="false">ABS(I124)/$P$3</f>
        <v>0</v>
      </c>
      <c r="V124" s="124" t="n">
        <f aca="false">ABS(J124)/$P$3</f>
        <v>0</v>
      </c>
      <c r="W124" s="124" t="n">
        <f aca="false">ABS(K124)/$P$3</f>
        <v>0</v>
      </c>
      <c r="X124" s="124" t="n">
        <f aca="false">ABS(L124)/$P$3</f>
        <v>0</v>
      </c>
      <c r="Y124" s="124" t="n">
        <f aca="false">ABS(M124)/$P$3</f>
        <v>0</v>
      </c>
      <c r="Z124" s="124" t="n">
        <f aca="false">ABS(N124)/$P$3</f>
        <v>0</v>
      </c>
    </row>
    <row r="125" customFormat="false" ht="12.75" hidden="false" customHeight="false" outlineLevel="0" collapsed="false">
      <c r="A125" s="120" t="n">
        <f aca="false">A124+1</f>
        <v>37011</v>
      </c>
      <c r="B125" s="131" t="str">
        <f aca="false">INDEX('Master Data'!$A$2:$B$8,MATCH(WEEKDAY('RAC V@r Total'!A125,3),'Master Data'!$A$2:$A$8,0),2)</f>
        <v>M</v>
      </c>
      <c r="D125" s="124" t="n">
        <v>-365436</v>
      </c>
      <c r="E125" s="124" t="n">
        <v>0</v>
      </c>
      <c r="F125" s="124" t="n">
        <v>0</v>
      </c>
      <c r="G125" s="124" t="n">
        <v>-6715</v>
      </c>
      <c r="H125" s="124" t="n">
        <v>-54119</v>
      </c>
      <c r="I125" s="124" t="n">
        <v>-365436</v>
      </c>
      <c r="J125" s="124" t="n">
        <v>-54041</v>
      </c>
      <c r="K125" s="124" t="n">
        <v>-360581</v>
      </c>
      <c r="L125" s="124" t="n">
        <v>0</v>
      </c>
      <c r="M125" s="124" t="n">
        <v>-24478</v>
      </c>
      <c r="N125" s="124" t="n">
        <v>-365256</v>
      </c>
      <c r="P125" s="124" t="n">
        <f aca="false">ABS(D125)/$P$3</f>
        <v>365.436</v>
      </c>
      <c r="Q125" s="124" t="n">
        <f aca="false">ABS(E125)/$P$3</f>
        <v>0</v>
      </c>
      <c r="R125" s="124" t="n">
        <f aca="false">ABS(F125)/$P$3</f>
        <v>0</v>
      </c>
      <c r="S125" s="124" t="n">
        <f aca="false">ABS(G125)/$P$3</f>
        <v>6.715</v>
      </c>
      <c r="T125" s="124" t="n">
        <f aca="false">ABS(H125)/$P$3</f>
        <v>54.119</v>
      </c>
      <c r="U125" s="124" t="n">
        <f aca="false">ABS(I125)/$P$3</f>
        <v>365.436</v>
      </c>
      <c r="V125" s="124" t="n">
        <f aca="false">ABS(J125)/$P$3</f>
        <v>54.041</v>
      </c>
      <c r="W125" s="124" t="n">
        <f aca="false">ABS(K125)/$P$3</f>
        <v>360.581</v>
      </c>
      <c r="X125" s="124" t="n">
        <f aca="false">ABS(L125)/$P$3</f>
        <v>0</v>
      </c>
      <c r="Y125" s="124" t="n">
        <f aca="false">ABS(M125)/$P$3</f>
        <v>24.478</v>
      </c>
      <c r="Z125" s="124" t="n">
        <f aca="false">ABS(N125)/$P$3</f>
        <v>365.256</v>
      </c>
    </row>
    <row r="126" customFormat="false" ht="12.75" hidden="true" customHeight="false" outlineLevel="0" collapsed="false">
      <c r="A126" s="120" t="n">
        <f aca="false">A125+1</f>
        <v>37012</v>
      </c>
      <c r="B126" s="131" t="str">
        <f aca="false">INDEX('Master Data'!$A$2:$B$8,MATCH(WEEKDAY('RAC V@r Total'!A126,3),'Master Data'!$A$2:$A$8,0),2)</f>
        <v>T</v>
      </c>
      <c r="D126" s="124" t="n">
        <v>-414411</v>
      </c>
      <c r="E126" s="124" t="n">
        <v>0</v>
      </c>
      <c r="F126" s="124" t="n">
        <v>0</v>
      </c>
      <c r="G126" s="124" t="n">
        <v>-7695</v>
      </c>
      <c r="H126" s="124" t="n">
        <v>-53705</v>
      </c>
      <c r="I126" s="124" t="n">
        <v>-414411</v>
      </c>
      <c r="J126" s="124" t="n">
        <v>-52647</v>
      </c>
      <c r="K126" s="124" t="n">
        <v>-405113</v>
      </c>
      <c r="L126" s="124" t="n">
        <v>0</v>
      </c>
      <c r="M126" s="124" t="n">
        <v>-24703</v>
      </c>
      <c r="N126" s="124" t="n">
        <v>-401504</v>
      </c>
      <c r="P126" s="124" t="n">
        <f aca="false">ABS(D126)/$P$3</f>
        <v>414.411</v>
      </c>
      <c r="Q126" s="124" t="n">
        <f aca="false">ABS(E126)/$P$3</f>
        <v>0</v>
      </c>
      <c r="R126" s="124" t="n">
        <f aca="false">ABS(F126)/$P$3</f>
        <v>0</v>
      </c>
      <c r="S126" s="124" t="n">
        <f aca="false">ABS(G126)/$P$3</f>
        <v>7.695</v>
      </c>
      <c r="T126" s="124" t="n">
        <f aca="false">ABS(H126)/$P$3</f>
        <v>53.705</v>
      </c>
      <c r="U126" s="124" t="n">
        <f aca="false">ABS(I126)/$P$3</f>
        <v>414.411</v>
      </c>
      <c r="V126" s="124" t="n">
        <f aca="false">ABS(J126)/$P$3</f>
        <v>52.647</v>
      </c>
      <c r="W126" s="124" t="n">
        <f aca="false">ABS(K126)/$P$3</f>
        <v>405.113</v>
      </c>
      <c r="X126" s="124" t="n">
        <f aca="false">ABS(L126)/$P$3</f>
        <v>0</v>
      </c>
      <c r="Y126" s="124" t="n">
        <f aca="false">ABS(M126)/$P$3</f>
        <v>24.703</v>
      </c>
      <c r="Z126" s="124" t="n">
        <f aca="false">ABS(N126)/$P$3</f>
        <v>401.504</v>
      </c>
    </row>
    <row r="127" customFormat="false" ht="12.75" hidden="true" customHeight="false" outlineLevel="0" collapsed="false">
      <c r="A127" s="120" t="n">
        <f aca="false">A126+1</f>
        <v>37013</v>
      </c>
      <c r="B127" s="131" t="str">
        <f aca="false">INDEX('Master Data'!$A$2:$B$8,MATCH(WEEKDAY('RAC V@r Total'!A127,3),'Master Data'!$A$2:$A$8,0),2)</f>
        <v>W</v>
      </c>
      <c r="D127" s="124" t="n">
        <v>-621222</v>
      </c>
      <c r="E127" s="124" t="n">
        <v>0</v>
      </c>
      <c r="F127" s="124" t="n">
        <v>0</v>
      </c>
      <c r="G127" s="124" t="n">
        <v>-7647</v>
      </c>
      <c r="H127" s="124" t="n">
        <v>-53748</v>
      </c>
      <c r="I127" s="124" t="n">
        <v>-621222</v>
      </c>
      <c r="J127" s="124" t="n">
        <v>-52740</v>
      </c>
      <c r="K127" s="124" t="n">
        <v>-617407</v>
      </c>
      <c r="L127" s="124" t="n">
        <v>0</v>
      </c>
      <c r="M127" s="124" t="n">
        <v>-24765</v>
      </c>
      <c r="N127" s="124" t="n">
        <v>-624539</v>
      </c>
      <c r="P127" s="124" t="n">
        <f aca="false">ABS(D127)/$P$3</f>
        <v>621.222</v>
      </c>
      <c r="Q127" s="124" t="n">
        <f aca="false">ABS(E127)/$P$3</f>
        <v>0</v>
      </c>
      <c r="R127" s="124" t="n">
        <f aca="false">ABS(F127)/$P$3</f>
        <v>0</v>
      </c>
      <c r="S127" s="124" t="n">
        <f aca="false">ABS(G127)/$P$3</f>
        <v>7.647</v>
      </c>
      <c r="T127" s="124" t="n">
        <f aca="false">ABS(H127)/$P$3</f>
        <v>53.748</v>
      </c>
      <c r="U127" s="124" t="n">
        <f aca="false">ABS(I127)/$P$3</f>
        <v>621.222</v>
      </c>
      <c r="V127" s="124" t="n">
        <f aca="false">ABS(J127)/$P$3</f>
        <v>52.74</v>
      </c>
      <c r="W127" s="124" t="n">
        <f aca="false">ABS(K127)/$P$3</f>
        <v>617.407</v>
      </c>
      <c r="X127" s="124" t="n">
        <f aca="false">ABS(L127)/$P$3</f>
        <v>0</v>
      </c>
      <c r="Y127" s="124" t="n">
        <f aca="false">ABS(M127)/$P$3</f>
        <v>24.765</v>
      </c>
      <c r="Z127" s="124" t="n">
        <f aca="false">ABS(N127)/$P$3</f>
        <v>624.539</v>
      </c>
    </row>
    <row r="128" customFormat="false" ht="12.75" hidden="true" customHeight="false" outlineLevel="0" collapsed="false">
      <c r="A128" s="120" t="n">
        <f aca="false">A127+1</f>
        <v>37014</v>
      </c>
      <c r="B128" s="131" t="str">
        <f aca="false">INDEX('Master Data'!$A$2:$B$8,MATCH(WEEKDAY('RAC V@r Total'!A128,3),'Master Data'!$A$2:$A$8,0),2)</f>
        <v>Th</v>
      </c>
      <c r="D128" s="124" t="n">
        <v>-621586</v>
      </c>
      <c r="E128" s="124" t="n">
        <v>0</v>
      </c>
      <c r="F128" s="124" t="n">
        <v>0</v>
      </c>
      <c r="G128" s="124" t="n">
        <v>-255751</v>
      </c>
      <c r="H128" s="124" t="n">
        <v>-53871</v>
      </c>
      <c r="I128" s="124" t="n">
        <v>-621586</v>
      </c>
      <c r="J128" s="124" t="n">
        <v>-269566</v>
      </c>
      <c r="K128" s="124" t="n">
        <v>-387807</v>
      </c>
      <c r="L128" s="124" t="n">
        <v>0</v>
      </c>
      <c r="M128" s="124" t="n">
        <v>-24943</v>
      </c>
      <c r="N128" s="124" t="n">
        <v>-402975</v>
      </c>
      <c r="P128" s="124" t="n">
        <f aca="false">ABS(D128)/$P$3</f>
        <v>621.586</v>
      </c>
      <c r="Q128" s="124" t="n">
        <f aca="false">ABS(E128)/$P$3</f>
        <v>0</v>
      </c>
      <c r="R128" s="124" t="n">
        <f aca="false">ABS(F128)/$P$3</f>
        <v>0</v>
      </c>
      <c r="S128" s="124" t="n">
        <f aca="false">ABS(G128)/$P$3</f>
        <v>255.751</v>
      </c>
      <c r="T128" s="124" t="n">
        <f aca="false">ABS(H128)/$P$3</f>
        <v>53.871</v>
      </c>
      <c r="U128" s="124" t="n">
        <f aca="false">ABS(I128)/$P$3</f>
        <v>621.586</v>
      </c>
      <c r="V128" s="124" t="n">
        <f aca="false">ABS(J128)/$P$3</f>
        <v>269.566</v>
      </c>
      <c r="W128" s="124" t="n">
        <f aca="false">ABS(K128)/$P$3</f>
        <v>387.807</v>
      </c>
      <c r="X128" s="124" t="n">
        <f aca="false">ABS(L128)/$P$3</f>
        <v>0</v>
      </c>
      <c r="Y128" s="124" t="n">
        <f aca="false">ABS(M128)/$P$3</f>
        <v>24.943</v>
      </c>
      <c r="Z128" s="124" t="n">
        <f aca="false">ABS(N128)/$P$3</f>
        <v>402.975</v>
      </c>
    </row>
    <row r="129" customFormat="false" ht="12.75" hidden="true" customHeight="false" outlineLevel="0" collapsed="false">
      <c r="A129" s="120" t="n">
        <f aca="false">A128+1</f>
        <v>37015</v>
      </c>
      <c r="B129" s="131" t="str">
        <f aca="false">INDEX('Master Data'!$A$2:$B$8,MATCH(WEEKDAY('RAC V@r Total'!A129,3),'Master Data'!$A$2:$A$8,0),2)</f>
        <v>F</v>
      </c>
      <c r="D129" s="124" t="n">
        <v>-621933</v>
      </c>
      <c r="E129" s="124" t="n">
        <v>0</v>
      </c>
      <c r="F129" s="124" t="n">
        <v>0</v>
      </c>
      <c r="G129" s="124" t="n">
        <v>-426843</v>
      </c>
      <c r="H129" s="124" t="n">
        <v>-53938</v>
      </c>
      <c r="I129" s="124" t="n">
        <v>-621933</v>
      </c>
      <c r="J129" s="124" t="n">
        <v>-425979</v>
      </c>
      <c r="K129" s="124" t="n">
        <v>-1011930</v>
      </c>
      <c r="L129" s="124" t="n">
        <v>0</v>
      </c>
      <c r="M129" s="124" t="n">
        <v>-25025</v>
      </c>
      <c r="N129" s="124" t="n">
        <v>-1023716</v>
      </c>
      <c r="P129" s="124" t="n">
        <f aca="false">ABS(D129)/$P$3</f>
        <v>621.933</v>
      </c>
      <c r="Q129" s="124" t="n">
        <f aca="false">ABS(E129)/$P$3</f>
        <v>0</v>
      </c>
      <c r="R129" s="124" t="n">
        <f aca="false">ABS(F129)/$P$3</f>
        <v>0</v>
      </c>
      <c r="S129" s="124" t="n">
        <f aca="false">ABS(G129)/$P$3</f>
        <v>426.843</v>
      </c>
      <c r="T129" s="124" t="n">
        <f aca="false">ABS(H129)/$P$3</f>
        <v>53.938</v>
      </c>
      <c r="U129" s="124" t="n">
        <f aca="false">ABS(I129)/$P$3</f>
        <v>621.933</v>
      </c>
      <c r="V129" s="124" t="n">
        <f aca="false">ABS(J129)/$P$3</f>
        <v>425.979</v>
      </c>
      <c r="W129" s="124" t="n">
        <f aca="false">ABS(K129)/$P$3</f>
        <v>1011.93</v>
      </c>
      <c r="X129" s="124" t="n">
        <f aca="false">ABS(L129)/$P$3</f>
        <v>0</v>
      </c>
      <c r="Y129" s="124" t="n">
        <f aca="false">ABS(M129)/$P$3</f>
        <v>25.025</v>
      </c>
      <c r="Z129" s="124" t="n">
        <f aca="false">ABS(N129)/$P$3</f>
        <v>1023.716</v>
      </c>
    </row>
    <row r="130" customFormat="false" ht="12.75" hidden="true" customHeight="false" outlineLevel="0" collapsed="false">
      <c r="A130" s="120" t="n">
        <f aca="false">A129+1</f>
        <v>37016</v>
      </c>
      <c r="B130" s="131" t="str">
        <f aca="false">INDEX('Master Data'!$A$2:$B$8,MATCH(WEEKDAY('RAC V@r Total'!A130,3),'Master Data'!$A$2:$A$8,0),2)</f>
        <v>Sa</v>
      </c>
      <c r="D130" s="124" t="n">
        <v>0</v>
      </c>
      <c r="E130" s="124" t="n">
        <v>0</v>
      </c>
      <c r="F130" s="124" t="n">
        <v>0</v>
      </c>
      <c r="G130" s="124" t="n">
        <v>0</v>
      </c>
      <c r="H130" s="124" t="n">
        <v>0</v>
      </c>
      <c r="I130" s="124" t="n">
        <v>0</v>
      </c>
      <c r="J130" s="124" t="n">
        <v>0</v>
      </c>
      <c r="K130" s="124" t="n">
        <v>0</v>
      </c>
      <c r="L130" s="124" t="n">
        <v>0</v>
      </c>
      <c r="M130" s="124" t="n">
        <v>0</v>
      </c>
      <c r="N130" s="124" t="n">
        <v>0</v>
      </c>
      <c r="P130" s="124" t="n">
        <f aca="false">ABS(D130)/$P$3</f>
        <v>0</v>
      </c>
      <c r="Q130" s="124" t="n">
        <f aca="false">ABS(E130)/$P$3</f>
        <v>0</v>
      </c>
      <c r="R130" s="124" t="n">
        <f aca="false">ABS(F130)/$P$3</f>
        <v>0</v>
      </c>
      <c r="S130" s="124" t="n">
        <f aca="false">ABS(G130)/$P$3</f>
        <v>0</v>
      </c>
      <c r="T130" s="124" t="n">
        <f aca="false">ABS(H130)/$P$3</f>
        <v>0</v>
      </c>
      <c r="U130" s="124" t="n">
        <f aca="false">ABS(I130)/$P$3</f>
        <v>0</v>
      </c>
      <c r="V130" s="124" t="n">
        <f aca="false">ABS(J130)/$P$3</f>
        <v>0</v>
      </c>
      <c r="W130" s="124" t="n">
        <f aca="false">ABS(K130)/$P$3</f>
        <v>0</v>
      </c>
      <c r="X130" s="124" t="n">
        <f aca="false">ABS(L130)/$P$3</f>
        <v>0</v>
      </c>
      <c r="Y130" s="124" t="n">
        <f aca="false">ABS(M130)/$P$3</f>
        <v>0</v>
      </c>
      <c r="Z130" s="124" t="n">
        <f aca="false">ABS(N130)/$P$3</f>
        <v>0</v>
      </c>
    </row>
    <row r="131" customFormat="false" ht="12.75" hidden="true" customHeight="false" outlineLevel="0" collapsed="false">
      <c r="A131" s="120" t="n">
        <f aca="false">A130+1</f>
        <v>37017</v>
      </c>
      <c r="B131" s="131" t="str">
        <f aca="false">INDEX('Master Data'!$A$2:$B$8,MATCH(WEEKDAY('RAC V@r Total'!A131,3),'Master Data'!$A$2:$A$8,0),2)</f>
        <v>Su</v>
      </c>
      <c r="D131" s="124" t="n">
        <v>0</v>
      </c>
      <c r="E131" s="124" t="n">
        <v>0</v>
      </c>
      <c r="F131" s="124" t="n">
        <v>0</v>
      </c>
      <c r="G131" s="124" t="n">
        <v>0</v>
      </c>
      <c r="H131" s="124" t="n">
        <v>0</v>
      </c>
      <c r="I131" s="124" t="n">
        <v>0</v>
      </c>
      <c r="J131" s="124" t="n">
        <v>0</v>
      </c>
      <c r="K131" s="124" t="n">
        <v>0</v>
      </c>
      <c r="L131" s="124" t="n">
        <v>0</v>
      </c>
      <c r="M131" s="124" t="n">
        <v>0</v>
      </c>
      <c r="N131" s="124" t="n">
        <v>0</v>
      </c>
      <c r="P131" s="124" t="n">
        <f aca="false">ABS(D131)/$P$3</f>
        <v>0</v>
      </c>
      <c r="Q131" s="124" t="n">
        <f aca="false">ABS(E131)/$P$3</f>
        <v>0</v>
      </c>
      <c r="R131" s="124" t="n">
        <f aca="false">ABS(F131)/$P$3</f>
        <v>0</v>
      </c>
      <c r="S131" s="124" t="n">
        <f aca="false">ABS(G131)/$P$3</f>
        <v>0</v>
      </c>
      <c r="T131" s="124" t="n">
        <f aca="false">ABS(H131)/$P$3</f>
        <v>0</v>
      </c>
      <c r="U131" s="124" t="n">
        <f aca="false">ABS(I131)/$P$3</f>
        <v>0</v>
      </c>
      <c r="V131" s="124" t="n">
        <f aca="false">ABS(J131)/$P$3</f>
        <v>0</v>
      </c>
      <c r="W131" s="124" t="n">
        <f aca="false">ABS(K131)/$P$3</f>
        <v>0</v>
      </c>
      <c r="X131" s="124" t="n">
        <f aca="false">ABS(L131)/$P$3</f>
        <v>0</v>
      </c>
      <c r="Y131" s="124" t="n">
        <f aca="false">ABS(M131)/$P$3</f>
        <v>0</v>
      </c>
      <c r="Z131" s="124" t="n">
        <f aca="false">ABS(N131)/$P$3</f>
        <v>0</v>
      </c>
    </row>
    <row r="132" customFormat="false" ht="12.75" hidden="true" customHeight="false" outlineLevel="0" collapsed="false">
      <c r="A132" s="120" t="n">
        <f aca="false">A131+1</f>
        <v>37018</v>
      </c>
      <c r="B132" s="131" t="str">
        <f aca="false">INDEX('Master Data'!$A$2:$B$8,MATCH(WEEKDAY('RAC V@r Total'!A132,3),'Master Data'!$A$2:$A$8,0),2)</f>
        <v>M</v>
      </c>
      <c r="D132" s="124" t="n">
        <v>-622954</v>
      </c>
      <c r="E132" s="124" t="n">
        <v>0</v>
      </c>
      <c r="F132" s="124" t="n">
        <v>0</v>
      </c>
      <c r="G132" s="124" t="n">
        <v>-429021</v>
      </c>
      <c r="H132" s="124" t="n">
        <v>-53935</v>
      </c>
      <c r="I132" s="124" t="n">
        <v>-622954</v>
      </c>
      <c r="J132" s="124" t="n">
        <v>-426955</v>
      </c>
      <c r="K132" s="124" t="n">
        <v>-1016142</v>
      </c>
      <c r="L132" s="124" t="n">
        <v>0</v>
      </c>
      <c r="M132" s="124" t="n">
        <v>-25003</v>
      </c>
      <c r="N132" s="124" t="n">
        <v>-1025650</v>
      </c>
      <c r="P132" s="124" t="n">
        <f aca="false">ABS(D132)/$P$3</f>
        <v>622.954</v>
      </c>
      <c r="Q132" s="124" t="n">
        <f aca="false">ABS(E132)/$P$3</f>
        <v>0</v>
      </c>
      <c r="R132" s="124" t="n">
        <f aca="false">ABS(F132)/$P$3</f>
        <v>0</v>
      </c>
      <c r="S132" s="124" t="n">
        <f aca="false">ABS(G132)/$P$3</f>
        <v>429.021</v>
      </c>
      <c r="T132" s="124" t="n">
        <f aca="false">ABS(H132)/$P$3</f>
        <v>53.935</v>
      </c>
      <c r="U132" s="124" t="n">
        <f aca="false">ABS(I132)/$P$3</f>
        <v>622.954</v>
      </c>
      <c r="V132" s="124" t="n">
        <f aca="false">ABS(J132)/$P$3</f>
        <v>426.955</v>
      </c>
      <c r="W132" s="124" t="n">
        <f aca="false">ABS(K132)/$P$3</f>
        <v>1016.142</v>
      </c>
      <c r="X132" s="124" t="n">
        <f aca="false">ABS(L132)/$P$3</f>
        <v>0</v>
      </c>
      <c r="Y132" s="124" t="n">
        <f aca="false">ABS(M132)/$P$3</f>
        <v>25.003</v>
      </c>
      <c r="Z132" s="124" t="n">
        <f aca="false">ABS(N132)/$P$3</f>
        <v>1025.65</v>
      </c>
    </row>
    <row r="133" customFormat="false" ht="12.75" hidden="true" customHeight="false" outlineLevel="0" collapsed="false">
      <c r="A133" s="120" t="n">
        <f aca="false">A132+1</f>
        <v>37019</v>
      </c>
      <c r="B133" s="131" t="str">
        <f aca="false">INDEX('Master Data'!$A$2:$B$8,MATCH(WEEKDAY('RAC V@r Total'!A133,3),'Master Data'!$A$2:$A$8,0),2)</f>
        <v>T</v>
      </c>
      <c r="D133" s="124" t="n">
        <v>-623292</v>
      </c>
      <c r="E133" s="124" t="n">
        <v>0</v>
      </c>
      <c r="F133" s="124" t="n">
        <v>0</v>
      </c>
      <c r="G133" s="124" t="n">
        <v>-429902</v>
      </c>
      <c r="H133" s="124" t="n">
        <v>-53496</v>
      </c>
      <c r="I133" s="124" t="n">
        <v>-623292</v>
      </c>
      <c r="J133" s="124" t="n">
        <v>-427535</v>
      </c>
      <c r="K133" s="124" t="n">
        <v>-1017558</v>
      </c>
      <c r="L133" s="124" t="n">
        <v>0</v>
      </c>
      <c r="M133" s="124" t="n">
        <v>-25001</v>
      </c>
      <c r="N133" s="124" t="n">
        <v>-1026285</v>
      </c>
      <c r="P133" s="124" t="n">
        <f aca="false">ABS(D133)/$P$3</f>
        <v>623.292</v>
      </c>
      <c r="Q133" s="124" t="n">
        <f aca="false">ABS(E133)/$P$3</f>
        <v>0</v>
      </c>
      <c r="R133" s="124" t="n">
        <f aca="false">ABS(F133)/$P$3</f>
        <v>0</v>
      </c>
      <c r="S133" s="124" t="n">
        <f aca="false">ABS(G133)/$P$3</f>
        <v>429.902</v>
      </c>
      <c r="T133" s="124" t="n">
        <f aca="false">ABS(H133)/$P$3</f>
        <v>53.496</v>
      </c>
      <c r="U133" s="124" t="n">
        <f aca="false">ABS(I133)/$P$3</f>
        <v>623.292</v>
      </c>
      <c r="V133" s="124" t="n">
        <f aca="false">ABS(J133)/$P$3</f>
        <v>427.535</v>
      </c>
      <c r="W133" s="124" t="n">
        <f aca="false">ABS(K133)/$P$3</f>
        <v>1017.558</v>
      </c>
      <c r="X133" s="124" t="n">
        <f aca="false">ABS(L133)/$P$3</f>
        <v>0</v>
      </c>
      <c r="Y133" s="124" t="n">
        <f aca="false">ABS(M133)/$P$3</f>
        <v>25.001</v>
      </c>
      <c r="Z133" s="124" t="n">
        <f aca="false">ABS(N133)/$P$3</f>
        <v>1026.285</v>
      </c>
    </row>
    <row r="134" customFormat="false" ht="12.75" hidden="true" customHeight="false" outlineLevel="0" collapsed="false">
      <c r="A134" s="120" t="n">
        <f aca="false">A133+1</f>
        <v>37020</v>
      </c>
      <c r="B134" s="131" t="str">
        <f aca="false">INDEX('Master Data'!$A$2:$B$8,MATCH(WEEKDAY('RAC V@r Total'!A134,3),'Master Data'!$A$2:$A$8,0),2)</f>
        <v>W</v>
      </c>
      <c r="D134" s="124" t="n">
        <v>-623630</v>
      </c>
      <c r="E134" s="124" t="n">
        <v>0</v>
      </c>
      <c r="F134" s="124" t="n">
        <v>0</v>
      </c>
      <c r="G134" s="124" t="n">
        <v>-565704</v>
      </c>
      <c r="H134" s="124" t="n">
        <v>-54032</v>
      </c>
      <c r="I134" s="124" t="n">
        <v>-623630</v>
      </c>
      <c r="J134" s="124" t="n">
        <v>-567217</v>
      </c>
      <c r="K134" s="124" t="n">
        <v>-1192238</v>
      </c>
      <c r="L134" s="124" t="n">
        <v>0</v>
      </c>
      <c r="M134" s="124" t="n">
        <v>-25124</v>
      </c>
      <c r="N134" s="124" t="n">
        <v>-1206910</v>
      </c>
      <c r="P134" s="124" t="n">
        <f aca="false">ABS(D134)/$P$3</f>
        <v>623.63</v>
      </c>
      <c r="Q134" s="124" t="n">
        <f aca="false">ABS(E134)/$P$3</f>
        <v>0</v>
      </c>
      <c r="R134" s="124" t="n">
        <f aca="false">ABS(F134)/$P$3</f>
        <v>0</v>
      </c>
      <c r="S134" s="124" t="n">
        <f aca="false">ABS(G134)/$P$3</f>
        <v>565.704</v>
      </c>
      <c r="T134" s="124" t="n">
        <f aca="false">ABS(H134)/$P$3</f>
        <v>54.032</v>
      </c>
      <c r="U134" s="124" t="n">
        <f aca="false">ABS(I134)/$P$3</f>
        <v>623.63</v>
      </c>
      <c r="V134" s="124" t="n">
        <f aca="false">ABS(J134)/$P$3</f>
        <v>567.217</v>
      </c>
      <c r="W134" s="124" t="n">
        <f aca="false">ABS(K134)/$P$3</f>
        <v>1192.238</v>
      </c>
      <c r="X134" s="124" t="n">
        <f aca="false">ABS(L134)/$P$3</f>
        <v>0</v>
      </c>
      <c r="Y134" s="124" t="n">
        <f aca="false">ABS(M134)/$P$3</f>
        <v>25.124</v>
      </c>
      <c r="Z134" s="124" t="n">
        <f aca="false">ABS(N134)/$P$3</f>
        <v>1206.91</v>
      </c>
    </row>
    <row r="135" customFormat="false" ht="12.75" hidden="true" customHeight="false" outlineLevel="0" collapsed="false">
      <c r="A135" s="120" t="n">
        <f aca="false">A134+1</f>
        <v>37021</v>
      </c>
      <c r="B135" s="131" t="str">
        <f aca="false">INDEX('Master Data'!$A$2:$B$8,MATCH(WEEKDAY('RAC V@r Total'!A135,3),'Master Data'!$A$2:$A$8,0),2)</f>
        <v>Th</v>
      </c>
      <c r="D135" s="124" t="n">
        <v>-623967</v>
      </c>
      <c r="E135" s="124" t="n">
        <v>0</v>
      </c>
      <c r="F135" s="124" t="n">
        <v>0</v>
      </c>
      <c r="G135" s="124" t="n">
        <v>-565372</v>
      </c>
      <c r="H135" s="124" t="n">
        <v>-53824</v>
      </c>
      <c r="I135" s="124" t="n">
        <v>-623967</v>
      </c>
      <c r="J135" s="124" t="n">
        <v>-567353</v>
      </c>
      <c r="K135" s="124" t="n">
        <v>-1192235</v>
      </c>
      <c r="L135" s="124" t="n">
        <v>0</v>
      </c>
      <c r="M135" s="124" t="n">
        <v>-24808</v>
      </c>
      <c r="N135" s="124" t="n">
        <v>-1207011</v>
      </c>
      <c r="P135" s="124" t="n">
        <f aca="false">ABS(D135)/$P$3</f>
        <v>623.967</v>
      </c>
      <c r="Q135" s="124" t="n">
        <f aca="false">ABS(E135)/$P$3</f>
        <v>0</v>
      </c>
      <c r="R135" s="124" t="n">
        <f aca="false">ABS(F135)/$P$3</f>
        <v>0</v>
      </c>
      <c r="S135" s="124" t="n">
        <f aca="false">ABS(G135)/$P$3</f>
        <v>565.372</v>
      </c>
      <c r="T135" s="124" t="n">
        <f aca="false">ABS(H135)/$P$3</f>
        <v>53.824</v>
      </c>
      <c r="U135" s="124" t="n">
        <f aca="false">ABS(I135)/$P$3</f>
        <v>623.967</v>
      </c>
      <c r="V135" s="124" t="n">
        <f aca="false">ABS(J135)/$P$3</f>
        <v>567.353</v>
      </c>
      <c r="W135" s="124" t="n">
        <f aca="false">ABS(K135)/$P$3</f>
        <v>1192.235</v>
      </c>
      <c r="X135" s="124" t="n">
        <f aca="false">ABS(L135)/$P$3</f>
        <v>0</v>
      </c>
      <c r="Y135" s="124" t="n">
        <f aca="false">ABS(M135)/$P$3</f>
        <v>24.808</v>
      </c>
      <c r="Z135" s="124" t="n">
        <f aca="false">ABS(N135)/$P$3</f>
        <v>1207.011</v>
      </c>
    </row>
    <row r="136" customFormat="false" ht="12.75" hidden="true" customHeight="false" outlineLevel="0" collapsed="false">
      <c r="A136" s="120" t="n">
        <f aca="false">A135+1</f>
        <v>37022</v>
      </c>
      <c r="B136" s="131" t="str">
        <f aca="false">INDEX('Master Data'!$A$2:$B$8,MATCH(WEEKDAY('RAC V@r Total'!A136,3),'Master Data'!$A$2:$A$8,0),2)</f>
        <v>F</v>
      </c>
      <c r="D136" s="124" t="n">
        <v>-624303</v>
      </c>
      <c r="E136" s="124" t="n">
        <v>0</v>
      </c>
      <c r="F136" s="124" t="n">
        <v>0</v>
      </c>
      <c r="G136" s="124" t="n">
        <v>-564393</v>
      </c>
      <c r="H136" s="124" t="n">
        <v>-53533</v>
      </c>
      <c r="I136" s="124" t="n">
        <v>-624303</v>
      </c>
      <c r="J136" s="124" t="n">
        <v>-567214</v>
      </c>
      <c r="K136" s="124" t="n">
        <v>-1191838</v>
      </c>
      <c r="L136" s="124" t="n">
        <v>0</v>
      </c>
      <c r="M136" s="124" t="n">
        <v>-24382</v>
      </c>
      <c r="N136" s="124" t="n">
        <v>-1206504</v>
      </c>
      <c r="P136" s="124" t="n">
        <f aca="false">ABS(D136)/$P$3</f>
        <v>624.303</v>
      </c>
      <c r="Q136" s="124" t="n">
        <f aca="false">ABS(E136)/$P$3</f>
        <v>0</v>
      </c>
      <c r="R136" s="124" t="n">
        <f aca="false">ABS(F136)/$P$3</f>
        <v>0</v>
      </c>
      <c r="S136" s="124" t="n">
        <f aca="false">ABS(G136)/$P$3</f>
        <v>564.393</v>
      </c>
      <c r="T136" s="124" t="n">
        <f aca="false">ABS(H136)/$P$3</f>
        <v>53.533</v>
      </c>
      <c r="U136" s="124" t="n">
        <f aca="false">ABS(I136)/$P$3</f>
        <v>624.303</v>
      </c>
      <c r="V136" s="124" t="n">
        <f aca="false">ABS(J136)/$P$3</f>
        <v>567.214</v>
      </c>
      <c r="W136" s="124" t="n">
        <f aca="false">ABS(K136)/$P$3</f>
        <v>1191.838</v>
      </c>
      <c r="X136" s="124" t="n">
        <f aca="false">ABS(L136)/$P$3</f>
        <v>0</v>
      </c>
      <c r="Y136" s="124" t="n">
        <f aca="false">ABS(M136)/$P$3</f>
        <v>24.382</v>
      </c>
      <c r="Z136" s="124" t="n">
        <f aca="false">ABS(N136)/$P$3</f>
        <v>1206.504</v>
      </c>
    </row>
    <row r="137" customFormat="false" ht="12.75" hidden="true" customHeight="false" outlineLevel="0" collapsed="false">
      <c r="A137" s="120" t="n">
        <f aca="false">A136+1</f>
        <v>37023</v>
      </c>
      <c r="B137" s="131" t="str">
        <f aca="false">INDEX('Master Data'!$A$2:$B$8,MATCH(WEEKDAY('RAC V@r Total'!A137,3),'Master Data'!$A$2:$A$8,0),2)</f>
        <v>Sa</v>
      </c>
      <c r="D137" s="124" t="n">
        <v>0</v>
      </c>
      <c r="E137" s="124" t="n">
        <v>0</v>
      </c>
      <c r="F137" s="124" t="n">
        <v>0</v>
      </c>
      <c r="G137" s="124" t="n">
        <v>0</v>
      </c>
      <c r="H137" s="124" t="n">
        <v>0</v>
      </c>
      <c r="I137" s="124" t="n">
        <v>0</v>
      </c>
      <c r="J137" s="124" t="n">
        <v>0</v>
      </c>
      <c r="K137" s="124" t="n">
        <v>0</v>
      </c>
      <c r="L137" s="124" t="n">
        <v>0</v>
      </c>
      <c r="M137" s="124" t="n">
        <v>0</v>
      </c>
      <c r="N137" s="124" t="n">
        <v>0</v>
      </c>
      <c r="P137" s="124" t="n">
        <f aca="false">ABS(D137)/$P$3</f>
        <v>0</v>
      </c>
      <c r="Q137" s="124" t="n">
        <f aca="false">ABS(E137)/$P$3</f>
        <v>0</v>
      </c>
      <c r="R137" s="124" t="n">
        <f aca="false">ABS(F137)/$P$3</f>
        <v>0</v>
      </c>
      <c r="S137" s="124" t="n">
        <f aca="false">ABS(G137)/$P$3</f>
        <v>0</v>
      </c>
      <c r="T137" s="124" t="n">
        <f aca="false">ABS(H137)/$P$3</f>
        <v>0</v>
      </c>
      <c r="U137" s="124" t="n">
        <f aca="false">ABS(I137)/$P$3</f>
        <v>0</v>
      </c>
      <c r="V137" s="124" t="n">
        <f aca="false">ABS(J137)/$P$3</f>
        <v>0</v>
      </c>
      <c r="W137" s="124" t="n">
        <f aca="false">ABS(K137)/$P$3</f>
        <v>0</v>
      </c>
      <c r="X137" s="124" t="n">
        <f aca="false">ABS(L137)/$P$3</f>
        <v>0</v>
      </c>
      <c r="Y137" s="124" t="n">
        <f aca="false">ABS(M137)/$P$3</f>
        <v>0</v>
      </c>
      <c r="Z137" s="124" t="n">
        <f aca="false">ABS(N137)/$P$3</f>
        <v>0</v>
      </c>
    </row>
    <row r="138" customFormat="false" ht="12.75" hidden="true" customHeight="false" outlineLevel="0" collapsed="false">
      <c r="A138" s="120" t="n">
        <f aca="false">A137+1</f>
        <v>37024</v>
      </c>
      <c r="B138" s="131" t="str">
        <f aca="false">INDEX('Master Data'!$A$2:$B$8,MATCH(WEEKDAY('RAC V@r Total'!A138,3),'Master Data'!$A$2:$A$8,0),2)</f>
        <v>Su</v>
      </c>
      <c r="D138" s="124" t="n">
        <v>0</v>
      </c>
      <c r="E138" s="124" t="n">
        <v>0</v>
      </c>
      <c r="F138" s="124" t="n">
        <v>0</v>
      </c>
      <c r="G138" s="124" t="n">
        <v>0</v>
      </c>
      <c r="H138" s="124" t="n">
        <v>0</v>
      </c>
      <c r="I138" s="124" t="n">
        <v>0</v>
      </c>
      <c r="J138" s="124" t="n">
        <v>0</v>
      </c>
      <c r="K138" s="124" t="n">
        <v>0</v>
      </c>
      <c r="L138" s="124" t="n">
        <v>0</v>
      </c>
      <c r="M138" s="124" t="n">
        <v>0</v>
      </c>
      <c r="N138" s="124" t="n">
        <v>0</v>
      </c>
      <c r="P138" s="124" t="n">
        <f aca="false">ABS(D138)/$P$3</f>
        <v>0</v>
      </c>
      <c r="Q138" s="124" t="n">
        <f aca="false">ABS(E138)/$P$3</f>
        <v>0</v>
      </c>
      <c r="R138" s="124" t="n">
        <f aca="false">ABS(F138)/$P$3</f>
        <v>0</v>
      </c>
      <c r="S138" s="124" t="n">
        <f aca="false">ABS(G138)/$P$3</f>
        <v>0</v>
      </c>
      <c r="T138" s="124" t="n">
        <f aca="false">ABS(H138)/$P$3</f>
        <v>0</v>
      </c>
      <c r="U138" s="124" t="n">
        <f aca="false">ABS(I138)/$P$3</f>
        <v>0</v>
      </c>
      <c r="V138" s="124" t="n">
        <f aca="false">ABS(J138)/$P$3</f>
        <v>0</v>
      </c>
      <c r="W138" s="124" t="n">
        <f aca="false">ABS(K138)/$P$3</f>
        <v>0</v>
      </c>
      <c r="X138" s="124" t="n">
        <f aca="false">ABS(L138)/$P$3</f>
        <v>0</v>
      </c>
      <c r="Y138" s="124" t="n">
        <f aca="false">ABS(M138)/$P$3</f>
        <v>0</v>
      </c>
      <c r="Z138" s="124" t="n">
        <f aca="false">ABS(N138)/$P$3</f>
        <v>0</v>
      </c>
    </row>
    <row r="139" customFormat="false" ht="12.75" hidden="true" customHeight="false" outlineLevel="0" collapsed="false">
      <c r="A139" s="120" t="n">
        <f aca="false">A138+1</f>
        <v>37025</v>
      </c>
      <c r="B139" s="131" t="str">
        <f aca="false">INDEX('Master Data'!$A$2:$B$8,MATCH(WEEKDAY('RAC V@r Total'!A139,3),'Master Data'!$A$2:$A$8,0),2)</f>
        <v>M</v>
      </c>
      <c r="D139" s="124" t="n">
        <v>-624831</v>
      </c>
      <c r="E139" s="124" t="n">
        <v>0</v>
      </c>
      <c r="F139" s="124" t="n">
        <v>0</v>
      </c>
      <c r="G139" s="124" t="n">
        <v>-428807</v>
      </c>
      <c r="H139" s="124" t="n">
        <v>-53605</v>
      </c>
      <c r="I139" s="124" t="n">
        <v>-624831</v>
      </c>
      <c r="J139" s="124" t="n">
        <v>-426746</v>
      </c>
      <c r="K139" s="124" t="n">
        <v>-1022722</v>
      </c>
      <c r="L139" s="124" t="n">
        <v>0</v>
      </c>
      <c r="M139" s="124" t="n">
        <v>-24468</v>
      </c>
      <c r="N139" s="124" t="n">
        <v>-1023566</v>
      </c>
      <c r="P139" s="124" t="n">
        <f aca="false">ABS(D139)/$P$3</f>
        <v>624.831</v>
      </c>
      <c r="Q139" s="124" t="n">
        <f aca="false">ABS(E139)/$P$3</f>
        <v>0</v>
      </c>
      <c r="R139" s="124" t="n">
        <f aca="false">ABS(F139)/$P$3</f>
        <v>0</v>
      </c>
      <c r="S139" s="124" t="n">
        <f aca="false">ABS(G139)/$P$3</f>
        <v>428.807</v>
      </c>
      <c r="T139" s="124" t="n">
        <f aca="false">ABS(H139)/$P$3</f>
        <v>53.605</v>
      </c>
      <c r="U139" s="124" t="n">
        <f aca="false">ABS(I139)/$P$3</f>
        <v>624.831</v>
      </c>
      <c r="V139" s="124" t="n">
        <f aca="false">ABS(J139)/$P$3</f>
        <v>426.746</v>
      </c>
      <c r="W139" s="124" t="n">
        <f aca="false">ABS(K139)/$P$3</f>
        <v>1022.722</v>
      </c>
      <c r="X139" s="124" t="n">
        <f aca="false">ABS(L139)/$P$3</f>
        <v>0</v>
      </c>
      <c r="Y139" s="124" t="n">
        <f aca="false">ABS(M139)/$P$3</f>
        <v>24.468</v>
      </c>
      <c r="Z139" s="124" t="n">
        <f aca="false">ABS(N139)/$P$3</f>
        <v>1023.566</v>
      </c>
    </row>
    <row r="140" customFormat="false" ht="12.75" hidden="true" customHeight="false" outlineLevel="0" collapsed="false">
      <c r="A140" s="120" t="n">
        <f aca="false">A139+1</f>
        <v>37026</v>
      </c>
      <c r="B140" s="131" t="str">
        <f aca="false">INDEX('Master Data'!$A$2:$B$8,MATCH(WEEKDAY('RAC V@r Total'!A140,3),'Master Data'!$A$2:$A$8,0),2)</f>
        <v>T</v>
      </c>
      <c r="D140" s="124" t="n">
        <v>-625188</v>
      </c>
      <c r="E140" s="124" t="n">
        <v>0</v>
      </c>
      <c r="F140" s="124" t="n">
        <v>0</v>
      </c>
      <c r="G140" s="124" t="n">
        <v>-409225</v>
      </c>
      <c r="H140" s="124" t="n">
        <v>-53528</v>
      </c>
      <c r="I140" s="124" t="n">
        <v>-625188</v>
      </c>
      <c r="J140" s="124" t="n">
        <v>-407455</v>
      </c>
      <c r="K140" s="124" t="n">
        <v>-1001043</v>
      </c>
      <c r="L140" s="124" t="n">
        <v>0</v>
      </c>
      <c r="M140" s="124" t="n">
        <v>-24341</v>
      </c>
      <c r="N140" s="124" t="n">
        <v>-1002689</v>
      </c>
      <c r="P140" s="124" t="n">
        <f aca="false">ABS(D140)/$P$3</f>
        <v>625.188</v>
      </c>
      <c r="Q140" s="124" t="n">
        <f aca="false">ABS(E140)/$P$3</f>
        <v>0</v>
      </c>
      <c r="R140" s="124" t="n">
        <f aca="false">ABS(F140)/$P$3</f>
        <v>0</v>
      </c>
      <c r="S140" s="124" t="n">
        <f aca="false">ABS(G140)/$P$3</f>
        <v>409.225</v>
      </c>
      <c r="T140" s="124" t="n">
        <f aca="false">ABS(H140)/$P$3</f>
        <v>53.528</v>
      </c>
      <c r="U140" s="124" t="n">
        <f aca="false">ABS(I140)/$P$3</f>
        <v>625.188</v>
      </c>
      <c r="V140" s="124" t="n">
        <f aca="false">ABS(J140)/$P$3</f>
        <v>407.455</v>
      </c>
      <c r="W140" s="124" t="n">
        <f aca="false">ABS(K140)/$P$3</f>
        <v>1001.043</v>
      </c>
      <c r="X140" s="124" t="n">
        <f aca="false">ABS(L140)/$P$3</f>
        <v>0</v>
      </c>
      <c r="Y140" s="124" t="n">
        <f aca="false">ABS(M140)/$P$3</f>
        <v>24.341</v>
      </c>
      <c r="Z140" s="124" t="n">
        <f aca="false">ABS(N140)/$P$3</f>
        <v>1002.689</v>
      </c>
    </row>
    <row r="141" customFormat="false" ht="12.75" hidden="true" customHeight="false" outlineLevel="0" collapsed="false">
      <c r="A141" s="120" t="n">
        <f aca="false">A140+1</f>
        <v>37027</v>
      </c>
      <c r="B141" s="131" t="str">
        <f aca="false">INDEX('Master Data'!$A$2:$B$8,MATCH(WEEKDAY('RAC V@r Total'!A141,3),'Master Data'!$A$2:$A$8,0),2)</f>
        <v>W</v>
      </c>
      <c r="D141" s="124" t="n">
        <v>-625537</v>
      </c>
      <c r="E141" s="124" t="n">
        <v>0</v>
      </c>
      <c r="F141" s="124" t="n">
        <v>0</v>
      </c>
      <c r="G141" s="124" t="n">
        <v>-409770</v>
      </c>
      <c r="H141" s="124" t="n">
        <v>-53637</v>
      </c>
      <c r="I141" s="124" t="n">
        <v>-625537</v>
      </c>
      <c r="J141" s="124" t="n">
        <v>-408606</v>
      </c>
      <c r="K141" s="124" t="n">
        <v>-1002480</v>
      </c>
      <c r="L141" s="124" t="n">
        <v>0</v>
      </c>
      <c r="M141" s="124" t="n">
        <v>-24493</v>
      </c>
      <c r="N141" s="124" t="n">
        <v>-1002285</v>
      </c>
      <c r="P141" s="124" t="n">
        <f aca="false">ABS(D141)/$P$3</f>
        <v>625.537</v>
      </c>
      <c r="Q141" s="124" t="n">
        <f aca="false">ABS(E141)/$P$3</f>
        <v>0</v>
      </c>
      <c r="R141" s="124" t="n">
        <f aca="false">ABS(F141)/$P$3</f>
        <v>0</v>
      </c>
      <c r="S141" s="124" t="n">
        <f aca="false">ABS(G141)/$P$3</f>
        <v>409.77</v>
      </c>
      <c r="T141" s="124" t="n">
        <f aca="false">ABS(H141)/$P$3</f>
        <v>53.637</v>
      </c>
      <c r="U141" s="124" t="n">
        <f aca="false">ABS(I141)/$P$3</f>
        <v>625.537</v>
      </c>
      <c r="V141" s="124" t="n">
        <f aca="false">ABS(J141)/$P$3</f>
        <v>408.606</v>
      </c>
      <c r="W141" s="124" t="n">
        <f aca="false">ABS(K141)/$P$3</f>
        <v>1002.48</v>
      </c>
      <c r="X141" s="124" t="n">
        <f aca="false">ABS(L141)/$P$3</f>
        <v>0</v>
      </c>
      <c r="Y141" s="124" t="n">
        <f aca="false">ABS(M141)/$P$3</f>
        <v>24.493</v>
      </c>
      <c r="Z141" s="124" t="n">
        <f aca="false">ABS(N141)/$P$3</f>
        <v>1002.285</v>
      </c>
    </row>
    <row r="142" customFormat="false" ht="12.75" hidden="true" customHeight="false" outlineLevel="0" collapsed="false">
      <c r="A142" s="120" t="n">
        <f aca="false">A141+1</f>
        <v>37028</v>
      </c>
      <c r="B142" s="131" t="str">
        <f aca="false">INDEX('Master Data'!$A$2:$B$8,MATCH(WEEKDAY('RAC V@r Total'!A142,3),'Master Data'!$A$2:$A$8,0),2)</f>
        <v>Th</v>
      </c>
      <c r="D142" s="124" t="n">
        <v>-625884</v>
      </c>
      <c r="E142" s="124" t="n">
        <v>0</v>
      </c>
      <c r="F142" s="124" t="n">
        <v>0</v>
      </c>
      <c r="G142" s="124" t="n">
        <v>-410258</v>
      </c>
      <c r="H142" s="124" t="n">
        <v>-53711</v>
      </c>
      <c r="I142" s="124" t="n">
        <v>-625884</v>
      </c>
      <c r="J142" s="124" t="n">
        <v>-409324</v>
      </c>
      <c r="K142" s="124" t="n">
        <v>-1004005</v>
      </c>
      <c r="L142" s="124" t="n">
        <v>0</v>
      </c>
      <c r="M142" s="124" t="n">
        <v>-24603</v>
      </c>
      <c r="N142" s="124" t="n">
        <v>-1003834</v>
      </c>
      <c r="P142" s="124" t="n">
        <f aca="false">ABS(D142)/$P$3</f>
        <v>625.884</v>
      </c>
      <c r="Q142" s="124" t="n">
        <f aca="false">ABS(E142)/$P$3</f>
        <v>0</v>
      </c>
      <c r="R142" s="124" t="n">
        <f aca="false">ABS(F142)/$P$3</f>
        <v>0</v>
      </c>
      <c r="S142" s="124" t="n">
        <f aca="false">ABS(G142)/$P$3</f>
        <v>410.258</v>
      </c>
      <c r="T142" s="124" t="n">
        <f aca="false">ABS(H142)/$P$3</f>
        <v>53.711</v>
      </c>
      <c r="U142" s="124" t="n">
        <f aca="false">ABS(I142)/$P$3</f>
        <v>625.884</v>
      </c>
      <c r="V142" s="124" t="n">
        <f aca="false">ABS(J142)/$P$3</f>
        <v>409.324</v>
      </c>
      <c r="W142" s="124" t="n">
        <f aca="false">ABS(K142)/$P$3</f>
        <v>1004.005</v>
      </c>
      <c r="X142" s="124" t="n">
        <f aca="false">ABS(L142)/$P$3</f>
        <v>0</v>
      </c>
      <c r="Y142" s="124" t="n">
        <f aca="false">ABS(M142)/$P$3</f>
        <v>24.603</v>
      </c>
      <c r="Z142" s="124" t="n">
        <f aca="false">ABS(N142)/$P$3</f>
        <v>1003.834</v>
      </c>
    </row>
    <row r="143" customFormat="false" ht="12.75" hidden="true" customHeight="false" outlineLevel="0" collapsed="false">
      <c r="A143" s="120" t="n">
        <f aca="false">A142+1</f>
        <v>37029</v>
      </c>
      <c r="B143" s="131" t="str">
        <f aca="false">INDEX('Master Data'!$A$2:$B$8,MATCH(WEEKDAY('RAC V@r Total'!A143,3),'Master Data'!$A$2:$A$8,0),2)</f>
        <v>F</v>
      </c>
      <c r="D143" s="124" t="n">
        <v>-407058</v>
      </c>
      <c r="E143" s="124" t="n">
        <v>0</v>
      </c>
      <c r="F143" s="124" t="n">
        <v>0</v>
      </c>
      <c r="G143" s="124" t="n">
        <v>-410158</v>
      </c>
      <c r="H143" s="124" t="n">
        <v>-53739</v>
      </c>
      <c r="I143" s="124" t="n">
        <v>-407058</v>
      </c>
      <c r="J143" s="124" t="n">
        <v>-409312</v>
      </c>
      <c r="K143" s="124" t="n">
        <v>-829195</v>
      </c>
      <c r="L143" s="124" t="n">
        <v>0</v>
      </c>
      <c r="M143" s="124" t="n">
        <v>-25138</v>
      </c>
      <c r="N143" s="124" t="n">
        <v>-833047</v>
      </c>
      <c r="P143" s="124" t="n">
        <f aca="false">ABS(D143)/$P$3</f>
        <v>407.058</v>
      </c>
      <c r="Q143" s="124" t="n">
        <f aca="false">ABS(E143)/$P$3</f>
        <v>0</v>
      </c>
      <c r="R143" s="124" t="n">
        <f aca="false">ABS(F143)/$P$3</f>
        <v>0</v>
      </c>
      <c r="S143" s="124" t="n">
        <f aca="false">ABS(G143)/$P$3</f>
        <v>410.158</v>
      </c>
      <c r="T143" s="124" t="n">
        <f aca="false">ABS(H143)/$P$3</f>
        <v>53.739</v>
      </c>
      <c r="U143" s="124" t="n">
        <f aca="false">ABS(I143)/$P$3</f>
        <v>407.058</v>
      </c>
      <c r="V143" s="124" t="n">
        <f aca="false">ABS(J143)/$P$3</f>
        <v>409.312</v>
      </c>
      <c r="W143" s="124" t="n">
        <f aca="false">ABS(K143)/$P$3</f>
        <v>829.195</v>
      </c>
      <c r="X143" s="124" t="n">
        <f aca="false">ABS(L143)/$P$3</f>
        <v>0</v>
      </c>
      <c r="Y143" s="124" t="n">
        <f aca="false">ABS(M143)/$P$3</f>
        <v>25.138</v>
      </c>
      <c r="Z143" s="124" t="n">
        <f aca="false">ABS(N143)/$P$3</f>
        <v>833.047</v>
      </c>
    </row>
    <row r="144" customFormat="false" ht="12.75" hidden="true" customHeight="false" outlineLevel="0" collapsed="false">
      <c r="A144" s="120" t="n">
        <f aca="false">A143+1</f>
        <v>37030</v>
      </c>
      <c r="B144" s="131" t="str">
        <f aca="false">INDEX('Master Data'!$A$2:$B$8,MATCH(WEEKDAY('RAC V@r Total'!A144,3),'Master Data'!$A$2:$A$8,0),2)</f>
        <v>Sa</v>
      </c>
      <c r="D144" s="124" t="n">
        <v>0</v>
      </c>
      <c r="E144" s="124" t="n">
        <v>0</v>
      </c>
      <c r="F144" s="124" t="n">
        <v>0</v>
      </c>
      <c r="G144" s="124" t="n">
        <v>0</v>
      </c>
      <c r="H144" s="124" t="n">
        <v>0</v>
      </c>
      <c r="I144" s="124" t="n">
        <v>0</v>
      </c>
      <c r="J144" s="124" t="n">
        <v>0</v>
      </c>
      <c r="K144" s="124" t="n">
        <v>0</v>
      </c>
      <c r="L144" s="124" t="n">
        <v>0</v>
      </c>
      <c r="M144" s="124" t="n">
        <v>0</v>
      </c>
      <c r="N144" s="124" t="n">
        <v>0</v>
      </c>
      <c r="P144" s="124" t="n">
        <f aca="false">ABS(D144)/$P$3</f>
        <v>0</v>
      </c>
      <c r="Q144" s="124" t="n">
        <f aca="false">ABS(E144)/$P$3</f>
        <v>0</v>
      </c>
      <c r="R144" s="124" t="n">
        <f aca="false">ABS(F144)/$P$3</f>
        <v>0</v>
      </c>
      <c r="S144" s="124" t="n">
        <f aca="false">ABS(G144)/$P$3</f>
        <v>0</v>
      </c>
      <c r="T144" s="124" t="n">
        <f aca="false">ABS(H144)/$P$3</f>
        <v>0</v>
      </c>
      <c r="U144" s="124" t="n">
        <f aca="false">ABS(I144)/$P$3</f>
        <v>0</v>
      </c>
      <c r="V144" s="124" t="n">
        <f aca="false">ABS(J144)/$P$3</f>
        <v>0</v>
      </c>
      <c r="W144" s="124" t="n">
        <f aca="false">ABS(K144)/$P$3</f>
        <v>0</v>
      </c>
      <c r="X144" s="124" t="n">
        <f aca="false">ABS(L144)/$P$3</f>
        <v>0</v>
      </c>
      <c r="Y144" s="124" t="n">
        <f aca="false">ABS(M144)/$P$3</f>
        <v>0</v>
      </c>
      <c r="Z144" s="124" t="n">
        <f aca="false">ABS(N144)/$P$3</f>
        <v>0</v>
      </c>
    </row>
    <row r="145" customFormat="false" ht="12.75" hidden="true" customHeight="false" outlineLevel="0" collapsed="false">
      <c r="A145" s="120" t="n">
        <f aca="false">A144+1</f>
        <v>37031</v>
      </c>
      <c r="B145" s="131" t="str">
        <f aca="false">INDEX('Master Data'!$A$2:$B$8,MATCH(WEEKDAY('RAC V@r Total'!A145,3),'Master Data'!$A$2:$A$8,0),2)</f>
        <v>Su</v>
      </c>
      <c r="D145" s="124" t="n">
        <v>0</v>
      </c>
      <c r="E145" s="124" t="n">
        <v>0</v>
      </c>
      <c r="F145" s="124" t="n">
        <v>0</v>
      </c>
      <c r="G145" s="124" t="n">
        <v>0</v>
      </c>
      <c r="H145" s="124" t="n">
        <v>0</v>
      </c>
      <c r="I145" s="124" t="n">
        <v>0</v>
      </c>
      <c r="J145" s="124" t="n">
        <v>0</v>
      </c>
      <c r="K145" s="124" t="n">
        <v>0</v>
      </c>
      <c r="L145" s="124" t="n">
        <v>0</v>
      </c>
      <c r="M145" s="124" t="n">
        <v>0</v>
      </c>
      <c r="N145" s="124" t="n">
        <v>0</v>
      </c>
      <c r="P145" s="124" t="n">
        <f aca="false">ABS(D145)/$P$3</f>
        <v>0</v>
      </c>
      <c r="Q145" s="124" t="n">
        <f aca="false">ABS(E145)/$P$3</f>
        <v>0</v>
      </c>
      <c r="R145" s="124" t="n">
        <f aca="false">ABS(F145)/$P$3</f>
        <v>0</v>
      </c>
      <c r="S145" s="124" t="n">
        <f aca="false">ABS(G145)/$P$3</f>
        <v>0</v>
      </c>
      <c r="T145" s="124" t="n">
        <f aca="false">ABS(H145)/$P$3</f>
        <v>0</v>
      </c>
      <c r="U145" s="124" t="n">
        <f aca="false">ABS(I145)/$P$3</f>
        <v>0</v>
      </c>
      <c r="V145" s="124" t="n">
        <f aca="false">ABS(J145)/$P$3</f>
        <v>0</v>
      </c>
      <c r="W145" s="124" t="n">
        <f aca="false">ABS(K145)/$P$3</f>
        <v>0</v>
      </c>
      <c r="X145" s="124" t="n">
        <f aca="false">ABS(L145)/$P$3</f>
        <v>0</v>
      </c>
      <c r="Y145" s="124" t="n">
        <f aca="false">ABS(M145)/$P$3</f>
        <v>0</v>
      </c>
      <c r="Z145" s="124" t="n">
        <f aca="false">ABS(N145)/$P$3</f>
        <v>0</v>
      </c>
    </row>
    <row r="146" customFormat="false" ht="12.75" hidden="true" customHeight="false" outlineLevel="0" collapsed="false">
      <c r="A146" s="120" t="n">
        <f aca="false">A145+1</f>
        <v>37032</v>
      </c>
      <c r="B146" s="131" t="str">
        <f aca="false">INDEX('Master Data'!$A$2:$B$8,MATCH(WEEKDAY('RAC V@r Total'!A146,3),'Master Data'!$A$2:$A$8,0),2)</f>
        <v>M</v>
      </c>
      <c r="D146" s="124" t="n">
        <v>-407750</v>
      </c>
      <c r="E146" s="124" t="n">
        <v>0</v>
      </c>
      <c r="F146" s="124" t="n">
        <v>0</v>
      </c>
      <c r="G146" s="124" t="n">
        <v>-412575</v>
      </c>
      <c r="H146" s="124" t="n">
        <v>-53758</v>
      </c>
      <c r="I146" s="124" t="n">
        <v>-407750</v>
      </c>
      <c r="J146" s="124" t="n">
        <v>-410487</v>
      </c>
      <c r="K146" s="124" t="n">
        <v>-831346</v>
      </c>
      <c r="L146" s="124" t="n">
        <v>0</v>
      </c>
      <c r="M146" s="124" t="n">
        <v>-25154</v>
      </c>
      <c r="N146" s="124" t="n">
        <v>-835530</v>
      </c>
      <c r="P146" s="124" t="n">
        <f aca="false">ABS(D146)/$P$3</f>
        <v>407.75</v>
      </c>
      <c r="Q146" s="124" t="n">
        <f aca="false">ABS(E146)/$P$3</f>
        <v>0</v>
      </c>
      <c r="R146" s="124" t="n">
        <f aca="false">ABS(F146)/$P$3</f>
        <v>0</v>
      </c>
      <c r="S146" s="124" t="n">
        <f aca="false">ABS(G146)/$P$3</f>
        <v>412.575</v>
      </c>
      <c r="T146" s="124" t="n">
        <f aca="false">ABS(H146)/$P$3</f>
        <v>53.758</v>
      </c>
      <c r="U146" s="124" t="n">
        <f aca="false">ABS(I146)/$P$3</f>
        <v>407.75</v>
      </c>
      <c r="V146" s="124" t="n">
        <f aca="false">ABS(J146)/$P$3</f>
        <v>410.487</v>
      </c>
      <c r="W146" s="124" t="n">
        <f aca="false">ABS(K146)/$P$3</f>
        <v>831.346</v>
      </c>
      <c r="X146" s="124" t="n">
        <f aca="false">ABS(L146)/$P$3</f>
        <v>0</v>
      </c>
      <c r="Y146" s="124" t="n">
        <f aca="false">ABS(M146)/$P$3</f>
        <v>25.154</v>
      </c>
      <c r="Z146" s="124" t="n">
        <f aca="false">ABS(N146)/$P$3</f>
        <v>835.53</v>
      </c>
    </row>
    <row r="147" customFormat="false" ht="12.75" hidden="true" customHeight="false" outlineLevel="0" collapsed="false">
      <c r="A147" s="120" t="n">
        <f aca="false">A146+1</f>
        <v>37033</v>
      </c>
      <c r="B147" s="131" t="str">
        <f aca="false">INDEX('Master Data'!$A$2:$B$8,MATCH(WEEKDAY('RAC V@r Total'!A147,3),'Master Data'!$A$2:$A$8,0),2)</f>
        <v>T</v>
      </c>
      <c r="D147" s="124" t="n">
        <v>-655889</v>
      </c>
      <c r="E147" s="124" t="n">
        <v>0</v>
      </c>
      <c r="F147" s="124" t="n">
        <v>0</v>
      </c>
      <c r="G147" s="124" t="n">
        <v>-413459</v>
      </c>
      <c r="H147" s="124" t="n">
        <v>-53778</v>
      </c>
      <c r="I147" s="124" t="n">
        <v>-655889</v>
      </c>
      <c r="J147" s="124" t="n">
        <v>-410786</v>
      </c>
      <c r="K147" s="124" t="n">
        <v>-1074625</v>
      </c>
      <c r="L147" s="124" t="n">
        <v>0</v>
      </c>
      <c r="M147" s="124" t="n">
        <v>-25176</v>
      </c>
      <c r="N147" s="124" t="n">
        <v>-1037029</v>
      </c>
      <c r="P147" s="124" t="n">
        <f aca="false">ABS(D147)/$P$3</f>
        <v>655.889</v>
      </c>
      <c r="Q147" s="124" t="n">
        <f aca="false">ABS(E147)/$P$3</f>
        <v>0</v>
      </c>
      <c r="R147" s="124" t="n">
        <f aca="false">ABS(F147)/$P$3</f>
        <v>0</v>
      </c>
      <c r="S147" s="124" t="n">
        <f aca="false">ABS(G147)/$P$3</f>
        <v>413.459</v>
      </c>
      <c r="T147" s="124" t="n">
        <f aca="false">ABS(H147)/$P$3</f>
        <v>53.778</v>
      </c>
      <c r="U147" s="124" t="n">
        <f aca="false">ABS(I147)/$P$3</f>
        <v>655.889</v>
      </c>
      <c r="V147" s="124" t="n">
        <f aca="false">ABS(J147)/$P$3</f>
        <v>410.786</v>
      </c>
      <c r="W147" s="124" t="n">
        <f aca="false">ABS(K147)/$P$3</f>
        <v>1074.625</v>
      </c>
      <c r="X147" s="124" t="n">
        <f aca="false">ABS(L147)/$P$3</f>
        <v>0</v>
      </c>
      <c r="Y147" s="124" t="n">
        <f aca="false">ABS(M147)/$P$3</f>
        <v>25.176</v>
      </c>
      <c r="Z147" s="124" t="n">
        <f aca="false">ABS(N147)/$P$3</f>
        <v>1037.029</v>
      </c>
    </row>
    <row r="148" customFormat="false" ht="12.75" hidden="true" customHeight="false" outlineLevel="0" collapsed="false">
      <c r="A148" s="120" t="n">
        <f aca="false">A147+1</f>
        <v>37034</v>
      </c>
      <c r="B148" s="131" t="str">
        <f aca="false">INDEX('Master Data'!$A$2:$B$8,MATCH(WEEKDAY('RAC V@r Total'!A148,3),'Master Data'!$A$2:$A$8,0),2)</f>
        <v>W</v>
      </c>
      <c r="D148" s="124" t="n">
        <v>-682171</v>
      </c>
      <c r="E148" s="124" t="n">
        <v>0</v>
      </c>
      <c r="F148" s="124" t="n">
        <v>0</v>
      </c>
      <c r="G148" s="124" t="n">
        <v>-413232</v>
      </c>
      <c r="H148" s="124" t="n">
        <v>-53795</v>
      </c>
      <c r="I148" s="124" t="n">
        <v>-682171</v>
      </c>
      <c r="J148" s="124" t="n">
        <v>-410889</v>
      </c>
      <c r="K148" s="124" t="n">
        <v>-1098934</v>
      </c>
      <c r="L148" s="124" t="n">
        <v>0</v>
      </c>
      <c r="M148" s="124" t="n">
        <v>-25192</v>
      </c>
      <c r="N148" s="124" t="n">
        <v>-1063019</v>
      </c>
      <c r="P148" s="124" t="n">
        <f aca="false">ABS(D148)/$P$3</f>
        <v>682.171</v>
      </c>
      <c r="Q148" s="124" t="n">
        <f aca="false">ABS(E148)/$P$3</f>
        <v>0</v>
      </c>
      <c r="R148" s="124" t="n">
        <f aca="false">ABS(F148)/$P$3</f>
        <v>0</v>
      </c>
      <c r="S148" s="124" t="n">
        <f aca="false">ABS(G148)/$P$3</f>
        <v>413.232</v>
      </c>
      <c r="T148" s="124" t="n">
        <f aca="false">ABS(H148)/$P$3</f>
        <v>53.795</v>
      </c>
      <c r="U148" s="124" t="n">
        <f aca="false">ABS(I148)/$P$3</f>
        <v>682.171</v>
      </c>
      <c r="V148" s="124" t="n">
        <f aca="false">ABS(J148)/$P$3</f>
        <v>410.889</v>
      </c>
      <c r="W148" s="124" t="n">
        <f aca="false">ABS(K148)/$P$3</f>
        <v>1098.934</v>
      </c>
      <c r="X148" s="124" t="n">
        <f aca="false">ABS(L148)/$P$3</f>
        <v>0</v>
      </c>
      <c r="Y148" s="124" t="n">
        <f aca="false">ABS(M148)/$P$3</f>
        <v>25.192</v>
      </c>
      <c r="Z148" s="124" t="n">
        <f aca="false">ABS(N148)/$P$3</f>
        <v>1063.019</v>
      </c>
    </row>
    <row r="149" customFormat="false" ht="12.75" hidden="true" customHeight="false" outlineLevel="0" collapsed="false">
      <c r="A149" s="120" t="n">
        <f aca="false">A148+1</f>
        <v>37035</v>
      </c>
      <c r="B149" s="131" t="str">
        <f aca="false">INDEX('Master Data'!$A$2:$B$8,MATCH(WEEKDAY('RAC V@r Total'!A149,3),'Master Data'!$A$2:$A$8,0),2)</f>
        <v>Th</v>
      </c>
      <c r="D149" s="124" t="n">
        <v>-682598</v>
      </c>
      <c r="E149" s="124" t="n">
        <v>0</v>
      </c>
      <c r="F149" s="124" t="n">
        <v>0</v>
      </c>
      <c r="G149" s="124" t="n">
        <v>-413032</v>
      </c>
      <c r="H149" s="124" t="n">
        <v>-53648</v>
      </c>
      <c r="I149" s="124" t="n">
        <v>-682598</v>
      </c>
      <c r="J149" s="124" t="n">
        <v>-410854</v>
      </c>
      <c r="K149" s="124" t="n">
        <v>-1099153</v>
      </c>
      <c r="L149" s="124" t="n">
        <v>0</v>
      </c>
      <c r="M149" s="124" t="n">
        <v>-24997</v>
      </c>
      <c r="N149" s="124" t="n">
        <v>-1063421</v>
      </c>
      <c r="P149" s="124" t="n">
        <f aca="false">ABS(D149)/$P$3</f>
        <v>682.598</v>
      </c>
      <c r="Q149" s="124" t="n">
        <f aca="false">ABS(E149)/$P$3</f>
        <v>0</v>
      </c>
      <c r="R149" s="124" t="n">
        <f aca="false">ABS(F149)/$P$3</f>
        <v>0</v>
      </c>
      <c r="S149" s="124" t="n">
        <f aca="false">ABS(G149)/$P$3</f>
        <v>413.032</v>
      </c>
      <c r="T149" s="124" t="n">
        <f aca="false">ABS(H149)/$P$3</f>
        <v>53.648</v>
      </c>
      <c r="U149" s="124" t="n">
        <f aca="false">ABS(I149)/$P$3</f>
        <v>682.598</v>
      </c>
      <c r="V149" s="124" t="n">
        <f aca="false">ABS(J149)/$P$3</f>
        <v>410.854</v>
      </c>
      <c r="W149" s="124" t="n">
        <f aca="false">ABS(K149)/$P$3</f>
        <v>1099.153</v>
      </c>
      <c r="X149" s="124" t="n">
        <f aca="false">ABS(L149)/$P$3</f>
        <v>0</v>
      </c>
      <c r="Y149" s="124" t="n">
        <f aca="false">ABS(M149)/$P$3</f>
        <v>24.997</v>
      </c>
      <c r="Z149" s="124" t="n">
        <f aca="false">ABS(N149)/$P$3</f>
        <v>1063.421</v>
      </c>
    </row>
    <row r="150" customFormat="false" ht="12.75" hidden="true" customHeight="false" outlineLevel="0" collapsed="false">
      <c r="A150" s="120" t="n">
        <f aca="false">A149+1</f>
        <v>37036</v>
      </c>
      <c r="B150" s="131" t="str">
        <f aca="false">INDEX('Master Data'!$A$2:$B$8,MATCH(WEEKDAY('RAC V@r Total'!A150,3),'Master Data'!$A$2:$A$8,0),2)</f>
        <v>F</v>
      </c>
      <c r="D150" s="124" t="n">
        <v>-683025</v>
      </c>
      <c r="E150" s="124" t="n">
        <v>0</v>
      </c>
      <c r="F150" s="124" t="n">
        <v>0</v>
      </c>
      <c r="G150" s="124" t="n">
        <v>-413961</v>
      </c>
      <c r="H150" s="124" t="n">
        <v>-53660</v>
      </c>
      <c r="I150" s="124" t="n">
        <v>-683025</v>
      </c>
      <c r="J150" s="124" t="n">
        <v>-411007</v>
      </c>
      <c r="K150" s="124" t="n">
        <v>-1100425</v>
      </c>
      <c r="L150" s="124" t="n">
        <v>0</v>
      </c>
      <c r="M150" s="124" t="n">
        <v>-25005</v>
      </c>
      <c r="N150" s="124" t="n">
        <v>-1064231</v>
      </c>
      <c r="P150" s="124" t="n">
        <f aca="false">ABS(D150)/$P$3</f>
        <v>683.025</v>
      </c>
      <c r="Q150" s="124" t="n">
        <f aca="false">ABS(E150)/$P$3</f>
        <v>0</v>
      </c>
      <c r="R150" s="124" t="n">
        <f aca="false">ABS(F150)/$P$3</f>
        <v>0</v>
      </c>
      <c r="S150" s="124" t="n">
        <f aca="false">ABS(G150)/$P$3</f>
        <v>413.961</v>
      </c>
      <c r="T150" s="124" t="n">
        <f aca="false">ABS(H150)/$P$3</f>
        <v>53.66</v>
      </c>
      <c r="U150" s="124" t="n">
        <f aca="false">ABS(I150)/$P$3</f>
        <v>683.025</v>
      </c>
      <c r="V150" s="124" t="n">
        <f aca="false">ABS(J150)/$P$3</f>
        <v>411.007</v>
      </c>
      <c r="W150" s="124" t="n">
        <f aca="false">ABS(K150)/$P$3</f>
        <v>1100.425</v>
      </c>
      <c r="X150" s="124" t="n">
        <f aca="false">ABS(L150)/$P$3</f>
        <v>0</v>
      </c>
      <c r="Y150" s="124" t="n">
        <f aca="false">ABS(M150)/$P$3</f>
        <v>25.005</v>
      </c>
      <c r="Z150" s="124" t="n">
        <f aca="false">ABS(N150)/$P$3</f>
        <v>1064.231</v>
      </c>
    </row>
    <row r="151" customFormat="false" ht="12.75" hidden="true" customHeight="false" outlineLevel="0" collapsed="false">
      <c r="A151" s="120" t="n">
        <f aca="false">A150+1</f>
        <v>37037</v>
      </c>
      <c r="B151" s="131" t="str">
        <f aca="false">INDEX('Master Data'!$A$2:$B$8,MATCH(WEEKDAY('RAC V@r Total'!A151,3),'Master Data'!$A$2:$A$8,0),2)</f>
        <v>Sa</v>
      </c>
      <c r="D151" s="124" t="n">
        <v>0</v>
      </c>
      <c r="E151" s="124" t="n">
        <v>0</v>
      </c>
      <c r="F151" s="124" t="n">
        <v>0</v>
      </c>
      <c r="G151" s="124" t="n">
        <v>0</v>
      </c>
      <c r="H151" s="124" t="n">
        <v>0</v>
      </c>
      <c r="I151" s="124" t="n">
        <v>0</v>
      </c>
      <c r="J151" s="124" t="n">
        <v>0</v>
      </c>
      <c r="K151" s="124" t="n">
        <v>0</v>
      </c>
      <c r="L151" s="124" t="n">
        <v>0</v>
      </c>
      <c r="M151" s="124" t="n">
        <v>0</v>
      </c>
      <c r="N151" s="124" t="n">
        <v>0</v>
      </c>
      <c r="P151" s="124" t="n">
        <f aca="false">ABS(D151)/$P$3</f>
        <v>0</v>
      </c>
      <c r="Q151" s="124" t="n">
        <f aca="false">ABS(E151)/$P$3</f>
        <v>0</v>
      </c>
      <c r="R151" s="124" t="n">
        <f aca="false">ABS(F151)/$P$3</f>
        <v>0</v>
      </c>
      <c r="S151" s="124" t="n">
        <f aca="false">ABS(G151)/$P$3</f>
        <v>0</v>
      </c>
      <c r="T151" s="124" t="n">
        <f aca="false">ABS(H151)/$P$3</f>
        <v>0</v>
      </c>
      <c r="U151" s="124" t="n">
        <f aca="false">ABS(I151)/$P$3</f>
        <v>0</v>
      </c>
      <c r="V151" s="124" t="n">
        <f aca="false">ABS(J151)/$P$3</f>
        <v>0</v>
      </c>
      <c r="W151" s="124" t="n">
        <f aca="false">ABS(K151)/$P$3</f>
        <v>0</v>
      </c>
      <c r="X151" s="124" t="n">
        <f aca="false">ABS(L151)/$P$3</f>
        <v>0</v>
      </c>
      <c r="Y151" s="124" t="n">
        <f aca="false">ABS(M151)/$P$3</f>
        <v>0</v>
      </c>
      <c r="Z151" s="124" t="n">
        <f aca="false">ABS(N151)/$P$3</f>
        <v>0</v>
      </c>
    </row>
    <row r="152" customFormat="false" ht="12.75" hidden="true" customHeight="false" outlineLevel="0" collapsed="false">
      <c r="A152" s="120" t="n">
        <f aca="false">A151+1</f>
        <v>37038</v>
      </c>
      <c r="B152" s="131" t="str">
        <f aca="false">INDEX('Master Data'!$A$2:$B$8,MATCH(WEEKDAY('RAC V@r Total'!A152,3),'Master Data'!$A$2:$A$8,0),2)</f>
        <v>Su</v>
      </c>
      <c r="D152" s="124" t="n">
        <v>0</v>
      </c>
      <c r="E152" s="124" t="n">
        <v>0</v>
      </c>
      <c r="F152" s="124" t="n">
        <v>0</v>
      </c>
      <c r="G152" s="124" t="n">
        <v>0</v>
      </c>
      <c r="H152" s="124" t="n">
        <v>0</v>
      </c>
      <c r="I152" s="124" t="n">
        <v>0</v>
      </c>
      <c r="J152" s="124" t="n">
        <v>0</v>
      </c>
      <c r="K152" s="124" t="n">
        <v>0</v>
      </c>
      <c r="L152" s="124" t="n">
        <v>0</v>
      </c>
      <c r="M152" s="124" t="n">
        <v>0</v>
      </c>
      <c r="N152" s="124" t="n">
        <v>0</v>
      </c>
      <c r="P152" s="124" t="n">
        <f aca="false">ABS(D152)/$P$3</f>
        <v>0</v>
      </c>
      <c r="Q152" s="124" t="n">
        <f aca="false">ABS(E152)/$P$3</f>
        <v>0</v>
      </c>
      <c r="R152" s="124" t="n">
        <f aca="false">ABS(F152)/$P$3</f>
        <v>0</v>
      </c>
      <c r="S152" s="124" t="n">
        <f aca="false">ABS(G152)/$P$3</f>
        <v>0</v>
      </c>
      <c r="T152" s="124" t="n">
        <f aca="false">ABS(H152)/$P$3</f>
        <v>0</v>
      </c>
      <c r="U152" s="124" t="n">
        <f aca="false">ABS(I152)/$P$3</f>
        <v>0</v>
      </c>
      <c r="V152" s="124" t="n">
        <f aca="false">ABS(J152)/$P$3</f>
        <v>0</v>
      </c>
      <c r="W152" s="124" t="n">
        <f aca="false">ABS(K152)/$P$3</f>
        <v>0</v>
      </c>
      <c r="X152" s="124" t="n">
        <f aca="false">ABS(L152)/$P$3</f>
        <v>0</v>
      </c>
      <c r="Y152" s="124" t="n">
        <f aca="false">ABS(M152)/$P$3</f>
        <v>0</v>
      </c>
      <c r="Z152" s="124" t="n">
        <f aca="false">ABS(N152)/$P$3</f>
        <v>0</v>
      </c>
    </row>
    <row r="153" customFormat="false" ht="12.75" hidden="true" customHeight="false" outlineLevel="0" collapsed="false">
      <c r="A153" s="120" t="n">
        <f aca="false">A152+1</f>
        <v>37039</v>
      </c>
      <c r="B153" s="131" t="str">
        <f aca="false">INDEX('Master Data'!$A$2:$B$8,MATCH(WEEKDAY('RAC V@r Total'!A153,3),'Master Data'!$A$2:$A$8,0),2)</f>
        <v>M</v>
      </c>
      <c r="D153" s="124" t="n">
        <v>0</v>
      </c>
      <c r="E153" s="124" t="n">
        <v>0</v>
      </c>
      <c r="F153" s="124" t="n">
        <v>0</v>
      </c>
      <c r="G153" s="124" t="n">
        <v>0</v>
      </c>
      <c r="H153" s="124" t="n">
        <v>0</v>
      </c>
      <c r="I153" s="124" t="n">
        <v>0</v>
      </c>
      <c r="J153" s="124" t="n">
        <v>0</v>
      </c>
      <c r="K153" s="124" t="n">
        <v>0</v>
      </c>
      <c r="L153" s="124" t="n">
        <v>0</v>
      </c>
      <c r="M153" s="124" t="n">
        <v>0</v>
      </c>
      <c r="N153" s="124" t="n">
        <v>0</v>
      </c>
      <c r="P153" s="124" t="n">
        <f aca="false">ABS(D153)/$P$3</f>
        <v>0</v>
      </c>
      <c r="Q153" s="124" t="n">
        <f aca="false">ABS(E153)/$P$3</f>
        <v>0</v>
      </c>
      <c r="R153" s="124" t="n">
        <f aca="false">ABS(F153)/$P$3</f>
        <v>0</v>
      </c>
      <c r="S153" s="124" t="n">
        <f aca="false">ABS(G153)/$P$3</f>
        <v>0</v>
      </c>
      <c r="T153" s="124" t="n">
        <f aca="false">ABS(H153)/$P$3</f>
        <v>0</v>
      </c>
      <c r="U153" s="124" t="n">
        <f aca="false">ABS(I153)/$P$3</f>
        <v>0</v>
      </c>
      <c r="V153" s="124" t="n">
        <f aca="false">ABS(J153)/$P$3</f>
        <v>0</v>
      </c>
      <c r="W153" s="124" t="n">
        <f aca="false">ABS(K153)/$P$3</f>
        <v>0</v>
      </c>
      <c r="X153" s="124" t="n">
        <f aca="false">ABS(L153)/$P$3</f>
        <v>0</v>
      </c>
      <c r="Y153" s="124" t="n">
        <f aca="false">ABS(M153)/$P$3</f>
        <v>0</v>
      </c>
      <c r="Z153" s="124" t="n">
        <f aca="false">ABS(N153)/$P$3</f>
        <v>0</v>
      </c>
    </row>
    <row r="154" customFormat="false" ht="12.75" hidden="true" customHeight="false" outlineLevel="0" collapsed="false">
      <c r="A154" s="120" t="n">
        <f aca="false">A153+1</f>
        <v>37040</v>
      </c>
      <c r="B154" s="131" t="str">
        <f aca="false">INDEX('Master Data'!$A$2:$B$8,MATCH(WEEKDAY('RAC V@r Total'!A154,3),'Master Data'!$A$2:$A$8,0),2)</f>
        <v>T</v>
      </c>
      <c r="D154" s="124" t="n">
        <v>-684728</v>
      </c>
      <c r="E154" s="124" t="n">
        <v>0</v>
      </c>
      <c r="F154" s="124" t="n">
        <v>0</v>
      </c>
      <c r="G154" s="124" t="n">
        <v>-454905</v>
      </c>
      <c r="H154" s="124" t="n">
        <v>-53616</v>
      </c>
      <c r="I154" s="124" t="n">
        <v>-684728</v>
      </c>
      <c r="J154" s="124" t="n">
        <v>-451564</v>
      </c>
      <c r="K154" s="124" t="n">
        <v>-1145220</v>
      </c>
      <c r="L154" s="124" t="n">
        <v>0</v>
      </c>
      <c r="M154" s="124" t="n">
        <v>-24935</v>
      </c>
      <c r="N154" s="124" t="n">
        <v>-1102460</v>
      </c>
      <c r="P154" s="124" t="n">
        <f aca="false">ABS(D154)/$P$3</f>
        <v>684.728</v>
      </c>
      <c r="Q154" s="124" t="n">
        <f aca="false">ABS(E154)/$P$3</f>
        <v>0</v>
      </c>
      <c r="R154" s="124" t="n">
        <f aca="false">ABS(F154)/$P$3</f>
        <v>0</v>
      </c>
      <c r="S154" s="124" t="n">
        <f aca="false">ABS(G154)/$P$3</f>
        <v>454.905</v>
      </c>
      <c r="T154" s="124" t="n">
        <f aca="false">ABS(H154)/$P$3</f>
        <v>53.616</v>
      </c>
      <c r="U154" s="124" t="n">
        <f aca="false">ABS(I154)/$P$3</f>
        <v>684.728</v>
      </c>
      <c r="V154" s="124" t="n">
        <f aca="false">ABS(J154)/$P$3</f>
        <v>451.564</v>
      </c>
      <c r="W154" s="124" t="n">
        <f aca="false">ABS(K154)/$P$3</f>
        <v>1145.22</v>
      </c>
      <c r="X154" s="124" t="n">
        <f aca="false">ABS(L154)/$P$3</f>
        <v>0</v>
      </c>
      <c r="Y154" s="124" t="n">
        <f aca="false">ABS(M154)/$P$3</f>
        <v>24.935</v>
      </c>
      <c r="Z154" s="124" t="n">
        <f aca="false">ABS(N154)/$P$3</f>
        <v>1102.46</v>
      </c>
    </row>
    <row r="155" customFormat="false" ht="12.75" hidden="true" customHeight="false" outlineLevel="0" collapsed="false">
      <c r="A155" s="120" t="n">
        <f aca="false">A154+1</f>
        <v>37041</v>
      </c>
      <c r="B155" s="131" t="str">
        <f aca="false">INDEX('Master Data'!$A$2:$B$8,MATCH(WEEKDAY('RAC V@r Total'!A155,3),'Master Data'!$A$2:$A$8,0),2)</f>
        <v>W</v>
      </c>
      <c r="D155" s="124" t="n">
        <v>-685152</v>
      </c>
      <c r="E155" s="124" t="n">
        <v>0</v>
      </c>
      <c r="F155" s="124" t="n">
        <v>0</v>
      </c>
      <c r="G155" s="124" t="n">
        <v>-453446</v>
      </c>
      <c r="H155" s="124" t="n">
        <v>-53660</v>
      </c>
      <c r="I155" s="124" t="n">
        <v>-685152</v>
      </c>
      <c r="J155" s="124" t="n">
        <v>-449395</v>
      </c>
      <c r="K155" s="124" t="n">
        <v>-1143123</v>
      </c>
      <c r="L155" s="124" t="n">
        <v>0</v>
      </c>
      <c r="M155" s="124" t="n">
        <v>-24990</v>
      </c>
      <c r="N155" s="124" t="n">
        <v>-1100645</v>
      </c>
      <c r="P155" s="124" t="n">
        <f aca="false">ABS(D155)/$P$3</f>
        <v>685.152</v>
      </c>
      <c r="Q155" s="124" t="n">
        <f aca="false">ABS(E155)/$P$3</f>
        <v>0</v>
      </c>
      <c r="R155" s="124" t="n">
        <f aca="false">ABS(F155)/$P$3</f>
        <v>0</v>
      </c>
      <c r="S155" s="124" t="n">
        <f aca="false">ABS(G155)/$P$3</f>
        <v>453.446</v>
      </c>
      <c r="T155" s="124" t="n">
        <f aca="false">ABS(H155)/$P$3</f>
        <v>53.66</v>
      </c>
      <c r="U155" s="124" t="n">
        <f aca="false">ABS(I155)/$P$3</f>
        <v>685.152</v>
      </c>
      <c r="V155" s="124" t="n">
        <f aca="false">ABS(J155)/$P$3</f>
        <v>449.395</v>
      </c>
      <c r="W155" s="124" t="n">
        <f aca="false">ABS(K155)/$P$3</f>
        <v>1143.123</v>
      </c>
      <c r="X155" s="124" t="n">
        <f aca="false">ABS(L155)/$P$3</f>
        <v>0</v>
      </c>
      <c r="Y155" s="124" t="n">
        <f aca="false">ABS(M155)/$P$3</f>
        <v>24.99</v>
      </c>
      <c r="Z155" s="124" t="n">
        <f aca="false">ABS(N155)/$P$3</f>
        <v>1100.645</v>
      </c>
    </row>
    <row r="156" customFormat="false" ht="12.75" hidden="false" customHeight="false" outlineLevel="0" collapsed="false">
      <c r="A156" s="120" t="n">
        <f aca="false">A155+1</f>
        <v>37042</v>
      </c>
      <c r="B156" s="131" t="str">
        <f aca="false">INDEX('Master Data'!$A$2:$B$8,MATCH(WEEKDAY('RAC V@r Total'!A156,3),'Master Data'!$A$2:$A$8,0),2)</f>
        <v>Th</v>
      </c>
      <c r="D156" s="124" t="n">
        <v>-669399</v>
      </c>
      <c r="E156" s="124" t="n">
        <v>0</v>
      </c>
      <c r="F156" s="124" t="n">
        <v>0</v>
      </c>
      <c r="G156" s="124" t="n">
        <v>-453446</v>
      </c>
      <c r="H156" s="124" t="n">
        <v>-48251</v>
      </c>
      <c r="I156" s="124" t="n">
        <v>-669399</v>
      </c>
      <c r="J156" s="124" t="n">
        <v>-449395</v>
      </c>
      <c r="K156" s="124" t="n">
        <v>-1143123</v>
      </c>
      <c r="L156" s="124" t="n">
        <v>0</v>
      </c>
      <c r="M156" s="124" t="n">
        <v>-24312</v>
      </c>
      <c r="N156" s="124" t="n">
        <v>-1100645</v>
      </c>
      <c r="P156" s="124" t="n">
        <f aca="false">ABS(D156)/$P$3</f>
        <v>669.399</v>
      </c>
      <c r="Q156" s="124" t="n">
        <f aca="false">ABS(E156)/$P$3</f>
        <v>0</v>
      </c>
      <c r="R156" s="124" t="n">
        <f aca="false">ABS(F156)/$P$3</f>
        <v>0</v>
      </c>
      <c r="S156" s="124" t="n">
        <f aca="false">ABS(G156)/$P$3</f>
        <v>453.446</v>
      </c>
      <c r="T156" s="124" t="n">
        <f aca="false">ABS(H156)/$P$3</f>
        <v>48.251</v>
      </c>
      <c r="U156" s="124" t="n">
        <f aca="false">ABS(I156)/$P$3</f>
        <v>669.399</v>
      </c>
      <c r="V156" s="124" t="n">
        <f aca="false">ABS(J156)/$P$3</f>
        <v>449.395</v>
      </c>
      <c r="W156" s="124" t="n">
        <f aca="false">ABS(K156)/$P$3</f>
        <v>1143.123</v>
      </c>
      <c r="X156" s="124" t="n">
        <f aca="false">ABS(L156)/$P$3</f>
        <v>0</v>
      </c>
      <c r="Y156" s="124" t="n">
        <f aca="false">ABS(M156)/$P$3</f>
        <v>24.312</v>
      </c>
      <c r="Z156" s="124" t="n">
        <f aca="false">ABS(N156)/$P$3</f>
        <v>1100.645</v>
      </c>
    </row>
    <row r="157" customFormat="false" ht="12.75" hidden="true" customHeight="false" outlineLevel="0" collapsed="false">
      <c r="A157" s="120" t="n">
        <f aca="false">A156+1</f>
        <v>37043</v>
      </c>
      <c r="B157" s="131" t="str">
        <f aca="false">INDEX('Master Data'!$A$2:$B$8,MATCH(WEEKDAY('RAC V@r Total'!A157,3),'Master Data'!$A$2:$A$8,0),2)</f>
        <v>F</v>
      </c>
      <c r="D157" s="124" t="n">
        <v>-661227</v>
      </c>
      <c r="E157" s="124" t="n">
        <v>0</v>
      </c>
      <c r="F157" s="124" t="n">
        <v>0</v>
      </c>
      <c r="G157" s="124" t="n">
        <v>-455892</v>
      </c>
      <c r="H157" s="124" t="n">
        <v>-47446</v>
      </c>
      <c r="I157" s="124" t="n">
        <v>-661227</v>
      </c>
      <c r="J157" s="124" t="n">
        <v>-452836</v>
      </c>
      <c r="K157" s="124" t="n">
        <v>-1099364</v>
      </c>
      <c r="L157" s="124" t="n">
        <v>0</v>
      </c>
      <c r="M157" s="124" t="n">
        <v>-24692</v>
      </c>
      <c r="N157" s="124" t="n">
        <v>-1102859</v>
      </c>
      <c r="P157" s="124" t="n">
        <f aca="false">ABS(D157)/$P$3</f>
        <v>661.227</v>
      </c>
      <c r="Q157" s="124" t="n">
        <f aca="false">ABS(E157)/$P$3</f>
        <v>0</v>
      </c>
      <c r="R157" s="124" t="n">
        <f aca="false">ABS(F157)/$P$3</f>
        <v>0</v>
      </c>
      <c r="S157" s="124" t="n">
        <f aca="false">ABS(G157)/$P$3</f>
        <v>455.892</v>
      </c>
      <c r="T157" s="124" t="n">
        <f aca="false">ABS(H157)/$P$3</f>
        <v>47.446</v>
      </c>
      <c r="U157" s="124" t="n">
        <f aca="false">ABS(I157)/$P$3</f>
        <v>661.227</v>
      </c>
      <c r="V157" s="124" t="n">
        <f aca="false">ABS(J157)/$P$3</f>
        <v>452.836</v>
      </c>
      <c r="W157" s="124" t="n">
        <f aca="false">ABS(K157)/$P$3</f>
        <v>1099.364</v>
      </c>
      <c r="X157" s="124" t="n">
        <f aca="false">ABS(L157)/$P$3</f>
        <v>0</v>
      </c>
      <c r="Y157" s="124" t="n">
        <f aca="false">ABS(M157)/$P$3</f>
        <v>24.692</v>
      </c>
      <c r="Z157" s="124" t="n">
        <f aca="false">ABS(N157)/$P$3</f>
        <v>1102.859</v>
      </c>
    </row>
    <row r="158" customFormat="false" ht="12.75" hidden="true" customHeight="false" outlineLevel="0" collapsed="false">
      <c r="A158" s="120" t="n">
        <f aca="false">A157+1</f>
        <v>37044</v>
      </c>
      <c r="B158" s="131" t="str">
        <f aca="false">INDEX('Master Data'!$A$2:$B$8,MATCH(WEEKDAY('RAC V@r Total'!A158,3),'Master Data'!$A$2:$A$8,0),2)</f>
        <v>Sa</v>
      </c>
      <c r="D158" s="124" t="n">
        <v>0</v>
      </c>
      <c r="E158" s="124" t="n">
        <v>0</v>
      </c>
      <c r="F158" s="124" t="n">
        <v>0</v>
      </c>
      <c r="G158" s="124" t="n">
        <v>0</v>
      </c>
      <c r="H158" s="124" t="n">
        <v>0</v>
      </c>
      <c r="I158" s="124" t="n">
        <v>0</v>
      </c>
      <c r="J158" s="124" t="n">
        <v>0</v>
      </c>
      <c r="K158" s="124" t="n">
        <v>0</v>
      </c>
      <c r="L158" s="124" t="n">
        <v>0</v>
      </c>
      <c r="M158" s="124" t="n">
        <v>0</v>
      </c>
      <c r="N158" s="124" t="n">
        <v>0</v>
      </c>
      <c r="P158" s="124" t="n">
        <f aca="false">ABS(D158)/$P$3</f>
        <v>0</v>
      </c>
      <c r="Q158" s="124" t="n">
        <f aca="false">ABS(E158)/$P$3</f>
        <v>0</v>
      </c>
      <c r="R158" s="124" t="n">
        <f aca="false">ABS(F158)/$P$3</f>
        <v>0</v>
      </c>
      <c r="S158" s="124" t="n">
        <f aca="false">ABS(G158)/$P$3</f>
        <v>0</v>
      </c>
      <c r="T158" s="124" t="n">
        <f aca="false">ABS(H158)/$P$3</f>
        <v>0</v>
      </c>
      <c r="U158" s="124" t="n">
        <f aca="false">ABS(I158)/$P$3</f>
        <v>0</v>
      </c>
      <c r="V158" s="124" t="n">
        <f aca="false">ABS(J158)/$P$3</f>
        <v>0</v>
      </c>
      <c r="W158" s="124" t="n">
        <f aca="false">ABS(K158)/$P$3</f>
        <v>0</v>
      </c>
      <c r="X158" s="124" t="n">
        <f aca="false">ABS(L158)/$P$3</f>
        <v>0</v>
      </c>
      <c r="Y158" s="124" t="n">
        <f aca="false">ABS(M158)/$P$3</f>
        <v>0</v>
      </c>
      <c r="Z158" s="124" t="n">
        <f aca="false">ABS(N158)/$P$3</f>
        <v>0</v>
      </c>
    </row>
    <row r="159" customFormat="false" ht="12.75" hidden="true" customHeight="false" outlineLevel="0" collapsed="false">
      <c r="A159" s="120" t="n">
        <f aca="false">A158+1</f>
        <v>37045</v>
      </c>
      <c r="B159" s="131" t="str">
        <f aca="false">INDEX('Master Data'!$A$2:$B$8,MATCH(WEEKDAY('RAC V@r Total'!A159,3),'Master Data'!$A$2:$A$8,0),2)</f>
        <v>Su</v>
      </c>
      <c r="D159" s="124" t="n">
        <v>0</v>
      </c>
      <c r="E159" s="124" t="n">
        <v>0</v>
      </c>
      <c r="F159" s="124" t="n">
        <v>0</v>
      </c>
      <c r="G159" s="124" t="n">
        <v>0</v>
      </c>
      <c r="H159" s="124" t="n">
        <v>0</v>
      </c>
      <c r="I159" s="124" t="n">
        <v>0</v>
      </c>
      <c r="J159" s="124" t="n">
        <v>0</v>
      </c>
      <c r="K159" s="124" t="n">
        <v>0</v>
      </c>
      <c r="L159" s="124" t="n">
        <v>0</v>
      </c>
      <c r="M159" s="124" t="n">
        <v>0</v>
      </c>
      <c r="N159" s="124" t="n">
        <v>0</v>
      </c>
      <c r="P159" s="124" t="n">
        <f aca="false">ABS(D159)/$P$3</f>
        <v>0</v>
      </c>
      <c r="Q159" s="124" t="n">
        <f aca="false">ABS(E159)/$P$3</f>
        <v>0</v>
      </c>
      <c r="R159" s="124" t="n">
        <f aca="false">ABS(F159)/$P$3</f>
        <v>0</v>
      </c>
      <c r="S159" s="124" t="n">
        <f aca="false">ABS(G159)/$P$3</f>
        <v>0</v>
      </c>
      <c r="T159" s="124" t="n">
        <f aca="false">ABS(H159)/$P$3</f>
        <v>0</v>
      </c>
      <c r="U159" s="124" t="n">
        <f aca="false">ABS(I159)/$P$3</f>
        <v>0</v>
      </c>
      <c r="V159" s="124" t="n">
        <f aca="false">ABS(J159)/$P$3</f>
        <v>0</v>
      </c>
      <c r="W159" s="124" t="n">
        <f aca="false">ABS(K159)/$P$3</f>
        <v>0</v>
      </c>
      <c r="X159" s="124" t="n">
        <f aca="false">ABS(L159)/$P$3</f>
        <v>0</v>
      </c>
      <c r="Y159" s="124" t="n">
        <f aca="false">ABS(M159)/$P$3</f>
        <v>0</v>
      </c>
      <c r="Z159" s="124" t="n">
        <f aca="false">ABS(N159)/$P$3</f>
        <v>0</v>
      </c>
    </row>
    <row r="160" customFormat="false" ht="12.75" hidden="true" customHeight="false" outlineLevel="0" collapsed="false">
      <c r="A160" s="120" t="n">
        <f aca="false">A159+1</f>
        <v>37046</v>
      </c>
      <c r="B160" s="131" t="str">
        <f aca="false">INDEX('Master Data'!$A$2:$B$8,MATCH(WEEKDAY('RAC V@r Total'!A160,3),'Master Data'!$A$2:$A$8,0),2)</f>
        <v>M</v>
      </c>
      <c r="D160" s="124" t="n">
        <v>-729260</v>
      </c>
      <c r="E160" s="124" t="n">
        <v>0</v>
      </c>
      <c r="F160" s="124" t="n">
        <v>0</v>
      </c>
      <c r="G160" s="124" t="n">
        <v>-454751</v>
      </c>
      <c r="H160" s="124" t="n">
        <v>-47601</v>
      </c>
      <c r="I160" s="124" t="n">
        <v>-729260</v>
      </c>
      <c r="J160" s="124" t="n">
        <v>-451051</v>
      </c>
      <c r="K160" s="124" t="n">
        <v>-1169918</v>
      </c>
      <c r="L160" s="124" t="n">
        <v>0</v>
      </c>
      <c r="M160" s="124" t="n">
        <v>-24816</v>
      </c>
      <c r="N160" s="124" t="n">
        <v>-1171229</v>
      </c>
      <c r="P160" s="124" t="n">
        <f aca="false">ABS(D160)/$P$3</f>
        <v>729.26</v>
      </c>
      <c r="Q160" s="124" t="n">
        <f aca="false">ABS(E160)/$P$3</f>
        <v>0</v>
      </c>
      <c r="R160" s="124" t="n">
        <f aca="false">ABS(F160)/$P$3</f>
        <v>0</v>
      </c>
      <c r="S160" s="124" t="n">
        <f aca="false">ABS(G160)/$P$3</f>
        <v>454.751</v>
      </c>
      <c r="T160" s="124" t="n">
        <f aca="false">ABS(H160)/$P$3</f>
        <v>47.601</v>
      </c>
      <c r="U160" s="124" t="n">
        <f aca="false">ABS(I160)/$P$3</f>
        <v>729.26</v>
      </c>
      <c r="V160" s="124" t="n">
        <f aca="false">ABS(J160)/$P$3</f>
        <v>451.051</v>
      </c>
      <c r="W160" s="124" t="n">
        <f aca="false">ABS(K160)/$P$3</f>
        <v>1169.918</v>
      </c>
      <c r="X160" s="124" t="n">
        <f aca="false">ABS(L160)/$P$3</f>
        <v>0</v>
      </c>
      <c r="Y160" s="124" t="n">
        <f aca="false">ABS(M160)/$P$3</f>
        <v>24.816</v>
      </c>
      <c r="Z160" s="124" t="n">
        <f aca="false">ABS(N160)/$P$3</f>
        <v>1171.229</v>
      </c>
    </row>
    <row r="161" customFormat="false" ht="12.75" hidden="true" customHeight="false" outlineLevel="0" collapsed="false">
      <c r="A161" s="120" t="n">
        <f aca="false">A160+1</f>
        <v>37047</v>
      </c>
      <c r="B161" s="131" t="str">
        <f aca="false">INDEX('Master Data'!$A$2:$B$8,MATCH(WEEKDAY('RAC V@r Total'!A161,3),'Master Data'!$A$2:$A$8,0),2)</f>
        <v>T</v>
      </c>
      <c r="D161" s="124" t="n">
        <v>-831386</v>
      </c>
      <c r="E161" s="124" t="n">
        <v>0</v>
      </c>
      <c r="F161" s="124" t="n">
        <v>0</v>
      </c>
      <c r="G161" s="124" t="n">
        <v>-453713</v>
      </c>
      <c r="H161" s="124" t="n">
        <v>-47791</v>
      </c>
      <c r="I161" s="124" t="n">
        <v>-831386</v>
      </c>
      <c r="J161" s="124" t="n">
        <v>-449586</v>
      </c>
      <c r="K161" s="124" t="n">
        <v>-1246742</v>
      </c>
      <c r="L161" s="124" t="n">
        <v>0</v>
      </c>
      <c r="M161" s="124" t="n">
        <v>-24972</v>
      </c>
      <c r="N161" s="124" t="n">
        <v>-1258661</v>
      </c>
      <c r="P161" s="124" t="n">
        <f aca="false">ABS(D161)/$P$3</f>
        <v>831.386</v>
      </c>
      <c r="Q161" s="124" t="n">
        <f aca="false">ABS(E161)/$P$3</f>
        <v>0</v>
      </c>
      <c r="R161" s="124" t="n">
        <f aca="false">ABS(F161)/$P$3</f>
        <v>0</v>
      </c>
      <c r="S161" s="124" t="n">
        <f aca="false">ABS(G161)/$P$3</f>
        <v>453.713</v>
      </c>
      <c r="T161" s="124" t="n">
        <f aca="false">ABS(H161)/$P$3</f>
        <v>47.791</v>
      </c>
      <c r="U161" s="124" t="n">
        <f aca="false">ABS(I161)/$P$3</f>
        <v>831.386</v>
      </c>
      <c r="V161" s="124" t="n">
        <f aca="false">ABS(J161)/$P$3</f>
        <v>449.586</v>
      </c>
      <c r="W161" s="124" t="n">
        <f aca="false">ABS(K161)/$P$3</f>
        <v>1246.742</v>
      </c>
      <c r="X161" s="124" t="n">
        <f aca="false">ABS(L161)/$P$3</f>
        <v>0</v>
      </c>
      <c r="Y161" s="124" t="n">
        <f aca="false">ABS(M161)/$P$3</f>
        <v>24.972</v>
      </c>
      <c r="Z161" s="124" t="n">
        <f aca="false">ABS(N161)/$P$3</f>
        <v>1258.661</v>
      </c>
    </row>
    <row r="162" customFormat="false" ht="12.75" hidden="true" customHeight="false" outlineLevel="0" collapsed="false">
      <c r="A162" s="120" t="n">
        <f aca="false">A161+1</f>
        <v>37048</v>
      </c>
      <c r="B162" s="131" t="str">
        <f aca="false">INDEX('Master Data'!$A$2:$B$8,MATCH(WEEKDAY('RAC V@r Total'!A162,3),'Master Data'!$A$2:$A$8,0),2)</f>
        <v>W</v>
      </c>
      <c r="D162" s="124" t="n">
        <v>-831824</v>
      </c>
      <c r="E162" s="124" t="n">
        <v>0</v>
      </c>
      <c r="F162" s="124" t="n">
        <v>0</v>
      </c>
      <c r="G162" s="124" t="n">
        <v>-453980</v>
      </c>
      <c r="H162" s="124" t="n">
        <v>-47824</v>
      </c>
      <c r="I162" s="124" t="n">
        <v>-831824</v>
      </c>
      <c r="J162" s="124" t="n">
        <v>-449773</v>
      </c>
      <c r="K162" s="124" t="n">
        <v>-1247354</v>
      </c>
      <c r="L162" s="124" t="n">
        <v>0</v>
      </c>
      <c r="M162" s="124" t="n">
        <v>-24997</v>
      </c>
      <c r="N162" s="124" t="n">
        <v>-1260204</v>
      </c>
      <c r="P162" s="124" t="n">
        <f aca="false">ABS(D162)/$P$3</f>
        <v>831.824</v>
      </c>
      <c r="Q162" s="124" t="n">
        <f aca="false">ABS(E162)/$P$3</f>
        <v>0</v>
      </c>
      <c r="R162" s="124" t="n">
        <f aca="false">ABS(F162)/$P$3</f>
        <v>0</v>
      </c>
      <c r="S162" s="124" t="n">
        <f aca="false">ABS(G162)/$P$3</f>
        <v>453.98</v>
      </c>
      <c r="T162" s="124" t="n">
        <f aca="false">ABS(H162)/$P$3</f>
        <v>47.824</v>
      </c>
      <c r="U162" s="124" t="n">
        <f aca="false">ABS(I162)/$P$3</f>
        <v>831.824</v>
      </c>
      <c r="V162" s="124" t="n">
        <f aca="false">ABS(J162)/$P$3</f>
        <v>449.773</v>
      </c>
      <c r="W162" s="124" t="n">
        <f aca="false">ABS(K162)/$P$3</f>
        <v>1247.354</v>
      </c>
      <c r="X162" s="124" t="n">
        <f aca="false">ABS(L162)/$P$3</f>
        <v>0</v>
      </c>
      <c r="Y162" s="124" t="n">
        <f aca="false">ABS(M162)/$P$3</f>
        <v>24.997</v>
      </c>
      <c r="Z162" s="124" t="n">
        <f aca="false">ABS(N162)/$P$3</f>
        <v>1260.204</v>
      </c>
    </row>
    <row r="163" customFormat="false" ht="12.75" hidden="true" customHeight="false" outlineLevel="0" collapsed="false">
      <c r="A163" s="120" t="n">
        <f aca="false">A162+1</f>
        <v>37049</v>
      </c>
      <c r="B163" s="131" t="str">
        <f aca="false">INDEX('Master Data'!$A$2:$B$8,MATCH(WEEKDAY('RAC V@r Total'!A163,3),'Master Data'!$A$2:$A$8,0),2)</f>
        <v>Th</v>
      </c>
      <c r="D163" s="124" t="n">
        <v>-818888</v>
      </c>
      <c r="E163" s="124" t="n">
        <v>0</v>
      </c>
      <c r="F163" s="124" t="n">
        <v>0</v>
      </c>
      <c r="G163" s="124" t="n">
        <v>-447369</v>
      </c>
      <c r="H163" s="124" t="n">
        <v>-49313</v>
      </c>
      <c r="I163" s="124" t="n">
        <v>-818888</v>
      </c>
      <c r="J163" s="124" t="n">
        <v>-451500</v>
      </c>
      <c r="K163" s="124" t="n">
        <v>-1251742</v>
      </c>
      <c r="L163" s="124" t="n">
        <v>0</v>
      </c>
      <c r="M163" s="124" t="n">
        <v>-25484</v>
      </c>
      <c r="N163" s="124" t="n">
        <v>-1235612</v>
      </c>
      <c r="P163" s="124" t="n">
        <f aca="false">ABS(D163)/$P$3</f>
        <v>818.888</v>
      </c>
      <c r="Q163" s="124" t="n">
        <f aca="false">ABS(E163)/$P$3</f>
        <v>0</v>
      </c>
      <c r="R163" s="124" t="n">
        <f aca="false">ABS(F163)/$P$3</f>
        <v>0</v>
      </c>
      <c r="S163" s="124" t="n">
        <f aca="false">ABS(G163)/$P$3</f>
        <v>447.369</v>
      </c>
      <c r="T163" s="124" t="n">
        <f aca="false">ABS(H163)/$P$3</f>
        <v>49.313</v>
      </c>
      <c r="U163" s="124" t="n">
        <f aca="false">ABS(I163)/$P$3</f>
        <v>818.888</v>
      </c>
      <c r="V163" s="124" t="n">
        <f aca="false">ABS(J163)/$P$3</f>
        <v>451.5</v>
      </c>
      <c r="W163" s="124" t="n">
        <f aca="false">ABS(K163)/$P$3</f>
        <v>1251.742</v>
      </c>
      <c r="X163" s="124" t="n">
        <f aca="false">ABS(L163)/$P$3</f>
        <v>0</v>
      </c>
      <c r="Y163" s="124" t="n">
        <f aca="false">ABS(M163)/$P$3</f>
        <v>25.484</v>
      </c>
      <c r="Z163" s="124" t="n">
        <f aca="false">ABS(N163)/$P$3</f>
        <v>1235.612</v>
      </c>
    </row>
    <row r="164" customFormat="false" ht="12.75" hidden="true" customHeight="false" outlineLevel="0" collapsed="false">
      <c r="A164" s="120" t="n">
        <f aca="false">A163+1</f>
        <v>37050</v>
      </c>
      <c r="B164" s="131" t="str">
        <f aca="false">INDEX('Master Data'!$A$2:$B$8,MATCH(WEEKDAY('RAC V@r Total'!A164,3),'Master Data'!$A$2:$A$8,0),2)</f>
        <v>F</v>
      </c>
      <c r="D164" s="124" t="n">
        <v>-819315</v>
      </c>
      <c r="E164" s="124" t="n">
        <v>0</v>
      </c>
      <c r="F164" s="124" t="n">
        <v>0</v>
      </c>
      <c r="G164" s="124" t="n">
        <v>-446529</v>
      </c>
      <c r="H164" s="124" t="n">
        <v>-49126</v>
      </c>
      <c r="I164" s="124" t="n">
        <v>-819315</v>
      </c>
      <c r="J164" s="124" t="n">
        <v>-449679</v>
      </c>
      <c r="K164" s="124" t="n">
        <v>-1251728</v>
      </c>
      <c r="L164" s="124" t="n">
        <v>0</v>
      </c>
      <c r="M164" s="124" t="n">
        <v>-25263</v>
      </c>
      <c r="N164" s="124" t="n">
        <v>-1235105</v>
      </c>
      <c r="P164" s="124" t="n">
        <f aca="false">ABS(D164)/$P$3</f>
        <v>819.315</v>
      </c>
      <c r="Q164" s="124" t="n">
        <f aca="false">ABS(E164)/$P$3</f>
        <v>0</v>
      </c>
      <c r="R164" s="124" t="n">
        <f aca="false">ABS(F164)/$P$3</f>
        <v>0</v>
      </c>
      <c r="S164" s="124" t="n">
        <f aca="false">ABS(G164)/$P$3</f>
        <v>446.529</v>
      </c>
      <c r="T164" s="124" t="n">
        <f aca="false">ABS(H164)/$P$3</f>
        <v>49.126</v>
      </c>
      <c r="U164" s="124" t="n">
        <f aca="false">ABS(I164)/$P$3</f>
        <v>819.315</v>
      </c>
      <c r="V164" s="124" t="n">
        <f aca="false">ABS(J164)/$P$3</f>
        <v>449.679</v>
      </c>
      <c r="W164" s="124" t="n">
        <f aca="false">ABS(K164)/$P$3</f>
        <v>1251.728</v>
      </c>
      <c r="X164" s="124" t="n">
        <f aca="false">ABS(L164)/$P$3</f>
        <v>0</v>
      </c>
      <c r="Y164" s="124" t="n">
        <f aca="false">ABS(M164)/$P$3</f>
        <v>25.263</v>
      </c>
      <c r="Z164" s="124" t="n">
        <f aca="false">ABS(N164)/$P$3</f>
        <v>1235.105</v>
      </c>
    </row>
    <row r="165" customFormat="false" ht="12.75" hidden="true" customHeight="false" outlineLevel="0" collapsed="false">
      <c r="A165" s="120" t="n">
        <f aca="false">A164+1</f>
        <v>37051</v>
      </c>
      <c r="B165" s="131" t="str">
        <f aca="false">INDEX('Master Data'!$A$2:$B$8,MATCH(WEEKDAY('RAC V@r Total'!A165,3),'Master Data'!$A$2:$A$8,0),2)</f>
        <v>Sa</v>
      </c>
      <c r="D165" s="124" t="n">
        <v>0</v>
      </c>
      <c r="E165" s="124" t="n">
        <v>0</v>
      </c>
      <c r="F165" s="124" t="n">
        <v>0</v>
      </c>
      <c r="G165" s="124" t="n">
        <v>0</v>
      </c>
      <c r="H165" s="124" t="n">
        <v>0</v>
      </c>
      <c r="I165" s="124" t="n">
        <v>0</v>
      </c>
      <c r="J165" s="124" t="n">
        <v>0</v>
      </c>
      <c r="K165" s="124" t="n">
        <v>0</v>
      </c>
      <c r="L165" s="124" t="n">
        <v>0</v>
      </c>
      <c r="M165" s="124" t="n">
        <v>0</v>
      </c>
      <c r="N165" s="124" t="n">
        <v>0</v>
      </c>
      <c r="P165" s="124" t="n">
        <f aca="false">ABS(D165)/$P$3</f>
        <v>0</v>
      </c>
      <c r="Q165" s="124" t="n">
        <f aca="false">ABS(E165)/$P$3</f>
        <v>0</v>
      </c>
      <c r="R165" s="124" t="n">
        <f aca="false">ABS(F165)/$P$3</f>
        <v>0</v>
      </c>
      <c r="S165" s="124" t="n">
        <f aca="false">ABS(G165)/$P$3</f>
        <v>0</v>
      </c>
      <c r="T165" s="124" t="n">
        <f aca="false">ABS(H165)/$P$3</f>
        <v>0</v>
      </c>
      <c r="U165" s="124" t="n">
        <f aca="false">ABS(I165)/$P$3</f>
        <v>0</v>
      </c>
      <c r="V165" s="124" t="n">
        <f aca="false">ABS(J165)/$P$3</f>
        <v>0</v>
      </c>
      <c r="W165" s="124" t="n">
        <f aca="false">ABS(K165)/$P$3</f>
        <v>0</v>
      </c>
      <c r="X165" s="124" t="n">
        <f aca="false">ABS(L165)/$P$3</f>
        <v>0</v>
      </c>
      <c r="Y165" s="124" t="n">
        <f aca="false">ABS(M165)/$P$3</f>
        <v>0</v>
      </c>
      <c r="Z165" s="124" t="n">
        <f aca="false">ABS(N165)/$P$3</f>
        <v>0</v>
      </c>
    </row>
    <row r="166" customFormat="false" ht="12.75" hidden="true" customHeight="false" outlineLevel="0" collapsed="false">
      <c r="A166" s="120" t="n">
        <f aca="false">A165+1</f>
        <v>37052</v>
      </c>
      <c r="B166" s="131" t="str">
        <f aca="false">INDEX('Master Data'!$A$2:$B$8,MATCH(WEEKDAY('RAC V@r Total'!A166,3),'Master Data'!$A$2:$A$8,0),2)</f>
        <v>Su</v>
      </c>
      <c r="D166" s="124" t="n">
        <v>0</v>
      </c>
      <c r="E166" s="124" t="n">
        <v>0</v>
      </c>
      <c r="F166" s="124" t="n">
        <v>0</v>
      </c>
      <c r="G166" s="124" t="n">
        <v>0</v>
      </c>
      <c r="H166" s="124" t="n">
        <v>0</v>
      </c>
      <c r="I166" s="124" t="n">
        <v>0</v>
      </c>
      <c r="J166" s="124" t="n">
        <v>0</v>
      </c>
      <c r="K166" s="124" t="n">
        <v>0</v>
      </c>
      <c r="L166" s="124" t="n">
        <v>0</v>
      </c>
      <c r="M166" s="124" t="n">
        <v>0</v>
      </c>
      <c r="N166" s="124" t="n">
        <v>0</v>
      </c>
      <c r="P166" s="124" t="n">
        <f aca="false">ABS(D166)/$P$3</f>
        <v>0</v>
      </c>
      <c r="Q166" s="124" t="n">
        <f aca="false">ABS(E166)/$P$3</f>
        <v>0</v>
      </c>
      <c r="R166" s="124" t="n">
        <f aca="false">ABS(F166)/$P$3</f>
        <v>0</v>
      </c>
      <c r="S166" s="124" t="n">
        <f aca="false">ABS(G166)/$P$3</f>
        <v>0</v>
      </c>
      <c r="T166" s="124" t="n">
        <f aca="false">ABS(H166)/$P$3</f>
        <v>0</v>
      </c>
      <c r="U166" s="124" t="n">
        <f aca="false">ABS(I166)/$P$3</f>
        <v>0</v>
      </c>
      <c r="V166" s="124" t="n">
        <f aca="false">ABS(J166)/$P$3</f>
        <v>0</v>
      </c>
      <c r="W166" s="124" t="n">
        <f aca="false">ABS(K166)/$P$3</f>
        <v>0</v>
      </c>
      <c r="X166" s="124" t="n">
        <f aca="false">ABS(L166)/$P$3</f>
        <v>0</v>
      </c>
      <c r="Y166" s="124" t="n">
        <f aca="false">ABS(M166)/$P$3</f>
        <v>0</v>
      </c>
      <c r="Z166" s="124" t="n">
        <f aca="false">ABS(N166)/$P$3</f>
        <v>0</v>
      </c>
    </row>
    <row r="167" customFormat="false" ht="12.75" hidden="true" customHeight="false" outlineLevel="0" collapsed="false">
      <c r="A167" s="120" t="n">
        <f aca="false">A166+1</f>
        <v>37053</v>
      </c>
      <c r="B167" s="131" t="str">
        <f aca="false">INDEX('Master Data'!$A$2:$B$8,MATCH(WEEKDAY('RAC V@r Total'!A167,3),'Master Data'!$A$2:$A$8,0),2)</f>
        <v>M</v>
      </c>
      <c r="D167" s="124" t="n">
        <v>-820597</v>
      </c>
      <c r="E167" s="124" t="n">
        <v>0</v>
      </c>
      <c r="F167" s="124" t="n">
        <v>0</v>
      </c>
      <c r="G167" s="124" t="n">
        <v>-445556</v>
      </c>
      <c r="H167" s="124" t="n">
        <v>-49186</v>
      </c>
      <c r="I167" s="124" t="n">
        <v>-820597</v>
      </c>
      <c r="J167" s="124" t="n">
        <v>-447888</v>
      </c>
      <c r="K167" s="124" t="n">
        <v>-1251671</v>
      </c>
      <c r="L167" s="124" t="n">
        <v>0</v>
      </c>
      <c r="M167" s="124" t="n">
        <v>-25323</v>
      </c>
      <c r="N167" s="124" t="n">
        <v>-1235417</v>
      </c>
      <c r="P167" s="124" t="n">
        <f aca="false">ABS(D167)/$P$3</f>
        <v>820.597</v>
      </c>
      <c r="Q167" s="124" t="n">
        <f aca="false">ABS(E167)/$P$3</f>
        <v>0</v>
      </c>
      <c r="R167" s="124" t="n">
        <f aca="false">ABS(F167)/$P$3</f>
        <v>0</v>
      </c>
      <c r="S167" s="124" t="n">
        <f aca="false">ABS(G167)/$P$3</f>
        <v>445.556</v>
      </c>
      <c r="T167" s="124" t="n">
        <f aca="false">ABS(H167)/$P$3</f>
        <v>49.186</v>
      </c>
      <c r="U167" s="124" t="n">
        <f aca="false">ABS(I167)/$P$3</f>
        <v>820.597</v>
      </c>
      <c r="V167" s="124" t="n">
        <f aca="false">ABS(J167)/$P$3</f>
        <v>447.888</v>
      </c>
      <c r="W167" s="124" t="n">
        <f aca="false">ABS(K167)/$P$3</f>
        <v>1251.671</v>
      </c>
      <c r="X167" s="124" t="n">
        <f aca="false">ABS(L167)/$P$3</f>
        <v>0</v>
      </c>
      <c r="Y167" s="124" t="n">
        <f aca="false">ABS(M167)/$P$3</f>
        <v>25.323</v>
      </c>
      <c r="Z167" s="124" t="n">
        <f aca="false">ABS(N167)/$P$3</f>
        <v>1235.417</v>
      </c>
    </row>
    <row r="168" customFormat="false" ht="12.75" hidden="true" customHeight="false" outlineLevel="0" collapsed="false">
      <c r="A168" s="120" t="n">
        <f aca="false">A167+1</f>
        <v>37054</v>
      </c>
      <c r="B168" s="131" t="str">
        <f aca="false">INDEX('Master Data'!$A$2:$B$8,MATCH(WEEKDAY('RAC V@r Total'!A168,3),'Master Data'!$A$2:$A$8,0),2)</f>
        <v>T</v>
      </c>
      <c r="D168" s="124" t="n">
        <v>-821025</v>
      </c>
      <c r="E168" s="124" t="n">
        <v>0</v>
      </c>
      <c r="F168" s="124" t="n">
        <v>0</v>
      </c>
      <c r="G168" s="124" t="n">
        <v>-446156</v>
      </c>
      <c r="H168" s="124" t="n">
        <v>-49441</v>
      </c>
      <c r="I168" s="124" t="n">
        <v>-821025</v>
      </c>
      <c r="J168" s="124" t="n">
        <v>-448234</v>
      </c>
      <c r="K168" s="124" t="n">
        <v>-1252150</v>
      </c>
      <c r="L168" s="124" t="n">
        <v>0</v>
      </c>
      <c r="M168" s="124" t="n">
        <v>-25621</v>
      </c>
      <c r="N168" s="124" t="n">
        <v>-1236556</v>
      </c>
      <c r="P168" s="124" t="n">
        <f aca="false">ABS(D168)/$P$3</f>
        <v>821.025</v>
      </c>
      <c r="Q168" s="124" t="n">
        <f aca="false">ABS(E168)/$P$3</f>
        <v>0</v>
      </c>
      <c r="R168" s="124" t="n">
        <f aca="false">ABS(F168)/$P$3</f>
        <v>0</v>
      </c>
      <c r="S168" s="124" t="n">
        <f aca="false">ABS(G168)/$P$3</f>
        <v>446.156</v>
      </c>
      <c r="T168" s="124" t="n">
        <f aca="false">ABS(H168)/$P$3</f>
        <v>49.441</v>
      </c>
      <c r="U168" s="124" t="n">
        <f aca="false">ABS(I168)/$P$3</f>
        <v>821.025</v>
      </c>
      <c r="V168" s="124" t="n">
        <f aca="false">ABS(J168)/$P$3</f>
        <v>448.234</v>
      </c>
      <c r="W168" s="124" t="n">
        <f aca="false">ABS(K168)/$P$3</f>
        <v>1252.15</v>
      </c>
      <c r="X168" s="124" t="n">
        <f aca="false">ABS(L168)/$P$3</f>
        <v>0</v>
      </c>
      <c r="Y168" s="124" t="n">
        <f aca="false">ABS(M168)/$P$3</f>
        <v>25.621</v>
      </c>
      <c r="Z168" s="124" t="n">
        <f aca="false">ABS(N168)/$P$3</f>
        <v>1236.556</v>
      </c>
    </row>
    <row r="169" customFormat="false" ht="12.75" hidden="true" customHeight="false" outlineLevel="0" collapsed="false">
      <c r="A169" s="120" t="n">
        <f aca="false">A168+1</f>
        <v>37055</v>
      </c>
      <c r="B169" s="131" t="str">
        <f aca="false">INDEX('Master Data'!$A$2:$B$8,MATCH(WEEKDAY('RAC V@r Total'!A169,3),'Master Data'!$A$2:$A$8,0),2)</f>
        <v>W</v>
      </c>
      <c r="D169" s="124" t="n">
        <v>-821453</v>
      </c>
      <c r="E169" s="124" t="n">
        <v>0</v>
      </c>
      <c r="F169" s="124" t="n">
        <v>0</v>
      </c>
      <c r="G169" s="124" t="n">
        <v>-446475</v>
      </c>
      <c r="H169" s="124" t="n">
        <v>-49478</v>
      </c>
      <c r="I169" s="124" t="n">
        <v>-821453</v>
      </c>
      <c r="J169" s="124" t="n">
        <v>-448300</v>
      </c>
      <c r="K169" s="124" t="n">
        <v>-1252482</v>
      </c>
      <c r="L169" s="124" t="n">
        <v>0</v>
      </c>
      <c r="M169" s="124" t="n">
        <v>-25662</v>
      </c>
      <c r="N169" s="124" t="n">
        <v>-1237292</v>
      </c>
      <c r="P169" s="124" t="n">
        <f aca="false">ABS(D169)/$P$3</f>
        <v>821.453</v>
      </c>
      <c r="Q169" s="124" t="n">
        <f aca="false">ABS(E169)/$P$3</f>
        <v>0</v>
      </c>
      <c r="R169" s="124" t="n">
        <f aca="false">ABS(F169)/$P$3</f>
        <v>0</v>
      </c>
      <c r="S169" s="124" t="n">
        <f aca="false">ABS(G169)/$P$3</f>
        <v>446.475</v>
      </c>
      <c r="T169" s="124" t="n">
        <f aca="false">ABS(H169)/$P$3</f>
        <v>49.478</v>
      </c>
      <c r="U169" s="124" t="n">
        <f aca="false">ABS(I169)/$P$3</f>
        <v>821.453</v>
      </c>
      <c r="V169" s="124" t="n">
        <f aca="false">ABS(J169)/$P$3</f>
        <v>448.3</v>
      </c>
      <c r="W169" s="124" t="n">
        <f aca="false">ABS(K169)/$P$3</f>
        <v>1252.482</v>
      </c>
      <c r="X169" s="124" t="n">
        <f aca="false">ABS(L169)/$P$3</f>
        <v>0</v>
      </c>
      <c r="Y169" s="124" t="n">
        <f aca="false">ABS(M169)/$P$3</f>
        <v>25.662</v>
      </c>
      <c r="Z169" s="124" t="n">
        <f aca="false">ABS(N169)/$P$3</f>
        <v>1237.292</v>
      </c>
    </row>
    <row r="170" customFormat="false" ht="12.75" hidden="true" customHeight="false" outlineLevel="0" collapsed="false">
      <c r="A170" s="120" t="n">
        <f aca="false">A169+1</f>
        <v>37056</v>
      </c>
      <c r="B170" s="131" t="str">
        <f aca="false">INDEX('Master Data'!$A$2:$B$8,MATCH(WEEKDAY('RAC V@r Total'!A170,3),'Master Data'!$A$2:$A$8,0),2)</f>
        <v>Th</v>
      </c>
      <c r="D170" s="124" t="n">
        <v>-821881</v>
      </c>
      <c r="E170" s="124" t="n">
        <v>0</v>
      </c>
      <c r="F170" s="124" t="n">
        <v>0</v>
      </c>
      <c r="G170" s="124" t="n">
        <v>-446497</v>
      </c>
      <c r="H170" s="124" t="n">
        <v>-49538</v>
      </c>
      <c r="I170" s="124" t="n">
        <v>-821881</v>
      </c>
      <c r="J170" s="124" t="n">
        <v>-448066</v>
      </c>
      <c r="K170" s="124" t="n">
        <v>-1252658</v>
      </c>
      <c r="L170" s="124" t="n">
        <v>0</v>
      </c>
      <c r="M170" s="124" t="n">
        <v>-25729</v>
      </c>
      <c r="N170" s="124" t="n">
        <v>-1237758</v>
      </c>
      <c r="P170" s="124" t="n">
        <f aca="false">ABS(D170)/$P$3</f>
        <v>821.881</v>
      </c>
      <c r="Q170" s="124" t="n">
        <f aca="false">ABS(E170)/$P$3</f>
        <v>0</v>
      </c>
      <c r="R170" s="124" t="n">
        <f aca="false">ABS(F170)/$P$3</f>
        <v>0</v>
      </c>
      <c r="S170" s="124" t="n">
        <f aca="false">ABS(G170)/$P$3</f>
        <v>446.497</v>
      </c>
      <c r="T170" s="124" t="n">
        <f aca="false">ABS(H170)/$P$3</f>
        <v>49.538</v>
      </c>
      <c r="U170" s="124" t="n">
        <f aca="false">ABS(I170)/$P$3</f>
        <v>821.881</v>
      </c>
      <c r="V170" s="124" t="n">
        <f aca="false">ABS(J170)/$P$3</f>
        <v>448.066</v>
      </c>
      <c r="W170" s="124" t="n">
        <f aca="false">ABS(K170)/$P$3</f>
        <v>1252.658</v>
      </c>
      <c r="X170" s="124" t="n">
        <f aca="false">ABS(L170)/$P$3</f>
        <v>0</v>
      </c>
      <c r="Y170" s="124" t="n">
        <f aca="false">ABS(M170)/$P$3</f>
        <v>25.729</v>
      </c>
      <c r="Z170" s="124" t="n">
        <f aca="false">ABS(N170)/$P$3</f>
        <v>1237.758</v>
      </c>
    </row>
    <row r="171" customFormat="false" ht="12.75" hidden="true" customHeight="false" outlineLevel="0" collapsed="false">
      <c r="A171" s="120" t="n">
        <f aca="false">A170+1</f>
        <v>37057</v>
      </c>
      <c r="B171" s="131" t="str">
        <f aca="false">INDEX('Master Data'!$A$2:$B$8,MATCH(WEEKDAY('RAC V@r Total'!A171,3),'Master Data'!$A$2:$A$8,0),2)</f>
        <v>F</v>
      </c>
      <c r="D171" s="124" t="n">
        <v>-822309</v>
      </c>
      <c r="E171" s="124" t="n">
        <v>0</v>
      </c>
      <c r="F171" s="124" t="n">
        <v>0</v>
      </c>
      <c r="G171" s="124" t="n">
        <v>-447032</v>
      </c>
      <c r="H171" s="124" t="n">
        <v>-49464</v>
      </c>
      <c r="I171" s="124" t="n">
        <v>-822309</v>
      </c>
      <c r="J171" s="124" t="n">
        <v>-448684</v>
      </c>
      <c r="K171" s="124" t="n">
        <v>-1253375</v>
      </c>
      <c r="L171" s="124" t="n">
        <v>0</v>
      </c>
      <c r="M171" s="124" t="n">
        <v>-25637</v>
      </c>
      <c r="N171" s="124" t="n">
        <v>-1238800</v>
      </c>
      <c r="P171" s="124" t="n">
        <f aca="false">ABS(D171)/$P$3</f>
        <v>822.309</v>
      </c>
      <c r="Q171" s="124" t="n">
        <f aca="false">ABS(E171)/$P$3</f>
        <v>0</v>
      </c>
      <c r="R171" s="124" t="n">
        <f aca="false">ABS(F171)/$P$3</f>
        <v>0</v>
      </c>
      <c r="S171" s="124" t="n">
        <f aca="false">ABS(G171)/$P$3</f>
        <v>447.032</v>
      </c>
      <c r="T171" s="124" t="n">
        <f aca="false">ABS(H171)/$P$3</f>
        <v>49.464</v>
      </c>
      <c r="U171" s="124" t="n">
        <f aca="false">ABS(I171)/$P$3</f>
        <v>822.309</v>
      </c>
      <c r="V171" s="124" t="n">
        <f aca="false">ABS(J171)/$P$3</f>
        <v>448.684</v>
      </c>
      <c r="W171" s="124" t="n">
        <f aca="false">ABS(K171)/$P$3</f>
        <v>1253.375</v>
      </c>
      <c r="X171" s="124" t="n">
        <f aca="false">ABS(L171)/$P$3</f>
        <v>0</v>
      </c>
      <c r="Y171" s="124" t="n">
        <f aca="false">ABS(M171)/$P$3</f>
        <v>25.637</v>
      </c>
      <c r="Z171" s="124" t="n">
        <f aca="false">ABS(N171)/$P$3</f>
        <v>1238.8</v>
      </c>
    </row>
    <row r="172" customFormat="false" ht="12.75" hidden="true" customHeight="false" outlineLevel="0" collapsed="false">
      <c r="A172" s="120" t="n">
        <f aca="false">A171+1</f>
        <v>37058</v>
      </c>
      <c r="B172" s="131" t="str">
        <f aca="false">INDEX('Master Data'!$A$2:$B$8,MATCH(WEEKDAY('RAC V@r Total'!A172,3),'Master Data'!$A$2:$A$8,0),2)</f>
        <v>Sa</v>
      </c>
      <c r="D172" s="124" t="n">
        <v>0</v>
      </c>
      <c r="E172" s="124" t="n">
        <v>0</v>
      </c>
      <c r="F172" s="124" t="n">
        <v>0</v>
      </c>
      <c r="G172" s="124" t="n">
        <v>0</v>
      </c>
      <c r="H172" s="124" t="n">
        <v>0</v>
      </c>
      <c r="I172" s="124" t="n">
        <v>0</v>
      </c>
      <c r="J172" s="124" t="n">
        <v>0</v>
      </c>
      <c r="K172" s="124" t="n">
        <v>0</v>
      </c>
      <c r="L172" s="124" t="n">
        <v>0</v>
      </c>
      <c r="M172" s="124" t="n">
        <v>0</v>
      </c>
      <c r="N172" s="124" t="n">
        <v>0</v>
      </c>
      <c r="P172" s="124" t="n">
        <f aca="false">ABS(D172)/$P$3</f>
        <v>0</v>
      </c>
      <c r="Q172" s="124" t="n">
        <f aca="false">ABS(E172)/$P$3</f>
        <v>0</v>
      </c>
      <c r="R172" s="124" t="n">
        <f aca="false">ABS(F172)/$P$3</f>
        <v>0</v>
      </c>
      <c r="S172" s="124" t="n">
        <f aca="false">ABS(G172)/$P$3</f>
        <v>0</v>
      </c>
      <c r="T172" s="124" t="n">
        <f aca="false">ABS(H172)/$P$3</f>
        <v>0</v>
      </c>
      <c r="U172" s="124" t="n">
        <f aca="false">ABS(I172)/$P$3</f>
        <v>0</v>
      </c>
      <c r="V172" s="124" t="n">
        <f aca="false">ABS(J172)/$P$3</f>
        <v>0</v>
      </c>
      <c r="W172" s="124" t="n">
        <f aca="false">ABS(K172)/$P$3</f>
        <v>0</v>
      </c>
      <c r="X172" s="124" t="n">
        <f aca="false">ABS(L172)/$P$3</f>
        <v>0</v>
      </c>
      <c r="Y172" s="124" t="n">
        <f aca="false">ABS(M172)/$P$3</f>
        <v>0</v>
      </c>
      <c r="Z172" s="124" t="n">
        <f aca="false">ABS(N172)/$P$3</f>
        <v>0</v>
      </c>
    </row>
    <row r="173" customFormat="false" ht="12.75" hidden="true" customHeight="false" outlineLevel="0" collapsed="false">
      <c r="A173" s="120" t="n">
        <f aca="false">A172+1</f>
        <v>37059</v>
      </c>
      <c r="B173" s="131" t="str">
        <f aca="false">INDEX('Master Data'!$A$2:$B$8,MATCH(WEEKDAY('RAC V@r Total'!A173,3),'Master Data'!$A$2:$A$8,0),2)</f>
        <v>Su</v>
      </c>
      <c r="D173" s="124" t="n">
        <v>0</v>
      </c>
      <c r="E173" s="124" t="n">
        <v>0</v>
      </c>
      <c r="F173" s="124" t="n">
        <v>0</v>
      </c>
      <c r="G173" s="124" t="n">
        <v>0</v>
      </c>
      <c r="H173" s="124" t="n">
        <v>0</v>
      </c>
      <c r="I173" s="124" t="n">
        <v>0</v>
      </c>
      <c r="J173" s="124" t="n">
        <v>0</v>
      </c>
      <c r="K173" s="124" t="n">
        <v>0</v>
      </c>
      <c r="L173" s="124" t="n">
        <v>0</v>
      </c>
      <c r="M173" s="124" t="n">
        <v>0</v>
      </c>
      <c r="N173" s="124" t="n">
        <v>0</v>
      </c>
      <c r="P173" s="124" t="n">
        <f aca="false">ABS(D173)/$P$3</f>
        <v>0</v>
      </c>
      <c r="Q173" s="124" t="n">
        <f aca="false">ABS(E173)/$P$3</f>
        <v>0</v>
      </c>
      <c r="R173" s="124" t="n">
        <f aca="false">ABS(F173)/$P$3</f>
        <v>0</v>
      </c>
      <c r="S173" s="124" t="n">
        <f aca="false">ABS(G173)/$P$3</f>
        <v>0</v>
      </c>
      <c r="T173" s="124" t="n">
        <f aca="false">ABS(H173)/$P$3</f>
        <v>0</v>
      </c>
      <c r="U173" s="124" t="n">
        <f aca="false">ABS(I173)/$P$3</f>
        <v>0</v>
      </c>
      <c r="V173" s="124" t="n">
        <f aca="false">ABS(J173)/$P$3</f>
        <v>0</v>
      </c>
      <c r="W173" s="124" t="n">
        <f aca="false">ABS(K173)/$P$3</f>
        <v>0</v>
      </c>
      <c r="X173" s="124" t="n">
        <f aca="false">ABS(L173)/$P$3</f>
        <v>0</v>
      </c>
      <c r="Y173" s="124" t="n">
        <f aca="false">ABS(M173)/$P$3</f>
        <v>0</v>
      </c>
      <c r="Z173" s="124" t="n">
        <f aca="false">ABS(N173)/$P$3</f>
        <v>0</v>
      </c>
    </row>
    <row r="174" customFormat="false" ht="12.75" hidden="true" customHeight="false" outlineLevel="0" collapsed="false">
      <c r="A174" s="120" t="n">
        <f aca="false">A173+1</f>
        <v>37060</v>
      </c>
      <c r="B174" s="131" t="str">
        <f aca="false">INDEX('Master Data'!$A$2:$B$8,MATCH(WEEKDAY('RAC V@r Total'!A174,3),'Master Data'!$A$2:$A$8,0),2)</f>
        <v>M</v>
      </c>
      <c r="D174" s="124" t="n">
        <v>-823595</v>
      </c>
      <c r="E174" s="124" t="n">
        <v>0</v>
      </c>
      <c r="F174" s="124" t="n">
        <v>0</v>
      </c>
      <c r="G174" s="124" t="n">
        <v>-446735</v>
      </c>
      <c r="H174" s="124" t="n">
        <v>-49437</v>
      </c>
      <c r="I174" s="124" t="n">
        <v>-823595</v>
      </c>
      <c r="J174" s="124" t="n">
        <v>-447478</v>
      </c>
      <c r="K174" s="124" t="n">
        <v>-1253582</v>
      </c>
      <c r="L174" s="124" t="n">
        <v>0</v>
      </c>
      <c r="M174" s="124" t="n">
        <v>-25594</v>
      </c>
      <c r="N174" s="124" t="n">
        <v>-1239664</v>
      </c>
      <c r="P174" s="124" t="n">
        <f aca="false">ABS(D174)/$P$3</f>
        <v>823.595</v>
      </c>
      <c r="Q174" s="124" t="n">
        <f aca="false">ABS(E174)/$P$3</f>
        <v>0</v>
      </c>
      <c r="R174" s="124" t="n">
        <f aca="false">ABS(F174)/$P$3</f>
        <v>0</v>
      </c>
      <c r="S174" s="124" t="n">
        <f aca="false">ABS(G174)/$P$3</f>
        <v>446.735</v>
      </c>
      <c r="T174" s="124" t="n">
        <f aca="false">ABS(H174)/$P$3</f>
        <v>49.437</v>
      </c>
      <c r="U174" s="124" t="n">
        <f aca="false">ABS(I174)/$P$3</f>
        <v>823.595</v>
      </c>
      <c r="V174" s="124" t="n">
        <f aca="false">ABS(J174)/$P$3</f>
        <v>447.478</v>
      </c>
      <c r="W174" s="124" t="n">
        <f aca="false">ABS(K174)/$P$3</f>
        <v>1253.582</v>
      </c>
      <c r="X174" s="124" t="n">
        <f aca="false">ABS(L174)/$P$3</f>
        <v>0</v>
      </c>
      <c r="Y174" s="124" t="n">
        <f aca="false">ABS(M174)/$P$3</f>
        <v>25.594</v>
      </c>
      <c r="Z174" s="124" t="n">
        <f aca="false">ABS(N174)/$P$3</f>
        <v>1239.664</v>
      </c>
    </row>
    <row r="175" customFormat="false" ht="12.75" hidden="true" customHeight="false" outlineLevel="0" collapsed="false">
      <c r="A175" s="120" t="n">
        <f aca="false">A174+1</f>
        <v>37061</v>
      </c>
      <c r="B175" s="131" t="str">
        <f aca="false">INDEX('Master Data'!$A$2:$B$8,MATCH(WEEKDAY('RAC V@r Total'!A175,3),'Master Data'!$A$2:$A$8,0),2)</f>
        <v>T</v>
      </c>
      <c r="D175" s="124" t="n">
        <v>-824024</v>
      </c>
      <c r="E175" s="124" t="n">
        <v>0</v>
      </c>
      <c r="F175" s="124" t="n">
        <v>0</v>
      </c>
      <c r="G175" s="124" t="n">
        <v>-446916</v>
      </c>
      <c r="H175" s="124" t="n">
        <v>-49510</v>
      </c>
      <c r="I175" s="124" t="n">
        <v>-824024</v>
      </c>
      <c r="J175" s="124" t="n">
        <v>-447428</v>
      </c>
      <c r="K175" s="124" t="n">
        <v>-1253817</v>
      </c>
      <c r="L175" s="124" t="n">
        <v>0</v>
      </c>
      <c r="M175" s="124" t="n">
        <v>-25680</v>
      </c>
      <c r="N175" s="124" t="n">
        <v>-1240279</v>
      </c>
      <c r="P175" s="124" t="n">
        <f aca="false">ABS(D175)/$P$3</f>
        <v>824.024</v>
      </c>
      <c r="Q175" s="124" t="n">
        <f aca="false">ABS(E175)/$P$3</f>
        <v>0</v>
      </c>
      <c r="R175" s="124" t="n">
        <f aca="false">ABS(F175)/$P$3</f>
        <v>0</v>
      </c>
      <c r="S175" s="124" t="n">
        <f aca="false">ABS(G175)/$P$3</f>
        <v>446.916</v>
      </c>
      <c r="T175" s="124" t="n">
        <f aca="false">ABS(H175)/$P$3</f>
        <v>49.51</v>
      </c>
      <c r="U175" s="124" t="n">
        <f aca="false">ABS(I175)/$P$3</f>
        <v>824.024</v>
      </c>
      <c r="V175" s="124" t="n">
        <f aca="false">ABS(J175)/$P$3</f>
        <v>447.428</v>
      </c>
      <c r="W175" s="124" t="n">
        <f aca="false">ABS(K175)/$P$3</f>
        <v>1253.817</v>
      </c>
      <c r="X175" s="124" t="n">
        <f aca="false">ABS(L175)/$P$3</f>
        <v>0</v>
      </c>
      <c r="Y175" s="124" t="n">
        <f aca="false">ABS(M175)/$P$3</f>
        <v>25.68</v>
      </c>
      <c r="Z175" s="124" t="n">
        <f aca="false">ABS(N175)/$P$3</f>
        <v>1240.279</v>
      </c>
    </row>
    <row r="176" customFormat="false" ht="12.75" hidden="true" customHeight="false" outlineLevel="0" collapsed="false">
      <c r="A176" s="120" t="n">
        <f aca="false">A175+1</f>
        <v>37062</v>
      </c>
      <c r="B176" s="131" t="str">
        <f aca="false">INDEX('Master Data'!$A$2:$B$8,MATCH(WEEKDAY('RAC V@r Total'!A176,3),'Master Data'!$A$2:$A$8,0),2)</f>
        <v>W</v>
      </c>
      <c r="D176" s="124" t="n">
        <v>-824453</v>
      </c>
      <c r="E176" s="124" t="n">
        <v>0</v>
      </c>
      <c r="F176" s="124" t="n">
        <v>0</v>
      </c>
      <c r="G176" s="124" t="n">
        <v>-448467</v>
      </c>
      <c r="H176" s="124" t="n">
        <v>-25733</v>
      </c>
      <c r="I176" s="124" t="n">
        <v>-824453</v>
      </c>
      <c r="J176" s="124" t="n">
        <v>-451680</v>
      </c>
      <c r="K176" s="124" t="n">
        <v>-1254783</v>
      </c>
      <c r="L176" s="124" t="n">
        <v>0</v>
      </c>
      <c r="M176" s="124" t="n">
        <v>-25733</v>
      </c>
      <c r="N176" s="124" t="n">
        <v>-1247627</v>
      </c>
      <c r="P176" s="124" t="n">
        <f aca="false">ABS(D176)/$P$3</f>
        <v>824.453</v>
      </c>
      <c r="Q176" s="124" t="n">
        <f aca="false">ABS(E176)/$P$3</f>
        <v>0</v>
      </c>
      <c r="R176" s="124" t="n">
        <f aca="false">ABS(F176)/$P$3</f>
        <v>0</v>
      </c>
      <c r="S176" s="124" t="n">
        <f aca="false">ABS(G176)/$P$3</f>
        <v>448.467</v>
      </c>
      <c r="T176" s="124" t="n">
        <f aca="false">ABS(H176)/$P$3</f>
        <v>25.733</v>
      </c>
      <c r="U176" s="124" t="n">
        <f aca="false">ABS(I176)/$P$3</f>
        <v>824.453</v>
      </c>
      <c r="V176" s="124" t="n">
        <f aca="false">ABS(J176)/$P$3</f>
        <v>451.68</v>
      </c>
      <c r="W176" s="124" t="n">
        <f aca="false">ABS(K176)/$P$3</f>
        <v>1254.783</v>
      </c>
      <c r="X176" s="124" t="n">
        <f aca="false">ABS(L176)/$P$3</f>
        <v>0</v>
      </c>
      <c r="Y176" s="124" t="n">
        <f aca="false">ABS(M176)/$P$3</f>
        <v>25.733</v>
      </c>
      <c r="Z176" s="124" t="n">
        <f aca="false">ABS(N176)/$P$3</f>
        <v>1247.627</v>
      </c>
    </row>
    <row r="177" customFormat="false" ht="12.75" hidden="true" customHeight="false" outlineLevel="0" collapsed="false">
      <c r="A177" s="120" t="n">
        <f aca="false">A176+1</f>
        <v>37063</v>
      </c>
      <c r="B177" s="131" t="str">
        <f aca="false">INDEX('Master Data'!$A$2:$B$8,MATCH(WEEKDAY('RAC V@r Total'!A177,3),'Master Data'!$A$2:$A$8,0),2)</f>
        <v>Th</v>
      </c>
      <c r="D177" s="124" t="n">
        <v>-824882</v>
      </c>
      <c r="E177" s="124" t="n">
        <v>0</v>
      </c>
      <c r="F177" s="124" t="n">
        <v>0</v>
      </c>
      <c r="G177" s="124" t="n">
        <v>-447112</v>
      </c>
      <c r="H177" s="124" t="n">
        <v>-25796</v>
      </c>
      <c r="I177" s="124" t="n">
        <v>-824882</v>
      </c>
      <c r="J177" s="124" t="n">
        <v>-450191</v>
      </c>
      <c r="K177" s="124" t="n">
        <v>-1254207</v>
      </c>
      <c r="L177" s="124" t="n">
        <v>0</v>
      </c>
      <c r="M177" s="124" t="n">
        <v>-25796</v>
      </c>
      <c r="N177" s="124" t="n">
        <v>-1247027</v>
      </c>
      <c r="P177" s="124" t="n">
        <f aca="false">ABS(D177)/$P$3</f>
        <v>824.882</v>
      </c>
      <c r="Q177" s="124" t="n">
        <f aca="false">ABS(E177)/$P$3</f>
        <v>0</v>
      </c>
      <c r="R177" s="124" t="n">
        <f aca="false">ABS(F177)/$P$3</f>
        <v>0</v>
      </c>
      <c r="S177" s="124" t="n">
        <f aca="false">ABS(G177)/$P$3</f>
        <v>447.112</v>
      </c>
      <c r="T177" s="124" t="n">
        <f aca="false">ABS(H177)/$P$3</f>
        <v>25.796</v>
      </c>
      <c r="U177" s="124" t="n">
        <f aca="false">ABS(I177)/$P$3</f>
        <v>824.882</v>
      </c>
      <c r="V177" s="124" t="n">
        <f aca="false">ABS(J177)/$P$3</f>
        <v>450.191</v>
      </c>
      <c r="W177" s="124" t="n">
        <f aca="false">ABS(K177)/$P$3</f>
        <v>1254.207</v>
      </c>
      <c r="X177" s="124" t="n">
        <f aca="false">ABS(L177)/$P$3</f>
        <v>0</v>
      </c>
      <c r="Y177" s="124" t="n">
        <f aca="false">ABS(M177)/$P$3</f>
        <v>25.796</v>
      </c>
      <c r="Z177" s="124" t="n">
        <f aca="false">ABS(N177)/$P$3</f>
        <v>1247.027</v>
      </c>
    </row>
    <row r="178" customFormat="false" ht="12.75" hidden="true" customHeight="false" outlineLevel="0" collapsed="false">
      <c r="A178" s="120" t="n">
        <f aca="false">A177+1</f>
        <v>37064</v>
      </c>
      <c r="B178" s="131" t="str">
        <f aca="false">INDEX('Master Data'!$A$2:$B$8,MATCH(WEEKDAY('RAC V@r Total'!A178,3),'Master Data'!$A$2:$A$8,0),2)</f>
        <v>F</v>
      </c>
      <c r="D178" s="124" t="n">
        <v>-825311</v>
      </c>
      <c r="E178" s="124" t="n">
        <v>0</v>
      </c>
      <c r="F178" s="124" t="n">
        <v>0</v>
      </c>
      <c r="G178" s="124" t="n">
        <v>-446832</v>
      </c>
      <c r="H178" s="124" t="n">
        <v>-26216</v>
      </c>
      <c r="I178" s="124" t="n">
        <v>-825311</v>
      </c>
      <c r="J178" s="124" t="n">
        <v>-449767</v>
      </c>
      <c r="K178" s="124" t="n">
        <v>-1254206</v>
      </c>
      <c r="L178" s="124" t="n">
        <v>0</v>
      </c>
      <c r="M178" s="124" t="n">
        <v>-26216</v>
      </c>
      <c r="N178" s="124" t="n">
        <v>-1246435</v>
      </c>
      <c r="P178" s="124" t="n">
        <f aca="false">ABS(D178)/$P$3</f>
        <v>825.311</v>
      </c>
      <c r="Q178" s="124" t="n">
        <f aca="false">ABS(E178)/$P$3</f>
        <v>0</v>
      </c>
      <c r="R178" s="124" t="n">
        <f aca="false">ABS(F178)/$P$3</f>
        <v>0</v>
      </c>
      <c r="S178" s="124" t="n">
        <f aca="false">ABS(G178)/$P$3</f>
        <v>446.832</v>
      </c>
      <c r="T178" s="124" t="n">
        <f aca="false">ABS(H178)/$P$3</f>
        <v>26.216</v>
      </c>
      <c r="U178" s="124" t="n">
        <f aca="false">ABS(I178)/$P$3</f>
        <v>825.311</v>
      </c>
      <c r="V178" s="124" t="n">
        <f aca="false">ABS(J178)/$P$3</f>
        <v>449.767</v>
      </c>
      <c r="W178" s="124" t="n">
        <f aca="false">ABS(K178)/$P$3</f>
        <v>1254.206</v>
      </c>
      <c r="X178" s="124" t="n">
        <f aca="false">ABS(L178)/$P$3</f>
        <v>0</v>
      </c>
      <c r="Y178" s="124" t="n">
        <f aca="false">ABS(M178)/$P$3</f>
        <v>26.216</v>
      </c>
      <c r="Z178" s="124" t="n">
        <f aca="false">ABS(N178)/$P$3</f>
        <v>1246.435</v>
      </c>
      <c r="AA178" s="144"/>
    </row>
    <row r="179" customFormat="false" ht="12.75" hidden="true" customHeight="false" outlineLevel="0" collapsed="false">
      <c r="A179" s="120" t="n">
        <f aca="false">A178+1</f>
        <v>37065</v>
      </c>
      <c r="B179" s="131" t="str">
        <f aca="false">INDEX('Master Data'!$A$2:$B$8,MATCH(WEEKDAY('RAC V@r Total'!A179,3),'Master Data'!$A$2:$A$8,0),2)</f>
        <v>Sa</v>
      </c>
      <c r="D179" s="124" t="n">
        <v>0</v>
      </c>
      <c r="E179" s="124" t="n">
        <v>0</v>
      </c>
      <c r="F179" s="124" t="n">
        <v>0</v>
      </c>
      <c r="G179" s="124" t="n">
        <v>0</v>
      </c>
      <c r="H179" s="124" t="n">
        <v>0</v>
      </c>
      <c r="I179" s="124" t="n">
        <v>0</v>
      </c>
      <c r="J179" s="124" t="n">
        <v>0</v>
      </c>
      <c r="K179" s="124" t="n">
        <v>0</v>
      </c>
      <c r="L179" s="124" t="n">
        <v>0</v>
      </c>
      <c r="M179" s="124" t="n">
        <v>0</v>
      </c>
      <c r="N179" s="124" t="n">
        <v>0</v>
      </c>
      <c r="P179" s="124" t="n">
        <f aca="false">ABS(D179)/$P$3</f>
        <v>0</v>
      </c>
      <c r="Q179" s="124" t="n">
        <f aca="false">ABS(E179)/$P$3</f>
        <v>0</v>
      </c>
      <c r="R179" s="124" t="n">
        <f aca="false">ABS(F179)/$P$3</f>
        <v>0</v>
      </c>
      <c r="S179" s="124" t="n">
        <f aca="false">ABS(G179)/$P$3</f>
        <v>0</v>
      </c>
      <c r="T179" s="124" t="n">
        <f aca="false">ABS(H179)/$P$3</f>
        <v>0</v>
      </c>
      <c r="U179" s="124" t="n">
        <f aca="false">ABS(I179)/$P$3</f>
        <v>0</v>
      </c>
      <c r="V179" s="124" t="n">
        <f aca="false">ABS(J179)/$P$3</f>
        <v>0</v>
      </c>
      <c r="W179" s="124" t="n">
        <f aca="false">ABS(K179)/$P$3</f>
        <v>0</v>
      </c>
      <c r="X179" s="124" t="n">
        <f aca="false">ABS(L179)/$P$3</f>
        <v>0</v>
      </c>
      <c r="Y179" s="124" t="n">
        <f aca="false">ABS(M179)/$P$3</f>
        <v>0</v>
      </c>
      <c r="Z179" s="124" t="n">
        <f aca="false">ABS(N179)/$P$3</f>
        <v>0</v>
      </c>
    </row>
    <row r="180" customFormat="false" ht="12.75" hidden="true" customHeight="false" outlineLevel="0" collapsed="false">
      <c r="A180" s="120" t="n">
        <f aca="false">A179+1</f>
        <v>37066</v>
      </c>
      <c r="B180" s="131" t="str">
        <f aca="false">INDEX('Master Data'!$A$2:$B$8,MATCH(WEEKDAY('RAC V@r Total'!A180,3),'Master Data'!$A$2:$A$8,0),2)</f>
        <v>Su</v>
      </c>
      <c r="D180" s="124" t="n">
        <v>0</v>
      </c>
      <c r="E180" s="124" t="n">
        <v>0</v>
      </c>
      <c r="F180" s="124" t="n">
        <v>0</v>
      </c>
      <c r="G180" s="124" t="n">
        <v>0</v>
      </c>
      <c r="H180" s="124" t="n">
        <v>0</v>
      </c>
      <c r="I180" s="124" t="n">
        <v>0</v>
      </c>
      <c r="J180" s="124" t="n">
        <v>0</v>
      </c>
      <c r="K180" s="124" t="n">
        <v>0</v>
      </c>
      <c r="L180" s="124" t="n">
        <v>0</v>
      </c>
      <c r="M180" s="124" t="n">
        <v>0</v>
      </c>
      <c r="N180" s="124" t="n">
        <v>0</v>
      </c>
      <c r="P180" s="124" t="n">
        <f aca="false">ABS(D180)/$P$3</f>
        <v>0</v>
      </c>
      <c r="Q180" s="124" t="n">
        <f aca="false">ABS(E180)/$P$3</f>
        <v>0</v>
      </c>
      <c r="R180" s="124" t="n">
        <f aca="false">ABS(F180)/$P$3</f>
        <v>0</v>
      </c>
      <c r="S180" s="124" t="n">
        <f aca="false">ABS(G180)/$P$3</f>
        <v>0</v>
      </c>
      <c r="T180" s="124" t="n">
        <f aca="false">ABS(H180)/$P$3</f>
        <v>0</v>
      </c>
      <c r="U180" s="124" t="n">
        <f aca="false">ABS(I180)/$P$3</f>
        <v>0</v>
      </c>
      <c r="V180" s="124" t="n">
        <f aca="false">ABS(J180)/$P$3</f>
        <v>0</v>
      </c>
      <c r="W180" s="124" t="n">
        <f aca="false">ABS(K180)/$P$3</f>
        <v>0</v>
      </c>
      <c r="X180" s="124" t="n">
        <f aca="false">ABS(L180)/$P$3</f>
        <v>0</v>
      </c>
      <c r="Y180" s="124" t="n">
        <f aca="false">ABS(M180)/$P$3</f>
        <v>0</v>
      </c>
      <c r="Z180" s="124" t="n">
        <f aca="false">ABS(N180)/$P$3</f>
        <v>0</v>
      </c>
    </row>
    <row r="181" customFormat="false" ht="12.75" hidden="true" customHeight="false" outlineLevel="0" collapsed="false">
      <c r="A181" s="120" t="n">
        <f aca="false">A180+1</f>
        <v>37067</v>
      </c>
      <c r="B181" s="131" t="str">
        <f aca="false">INDEX('Master Data'!$A$2:$B$8,MATCH(WEEKDAY('RAC V@r Total'!A181,3),'Master Data'!$A$2:$A$8,0),2)</f>
        <v>M</v>
      </c>
      <c r="D181" s="124" t="n">
        <v>-826692</v>
      </c>
      <c r="E181" s="124" t="n">
        <v>0</v>
      </c>
      <c r="F181" s="124" t="n">
        <v>0</v>
      </c>
      <c r="G181" s="124" t="n">
        <v>-446630</v>
      </c>
      <c r="H181" s="124" t="n">
        <v>-26299</v>
      </c>
      <c r="I181" s="124" t="n">
        <v>-826692</v>
      </c>
      <c r="J181" s="124" t="n">
        <v>-450056</v>
      </c>
      <c r="K181" s="124" t="n">
        <v>-1254657</v>
      </c>
      <c r="L181" s="124" t="n">
        <v>0</v>
      </c>
      <c r="M181" s="124" t="n">
        <v>-26299</v>
      </c>
      <c r="N181" s="124" t="n">
        <v>-1246951</v>
      </c>
      <c r="P181" s="124" t="n">
        <f aca="false">ABS(D181)/$P$3</f>
        <v>826.692</v>
      </c>
      <c r="Q181" s="124" t="n">
        <f aca="false">ABS(E181)/$P$3</f>
        <v>0</v>
      </c>
      <c r="R181" s="124" t="n">
        <f aca="false">ABS(F181)/$P$3</f>
        <v>0</v>
      </c>
      <c r="S181" s="124" t="n">
        <f aca="false">ABS(G181)/$P$3</f>
        <v>446.63</v>
      </c>
      <c r="T181" s="124" t="n">
        <f aca="false">ABS(H181)/$P$3</f>
        <v>26.299</v>
      </c>
      <c r="U181" s="124" t="n">
        <f aca="false">ABS(I181)/$P$3</f>
        <v>826.692</v>
      </c>
      <c r="V181" s="124" t="n">
        <f aca="false">ABS(J181)/$P$3</f>
        <v>450.056</v>
      </c>
      <c r="W181" s="124" t="n">
        <f aca="false">ABS(K181)/$P$3</f>
        <v>1254.657</v>
      </c>
      <c r="X181" s="124" t="n">
        <f aca="false">ABS(L181)/$P$3</f>
        <v>0</v>
      </c>
      <c r="Y181" s="124" t="n">
        <f aca="false">ABS(M181)/$P$3</f>
        <v>26.299</v>
      </c>
      <c r="Z181" s="124" t="n">
        <f aca="false">ABS(N181)/$P$3</f>
        <v>1246.951</v>
      </c>
    </row>
    <row r="182" customFormat="false" ht="12.75" hidden="true" customHeight="false" outlineLevel="0" collapsed="false">
      <c r="A182" s="120" t="n">
        <f aca="false">A181+1</f>
        <v>37068</v>
      </c>
      <c r="B182" s="131" t="str">
        <f aca="false">INDEX('Master Data'!$A$2:$B$8,MATCH(WEEKDAY('RAC V@r Total'!A182,3),'Master Data'!$A$2:$A$8,0),2)</f>
        <v>T</v>
      </c>
      <c r="D182" s="124" t="n">
        <v>-827156</v>
      </c>
      <c r="E182" s="124" t="n">
        <v>0</v>
      </c>
      <c r="F182" s="124" t="n">
        <v>0</v>
      </c>
      <c r="G182" s="124" t="n">
        <v>-446292</v>
      </c>
      <c r="H182" s="124" t="n">
        <v>-26158</v>
      </c>
      <c r="I182" s="124" t="n">
        <v>-827156</v>
      </c>
      <c r="J182" s="124" t="n">
        <v>-449960</v>
      </c>
      <c r="K182" s="124" t="n">
        <v>-1254716</v>
      </c>
      <c r="L182" s="124" t="n">
        <v>0</v>
      </c>
      <c r="M182" s="124" t="n">
        <v>-26158</v>
      </c>
      <c r="N182" s="124" t="n">
        <v>-1247086</v>
      </c>
      <c r="P182" s="124" t="n">
        <f aca="false">ABS(D182)/$P$3</f>
        <v>827.156</v>
      </c>
      <c r="Q182" s="124" t="n">
        <f aca="false">ABS(E182)/$P$3</f>
        <v>0</v>
      </c>
      <c r="R182" s="124" t="n">
        <f aca="false">ABS(F182)/$P$3</f>
        <v>0</v>
      </c>
      <c r="S182" s="124" t="n">
        <f aca="false">ABS(G182)/$P$3</f>
        <v>446.292</v>
      </c>
      <c r="T182" s="124" t="n">
        <f aca="false">ABS(H182)/$P$3</f>
        <v>26.158</v>
      </c>
      <c r="U182" s="124" t="n">
        <f aca="false">ABS(I182)/$P$3</f>
        <v>827.156</v>
      </c>
      <c r="V182" s="124" t="n">
        <f aca="false">ABS(J182)/$P$3</f>
        <v>449.96</v>
      </c>
      <c r="W182" s="124" t="n">
        <f aca="false">ABS(K182)/$P$3</f>
        <v>1254.716</v>
      </c>
      <c r="X182" s="124" t="n">
        <f aca="false">ABS(L182)/$P$3</f>
        <v>0</v>
      </c>
      <c r="Y182" s="124" t="n">
        <f aca="false">ABS(M182)/$P$3</f>
        <v>26.158</v>
      </c>
      <c r="Z182" s="124" t="n">
        <f aca="false">ABS(N182)/$P$3</f>
        <v>1247.086</v>
      </c>
    </row>
    <row r="183" customFormat="false" ht="12.75" hidden="true" customHeight="false" outlineLevel="0" collapsed="false">
      <c r="A183" s="120" t="n">
        <f aca="false">A182+1</f>
        <v>37069</v>
      </c>
      <c r="B183" s="131" t="str">
        <f aca="false">INDEX('Master Data'!$A$2:$B$8,MATCH(WEEKDAY('RAC V@r Total'!A183,3),'Master Data'!$A$2:$A$8,0),2)</f>
        <v>W</v>
      </c>
      <c r="D183" s="124" t="n">
        <v>-827620</v>
      </c>
      <c r="E183" s="124" t="n">
        <v>0</v>
      </c>
      <c r="F183" s="124" t="n">
        <v>0</v>
      </c>
      <c r="G183" s="124" t="n">
        <v>-445310</v>
      </c>
      <c r="H183" s="124" t="n">
        <v>-26076</v>
      </c>
      <c r="I183" s="124" t="n">
        <v>-827620</v>
      </c>
      <c r="J183" s="124" t="n">
        <v>-449116</v>
      </c>
      <c r="K183" s="124" t="n">
        <v>-1254443</v>
      </c>
      <c r="L183" s="124" t="n">
        <v>0</v>
      </c>
      <c r="M183" s="124" t="n">
        <v>-26076</v>
      </c>
      <c r="N183" s="124" t="n">
        <v>-1246857</v>
      </c>
      <c r="P183" s="124" t="n">
        <f aca="false">ABS(D183)/$P$3</f>
        <v>827.62</v>
      </c>
      <c r="Q183" s="124" t="n">
        <f aca="false">ABS(E183)/$P$3</f>
        <v>0</v>
      </c>
      <c r="R183" s="124" t="n">
        <f aca="false">ABS(F183)/$P$3</f>
        <v>0</v>
      </c>
      <c r="S183" s="124" t="n">
        <f aca="false">ABS(G183)/$P$3</f>
        <v>445.31</v>
      </c>
      <c r="T183" s="124" t="n">
        <f aca="false">ABS(H183)/$P$3</f>
        <v>26.076</v>
      </c>
      <c r="U183" s="124" t="n">
        <f aca="false">ABS(I183)/$P$3</f>
        <v>827.62</v>
      </c>
      <c r="V183" s="124" t="n">
        <f aca="false">ABS(J183)/$P$3</f>
        <v>449.116</v>
      </c>
      <c r="W183" s="124" t="n">
        <f aca="false">ABS(K183)/$P$3</f>
        <v>1254.443</v>
      </c>
      <c r="X183" s="124" t="n">
        <f aca="false">ABS(L183)/$P$3</f>
        <v>0</v>
      </c>
      <c r="Y183" s="124" t="n">
        <f aca="false">ABS(M183)/$P$3</f>
        <v>26.076</v>
      </c>
      <c r="Z183" s="124" t="n">
        <f aca="false">ABS(N183)/$P$3</f>
        <v>1246.857</v>
      </c>
    </row>
    <row r="184" customFormat="false" ht="12.75" hidden="true" customHeight="false" outlineLevel="0" collapsed="false">
      <c r="A184" s="120" t="n">
        <f aca="false">A183+1</f>
        <v>37070</v>
      </c>
      <c r="B184" s="131" t="str">
        <f aca="false">INDEX('Master Data'!$A$2:$B$8,MATCH(WEEKDAY('RAC V@r Total'!A184,3),'Master Data'!$A$2:$A$8,0),2)</f>
        <v>Th</v>
      </c>
      <c r="D184" s="124" t="n">
        <v>-828084</v>
      </c>
      <c r="E184" s="124" t="n">
        <v>0</v>
      </c>
      <c r="F184" s="124" t="n">
        <v>0</v>
      </c>
      <c r="G184" s="124" t="n">
        <v>-444435</v>
      </c>
      <c r="H184" s="124" t="n">
        <v>-25981</v>
      </c>
      <c r="I184" s="124" t="n">
        <v>-828084</v>
      </c>
      <c r="J184" s="124" t="n">
        <v>-448397</v>
      </c>
      <c r="K184" s="124" t="n">
        <v>-1254222</v>
      </c>
      <c r="L184" s="124" t="n">
        <v>0</v>
      </c>
      <c r="M184" s="124" t="n">
        <v>-25981</v>
      </c>
      <c r="N184" s="124" t="n">
        <v>-1246680</v>
      </c>
      <c r="P184" s="124" t="n">
        <f aca="false">ABS(D184)/$P$3</f>
        <v>828.084</v>
      </c>
      <c r="Q184" s="124" t="n">
        <f aca="false">ABS(E184)/$P$3</f>
        <v>0</v>
      </c>
      <c r="R184" s="124" t="n">
        <f aca="false">ABS(F184)/$P$3</f>
        <v>0</v>
      </c>
      <c r="S184" s="124" t="n">
        <f aca="false">ABS(G184)/$P$3</f>
        <v>444.435</v>
      </c>
      <c r="T184" s="124" t="n">
        <f aca="false">ABS(H184)/$P$3</f>
        <v>25.981</v>
      </c>
      <c r="U184" s="124" t="n">
        <f aca="false">ABS(I184)/$P$3</f>
        <v>828.084</v>
      </c>
      <c r="V184" s="124" t="n">
        <f aca="false">ABS(J184)/$P$3</f>
        <v>448.397</v>
      </c>
      <c r="W184" s="124" t="n">
        <f aca="false">ABS(K184)/$P$3</f>
        <v>1254.222</v>
      </c>
      <c r="X184" s="124" t="n">
        <f aca="false">ABS(L184)/$P$3</f>
        <v>0</v>
      </c>
      <c r="Y184" s="124" t="n">
        <f aca="false">ABS(M184)/$P$3</f>
        <v>25.981</v>
      </c>
      <c r="Z184" s="124" t="n">
        <f aca="false">ABS(N184)/$P$3</f>
        <v>1246.68</v>
      </c>
    </row>
    <row r="185" customFormat="false" ht="12.75" hidden="true" customHeight="false" outlineLevel="0" collapsed="false">
      <c r="A185" s="120" t="n">
        <f aca="false">A184+1</f>
        <v>37071</v>
      </c>
      <c r="B185" s="131" t="str">
        <f aca="false">INDEX('Master Data'!$A$2:$B$8,MATCH(WEEKDAY('RAC V@r Total'!A185,3),'Master Data'!$A$2:$A$8,0),2)</f>
        <v>F</v>
      </c>
      <c r="D185" s="124" t="n">
        <v>-725207</v>
      </c>
      <c r="E185" s="124" t="n">
        <v>0</v>
      </c>
      <c r="F185" s="124" t="n">
        <v>0</v>
      </c>
      <c r="G185" s="124" t="n">
        <v>-442586</v>
      </c>
      <c r="H185" s="124" t="n">
        <v>-80109</v>
      </c>
      <c r="I185" s="124" t="n">
        <v>-725207</v>
      </c>
      <c r="J185" s="124" t="n">
        <v>-450226</v>
      </c>
      <c r="K185" s="124" t="n">
        <v>-1120557</v>
      </c>
      <c r="L185" s="124" t="n">
        <v>0</v>
      </c>
      <c r="M185" s="124" t="n">
        <v>-80109</v>
      </c>
      <c r="N185" s="124" t="n">
        <v>-1141283</v>
      </c>
      <c r="P185" s="124" t="n">
        <f aca="false">ABS(D185)/$P$3</f>
        <v>725.207</v>
      </c>
      <c r="Q185" s="124" t="n">
        <f aca="false">ABS(E185)/$P$3</f>
        <v>0</v>
      </c>
      <c r="R185" s="124" t="n">
        <f aca="false">ABS(F185)/$P$3</f>
        <v>0</v>
      </c>
      <c r="S185" s="124" t="n">
        <f aca="false">ABS(G185)/$P$3</f>
        <v>442.586</v>
      </c>
      <c r="T185" s="124" t="n">
        <f aca="false">ABS(H185)/$P$3</f>
        <v>80.109</v>
      </c>
      <c r="U185" s="124" t="n">
        <f aca="false">ABS(I185)/$P$3</f>
        <v>725.207</v>
      </c>
      <c r="V185" s="124" t="n">
        <f aca="false">ABS(J185)/$P$3</f>
        <v>450.226</v>
      </c>
      <c r="W185" s="124" t="n">
        <f aca="false">ABS(K185)/$P$3</f>
        <v>1120.557</v>
      </c>
      <c r="X185" s="124" t="n">
        <f aca="false">ABS(L185)/$P$3</f>
        <v>0</v>
      </c>
      <c r="Y185" s="124" t="n">
        <f aca="false">ABS(M185)/$P$3</f>
        <v>80.109</v>
      </c>
      <c r="Z185" s="124" t="n">
        <f aca="false">ABS(N185)/$P$3</f>
        <v>1141.283</v>
      </c>
    </row>
    <row r="186" customFormat="false" ht="12.75" hidden="false" customHeight="false" outlineLevel="0" collapsed="false">
      <c r="A186" s="120" t="n">
        <f aca="false">A185+1</f>
        <v>37072</v>
      </c>
      <c r="B186" s="131" t="str">
        <f aca="false">INDEX('Master Data'!$A$2:$B$8,MATCH(WEEKDAY('RAC V@r Total'!A186,3),'Master Data'!$A$2:$A$8,0),2)</f>
        <v>Sa</v>
      </c>
      <c r="D186" s="124" t="n">
        <v>0</v>
      </c>
      <c r="E186" s="124" t="n">
        <v>0</v>
      </c>
      <c r="F186" s="124" t="n">
        <v>0</v>
      </c>
      <c r="G186" s="124" t="n">
        <v>0</v>
      </c>
      <c r="H186" s="124" t="n">
        <v>0</v>
      </c>
      <c r="I186" s="124" t="n">
        <v>0</v>
      </c>
      <c r="J186" s="124" t="n">
        <v>0</v>
      </c>
      <c r="K186" s="124" t="n">
        <v>0</v>
      </c>
      <c r="L186" s="124" t="n">
        <v>0</v>
      </c>
      <c r="M186" s="124" t="n">
        <v>0</v>
      </c>
      <c r="N186" s="124" t="n">
        <v>0</v>
      </c>
      <c r="P186" s="124" t="n">
        <f aca="false">ABS(D186)/$P$3</f>
        <v>0</v>
      </c>
      <c r="Q186" s="124" t="n">
        <f aca="false">ABS(E186)/$P$3</f>
        <v>0</v>
      </c>
      <c r="R186" s="124" t="n">
        <f aca="false">ABS(F186)/$P$3</f>
        <v>0</v>
      </c>
      <c r="S186" s="124" t="n">
        <f aca="false">ABS(G186)/$P$3</f>
        <v>0</v>
      </c>
      <c r="T186" s="124" t="n">
        <f aca="false">ABS(H186)/$P$3</f>
        <v>0</v>
      </c>
      <c r="U186" s="124" t="n">
        <f aca="false">ABS(I186)/$P$3</f>
        <v>0</v>
      </c>
      <c r="V186" s="124" t="n">
        <f aca="false">ABS(J186)/$P$3</f>
        <v>0</v>
      </c>
      <c r="W186" s="124" t="n">
        <f aca="false">ABS(K186)/$P$3</f>
        <v>0</v>
      </c>
      <c r="X186" s="124" t="n">
        <f aca="false">ABS(L186)/$P$3</f>
        <v>0</v>
      </c>
      <c r="Y186" s="124" t="n">
        <f aca="false">ABS(M186)/$P$3</f>
        <v>0</v>
      </c>
      <c r="Z186" s="124" t="n">
        <f aca="false">ABS(N186)/$P$3</f>
        <v>0</v>
      </c>
    </row>
    <row r="187" customFormat="false" ht="12.75" hidden="true" customHeight="false" outlineLevel="0" collapsed="false">
      <c r="A187" s="120" t="n">
        <f aca="false">A186+1</f>
        <v>37073</v>
      </c>
      <c r="B187" s="131" t="str">
        <f aca="false">INDEX('Master Data'!$A$2:$B$8,MATCH(WEEKDAY('RAC V@r Total'!A187,3),'Master Data'!$A$2:$A$8,0),2)</f>
        <v>Su</v>
      </c>
      <c r="D187" s="124" t="n">
        <v>0</v>
      </c>
      <c r="E187" s="124" t="n">
        <v>0</v>
      </c>
      <c r="F187" s="124" t="n">
        <v>0</v>
      </c>
      <c r="G187" s="124" t="n">
        <v>0</v>
      </c>
      <c r="H187" s="124" t="n">
        <v>0</v>
      </c>
      <c r="I187" s="124" t="n">
        <v>0</v>
      </c>
      <c r="J187" s="124" t="n">
        <v>0</v>
      </c>
      <c r="K187" s="124" t="n">
        <v>0</v>
      </c>
      <c r="L187" s="124" t="n">
        <v>0</v>
      </c>
      <c r="M187" s="124" t="n">
        <v>0</v>
      </c>
      <c r="N187" s="124" t="n">
        <v>0</v>
      </c>
      <c r="P187" s="124" t="n">
        <f aca="false">ABS(D187)/$P$3</f>
        <v>0</v>
      </c>
      <c r="Q187" s="124" t="n">
        <f aca="false">ABS(E187)/$P$3</f>
        <v>0</v>
      </c>
      <c r="R187" s="124" t="n">
        <f aca="false">ABS(F187)/$P$3</f>
        <v>0</v>
      </c>
      <c r="S187" s="124" t="n">
        <f aca="false">ABS(G187)/$P$3</f>
        <v>0</v>
      </c>
      <c r="T187" s="124" t="n">
        <f aca="false">ABS(H187)/$P$3</f>
        <v>0</v>
      </c>
      <c r="U187" s="124" t="n">
        <f aca="false">ABS(I187)/$P$3</f>
        <v>0</v>
      </c>
      <c r="V187" s="124" t="n">
        <f aca="false">ABS(J187)/$P$3</f>
        <v>0</v>
      </c>
      <c r="W187" s="124" t="n">
        <f aca="false">ABS(K187)/$P$3</f>
        <v>0</v>
      </c>
      <c r="X187" s="124" t="n">
        <f aca="false">ABS(L187)/$P$3</f>
        <v>0</v>
      </c>
      <c r="Y187" s="124" t="n">
        <f aca="false">ABS(M187)/$P$3</f>
        <v>0</v>
      </c>
      <c r="Z187" s="124" t="n">
        <f aca="false">ABS(N187)/$P$3</f>
        <v>0</v>
      </c>
    </row>
    <row r="188" customFormat="false" ht="12.75" hidden="true" customHeight="false" outlineLevel="0" collapsed="false">
      <c r="A188" s="120" t="n">
        <f aca="false">A187+1</f>
        <v>37074</v>
      </c>
      <c r="B188" s="131" t="str">
        <f aca="false">INDEX('Master Data'!$A$2:$B$8,MATCH(WEEKDAY('RAC V@r Total'!A188,3),'Master Data'!$A$2:$A$8,0),2)</f>
        <v>M</v>
      </c>
      <c r="D188" s="124" t="n">
        <v>-717765</v>
      </c>
      <c r="E188" s="124" t="n">
        <v>0</v>
      </c>
      <c r="F188" s="124" t="n">
        <v>0</v>
      </c>
      <c r="G188" s="124" t="n">
        <v>-437123</v>
      </c>
      <c r="H188" s="124" t="n">
        <v>-63134</v>
      </c>
      <c r="I188" s="124" t="n">
        <v>-717765</v>
      </c>
      <c r="J188" s="124" t="n">
        <v>-438729</v>
      </c>
      <c r="K188" s="124" t="n">
        <v>-1122206</v>
      </c>
      <c r="L188" s="124" t="n">
        <v>0</v>
      </c>
      <c r="M188" s="124" t="n">
        <v>-63134</v>
      </c>
      <c r="N188" s="124" t="n">
        <v>-1107993</v>
      </c>
      <c r="P188" s="124" t="n">
        <f aca="false">ABS(D188)/$P$3</f>
        <v>717.765</v>
      </c>
      <c r="Q188" s="124" t="n">
        <f aca="false">ABS(E188)/$P$3</f>
        <v>0</v>
      </c>
      <c r="R188" s="124" t="n">
        <f aca="false">ABS(F188)/$P$3</f>
        <v>0</v>
      </c>
      <c r="S188" s="124" t="n">
        <f aca="false">ABS(G188)/$P$3</f>
        <v>437.123</v>
      </c>
      <c r="T188" s="124" t="n">
        <f aca="false">ABS(H188)/$P$3</f>
        <v>63.134</v>
      </c>
      <c r="U188" s="124" t="n">
        <f aca="false">ABS(I188)/$P$3</f>
        <v>717.765</v>
      </c>
      <c r="V188" s="124" t="n">
        <f aca="false">ABS(J188)/$P$3</f>
        <v>438.729</v>
      </c>
      <c r="W188" s="124" t="n">
        <f aca="false">ABS(K188)/$P$3</f>
        <v>1122.206</v>
      </c>
      <c r="X188" s="124" t="n">
        <f aca="false">ABS(L188)/$P$3</f>
        <v>0</v>
      </c>
      <c r="Y188" s="124" t="n">
        <f aca="false">ABS(M188)/$P$3</f>
        <v>63.134</v>
      </c>
      <c r="Z188" s="124" t="n">
        <f aca="false">ABS(N188)/$P$3</f>
        <v>1107.993</v>
      </c>
    </row>
    <row r="189" customFormat="false" ht="12.75" hidden="true" customHeight="false" outlineLevel="0" collapsed="false">
      <c r="A189" s="120" t="n">
        <f aca="false">A188+1</f>
        <v>37075</v>
      </c>
      <c r="B189" s="131" t="str">
        <f aca="false">INDEX('Master Data'!$A$2:$B$8,MATCH(WEEKDAY('RAC V@r Total'!A189,3),'Master Data'!$A$2:$A$8,0),2)</f>
        <v>T</v>
      </c>
      <c r="D189" s="124" t="n">
        <v>-718192</v>
      </c>
      <c r="E189" s="124" t="n">
        <v>0</v>
      </c>
      <c r="F189" s="124" t="n">
        <v>0</v>
      </c>
      <c r="G189" s="124" t="n">
        <v>-437559</v>
      </c>
      <c r="H189" s="124" t="n">
        <v>-62979</v>
      </c>
      <c r="I189" s="124" t="n">
        <v>-718192</v>
      </c>
      <c r="J189" s="124" t="n">
        <v>-439572</v>
      </c>
      <c r="K189" s="124" t="n">
        <v>-1123148</v>
      </c>
      <c r="L189" s="124" t="n">
        <v>0</v>
      </c>
      <c r="M189" s="124" t="n">
        <v>-62979</v>
      </c>
      <c r="N189" s="124" t="n">
        <v>-1109058</v>
      </c>
      <c r="P189" s="124" t="n">
        <f aca="false">ABS(D189)/$P$3</f>
        <v>718.192</v>
      </c>
      <c r="Q189" s="124" t="n">
        <f aca="false">ABS(E189)/$P$3</f>
        <v>0</v>
      </c>
      <c r="R189" s="124" t="n">
        <f aca="false">ABS(F189)/$P$3</f>
        <v>0</v>
      </c>
      <c r="S189" s="124" t="n">
        <f aca="false">ABS(G189)/$P$3</f>
        <v>437.559</v>
      </c>
      <c r="T189" s="124" t="n">
        <f aca="false">ABS(H189)/$P$3</f>
        <v>62.979</v>
      </c>
      <c r="U189" s="124" t="n">
        <f aca="false">ABS(I189)/$P$3</f>
        <v>718.192</v>
      </c>
      <c r="V189" s="124" t="n">
        <f aca="false">ABS(J189)/$P$3</f>
        <v>439.572</v>
      </c>
      <c r="W189" s="124" t="n">
        <f aca="false">ABS(K189)/$P$3</f>
        <v>1123.148</v>
      </c>
      <c r="X189" s="124" t="n">
        <f aca="false">ABS(L189)/$P$3</f>
        <v>0</v>
      </c>
      <c r="Y189" s="124" t="n">
        <f aca="false">ABS(M189)/$P$3</f>
        <v>62.979</v>
      </c>
      <c r="Z189" s="124" t="n">
        <f aca="false">ABS(N189)/$P$3</f>
        <v>1109.058</v>
      </c>
    </row>
    <row r="190" customFormat="false" ht="12.75" hidden="true" customHeight="false" outlineLevel="0" collapsed="false">
      <c r="A190" s="120" t="n">
        <f aca="false">A189+1</f>
        <v>37076</v>
      </c>
      <c r="B190" s="131" t="str">
        <f aca="false">INDEX('Master Data'!$A$2:$B$8,MATCH(WEEKDAY('RAC V@r Total'!A190,3),'Master Data'!$A$2:$A$8,0),2)</f>
        <v>W</v>
      </c>
      <c r="D190" s="124" t="n">
        <v>0</v>
      </c>
      <c r="E190" s="124" t="n">
        <v>0</v>
      </c>
      <c r="F190" s="124" t="n">
        <v>0</v>
      </c>
      <c r="G190" s="124" t="n">
        <v>0</v>
      </c>
      <c r="H190" s="124" t="n">
        <v>0</v>
      </c>
      <c r="I190" s="124" t="n">
        <v>0</v>
      </c>
      <c r="J190" s="124" t="n">
        <v>0</v>
      </c>
      <c r="K190" s="124" t="n">
        <v>0</v>
      </c>
      <c r="L190" s="124" t="n">
        <v>0</v>
      </c>
      <c r="M190" s="124" t="n">
        <v>0</v>
      </c>
      <c r="N190" s="124" t="n">
        <v>0</v>
      </c>
      <c r="P190" s="124" t="n">
        <f aca="false">ABS(D190)/$P$3</f>
        <v>0</v>
      </c>
      <c r="Q190" s="124" t="n">
        <f aca="false">ABS(E190)/$P$3</f>
        <v>0</v>
      </c>
      <c r="R190" s="124" t="n">
        <f aca="false">ABS(F190)/$P$3</f>
        <v>0</v>
      </c>
      <c r="S190" s="124" t="n">
        <f aca="false">ABS(G190)/$P$3</f>
        <v>0</v>
      </c>
      <c r="T190" s="124" t="n">
        <f aca="false">ABS(H190)/$P$3</f>
        <v>0</v>
      </c>
      <c r="U190" s="124" t="n">
        <f aca="false">ABS(I190)/$P$3</f>
        <v>0</v>
      </c>
      <c r="V190" s="124" t="n">
        <f aca="false">ABS(J190)/$P$3</f>
        <v>0</v>
      </c>
      <c r="W190" s="124" t="n">
        <f aca="false">ABS(K190)/$P$3</f>
        <v>0</v>
      </c>
      <c r="X190" s="124" t="n">
        <f aca="false">ABS(L190)/$P$3</f>
        <v>0</v>
      </c>
      <c r="Y190" s="124" t="n">
        <f aca="false">ABS(M190)/$P$3</f>
        <v>0</v>
      </c>
      <c r="Z190" s="124" t="n">
        <f aca="false">ABS(N190)/$P$3</f>
        <v>0</v>
      </c>
    </row>
    <row r="191" customFormat="false" ht="12.75" hidden="true" customHeight="false" outlineLevel="0" collapsed="false">
      <c r="A191" s="120" t="n">
        <f aca="false">A190+1</f>
        <v>37077</v>
      </c>
      <c r="B191" s="131" t="str">
        <f aca="false">INDEX('Master Data'!$A$2:$B$8,MATCH(WEEKDAY('RAC V@r Total'!A191,3),'Master Data'!$A$2:$A$8,0),2)</f>
        <v>Th</v>
      </c>
      <c r="D191" s="124" t="n">
        <v>-614001</v>
      </c>
      <c r="E191" s="124" t="n">
        <v>0</v>
      </c>
      <c r="F191" s="124" t="n">
        <v>0</v>
      </c>
      <c r="G191" s="124" t="n">
        <v>-437509</v>
      </c>
      <c r="H191" s="124" t="n">
        <v>-62942</v>
      </c>
      <c r="I191" s="124" t="n">
        <v>-614001</v>
      </c>
      <c r="J191" s="124" t="n">
        <v>-439706</v>
      </c>
      <c r="K191" s="124" t="n">
        <v>-1015819</v>
      </c>
      <c r="L191" s="124" t="n">
        <v>0</v>
      </c>
      <c r="M191" s="124" t="n">
        <v>-62942</v>
      </c>
      <c r="N191" s="124" t="n">
        <v>-1013484</v>
      </c>
      <c r="P191" s="124" t="n">
        <f aca="false">ABS(D191)/$P$3</f>
        <v>614.001</v>
      </c>
      <c r="Q191" s="124" t="n">
        <f aca="false">ABS(E191)/$P$3</f>
        <v>0</v>
      </c>
      <c r="R191" s="124" t="n">
        <f aca="false">ABS(F191)/$P$3</f>
        <v>0</v>
      </c>
      <c r="S191" s="124" t="n">
        <f aca="false">ABS(G191)/$P$3</f>
        <v>437.509</v>
      </c>
      <c r="T191" s="124" t="n">
        <f aca="false">ABS(H191)/$P$3</f>
        <v>62.942</v>
      </c>
      <c r="U191" s="124" t="n">
        <f aca="false">ABS(I191)/$P$3</f>
        <v>614.001</v>
      </c>
      <c r="V191" s="124" t="n">
        <f aca="false">ABS(J191)/$P$3</f>
        <v>439.706</v>
      </c>
      <c r="W191" s="124" t="n">
        <f aca="false">ABS(K191)/$P$3</f>
        <v>1015.819</v>
      </c>
      <c r="X191" s="124" t="n">
        <f aca="false">ABS(L191)/$P$3</f>
        <v>0</v>
      </c>
      <c r="Y191" s="124" t="n">
        <f aca="false">ABS(M191)/$P$3</f>
        <v>62.942</v>
      </c>
      <c r="Z191" s="124" t="n">
        <f aca="false">ABS(N191)/$P$3</f>
        <v>1013.484</v>
      </c>
    </row>
    <row r="192" customFormat="false" ht="12.75" hidden="true" customHeight="false" outlineLevel="0" collapsed="false">
      <c r="A192" s="120" t="n">
        <f aca="false">A191+1</f>
        <v>37078</v>
      </c>
      <c r="B192" s="131" t="str">
        <f aca="false">INDEX('Master Data'!$A$2:$B$8,MATCH(WEEKDAY('RAC V@r Total'!A192,3),'Master Data'!$A$2:$A$8,0),2)</f>
        <v>F</v>
      </c>
      <c r="D192" s="124" t="n">
        <v>-614301</v>
      </c>
      <c r="E192" s="124" t="n">
        <v>0</v>
      </c>
      <c r="F192" s="124" t="n">
        <v>0</v>
      </c>
      <c r="G192" s="124" t="n">
        <v>-437415</v>
      </c>
      <c r="H192" s="124" t="n">
        <v>-63223</v>
      </c>
      <c r="I192" s="124" t="n">
        <v>-614301</v>
      </c>
      <c r="J192" s="124" t="n">
        <v>-439469</v>
      </c>
      <c r="K192" s="124" t="n">
        <v>-1016095</v>
      </c>
      <c r="L192" s="124" t="n">
        <v>0</v>
      </c>
      <c r="M192" s="124" t="n">
        <v>-63223</v>
      </c>
      <c r="N192" s="124" t="n">
        <v>-1013745</v>
      </c>
      <c r="P192" s="124" t="n">
        <f aca="false">ABS(D192)/$P$3</f>
        <v>614.301</v>
      </c>
      <c r="Q192" s="124" t="n">
        <f aca="false">ABS(E192)/$P$3</f>
        <v>0</v>
      </c>
      <c r="R192" s="124" t="n">
        <f aca="false">ABS(F192)/$P$3</f>
        <v>0</v>
      </c>
      <c r="S192" s="124" t="n">
        <f aca="false">ABS(G192)/$P$3</f>
        <v>437.415</v>
      </c>
      <c r="T192" s="124" t="n">
        <f aca="false">ABS(H192)/$P$3</f>
        <v>63.223</v>
      </c>
      <c r="U192" s="124" t="n">
        <f aca="false">ABS(I192)/$P$3</f>
        <v>614.301</v>
      </c>
      <c r="V192" s="124" t="n">
        <f aca="false">ABS(J192)/$P$3</f>
        <v>439.469</v>
      </c>
      <c r="W192" s="124" t="n">
        <f aca="false">ABS(K192)/$P$3</f>
        <v>1016.095</v>
      </c>
      <c r="X192" s="124" t="n">
        <f aca="false">ABS(L192)/$P$3</f>
        <v>0</v>
      </c>
      <c r="Y192" s="124" t="n">
        <f aca="false">ABS(M192)/$P$3</f>
        <v>63.223</v>
      </c>
      <c r="Z192" s="124" t="n">
        <f aca="false">ABS(N192)/$P$3</f>
        <v>1013.745</v>
      </c>
    </row>
    <row r="193" customFormat="false" ht="12.75" hidden="true" customHeight="false" outlineLevel="0" collapsed="false">
      <c r="A193" s="120" t="n">
        <f aca="false">A192+1</f>
        <v>37079</v>
      </c>
      <c r="B193" s="131" t="str">
        <f aca="false">INDEX('Master Data'!$A$2:$B$8,MATCH(WEEKDAY('RAC V@r Total'!A193,3),'Master Data'!$A$2:$A$8,0),2)</f>
        <v>Sa</v>
      </c>
      <c r="D193" s="124" t="n">
        <v>0</v>
      </c>
      <c r="E193" s="124" t="n">
        <v>0</v>
      </c>
      <c r="F193" s="124" t="n">
        <v>0</v>
      </c>
      <c r="G193" s="124" t="n">
        <v>0</v>
      </c>
      <c r="H193" s="124" t="n">
        <v>0</v>
      </c>
      <c r="I193" s="124" t="n">
        <v>0</v>
      </c>
      <c r="J193" s="124" t="n">
        <v>0</v>
      </c>
      <c r="K193" s="124" t="n">
        <v>0</v>
      </c>
      <c r="L193" s="124" t="n">
        <v>0</v>
      </c>
      <c r="M193" s="124" t="n">
        <v>0</v>
      </c>
      <c r="N193" s="124" t="n">
        <v>0</v>
      </c>
      <c r="P193" s="124" t="n">
        <f aca="false">ABS(D193)/$P$3</f>
        <v>0</v>
      </c>
      <c r="Q193" s="124" t="n">
        <f aca="false">ABS(E193)/$P$3</f>
        <v>0</v>
      </c>
      <c r="R193" s="124" t="n">
        <f aca="false">ABS(F193)/$P$3</f>
        <v>0</v>
      </c>
      <c r="S193" s="124" t="n">
        <f aca="false">ABS(G193)/$P$3</f>
        <v>0</v>
      </c>
      <c r="T193" s="124" t="n">
        <f aca="false">ABS(H193)/$P$3</f>
        <v>0</v>
      </c>
      <c r="U193" s="124" t="n">
        <f aca="false">ABS(I193)/$P$3</f>
        <v>0</v>
      </c>
      <c r="V193" s="124" t="n">
        <f aca="false">ABS(J193)/$P$3</f>
        <v>0</v>
      </c>
      <c r="W193" s="124" t="n">
        <f aca="false">ABS(K193)/$P$3</f>
        <v>0</v>
      </c>
      <c r="X193" s="124" t="n">
        <f aca="false">ABS(L193)/$P$3</f>
        <v>0</v>
      </c>
      <c r="Y193" s="124" t="n">
        <f aca="false">ABS(M193)/$P$3</f>
        <v>0</v>
      </c>
      <c r="Z193" s="124" t="n">
        <f aca="false">ABS(N193)/$P$3</f>
        <v>0</v>
      </c>
    </row>
    <row r="194" customFormat="false" ht="12.75" hidden="true" customHeight="false" outlineLevel="0" collapsed="false">
      <c r="A194" s="120" t="n">
        <f aca="false">A193+1</f>
        <v>37080</v>
      </c>
      <c r="B194" s="131" t="str">
        <f aca="false">INDEX('Master Data'!$A$2:$B$8,MATCH(WEEKDAY('RAC V@r Total'!A194,3),'Master Data'!$A$2:$A$8,0),2)</f>
        <v>Su</v>
      </c>
      <c r="D194" s="124" t="n">
        <v>0</v>
      </c>
      <c r="E194" s="124" t="n">
        <v>0</v>
      </c>
      <c r="F194" s="124" t="n">
        <v>0</v>
      </c>
      <c r="G194" s="124" t="n">
        <v>0</v>
      </c>
      <c r="H194" s="124" t="n">
        <v>0</v>
      </c>
      <c r="I194" s="124" t="n">
        <v>0</v>
      </c>
      <c r="J194" s="124" t="n">
        <v>0</v>
      </c>
      <c r="K194" s="124" t="n">
        <v>0</v>
      </c>
      <c r="L194" s="124" t="n">
        <v>0</v>
      </c>
      <c r="M194" s="124" t="n">
        <v>0</v>
      </c>
      <c r="N194" s="124" t="n">
        <v>0</v>
      </c>
      <c r="P194" s="124" t="n">
        <f aca="false">ABS(D194)/$P$3</f>
        <v>0</v>
      </c>
      <c r="Q194" s="124" t="n">
        <f aca="false">ABS(E194)/$P$3</f>
        <v>0</v>
      </c>
      <c r="R194" s="124" t="n">
        <f aca="false">ABS(F194)/$P$3</f>
        <v>0</v>
      </c>
      <c r="S194" s="124" t="n">
        <f aca="false">ABS(G194)/$P$3</f>
        <v>0</v>
      </c>
      <c r="T194" s="124" t="n">
        <f aca="false">ABS(H194)/$P$3</f>
        <v>0</v>
      </c>
      <c r="U194" s="124" t="n">
        <f aca="false">ABS(I194)/$P$3</f>
        <v>0</v>
      </c>
      <c r="V194" s="124" t="n">
        <f aca="false">ABS(J194)/$P$3</f>
        <v>0</v>
      </c>
      <c r="W194" s="124" t="n">
        <f aca="false">ABS(K194)/$P$3</f>
        <v>0</v>
      </c>
      <c r="X194" s="124" t="n">
        <f aca="false">ABS(L194)/$P$3</f>
        <v>0</v>
      </c>
      <c r="Y194" s="124" t="n">
        <f aca="false">ABS(M194)/$P$3</f>
        <v>0</v>
      </c>
      <c r="Z194" s="124" t="n">
        <f aca="false">ABS(N194)/$P$3</f>
        <v>0</v>
      </c>
    </row>
    <row r="195" customFormat="false" ht="12.75" hidden="true" customHeight="false" outlineLevel="0" collapsed="false">
      <c r="A195" s="120" t="n">
        <f aca="false">A194+1</f>
        <v>37081</v>
      </c>
      <c r="B195" s="131" t="str">
        <f aca="false">INDEX('Master Data'!$A$2:$B$8,MATCH(WEEKDAY('RAC V@r Total'!A195,3),'Master Data'!$A$2:$A$8,0),2)</f>
        <v>M</v>
      </c>
      <c r="D195" s="124" t="n">
        <v>-615201</v>
      </c>
      <c r="E195" s="124" t="n">
        <v>0</v>
      </c>
      <c r="F195" s="124" t="n">
        <v>0</v>
      </c>
      <c r="G195" s="124" t="n">
        <v>-438176</v>
      </c>
      <c r="H195" s="124" t="n">
        <v>-63301</v>
      </c>
      <c r="I195" s="124" t="n">
        <v>-615201</v>
      </c>
      <c r="J195" s="124" t="n">
        <v>-440935</v>
      </c>
      <c r="K195" s="124" t="n">
        <v>-1018514</v>
      </c>
      <c r="L195" s="124" t="n">
        <v>0</v>
      </c>
      <c r="M195" s="124" t="n">
        <v>-63301</v>
      </c>
      <c r="N195" s="124" t="n">
        <v>-1015696</v>
      </c>
      <c r="P195" s="124" t="n">
        <f aca="false">ABS(D195)/$P$3</f>
        <v>615.201</v>
      </c>
      <c r="Q195" s="124" t="n">
        <f aca="false">ABS(E195)/$P$3</f>
        <v>0</v>
      </c>
      <c r="R195" s="124" t="n">
        <f aca="false">ABS(F195)/$P$3</f>
        <v>0</v>
      </c>
      <c r="S195" s="124" t="n">
        <f aca="false">ABS(G195)/$P$3</f>
        <v>438.176</v>
      </c>
      <c r="T195" s="124" t="n">
        <f aca="false">ABS(H195)/$P$3</f>
        <v>63.301</v>
      </c>
      <c r="U195" s="124" t="n">
        <f aca="false">ABS(I195)/$P$3</f>
        <v>615.201</v>
      </c>
      <c r="V195" s="124" t="n">
        <f aca="false">ABS(J195)/$P$3</f>
        <v>440.935</v>
      </c>
      <c r="W195" s="124" t="n">
        <f aca="false">ABS(K195)/$P$3</f>
        <v>1018.514</v>
      </c>
      <c r="X195" s="124" t="n">
        <f aca="false">ABS(L195)/$P$3</f>
        <v>0</v>
      </c>
      <c r="Y195" s="124" t="n">
        <f aca="false">ABS(M195)/$P$3</f>
        <v>63.301</v>
      </c>
      <c r="Z195" s="124" t="n">
        <f aca="false">ABS(N195)/$P$3</f>
        <v>1015.696</v>
      </c>
    </row>
    <row r="196" customFormat="false" ht="12.75" hidden="true" customHeight="false" outlineLevel="0" collapsed="false">
      <c r="A196" s="120" t="n">
        <f aca="false">A195+1</f>
        <v>37082</v>
      </c>
      <c r="B196" s="131" t="str">
        <f aca="false">INDEX('Master Data'!$A$2:$B$8,MATCH(WEEKDAY('RAC V@r Total'!A196,3),'Master Data'!$A$2:$A$8,0),2)</f>
        <v>T</v>
      </c>
      <c r="D196" s="124" t="n">
        <v>-594171</v>
      </c>
      <c r="E196" s="124" t="n">
        <v>0</v>
      </c>
      <c r="F196" s="124" t="n">
        <v>0</v>
      </c>
      <c r="G196" s="124" t="n">
        <v>-433797</v>
      </c>
      <c r="H196" s="124" t="n">
        <v>-61688</v>
      </c>
      <c r="I196" s="124" t="n">
        <v>-594171</v>
      </c>
      <c r="J196" s="124" t="n">
        <v>-441110</v>
      </c>
      <c r="K196" s="124" t="n">
        <v>-997377</v>
      </c>
      <c r="L196" s="124" t="n">
        <v>0</v>
      </c>
      <c r="M196" s="124" t="n">
        <v>-61688</v>
      </c>
      <c r="N196" s="124" t="n">
        <v>-1007483</v>
      </c>
      <c r="P196" s="124" t="n">
        <f aca="false">ABS(D196)/$P$3</f>
        <v>594.171</v>
      </c>
      <c r="Q196" s="124" t="n">
        <f aca="false">ABS(E196)/$P$3</f>
        <v>0</v>
      </c>
      <c r="R196" s="124" t="n">
        <f aca="false">ABS(F196)/$P$3</f>
        <v>0</v>
      </c>
      <c r="S196" s="124" t="n">
        <f aca="false">ABS(G196)/$P$3</f>
        <v>433.797</v>
      </c>
      <c r="T196" s="124" t="n">
        <f aca="false">ABS(H196)/$P$3</f>
        <v>61.688</v>
      </c>
      <c r="U196" s="124" t="n">
        <f aca="false">ABS(I196)/$P$3</f>
        <v>594.171</v>
      </c>
      <c r="V196" s="124" t="n">
        <f aca="false">ABS(J196)/$P$3</f>
        <v>441.11</v>
      </c>
      <c r="W196" s="124" t="n">
        <f aca="false">ABS(K196)/$P$3</f>
        <v>997.377</v>
      </c>
      <c r="X196" s="124" t="n">
        <f aca="false">ABS(L196)/$P$3</f>
        <v>0</v>
      </c>
      <c r="Y196" s="124" t="n">
        <f aca="false">ABS(M196)/$P$3</f>
        <v>61.688</v>
      </c>
      <c r="Z196" s="124" t="n">
        <f aca="false">ABS(N196)/$P$3</f>
        <v>1007.483</v>
      </c>
    </row>
    <row r="197" customFormat="false" ht="12.75" hidden="true" customHeight="false" outlineLevel="0" collapsed="false">
      <c r="A197" s="120" t="n">
        <f aca="false">A196+1</f>
        <v>37083</v>
      </c>
      <c r="B197" s="131" t="str">
        <f aca="false">INDEX('Master Data'!$A$2:$B$8,MATCH(WEEKDAY('RAC V@r Total'!A197,3),'Master Data'!$A$2:$A$8,0),2)</f>
        <v>W</v>
      </c>
      <c r="D197" s="124" t="n">
        <v>-594479</v>
      </c>
      <c r="E197" s="124" t="n">
        <v>0</v>
      </c>
      <c r="F197" s="124" t="n">
        <v>0</v>
      </c>
      <c r="G197" s="124" t="n">
        <v>-434173</v>
      </c>
      <c r="H197" s="124" t="n">
        <v>-61642.73</v>
      </c>
      <c r="I197" s="124" t="n">
        <f aca="false">D197</f>
        <v>-594479</v>
      </c>
      <c r="J197" s="124" t="n">
        <v>-441380</v>
      </c>
      <c r="K197" s="124" t="n">
        <v>-998402</v>
      </c>
      <c r="L197" s="124" t="n">
        <v>0</v>
      </c>
      <c r="M197" s="124" t="n">
        <f aca="false">H197</f>
        <v>-61642.73</v>
      </c>
      <c r="N197" s="124" t="n">
        <v>-1008364.84</v>
      </c>
      <c r="P197" s="124" t="n">
        <f aca="false">ABS(D197)/$P$3</f>
        <v>594.479</v>
      </c>
      <c r="Q197" s="124" t="n">
        <f aca="false">ABS(E197)/$P$3</f>
        <v>0</v>
      </c>
      <c r="R197" s="124" t="n">
        <f aca="false">ABS(F197)/$P$3</f>
        <v>0</v>
      </c>
      <c r="S197" s="124" t="n">
        <f aca="false">ABS(G197)/$P$3</f>
        <v>434.173</v>
      </c>
      <c r="T197" s="124" t="n">
        <f aca="false">ABS(H197)/$P$3</f>
        <v>61.64273</v>
      </c>
      <c r="U197" s="124" t="n">
        <f aca="false">ABS(I197)/$P$3</f>
        <v>594.479</v>
      </c>
      <c r="V197" s="124" t="n">
        <f aca="false">ABS(J197)/$P$3</f>
        <v>441.38</v>
      </c>
      <c r="W197" s="124" t="n">
        <f aca="false">ABS(K197)/$P$3</f>
        <v>998.402</v>
      </c>
      <c r="X197" s="124" t="n">
        <f aca="false">ABS(L197)/$P$3</f>
        <v>0</v>
      </c>
      <c r="Y197" s="124" t="n">
        <f aca="false">ABS(M197)/$P$3</f>
        <v>61.64273</v>
      </c>
      <c r="Z197" s="124" t="n">
        <f aca="false">ABS(N197)/$P$3</f>
        <v>1008.36484</v>
      </c>
    </row>
    <row r="198" customFormat="false" ht="12.75" hidden="true" customHeight="false" outlineLevel="0" collapsed="false">
      <c r="A198" s="120" t="n">
        <f aca="false">A197+1</f>
        <v>37084</v>
      </c>
      <c r="B198" s="131" t="str">
        <f aca="false">INDEX('Master Data'!$A$2:$B$8,MATCH(WEEKDAY('RAC V@r Total'!A198,3),'Master Data'!$A$2:$A$8,0),2)</f>
        <v>Th</v>
      </c>
      <c r="D198" s="124" t="n">
        <v>-594787</v>
      </c>
      <c r="E198" s="124" t="n">
        <v>0</v>
      </c>
      <c r="F198" s="124" t="n">
        <v>0</v>
      </c>
      <c r="G198" s="124" t="n">
        <v>-434264</v>
      </c>
      <c r="H198" s="124" t="n">
        <v>-61732</v>
      </c>
      <c r="I198" s="124" t="n">
        <v>-594787</v>
      </c>
      <c r="J198" s="124" t="n">
        <v>-441499</v>
      </c>
      <c r="K198" s="124" t="n">
        <v>-998925</v>
      </c>
      <c r="L198" s="124" t="n">
        <v>0</v>
      </c>
      <c r="M198" s="124" t="n">
        <v>-61732</v>
      </c>
      <c r="N198" s="124" t="n">
        <v>-1008859</v>
      </c>
      <c r="P198" s="124" t="n">
        <f aca="false">ABS(D198)/$P$3</f>
        <v>594.787</v>
      </c>
      <c r="Q198" s="124" t="n">
        <f aca="false">ABS(E198)/$P$3</f>
        <v>0</v>
      </c>
      <c r="R198" s="124" t="n">
        <f aca="false">ABS(F198)/$P$3</f>
        <v>0</v>
      </c>
      <c r="S198" s="124" t="n">
        <f aca="false">ABS(G198)/$P$3</f>
        <v>434.264</v>
      </c>
      <c r="T198" s="124" t="n">
        <f aca="false">ABS(H198)/$P$3</f>
        <v>61.732</v>
      </c>
      <c r="U198" s="124" t="n">
        <f aca="false">ABS(I198)/$P$3</f>
        <v>594.787</v>
      </c>
      <c r="V198" s="124" t="n">
        <f aca="false">ABS(J198)/$P$3</f>
        <v>441.499</v>
      </c>
      <c r="W198" s="124" t="n">
        <f aca="false">ABS(K198)/$P$3</f>
        <v>998.925</v>
      </c>
      <c r="X198" s="124" t="n">
        <f aca="false">ABS(L198)/$P$3</f>
        <v>0</v>
      </c>
      <c r="Y198" s="124" t="n">
        <f aca="false">ABS(M198)/$P$3</f>
        <v>61.732</v>
      </c>
      <c r="Z198" s="124" t="n">
        <f aca="false">ABS(N198)/$P$3</f>
        <v>1008.859</v>
      </c>
    </row>
    <row r="199" customFormat="false" ht="12.75" hidden="true" customHeight="false" outlineLevel="0" collapsed="false">
      <c r="A199" s="120" t="n">
        <f aca="false">A198+1</f>
        <v>37085</v>
      </c>
      <c r="B199" s="131" t="str">
        <f aca="false">INDEX('Master Data'!$A$2:$B$8,MATCH(WEEKDAY('RAC V@r Total'!A199,3),'Master Data'!$A$2:$A$8,0),2)</f>
        <v>F</v>
      </c>
      <c r="D199" s="124" t="n">
        <v>-882843</v>
      </c>
      <c r="E199" s="124" t="n">
        <v>0</v>
      </c>
      <c r="F199" s="124" t="n">
        <v>0</v>
      </c>
      <c r="G199" s="124" t="n">
        <v>-434069</v>
      </c>
      <c r="H199" s="124" t="n">
        <v>-61854</v>
      </c>
      <c r="I199" s="124" t="n">
        <v>-882843</v>
      </c>
      <c r="J199" s="124" t="n">
        <v>-441397</v>
      </c>
      <c r="K199" s="124" t="n">
        <v>-1259795</v>
      </c>
      <c r="L199" s="124" t="n">
        <v>0</v>
      </c>
      <c r="M199" s="124" t="n">
        <v>-61854</v>
      </c>
      <c r="N199" s="124" t="n">
        <v>-1259162</v>
      </c>
      <c r="P199" s="124" t="n">
        <f aca="false">ABS(D199)/$P$3</f>
        <v>882.843</v>
      </c>
      <c r="Q199" s="124" t="n">
        <f aca="false">ABS(E199)/$P$3</f>
        <v>0</v>
      </c>
      <c r="R199" s="124" t="n">
        <f aca="false">ABS(F199)/$P$3</f>
        <v>0</v>
      </c>
      <c r="S199" s="124" t="n">
        <f aca="false">ABS(G199)/$P$3</f>
        <v>434.069</v>
      </c>
      <c r="T199" s="124" t="n">
        <f aca="false">ABS(H199)/$P$3</f>
        <v>61.854</v>
      </c>
      <c r="U199" s="124" t="n">
        <f aca="false">ABS(I199)/$P$3</f>
        <v>882.843</v>
      </c>
      <c r="V199" s="124" t="n">
        <f aca="false">ABS(J199)/$P$3</f>
        <v>441.397</v>
      </c>
      <c r="W199" s="124" t="n">
        <f aca="false">ABS(K199)/$P$3</f>
        <v>1259.795</v>
      </c>
      <c r="X199" s="124" t="n">
        <f aca="false">ABS(L199)/$P$3</f>
        <v>0</v>
      </c>
      <c r="Y199" s="124" t="n">
        <f aca="false">ABS(M199)/$P$3</f>
        <v>61.854</v>
      </c>
      <c r="Z199" s="124" t="n">
        <f aca="false">ABS(N199)/$P$3</f>
        <v>1259.162</v>
      </c>
    </row>
    <row r="200" customFormat="false" ht="12.75" hidden="true" customHeight="false" outlineLevel="0" collapsed="false">
      <c r="A200" s="120" t="n">
        <f aca="false">A199+1</f>
        <v>37086</v>
      </c>
      <c r="B200" s="131" t="str">
        <f aca="false">INDEX('Master Data'!$A$2:$B$8,MATCH(WEEKDAY('RAC V@r Total'!A200,3),'Master Data'!$A$2:$A$8,0),2)</f>
        <v>Sa</v>
      </c>
      <c r="D200" s="124" t="n">
        <v>0</v>
      </c>
      <c r="E200" s="124" t="n">
        <v>0</v>
      </c>
      <c r="F200" s="124" t="n">
        <v>0</v>
      </c>
      <c r="G200" s="124" t="n">
        <v>0</v>
      </c>
      <c r="H200" s="124" t="n">
        <v>0</v>
      </c>
      <c r="I200" s="124" t="n">
        <v>0</v>
      </c>
      <c r="J200" s="124" t="n">
        <v>0</v>
      </c>
      <c r="K200" s="124" t="n">
        <v>0</v>
      </c>
      <c r="L200" s="124" t="n">
        <v>0</v>
      </c>
      <c r="M200" s="124" t="n">
        <v>0</v>
      </c>
      <c r="N200" s="124" t="n">
        <v>0</v>
      </c>
      <c r="P200" s="124" t="n">
        <f aca="false">ABS(D200)/$P$3</f>
        <v>0</v>
      </c>
      <c r="Q200" s="124" t="n">
        <f aca="false">ABS(E200)/$P$3</f>
        <v>0</v>
      </c>
      <c r="R200" s="124" t="n">
        <f aca="false">ABS(F200)/$P$3</f>
        <v>0</v>
      </c>
      <c r="S200" s="124" t="n">
        <f aca="false">ABS(G200)/$P$3</f>
        <v>0</v>
      </c>
      <c r="T200" s="124" t="n">
        <f aca="false">ABS(H200)/$P$3</f>
        <v>0</v>
      </c>
      <c r="U200" s="124" t="n">
        <f aca="false">ABS(I200)/$P$3</f>
        <v>0</v>
      </c>
      <c r="V200" s="124" t="n">
        <f aca="false">ABS(J200)/$P$3</f>
        <v>0</v>
      </c>
      <c r="W200" s="124" t="n">
        <f aca="false">ABS(K200)/$P$3</f>
        <v>0</v>
      </c>
      <c r="X200" s="124" t="n">
        <f aca="false">ABS(L200)/$P$3</f>
        <v>0</v>
      </c>
      <c r="Y200" s="124" t="n">
        <f aca="false">ABS(M200)/$P$3</f>
        <v>0</v>
      </c>
      <c r="Z200" s="124" t="n">
        <f aca="false">ABS(N200)/$P$3</f>
        <v>0</v>
      </c>
    </row>
    <row r="201" customFormat="false" ht="12.75" hidden="true" customHeight="false" outlineLevel="0" collapsed="false">
      <c r="A201" s="120" t="n">
        <f aca="false">A200+1</f>
        <v>37087</v>
      </c>
      <c r="B201" s="131" t="str">
        <f aca="false">INDEX('Master Data'!$A$2:$B$8,MATCH(WEEKDAY('RAC V@r Total'!A201,3),'Master Data'!$A$2:$A$8,0),2)</f>
        <v>Su</v>
      </c>
      <c r="D201" s="124" t="n">
        <v>0</v>
      </c>
      <c r="E201" s="124" t="n">
        <v>0</v>
      </c>
      <c r="F201" s="124" t="n">
        <v>0</v>
      </c>
      <c r="G201" s="124" t="n">
        <v>0</v>
      </c>
      <c r="H201" s="124" t="n">
        <v>0</v>
      </c>
      <c r="I201" s="124" t="n">
        <v>0</v>
      </c>
      <c r="J201" s="124" t="n">
        <v>0</v>
      </c>
      <c r="K201" s="124" t="n">
        <v>0</v>
      </c>
      <c r="L201" s="124" t="n">
        <v>0</v>
      </c>
      <c r="M201" s="124" t="n">
        <v>0</v>
      </c>
      <c r="N201" s="124" t="n">
        <v>0</v>
      </c>
      <c r="P201" s="124" t="n">
        <f aca="false">ABS(D201)/$P$3</f>
        <v>0</v>
      </c>
      <c r="Q201" s="124" t="n">
        <f aca="false">ABS(E201)/$P$3</f>
        <v>0</v>
      </c>
      <c r="R201" s="124" t="n">
        <f aca="false">ABS(F201)/$P$3</f>
        <v>0</v>
      </c>
      <c r="S201" s="124" t="n">
        <f aca="false">ABS(G201)/$P$3</f>
        <v>0</v>
      </c>
      <c r="T201" s="124" t="n">
        <f aca="false">ABS(H201)/$P$3</f>
        <v>0</v>
      </c>
      <c r="U201" s="124" t="n">
        <f aca="false">ABS(I201)/$P$3</f>
        <v>0</v>
      </c>
      <c r="V201" s="124" t="n">
        <f aca="false">ABS(J201)/$P$3</f>
        <v>0</v>
      </c>
      <c r="W201" s="124" t="n">
        <f aca="false">ABS(K201)/$P$3</f>
        <v>0</v>
      </c>
      <c r="X201" s="124" t="n">
        <f aca="false">ABS(L201)/$P$3</f>
        <v>0</v>
      </c>
      <c r="Y201" s="124" t="n">
        <f aca="false">ABS(M201)/$P$3</f>
        <v>0</v>
      </c>
      <c r="Z201" s="124" t="n">
        <f aca="false">ABS(N201)/$P$3</f>
        <v>0</v>
      </c>
    </row>
    <row r="202" customFormat="false" ht="12.75" hidden="true" customHeight="false" outlineLevel="0" collapsed="false">
      <c r="A202" s="120" t="n">
        <f aca="false">A201+1</f>
        <v>37088</v>
      </c>
      <c r="B202" s="131" t="str">
        <f aca="false">INDEX('Master Data'!$A$2:$B$8,MATCH(WEEKDAY('RAC V@r Total'!A202,3),'Master Data'!$A$2:$A$8,0),2)</f>
        <v>M</v>
      </c>
      <c r="D202" s="124" t="n">
        <v>-596019</v>
      </c>
      <c r="E202" s="124" t="n">
        <v>0</v>
      </c>
      <c r="F202" s="124" t="n">
        <v>0</v>
      </c>
      <c r="G202" s="124" t="n">
        <v>-393688</v>
      </c>
      <c r="H202" s="124" t="n">
        <v>-62164</v>
      </c>
      <c r="I202" s="124" t="n">
        <v>-596019</v>
      </c>
      <c r="J202" s="124" t="n">
        <v>-407169</v>
      </c>
      <c r="K202" s="124" t="n">
        <v>-964082</v>
      </c>
      <c r="L202" s="124" t="n">
        <v>0</v>
      </c>
      <c r="M202" s="124" t="n">
        <v>-62164</v>
      </c>
      <c r="N202" s="124" t="n">
        <v>-969167</v>
      </c>
      <c r="P202" s="124" t="n">
        <f aca="false">ABS(D202)/$P$3</f>
        <v>596.019</v>
      </c>
      <c r="Q202" s="124" t="n">
        <f aca="false">ABS(E202)/$P$3</f>
        <v>0</v>
      </c>
      <c r="R202" s="124" t="n">
        <f aca="false">ABS(F202)/$P$3</f>
        <v>0</v>
      </c>
      <c r="S202" s="124" t="n">
        <f aca="false">ABS(G202)/$P$3</f>
        <v>393.688</v>
      </c>
      <c r="T202" s="124" t="n">
        <f aca="false">ABS(H202)/$P$3</f>
        <v>62.164</v>
      </c>
      <c r="U202" s="124" t="n">
        <f aca="false">ABS(I202)/$P$3</f>
        <v>596.019</v>
      </c>
      <c r="V202" s="124" t="n">
        <f aca="false">ABS(J202)/$P$3</f>
        <v>407.169</v>
      </c>
      <c r="W202" s="124" t="n">
        <f aca="false">ABS(K202)/$P$3</f>
        <v>964.082</v>
      </c>
      <c r="X202" s="124" t="n">
        <f aca="false">ABS(L202)/$P$3</f>
        <v>0</v>
      </c>
      <c r="Y202" s="124" t="n">
        <f aca="false">ABS(M202)/$P$3</f>
        <v>62.164</v>
      </c>
      <c r="Z202" s="124" t="n">
        <f aca="false">ABS(N202)/$P$3</f>
        <v>969.167</v>
      </c>
    </row>
    <row r="203" customFormat="false" ht="12.75" hidden="true" customHeight="false" outlineLevel="0" collapsed="false">
      <c r="A203" s="120" t="n">
        <f aca="false">A202+1</f>
        <v>37089</v>
      </c>
      <c r="B203" s="131" t="str">
        <f aca="false">INDEX('Master Data'!$A$2:$B$8,MATCH(WEEKDAY('RAC V@r Total'!A203,3),'Master Data'!$A$2:$A$8,0),2)</f>
        <v>T</v>
      </c>
      <c r="D203" s="124" t="n">
        <v>-596328</v>
      </c>
      <c r="E203" s="124" t="n">
        <v>0</v>
      </c>
      <c r="F203" s="124" t="n">
        <v>0</v>
      </c>
      <c r="G203" s="124" t="n">
        <v>-394263</v>
      </c>
      <c r="H203" s="124" t="n">
        <v>-62085</v>
      </c>
      <c r="I203" s="124" t="n">
        <v>-596328</v>
      </c>
      <c r="J203" s="124" t="n">
        <v>-407727</v>
      </c>
      <c r="K203" s="124" t="n">
        <v>-965070</v>
      </c>
      <c r="L203" s="124" t="n">
        <v>0</v>
      </c>
      <c r="M203" s="124" t="n">
        <v>-62085</v>
      </c>
      <c r="N203" s="124" t="n">
        <v>-970127</v>
      </c>
      <c r="P203" s="124" t="n">
        <f aca="false">ABS(D203)/$P$3</f>
        <v>596.328</v>
      </c>
      <c r="Q203" s="124" t="n">
        <f aca="false">ABS(E203)/$P$3</f>
        <v>0</v>
      </c>
      <c r="R203" s="124" t="n">
        <f aca="false">ABS(F203)/$P$3</f>
        <v>0</v>
      </c>
      <c r="S203" s="124" t="n">
        <f aca="false">ABS(G203)/$P$3</f>
        <v>394.263</v>
      </c>
      <c r="T203" s="124" t="n">
        <f aca="false">ABS(H203)/$P$3</f>
        <v>62.085</v>
      </c>
      <c r="U203" s="124" t="n">
        <f aca="false">ABS(I203)/$P$3</f>
        <v>596.328</v>
      </c>
      <c r="V203" s="124" t="n">
        <f aca="false">ABS(J203)/$P$3</f>
        <v>407.727</v>
      </c>
      <c r="W203" s="124" t="n">
        <f aca="false">ABS(K203)/$P$3</f>
        <v>965.07</v>
      </c>
      <c r="X203" s="124" t="n">
        <f aca="false">ABS(L203)/$P$3</f>
        <v>0</v>
      </c>
      <c r="Y203" s="124" t="n">
        <f aca="false">ABS(M203)/$P$3</f>
        <v>62.085</v>
      </c>
      <c r="Z203" s="124" t="n">
        <f aca="false">ABS(N203)/$P$3</f>
        <v>970.127</v>
      </c>
    </row>
    <row r="204" customFormat="false" ht="12.75" hidden="true" customHeight="false" outlineLevel="0" collapsed="false">
      <c r="A204" s="120" t="n">
        <f aca="false">A203+1</f>
        <v>37090</v>
      </c>
      <c r="B204" s="131" t="str">
        <f aca="false">INDEX('Master Data'!$A$2:$B$8,MATCH(WEEKDAY('RAC V@r Total'!A204,3),'Master Data'!$A$2:$A$8,0),2)</f>
        <v>W</v>
      </c>
      <c r="D204" s="124" t="n">
        <v>-596636</v>
      </c>
      <c r="E204" s="124" t="n">
        <v>0</v>
      </c>
      <c r="F204" s="124" t="n">
        <v>0</v>
      </c>
      <c r="G204" s="124" t="n">
        <v>-394482</v>
      </c>
      <c r="H204" s="124" t="n">
        <v>-62614</v>
      </c>
      <c r="I204" s="124" t="n">
        <v>-596636</v>
      </c>
      <c r="J204" s="124" t="n">
        <v>-408063</v>
      </c>
      <c r="K204" s="124" t="n">
        <v>-965665</v>
      </c>
      <c r="L204" s="124" t="n">
        <v>0</v>
      </c>
      <c r="M204" s="124" t="n">
        <v>-62614</v>
      </c>
      <c r="N204" s="124" t="n">
        <v>-970766</v>
      </c>
      <c r="P204" s="124" t="n">
        <f aca="false">ABS(D204)/$P$3</f>
        <v>596.636</v>
      </c>
      <c r="Q204" s="124" t="n">
        <f aca="false">ABS(E204)/$P$3</f>
        <v>0</v>
      </c>
      <c r="R204" s="124" t="n">
        <f aca="false">ABS(F204)/$P$3</f>
        <v>0</v>
      </c>
      <c r="S204" s="124" t="n">
        <f aca="false">ABS(G204)/$P$3</f>
        <v>394.482</v>
      </c>
      <c r="T204" s="124" t="n">
        <f aca="false">ABS(H204)/$P$3</f>
        <v>62.614</v>
      </c>
      <c r="U204" s="124" t="n">
        <f aca="false">ABS(I204)/$P$3</f>
        <v>596.636</v>
      </c>
      <c r="V204" s="124" t="n">
        <f aca="false">ABS(J204)/$P$3</f>
        <v>408.063</v>
      </c>
      <c r="W204" s="124" t="n">
        <f aca="false">ABS(K204)/$P$3</f>
        <v>965.665</v>
      </c>
      <c r="X204" s="124" t="n">
        <f aca="false">ABS(L204)/$P$3</f>
        <v>0</v>
      </c>
      <c r="Y204" s="124" t="n">
        <f aca="false">ABS(M204)/$P$3</f>
        <v>62.614</v>
      </c>
      <c r="Z204" s="124" t="n">
        <f aca="false">ABS(N204)/$P$3</f>
        <v>970.766</v>
      </c>
    </row>
    <row r="205" customFormat="false" ht="12.75" hidden="true" customHeight="false" outlineLevel="0" collapsed="false">
      <c r="A205" s="120" t="n">
        <f aca="false">A204+1</f>
        <v>37091</v>
      </c>
      <c r="B205" s="131" t="str">
        <f aca="false">INDEX('Master Data'!$A$2:$B$8,MATCH(WEEKDAY('RAC V@r Total'!A205,3),'Master Data'!$A$2:$A$8,0),2)</f>
        <v>Th</v>
      </c>
      <c r="D205" s="124" t="n">
        <v>-596945</v>
      </c>
      <c r="E205" s="124" t="n">
        <v>0</v>
      </c>
      <c r="F205" s="124" t="n">
        <v>0</v>
      </c>
      <c r="G205" s="124" t="n">
        <v>-396062</v>
      </c>
      <c r="H205" s="124" t="n">
        <v>-62587</v>
      </c>
      <c r="I205" s="124" t="n">
        <v>-596945</v>
      </c>
      <c r="J205" s="124" t="n">
        <v>-409636</v>
      </c>
      <c r="K205" s="124" t="n">
        <v>-967767</v>
      </c>
      <c r="L205" s="124" t="n">
        <v>0</v>
      </c>
      <c r="M205" s="124" t="n">
        <v>-62587</v>
      </c>
      <c r="N205" s="124" t="n">
        <v>-972442</v>
      </c>
      <c r="P205" s="124" t="n">
        <f aca="false">ABS(D205)/$P$3</f>
        <v>596.945</v>
      </c>
      <c r="Q205" s="124" t="n">
        <f aca="false">ABS(E205)/$P$3</f>
        <v>0</v>
      </c>
      <c r="R205" s="124" t="n">
        <f aca="false">ABS(F205)/$P$3</f>
        <v>0</v>
      </c>
      <c r="S205" s="124" t="n">
        <f aca="false">ABS(G205)/$P$3</f>
        <v>396.062</v>
      </c>
      <c r="T205" s="124" t="n">
        <f aca="false">ABS(H205)/$P$3</f>
        <v>62.587</v>
      </c>
      <c r="U205" s="124" t="n">
        <f aca="false">ABS(I205)/$P$3</f>
        <v>596.945</v>
      </c>
      <c r="V205" s="124" t="n">
        <f aca="false">ABS(J205)/$P$3</f>
        <v>409.636</v>
      </c>
      <c r="W205" s="124" t="n">
        <f aca="false">ABS(K205)/$P$3</f>
        <v>967.767</v>
      </c>
      <c r="X205" s="124" t="n">
        <f aca="false">ABS(L205)/$P$3</f>
        <v>0</v>
      </c>
      <c r="Y205" s="124" t="n">
        <f aca="false">ABS(M205)/$P$3</f>
        <v>62.587</v>
      </c>
      <c r="Z205" s="124" t="n">
        <f aca="false">ABS(N205)/$P$3</f>
        <v>972.442</v>
      </c>
    </row>
    <row r="206" customFormat="false" ht="12.75" hidden="true" customHeight="false" outlineLevel="0" collapsed="false">
      <c r="A206" s="120" t="n">
        <f aca="false">A205+1</f>
        <v>37092</v>
      </c>
      <c r="B206" s="131" t="str">
        <f aca="false">INDEX('Master Data'!$A$2:$B$8,MATCH(WEEKDAY('RAC V@r Total'!A206,3),'Master Data'!$A$2:$A$8,0),2)</f>
        <v>F</v>
      </c>
      <c r="D206" s="124" t="n">
        <v>-597254</v>
      </c>
      <c r="E206" s="124" t="n">
        <v>0</v>
      </c>
      <c r="F206" s="124" t="n">
        <v>0</v>
      </c>
      <c r="G206" s="124" t="n">
        <v>-396111</v>
      </c>
      <c r="H206" s="124" t="n">
        <v>-62569</v>
      </c>
      <c r="I206" s="124" t="n">
        <v>-597254</v>
      </c>
      <c r="J206" s="124" t="n">
        <v>-409681</v>
      </c>
      <c r="K206" s="124" t="n">
        <v>-968175</v>
      </c>
      <c r="L206" s="124" t="n">
        <v>0</v>
      </c>
      <c r="M206" s="124" t="n">
        <v>-62569</v>
      </c>
      <c r="N206" s="124" t="n">
        <v>-973028</v>
      </c>
      <c r="P206" s="124" t="n">
        <f aca="false">ABS(D206)/$P$3</f>
        <v>597.254</v>
      </c>
      <c r="Q206" s="124" t="n">
        <f aca="false">ABS(E206)/$P$3</f>
        <v>0</v>
      </c>
      <c r="R206" s="124" t="n">
        <f aca="false">ABS(F206)/$P$3</f>
        <v>0</v>
      </c>
      <c r="S206" s="124" t="n">
        <f aca="false">ABS(G206)/$P$3</f>
        <v>396.111</v>
      </c>
      <c r="T206" s="124" t="n">
        <f aca="false">ABS(H206)/$P$3</f>
        <v>62.569</v>
      </c>
      <c r="U206" s="124" t="n">
        <f aca="false">ABS(I206)/$P$3</f>
        <v>597.254</v>
      </c>
      <c r="V206" s="124" t="n">
        <f aca="false">ABS(J206)/$P$3</f>
        <v>409.681</v>
      </c>
      <c r="W206" s="124" t="n">
        <f aca="false">ABS(K206)/$P$3</f>
        <v>968.175</v>
      </c>
      <c r="X206" s="124" t="n">
        <f aca="false">ABS(L206)/$P$3</f>
        <v>0</v>
      </c>
      <c r="Y206" s="124" t="n">
        <f aca="false">ABS(M206)/$P$3</f>
        <v>62.569</v>
      </c>
      <c r="Z206" s="124" t="n">
        <f aca="false">ABS(N206)/$P$3</f>
        <v>973.028</v>
      </c>
    </row>
    <row r="207" customFormat="false" ht="12.75" hidden="true" customHeight="false" outlineLevel="0" collapsed="false">
      <c r="A207" s="120" t="n">
        <f aca="false">A206+1</f>
        <v>37093</v>
      </c>
      <c r="B207" s="131" t="str">
        <f aca="false">INDEX('Master Data'!$A$2:$B$8,MATCH(WEEKDAY('RAC V@r Total'!A207,3),'Master Data'!$A$2:$A$8,0),2)</f>
        <v>Sa</v>
      </c>
      <c r="D207" s="124" t="n">
        <v>0</v>
      </c>
      <c r="E207" s="124" t="n">
        <v>0</v>
      </c>
      <c r="F207" s="124" t="n">
        <v>0</v>
      </c>
      <c r="G207" s="124" t="n">
        <v>0</v>
      </c>
      <c r="H207" s="124" t="n">
        <v>0</v>
      </c>
      <c r="I207" s="124" t="n">
        <v>0</v>
      </c>
      <c r="J207" s="124" t="n">
        <v>0</v>
      </c>
      <c r="K207" s="124" t="n">
        <v>0</v>
      </c>
      <c r="L207" s="124" t="n">
        <v>0</v>
      </c>
      <c r="M207" s="124" t="n">
        <v>0</v>
      </c>
      <c r="N207" s="124" t="n">
        <v>0</v>
      </c>
      <c r="P207" s="124" t="n">
        <f aca="false">ABS(D207)/$P$3</f>
        <v>0</v>
      </c>
      <c r="Q207" s="124" t="n">
        <f aca="false">ABS(E207)/$P$3</f>
        <v>0</v>
      </c>
      <c r="R207" s="124" t="n">
        <f aca="false">ABS(F207)/$P$3</f>
        <v>0</v>
      </c>
      <c r="S207" s="124" t="n">
        <f aca="false">ABS(G207)/$P$3</f>
        <v>0</v>
      </c>
      <c r="T207" s="124" t="n">
        <f aca="false">ABS(H207)/$P$3</f>
        <v>0</v>
      </c>
      <c r="U207" s="124" t="n">
        <f aca="false">ABS(I207)/$P$3</f>
        <v>0</v>
      </c>
      <c r="V207" s="124" t="n">
        <f aca="false">ABS(J207)/$P$3</f>
        <v>0</v>
      </c>
      <c r="W207" s="124" t="n">
        <f aca="false">ABS(K207)/$P$3</f>
        <v>0</v>
      </c>
      <c r="X207" s="124" t="n">
        <f aca="false">ABS(L207)/$P$3</f>
        <v>0</v>
      </c>
      <c r="Y207" s="124" t="n">
        <f aca="false">ABS(M207)/$P$3</f>
        <v>0</v>
      </c>
      <c r="Z207" s="124" t="n">
        <f aca="false">ABS(N207)/$P$3</f>
        <v>0</v>
      </c>
    </row>
    <row r="208" customFormat="false" ht="12.75" hidden="true" customHeight="false" outlineLevel="0" collapsed="false">
      <c r="A208" s="120" t="n">
        <f aca="false">A207+1</f>
        <v>37094</v>
      </c>
      <c r="B208" s="131" t="str">
        <f aca="false">INDEX('Master Data'!$A$2:$B$8,MATCH(WEEKDAY('RAC V@r Total'!A208,3),'Master Data'!$A$2:$A$8,0),2)</f>
        <v>Su</v>
      </c>
      <c r="D208" s="124" t="n">
        <v>0</v>
      </c>
      <c r="E208" s="124" t="n">
        <v>0</v>
      </c>
      <c r="F208" s="124" t="n">
        <v>0</v>
      </c>
      <c r="G208" s="124" t="n">
        <v>0</v>
      </c>
      <c r="H208" s="124" t="n">
        <v>0</v>
      </c>
      <c r="I208" s="124" t="n">
        <v>0</v>
      </c>
      <c r="J208" s="124" t="n">
        <v>0</v>
      </c>
      <c r="K208" s="124" t="n">
        <v>0</v>
      </c>
      <c r="L208" s="124" t="n">
        <v>0</v>
      </c>
      <c r="M208" s="124" t="n">
        <v>0</v>
      </c>
      <c r="N208" s="124" t="n">
        <v>0</v>
      </c>
      <c r="P208" s="124" t="n">
        <f aca="false">ABS(D208)/$P$3</f>
        <v>0</v>
      </c>
      <c r="Q208" s="124" t="n">
        <f aca="false">ABS(E208)/$P$3</f>
        <v>0</v>
      </c>
      <c r="R208" s="124" t="n">
        <f aca="false">ABS(F208)/$P$3</f>
        <v>0</v>
      </c>
      <c r="S208" s="124" t="n">
        <f aca="false">ABS(G208)/$P$3</f>
        <v>0</v>
      </c>
      <c r="T208" s="124" t="n">
        <f aca="false">ABS(H208)/$P$3</f>
        <v>0</v>
      </c>
      <c r="U208" s="124" t="n">
        <f aca="false">ABS(I208)/$P$3</f>
        <v>0</v>
      </c>
      <c r="V208" s="124" t="n">
        <f aca="false">ABS(J208)/$P$3</f>
        <v>0</v>
      </c>
      <c r="W208" s="124" t="n">
        <f aca="false">ABS(K208)/$P$3</f>
        <v>0</v>
      </c>
      <c r="X208" s="124" t="n">
        <f aca="false">ABS(L208)/$P$3</f>
        <v>0</v>
      </c>
      <c r="Y208" s="124" t="n">
        <f aca="false">ABS(M208)/$P$3</f>
        <v>0</v>
      </c>
      <c r="Z208" s="124" t="n">
        <f aca="false">ABS(N208)/$P$3</f>
        <v>0</v>
      </c>
    </row>
    <row r="209" customFormat="false" ht="12.75" hidden="true" customHeight="false" outlineLevel="0" collapsed="false">
      <c r="A209" s="120" t="n">
        <f aca="false">A208+1</f>
        <v>37095</v>
      </c>
      <c r="B209" s="131" t="str">
        <f aca="false">INDEX('Master Data'!$A$2:$B$8,MATCH(WEEKDAY('RAC V@r Total'!A209,3),'Master Data'!$A$2:$A$8,0),2)</f>
        <v>M</v>
      </c>
      <c r="D209" s="124" t="n">
        <v>-598182</v>
      </c>
      <c r="E209" s="124" t="n">
        <v>0</v>
      </c>
      <c r="F209" s="124" t="n">
        <v>0</v>
      </c>
      <c r="G209" s="124" t="n">
        <v>-396694</v>
      </c>
      <c r="H209" s="124" t="n">
        <v>-62683</v>
      </c>
      <c r="I209" s="124" t="n">
        <v>-598182</v>
      </c>
      <c r="J209" s="124" t="n">
        <v>-410288</v>
      </c>
      <c r="K209" s="124" t="n">
        <v>-969871</v>
      </c>
      <c r="L209" s="124" t="n">
        <v>0</v>
      </c>
      <c r="M209" s="124" t="n">
        <v>-62683</v>
      </c>
      <c r="N209" s="124" t="n">
        <v>-975047</v>
      </c>
      <c r="P209" s="124" t="n">
        <f aca="false">ABS(D209)/$P$3</f>
        <v>598.182</v>
      </c>
      <c r="Q209" s="124" t="n">
        <f aca="false">ABS(E209)/$P$3</f>
        <v>0</v>
      </c>
      <c r="R209" s="124" t="n">
        <f aca="false">ABS(F209)/$P$3</f>
        <v>0</v>
      </c>
      <c r="S209" s="124" t="n">
        <f aca="false">ABS(G209)/$P$3</f>
        <v>396.694</v>
      </c>
      <c r="T209" s="124" t="n">
        <f aca="false">ABS(H209)/$P$3</f>
        <v>62.683</v>
      </c>
      <c r="U209" s="124" t="n">
        <f aca="false">ABS(I209)/$P$3</f>
        <v>598.182</v>
      </c>
      <c r="V209" s="124" t="n">
        <f aca="false">ABS(J209)/$P$3</f>
        <v>410.288</v>
      </c>
      <c r="W209" s="124" t="n">
        <f aca="false">ABS(K209)/$P$3</f>
        <v>969.871</v>
      </c>
      <c r="X209" s="124" t="n">
        <f aca="false">ABS(L209)/$P$3</f>
        <v>0</v>
      </c>
      <c r="Y209" s="124" t="n">
        <f aca="false">ABS(M209)/$P$3</f>
        <v>62.683</v>
      </c>
      <c r="Z209" s="124" t="n">
        <f aca="false">ABS(N209)/$P$3</f>
        <v>975.047</v>
      </c>
    </row>
    <row r="210" customFormat="false" ht="12.75" hidden="true" customHeight="false" outlineLevel="0" collapsed="false">
      <c r="A210" s="120" t="n">
        <f aca="false">A209+1</f>
        <v>37096</v>
      </c>
      <c r="B210" s="131" t="str">
        <f aca="false">INDEX('Master Data'!$A$2:$B$8,MATCH(WEEKDAY('RAC V@r Total'!A210,3),'Master Data'!$A$2:$A$8,0),2)</f>
        <v>T</v>
      </c>
      <c r="D210" s="124" t="n">
        <v>-576826</v>
      </c>
      <c r="E210" s="124" t="n">
        <v>0</v>
      </c>
      <c r="F210" s="124" t="n">
        <v>0</v>
      </c>
      <c r="G210" s="124" t="n">
        <v>-397032</v>
      </c>
      <c r="H210" s="124" t="n">
        <v>-62723</v>
      </c>
      <c r="I210" s="124" t="n">
        <v>-576826</v>
      </c>
      <c r="J210" s="124" t="n">
        <v>-410560</v>
      </c>
      <c r="K210" s="124" t="n">
        <v>-948962</v>
      </c>
      <c r="L210" s="124" t="n">
        <v>0</v>
      </c>
      <c r="M210" s="124" t="n">
        <v>-62723</v>
      </c>
      <c r="N210" s="124" t="n">
        <v>-951125</v>
      </c>
      <c r="P210" s="124" t="n">
        <f aca="false">ABS(D210)/$P$3</f>
        <v>576.826</v>
      </c>
      <c r="Q210" s="124" t="n">
        <f aca="false">ABS(E210)/$P$3</f>
        <v>0</v>
      </c>
      <c r="R210" s="124" t="n">
        <f aca="false">ABS(F210)/$P$3</f>
        <v>0</v>
      </c>
      <c r="S210" s="124" t="n">
        <f aca="false">ABS(G210)/$P$3</f>
        <v>397.032</v>
      </c>
      <c r="T210" s="124" t="n">
        <f aca="false">ABS(H210)/$P$3</f>
        <v>62.723</v>
      </c>
      <c r="U210" s="124" t="n">
        <f aca="false">ABS(I210)/$P$3</f>
        <v>576.826</v>
      </c>
      <c r="V210" s="124" t="n">
        <f aca="false">ABS(J210)/$P$3</f>
        <v>410.56</v>
      </c>
      <c r="W210" s="124" t="n">
        <f aca="false">ABS(K210)/$P$3</f>
        <v>948.962</v>
      </c>
      <c r="X210" s="124" t="n">
        <f aca="false">ABS(L210)/$P$3</f>
        <v>0</v>
      </c>
      <c r="Y210" s="124" t="n">
        <f aca="false">ABS(M210)/$P$3</f>
        <v>62.723</v>
      </c>
      <c r="Z210" s="124" t="n">
        <f aca="false">ABS(N210)/$P$3</f>
        <v>951.125</v>
      </c>
    </row>
    <row r="211" customFormat="false" ht="12.75" hidden="true" customHeight="false" outlineLevel="0" collapsed="false">
      <c r="A211" s="120" t="n">
        <f aca="false">A210+1</f>
        <v>37097</v>
      </c>
      <c r="B211" s="131" t="str">
        <f aca="false">INDEX('Master Data'!$A$2:$B$8,MATCH(WEEKDAY('RAC V@r Total'!A211,3),'Master Data'!$A$2:$A$8,0),2)</f>
        <v>W</v>
      </c>
      <c r="D211" s="124" t="n">
        <v>-577121.74</v>
      </c>
      <c r="E211" s="124" t="n">
        <v>0</v>
      </c>
      <c r="F211" s="124" t="n">
        <v>0</v>
      </c>
      <c r="G211" s="124" t="n">
        <v>-430486.27</v>
      </c>
      <c r="H211" s="124" t="n">
        <v>-62478.58</v>
      </c>
      <c r="I211" s="124" t="n">
        <v>-577121.74</v>
      </c>
      <c r="J211" s="124" t="n">
        <v>-440955.08</v>
      </c>
      <c r="K211" s="124" t="n">
        <v>-981331.57</v>
      </c>
      <c r="L211" s="124" t="n">
        <v>0</v>
      </c>
      <c r="M211" s="124" t="n">
        <v>-62478.58</v>
      </c>
      <c r="N211" s="124" t="n">
        <v>-988949.34</v>
      </c>
      <c r="P211" s="124" t="n">
        <f aca="false">ABS(D211)/$P$3</f>
        <v>577.12174</v>
      </c>
      <c r="Q211" s="124" t="n">
        <f aca="false">ABS(E211)/$P$3</f>
        <v>0</v>
      </c>
      <c r="R211" s="124" t="n">
        <f aca="false">ABS(F211)/$P$3</f>
        <v>0</v>
      </c>
      <c r="S211" s="124" t="n">
        <f aca="false">ABS(G211)/$P$3</f>
        <v>430.48627</v>
      </c>
      <c r="T211" s="124" t="n">
        <f aca="false">ABS(H211)/$P$3</f>
        <v>62.47858</v>
      </c>
      <c r="U211" s="124" t="n">
        <f aca="false">ABS(I211)/$P$3</f>
        <v>577.12174</v>
      </c>
      <c r="V211" s="124" t="n">
        <f aca="false">ABS(J211)/$P$3</f>
        <v>440.95508</v>
      </c>
      <c r="W211" s="124" t="n">
        <f aca="false">ABS(K211)/$P$3</f>
        <v>981.33157</v>
      </c>
      <c r="X211" s="124" t="n">
        <f aca="false">ABS(L211)/$P$3</f>
        <v>0</v>
      </c>
      <c r="Y211" s="124" t="n">
        <f aca="false">ABS(M211)/$P$3</f>
        <v>62.47858</v>
      </c>
      <c r="Z211" s="124" t="n">
        <f aca="false">ABS(N211)/$P$3</f>
        <v>988.94934</v>
      </c>
    </row>
    <row r="212" customFormat="false" ht="12.75" hidden="true" customHeight="false" outlineLevel="0" collapsed="false">
      <c r="A212" s="120" t="n">
        <f aca="false">A211+1</f>
        <v>37098</v>
      </c>
      <c r="B212" s="131" t="str">
        <f aca="false">INDEX('Master Data'!$A$2:$B$8,MATCH(WEEKDAY('RAC V@r Total'!A212,3),'Master Data'!$A$2:$A$8,0),2)</f>
        <v>Th</v>
      </c>
      <c r="D212" s="124" t="n">
        <v>-577418</v>
      </c>
      <c r="E212" s="124" t="n">
        <v>0</v>
      </c>
      <c r="F212" s="124" t="n">
        <v>0</v>
      </c>
      <c r="G212" s="124" t="n">
        <v>-430378</v>
      </c>
      <c r="H212" s="124" t="n">
        <v>-62598</v>
      </c>
      <c r="I212" s="124" t="n">
        <v>-577418</v>
      </c>
      <c r="J212" s="124" t="n">
        <v>-440866</v>
      </c>
      <c r="K212" s="124" t="n">
        <v>-981628</v>
      </c>
      <c r="L212" s="124" t="n">
        <v>0</v>
      </c>
      <c r="M212" s="124" t="n">
        <v>-62598</v>
      </c>
      <c r="N212" s="124" t="n">
        <v>-989226</v>
      </c>
      <c r="P212" s="124" t="n">
        <f aca="false">ABS(D212)/$P$3</f>
        <v>577.418</v>
      </c>
      <c r="Q212" s="124" t="n">
        <f aca="false">ABS(E212)/$P$3</f>
        <v>0</v>
      </c>
      <c r="R212" s="124" t="n">
        <f aca="false">ABS(F212)/$P$3</f>
        <v>0</v>
      </c>
      <c r="S212" s="124" t="n">
        <f aca="false">ABS(G212)/$P$3</f>
        <v>430.378</v>
      </c>
      <c r="T212" s="124" t="n">
        <f aca="false">ABS(H212)/$P$3</f>
        <v>62.598</v>
      </c>
      <c r="U212" s="124" t="n">
        <f aca="false">ABS(I212)/$P$3</f>
        <v>577.418</v>
      </c>
      <c r="V212" s="124" t="n">
        <f aca="false">ABS(J212)/$P$3</f>
        <v>440.866</v>
      </c>
      <c r="W212" s="124" t="n">
        <f aca="false">ABS(K212)/$P$3</f>
        <v>981.628</v>
      </c>
      <c r="X212" s="124" t="n">
        <f aca="false">ABS(L212)/$P$3</f>
        <v>0</v>
      </c>
      <c r="Y212" s="124" t="n">
        <f aca="false">ABS(M212)/$P$3</f>
        <v>62.598</v>
      </c>
      <c r="Z212" s="124" t="n">
        <f aca="false">ABS(N212)/$P$3</f>
        <v>989.226</v>
      </c>
    </row>
    <row r="213" customFormat="false" ht="12.75" hidden="true" customHeight="false" outlineLevel="0" collapsed="false">
      <c r="A213" s="120" t="n">
        <f aca="false">A212+1</f>
        <v>37099</v>
      </c>
      <c r="B213" s="131" t="str">
        <f aca="false">INDEX('Master Data'!$A$2:$B$8,MATCH(WEEKDAY('RAC V@r Total'!A213,3),'Master Data'!$A$2:$A$8,0),2)</f>
        <v>F</v>
      </c>
      <c r="D213" s="124" t="n">
        <v>-577714</v>
      </c>
      <c r="E213" s="124" t="n">
        <v>0</v>
      </c>
      <c r="F213" s="124" t="n">
        <v>0</v>
      </c>
      <c r="G213" s="124" t="n">
        <v>-430639</v>
      </c>
      <c r="H213" s="124" t="n">
        <v>-62909</v>
      </c>
      <c r="I213" s="124" t="n">
        <v>-577714</v>
      </c>
      <c r="J213" s="124" t="n">
        <v>-441179</v>
      </c>
      <c r="K213" s="124" t="n">
        <v>-982161</v>
      </c>
      <c r="L213" s="124" t="n">
        <v>0</v>
      </c>
      <c r="M213" s="124" t="n">
        <v>-62909</v>
      </c>
      <c r="N213" s="124" t="n">
        <v>-989720</v>
      </c>
      <c r="P213" s="124" t="n">
        <f aca="false">ABS(D213)/$P$3</f>
        <v>577.714</v>
      </c>
      <c r="Q213" s="124" t="n">
        <f aca="false">ABS(E213)/$P$3</f>
        <v>0</v>
      </c>
      <c r="R213" s="124" t="n">
        <f aca="false">ABS(F213)/$P$3</f>
        <v>0</v>
      </c>
      <c r="S213" s="124" t="n">
        <f aca="false">ABS(G213)/$P$3</f>
        <v>430.639</v>
      </c>
      <c r="T213" s="124" t="n">
        <f aca="false">ABS(H213)/$P$3</f>
        <v>62.909</v>
      </c>
      <c r="U213" s="124" t="n">
        <f aca="false">ABS(I213)/$P$3</f>
        <v>577.714</v>
      </c>
      <c r="V213" s="124" t="n">
        <f aca="false">ABS(J213)/$P$3</f>
        <v>441.179</v>
      </c>
      <c r="W213" s="124" t="n">
        <f aca="false">ABS(K213)/$P$3</f>
        <v>982.161</v>
      </c>
      <c r="X213" s="124" t="n">
        <f aca="false">ABS(L213)/$P$3</f>
        <v>0</v>
      </c>
      <c r="Y213" s="124" t="n">
        <f aca="false">ABS(M213)/$P$3</f>
        <v>62.909</v>
      </c>
      <c r="Z213" s="124" t="n">
        <f aca="false">ABS(N213)/$P$3</f>
        <v>989.72</v>
      </c>
    </row>
    <row r="214" customFormat="false" ht="12.75" hidden="true" customHeight="false" outlineLevel="0" collapsed="false">
      <c r="A214" s="120" t="n">
        <f aca="false">A213+1</f>
        <v>37100</v>
      </c>
      <c r="B214" s="131" t="str">
        <f aca="false">INDEX('Master Data'!$A$2:$B$8,MATCH(WEEKDAY('RAC V@r Total'!A214,3),'Master Data'!$A$2:$A$8,0),2)</f>
        <v>Sa</v>
      </c>
      <c r="D214" s="124" t="n">
        <v>0</v>
      </c>
      <c r="E214" s="124" t="n">
        <v>0</v>
      </c>
      <c r="F214" s="124" t="n">
        <v>0</v>
      </c>
      <c r="G214" s="124" t="n">
        <v>0</v>
      </c>
      <c r="H214" s="124" t="n">
        <v>0</v>
      </c>
      <c r="I214" s="124" t="n">
        <v>0</v>
      </c>
      <c r="J214" s="124" t="n">
        <v>0</v>
      </c>
      <c r="K214" s="124" t="n">
        <v>0</v>
      </c>
      <c r="L214" s="124" t="n">
        <v>0</v>
      </c>
      <c r="M214" s="124" t="n">
        <v>0</v>
      </c>
      <c r="N214" s="124" t="n">
        <v>0</v>
      </c>
      <c r="P214" s="124" t="n">
        <f aca="false">ABS(D214)/$P$3</f>
        <v>0</v>
      </c>
      <c r="Q214" s="124" t="n">
        <f aca="false">ABS(E214)/$P$3</f>
        <v>0</v>
      </c>
      <c r="R214" s="124" t="n">
        <f aca="false">ABS(F214)/$P$3</f>
        <v>0</v>
      </c>
      <c r="S214" s="124" t="n">
        <f aca="false">ABS(G214)/$P$3</f>
        <v>0</v>
      </c>
      <c r="T214" s="124" t="n">
        <f aca="false">ABS(H214)/$P$3</f>
        <v>0</v>
      </c>
      <c r="U214" s="124" t="n">
        <f aca="false">ABS(I214)/$P$3</f>
        <v>0</v>
      </c>
      <c r="V214" s="124" t="n">
        <f aca="false">ABS(J214)/$P$3</f>
        <v>0</v>
      </c>
      <c r="W214" s="124" t="n">
        <f aca="false">ABS(K214)/$P$3</f>
        <v>0</v>
      </c>
      <c r="X214" s="124" t="n">
        <f aca="false">ABS(L214)/$P$3</f>
        <v>0</v>
      </c>
      <c r="Y214" s="124" t="n">
        <f aca="false">ABS(M214)/$P$3</f>
        <v>0</v>
      </c>
      <c r="Z214" s="124" t="n">
        <f aca="false">ABS(N214)/$P$3</f>
        <v>0</v>
      </c>
    </row>
    <row r="215" customFormat="false" ht="12.75" hidden="true" customHeight="false" outlineLevel="0" collapsed="false">
      <c r="A215" s="120" t="n">
        <f aca="false">A214+1</f>
        <v>37101</v>
      </c>
      <c r="B215" s="131" t="str">
        <f aca="false">INDEX('Master Data'!$A$2:$B$8,MATCH(WEEKDAY('RAC V@r Total'!A215,3),'Master Data'!$A$2:$A$8,0),2)</f>
        <v>Su</v>
      </c>
      <c r="D215" s="124" t="n">
        <v>0</v>
      </c>
      <c r="E215" s="124" t="n">
        <v>0</v>
      </c>
      <c r="F215" s="124" t="n">
        <v>0</v>
      </c>
      <c r="G215" s="124" t="n">
        <v>0</v>
      </c>
      <c r="H215" s="124" t="n">
        <v>0</v>
      </c>
      <c r="I215" s="124" t="n">
        <v>0</v>
      </c>
      <c r="J215" s="124" t="n">
        <v>0</v>
      </c>
      <c r="K215" s="124" t="n">
        <v>0</v>
      </c>
      <c r="L215" s="124" t="n">
        <v>0</v>
      </c>
      <c r="M215" s="124" t="n">
        <v>0</v>
      </c>
      <c r="N215" s="124" t="n">
        <v>0</v>
      </c>
      <c r="P215" s="124" t="n">
        <f aca="false">ABS(D215)/$P$3</f>
        <v>0</v>
      </c>
      <c r="Q215" s="124" t="n">
        <f aca="false">ABS(E215)/$P$3</f>
        <v>0</v>
      </c>
      <c r="R215" s="124" t="n">
        <f aca="false">ABS(F215)/$P$3</f>
        <v>0</v>
      </c>
      <c r="S215" s="124" t="n">
        <f aca="false">ABS(G215)/$P$3</f>
        <v>0</v>
      </c>
      <c r="T215" s="124" t="n">
        <f aca="false">ABS(H215)/$P$3</f>
        <v>0</v>
      </c>
      <c r="U215" s="124" t="n">
        <f aca="false">ABS(I215)/$P$3</f>
        <v>0</v>
      </c>
      <c r="V215" s="124" t="n">
        <f aca="false">ABS(J215)/$P$3</f>
        <v>0</v>
      </c>
      <c r="W215" s="124" t="n">
        <f aca="false">ABS(K215)/$P$3</f>
        <v>0</v>
      </c>
      <c r="X215" s="124" t="n">
        <f aca="false">ABS(L215)/$P$3</f>
        <v>0</v>
      </c>
      <c r="Y215" s="124" t="n">
        <f aca="false">ABS(M215)/$P$3</f>
        <v>0</v>
      </c>
      <c r="Z215" s="124" t="n">
        <f aca="false">ABS(N215)/$P$3</f>
        <v>0</v>
      </c>
    </row>
    <row r="216" customFormat="false" ht="12.75" hidden="true" customHeight="false" outlineLevel="0" collapsed="false">
      <c r="A216" s="120" t="n">
        <f aca="false">A215+1</f>
        <v>37102</v>
      </c>
      <c r="B216" s="131" t="str">
        <f aca="false">INDEX('Master Data'!$A$2:$B$8,MATCH(WEEKDAY('RAC V@r Total'!A216,3),'Master Data'!$A$2:$A$8,0),2)</f>
        <v>M</v>
      </c>
      <c r="D216" s="124" t="n">
        <v>-399197</v>
      </c>
      <c r="E216" s="124" t="n">
        <v>0</v>
      </c>
      <c r="F216" s="124" t="n">
        <v>0</v>
      </c>
      <c r="G216" s="124" t="n">
        <v>-431707</v>
      </c>
      <c r="H216" s="124" t="n">
        <v>-62975</v>
      </c>
      <c r="I216" s="124" t="n">
        <v>-399197</v>
      </c>
      <c r="J216" s="124" t="n">
        <v>-442258</v>
      </c>
      <c r="K216" s="124" t="n">
        <v>-809362</v>
      </c>
      <c r="L216" s="124" t="n">
        <v>0</v>
      </c>
      <c r="M216" s="124" t="n">
        <v>-62975</v>
      </c>
      <c r="N216" s="124" t="n">
        <v>-824508</v>
      </c>
      <c r="P216" s="124" t="n">
        <f aca="false">ABS(D216)/$P$3</f>
        <v>399.197</v>
      </c>
      <c r="Q216" s="124" t="n">
        <f aca="false">ABS(E216)/$P$3</f>
        <v>0</v>
      </c>
      <c r="R216" s="124" t="n">
        <f aca="false">ABS(F216)/$P$3</f>
        <v>0</v>
      </c>
      <c r="S216" s="124" t="n">
        <f aca="false">ABS(G216)/$P$3</f>
        <v>431.707</v>
      </c>
      <c r="T216" s="124" t="n">
        <f aca="false">ABS(H216)/$P$3</f>
        <v>62.975</v>
      </c>
      <c r="U216" s="124" t="n">
        <f aca="false">ABS(I216)/$P$3</f>
        <v>399.197</v>
      </c>
      <c r="V216" s="124" t="n">
        <f aca="false">ABS(J216)/$P$3</f>
        <v>442.258</v>
      </c>
      <c r="W216" s="124" t="n">
        <f aca="false">ABS(K216)/$P$3</f>
        <v>809.362</v>
      </c>
      <c r="X216" s="124" t="n">
        <f aca="false">ABS(L216)/$P$3</f>
        <v>0</v>
      </c>
      <c r="Y216" s="124" t="n">
        <f aca="false">ABS(M216)/$P$3</f>
        <v>62.975</v>
      </c>
      <c r="Z216" s="124" t="n">
        <f aca="false">ABS(N216)/$P$3</f>
        <v>824.508</v>
      </c>
    </row>
    <row r="217" customFormat="false" ht="12.75" hidden="false" customHeight="false" outlineLevel="0" collapsed="false">
      <c r="A217" s="120" t="n">
        <f aca="false">A216+1</f>
        <v>37103</v>
      </c>
      <c r="B217" s="131" t="str">
        <f aca="false">INDEX('Master Data'!$A$2:$B$8,MATCH(WEEKDAY('RAC V@r Total'!A217,3),'Master Data'!$A$2:$A$8,0),2)</f>
        <v>T</v>
      </c>
      <c r="D217" s="124" t="n">
        <v>-354782</v>
      </c>
      <c r="E217" s="124" t="n">
        <v>0</v>
      </c>
      <c r="F217" s="124" t="n">
        <v>0</v>
      </c>
      <c r="G217" s="124" t="n">
        <v>-431938</v>
      </c>
      <c r="H217" s="124" t="n">
        <v>-63835</v>
      </c>
      <c r="I217" s="124" t="n">
        <v>-354782</v>
      </c>
      <c r="J217" s="124" t="n">
        <v>-442546</v>
      </c>
      <c r="K217" s="124" t="n">
        <v>-776916</v>
      </c>
      <c r="L217" s="124" t="n">
        <v>0</v>
      </c>
      <c r="M217" s="124" t="n">
        <v>-63835</v>
      </c>
      <c r="N217" s="124" t="n">
        <v>-784534</v>
      </c>
      <c r="P217" s="124" t="n">
        <f aca="false">ABS(D217)/$P$3</f>
        <v>354.782</v>
      </c>
      <c r="Q217" s="124" t="n">
        <f aca="false">ABS(E217)/$P$3</f>
        <v>0</v>
      </c>
      <c r="R217" s="124" t="n">
        <f aca="false">ABS(F217)/$P$3</f>
        <v>0</v>
      </c>
      <c r="S217" s="124" t="n">
        <f aca="false">ABS(G217)/$P$3</f>
        <v>431.938</v>
      </c>
      <c r="T217" s="124" t="n">
        <f aca="false">ABS(H217)/$P$3</f>
        <v>63.835</v>
      </c>
      <c r="U217" s="124" t="n">
        <f aca="false">ABS(I217)/$P$3</f>
        <v>354.782</v>
      </c>
      <c r="V217" s="124" t="n">
        <f aca="false">ABS(J217)/$P$3</f>
        <v>442.546</v>
      </c>
      <c r="W217" s="124" t="n">
        <f aca="false">ABS(K217)/$P$3</f>
        <v>776.916</v>
      </c>
      <c r="X217" s="124" t="n">
        <f aca="false">ABS(L217)/$P$3</f>
        <v>0</v>
      </c>
      <c r="Y217" s="124" t="n">
        <f aca="false">ABS(M217)/$P$3</f>
        <v>63.835</v>
      </c>
      <c r="Z217" s="124" t="n">
        <f aca="false">ABS(N217)/$P$3</f>
        <v>784.534</v>
      </c>
    </row>
    <row r="218" customFormat="false" ht="12.75" hidden="true" customHeight="false" outlineLevel="0" collapsed="false">
      <c r="A218" s="120" t="n">
        <f aca="false">A217+1</f>
        <v>37104</v>
      </c>
      <c r="B218" s="131" t="str">
        <f aca="false">INDEX('Master Data'!$A$2:$B$8,MATCH(WEEKDAY('RAC V@r Total'!A218,3),'Master Data'!$A$2:$A$8,0),2)</f>
        <v>W</v>
      </c>
      <c r="D218" s="124" t="n">
        <v>-345509</v>
      </c>
      <c r="E218" s="124" t="n">
        <v>0</v>
      </c>
      <c r="F218" s="124" t="n">
        <v>0</v>
      </c>
      <c r="G218" s="124" t="n">
        <v>-425985</v>
      </c>
      <c r="H218" s="124" t="n">
        <v>-84928</v>
      </c>
      <c r="I218" s="124" t="n">
        <v>-345509</v>
      </c>
      <c r="J218" s="124" t="n">
        <v>-439168</v>
      </c>
      <c r="K218" s="124" t="n">
        <v>-778349</v>
      </c>
      <c r="L218" s="124" t="n">
        <v>0</v>
      </c>
      <c r="M218" s="124" t="n">
        <v>-84928</v>
      </c>
      <c r="N218" s="124" t="n">
        <v>-779188</v>
      </c>
      <c r="P218" s="124" t="n">
        <f aca="false">ABS(D218)/$P$3</f>
        <v>345.509</v>
      </c>
      <c r="Q218" s="124" t="n">
        <f aca="false">ABS(E218)/$P$3</f>
        <v>0</v>
      </c>
      <c r="R218" s="124" t="n">
        <f aca="false">ABS(F218)/$P$3</f>
        <v>0</v>
      </c>
      <c r="S218" s="124" t="n">
        <f aca="false">ABS(G218)/$P$3</f>
        <v>425.985</v>
      </c>
      <c r="T218" s="124" t="n">
        <f aca="false">ABS(H218)/$P$3</f>
        <v>84.928</v>
      </c>
      <c r="U218" s="124" t="n">
        <f aca="false">ABS(I218)/$P$3</f>
        <v>345.509</v>
      </c>
      <c r="V218" s="124" t="n">
        <f aca="false">ABS(J218)/$P$3</f>
        <v>439.168</v>
      </c>
      <c r="W218" s="124" t="n">
        <f aca="false">ABS(K218)/$P$3</f>
        <v>778.349</v>
      </c>
      <c r="X218" s="124" t="n">
        <f aca="false">ABS(L218)/$P$3</f>
        <v>0</v>
      </c>
      <c r="Y218" s="124" t="n">
        <f aca="false">ABS(M218)/$P$3</f>
        <v>84.928</v>
      </c>
      <c r="Z218" s="124" t="n">
        <f aca="false">ABS(N218)/$P$3</f>
        <v>779.188</v>
      </c>
    </row>
    <row r="219" customFormat="false" ht="12.75" hidden="true" customHeight="false" outlineLevel="0" collapsed="false">
      <c r="A219" s="120" t="n">
        <f aca="false">A218+1</f>
        <v>37105</v>
      </c>
      <c r="B219" s="131" t="str">
        <f aca="false">INDEX('Master Data'!$A$2:$B$8,MATCH(WEEKDAY('RAC V@r Total'!A219,3),'Master Data'!$A$2:$A$8,0),2)</f>
        <v>Th</v>
      </c>
      <c r="D219" s="124" t="n">
        <v>-343755.54</v>
      </c>
      <c r="E219" s="124" t="n">
        <v>0</v>
      </c>
      <c r="F219" s="124" t="n">
        <v>0</v>
      </c>
      <c r="G219" s="124" t="n">
        <v>-425043.02</v>
      </c>
      <c r="H219" s="124" t="n">
        <v>-99828</v>
      </c>
      <c r="I219" s="124" t="n">
        <v>-343755.5</v>
      </c>
      <c r="J219" s="124" t="n">
        <v>-425043.02</v>
      </c>
      <c r="K219" s="124" t="n">
        <v>-775467.84</v>
      </c>
      <c r="L219" s="124" t="n">
        <v>0</v>
      </c>
      <c r="M219" s="124" t="n">
        <v>-84476.588</v>
      </c>
      <c r="N219" s="124" t="n">
        <v>-776061.69</v>
      </c>
      <c r="P219" s="124" t="n">
        <f aca="false">ABS(D219)/$P$3</f>
        <v>343.75554</v>
      </c>
      <c r="Q219" s="124" t="n">
        <f aca="false">ABS(E219)/$P$3</f>
        <v>0</v>
      </c>
      <c r="R219" s="124" t="n">
        <f aca="false">ABS(F219)/$P$3</f>
        <v>0</v>
      </c>
      <c r="S219" s="124" t="n">
        <f aca="false">ABS(G219)/$P$3</f>
        <v>425.04302</v>
      </c>
      <c r="T219" s="124" t="n">
        <f aca="false">ABS(H219)/$P$3</f>
        <v>99.828</v>
      </c>
      <c r="U219" s="124" t="n">
        <f aca="false">ABS(I219)/$P$3</f>
        <v>343.7555</v>
      </c>
      <c r="V219" s="124" t="n">
        <f aca="false">ABS(J219)/$P$3</f>
        <v>425.04302</v>
      </c>
      <c r="W219" s="124" t="n">
        <f aca="false">ABS(K219)/$P$3</f>
        <v>775.46784</v>
      </c>
      <c r="X219" s="124" t="n">
        <f aca="false">ABS(L219)/$P$3</f>
        <v>0</v>
      </c>
      <c r="Y219" s="124" t="n">
        <f aca="false">ABS(M219)/$P$3</f>
        <v>84.476588</v>
      </c>
      <c r="Z219" s="124" t="n">
        <f aca="false">ABS(N219)/$P$3</f>
        <v>776.06169</v>
      </c>
    </row>
    <row r="220" customFormat="false" ht="12.75" hidden="true" customHeight="false" outlineLevel="0" collapsed="false">
      <c r="A220" s="120" t="n">
        <f aca="false">A219+1</f>
        <v>37106</v>
      </c>
      <c r="B220" s="131" t="str">
        <f aca="false">INDEX('Master Data'!$A$2:$B$8,MATCH(WEEKDAY('RAC V@r Total'!A220,3),'Master Data'!$A$2:$A$8,0),2)</f>
        <v>F</v>
      </c>
      <c r="D220" s="124" t="n">
        <v>-343953</v>
      </c>
      <c r="E220" s="124" t="n">
        <v>0</v>
      </c>
      <c r="F220" s="124" t="n">
        <v>0</v>
      </c>
      <c r="G220" s="124" t="n">
        <v>-425181</v>
      </c>
      <c r="H220" s="124" t="n">
        <v>-84308</v>
      </c>
      <c r="I220" s="124" t="n">
        <v>-343953</v>
      </c>
      <c r="J220" s="124" t="n">
        <v>-438412</v>
      </c>
      <c r="K220" s="124" t="n">
        <v>-775717</v>
      </c>
      <c r="L220" s="124" t="n">
        <v>0</v>
      </c>
      <c r="M220" s="124" t="n">
        <v>-84308</v>
      </c>
      <c r="N220" s="124" t="n">
        <v>-776263</v>
      </c>
      <c r="P220" s="124" t="n">
        <f aca="false">ABS(D220)/$P$3</f>
        <v>343.953</v>
      </c>
      <c r="Q220" s="124" t="n">
        <f aca="false">ABS(E220)/$P$3</f>
        <v>0</v>
      </c>
      <c r="R220" s="124" t="n">
        <f aca="false">ABS(F220)/$P$3</f>
        <v>0</v>
      </c>
      <c r="S220" s="124" t="n">
        <f aca="false">ABS(G220)/$P$3</f>
        <v>425.181</v>
      </c>
      <c r="T220" s="124" t="n">
        <f aca="false">ABS(H220)/$P$3</f>
        <v>84.308</v>
      </c>
      <c r="U220" s="124" t="n">
        <f aca="false">ABS(I220)/$P$3</f>
        <v>343.953</v>
      </c>
      <c r="V220" s="124" t="n">
        <f aca="false">ABS(J220)/$P$3</f>
        <v>438.412</v>
      </c>
      <c r="W220" s="124" t="n">
        <f aca="false">ABS(K220)/$P$3</f>
        <v>775.717</v>
      </c>
      <c r="X220" s="124" t="n">
        <f aca="false">ABS(L220)/$P$3</f>
        <v>0</v>
      </c>
      <c r="Y220" s="124" t="n">
        <f aca="false">ABS(M220)/$P$3</f>
        <v>84.308</v>
      </c>
      <c r="Z220" s="124" t="n">
        <f aca="false">ABS(N220)/$P$3</f>
        <v>776.263</v>
      </c>
    </row>
    <row r="221" customFormat="false" ht="12.75" hidden="true" customHeight="false" outlineLevel="0" collapsed="false">
      <c r="A221" s="120" t="n">
        <f aca="false">A220+1</f>
        <v>37107</v>
      </c>
      <c r="B221" s="131" t="str">
        <f aca="false">INDEX('Master Data'!$A$2:$B$8,MATCH(WEEKDAY('RAC V@r Total'!A221,3),'Master Data'!$A$2:$A$8,0),2)</f>
        <v>Sa</v>
      </c>
      <c r="D221" s="124" t="n">
        <v>0</v>
      </c>
      <c r="E221" s="124" t="n">
        <v>0</v>
      </c>
      <c r="F221" s="124" t="n">
        <v>0</v>
      </c>
      <c r="G221" s="124" t="n">
        <v>0</v>
      </c>
      <c r="H221" s="124" t="n">
        <v>0</v>
      </c>
      <c r="I221" s="124" t="n">
        <v>0</v>
      </c>
      <c r="J221" s="124" t="n">
        <v>0</v>
      </c>
      <c r="K221" s="124" t="n">
        <v>0</v>
      </c>
      <c r="L221" s="124" t="n">
        <v>0</v>
      </c>
      <c r="M221" s="124" t="n">
        <v>0</v>
      </c>
      <c r="N221" s="124" t="n">
        <v>0</v>
      </c>
      <c r="P221" s="124" t="n">
        <f aca="false">ABS(D221)/$P$3</f>
        <v>0</v>
      </c>
      <c r="Q221" s="124" t="n">
        <f aca="false">ABS(E221)/$P$3</f>
        <v>0</v>
      </c>
      <c r="R221" s="124" t="n">
        <f aca="false">ABS(F221)/$P$3</f>
        <v>0</v>
      </c>
      <c r="S221" s="124" t="n">
        <f aca="false">ABS(G221)/$P$3</f>
        <v>0</v>
      </c>
      <c r="T221" s="124" t="n">
        <f aca="false">ABS(H221)/$P$3</f>
        <v>0</v>
      </c>
      <c r="U221" s="124" t="n">
        <f aca="false">ABS(I221)/$P$3</f>
        <v>0</v>
      </c>
      <c r="V221" s="124" t="n">
        <f aca="false">ABS(J221)/$P$3</f>
        <v>0</v>
      </c>
      <c r="W221" s="124" t="n">
        <f aca="false">ABS(K221)/$P$3</f>
        <v>0</v>
      </c>
      <c r="X221" s="124" t="n">
        <f aca="false">ABS(L221)/$P$3</f>
        <v>0</v>
      </c>
      <c r="Y221" s="124" t="n">
        <f aca="false">ABS(M221)/$P$3</f>
        <v>0</v>
      </c>
      <c r="Z221" s="124" t="n">
        <f aca="false">ABS(N221)/$P$3</f>
        <v>0</v>
      </c>
    </row>
    <row r="222" customFormat="false" ht="12.75" hidden="true" customHeight="false" outlineLevel="0" collapsed="false">
      <c r="A222" s="120" t="n">
        <f aca="false">A221+1</f>
        <v>37108</v>
      </c>
      <c r="B222" s="131" t="str">
        <f aca="false">INDEX('Master Data'!$A$2:$B$8,MATCH(WEEKDAY('RAC V@r Total'!A222,3),'Master Data'!$A$2:$A$8,0),2)</f>
        <v>Su</v>
      </c>
      <c r="D222" s="124" t="n">
        <v>0</v>
      </c>
      <c r="E222" s="124" t="n">
        <v>0</v>
      </c>
      <c r="F222" s="124" t="n">
        <v>0</v>
      </c>
      <c r="G222" s="124" t="n">
        <v>0</v>
      </c>
      <c r="H222" s="124" t="n">
        <v>0</v>
      </c>
      <c r="I222" s="124" t="n">
        <v>0</v>
      </c>
      <c r="J222" s="124" t="n">
        <v>0</v>
      </c>
      <c r="K222" s="124" t="n">
        <v>0</v>
      </c>
      <c r="L222" s="124" t="n">
        <v>0</v>
      </c>
      <c r="M222" s="124" t="n">
        <v>0</v>
      </c>
      <c r="N222" s="124" t="n">
        <v>0</v>
      </c>
      <c r="P222" s="124" t="n">
        <f aca="false">ABS(D222)/$P$3</f>
        <v>0</v>
      </c>
      <c r="Q222" s="124" t="n">
        <f aca="false">ABS(E222)/$P$3</f>
        <v>0</v>
      </c>
      <c r="R222" s="124" t="n">
        <f aca="false">ABS(F222)/$P$3</f>
        <v>0</v>
      </c>
      <c r="S222" s="124" t="n">
        <f aca="false">ABS(G222)/$P$3</f>
        <v>0</v>
      </c>
      <c r="T222" s="124" t="n">
        <f aca="false">ABS(H222)/$P$3</f>
        <v>0</v>
      </c>
      <c r="U222" s="124" t="n">
        <f aca="false">ABS(I222)/$P$3</f>
        <v>0</v>
      </c>
      <c r="V222" s="124" t="n">
        <f aca="false">ABS(J222)/$P$3</f>
        <v>0</v>
      </c>
      <c r="W222" s="124" t="n">
        <f aca="false">ABS(K222)/$P$3</f>
        <v>0</v>
      </c>
      <c r="X222" s="124" t="n">
        <f aca="false">ABS(L222)/$P$3</f>
        <v>0</v>
      </c>
      <c r="Y222" s="124" t="n">
        <f aca="false">ABS(M222)/$P$3</f>
        <v>0</v>
      </c>
      <c r="Z222" s="124" t="n">
        <f aca="false">ABS(N222)/$P$3</f>
        <v>0</v>
      </c>
    </row>
    <row r="223" customFormat="false" ht="12.75" hidden="true" customHeight="false" outlineLevel="0" collapsed="false">
      <c r="A223" s="120" t="n">
        <f aca="false">A222+1</f>
        <v>37109</v>
      </c>
      <c r="B223" s="131" t="str">
        <f aca="false">INDEX('Master Data'!$A$2:$B$8,MATCH(WEEKDAY('RAC V@r Total'!A223,3),'Master Data'!$A$2:$A$8,0),2)</f>
        <v>M</v>
      </c>
      <c r="D223" s="124" t="n">
        <v>-344546</v>
      </c>
      <c r="E223" s="124" t="n">
        <v>0</v>
      </c>
      <c r="F223" s="124" t="n">
        <v>0</v>
      </c>
      <c r="G223" s="124" t="n">
        <v>-425186</v>
      </c>
      <c r="H223" s="124" t="n">
        <v>-84426</v>
      </c>
      <c r="I223" s="124" t="n">
        <v>-344546</v>
      </c>
      <c r="J223" s="124" t="n">
        <v>-437948</v>
      </c>
      <c r="K223" s="124" t="n">
        <v>-775886</v>
      </c>
      <c r="L223" s="124" t="n">
        <v>0</v>
      </c>
      <c r="M223" s="124" t="n">
        <v>-84426</v>
      </c>
      <c r="N223" s="124" t="n">
        <v>-776501</v>
      </c>
      <c r="P223" s="124" t="n">
        <f aca="false">ABS(D223)/$P$3</f>
        <v>344.546</v>
      </c>
      <c r="Q223" s="124" t="n">
        <f aca="false">ABS(E223)/$P$3</f>
        <v>0</v>
      </c>
      <c r="R223" s="124" t="n">
        <f aca="false">ABS(F223)/$P$3</f>
        <v>0</v>
      </c>
      <c r="S223" s="124" t="n">
        <f aca="false">ABS(G223)/$P$3</f>
        <v>425.186</v>
      </c>
      <c r="T223" s="124" t="n">
        <f aca="false">ABS(H223)/$P$3</f>
        <v>84.426</v>
      </c>
      <c r="U223" s="124" t="n">
        <f aca="false">ABS(I223)/$P$3</f>
        <v>344.546</v>
      </c>
      <c r="V223" s="124" t="n">
        <f aca="false">ABS(J223)/$P$3</f>
        <v>437.948</v>
      </c>
      <c r="W223" s="124" t="n">
        <f aca="false">ABS(K223)/$P$3</f>
        <v>775.886</v>
      </c>
      <c r="X223" s="124" t="n">
        <f aca="false">ABS(L223)/$P$3</f>
        <v>0</v>
      </c>
      <c r="Y223" s="124" t="n">
        <f aca="false">ABS(M223)/$P$3</f>
        <v>84.426</v>
      </c>
      <c r="Z223" s="124" t="n">
        <f aca="false">ABS(N223)/$P$3</f>
        <v>776.501</v>
      </c>
    </row>
    <row r="224" customFormat="false" ht="12.75" hidden="true" customHeight="false" outlineLevel="0" collapsed="false">
      <c r="A224" s="120" t="n">
        <f aca="false">A223+1</f>
        <v>37110</v>
      </c>
      <c r="B224" s="131" t="str">
        <f aca="false">INDEX('Master Data'!$A$2:$B$8,MATCH(WEEKDAY('RAC V@r Total'!A224,3),'Master Data'!$A$2:$A$8,0),2)</f>
        <v>T</v>
      </c>
      <c r="D224" s="124" t="n">
        <v>-344744</v>
      </c>
      <c r="E224" s="124" t="n">
        <v>0</v>
      </c>
      <c r="F224" s="124" t="n">
        <v>0</v>
      </c>
      <c r="G224" s="124" t="n">
        <v>-425389</v>
      </c>
      <c r="H224" s="124" t="n">
        <v>-84414</v>
      </c>
      <c r="I224" s="124" t="n">
        <v>-344744</v>
      </c>
      <c r="J224" s="124" t="n">
        <v>-437940</v>
      </c>
      <c r="K224" s="124" t="n">
        <v>-776186</v>
      </c>
      <c r="L224" s="124" t="n">
        <v>0</v>
      </c>
      <c r="M224" s="124" t="n">
        <v>-84414</v>
      </c>
      <c r="N224" s="124" t="n">
        <v>-776720</v>
      </c>
      <c r="P224" s="124" t="n">
        <f aca="false">ABS(D224)/$P$3</f>
        <v>344.744</v>
      </c>
      <c r="Q224" s="124" t="n">
        <f aca="false">ABS(E224)/$P$3</f>
        <v>0</v>
      </c>
      <c r="R224" s="124" t="n">
        <f aca="false">ABS(F224)/$P$3</f>
        <v>0</v>
      </c>
      <c r="S224" s="124" t="n">
        <f aca="false">ABS(G224)/$P$3</f>
        <v>425.389</v>
      </c>
      <c r="T224" s="124" t="n">
        <f aca="false">ABS(H224)/$P$3</f>
        <v>84.414</v>
      </c>
      <c r="U224" s="124" t="n">
        <f aca="false">ABS(I224)/$P$3</f>
        <v>344.744</v>
      </c>
      <c r="V224" s="124" t="n">
        <f aca="false">ABS(J224)/$P$3</f>
        <v>437.94</v>
      </c>
      <c r="W224" s="124" t="n">
        <f aca="false">ABS(K224)/$P$3</f>
        <v>776.186</v>
      </c>
      <c r="X224" s="124" t="n">
        <f aca="false">ABS(L224)/$P$3</f>
        <v>0</v>
      </c>
      <c r="Y224" s="124" t="n">
        <f aca="false">ABS(M224)/$P$3</f>
        <v>84.414</v>
      </c>
      <c r="Z224" s="124" t="n">
        <f aca="false">ABS(N224)/$P$3</f>
        <v>776.72</v>
      </c>
    </row>
    <row r="225" customFormat="false" ht="12.75" hidden="true" customHeight="false" outlineLevel="0" collapsed="false">
      <c r="A225" s="120" t="n">
        <f aca="false">A224+1</f>
        <v>37111</v>
      </c>
      <c r="B225" s="131" t="str">
        <f aca="false">INDEX('Master Data'!$A$2:$B$8,MATCH(WEEKDAY('RAC V@r Total'!A225,3),'Master Data'!$A$2:$A$8,0),2)</f>
        <v>W</v>
      </c>
      <c r="D225" s="124" t="n">
        <v>-67060</v>
      </c>
      <c r="E225" s="124" t="n">
        <v>0</v>
      </c>
      <c r="F225" s="124" t="n">
        <v>0</v>
      </c>
      <c r="G225" s="124" t="n">
        <v>-425366</v>
      </c>
      <c r="H225" s="124" t="n">
        <v>-85183</v>
      </c>
      <c r="I225" s="124" t="n">
        <v>-67060</v>
      </c>
      <c r="J225" s="124" t="n">
        <v>-437790</v>
      </c>
      <c r="K225" s="124" t="n">
        <v>-467382</v>
      </c>
      <c r="L225" s="124" t="n">
        <v>0</v>
      </c>
      <c r="M225" s="124" t="n">
        <v>-85183</v>
      </c>
      <c r="N225" s="124" t="n">
        <v>-475870</v>
      </c>
      <c r="P225" s="124" t="n">
        <f aca="false">ABS(D225)/$P$3</f>
        <v>67.06</v>
      </c>
      <c r="Q225" s="124" t="n">
        <f aca="false">ABS(E225)/$P$3</f>
        <v>0</v>
      </c>
      <c r="R225" s="124" t="n">
        <f aca="false">ABS(F225)/$P$3</f>
        <v>0</v>
      </c>
      <c r="S225" s="124" t="n">
        <f aca="false">ABS(G225)/$P$3</f>
        <v>425.366</v>
      </c>
      <c r="T225" s="124" t="n">
        <f aca="false">ABS(H225)/$P$3</f>
        <v>85.183</v>
      </c>
      <c r="U225" s="124" t="n">
        <f aca="false">ABS(I225)/$P$3</f>
        <v>67.06</v>
      </c>
      <c r="V225" s="124" t="n">
        <f aca="false">ABS(J225)/$P$3</f>
        <v>437.79</v>
      </c>
      <c r="W225" s="124" t="n">
        <f aca="false">ABS(K225)/$P$3</f>
        <v>467.382</v>
      </c>
      <c r="X225" s="124" t="n">
        <f aca="false">ABS(L225)/$P$3</f>
        <v>0</v>
      </c>
      <c r="Y225" s="124" t="n">
        <f aca="false">ABS(M225)/$P$3</f>
        <v>85.183</v>
      </c>
      <c r="Z225" s="124" t="n">
        <f aca="false">ABS(N225)/$P$3</f>
        <v>475.87</v>
      </c>
    </row>
    <row r="226" customFormat="false" ht="12.75" hidden="true" customHeight="false" outlineLevel="0" collapsed="false">
      <c r="A226" s="120" t="n">
        <f aca="false">A225+1</f>
        <v>37112</v>
      </c>
      <c r="B226" s="131" t="str">
        <f aca="false">INDEX('Master Data'!$A$2:$B$8,MATCH(WEEKDAY('RAC V@r Total'!A226,3),'Master Data'!$A$2:$A$8,0),2)</f>
        <v>Th</v>
      </c>
      <c r="D226" s="124" t="n">
        <v>-67102</v>
      </c>
      <c r="E226" s="124" t="n">
        <v>0</v>
      </c>
      <c r="F226" s="124" t="n">
        <v>0</v>
      </c>
      <c r="G226" s="124" t="n">
        <v>-426295</v>
      </c>
      <c r="H226" s="124" t="n">
        <v>-84867</v>
      </c>
      <c r="I226" s="124" t="n">
        <v>-67102</v>
      </c>
      <c r="J226" s="124" t="n">
        <v>-438303</v>
      </c>
      <c r="K226" s="124" t="n">
        <v>-468142</v>
      </c>
      <c r="L226" s="124" t="n">
        <v>0</v>
      </c>
      <c r="M226" s="124" t="n">
        <v>-84867</v>
      </c>
      <c r="N226" s="124" t="n">
        <v>-476628</v>
      </c>
      <c r="P226" s="124" t="n">
        <f aca="false">ABS(D226)/$P$3</f>
        <v>67.102</v>
      </c>
      <c r="Q226" s="124" t="n">
        <f aca="false">ABS(E226)/$P$3</f>
        <v>0</v>
      </c>
      <c r="R226" s="124" t="n">
        <f aca="false">ABS(F226)/$P$3</f>
        <v>0</v>
      </c>
      <c r="S226" s="124" t="n">
        <f aca="false">ABS(G226)/$P$3</f>
        <v>426.295</v>
      </c>
      <c r="T226" s="124" t="n">
        <f aca="false">ABS(H226)/$P$3</f>
        <v>84.867</v>
      </c>
      <c r="U226" s="124" t="n">
        <f aca="false">ABS(I226)/$P$3</f>
        <v>67.102</v>
      </c>
      <c r="V226" s="124" t="n">
        <f aca="false">ABS(J226)/$P$3</f>
        <v>438.303</v>
      </c>
      <c r="W226" s="124" t="n">
        <f aca="false">ABS(K226)/$P$3</f>
        <v>468.142</v>
      </c>
      <c r="X226" s="124" t="n">
        <f aca="false">ABS(L226)/$P$3</f>
        <v>0</v>
      </c>
      <c r="Y226" s="124" t="n">
        <f aca="false">ABS(M226)/$P$3</f>
        <v>84.867</v>
      </c>
      <c r="Z226" s="124" t="n">
        <f aca="false">ABS(N226)/$P$3</f>
        <v>476.628</v>
      </c>
    </row>
    <row r="227" customFormat="false" ht="12.75" hidden="true" customHeight="false" outlineLevel="0" collapsed="false">
      <c r="A227" s="120" t="n">
        <f aca="false">A226+1</f>
        <v>37113</v>
      </c>
      <c r="B227" s="131" t="str">
        <f aca="false">INDEX('Master Data'!$A$2:$B$8,MATCH(WEEKDAY('RAC V@r Total'!A227,3),'Master Data'!$A$2:$A$8,0),2)</f>
        <v>F</v>
      </c>
      <c r="D227" s="124" t="n">
        <v>-67145</v>
      </c>
      <c r="E227" s="124" t="n">
        <v>0</v>
      </c>
      <c r="F227" s="124" t="n">
        <v>0</v>
      </c>
      <c r="G227" s="124" t="n">
        <v>-425539</v>
      </c>
      <c r="H227" s="124" t="n">
        <v>-85061</v>
      </c>
      <c r="I227" s="124" t="n">
        <v>-67145</v>
      </c>
      <c r="J227" s="124" t="n">
        <v>-436362</v>
      </c>
      <c r="K227" s="124" t="n">
        <v>-467034</v>
      </c>
      <c r="L227" s="124" t="n">
        <v>0</v>
      </c>
      <c r="M227" s="124" t="n">
        <v>-85061</v>
      </c>
      <c r="N227" s="124" t="n">
        <v>-473360</v>
      </c>
      <c r="P227" s="124" t="n">
        <f aca="false">ABS(D227)/$P$3</f>
        <v>67.145</v>
      </c>
      <c r="Q227" s="124" t="n">
        <f aca="false">ABS(E227)/$P$3</f>
        <v>0</v>
      </c>
      <c r="R227" s="124" t="n">
        <f aca="false">ABS(F227)/$P$3</f>
        <v>0</v>
      </c>
      <c r="S227" s="124" t="n">
        <f aca="false">ABS(G227)/$P$3</f>
        <v>425.539</v>
      </c>
      <c r="T227" s="124" t="n">
        <f aca="false">ABS(H227)/$P$3</f>
        <v>85.061</v>
      </c>
      <c r="U227" s="124" t="n">
        <f aca="false">ABS(I227)/$P$3</f>
        <v>67.145</v>
      </c>
      <c r="V227" s="124" t="n">
        <f aca="false">ABS(J227)/$P$3</f>
        <v>436.362</v>
      </c>
      <c r="W227" s="124" t="n">
        <f aca="false">ABS(K227)/$P$3</f>
        <v>467.034</v>
      </c>
      <c r="X227" s="124" t="n">
        <f aca="false">ABS(L227)/$P$3</f>
        <v>0</v>
      </c>
      <c r="Y227" s="124" t="n">
        <f aca="false">ABS(M227)/$P$3</f>
        <v>85.061</v>
      </c>
      <c r="Z227" s="124" t="n">
        <f aca="false">ABS(N227)/$P$3</f>
        <v>473.36</v>
      </c>
    </row>
    <row r="228" customFormat="false" ht="12.75" hidden="true" customHeight="false" outlineLevel="0" collapsed="false">
      <c r="A228" s="120" t="n">
        <f aca="false">A227+1</f>
        <v>37114</v>
      </c>
      <c r="B228" s="131" t="str">
        <f aca="false">INDEX('Master Data'!$A$2:$B$8,MATCH(WEEKDAY('RAC V@r Total'!A228,3),'Master Data'!$A$2:$A$8,0),2)</f>
        <v>Sa</v>
      </c>
      <c r="D228" s="124" t="n">
        <v>0</v>
      </c>
      <c r="E228" s="124" t="n">
        <v>0</v>
      </c>
      <c r="F228" s="124" t="n">
        <v>0</v>
      </c>
      <c r="G228" s="124" t="n">
        <v>0</v>
      </c>
      <c r="H228" s="124" t="n">
        <v>0</v>
      </c>
      <c r="I228" s="124" t="n">
        <v>0</v>
      </c>
      <c r="J228" s="124" t="n">
        <v>0</v>
      </c>
      <c r="K228" s="124" t="n">
        <v>0</v>
      </c>
      <c r="L228" s="124" t="n">
        <v>0</v>
      </c>
      <c r="M228" s="124" t="n">
        <v>0</v>
      </c>
      <c r="N228" s="124" t="n">
        <v>0</v>
      </c>
      <c r="P228" s="124" t="n">
        <f aca="false">ABS(D228)/$P$3</f>
        <v>0</v>
      </c>
      <c r="Q228" s="124" t="n">
        <f aca="false">ABS(E228)/$P$3</f>
        <v>0</v>
      </c>
      <c r="R228" s="124" t="n">
        <f aca="false">ABS(F228)/$P$3</f>
        <v>0</v>
      </c>
      <c r="S228" s="124" t="n">
        <f aca="false">ABS(G228)/$P$3</f>
        <v>0</v>
      </c>
      <c r="T228" s="124" t="n">
        <f aca="false">ABS(H228)/$P$3</f>
        <v>0</v>
      </c>
      <c r="U228" s="124" t="n">
        <f aca="false">ABS(I228)/$P$3</f>
        <v>0</v>
      </c>
      <c r="V228" s="124" t="n">
        <f aca="false">ABS(J228)/$P$3</f>
        <v>0</v>
      </c>
      <c r="W228" s="124" t="n">
        <f aca="false">ABS(K228)/$P$3</f>
        <v>0</v>
      </c>
      <c r="X228" s="124" t="n">
        <f aca="false">ABS(L228)/$P$3</f>
        <v>0</v>
      </c>
      <c r="Y228" s="124" t="n">
        <f aca="false">ABS(M228)/$P$3</f>
        <v>0</v>
      </c>
      <c r="Z228" s="124" t="n">
        <f aca="false">ABS(N228)/$P$3</f>
        <v>0</v>
      </c>
    </row>
    <row r="229" customFormat="false" ht="12.75" hidden="true" customHeight="false" outlineLevel="0" collapsed="false">
      <c r="A229" s="120" t="n">
        <f aca="false">A228+1</f>
        <v>37115</v>
      </c>
      <c r="B229" s="131" t="str">
        <f aca="false">INDEX('Master Data'!$A$2:$B$8,MATCH(WEEKDAY('RAC V@r Total'!A229,3),'Master Data'!$A$2:$A$8,0),2)</f>
        <v>Su</v>
      </c>
      <c r="D229" s="124" t="n">
        <v>0</v>
      </c>
      <c r="E229" s="124" t="n">
        <v>0</v>
      </c>
      <c r="F229" s="124" t="n">
        <v>0</v>
      </c>
      <c r="G229" s="124" t="n">
        <v>0</v>
      </c>
      <c r="H229" s="124" t="n">
        <v>0</v>
      </c>
      <c r="I229" s="124" t="n">
        <v>0</v>
      </c>
      <c r="J229" s="124" t="n">
        <v>0</v>
      </c>
      <c r="K229" s="124" t="n">
        <v>0</v>
      </c>
      <c r="L229" s="124" t="n">
        <v>0</v>
      </c>
      <c r="M229" s="124" t="n">
        <v>0</v>
      </c>
      <c r="N229" s="124" t="n">
        <v>0</v>
      </c>
      <c r="P229" s="124" t="n">
        <f aca="false">ABS(D229)/$P$3</f>
        <v>0</v>
      </c>
      <c r="Q229" s="124" t="n">
        <f aca="false">ABS(E229)/$P$3</f>
        <v>0</v>
      </c>
      <c r="R229" s="124" t="n">
        <f aca="false">ABS(F229)/$P$3</f>
        <v>0</v>
      </c>
      <c r="S229" s="124" t="n">
        <f aca="false">ABS(G229)/$P$3</f>
        <v>0</v>
      </c>
      <c r="T229" s="124" t="n">
        <f aca="false">ABS(H229)/$P$3</f>
        <v>0</v>
      </c>
      <c r="U229" s="124" t="n">
        <f aca="false">ABS(I229)/$P$3</f>
        <v>0</v>
      </c>
      <c r="V229" s="124" t="n">
        <f aca="false">ABS(J229)/$P$3</f>
        <v>0</v>
      </c>
      <c r="W229" s="124" t="n">
        <f aca="false">ABS(K229)/$P$3</f>
        <v>0</v>
      </c>
      <c r="X229" s="124" t="n">
        <f aca="false">ABS(L229)/$P$3</f>
        <v>0</v>
      </c>
      <c r="Y229" s="124" t="n">
        <f aca="false">ABS(M229)/$P$3</f>
        <v>0</v>
      </c>
      <c r="Z229" s="124" t="n">
        <f aca="false">ABS(N229)/$P$3</f>
        <v>0</v>
      </c>
    </row>
    <row r="230" customFormat="false" ht="12.75" hidden="true" customHeight="false" outlineLevel="0" collapsed="false">
      <c r="A230" s="120" t="n">
        <f aca="false">A229+1</f>
        <v>37116</v>
      </c>
      <c r="B230" s="131" t="str">
        <f aca="false">INDEX('Master Data'!$A$2:$B$8,MATCH(WEEKDAY('RAC V@r Total'!A230,3),'Master Data'!$A$2:$A$8,0),2)</f>
        <v>M</v>
      </c>
      <c r="D230" s="124" t="n">
        <v>-754229</v>
      </c>
      <c r="E230" s="124" t="n">
        <v>0</v>
      </c>
      <c r="F230" s="124" t="n">
        <v>0</v>
      </c>
      <c r="G230" s="124" t="n">
        <v>-425717</v>
      </c>
      <c r="H230" s="124" t="n">
        <v>-85567</v>
      </c>
      <c r="I230" s="124" t="n">
        <v>-754229</v>
      </c>
      <c r="J230" s="124" t="n">
        <v>-436202</v>
      </c>
      <c r="K230" s="124" t="n">
        <v>-405485</v>
      </c>
      <c r="L230" s="124" t="n">
        <v>0</v>
      </c>
      <c r="M230" s="124" t="n">
        <v>-85567</v>
      </c>
      <c r="N230" s="124" t="n">
        <v>-426308</v>
      </c>
      <c r="P230" s="124" t="n">
        <f aca="false">ABS(D230)/$P$3</f>
        <v>754.229</v>
      </c>
      <c r="Q230" s="124" t="n">
        <f aca="false">ABS(E230)/$P$3</f>
        <v>0</v>
      </c>
      <c r="R230" s="124" t="n">
        <f aca="false">ABS(F230)/$P$3</f>
        <v>0</v>
      </c>
      <c r="S230" s="124" t="n">
        <f aca="false">ABS(G230)/$P$3</f>
        <v>425.717</v>
      </c>
      <c r="T230" s="124" t="n">
        <f aca="false">ABS(H230)/$P$3</f>
        <v>85.567</v>
      </c>
      <c r="U230" s="124" t="n">
        <f aca="false">ABS(I230)/$P$3</f>
        <v>754.229</v>
      </c>
      <c r="V230" s="124" t="n">
        <f aca="false">ABS(J230)/$P$3</f>
        <v>436.202</v>
      </c>
      <c r="W230" s="124" t="n">
        <f aca="false">ABS(K230)/$P$3</f>
        <v>405.485</v>
      </c>
      <c r="X230" s="124" t="n">
        <f aca="false">ABS(L230)/$P$3</f>
        <v>0</v>
      </c>
      <c r="Y230" s="124" t="n">
        <f aca="false">ABS(M230)/$P$3</f>
        <v>85.567</v>
      </c>
      <c r="Z230" s="124" t="n">
        <f aca="false">ABS(N230)/$P$3</f>
        <v>426.308</v>
      </c>
    </row>
    <row r="231" customFormat="false" ht="12.75" hidden="true" customHeight="false" outlineLevel="0" collapsed="false">
      <c r="A231" s="120" t="n">
        <f aca="false">A230+1</f>
        <v>37117</v>
      </c>
      <c r="B231" s="131" t="str">
        <f aca="false">INDEX('Master Data'!$A$2:$B$8,MATCH(WEEKDAY('RAC V@r Total'!A231,3),'Master Data'!$A$2:$A$8,0),2)</f>
        <v>T</v>
      </c>
      <c r="D231" s="124" t="n">
        <v>-754556</v>
      </c>
      <c r="E231" s="124" t="n">
        <v>0</v>
      </c>
      <c r="F231" s="124" t="n">
        <v>0</v>
      </c>
      <c r="G231" s="124" t="n">
        <v>-426820</v>
      </c>
      <c r="H231" s="124" t="n">
        <v>-85520</v>
      </c>
      <c r="I231" s="124" t="n">
        <v>-754556</v>
      </c>
      <c r="J231" s="124" t="n">
        <v>-436927</v>
      </c>
      <c r="K231" s="124" t="n">
        <v>-405320</v>
      </c>
      <c r="L231" s="124" t="n">
        <v>0</v>
      </c>
      <c r="M231" s="124" t="n">
        <v>-85520</v>
      </c>
      <c r="N231" s="124" t="n">
        <v>-426137</v>
      </c>
      <c r="P231" s="124" t="n">
        <f aca="false">ABS(D231)/$P$3</f>
        <v>754.556</v>
      </c>
      <c r="Q231" s="124" t="n">
        <f aca="false">ABS(E231)/$P$3</f>
        <v>0</v>
      </c>
      <c r="R231" s="124" t="n">
        <f aca="false">ABS(F231)/$P$3</f>
        <v>0</v>
      </c>
      <c r="S231" s="124" t="n">
        <f aca="false">ABS(G231)/$P$3</f>
        <v>426.82</v>
      </c>
      <c r="T231" s="124" t="n">
        <f aca="false">ABS(H231)/$P$3</f>
        <v>85.52</v>
      </c>
      <c r="U231" s="124" t="n">
        <f aca="false">ABS(I231)/$P$3</f>
        <v>754.556</v>
      </c>
      <c r="V231" s="124" t="n">
        <f aca="false">ABS(J231)/$P$3</f>
        <v>436.927</v>
      </c>
      <c r="W231" s="124" t="n">
        <f aca="false">ABS(K231)/$P$3</f>
        <v>405.32</v>
      </c>
      <c r="X231" s="124" t="n">
        <f aca="false">ABS(L231)/$P$3</f>
        <v>0</v>
      </c>
      <c r="Y231" s="124" t="n">
        <f aca="false">ABS(M231)/$P$3</f>
        <v>85.52</v>
      </c>
      <c r="Z231" s="124" t="n">
        <f aca="false">ABS(N231)/$P$3</f>
        <v>426.137</v>
      </c>
    </row>
    <row r="232" customFormat="false" ht="12.75" hidden="true" customHeight="false" outlineLevel="0" collapsed="false">
      <c r="A232" s="120" t="n">
        <f aca="false">A231+1</f>
        <v>37118</v>
      </c>
      <c r="B232" s="131" t="str">
        <f aca="false">INDEX('Master Data'!$A$2:$B$8,MATCH(WEEKDAY('RAC V@r Total'!A232,3),'Master Data'!$A$2:$A$8,0),2)</f>
        <v>W</v>
      </c>
      <c r="D232" s="124" t="n">
        <v>-754884.58</v>
      </c>
      <c r="E232" s="124" t="n">
        <v>0</v>
      </c>
      <c r="F232" s="124" t="n">
        <v>0</v>
      </c>
      <c r="G232" s="124" t="n">
        <v>-426485</v>
      </c>
      <c r="H232" s="124" t="n">
        <v>-85284.83</v>
      </c>
      <c r="I232" s="124" t="n">
        <v>-754884.58</v>
      </c>
      <c r="J232" s="124" t="n">
        <v>-436585.8</v>
      </c>
      <c r="K232" s="124" t="n">
        <v>-406014.7</v>
      </c>
      <c r="L232" s="124" t="n">
        <v>0</v>
      </c>
      <c r="M232" s="124" t="n">
        <v>-85284.83</v>
      </c>
      <c r="N232" s="124" t="n">
        <v>-426549.6</v>
      </c>
      <c r="P232" s="124" t="n">
        <f aca="false">ABS(D232)/$P$3</f>
        <v>754.88458</v>
      </c>
      <c r="Q232" s="124" t="n">
        <f aca="false">ABS(E232)/$P$3</f>
        <v>0</v>
      </c>
      <c r="R232" s="124" t="n">
        <f aca="false">ABS(F232)/$P$3</f>
        <v>0</v>
      </c>
      <c r="S232" s="124" t="n">
        <f aca="false">ABS(G232)/$P$3</f>
        <v>426.485</v>
      </c>
      <c r="T232" s="124" t="n">
        <f aca="false">ABS(H232)/$P$3</f>
        <v>85.28483</v>
      </c>
      <c r="U232" s="124" t="n">
        <f aca="false">ABS(I232)/$P$3</f>
        <v>754.88458</v>
      </c>
      <c r="V232" s="124" t="n">
        <f aca="false">ABS(J232)/$P$3</f>
        <v>436.5858</v>
      </c>
      <c r="W232" s="124" t="n">
        <f aca="false">ABS(K232)/$P$3</f>
        <v>406.0147</v>
      </c>
      <c r="X232" s="124" t="n">
        <f aca="false">ABS(L232)/$P$3</f>
        <v>0</v>
      </c>
      <c r="Y232" s="124" t="n">
        <f aca="false">ABS(M232)/$P$3</f>
        <v>85.28483</v>
      </c>
      <c r="Z232" s="124" t="n">
        <f aca="false">ABS(N232)/$P$3</f>
        <v>426.5496</v>
      </c>
    </row>
    <row r="233" customFormat="false" ht="12.75" hidden="true" customHeight="false" outlineLevel="0" collapsed="false">
      <c r="A233" s="120" t="n">
        <f aca="false">A232+1</f>
        <v>37119</v>
      </c>
      <c r="B233" s="131" t="str">
        <f aca="false">INDEX('Master Data'!$A$2:$B$8,MATCH(WEEKDAY('RAC V@r Total'!A233,3),'Master Data'!$A$2:$A$8,0),2)</f>
        <v>Th</v>
      </c>
      <c r="D233" s="124" t="n">
        <v>-755214.82</v>
      </c>
      <c r="E233" s="124" t="n">
        <v>0</v>
      </c>
      <c r="F233" s="124" t="n">
        <v>0</v>
      </c>
      <c r="G233" s="124" t="n">
        <v>-425902</v>
      </c>
      <c r="H233" s="124" t="n">
        <v>-85412.17</v>
      </c>
      <c r="I233" s="124" t="n">
        <v>-755214.82</v>
      </c>
      <c r="J233" s="124" t="n">
        <v>-436067.18</v>
      </c>
      <c r="K233" s="124" t="n">
        <v>-406862.6</v>
      </c>
      <c r="L233" s="124" t="n">
        <v>0</v>
      </c>
      <c r="M233" s="124" t="n">
        <v>-85412.17</v>
      </c>
      <c r="N233" s="124" t="n">
        <v>-427380.6</v>
      </c>
      <c r="P233" s="124" t="n">
        <f aca="false">ABS(D233)/$P$3</f>
        <v>755.21482</v>
      </c>
      <c r="Q233" s="124" t="n">
        <f aca="false">ABS(E233)/$P$3</f>
        <v>0</v>
      </c>
      <c r="R233" s="124" t="n">
        <f aca="false">ABS(F233)/$P$3</f>
        <v>0</v>
      </c>
      <c r="S233" s="124" t="n">
        <f aca="false">ABS(G233)/$P$3</f>
        <v>425.902</v>
      </c>
      <c r="T233" s="124" t="n">
        <f aca="false">ABS(H233)/$P$3</f>
        <v>85.41217</v>
      </c>
      <c r="U233" s="124" t="n">
        <f aca="false">ABS(I233)/$P$3</f>
        <v>755.21482</v>
      </c>
      <c r="V233" s="124" t="n">
        <f aca="false">ABS(J233)/$P$3</f>
        <v>436.06718</v>
      </c>
      <c r="W233" s="124" t="n">
        <f aca="false">ABS(K233)/$P$3</f>
        <v>406.8626</v>
      </c>
      <c r="X233" s="124" t="n">
        <f aca="false">ABS(L233)/$P$3</f>
        <v>0</v>
      </c>
      <c r="Y233" s="124" t="n">
        <f aca="false">ABS(M233)/$P$3</f>
        <v>85.41217</v>
      </c>
      <c r="Z233" s="124" t="n">
        <f aca="false">ABS(N233)/$P$3</f>
        <v>427.3806</v>
      </c>
    </row>
    <row r="234" customFormat="false" ht="12.75" hidden="true" customHeight="false" outlineLevel="0" collapsed="false">
      <c r="A234" s="120" t="n">
        <f aca="false">A233+1</f>
        <v>37120</v>
      </c>
      <c r="B234" s="131" t="str">
        <f aca="false">INDEX('Master Data'!$A$2:$B$8,MATCH(WEEKDAY('RAC V@r Total'!A234,3),'Master Data'!$A$2:$A$8,0),2)</f>
        <v>F</v>
      </c>
      <c r="D234" s="124" t="n">
        <v>-755546.65</v>
      </c>
      <c r="E234" s="124" t="n">
        <v>0</v>
      </c>
      <c r="F234" s="124" t="n">
        <v>0</v>
      </c>
      <c r="G234" s="124" t="n">
        <v>-426455.15</v>
      </c>
      <c r="H234" s="124" t="n">
        <v>-86121.9</v>
      </c>
      <c r="I234" s="124" t="n">
        <v>-755546.65</v>
      </c>
      <c r="J234" s="124" t="n">
        <v>-436402.72</v>
      </c>
      <c r="K234" s="124" t="n">
        <v>-407032.28</v>
      </c>
      <c r="L234" s="124" t="n">
        <v>0</v>
      </c>
      <c r="M234" s="124" t="n">
        <v>-86121.9</v>
      </c>
      <c r="N234" s="124" t="n">
        <v>-428096.45</v>
      </c>
      <c r="P234" s="124" t="n">
        <f aca="false">ABS(D234)/$P$3</f>
        <v>755.54665</v>
      </c>
      <c r="Q234" s="124" t="n">
        <f aca="false">ABS(E234)/$P$3</f>
        <v>0</v>
      </c>
      <c r="R234" s="124" t="n">
        <f aca="false">ABS(F234)/$P$3</f>
        <v>0</v>
      </c>
      <c r="S234" s="124" t="n">
        <f aca="false">ABS(G234)/$P$3</f>
        <v>426.45515</v>
      </c>
      <c r="T234" s="124" t="n">
        <f aca="false">ABS(H234)/$P$3</f>
        <v>86.1219</v>
      </c>
      <c r="U234" s="124" t="n">
        <f aca="false">ABS(I234)/$P$3</f>
        <v>755.54665</v>
      </c>
      <c r="V234" s="124" t="n">
        <f aca="false">ABS(J234)/$P$3</f>
        <v>436.40272</v>
      </c>
      <c r="W234" s="124" t="n">
        <f aca="false">ABS(K234)/$P$3</f>
        <v>407.03228</v>
      </c>
      <c r="X234" s="124" t="n">
        <f aca="false">ABS(L234)/$P$3</f>
        <v>0</v>
      </c>
      <c r="Y234" s="124" t="n">
        <f aca="false">ABS(M234)/$P$3</f>
        <v>86.1219</v>
      </c>
      <c r="Z234" s="124" t="n">
        <f aca="false">ABS(N234)/$P$3</f>
        <v>428.09645</v>
      </c>
    </row>
    <row r="235" customFormat="false" ht="12.75" hidden="true" customHeight="false" outlineLevel="0" collapsed="false">
      <c r="A235" s="120" t="n">
        <f aca="false">A234+1</f>
        <v>37121</v>
      </c>
      <c r="B235" s="131" t="str">
        <f aca="false">INDEX('Master Data'!$A$2:$B$8,MATCH(WEEKDAY('RAC V@r Total'!A235,3),'Master Data'!$A$2:$A$8,0),2)</f>
        <v>Sa</v>
      </c>
      <c r="D235" s="124" t="n">
        <v>0</v>
      </c>
      <c r="E235" s="124" t="n">
        <v>0</v>
      </c>
      <c r="F235" s="124" t="n">
        <v>0</v>
      </c>
      <c r="G235" s="124" t="n">
        <v>0</v>
      </c>
      <c r="H235" s="124" t="n">
        <v>0</v>
      </c>
      <c r="I235" s="124" t="n">
        <v>0</v>
      </c>
      <c r="J235" s="124" t="n">
        <v>0</v>
      </c>
      <c r="K235" s="124" t="n">
        <v>0</v>
      </c>
      <c r="L235" s="124" t="n">
        <v>0</v>
      </c>
      <c r="M235" s="124" t="n">
        <v>0</v>
      </c>
      <c r="N235" s="124" t="n">
        <v>0</v>
      </c>
      <c r="P235" s="124" t="n">
        <f aca="false">ABS(D235)/$P$3</f>
        <v>0</v>
      </c>
      <c r="Q235" s="124" t="n">
        <f aca="false">ABS(E235)/$P$3</f>
        <v>0</v>
      </c>
      <c r="R235" s="124" t="n">
        <f aca="false">ABS(F235)/$P$3</f>
        <v>0</v>
      </c>
      <c r="S235" s="124" t="n">
        <f aca="false">ABS(G235)/$P$3</f>
        <v>0</v>
      </c>
      <c r="T235" s="124" t="n">
        <f aca="false">ABS(H235)/$P$3</f>
        <v>0</v>
      </c>
      <c r="U235" s="124" t="n">
        <f aca="false">ABS(I235)/$P$3</f>
        <v>0</v>
      </c>
      <c r="V235" s="124" t="n">
        <f aca="false">ABS(J235)/$P$3</f>
        <v>0</v>
      </c>
      <c r="W235" s="124" t="n">
        <f aca="false">ABS(K235)/$P$3</f>
        <v>0</v>
      </c>
      <c r="X235" s="124" t="n">
        <f aca="false">ABS(L235)/$P$3</f>
        <v>0</v>
      </c>
      <c r="Y235" s="124" t="n">
        <f aca="false">ABS(M235)/$P$3</f>
        <v>0</v>
      </c>
      <c r="Z235" s="124" t="n">
        <f aca="false">ABS(N235)/$P$3</f>
        <v>0</v>
      </c>
    </row>
    <row r="236" customFormat="false" ht="12.75" hidden="true" customHeight="false" outlineLevel="0" collapsed="false">
      <c r="A236" s="120" t="n">
        <f aca="false">A235+1</f>
        <v>37122</v>
      </c>
      <c r="B236" s="131" t="str">
        <f aca="false">INDEX('Master Data'!$A$2:$B$8,MATCH(WEEKDAY('RAC V@r Total'!A236,3),'Master Data'!$A$2:$A$8,0),2)</f>
        <v>Su</v>
      </c>
      <c r="D236" s="124" t="n">
        <v>0</v>
      </c>
      <c r="E236" s="124" t="n">
        <v>0</v>
      </c>
      <c r="F236" s="124" t="n">
        <v>0</v>
      </c>
      <c r="G236" s="124" t="n">
        <v>0</v>
      </c>
      <c r="H236" s="124" t="n">
        <v>0</v>
      </c>
      <c r="I236" s="124" t="n">
        <v>0</v>
      </c>
      <c r="J236" s="124" t="n">
        <v>0</v>
      </c>
      <c r="K236" s="124" t="n">
        <v>0</v>
      </c>
      <c r="L236" s="124" t="n">
        <v>0</v>
      </c>
      <c r="M236" s="124" t="n">
        <v>0</v>
      </c>
      <c r="N236" s="124" t="n">
        <v>0</v>
      </c>
      <c r="P236" s="124" t="n">
        <f aca="false">ABS(D236)/$P$3</f>
        <v>0</v>
      </c>
      <c r="Q236" s="124" t="n">
        <f aca="false">ABS(E236)/$P$3</f>
        <v>0</v>
      </c>
      <c r="R236" s="124" t="n">
        <f aca="false">ABS(F236)/$P$3</f>
        <v>0</v>
      </c>
      <c r="S236" s="124" t="n">
        <f aca="false">ABS(G236)/$P$3</f>
        <v>0</v>
      </c>
      <c r="T236" s="124" t="n">
        <f aca="false">ABS(H236)/$P$3</f>
        <v>0</v>
      </c>
      <c r="U236" s="124" t="n">
        <f aca="false">ABS(I236)/$P$3</f>
        <v>0</v>
      </c>
      <c r="V236" s="124" t="n">
        <f aca="false">ABS(J236)/$P$3</f>
        <v>0</v>
      </c>
      <c r="W236" s="124" t="n">
        <f aca="false">ABS(K236)/$P$3</f>
        <v>0</v>
      </c>
      <c r="X236" s="124" t="n">
        <f aca="false">ABS(L236)/$P$3</f>
        <v>0</v>
      </c>
      <c r="Y236" s="124" t="n">
        <f aca="false">ABS(M236)/$P$3</f>
        <v>0</v>
      </c>
      <c r="Z236" s="124" t="n">
        <f aca="false">ABS(N236)/$P$3</f>
        <v>0</v>
      </c>
    </row>
    <row r="237" customFormat="false" ht="12.75" hidden="true" customHeight="false" outlineLevel="0" collapsed="false">
      <c r="A237" s="120" t="n">
        <f aca="false">A236+1</f>
        <v>37123</v>
      </c>
      <c r="B237" s="131" t="str">
        <f aca="false">INDEX('Master Data'!$A$2:$B$8,MATCH(WEEKDAY('RAC V@r Total'!A237,3),'Master Data'!$A$2:$A$8,0),2)</f>
        <v>M</v>
      </c>
      <c r="D237" s="124" t="n">
        <v>-756551.93</v>
      </c>
      <c r="E237" s="124" t="n">
        <v>0</v>
      </c>
      <c r="F237" s="124" t="n">
        <v>0</v>
      </c>
      <c r="G237" s="124" t="n">
        <v>-427241.81</v>
      </c>
      <c r="H237" s="124" t="n">
        <v>-85721.4</v>
      </c>
      <c r="I237" s="124" t="n">
        <v>-756551.93</v>
      </c>
      <c r="J237" s="124" t="n">
        <v>-436668.15</v>
      </c>
      <c r="K237" s="124" t="n">
        <v>-408104.89</v>
      </c>
      <c r="L237" s="124" t="n">
        <v>0</v>
      </c>
      <c r="M237" s="124" t="n">
        <v>-85721.4</v>
      </c>
      <c r="N237" s="124" t="n">
        <v>-428727.33</v>
      </c>
      <c r="P237" s="124" t="n">
        <f aca="false">ABS(D237)/$P$3</f>
        <v>756.55193</v>
      </c>
      <c r="Q237" s="124" t="n">
        <f aca="false">ABS(E237)/$P$3</f>
        <v>0</v>
      </c>
      <c r="R237" s="124" t="n">
        <f aca="false">ABS(F237)/$P$3</f>
        <v>0</v>
      </c>
      <c r="S237" s="124" t="n">
        <f aca="false">ABS(G237)/$P$3</f>
        <v>427.24181</v>
      </c>
      <c r="T237" s="124" t="n">
        <f aca="false">ABS(H237)/$P$3</f>
        <v>85.7214</v>
      </c>
      <c r="U237" s="124" t="n">
        <f aca="false">ABS(I237)/$P$3</f>
        <v>756.55193</v>
      </c>
      <c r="V237" s="124" t="n">
        <f aca="false">ABS(J237)/$P$3</f>
        <v>436.66815</v>
      </c>
      <c r="W237" s="124" t="n">
        <f aca="false">ABS(K237)/$P$3</f>
        <v>408.10489</v>
      </c>
      <c r="X237" s="124" t="n">
        <f aca="false">ABS(L237)/$P$3</f>
        <v>0</v>
      </c>
      <c r="Y237" s="124" t="n">
        <f aca="false">ABS(M237)/$P$3</f>
        <v>85.7214</v>
      </c>
      <c r="Z237" s="124" t="n">
        <f aca="false">ABS(N237)/$P$3</f>
        <v>428.72733</v>
      </c>
    </row>
    <row r="238" customFormat="false" ht="12.75" hidden="true" customHeight="false" outlineLevel="0" collapsed="false">
      <c r="A238" s="120" t="n">
        <f aca="false">A237+1</f>
        <v>37124</v>
      </c>
      <c r="B238" s="131" t="str">
        <f aca="false">INDEX('Master Data'!$A$2:$B$8,MATCH(WEEKDAY('RAC V@r Total'!A238,3),'Master Data'!$A$2:$A$8,0),2)</f>
        <v>T</v>
      </c>
      <c r="D238" s="124" t="n">
        <v>-756890.4</v>
      </c>
      <c r="E238" s="124" t="n">
        <v>0</v>
      </c>
      <c r="F238" s="124" t="n">
        <v>0</v>
      </c>
      <c r="G238" s="124" t="n">
        <v>-426789.79</v>
      </c>
      <c r="H238" s="124" t="n">
        <v>-86093.81</v>
      </c>
      <c r="I238" s="124" t="n">
        <v>-756890.4</v>
      </c>
      <c r="J238" s="124" t="n">
        <v>-436264.85</v>
      </c>
      <c r="K238" s="124" t="n">
        <v>-408872.88</v>
      </c>
      <c r="L238" s="124" t="n">
        <v>0</v>
      </c>
      <c r="M238" s="124" t="n">
        <v>-86093.81</v>
      </c>
      <c r="N238" s="124" t="n">
        <v>-429684.34</v>
      </c>
      <c r="P238" s="124" t="n">
        <f aca="false">ABS(D238)/$P$3</f>
        <v>756.8904</v>
      </c>
      <c r="Q238" s="124" t="n">
        <f aca="false">ABS(E238)/$P$3</f>
        <v>0</v>
      </c>
      <c r="R238" s="124" t="n">
        <f aca="false">ABS(F238)/$P$3</f>
        <v>0</v>
      </c>
      <c r="S238" s="124" t="n">
        <f aca="false">ABS(G238)/$P$3</f>
        <v>426.78979</v>
      </c>
      <c r="T238" s="124" t="n">
        <f aca="false">ABS(H238)/$P$3</f>
        <v>86.09381</v>
      </c>
      <c r="U238" s="124" t="n">
        <f aca="false">ABS(I238)/$P$3</f>
        <v>756.8904</v>
      </c>
      <c r="V238" s="124" t="n">
        <f aca="false">ABS(J238)/$P$3</f>
        <v>436.26485</v>
      </c>
      <c r="W238" s="124" t="n">
        <f aca="false">ABS(K238)/$P$3</f>
        <v>408.87288</v>
      </c>
      <c r="X238" s="124" t="n">
        <f aca="false">ABS(L238)/$P$3</f>
        <v>0</v>
      </c>
      <c r="Y238" s="124" t="n">
        <f aca="false">ABS(M238)/$P$3</f>
        <v>86.09381</v>
      </c>
      <c r="Z238" s="124" t="n">
        <f aca="false">ABS(N238)/$P$3</f>
        <v>429.68434</v>
      </c>
    </row>
    <row r="239" customFormat="false" ht="12.75" hidden="true" customHeight="false" outlineLevel="0" collapsed="false">
      <c r="A239" s="120" t="n">
        <f aca="false">A238+1</f>
        <v>37125</v>
      </c>
      <c r="B239" s="131" t="str">
        <f aca="false">INDEX('Master Data'!$A$2:$B$8,MATCH(WEEKDAY('RAC V@r Total'!A239,3),'Master Data'!$A$2:$A$8,0),2)</f>
        <v>W</v>
      </c>
      <c r="D239" s="124" t="n">
        <v>-757230.61</v>
      </c>
      <c r="E239" s="124" t="n">
        <v>0</v>
      </c>
      <c r="F239" s="124" t="n">
        <v>0</v>
      </c>
      <c r="G239" s="124" t="n">
        <v>-427305.6</v>
      </c>
      <c r="H239" s="124" t="n">
        <v>-85882.13</v>
      </c>
      <c r="I239" s="124" t="n">
        <v>-757230.61</v>
      </c>
      <c r="J239" s="124" t="n">
        <v>-436674.57</v>
      </c>
      <c r="K239" s="124" t="n">
        <v>-409073.56</v>
      </c>
      <c r="L239" s="124" t="n">
        <v>0</v>
      </c>
      <c r="M239" s="124" t="n">
        <v>-85882.13</v>
      </c>
      <c r="N239" s="124" t="n">
        <v>-429701.49</v>
      </c>
      <c r="P239" s="124" t="n">
        <f aca="false">ABS(D239)/$P$3</f>
        <v>757.23061</v>
      </c>
      <c r="Q239" s="124" t="n">
        <f aca="false">ABS(E239)/$P$3</f>
        <v>0</v>
      </c>
      <c r="R239" s="124" t="n">
        <f aca="false">ABS(F239)/$P$3</f>
        <v>0</v>
      </c>
      <c r="S239" s="124" t="n">
        <f aca="false">ABS(G239)/$P$3</f>
        <v>427.3056</v>
      </c>
      <c r="T239" s="124" t="n">
        <f aca="false">ABS(H239)/$P$3</f>
        <v>85.88213</v>
      </c>
      <c r="U239" s="124" t="n">
        <f aca="false">ABS(I239)/$P$3</f>
        <v>757.23061</v>
      </c>
      <c r="V239" s="124" t="n">
        <f aca="false">ABS(J239)/$P$3</f>
        <v>436.67457</v>
      </c>
      <c r="W239" s="124" t="n">
        <f aca="false">ABS(K239)/$P$3</f>
        <v>409.07356</v>
      </c>
      <c r="X239" s="124" t="n">
        <f aca="false">ABS(L239)/$P$3</f>
        <v>0</v>
      </c>
      <c r="Y239" s="124" t="n">
        <f aca="false">ABS(M239)/$P$3</f>
        <v>85.88213</v>
      </c>
      <c r="Z239" s="124" t="n">
        <f aca="false">ABS(N239)/$P$3</f>
        <v>429.70149</v>
      </c>
    </row>
    <row r="240" customFormat="false" ht="12.75" hidden="true" customHeight="false" outlineLevel="0" collapsed="false">
      <c r="A240" s="120" t="n">
        <f aca="false">A239+1</f>
        <v>37126</v>
      </c>
      <c r="B240" s="131" t="str">
        <f aca="false">INDEX('Master Data'!$A$2:$B$8,MATCH(WEEKDAY('RAC V@r Total'!A240,3),'Master Data'!$A$2:$A$8,0),2)</f>
        <v>Th</v>
      </c>
      <c r="D240" s="124" t="n">
        <v>-757572.6021</v>
      </c>
      <c r="E240" s="124" t="n">
        <v>0</v>
      </c>
      <c r="F240" s="124" t="n">
        <v>0</v>
      </c>
      <c r="G240" s="124" t="n">
        <v>-427131.054</v>
      </c>
      <c r="H240" s="124" t="n">
        <v>-86046.20506</v>
      </c>
      <c r="I240" s="124" t="n">
        <v>-757572.6021</v>
      </c>
      <c r="J240" s="124" t="n">
        <v>-436514.5789</v>
      </c>
      <c r="K240" s="124" t="n">
        <v>-409689.675</v>
      </c>
      <c r="L240" s="124" t="n">
        <v>0</v>
      </c>
      <c r="M240" s="124" t="n">
        <v>-86046.20506</v>
      </c>
      <c r="N240" s="124" t="n">
        <v>-430366.2331</v>
      </c>
      <c r="P240" s="124" t="n">
        <f aca="false">ABS(D240)/$P$3</f>
        <v>757.5726021</v>
      </c>
      <c r="Q240" s="124" t="n">
        <f aca="false">ABS(E240)/$P$3</f>
        <v>0</v>
      </c>
      <c r="R240" s="124" t="n">
        <f aca="false">ABS(F240)/$P$3</f>
        <v>0</v>
      </c>
      <c r="S240" s="124" t="n">
        <f aca="false">ABS(G240)/$P$3</f>
        <v>427.131054</v>
      </c>
      <c r="T240" s="124" t="n">
        <f aca="false">ABS(H240)/$P$3</f>
        <v>86.04620506</v>
      </c>
      <c r="U240" s="124" t="n">
        <f aca="false">ABS(I240)/$P$3</f>
        <v>757.5726021</v>
      </c>
      <c r="V240" s="124" t="n">
        <f aca="false">ABS(J240)/$P$3</f>
        <v>436.5145789</v>
      </c>
      <c r="W240" s="124" t="n">
        <f aca="false">ABS(K240)/$P$3</f>
        <v>409.689675</v>
      </c>
      <c r="X240" s="124" t="n">
        <f aca="false">ABS(L240)/$P$3</f>
        <v>0</v>
      </c>
      <c r="Y240" s="124" t="n">
        <f aca="false">ABS(M240)/$P$3</f>
        <v>86.04620506</v>
      </c>
      <c r="Z240" s="124" t="n">
        <f aca="false">ABS(N240)/$P$3</f>
        <v>430.3662331</v>
      </c>
    </row>
    <row r="241" customFormat="false" ht="12.75" hidden="true" customHeight="false" outlineLevel="0" collapsed="false">
      <c r="A241" s="120" t="n">
        <f aca="false">A240+1</f>
        <v>37127</v>
      </c>
      <c r="B241" s="131" t="str">
        <f aca="false">INDEX('Master Data'!$A$2:$B$8,MATCH(WEEKDAY('RAC V@r Total'!A241,3),'Master Data'!$A$2:$A$8,0),2)</f>
        <v>F</v>
      </c>
      <c r="D241" s="124" t="n">
        <v>-756916</v>
      </c>
      <c r="E241" s="124" t="n">
        <v>0</v>
      </c>
      <c r="F241" s="124" t="n">
        <v>0</v>
      </c>
      <c r="G241" s="124" t="n">
        <v>-427190</v>
      </c>
      <c r="H241" s="124" t="n">
        <v>-85727</v>
      </c>
      <c r="I241" s="124" t="n">
        <v>-757916</v>
      </c>
      <c r="J241" s="124" t="n">
        <v>-436600</v>
      </c>
      <c r="K241" s="124" t="n">
        <v>-410169</v>
      </c>
      <c r="L241" s="124" t="n">
        <v>0</v>
      </c>
      <c r="M241" s="124" t="n">
        <v>-85727</v>
      </c>
      <c r="N241" s="124" t="n">
        <v>-430539</v>
      </c>
      <c r="P241" s="124" t="n">
        <f aca="false">ABS(D241)/$P$3</f>
        <v>756.916</v>
      </c>
      <c r="Q241" s="124" t="n">
        <f aca="false">ABS(E241)/$P$3</f>
        <v>0</v>
      </c>
      <c r="R241" s="124" t="n">
        <f aca="false">ABS(F241)/$P$3</f>
        <v>0</v>
      </c>
      <c r="S241" s="124" t="n">
        <f aca="false">ABS(G241)/$P$3</f>
        <v>427.19</v>
      </c>
      <c r="T241" s="124" t="n">
        <f aca="false">ABS(H241)/$P$3</f>
        <v>85.727</v>
      </c>
      <c r="U241" s="124" t="n">
        <f aca="false">ABS(I241)/$P$3</f>
        <v>757.916</v>
      </c>
      <c r="V241" s="124" t="n">
        <f aca="false">ABS(J241)/$P$3</f>
        <v>436.6</v>
      </c>
      <c r="W241" s="124" t="n">
        <f aca="false">ABS(K241)/$P$3</f>
        <v>410.169</v>
      </c>
      <c r="X241" s="124" t="n">
        <f aca="false">ABS(L241)/$P$3</f>
        <v>0</v>
      </c>
      <c r="Y241" s="124" t="n">
        <f aca="false">ABS(M241)/$P$3</f>
        <v>85.727</v>
      </c>
      <c r="Z241" s="124" t="n">
        <f aca="false">ABS(N241)/$P$3</f>
        <v>430.539</v>
      </c>
    </row>
    <row r="242" customFormat="false" ht="12.75" hidden="true" customHeight="false" outlineLevel="0" collapsed="false">
      <c r="A242" s="120" t="n">
        <f aca="false">A241+1</f>
        <v>37128</v>
      </c>
      <c r="B242" s="131" t="str">
        <f aca="false">INDEX('Master Data'!$A$2:$B$8,MATCH(WEEKDAY('RAC V@r Total'!A242,3),'Master Data'!$A$2:$A$8,0),2)</f>
        <v>Sa</v>
      </c>
      <c r="D242" s="124" t="n">
        <v>0</v>
      </c>
      <c r="E242" s="124" t="n">
        <v>0</v>
      </c>
      <c r="F242" s="124" t="n">
        <v>0</v>
      </c>
      <c r="G242" s="124" t="n">
        <v>0</v>
      </c>
      <c r="H242" s="124" t="n">
        <v>0</v>
      </c>
      <c r="I242" s="124" t="n">
        <v>0</v>
      </c>
      <c r="J242" s="124" t="n">
        <v>0</v>
      </c>
      <c r="K242" s="124" t="n">
        <v>0</v>
      </c>
      <c r="L242" s="124" t="n">
        <v>0</v>
      </c>
      <c r="M242" s="124" t="n">
        <v>0</v>
      </c>
      <c r="N242" s="124" t="n">
        <v>0</v>
      </c>
      <c r="P242" s="124" t="n">
        <f aca="false">ABS(D242)/$P$3</f>
        <v>0</v>
      </c>
      <c r="Q242" s="124" t="n">
        <f aca="false">ABS(E242)/$P$3</f>
        <v>0</v>
      </c>
      <c r="R242" s="124" t="n">
        <f aca="false">ABS(F242)/$P$3</f>
        <v>0</v>
      </c>
      <c r="S242" s="124" t="n">
        <f aca="false">ABS(G242)/$P$3</f>
        <v>0</v>
      </c>
      <c r="T242" s="124" t="n">
        <f aca="false">ABS(H242)/$P$3</f>
        <v>0</v>
      </c>
      <c r="U242" s="124" t="n">
        <f aca="false">ABS(I242)/$P$3</f>
        <v>0</v>
      </c>
      <c r="V242" s="124" t="n">
        <f aca="false">ABS(J242)/$P$3</f>
        <v>0</v>
      </c>
      <c r="W242" s="124" t="n">
        <f aca="false">ABS(K242)/$P$3</f>
        <v>0</v>
      </c>
      <c r="X242" s="124" t="n">
        <f aca="false">ABS(L242)/$P$3</f>
        <v>0</v>
      </c>
      <c r="Y242" s="124" t="n">
        <f aca="false">ABS(M242)/$P$3</f>
        <v>0</v>
      </c>
      <c r="Z242" s="124" t="n">
        <f aca="false">ABS(N242)/$P$3</f>
        <v>0</v>
      </c>
    </row>
    <row r="243" customFormat="false" ht="12.75" hidden="true" customHeight="false" outlineLevel="0" collapsed="false">
      <c r="A243" s="120" t="n">
        <f aca="false">A242+1</f>
        <v>37129</v>
      </c>
      <c r="B243" s="131" t="str">
        <f aca="false">INDEX('Master Data'!$A$2:$B$8,MATCH(WEEKDAY('RAC V@r Total'!A243,3),'Master Data'!$A$2:$A$8,0),2)</f>
        <v>Su</v>
      </c>
      <c r="D243" s="124" t="n">
        <v>0</v>
      </c>
      <c r="E243" s="124" t="n">
        <v>0</v>
      </c>
      <c r="F243" s="124" t="n">
        <v>0</v>
      </c>
      <c r="G243" s="124" t="n">
        <v>0</v>
      </c>
      <c r="H243" s="124" t="n">
        <v>0</v>
      </c>
      <c r="I243" s="124" t="n">
        <v>0</v>
      </c>
      <c r="J243" s="124" t="n">
        <v>0</v>
      </c>
      <c r="K243" s="124" t="n">
        <v>0</v>
      </c>
      <c r="L243" s="124" t="n">
        <v>0</v>
      </c>
      <c r="M243" s="124" t="n">
        <v>0</v>
      </c>
      <c r="N243" s="124" t="n">
        <v>0</v>
      </c>
      <c r="P243" s="124" t="n">
        <f aca="false">ABS(D243)/$P$3</f>
        <v>0</v>
      </c>
      <c r="Q243" s="124" t="n">
        <f aca="false">ABS(E243)/$P$3</f>
        <v>0</v>
      </c>
      <c r="R243" s="124" t="n">
        <f aca="false">ABS(F243)/$P$3</f>
        <v>0</v>
      </c>
      <c r="S243" s="124" t="n">
        <f aca="false">ABS(G243)/$P$3</f>
        <v>0</v>
      </c>
      <c r="T243" s="124" t="n">
        <f aca="false">ABS(H243)/$P$3</f>
        <v>0</v>
      </c>
      <c r="U243" s="124" t="n">
        <f aca="false">ABS(I243)/$P$3</f>
        <v>0</v>
      </c>
      <c r="V243" s="124" t="n">
        <f aca="false">ABS(J243)/$P$3</f>
        <v>0</v>
      </c>
      <c r="W243" s="124" t="n">
        <f aca="false">ABS(K243)/$P$3</f>
        <v>0</v>
      </c>
      <c r="X243" s="124" t="n">
        <f aca="false">ABS(L243)/$P$3</f>
        <v>0</v>
      </c>
      <c r="Y243" s="124" t="n">
        <f aca="false">ABS(M243)/$P$3</f>
        <v>0</v>
      </c>
      <c r="Z243" s="124" t="n">
        <f aca="false">ABS(N243)/$P$3</f>
        <v>0</v>
      </c>
    </row>
    <row r="244" customFormat="false" ht="12.75" hidden="true" customHeight="false" outlineLevel="0" collapsed="false">
      <c r="A244" s="120" t="n">
        <f aca="false">A243+1</f>
        <v>37130</v>
      </c>
      <c r="B244" s="131" t="str">
        <f aca="false">INDEX('Master Data'!$A$2:$B$8,MATCH(WEEKDAY('RAC V@r Total'!A244,3),'Master Data'!$A$2:$A$8,0),2)</f>
        <v>M</v>
      </c>
      <c r="D244" s="124" t="n">
        <v>-758959</v>
      </c>
      <c r="E244" s="124" t="n">
        <v>0</v>
      </c>
      <c r="F244" s="124" t="n">
        <v>0</v>
      </c>
      <c r="G244" s="124" t="n">
        <v>-426996</v>
      </c>
      <c r="H244" s="124" t="n">
        <v>-85830</v>
      </c>
      <c r="I244" s="124" t="n">
        <v>-758959</v>
      </c>
      <c r="J244" s="124" t="n">
        <v>-436463</v>
      </c>
      <c r="K244" s="124" t="n">
        <v>-411845</v>
      </c>
      <c r="L244" s="124" t="n">
        <v>0</v>
      </c>
      <c r="M244" s="124" t="n">
        <v>-85830</v>
      </c>
      <c r="N244" s="124" t="n">
        <v>-432093</v>
      </c>
      <c r="P244" s="124" t="n">
        <f aca="false">ABS(D244)/$P$3</f>
        <v>758.959</v>
      </c>
      <c r="Q244" s="124" t="n">
        <f aca="false">ABS(E244)/$P$3</f>
        <v>0</v>
      </c>
      <c r="R244" s="124" t="n">
        <f aca="false">ABS(F244)/$P$3</f>
        <v>0</v>
      </c>
      <c r="S244" s="124" t="n">
        <f aca="false">ABS(G244)/$P$3</f>
        <v>426.996</v>
      </c>
      <c r="T244" s="124" t="n">
        <f aca="false">ABS(H244)/$P$3</f>
        <v>85.83</v>
      </c>
      <c r="U244" s="124" t="n">
        <f aca="false">ABS(I244)/$P$3</f>
        <v>758.959</v>
      </c>
      <c r="V244" s="124" t="n">
        <f aca="false">ABS(J244)/$P$3</f>
        <v>436.463</v>
      </c>
      <c r="W244" s="124" t="n">
        <f aca="false">ABS(K244)/$P$3</f>
        <v>411.845</v>
      </c>
      <c r="X244" s="124" t="n">
        <f aca="false">ABS(L244)/$P$3</f>
        <v>0</v>
      </c>
      <c r="Y244" s="124" t="n">
        <f aca="false">ABS(M244)/$P$3</f>
        <v>85.83</v>
      </c>
      <c r="Z244" s="124" t="n">
        <f aca="false">ABS(N244)/$P$3</f>
        <v>432.093</v>
      </c>
    </row>
    <row r="245" customFormat="false" ht="12.75" hidden="true" customHeight="false" outlineLevel="0" collapsed="false">
      <c r="A245" s="120" t="n">
        <f aca="false">A244+1</f>
        <v>37131</v>
      </c>
      <c r="B245" s="131" t="str">
        <f aca="false">INDEX('Master Data'!$A$2:$B$8,MATCH(WEEKDAY('RAC V@r Total'!A245,3),'Master Data'!$A$2:$A$8,0),2)</f>
        <v>T</v>
      </c>
      <c r="D245" s="124" t="n">
        <v>-793294</v>
      </c>
      <c r="E245" s="124" t="n">
        <v>0</v>
      </c>
      <c r="F245" s="124" t="n">
        <v>0</v>
      </c>
      <c r="G245" s="124" t="n">
        <v>-410374</v>
      </c>
      <c r="H245" s="124" t="n">
        <v>-86485</v>
      </c>
      <c r="I245" s="124" t="n">
        <v>-793294</v>
      </c>
      <c r="J245" s="124" t="n">
        <v>-416470</v>
      </c>
      <c r="K245" s="124" t="n">
        <v>-471652</v>
      </c>
      <c r="L245" s="124" t="n">
        <v>0</v>
      </c>
      <c r="M245" s="124" t="n">
        <v>-86485</v>
      </c>
      <c r="N245" s="124" t="n">
        <v>-489068</v>
      </c>
      <c r="P245" s="124" t="n">
        <f aca="false">ABS(D245)/$P$3</f>
        <v>793.294</v>
      </c>
      <c r="Q245" s="124" t="n">
        <f aca="false">ABS(E245)/$P$3</f>
        <v>0</v>
      </c>
      <c r="R245" s="124" t="n">
        <f aca="false">ABS(F245)/$P$3</f>
        <v>0</v>
      </c>
      <c r="S245" s="124" t="n">
        <f aca="false">ABS(G245)/$P$3</f>
        <v>410.374</v>
      </c>
      <c r="T245" s="124" t="n">
        <f aca="false">ABS(H245)/$P$3</f>
        <v>86.485</v>
      </c>
      <c r="U245" s="124" t="n">
        <f aca="false">ABS(I245)/$P$3</f>
        <v>793.294</v>
      </c>
      <c r="V245" s="124" t="n">
        <f aca="false">ABS(J245)/$P$3</f>
        <v>416.47</v>
      </c>
      <c r="W245" s="124" t="n">
        <f aca="false">ABS(K245)/$P$3</f>
        <v>471.652</v>
      </c>
      <c r="X245" s="124" t="n">
        <f aca="false">ABS(L245)/$P$3</f>
        <v>0</v>
      </c>
      <c r="Y245" s="124" t="n">
        <f aca="false">ABS(M245)/$P$3</f>
        <v>86.485</v>
      </c>
      <c r="Z245" s="124" t="n">
        <f aca="false">ABS(N245)/$P$3</f>
        <v>489.068</v>
      </c>
    </row>
    <row r="246" customFormat="false" ht="12.75" hidden="true" customHeight="false" outlineLevel="0" collapsed="false">
      <c r="A246" s="120" t="n">
        <f aca="false">A245+1</f>
        <v>37132</v>
      </c>
      <c r="B246" s="131" t="str">
        <f aca="false">INDEX('Master Data'!$A$2:$B$8,MATCH(WEEKDAY('RAC V@r Total'!A246,3),'Master Data'!$A$2:$A$8,0),2)</f>
        <v>W</v>
      </c>
      <c r="D246" s="124" t="n">
        <v>-793790.338</v>
      </c>
      <c r="E246" s="124" t="n">
        <v>0</v>
      </c>
      <c r="F246" s="124" t="n">
        <v>0</v>
      </c>
      <c r="G246" s="124" t="n">
        <v>-414787.4175</v>
      </c>
      <c r="H246" s="124" t="n">
        <v>-102183.3689</v>
      </c>
      <c r="I246" s="124" t="n">
        <v>-793790.3382</v>
      </c>
      <c r="J246" s="124" t="n">
        <v>-418156.2064</v>
      </c>
      <c r="K246" s="124" t="n">
        <v>-471224.0804</v>
      </c>
      <c r="L246" s="124" t="n">
        <v>0</v>
      </c>
      <c r="M246" s="124" t="n">
        <v>-87008.89897</v>
      </c>
      <c r="N246" s="124" t="n">
        <v>-487882.0704</v>
      </c>
      <c r="P246" s="124" t="n">
        <f aca="false">ABS(D246)/$P$3</f>
        <v>793.790338</v>
      </c>
      <c r="Q246" s="124" t="n">
        <f aca="false">ABS(E246)/$P$3</f>
        <v>0</v>
      </c>
      <c r="R246" s="124" t="n">
        <f aca="false">ABS(F246)/$P$3</f>
        <v>0</v>
      </c>
      <c r="S246" s="124" t="n">
        <f aca="false">ABS(G246)/$P$3</f>
        <v>414.7874175</v>
      </c>
      <c r="T246" s="124" t="n">
        <f aca="false">ABS(H246)/$P$3</f>
        <v>102.1833689</v>
      </c>
      <c r="U246" s="124" t="n">
        <f aca="false">ABS(I246)/$P$3</f>
        <v>793.7903382</v>
      </c>
      <c r="V246" s="124" t="n">
        <f aca="false">ABS(J246)/$P$3</f>
        <v>418.1562064</v>
      </c>
      <c r="W246" s="124" t="n">
        <f aca="false">ABS(K246)/$P$3</f>
        <v>471.2240804</v>
      </c>
      <c r="X246" s="124" t="n">
        <f aca="false">ABS(L246)/$P$3</f>
        <v>0</v>
      </c>
      <c r="Y246" s="124" t="n">
        <f aca="false">ABS(M246)/$P$3</f>
        <v>87.00889897</v>
      </c>
      <c r="Z246" s="124" t="n">
        <f aca="false">ABS(N246)/$P$3</f>
        <v>487.8820704</v>
      </c>
    </row>
    <row r="247" customFormat="false" ht="12.75" hidden="true" customHeight="false" outlineLevel="0" collapsed="false">
      <c r="A247" s="120" t="n">
        <f aca="false">A246+1</f>
        <v>37133</v>
      </c>
      <c r="B247" s="131" t="str">
        <f aca="false">INDEX('Master Data'!$A$2:$B$8,MATCH(WEEKDAY('RAC V@r Total'!A247,3),'Master Data'!$A$2:$A$8,0),2)</f>
        <v>Th</v>
      </c>
      <c r="D247" s="124" t="n">
        <v>-840629.2718</v>
      </c>
      <c r="E247" s="124" t="n">
        <v>0</v>
      </c>
      <c r="F247" s="124" t="n">
        <v>0</v>
      </c>
      <c r="G247" s="124" t="n">
        <v>-431267.7104</v>
      </c>
      <c r="H247" s="124" t="n">
        <v>-98145.25315</v>
      </c>
      <c r="I247" s="124" t="n">
        <v>-840629.2718</v>
      </c>
      <c r="J247" s="124" t="n">
        <v>-423976.9435</v>
      </c>
      <c r="K247" s="124" t="n">
        <v>-459891.5598</v>
      </c>
      <c r="L247" s="124" t="n">
        <v>0</v>
      </c>
      <c r="M247" s="124" t="n">
        <v>-82775.64352</v>
      </c>
      <c r="N247" s="124" t="n">
        <v>-474994.3707</v>
      </c>
      <c r="P247" s="124" t="n">
        <f aca="false">ABS(D247)/$P$3</f>
        <v>840.6292718</v>
      </c>
      <c r="Q247" s="124" t="n">
        <f aca="false">ABS(E247)/$P$3</f>
        <v>0</v>
      </c>
      <c r="R247" s="124" t="n">
        <f aca="false">ABS(F247)/$P$3</f>
        <v>0</v>
      </c>
      <c r="S247" s="124" t="n">
        <f aca="false">ABS(G247)/$P$3</f>
        <v>431.2677104</v>
      </c>
      <c r="T247" s="124" t="n">
        <f aca="false">ABS(H247)/$P$3</f>
        <v>98.14525315</v>
      </c>
      <c r="U247" s="124" t="n">
        <f aca="false">ABS(I247)/$P$3</f>
        <v>840.6292718</v>
      </c>
      <c r="V247" s="124" t="n">
        <f aca="false">ABS(J247)/$P$3</f>
        <v>423.9769435</v>
      </c>
      <c r="W247" s="124" t="n">
        <f aca="false">ABS(K247)/$P$3</f>
        <v>459.8915598</v>
      </c>
      <c r="X247" s="124" t="n">
        <f aca="false">ABS(L247)/$P$3</f>
        <v>0</v>
      </c>
      <c r="Y247" s="124" t="n">
        <f aca="false">ABS(M247)/$P$3</f>
        <v>82.77564352</v>
      </c>
      <c r="Z247" s="124" t="n">
        <f aca="false">ABS(N247)/$P$3</f>
        <v>474.9943707</v>
      </c>
    </row>
    <row r="248" customFormat="false" ht="12.75" hidden="false" customHeight="false" outlineLevel="0" collapsed="false">
      <c r="A248" s="120" t="n">
        <f aca="false">A247+1</f>
        <v>37134</v>
      </c>
      <c r="B248" s="131" t="str">
        <f aca="false">INDEX('Master Data'!$A$2:$B$8,MATCH(WEEKDAY('RAC V@r Total'!A248,3),'Master Data'!$A$2:$A$8,0),2)</f>
        <v>F</v>
      </c>
      <c r="D248" s="124" t="n">
        <v>-699000.329</v>
      </c>
      <c r="E248" s="124" t="n">
        <v>0</v>
      </c>
      <c r="F248" s="124" t="n">
        <v>0</v>
      </c>
      <c r="G248" s="124" t="n">
        <v>-431644.55</v>
      </c>
      <c r="H248" s="124" t="n">
        <v>-93742.96239</v>
      </c>
      <c r="I248" s="124" t="n">
        <v>-699000.329</v>
      </c>
      <c r="J248" s="124" t="n">
        <v>-424872.8592</v>
      </c>
      <c r="K248" s="124" t="n">
        <v>-324069.99</v>
      </c>
      <c r="L248" s="124" t="n">
        <v>0</v>
      </c>
      <c r="M248" s="124" t="n">
        <v>-82076.55782</v>
      </c>
      <c r="N248" s="124" t="n">
        <v>-348858.8692</v>
      </c>
      <c r="P248" s="124" t="n">
        <f aca="false">ABS(D248)/$P$3</f>
        <v>699.000329</v>
      </c>
      <c r="Q248" s="124" t="n">
        <f aca="false">ABS(E248)/$P$3</f>
        <v>0</v>
      </c>
      <c r="R248" s="124" t="n">
        <f aca="false">ABS(F248)/$P$3</f>
        <v>0</v>
      </c>
      <c r="S248" s="124" t="n">
        <f aca="false">ABS(G248)/$P$3</f>
        <v>431.64455</v>
      </c>
      <c r="T248" s="124" t="n">
        <f aca="false">ABS(H248)/$P$3</f>
        <v>93.74296239</v>
      </c>
      <c r="U248" s="124" t="n">
        <f aca="false">ABS(I248)/$P$3</f>
        <v>699.000329</v>
      </c>
      <c r="V248" s="124" t="n">
        <f aca="false">ABS(J248)/$P$3</f>
        <v>424.8728592</v>
      </c>
      <c r="W248" s="124" t="n">
        <f aca="false">ABS(K248)/$P$3</f>
        <v>324.06999</v>
      </c>
      <c r="X248" s="124" t="n">
        <f aca="false">ABS(L248)/$P$3</f>
        <v>0</v>
      </c>
      <c r="Y248" s="124" t="n">
        <f aca="false">ABS(M248)/$P$3</f>
        <v>82.07655782</v>
      </c>
      <c r="Z248" s="124" t="n">
        <f aca="false">ABS(N248)/$P$3</f>
        <v>348.8588692</v>
      </c>
    </row>
    <row r="249" customFormat="false" ht="12.75" hidden="true" customHeight="false" outlineLevel="0" collapsed="false">
      <c r="A249" s="120" t="n">
        <f aca="false">A248+1</f>
        <v>37135</v>
      </c>
      <c r="B249" s="131" t="str">
        <f aca="false">INDEX('Master Data'!$A$2:$B$8,MATCH(WEEKDAY('RAC V@r Total'!A249,3),'Master Data'!$A$2:$A$8,0),2)</f>
        <v>Sa</v>
      </c>
      <c r="D249" s="124" t="n">
        <v>0</v>
      </c>
      <c r="E249" s="124" t="n">
        <v>0</v>
      </c>
      <c r="F249" s="124" t="n">
        <v>0</v>
      </c>
      <c r="G249" s="124" t="n">
        <v>0</v>
      </c>
      <c r="H249" s="124" t="n">
        <v>0</v>
      </c>
      <c r="I249" s="124" t="n">
        <v>0</v>
      </c>
      <c r="J249" s="124" t="n">
        <v>0</v>
      </c>
      <c r="K249" s="124" t="n">
        <v>0</v>
      </c>
      <c r="L249" s="124" t="n">
        <v>0</v>
      </c>
      <c r="M249" s="124" t="n">
        <v>0</v>
      </c>
      <c r="N249" s="124" t="n">
        <v>0</v>
      </c>
      <c r="P249" s="124" t="n">
        <f aca="false">ABS(D249)/$P$3</f>
        <v>0</v>
      </c>
      <c r="Q249" s="124" t="n">
        <f aca="false">ABS(E249)/$P$3</f>
        <v>0</v>
      </c>
      <c r="R249" s="124" t="n">
        <f aca="false">ABS(F249)/$P$3</f>
        <v>0</v>
      </c>
      <c r="S249" s="124" t="n">
        <f aca="false">ABS(G249)/$P$3</f>
        <v>0</v>
      </c>
      <c r="T249" s="124" t="n">
        <f aca="false">ABS(H249)/$P$3</f>
        <v>0</v>
      </c>
      <c r="U249" s="124" t="n">
        <f aca="false">ABS(I249)/$P$3</f>
        <v>0</v>
      </c>
      <c r="V249" s="124" t="n">
        <f aca="false">ABS(J249)/$P$3</f>
        <v>0</v>
      </c>
      <c r="W249" s="124" t="n">
        <f aca="false">ABS(K249)/$P$3</f>
        <v>0</v>
      </c>
      <c r="X249" s="124" t="n">
        <f aca="false">ABS(L249)/$P$3</f>
        <v>0</v>
      </c>
      <c r="Y249" s="124" t="n">
        <f aca="false">ABS(M249)/$P$3</f>
        <v>0</v>
      </c>
      <c r="Z249" s="124" t="n">
        <f aca="false">ABS(N249)/$P$3</f>
        <v>0</v>
      </c>
    </row>
    <row r="250" customFormat="false" ht="12.75" hidden="true" customHeight="false" outlineLevel="0" collapsed="false">
      <c r="A250" s="120" t="n">
        <f aca="false">A249+1</f>
        <v>37136</v>
      </c>
      <c r="B250" s="131" t="str">
        <f aca="false">INDEX('Master Data'!$A$2:$B$8,MATCH(WEEKDAY('RAC V@r Total'!A250,3),'Master Data'!$A$2:$A$8,0),2)</f>
        <v>Su</v>
      </c>
      <c r="D250" s="124" t="n">
        <v>0</v>
      </c>
      <c r="E250" s="124" t="n">
        <v>0</v>
      </c>
      <c r="F250" s="124" t="n">
        <v>0</v>
      </c>
      <c r="G250" s="124" t="n">
        <v>0</v>
      </c>
      <c r="H250" s="124" t="n">
        <v>0</v>
      </c>
      <c r="I250" s="124" t="n">
        <v>0</v>
      </c>
      <c r="J250" s="124" t="n">
        <v>0</v>
      </c>
      <c r="K250" s="124" t="n">
        <v>0</v>
      </c>
      <c r="L250" s="124" t="n">
        <v>0</v>
      </c>
      <c r="M250" s="124" t="n">
        <v>0</v>
      </c>
      <c r="N250" s="124" t="n">
        <v>0</v>
      </c>
      <c r="P250" s="124" t="n">
        <f aca="false">ABS(D250)/$P$3</f>
        <v>0</v>
      </c>
      <c r="Q250" s="124" t="n">
        <f aca="false">ABS(E250)/$P$3</f>
        <v>0</v>
      </c>
      <c r="R250" s="124" t="n">
        <f aca="false">ABS(F250)/$P$3</f>
        <v>0</v>
      </c>
      <c r="S250" s="124" t="n">
        <f aca="false">ABS(G250)/$P$3</f>
        <v>0</v>
      </c>
      <c r="T250" s="124" t="n">
        <f aca="false">ABS(H250)/$P$3</f>
        <v>0</v>
      </c>
      <c r="U250" s="124" t="n">
        <f aca="false">ABS(I250)/$P$3</f>
        <v>0</v>
      </c>
      <c r="V250" s="124" t="n">
        <f aca="false">ABS(J250)/$P$3</f>
        <v>0</v>
      </c>
      <c r="W250" s="124" t="n">
        <f aca="false">ABS(K250)/$P$3</f>
        <v>0</v>
      </c>
      <c r="X250" s="124" t="n">
        <f aca="false">ABS(L250)/$P$3</f>
        <v>0</v>
      </c>
      <c r="Y250" s="124" t="n">
        <f aca="false">ABS(M250)/$P$3</f>
        <v>0</v>
      </c>
      <c r="Z250" s="124" t="n">
        <f aca="false">ABS(N250)/$P$3</f>
        <v>0</v>
      </c>
    </row>
    <row r="251" customFormat="false" ht="12.75" hidden="true" customHeight="false" outlineLevel="0" collapsed="false">
      <c r="A251" s="120" t="n">
        <f aca="false">A250+1</f>
        <v>37137</v>
      </c>
      <c r="B251" s="131" t="str">
        <f aca="false">INDEX('Master Data'!$A$2:$B$8,MATCH(WEEKDAY('RAC V@r Total'!A251,3),'Master Data'!$A$2:$A$8,0),2)</f>
        <v>M</v>
      </c>
      <c r="D251" s="124" t="n">
        <v>0</v>
      </c>
      <c r="E251" s="124" t="n">
        <v>0</v>
      </c>
      <c r="F251" s="124" t="n">
        <v>0</v>
      </c>
      <c r="G251" s="124" t="n">
        <v>0</v>
      </c>
      <c r="H251" s="124" t="n">
        <v>0</v>
      </c>
      <c r="I251" s="124" t="n">
        <v>0</v>
      </c>
      <c r="J251" s="124" t="n">
        <v>0</v>
      </c>
      <c r="K251" s="124" t="n">
        <v>0</v>
      </c>
      <c r="L251" s="124" t="n">
        <v>0</v>
      </c>
      <c r="M251" s="124" t="n">
        <v>0</v>
      </c>
      <c r="N251" s="124" t="n">
        <v>0</v>
      </c>
      <c r="P251" s="124" t="n">
        <f aca="false">ABS(D251)/$P$3</f>
        <v>0</v>
      </c>
      <c r="Q251" s="124" t="n">
        <f aca="false">ABS(E251)/$P$3</f>
        <v>0</v>
      </c>
      <c r="R251" s="124" t="n">
        <f aca="false">ABS(F251)/$P$3</f>
        <v>0</v>
      </c>
      <c r="S251" s="124" t="n">
        <f aca="false">ABS(G251)/$P$3</f>
        <v>0</v>
      </c>
      <c r="T251" s="124" t="n">
        <f aca="false">ABS(H251)/$P$3</f>
        <v>0</v>
      </c>
      <c r="U251" s="124" t="n">
        <f aca="false">ABS(I251)/$P$3</f>
        <v>0</v>
      </c>
      <c r="V251" s="124" t="n">
        <f aca="false">ABS(J251)/$P$3</f>
        <v>0</v>
      </c>
      <c r="W251" s="124" t="n">
        <f aca="false">ABS(K251)/$P$3</f>
        <v>0</v>
      </c>
      <c r="X251" s="124" t="n">
        <f aca="false">ABS(L251)/$P$3</f>
        <v>0</v>
      </c>
      <c r="Y251" s="124" t="n">
        <f aca="false">ABS(M251)/$P$3</f>
        <v>0</v>
      </c>
      <c r="Z251" s="124" t="n">
        <f aca="false">ABS(N251)/$P$3</f>
        <v>0</v>
      </c>
    </row>
    <row r="252" customFormat="false" ht="12.75" hidden="true" customHeight="false" outlineLevel="0" collapsed="false">
      <c r="A252" s="120" t="n">
        <f aca="false">A251+1</f>
        <v>37138</v>
      </c>
      <c r="B252" s="131" t="str">
        <f aca="false">INDEX('Master Data'!$A$2:$B$8,MATCH(WEEKDAY('RAC V@r Total'!A252,3),'Master Data'!$A$2:$A$8,0),2)</f>
        <v>T</v>
      </c>
      <c r="D252" s="124" t="n">
        <v>-643436.82</v>
      </c>
      <c r="E252" s="124" t="n">
        <v>0</v>
      </c>
      <c r="F252" s="124" t="n">
        <v>0</v>
      </c>
      <c r="G252" s="124" t="n">
        <v>-398532.9526</v>
      </c>
      <c r="H252" s="124" t="n">
        <v>-72626.80152</v>
      </c>
      <c r="I252" s="124" t="n">
        <v>-643436.82</v>
      </c>
      <c r="J252" s="124" t="n">
        <v>-386631.87</v>
      </c>
      <c r="K252" s="124" t="n">
        <v>-302081.9511</v>
      </c>
      <c r="L252" s="124" t="n">
        <v>0</v>
      </c>
      <c r="M252" s="124" t="n">
        <v>-59871.84</v>
      </c>
      <c r="N252" s="124" t="n">
        <v>-321791.29</v>
      </c>
      <c r="P252" s="124" t="n">
        <f aca="false">ABS(D252)/$P$3</f>
        <v>643.43682</v>
      </c>
      <c r="Q252" s="124" t="n">
        <f aca="false">ABS(E252)/$P$3</f>
        <v>0</v>
      </c>
      <c r="R252" s="124" t="n">
        <f aca="false">ABS(F252)/$P$3</f>
        <v>0</v>
      </c>
      <c r="S252" s="124" t="n">
        <f aca="false">ABS(G252)/$P$3</f>
        <v>398.5329526</v>
      </c>
      <c r="T252" s="124" t="n">
        <f aca="false">ABS(H252)/$P$3</f>
        <v>72.62680152</v>
      </c>
      <c r="U252" s="124" t="n">
        <f aca="false">ABS(I252)/$P$3</f>
        <v>643.43682</v>
      </c>
      <c r="V252" s="124" t="n">
        <f aca="false">ABS(J252)/$P$3</f>
        <v>386.63187</v>
      </c>
      <c r="W252" s="124" t="n">
        <f aca="false">ABS(K252)/$P$3</f>
        <v>302.0819511</v>
      </c>
      <c r="X252" s="124" t="n">
        <f aca="false">ABS(L252)/$P$3</f>
        <v>0</v>
      </c>
      <c r="Y252" s="124" t="n">
        <f aca="false">ABS(M252)/$P$3</f>
        <v>59.87184</v>
      </c>
      <c r="Z252" s="124" t="n">
        <f aca="false">ABS(N252)/$P$3</f>
        <v>321.79129</v>
      </c>
    </row>
    <row r="253" customFormat="false" ht="12.75" hidden="true" customHeight="false" outlineLevel="0" collapsed="false">
      <c r="A253" s="120" t="n">
        <f aca="false">A252+1</f>
        <v>37139</v>
      </c>
      <c r="B253" s="131" t="str">
        <f aca="false">INDEX('Master Data'!$A$2:$B$8,MATCH(WEEKDAY('RAC V@r Total'!A253,3),'Master Data'!$A$2:$A$8,0),2)</f>
        <v>W</v>
      </c>
      <c r="D253" s="124" t="n">
        <v>-643887.663</v>
      </c>
      <c r="E253" s="124" t="n">
        <v>0</v>
      </c>
      <c r="F253" s="124" t="n">
        <v>0</v>
      </c>
      <c r="G253" s="124" t="n">
        <v>-396707.1576</v>
      </c>
      <c r="H253" s="124" t="n">
        <v>-72731.25808</v>
      </c>
      <c r="I253" s="124" t="n">
        <v>-643887.663</v>
      </c>
      <c r="J253" s="124" t="n">
        <v>-396707.1576</v>
      </c>
      <c r="K253" s="124" t="n">
        <v>-302981.6917</v>
      </c>
      <c r="L253" s="124" t="n">
        <v>0</v>
      </c>
      <c r="M253" s="124" t="n">
        <v>-59971.14884</v>
      </c>
      <c r="N253" s="124" t="n">
        <v>-322253.6765</v>
      </c>
      <c r="P253" s="124" t="n">
        <f aca="false">ABS(D253)/$P$3</f>
        <v>643.887663</v>
      </c>
      <c r="Q253" s="124" t="n">
        <f aca="false">ABS(E253)/$P$3</f>
        <v>0</v>
      </c>
      <c r="R253" s="124" t="n">
        <f aca="false">ABS(F253)/$P$3</f>
        <v>0</v>
      </c>
      <c r="S253" s="124" t="n">
        <f aca="false">ABS(G253)/$P$3</f>
        <v>396.7071576</v>
      </c>
      <c r="T253" s="124" t="n">
        <f aca="false">ABS(H253)/$P$3</f>
        <v>72.73125808</v>
      </c>
      <c r="U253" s="124" t="n">
        <f aca="false">ABS(I253)/$P$3</f>
        <v>643.887663</v>
      </c>
      <c r="V253" s="124" t="n">
        <f aca="false">ABS(J253)/$P$3</f>
        <v>396.7071576</v>
      </c>
      <c r="W253" s="124" t="n">
        <f aca="false">ABS(K253)/$P$3</f>
        <v>302.9816917</v>
      </c>
      <c r="X253" s="124" t="n">
        <f aca="false">ABS(L253)/$P$3</f>
        <v>0</v>
      </c>
      <c r="Y253" s="124" t="n">
        <f aca="false">ABS(M253)/$P$3</f>
        <v>59.97114884</v>
      </c>
      <c r="Z253" s="124" t="n">
        <f aca="false">ABS(N253)/$P$3</f>
        <v>322.2536765</v>
      </c>
    </row>
    <row r="254" customFormat="false" ht="12.75" hidden="true" customHeight="false" outlineLevel="0" collapsed="false">
      <c r="A254" s="120" t="n">
        <f aca="false">A253+1</f>
        <v>37140</v>
      </c>
      <c r="B254" s="131" t="str">
        <f aca="false">INDEX('Master Data'!$A$2:$B$8,MATCH(WEEKDAY('RAC V@r Total'!A254,3),'Master Data'!$A$2:$A$8,0),2)</f>
        <v>Th</v>
      </c>
      <c r="D254" s="124" t="n">
        <v>-644342.063</v>
      </c>
      <c r="E254" s="124" t="n">
        <v>0</v>
      </c>
      <c r="F254" s="124" t="n">
        <v>0</v>
      </c>
      <c r="G254" s="124" t="n">
        <v>-397441.6326</v>
      </c>
      <c r="H254" s="124" t="n">
        <v>-73274.0365</v>
      </c>
      <c r="I254" s="124" t="n">
        <v>-644342.063</v>
      </c>
      <c r="J254" s="124" t="n">
        <v>-385989.4877</v>
      </c>
      <c r="K254" s="124" t="n">
        <v>-302783.4627</v>
      </c>
      <c r="L254" s="124" t="n">
        <v>0</v>
      </c>
      <c r="M254" s="124" t="n">
        <v>-60489.63198</v>
      </c>
      <c r="N254" s="124" t="n">
        <v>-321879.0376</v>
      </c>
      <c r="P254" s="124" t="n">
        <f aca="false">ABS(D254)/$P$3</f>
        <v>644.342063</v>
      </c>
      <c r="Q254" s="124" t="n">
        <f aca="false">ABS(E254)/$P$3</f>
        <v>0</v>
      </c>
      <c r="R254" s="124" t="n">
        <f aca="false">ABS(F254)/$P$3</f>
        <v>0</v>
      </c>
      <c r="S254" s="124" t="n">
        <f aca="false">ABS(G254)/$P$3</f>
        <v>397.4416326</v>
      </c>
      <c r="T254" s="124" t="n">
        <f aca="false">ABS(H254)/$P$3</f>
        <v>73.2740365</v>
      </c>
      <c r="U254" s="124" t="n">
        <f aca="false">ABS(I254)/$P$3</f>
        <v>644.342063</v>
      </c>
      <c r="V254" s="124" t="n">
        <f aca="false">ABS(J254)/$P$3</f>
        <v>385.9894877</v>
      </c>
      <c r="W254" s="124" t="n">
        <f aca="false">ABS(K254)/$P$3</f>
        <v>302.7834627</v>
      </c>
      <c r="X254" s="124" t="n">
        <f aca="false">ABS(L254)/$P$3</f>
        <v>0</v>
      </c>
      <c r="Y254" s="124" t="n">
        <f aca="false">ABS(M254)/$P$3</f>
        <v>60.48963198</v>
      </c>
      <c r="Z254" s="124" t="n">
        <f aca="false">ABS(N254)/$P$3</f>
        <v>321.8790376</v>
      </c>
    </row>
    <row r="255" customFormat="false" ht="12.75" hidden="true" customHeight="false" outlineLevel="0" collapsed="false">
      <c r="A255" s="120" t="n">
        <f aca="false">A254+1</f>
        <v>37141</v>
      </c>
      <c r="B255" s="131" t="str">
        <f aca="false">INDEX('Master Data'!$A$2:$B$8,MATCH(WEEKDAY('RAC V@r Total'!A255,3),'Master Data'!$A$2:$A$8,0),2)</f>
        <v>F</v>
      </c>
      <c r="D255" s="124" t="n">
        <v>-644800.09</v>
      </c>
      <c r="E255" s="124" t="n">
        <v>0</v>
      </c>
      <c r="F255" s="124" t="n">
        <v>0</v>
      </c>
      <c r="G255" s="124" t="n">
        <v>-398774.7</v>
      </c>
      <c r="H255" s="124" t="n">
        <v>-60809.26</v>
      </c>
      <c r="I255" s="124" t="n">
        <v>-644800.09</v>
      </c>
      <c r="J255" s="124" t="n">
        <v>-387060.07</v>
      </c>
      <c r="K255" s="124" t="n">
        <v>-302708.26</v>
      </c>
      <c r="L255" s="124" t="n">
        <v>0</v>
      </c>
      <c r="M255" s="124" t="n">
        <v>-60809.26</v>
      </c>
      <c r="N255" s="124" t="n">
        <v>-322134.16</v>
      </c>
      <c r="P255" s="124" t="n">
        <f aca="false">ABS(D255)/$P$3</f>
        <v>644.80009</v>
      </c>
      <c r="Q255" s="124" t="n">
        <f aca="false">ABS(E255)/$P$3</f>
        <v>0</v>
      </c>
      <c r="R255" s="124" t="n">
        <f aca="false">ABS(F255)/$P$3</f>
        <v>0</v>
      </c>
      <c r="S255" s="124" t="n">
        <f aca="false">ABS(G255)/$P$3</f>
        <v>398.7747</v>
      </c>
      <c r="T255" s="124" t="n">
        <f aca="false">ABS(H255)/$P$3</f>
        <v>60.80926</v>
      </c>
      <c r="U255" s="124" t="n">
        <f aca="false">ABS(I255)/$P$3</f>
        <v>644.80009</v>
      </c>
      <c r="V255" s="124" t="n">
        <f aca="false">ABS(J255)/$P$3</f>
        <v>387.06007</v>
      </c>
      <c r="W255" s="124" t="n">
        <f aca="false">ABS(K255)/$P$3</f>
        <v>302.70826</v>
      </c>
      <c r="X255" s="124" t="n">
        <f aca="false">ABS(L255)/$P$3</f>
        <v>0</v>
      </c>
      <c r="Y255" s="124" t="n">
        <f aca="false">ABS(M255)/$P$3</f>
        <v>60.80926</v>
      </c>
      <c r="Z255" s="124" t="n">
        <f aca="false">ABS(N255)/$P$3</f>
        <v>322.13416</v>
      </c>
    </row>
    <row r="256" customFormat="false" ht="12.75" hidden="true" customHeight="false" outlineLevel="0" collapsed="false">
      <c r="A256" s="120" t="n">
        <f aca="false">A255+1</f>
        <v>37142</v>
      </c>
      <c r="B256" s="131" t="str">
        <f aca="false">INDEX('Master Data'!$A$2:$B$8,MATCH(WEEKDAY('RAC V@r Total'!A256,3),'Master Data'!$A$2:$A$8,0),2)</f>
        <v>Sa</v>
      </c>
      <c r="D256" s="124" t="n">
        <v>0</v>
      </c>
      <c r="E256" s="124" t="n">
        <v>0</v>
      </c>
      <c r="F256" s="124" t="n">
        <v>0</v>
      </c>
      <c r="G256" s="124" t="n">
        <v>0</v>
      </c>
      <c r="H256" s="124" t="n">
        <v>0</v>
      </c>
      <c r="I256" s="124" t="n">
        <v>0</v>
      </c>
      <c r="J256" s="124" t="n">
        <v>0</v>
      </c>
      <c r="K256" s="124" t="n">
        <v>0</v>
      </c>
      <c r="L256" s="124" t="n">
        <v>0</v>
      </c>
      <c r="M256" s="124" t="n">
        <v>0</v>
      </c>
      <c r="N256" s="124" t="n">
        <v>0</v>
      </c>
      <c r="P256" s="124" t="n">
        <f aca="false">ABS(D256)/$P$3</f>
        <v>0</v>
      </c>
      <c r="Q256" s="124" t="n">
        <f aca="false">ABS(E256)/$P$3</f>
        <v>0</v>
      </c>
      <c r="R256" s="124" t="n">
        <f aca="false">ABS(F256)/$P$3</f>
        <v>0</v>
      </c>
      <c r="S256" s="124" t="n">
        <f aca="false">ABS(G256)/$P$3</f>
        <v>0</v>
      </c>
      <c r="T256" s="124" t="n">
        <f aca="false">ABS(H256)/$P$3</f>
        <v>0</v>
      </c>
      <c r="U256" s="124" t="n">
        <f aca="false">ABS(I256)/$P$3</f>
        <v>0</v>
      </c>
      <c r="V256" s="124" t="n">
        <f aca="false">ABS(J256)/$P$3</f>
        <v>0</v>
      </c>
      <c r="W256" s="124" t="n">
        <f aca="false">ABS(K256)/$P$3</f>
        <v>0</v>
      </c>
      <c r="X256" s="124" t="n">
        <f aca="false">ABS(L256)/$P$3</f>
        <v>0</v>
      </c>
      <c r="Y256" s="124" t="n">
        <f aca="false">ABS(M256)/$P$3</f>
        <v>0</v>
      </c>
      <c r="Z256" s="124" t="n">
        <f aca="false">ABS(N256)/$P$3</f>
        <v>0</v>
      </c>
    </row>
    <row r="257" customFormat="false" ht="12.75" hidden="true" customHeight="false" outlineLevel="0" collapsed="false">
      <c r="A257" s="120" t="n">
        <f aca="false">A256+1</f>
        <v>37143</v>
      </c>
      <c r="B257" s="131" t="str">
        <f aca="false">INDEX('Master Data'!$A$2:$B$8,MATCH(WEEKDAY('RAC V@r Total'!A257,3),'Master Data'!$A$2:$A$8,0),2)</f>
        <v>Su</v>
      </c>
      <c r="D257" s="124" t="n">
        <v>0</v>
      </c>
      <c r="E257" s="124" t="n">
        <v>0</v>
      </c>
      <c r="F257" s="124" t="n">
        <v>0</v>
      </c>
      <c r="G257" s="124" t="n">
        <v>0</v>
      </c>
      <c r="H257" s="124" t="n">
        <v>0</v>
      </c>
      <c r="I257" s="124" t="n">
        <v>0</v>
      </c>
      <c r="J257" s="124" t="n">
        <v>0</v>
      </c>
      <c r="K257" s="124" t="n">
        <v>0</v>
      </c>
      <c r="L257" s="124" t="n">
        <v>0</v>
      </c>
      <c r="M257" s="124" t="n">
        <v>0</v>
      </c>
      <c r="N257" s="124" t="n">
        <v>0</v>
      </c>
      <c r="P257" s="124" t="n">
        <f aca="false">ABS(D257)/$P$3</f>
        <v>0</v>
      </c>
      <c r="Q257" s="124" t="n">
        <f aca="false">ABS(E257)/$P$3</f>
        <v>0</v>
      </c>
      <c r="R257" s="124" t="n">
        <f aca="false">ABS(F257)/$P$3</f>
        <v>0</v>
      </c>
      <c r="S257" s="124" t="n">
        <f aca="false">ABS(G257)/$P$3</f>
        <v>0</v>
      </c>
      <c r="T257" s="124" t="n">
        <f aca="false">ABS(H257)/$P$3</f>
        <v>0</v>
      </c>
      <c r="U257" s="124" t="n">
        <f aca="false">ABS(I257)/$P$3</f>
        <v>0</v>
      </c>
      <c r="V257" s="124" t="n">
        <f aca="false">ABS(J257)/$P$3</f>
        <v>0</v>
      </c>
      <c r="W257" s="124" t="n">
        <f aca="false">ABS(K257)/$P$3</f>
        <v>0</v>
      </c>
      <c r="X257" s="124" t="n">
        <f aca="false">ABS(L257)/$P$3</f>
        <v>0</v>
      </c>
      <c r="Y257" s="124" t="n">
        <f aca="false">ABS(M257)/$P$3</f>
        <v>0</v>
      </c>
      <c r="Z257" s="124" t="n">
        <f aca="false">ABS(N257)/$P$3</f>
        <v>0</v>
      </c>
    </row>
    <row r="258" customFormat="false" ht="12.75" hidden="true" customHeight="false" outlineLevel="0" collapsed="false">
      <c r="A258" s="120" t="n">
        <f aca="false">A257+1</f>
        <v>37144</v>
      </c>
      <c r="B258" s="131" t="str">
        <f aca="false">INDEX('Master Data'!$A$2:$B$8,MATCH(WEEKDAY('RAC V@r Total'!A258,3),'Master Data'!$A$2:$A$8,0),2)</f>
        <v>M</v>
      </c>
      <c r="D258" s="124" t="n">
        <v>-646196.7383</v>
      </c>
      <c r="E258" s="124" t="n">
        <v>0</v>
      </c>
      <c r="F258" s="124" t="n">
        <v>0</v>
      </c>
      <c r="G258" s="124" t="n">
        <v>-400276.8015</v>
      </c>
      <c r="H258" s="124" t="n">
        <v>-73426.8916</v>
      </c>
      <c r="I258" s="124" t="n">
        <v>-646196.7383</v>
      </c>
      <c r="J258" s="124" t="n">
        <v>-388558.9578</v>
      </c>
      <c r="K258" s="124" t="n">
        <v>-303192.2981</v>
      </c>
      <c r="L258" s="124" t="n">
        <v>0</v>
      </c>
      <c r="M258" s="124" t="n">
        <v>-60631.07762</v>
      </c>
      <c r="N258" s="124" t="n">
        <v>-323080.4605</v>
      </c>
      <c r="P258" s="124" t="n">
        <f aca="false">ABS(D258)/$P$3</f>
        <v>646.1967383</v>
      </c>
      <c r="Q258" s="124" t="n">
        <f aca="false">ABS(E258)/$P$3</f>
        <v>0</v>
      </c>
      <c r="R258" s="124" t="n">
        <f aca="false">ABS(F258)/$P$3</f>
        <v>0</v>
      </c>
      <c r="S258" s="124" t="n">
        <f aca="false">ABS(G258)/$P$3</f>
        <v>400.2768015</v>
      </c>
      <c r="T258" s="124" t="n">
        <f aca="false">ABS(H258)/$P$3</f>
        <v>73.4268916</v>
      </c>
      <c r="U258" s="124" t="n">
        <f aca="false">ABS(I258)/$P$3</f>
        <v>646.1967383</v>
      </c>
      <c r="V258" s="124" t="n">
        <f aca="false">ABS(J258)/$P$3</f>
        <v>388.5589578</v>
      </c>
      <c r="W258" s="124" t="n">
        <f aca="false">ABS(K258)/$P$3</f>
        <v>303.1922981</v>
      </c>
      <c r="X258" s="124" t="n">
        <f aca="false">ABS(L258)/$P$3</f>
        <v>0</v>
      </c>
      <c r="Y258" s="124" t="n">
        <f aca="false">ABS(M258)/$P$3</f>
        <v>60.63107762</v>
      </c>
      <c r="Z258" s="124" t="n">
        <f aca="false">ABS(N258)/$P$3</f>
        <v>323.0804605</v>
      </c>
    </row>
    <row r="259" customFormat="false" ht="12.75" hidden="true" customHeight="false" outlineLevel="0" collapsed="false">
      <c r="A259" s="120" t="n">
        <f aca="false">A258+1</f>
        <v>37145</v>
      </c>
      <c r="B259" s="131" t="str">
        <f aca="false">INDEX('Master Data'!$A$2:$B$8,MATCH(WEEKDAY('RAC V@r Total'!A259,3),'Master Data'!$A$2:$A$8,0),2)</f>
        <v>T</v>
      </c>
      <c r="D259" s="124" t="n">
        <v>0</v>
      </c>
      <c r="E259" s="124" t="n">
        <v>0</v>
      </c>
      <c r="F259" s="124" t="n">
        <v>0</v>
      </c>
      <c r="G259" s="124" t="n">
        <v>0</v>
      </c>
      <c r="H259" s="124" t="n">
        <v>0</v>
      </c>
      <c r="I259" s="124" t="n">
        <v>0</v>
      </c>
      <c r="J259" s="124" t="n">
        <v>0</v>
      </c>
      <c r="K259" s="124" t="n">
        <v>0</v>
      </c>
      <c r="L259" s="124" t="n">
        <v>0</v>
      </c>
      <c r="M259" s="124" t="n">
        <v>0</v>
      </c>
      <c r="N259" s="124" t="n">
        <v>0</v>
      </c>
      <c r="P259" s="124" t="n">
        <f aca="false">ABS(D259)/$P$3</f>
        <v>0</v>
      </c>
      <c r="Q259" s="124" t="n">
        <f aca="false">ABS(E259)/$P$3</f>
        <v>0</v>
      </c>
      <c r="R259" s="124" t="n">
        <f aca="false">ABS(F259)/$P$3</f>
        <v>0</v>
      </c>
      <c r="S259" s="124" t="n">
        <f aca="false">ABS(G259)/$P$3</f>
        <v>0</v>
      </c>
      <c r="T259" s="124" t="n">
        <f aca="false">ABS(H259)/$P$3</f>
        <v>0</v>
      </c>
      <c r="U259" s="124" t="n">
        <f aca="false">ABS(I259)/$P$3</f>
        <v>0</v>
      </c>
      <c r="V259" s="124" t="n">
        <f aca="false">ABS(J259)/$P$3</f>
        <v>0</v>
      </c>
      <c r="W259" s="124" t="n">
        <f aca="false">ABS(K259)/$P$3</f>
        <v>0</v>
      </c>
      <c r="X259" s="124" t="n">
        <f aca="false">ABS(L259)/$P$3</f>
        <v>0</v>
      </c>
      <c r="Y259" s="124" t="n">
        <f aca="false">ABS(M259)/$P$3</f>
        <v>0</v>
      </c>
      <c r="Z259" s="124" t="n">
        <f aca="false">ABS(N259)/$P$3</f>
        <v>0</v>
      </c>
    </row>
    <row r="260" customFormat="false" ht="12.75" hidden="true" customHeight="false" outlineLevel="0" collapsed="false">
      <c r="A260" s="120" t="n">
        <f aca="false">A259+1</f>
        <v>37146</v>
      </c>
      <c r="B260" s="131" t="str">
        <f aca="false">INDEX('Master Data'!$A$2:$B$8,MATCH(WEEKDAY('RAC V@r Total'!A260,3),'Master Data'!$A$2:$A$8,0),2)</f>
        <v>W</v>
      </c>
      <c r="D260" s="124" t="n">
        <v>-647147.4355</v>
      </c>
      <c r="E260" s="124" t="n">
        <v>0</v>
      </c>
      <c r="F260" s="124" t="n">
        <v>0</v>
      </c>
      <c r="G260" s="124" t="n">
        <v>-401801.7853</v>
      </c>
      <c r="H260" s="124" t="n">
        <v>-62561.72426</v>
      </c>
      <c r="I260" s="124" t="n">
        <v>-647147.4355</v>
      </c>
      <c r="J260" s="124" t="n">
        <v>-390929.2732</v>
      </c>
      <c r="K260" s="124" t="n">
        <v>-303444.0928</v>
      </c>
      <c r="L260" s="124" t="n">
        <v>0</v>
      </c>
      <c r="M260" s="124" t="n">
        <v>-62561.72426</v>
      </c>
      <c r="N260" s="124" t="n">
        <v>-323009.4814</v>
      </c>
      <c r="P260" s="124" t="n">
        <f aca="false">ABS(D260)/$P$3</f>
        <v>647.1474355</v>
      </c>
      <c r="Q260" s="124" t="n">
        <f aca="false">ABS(E260)/$P$3</f>
        <v>0</v>
      </c>
      <c r="R260" s="124" t="n">
        <f aca="false">ABS(F260)/$P$3</f>
        <v>0</v>
      </c>
      <c r="S260" s="124" t="n">
        <f aca="false">ABS(G260)/$P$3</f>
        <v>401.8017853</v>
      </c>
      <c r="T260" s="124" t="n">
        <f aca="false">ABS(H260)/$P$3</f>
        <v>62.56172426</v>
      </c>
      <c r="U260" s="124" t="n">
        <f aca="false">ABS(I260)/$P$3</f>
        <v>647.1474355</v>
      </c>
      <c r="V260" s="124" t="n">
        <f aca="false">ABS(J260)/$P$3</f>
        <v>390.9292732</v>
      </c>
      <c r="W260" s="124" t="n">
        <f aca="false">ABS(K260)/$P$3</f>
        <v>303.4440928</v>
      </c>
      <c r="X260" s="124" t="n">
        <f aca="false">ABS(L260)/$P$3</f>
        <v>0</v>
      </c>
      <c r="Y260" s="124" t="n">
        <f aca="false">ABS(M260)/$P$3</f>
        <v>62.56172426</v>
      </c>
      <c r="Z260" s="124" t="n">
        <f aca="false">ABS(N260)/$P$3</f>
        <v>323.0094814</v>
      </c>
    </row>
    <row r="261" customFormat="false" ht="12.75" hidden="true" customHeight="false" outlineLevel="0" collapsed="false">
      <c r="A261" s="120" t="n">
        <f aca="false">A260+1</f>
        <v>37147</v>
      </c>
      <c r="B261" s="131" t="str">
        <f aca="false">INDEX('Master Data'!$A$2:$B$8,MATCH(WEEKDAY('RAC V@r Total'!A261,3),'Master Data'!$A$2:$A$8,0),2)</f>
        <v>Th</v>
      </c>
      <c r="D261" s="124" t="n">
        <v>-647628.9191</v>
      </c>
      <c r="E261" s="124" t="n">
        <v>0</v>
      </c>
      <c r="F261" s="124" t="n">
        <v>0</v>
      </c>
      <c r="G261" s="124" t="n">
        <v>-401942.8571</v>
      </c>
      <c r="H261" s="124" t="n">
        <v>-73725.90702</v>
      </c>
      <c r="I261" s="124" t="n">
        <v>-647628.9191</v>
      </c>
      <c r="J261" s="124" t="n">
        <v>-391103.6434</v>
      </c>
      <c r="K261" s="124" t="n">
        <v>-303657.8174</v>
      </c>
      <c r="L261" s="124" t="n">
        <v>0</v>
      </c>
      <c r="M261" s="124" t="n">
        <v>-63076.54486</v>
      </c>
      <c r="N261" s="124" t="n">
        <v>-323619.6516</v>
      </c>
      <c r="P261" s="124" t="n">
        <f aca="false">ABS(D261)/$P$3</f>
        <v>647.6289191</v>
      </c>
      <c r="Q261" s="124" t="n">
        <f aca="false">ABS(E261)/$P$3</f>
        <v>0</v>
      </c>
      <c r="R261" s="124" t="n">
        <f aca="false">ABS(F261)/$P$3</f>
        <v>0</v>
      </c>
      <c r="S261" s="124" t="n">
        <f aca="false">ABS(G261)/$P$3</f>
        <v>401.9428571</v>
      </c>
      <c r="T261" s="124" t="n">
        <f aca="false">ABS(H261)/$P$3</f>
        <v>73.72590702</v>
      </c>
      <c r="U261" s="124" t="n">
        <f aca="false">ABS(I261)/$P$3</f>
        <v>647.6289191</v>
      </c>
      <c r="V261" s="124" t="n">
        <f aca="false">ABS(J261)/$P$3</f>
        <v>391.1036434</v>
      </c>
      <c r="W261" s="124" t="n">
        <f aca="false">ABS(K261)/$P$3</f>
        <v>303.6578174</v>
      </c>
      <c r="X261" s="124" t="n">
        <f aca="false">ABS(L261)/$P$3</f>
        <v>0</v>
      </c>
      <c r="Y261" s="124" t="n">
        <f aca="false">ABS(M261)/$P$3</f>
        <v>63.07654486</v>
      </c>
      <c r="Z261" s="124" t="n">
        <f aca="false">ABS(N261)/$P$3</f>
        <v>323.6196516</v>
      </c>
    </row>
    <row r="262" customFormat="false" ht="12.75" hidden="true" customHeight="false" outlineLevel="0" collapsed="false">
      <c r="A262" s="120" t="n">
        <f aca="false">A261+1</f>
        <v>37148</v>
      </c>
      <c r="B262" s="131" t="str">
        <f aca="false">INDEX('Master Data'!$A$2:$B$8,MATCH(WEEKDAY('RAC V@r Total'!A262,3),'Master Data'!$A$2:$A$8,0),2)</f>
        <v>F</v>
      </c>
      <c r="D262" s="124" t="n">
        <v>-648114.61</v>
      </c>
      <c r="E262" s="124" t="n">
        <v>0</v>
      </c>
      <c r="F262" s="124" t="n">
        <v>0</v>
      </c>
      <c r="G262" s="124" t="n">
        <v>-403838.42</v>
      </c>
      <c r="H262" s="124" t="n">
        <v>-63427.79</v>
      </c>
      <c r="I262" s="124" t="n">
        <v>-648114.61</v>
      </c>
      <c r="J262" s="124" t="n">
        <v>-392542.54</v>
      </c>
      <c r="K262" s="124" t="n">
        <v>-303704.48</v>
      </c>
      <c r="L262" s="124" t="n">
        <v>0</v>
      </c>
      <c r="M262" s="124" t="n">
        <v>-63427.79</v>
      </c>
      <c r="N262" s="124" t="n">
        <v>-323729.17</v>
      </c>
      <c r="P262" s="124" t="n">
        <f aca="false">ABS(D262)/$P$3</f>
        <v>648.11461</v>
      </c>
      <c r="Q262" s="124" t="n">
        <f aca="false">ABS(E262)/$P$3</f>
        <v>0</v>
      </c>
      <c r="R262" s="124" t="n">
        <f aca="false">ABS(F262)/$P$3</f>
        <v>0</v>
      </c>
      <c r="S262" s="124" t="n">
        <f aca="false">ABS(G262)/$P$3</f>
        <v>403.83842</v>
      </c>
      <c r="T262" s="124" t="n">
        <f aca="false">ABS(H262)/$P$3</f>
        <v>63.42779</v>
      </c>
      <c r="U262" s="124" t="n">
        <f aca="false">ABS(I262)/$P$3</f>
        <v>648.11461</v>
      </c>
      <c r="V262" s="124" t="n">
        <f aca="false">ABS(J262)/$P$3</f>
        <v>392.54254</v>
      </c>
      <c r="W262" s="124" t="n">
        <f aca="false">ABS(K262)/$P$3</f>
        <v>303.70448</v>
      </c>
      <c r="X262" s="124" t="n">
        <f aca="false">ABS(L262)/$P$3</f>
        <v>0</v>
      </c>
      <c r="Y262" s="124" t="n">
        <f aca="false">ABS(M262)/$P$3</f>
        <v>63.42779</v>
      </c>
      <c r="Z262" s="124" t="n">
        <f aca="false">ABS(N262)/$P$3</f>
        <v>323.72917</v>
      </c>
    </row>
    <row r="263" customFormat="false" ht="12.75" hidden="true" customHeight="false" outlineLevel="0" collapsed="false">
      <c r="A263" s="120" t="n">
        <f aca="false">A262+1</f>
        <v>37149</v>
      </c>
      <c r="B263" s="131" t="str">
        <f aca="false">INDEX('Master Data'!$A$2:$B$8,MATCH(WEEKDAY('RAC V@r Total'!A263,3),'Master Data'!$A$2:$A$8,0),2)</f>
        <v>Sa</v>
      </c>
      <c r="D263" s="124" t="n">
        <v>0</v>
      </c>
      <c r="E263" s="124" t="n">
        <v>0</v>
      </c>
      <c r="F263" s="124" t="n">
        <v>0</v>
      </c>
      <c r="G263" s="124" t="n">
        <v>0</v>
      </c>
      <c r="H263" s="124" t="n">
        <v>0</v>
      </c>
      <c r="I263" s="124" t="n">
        <v>0</v>
      </c>
      <c r="J263" s="124" t="n">
        <v>0</v>
      </c>
      <c r="K263" s="124" t="n">
        <v>0</v>
      </c>
      <c r="L263" s="124" t="n">
        <v>0</v>
      </c>
      <c r="M263" s="124" t="n">
        <v>0</v>
      </c>
      <c r="N263" s="124" t="n">
        <v>0</v>
      </c>
      <c r="P263" s="124" t="n">
        <f aca="false">ABS(D263)/$P$3</f>
        <v>0</v>
      </c>
      <c r="Q263" s="124" t="n">
        <f aca="false">ABS(E263)/$P$3</f>
        <v>0</v>
      </c>
      <c r="R263" s="124" t="n">
        <f aca="false">ABS(F263)/$P$3</f>
        <v>0</v>
      </c>
      <c r="S263" s="124" t="n">
        <f aca="false">ABS(G263)/$P$3</f>
        <v>0</v>
      </c>
      <c r="T263" s="124" t="n">
        <f aca="false">ABS(H263)/$P$3</f>
        <v>0</v>
      </c>
      <c r="U263" s="124" t="n">
        <f aca="false">ABS(I263)/$P$3</f>
        <v>0</v>
      </c>
      <c r="V263" s="124" t="n">
        <f aca="false">ABS(J263)/$P$3</f>
        <v>0</v>
      </c>
      <c r="W263" s="124" t="n">
        <f aca="false">ABS(K263)/$P$3</f>
        <v>0</v>
      </c>
      <c r="X263" s="124" t="n">
        <f aca="false">ABS(L263)/$P$3</f>
        <v>0</v>
      </c>
      <c r="Y263" s="124" t="n">
        <f aca="false">ABS(M263)/$P$3</f>
        <v>0</v>
      </c>
      <c r="Z263" s="124" t="n">
        <f aca="false">ABS(N263)/$P$3</f>
        <v>0</v>
      </c>
    </row>
    <row r="264" customFormat="false" ht="12.75" hidden="true" customHeight="false" outlineLevel="0" collapsed="false">
      <c r="A264" s="120" t="n">
        <f aca="false">A263+1</f>
        <v>37150</v>
      </c>
      <c r="B264" s="131" t="str">
        <f aca="false">INDEX('Master Data'!$A$2:$B$8,MATCH(WEEKDAY('RAC V@r Total'!A264,3),'Master Data'!$A$2:$A$8,0),2)</f>
        <v>Su</v>
      </c>
      <c r="D264" s="124" t="n">
        <v>0</v>
      </c>
      <c r="E264" s="124" t="n">
        <v>0</v>
      </c>
      <c r="F264" s="124" t="n">
        <v>0</v>
      </c>
      <c r="G264" s="124" t="n">
        <v>0</v>
      </c>
      <c r="H264" s="124" t="n">
        <v>0</v>
      </c>
      <c r="I264" s="124" t="n">
        <v>0</v>
      </c>
      <c r="J264" s="124" t="n">
        <v>0</v>
      </c>
      <c r="K264" s="124" t="n">
        <v>0</v>
      </c>
      <c r="L264" s="124" t="n">
        <v>0</v>
      </c>
      <c r="M264" s="124" t="n">
        <v>0</v>
      </c>
      <c r="N264" s="124" t="n">
        <v>0</v>
      </c>
      <c r="P264" s="124" t="n">
        <f aca="false">ABS(D264)/$P$3</f>
        <v>0</v>
      </c>
      <c r="Q264" s="124" t="n">
        <f aca="false">ABS(E264)/$P$3</f>
        <v>0</v>
      </c>
      <c r="R264" s="124" t="n">
        <f aca="false">ABS(F264)/$P$3</f>
        <v>0</v>
      </c>
      <c r="S264" s="124" t="n">
        <f aca="false">ABS(G264)/$P$3</f>
        <v>0</v>
      </c>
      <c r="T264" s="124" t="n">
        <f aca="false">ABS(H264)/$P$3</f>
        <v>0</v>
      </c>
      <c r="U264" s="124" t="n">
        <f aca="false">ABS(I264)/$P$3</f>
        <v>0</v>
      </c>
      <c r="V264" s="124" t="n">
        <f aca="false">ABS(J264)/$P$3</f>
        <v>0</v>
      </c>
      <c r="W264" s="124" t="n">
        <f aca="false">ABS(K264)/$P$3</f>
        <v>0</v>
      </c>
      <c r="X264" s="124" t="n">
        <f aca="false">ABS(L264)/$P$3</f>
        <v>0</v>
      </c>
      <c r="Y264" s="124" t="n">
        <f aca="false">ABS(M264)/$P$3</f>
        <v>0</v>
      </c>
      <c r="Z264" s="124" t="n">
        <f aca="false">ABS(N264)/$P$3</f>
        <v>0</v>
      </c>
    </row>
    <row r="265" customFormat="false" ht="12.75" hidden="true" customHeight="false" outlineLevel="0" collapsed="false">
      <c r="A265" s="120" t="n">
        <f aca="false">A264+1</f>
        <v>37151</v>
      </c>
      <c r="B265" s="131" t="str">
        <f aca="false">INDEX('Master Data'!$A$2:$B$8,MATCH(WEEKDAY('RAC V@r Total'!A265,3),'Master Data'!$A$2:$A$8,0),2)</f>
        <v>M</v>
      </c>
      <c r="D265" s="124" t="n">
        <v>-649597.88</v>
      </c>
      <c r="E265" s="124" t="n">
        <v>0</v>
      </c>
      <c r="F265" s="124" t="n">
        <v>0</v>
      </c>
      <c r="G265" s="124" t="n">
        <v>-405167.95</v>
      </c>
      <c r="H265" s="124" t="n">
        <v>-63255.72</v>
      </c>
      <c r="I265" s="124" t="n">
        <v>-649597.88</v>
      </c>
      <c r="J265" s="124" t="n">
        <v>-393900.24</v>
      </c>
      <c r="K265" s="124" t="n">
        <v>-304268.9</v>
      </c>
      <c r="L265" s="124" t="n">
        <v>0</v>
      </c>
      <c r="M265" s="124" t="n">
        <v>-63255.72</v>
      </c>
      <c r="N265" s="124" t="n">
        <v>-324517.21</v>
      </c>
      <c r="P265" s="124" t="n">
        <f aca="false">ABS(D265)/$P$3</f>
        <v>649.59788</v>
      </c>
      <c r="Q265" s="124" t="n">
        <f aca="false">ABS(E265)/$P$3</f>
        <v>0</v>
      </c>
      <c r="R265" s="124" t="n">
        <f aca="false">ABS(F265)/$P$3</f>
        <v>0</v>
      </c>
      <c r="S265" s="124" t="n">
        <f aca="false">ABS(G265)/$P$3</f>
        <v>405.16795</v>
      </c>
      <c r="T265" s="124" t="n">
        <f aca="false">ABS(H265)/$P$3</f>
        <v>63.25572</v>
      </c>
      <c r="U265" s="124" t="n">
        <f aca="false">ABS(I265)/$P$3</f>
        <v>649.59788</v>
      </c>
      <c r="V265" s="124" t="n">
        <f aca="false">ABS(J265)/$P$3</f>
        <v>393.90024</v>
      </c>
      <c r="W265" s="124" t="n">
        <f aca="false">ABS(K265)/$P$3</f>
        <v>304.2689</v>
      </c>
      <c r="X265" s="124" t="n">
        <f aca="false">ABS(L265)/$P$3</f>
        <v>0</v>
      </c>
      <c r="Y265" s="124" t="n">
        <f aca="false">ABS(M265)/$P$3</f>
        <v>63.25572</v>
      </c>
      <c r="Z265" s="124" t="n">
        <f aca="false">ABS(N265)/$P$3</f>
        <v>324.51721</v>
      </c>
    </row>
    <row r="266" customFormat="false" ht="12.75" hidden="true" customHeight="false" outlineLevel="0" collapsed="false">
      <c r="A266" s="120" t="n">
        <f aca="false">A265+1</f>
        <v>37152</v>
      </c>
      <c r="B266" s="131" t="str">
        <f aca="false">INDEX('Master Data'!$A$2:$B$8,MATCH(WEEKDAY('RAC V@r Total'!A266,3),'Master Data'!$A$2:$A$8,0),2)</f>
        <v>T</v>
      </c>
      <c r="D266" s="124" t="n">
        <v>-650101.37</v>
      </c>
      <c r="E266" s="124" t="n">
        <v>0</v>
      </c>
      <c r="F266" s="124" t="n">
        <v>0</v>
      </c>
      <c r="G266" s="124" t="n">
        <v>-405229.29</v>
      </c>
      <c r="H266" s="124" t="n">
        <v>-63049.89</v>
      </c>
      <c r="I266" s="124" t="n">
        <v>-650101.37</v>
      </c>
      <c r="J266" s="124" t="n">
        <v>-394117.35</v>
      </c>
      <c r="K266" s="124" t="n">
        <v>-304473.5</v>
      </c>
      <c r="L266" s="124" t="n">
        <v>0</v>
      </c>
      <c r="M266" s="124" t="n">
        <v>-63049.89</v>
      </c>
      <c r="N266" s="124" t="n">
        <v>-324718.62</v>
      </c>
      <c r="P266" s="124" t="n">
        <f aca="false">ABS(D266)/$P$3</f>
        <v>650.10137</v>
      </c>
      <c r="Q266" s="124" t="n">
        <f aca="false">ABS(E266)/$P$3</f>
        <v>0</v>
      </c>
      <c r="R266" s="124" t="n">
        <f aca="false">ABS(F266)/$P$3</f>
        <v>0</v>
      </c>
      <c r="S266" s="124" t="n">
        <f aca="false">ABS(G266)/$P$3</f>
        <v>405.22929</v>
      </c>
      <c r="T266" s="124" t="n">
        <f aca="false">ABS(H266)/$P$3</f>
        <v>63.04989</v>
      </c>
      <c r="U266" s="124" t="n">
        <f aca="false">ABS(I266)/$P$3</f>
        <v>650.10137</v>
      </c>
      <c r="V266" s="124" t="n">
        <f aca="false">ABS(J266)/$P$3</f>
        <v>394.11735</v>
      </c>
      <c r="W266" s="124" t="n">
        <f aca="false">ABS(K266)/$P$3</f>
        <v>304.4735</v>
      </c>
      <c r="X266" s="124" t="n">
        <f aca="false">ABS(L266)/$P$3</f>
        <v>0</v>
      </c>
      <c r="Y266" s="124" t="n">
        <f aca="false">ABS(M266)/$P$3</f>
        <v>63.04989</v>
      </c>
      <c r="Z266" s="124" t="n">
        <f aca="false">ABS(N266)/$P$3</f>
        <v>324.71862</v>
      </c>
    </row>
    <row r="267" customFormat="false" ht="12.75" hidden="true" customHeight="false" outlineLevel="0" collapsed="false">
      <c r="A267" s="120" t="n">
        <f aca="false">A266+1</f>
        <v>37153</v>
      </c>
      <c r="B267" s="131" t="str">
        <f aca="false">INDEX('Master Data'!$A$2:$B$8,MATCH(WEEKDAY('RAC V@r Total'!A267,3),'Master Data'!$A$2:$A$8,0),2)</f>
        <v>W</v>
      </c>
      <c r="D267" s="124" t="n">
        <v>-650609.55</v>
      </c>
      <c r="E267" s="124" t="n">
        <v>0</v>
      </c>
      <c r="F267" s="124" t="n">
        <v>0</v>
      </c>
      <c r="G267" s="124" t="n">
        <v>-405222.5</v>
      </c>
      <c r="H267" s="124" t="n">
        <v>-63372.95</v>
      </c>
      <c r="I267" s="124" t="n">
        <v>-650609.55</v>
      </c>
      <c r="J267" s="124" t="n">
        <v>-394227.56</v>
      </c>
      <c r="K267" s="124" t="n">
        <v>-304680.05</v>
      </c>
      <c r="L267" s="124" t="n">
        <v>0</v>
      </c>
      <c r="M267" s="124" t="n">
        <v>-63372.95</v>
      </c>
      <c r="N267" s="124" t="n">
        <v>-324846.71</v>
      </c>
      <c r="P267" s="124" t="n">
        <f aca="false">ABS(D267)/$P$3</f>
        <v>650.60955</v>
      </c>
      <c r="Q267" s="124" t="n">
        <f aca="false">ABS(E267)/$P$3</f>
        <v>0</v>
      </c>
      <c r="R267" s="124" t="n">
        <f aca="false">ABS(F267)/$P$3</f>
        <v>0</v>
      </c>
      <c r="S267" s="124" t="n">
        <f aca="false">ABS(G267)/$P$3</f>
        <v>405.2225</v>
      </c>
      <c r="T267" s="124" t="n">
        <f aca="false">ABS(H267)/$P$3</f>
        <v>63.37295</v>
      </c>
      <c r="U267" s="124" t="n">
        <f aca="false">ABS(I267)/$P$3</f>
        <v>650.60955</v>
      </c>
      <c r="V267" s="124" t="n">
        <f aca="false">ABS(J267)/$P$3</f>
        <v>394.22756</v>
      </c>
      <c r="W267" s="124" t="n">
        <f aca="false">ABS(K267)/$P$3</f>
        <v>304.68005</v>
      </c>
      <c r="X267" s="124" t="n">
        <f aca="false">ABS(L267)/$P$3</f>
        <v>0</v>
      </c>
      <c r="Y267" s="124" t="n">
        <f aca="false">ABS(M267)/$P$3</f>
        <v>63.37295</v>
      </c>
      <c r="Z267" s="124" t="n">
        <f aca="false">ABS(N267)/$P$3</f>
        <v>324.84671</v>
      </c>
    </row>
    <row r="268" customFormat="false" ht="12.75" hidden="true" customHeight="false" outlineLevel="0" collapsed="false">
      <c r="A268" s="120" t="n">
        <f aca="false">A267+1</f>
        <v>37154</v>
      </c>
      <c r="B268" s="131" t="str">
        <f aca="false">INDEX('Master Data'!$A$2:$B$8,MATCH(WEEKDAY('RAC V@r Total'!A268,3),'Master Data'!$A$2:$A$8,0),2)</f>
        <v>Th</v>
      </c>
      <c r="D268" s="124" t="n">
        <v>-651122.55</v>
      </c>
      <c r="E268" s="124" t="n">
        <v>0</v>
      </c>
      <c r="F268" s="124" t="n">
        <v>0</v>
      </c>
      <c r="G268" s="124" t="n">
        <v>-406551.14</v>
      </c>
      <c r="H268" s="124" t="n">
        <v>-63468.7</v>
      </c>
      <c r="I268" s="124" t="n">
        <v>-651122.55</v>
      </c>
      <c r="J268" s="124" t="n">
        <v>-395341.98</v>
      </c>
      <c r="K268" s="124" t="n">
        <v>-304758.05</v>
      </c>
      <c r="L268" s="124" t="n">
        <v>0</v>
      </c>
      <c r="M268" s="124" t="n">
        <v>-63468.7</v>
      </c>
      <c r="N268" s="124" t="n">
        <v>-325239.26</v>
      </c>
      <c r="P268" s="124" t="n">
        <f aca="false">ABS(D268)/$P$3</f>
        <v>651.12255</v>
      </c>
      <c r="Q268" s="124" t="n">
        <f aca="false">ABS(E268)/$P$3</f>
        <v>0</v>
      </c>
      <c r="R268" s="124" t="n">
        <f aca="false">ABS(F268)/$P$3</f>
        <v>0</v>
      </c>
      <c r="S268" s="124" t="n">
        <f aca="false">ABS(G268)/$P$3</f>
        <v>406.55114</v>
      </c>
      <c r="T268" s="124" t="n">
        <f aca="false">ABS(H268)/$P$3</f>
        <v>63.4687</v>
      </c>
      <c r="U268" s="124" t="n">
        <f aca="false">ABS(I268)/$P$3</f>
        <v>651.12255</v>
      </c>
      <c r="V268" s="124" t="n">
        <f aca="false">ABS(J268)/$P$3</f>
        <v>395.34198</v>
      </c>
      <c r="W268" s="124" t="n">
        <f aca="false">ABS(K268)/$P$3</f>
        <v>304.75805</v>
      </c>
      <c r="X268" s="124" t="n">
        <f aca="false">ABS(L268)/$P$3</f>
        <v>0</v>
      </c>
      <c r="Y268" s="124" t="n">
        <f aca="false">ABS(M268)/$P$3</f>
        <v>63.4687</v>
      </c>
      <c r="Z268" s="124" t="n">
        <f aca="false">ABS(N268)/$P$3</f>
        <v>325.23926</v>
      </c>
    </row>
    <row r="269" customFormat="false" ht="12.75" hidden="true" customHeight="false" outlineLevel="0" collapsed="false">
      <c r="A269" s="120" t="n">
        <f aca="false">A268+1</f>
        <v>37155</v>
      </c>
      <c r="B269" s="131" t="str">
        <f aca="false">INDEX('Master Data'!$A$2:$B$8,MATCH(WEEKDAY('RAC V@r Total'!A269,3),'Master Data'!$A$2:$A$8,0),2)</f>
        <v>F</v>
      </c>
      <c r="D269" s="124" t="n">
        <v>-651640.47</v>
      </c>
      <c r="E269" s="124" t="n">
        <v>0</v>
      </c>
      <c r="F269" s="124" t="n">
        <v>0</v>
      </c>
      <c r="G269" s="124" t="n">
        <v>-407261.24</v>
      </c>
      <c r="H269" s="124" t="n">
        <v>-63609.27</v>
      </c>
      <c r="I269" s="124" t="n">
        <v>-651640</v>
      </c>
      <c r="J269" s="124" t="n">
        <v>-396075.92</v>
      </c>
      <c r="K269" s="124" t="n">
        <v>-304824.9</v>
      </c>
      <c r="L269" s="124" t="n">
        <v>0</v>
      </c>
      <c r="M269" s="124" t="n">
        <v>-63609.27</v>
      </c>
      <c r="N269" s="124" t="n">
        <v>-325529.46</v>
      </c>
      <c r="P269" s="124" t="n">
        <f aca="false">ABS(D269)/$P$3</f>
        <v>651.64047</v>
      </c>
      <c r="Q269" s="124" t="n">
        <f aca="false">ABS(E269)/$P$3</f>
        <v>0</v>
      </c>
      <c r="R269" s="124" t="n">
        <f aca="false">ABS(F269)/$P$3</f>
        <v>0</v>
      </c>
      <c r="S269" s="124" t="n">
        <f aca="false">ABS(G269)/$P$3</f>
        <v>407.26124</v>
      </c>
      <c r="T269" s="124" t="n">
        <f aca="false">ABS(H269)/$P$3</f>
        <v>63.60927</v>
      </c>
      <c r="U269" s="124" t="n">
        <f aca="false">ABS(I269)/$P$3</f>
        <v>651.64</v>
      </c>
      <c r="V269" s="124" t="n">
        <f aca="false">ABS(J269)/$P$3</f>
        <v>396.07592</v>
      </c>
      <c r="W269" s="124" t="n">
        <f aca="false">ABS(K269)/$P$3</f>
        <v>304.8249</v>
      </c>
      <c r="X269" s="124" t="n">
        <f aca="false">ABS(L269)/$P$3</f>
        <v>0</v>
      </c>
      <c r="Y269" s="124" t="n">
        <f aca="false">ABS(M269)/$P$3</f>
        <v>63.60927</v>
      </c>
      <c r="Z269" s="124" t="n">
        <f aca="false">ABS(N269)/$P$3</f>
        <v>325.52946</v>
      </c>
    </row>
    <row r="270" customFormat="false" ht="12.75" hidden="true" customHeight="false" outlineLevel="0" collapsed="false">
      <c r="A270" s="120" t="n">
        <f aca="false">A269+1</f>
        <v>37156</v>
      </c>
      <c r="B270" s="131" t="str">
        <f aca="false">INDEX('Master Data'!$A$2:$B$8,MATCH(WEEKDAY('RAC V@r Total'!A270,3),'Master Data'!$A$2:$A$8,0),2)</f>
        <v>Sa</v>
      </c>
      <c r="D270" s="124" t="n">
        <v>0</v>
      </c>
      <c r="E270" s="124" t="n">
        <v>0</v>
      </c>
      <c r="F270" s="124" t="n">
        <v>0</v>
      </c>
      <c r="G270" s="124" t="n">
        <v>0</v>
      </c>
      <c r="H270" s="124" t="n">
        <v>0</v>
      </c>
      <c r="I270" s="124" t="n">
        <v>0</v>
      </c>
      <c r="J270" s="124" t="n">
        <v>0</v>
      </c>
      <c r="K270" s="124" t="n">
        <v>0</v>
      </c>
      <c r="L270" s="124" t="n">
        <v>0</v>
      </c>
      <c r="M270" s="124" t="n">
        <v>0</v>
      </c>
      <c r="N270" s="124" t="n">
        <v>0</v>
      </c>
      <c r="P270" s="124" t="n">
        <f aca="false">ABS(D270)/$P$3</f>
        <v>0</v>
      </c>
      <c r="Q270" s="124" t="n">
        <f aca="false">ABS(E270)/$P$3</f>
        <v>0</v>
      </c>
      <c r="R270" s="124" t="n">
        <f aca="false">ABS(F270)/$P$3</f>
        <v>0</v>
      </c>
      <c r="S270" s="124" t="n">
        <f aca="false">ABS(G270)/$P$3</f>
        <v>0</v>
      </c>
      <c r="T270" s="124" t="n">
        <f aca="false">ABS(H270)/$P$3</f>
        <v>0</v>
      </c>
      <c r="U270" s="124" t="n">
        <f aca="false">ABS(I270)/$P$3</f>
        <v>0</v>
      </c>
      <c r="V270" s="124" t="n">
        <f aca="false">ABS(J270)/$P$3</f>
        <v>0</v>
      </c>
      <c r="W270" s="124" t="n">
        <f aca="false">ABS(K270)/$P$3</f>
        <v>0</v>
      </c>
      <c r="X270" s="124" t="n">
        <f aca="false">ABS(L270)/$P$3</f>
        <v>0</v>
      </c>
      <c r="Y270" s="124" t="n">
        <f aca="false">ABS(M270)/$P$3</f>
        <v>0</v>
      </c>
      <c r="Z270" s="124" t="n">
        <f aca="false">ABS(N270)/$P$3</f>
        <v>0</v>
      </c>
    </row>
    <row r="271" customFormat="false" ht="12.75" hidden="true" customHeight="false" outlineLevel="0" collapsed="false">
      <c r="A271" s="120" t="n">
        <f aca="false">A270+1</f>
        <v>37157</v>
      </c>
      <c r="B271" s="131" t="str">
        <f aca="false">INDEX('Master Data'!$A$2:$B$8,MATCH(WEEKDAY('RAC V@r Total'!A271,3),'Master Data'!$A$2:$A$8,0),2)</f>
        <v>Su</v>
      </c>
      <c r="D271" s="124" t="n">
        <v>0</v>
      </c>
      <c r="E271" s="124" t="n">
        <v>0</v>
      </c>
      <c r="F271" s="124" t="n">
        <v>0</v>
      </c>
      <c r="G271" s="124" t="n">
        <v>0</v>
      </c>
      <c r="H271" s="124" t="n">
        <v>0</v>
      </c>
      <c r="I271" s="124" t="n">
        <v>0</v>
      </c>
      <c r="J271" s="124" t="n">
        <v>0</v>
      </c>
      <c r="K271" s="124" t="n">
        <v>0</v>
      </c>
      <c r="L271" s="124" t="n">
        <v>0</v>
      </c>
      <c r="M271" s="124" t="n">
        <v>0</v>
      </c>
      <c r="N271" s="124" t="n">
        <v>0</v>
      </c>
      <c r="P271" s="124" t="n">
        <f aca="false">ABS(D271)/$P$3</f>
        <v>0</v>
      </c>
      <c r="Q271" s="124" t="n">
        <f aca="false">ABS(E271)/$P$3</f>
        <v>0</v>
      </c>
      <c r="R271" s="124" t="n">
        <f aca="false">ABS(F271)/$P$3</f>
        <v>0</v>
      </c>
      <c r="S271" s="124" t="n">
        <f aca="false">ABS(G271)/$P$3</f>
        <v>0</v>
      </c>
      <c r="T271" s="124" t="n">
        <f aca="false">ABS(H271)/$P$3</f>
        <v>0</v>
      </c>
      <c r="U271" s="124" t="n">
        <f aca="false">ABS(I271)/$P$3</f>
        <v>0</v>
      </c>
      <c r="V271" s="124" t="n">
        <f aca="false">ABS(J271)/$P$3</f>
        <v>0</v>
      </c>
      <c r="W271" s="124" t="n">
        <f aca="false">ABS(K271)/$P$3</f>
        <v>0</v>
      </c>
      <c r="X271" s="124" t="n">
        <f aca="false">ABS(L271)/$P$3</f>
        <v>0</v>
      </c>
      <c r="Y271" s="124" t="n">
        <f aca="false">ABS(M271)/$P$3</f>
        <v>0</v>
      </c>
      <c r="Z271" s="124" t="n">
        <f aca="false">ABS(N271)/$P$3</f>
        <v>0</v>
      </c>
    </row>
    <row r="272" customFormat="false" ht="12.75" hidden="true" customHeight="false" outlineLevel="0" collapsed="false">
      <c r="A272" s="120" t="n">
        <f aca="false">A271+1</f>
        <v>37158</v>
      </c>
      <c r="B272" s="131" t="str">
        <f aca="false">INDEX('Master Data'!$A$2:$B$8,MATCH(WEEKDAY('RAC V@r Total'!A272,3),'Master Data'!$A$2:$A$8,0),2)</f>
        <v>M</v>
      </c>
      <c r="D272" s="124" t="n">
        <v>-757916.4</v>
      </c>
      <c r="E272" s="124" t="n">
        <v>0</v>
      </c>
      <c r="F272" s="124" t="n">
        <v>0</v>
      </c>
      <c r="G272" s="124" t="n">
        <v>-427189.57</v>
      </c>
      <c r="H272" s="124" t="n">
        <v>-85727.22</v>
      </c>
      <c r="I272" s="124" t="n">
        <v>-757916.4</v>
      </c>
      <c r="J272" s="124" t="n">
        <v>-436599.7</v>
      </c>
      <c r="K272" s="124" t="n">
        <v>-410169.3</v>
      </c>
      <c r="L272" s="124" t="n">
        <v>0</v>
      </c>
      <c r="M272" s="124" t="n">
        <v>-85727.2</v>
      </c>
      <c r="N272" s="124" t="n">
        <v>-430538.5</v>
      </c>
      <c r="P272" s="124" t="n">
        <f aca="false">ABS(D272)/$P$3</f>
        <v>757.9164</v>
      </c>
      <c r="Q272" s="124" t="n">
        <f aca="false">ABS(E272)/$P$3</f>
        <v>0</v>
      </c>
      <c r="R272" s="124" t="n">
        <f aca="false">ABS(F272)/$P$3</f>
        <v>0</v>
      </c>
      <c r="S272" s="124" t="n">
        <f aca="false">ABS(G272)/$P$3</f>
        <v>427.18957</v>
      </c>
      <c r="T272" s="124" t="n">
        <f aca="false">ABS(H272)/$P$3</f>
        <v>85.72722</v>
      </c>
      <c r="U272" s="124" t="n">
        <f aca="false">ABS(I272)/$P$3</f>
        <v>757.9164</v>
      </c>
      <c r="V272" s="124" t="n">
        <f aca="false">ABS(J272)/$P$3</f>
        <v>436.5997</v>
      </c>
      <c r="W272" s="124" t="n">
        <f aca="false">ABS(K272)/$P$3</f>
        <v>410.1693</v>
      </c>
      <c r="X272" s="124" t="n">
        <f aca="false">ABS(L272)/$P$3</f>
        <v>0</v>
      </c>
      <c r="Y272" s="124" t="n">
        <f aca="false">ABS(M272)/$P$3</f>
        <v>85.7272</v>
      </c>
      <c r="Z272" s="124" t="n">
        <f aca="false">ABS(N272)/$P$3</f>
        <v>430.5385</v>
      </c>
    </row>
    <row r="273" customFormat="false" ht="12.75" hidden="true" customHeight="false" outlineLevel="0" collapsed="false">
      <c r="A273" s="120" t="n">
        <f aca="false">A272+1</f>
        <v>37159</v>
      </c>
      <c r="B273" s="131" t="str">
        <f aca="false">INDEX('Master Data'!$A$2:$B$8,MATCH(WEEKDAY('RAC V@r Total'!A273,3),'Master Data'!$A$2:$A$8,0),2)</f>
        <v>T</v>
      </c>
      <c r="D273" s="124" t="n">
        <v>-653763.72</v>
      </c>
      <c r="E273" s="124" t="n">
        <v>0</v>
      </c>
      <c r="F273" s="124" t="n">
        <v>0</v>
      </c>
      <c r="G273" s="124" t="n">
        <v>-407896.07</v>
      </c>
      <c r="H273" s="124" t="n">
        <v>-63731.6</v>
      </c>
      <c r="I273" s="124" t="n">
        <v>-653763.7</v>
      </c>
      <c r="J273" s="124" t="n">
        <v>-397043.94</v>
      </c>
      <c r="K273" s="124" t="n">
        <v>-305776.35</v>
      </c>
      <c r="L273" s="124" t="n">
        <v>0</v>
      </c>
      <c r="M273" s="124" t="n">
        <v>-63731.6</v>
      </c>
      <c r="N273" s="124" t="n">
        <v>-326392.55</v>
      </c>
      <c r="P273" s="124" t="n">
        <f aca="false">ABS(D273)/$P$3</f>
        <v>653.76372</v>
      </c>
      <c r="Q273" s="124" t="n">
        <f aca="false">ABS(E273)/$P$3</f>
        <v>0</v>
      </c>
      <c r="R273" s="124" t="n">
        <f aca="false">ABS(F273)/$P$3</f>
        <v>0</v>
      </c>
      <c r="S273" s="124" t="n">
        <f aca="false">ABS(G273)/$P$3</f>
        <v>407.89607</v>
      </c>
      <c r="T273" s="124" t="n">
        <f aca="false">ABS(H273)/$P$3</f>
        <v>63.7316</v>
      </c>
      <c r="U273" s="124" t="n">
        <f aca="false">ABS(I273)/$P$3</f>
        <v>653.7637</v>
      </c>
      <c r="V273" s="124" t="n">
        <f aca="false">ABS(J273)/$P$3</f>
        <v>397.04394</v>
      </c>
      <c r="W273" s="124" t="n">
        <f aca="false">ABS(K273)/$P$3</f>
        <v>305.77635</v>
      </c>
      <c r="X273" s="124" t="n">
        <f aca="false">ABS(L273)/$P$3</f>
        <v>0</v>
      </c>
      <c r="Y273" s="124" t="n">
        <f aca="false">ABS(M273)/$P$3</f>
        <v>63.7316</v>
      </c>
      <c r="Z273" s="124" t="n">
        <f aca="false">ABS(N273)/$P$3</f>
        <v>326.39255</v>
      </c>
    </row>
    <row r="274" customFormat="false" ht="12.75" hidden="true" customHeight="false" outlineLevel="0" collapsed="false">
      <c r="A274" s="120" t="n">
        <f aca="false">A273+1</f>
        <v>37160</v>
      </c>
      <c r="B274" s="131" t="str">
        <f aca="false">INDEX('Master Data'!$A$2:$B$8,MATCH(WEEKDAY('RAC V@r Total'!A274,3),'Master Data'!$A$2:$A$8,0),2)</f>
        <v>W</v>
      </c>
      <c r="D274" s="124" t="n">
        <v>-654308.05</v>
      </c>
      <c r="E274" s="124" t="n">
        <v>0</v>
      </c>
      <c r="F274" s="124" t="n">
        <v>0</v>
      </c>
      <c r="G274" s="124" t="n">
        <v>-409842.22</v>
      </c>
      <c r="H274" s="124" t="n">
        <v>-64041.9</v>
      </c>
      <c r="I274" s="124" t="n">
        <v>-654308</v>
      </c>
      <c r="J274" s="124" t="n">
        <v>-399334.4</v>
      </c>
      <c r="K274" s="124" t="n">
        <v>-305306.9</v>
      </c>
      <c r="L274" s="124" t="n">
        <v>0</v>
      </c>
      <c r="M274" s="124" t="n">
        <v>-64041.9</v>
      </c>
      <c r="N274" s="124" t="n">
        <v>-326586.3</v>
      </c>
      <c r="P274" s="124" t="n">
        <f aca="false">ABS(D274)/$P$3</f>
        <v>654.30805</v>
      </c>
      <c r="Q274" s="124" t="n">
        <f aca="false">ABS(E274)/$P$3</f>
        <v>0</v>
      </c>
      <c r="R274" s="124" t="n">
        <f aca="false">ABS(F274)/$P$3</f>
        <v>0</v>
      </c>
      <c r="S274" s="124" t="n">
        <f aca="false">ABS(G274)/$P$3</f>
        <v>409.84222</v>
      </c>
      <c r="T274" s="124" t="n">
        <f aca="false">ABS(H274)/$P$3</f>
        <v>64.0419</v>
      </c>
      <c r="U274" s="124" t="n">
        <f aca="false">ABS(I274)/$P$3</f>
        <v>654.308</v>
      </c>
      <c r="V274" s="124" t="n">
        <f aca="false">ABS(J274)/$P$3</f>
        <v>399.3344</v>
      </c>
      <c r="W274" s="124" t="n">
        <f aca="false">ABS(K274)/$P$3</f>
        <v>305.3069</v>
      </c>
      <c r="X274" s="124" t="n">
        <f aca="false">ABS(L274)/$P$3</f>
        <v>0</v>
      </c>
      <c r="Y274" s="124" t="n">
        <f aca="false">ABS(M274)/$P$3</f>
        <v>64.0419</v>
      </c>
      <c r="Z274" s="124" t="n">
        <f aca="false">ABS(N274)/$P$3</f>
        <v>326.5863</v>
      </c>
    </row>
    <row r="275" customFormat="false" ht="12.75" hidden="true" customHeight="false" outlineLevel="0" collapsed="false">
      <c r="A275" s="120" t="n">
        <f aca="false">A274+1</f>
        <v>37161</v>
      </c>
      <c r="B275" s="131" t="str">
        <f aca="false">INDEX('Master Data'!$A$2:$B$8,MATCH(WEEKDAY('RAC V@r Total'!A275,3),'Master Data'!$A$2:$A$8,0),2)</f>
        <v>Th</v>
      </c>
      <c r="D275" s="124" t="n">
        <v>-541082.51</v>
      </c>
      <c r="E275" s="124" t="n">
        <v>0</v>
      </c>
      <c r="F275" s="124" t="n">
        <v>0</v>
      </c>
      <c r="G275" s="124" t="n">
        <v>-365127.26</v>
      </c>
      <c r="H275" s="124" t="n">
        <v>-59265.94</v>
      </c>
      <c r="I275" s="124" t="n">
        <v>-541082.51</v>
      </c>
      <c r="J275" s="124" t="n">
        <v>-368722.41</v>
      </c>
      <c r="K275" s="124" t="n">
        <v>-231081.06</v>
      </c>
      <c r="L275" s="124" t="n">
        <v>0</v>
      </c>
      <c r="M275" s="124" t="n">
        <v>-59265.94</v>
      </c>
      <c r="N275" s="124" t="n">
        <v>-235238.91</v>
      </c>
      <c r="P275" s="124" t="n">
        <f aca="false">ABS(D275)/$P$3</f>
        <v>541.08251</v>
      </c>
      <c r="Q275" s="124" t="n">
        <f aca="false">ABS(E275)/$P$3</f>
        <v>0</v>
      </c>
      <c r="R275" s="124" t="n">
        <f aca="false">ABS(F275)/$P$3</f>
        <v>0</v>
      </c>
      <c r="S275" s="124" t="n">
        <f aca="false">ABS(G275)/$P$3</f>
        <v>365.12726</v>
      </c>
      <c r="T275" s="124" t="n">
        <f aca="false">ABS(H275)/$P$3</f>
        <v>59.26594</v>
      </c>
      <c r="U275" s="124" t="n">
        <f aca="false">ABS(I275)/$P$3</f>
        <v>541.08251</v>
      </c>
      <c r="V275" s="124" t="n">
        <f aca="false">ABS(J275)/$P$3</f>
        <v>368.72241</v>
      </c>
      <c r="W275" s="124" t="n">
        <f aca="false">ABS(K275)/$P$3</f>
        <v>231.08106</v>
      </c>
      <c r="X275" s="124" t="n">
        <f aca="false">ABS(L275)/$P$3</f>
        <v>0</v>
      </c>
      <c r="Y275" s="124" t="n">
        <f aca="false">ABS(M275)/$P$3</f>
        <v>59.26594</v>
      </c>
      <c r="Z275" s="124" t="n">
        <f aca="false">ABS(N275)/$P$3</f>
        <v>235.23891</v>
      </c>
    </row>
    <row r="276" customFormat="false" ht="12.75" hidden="false" customHeight="false" outlineLevel="0" collapsed="false">
      <c r="A276" s="120" t="n">
        <f aca="false">A275+1</f>
        <v>37162</v>
      </c>
      <c r="B276" s="131" t="str">
        <f aca="false">INDEX('Master Data'!$A$2:$B$8,MATCH(WEEKDAY('RAC V@r Total'!A276,3),'Master Data'!$A$2:$A$8,0),2)</f>
        <v>F</v>
      </c>
      <c r="D276" s="124" t="n">
        <v>-509311.81</v>
      </c>
      <c r="E276" s="124" t="n">
        <v>0</v>
      </c>
      <c r="F276" s="124" t="n">
        <v>0</v>
      </c>
      <c r="G276" s="124" t="n">
        <v>-365952.29</v>
      </c>
      <c r="H276" s="124" t="n">
        <v>-60244.72</v>
      </c>
      <c r="I276" s="124" t="n">
        <v>-509311.81</v>
      </c>
      <c r="J276" s="124" t="n">
        <v>-370605.7</v>
      </c>
      <c r="K276" s="124" t="n">
        <v>-196868.31</v>
      </c>
      <c r="L276" s="124" t="n">
        <v>0</v>
      </c>
      <c r="M276" s="124" t="n">
        <v>-60244.72</v>
      </c>
      <c r="N276" s="124" t="n">
        <v>-195485.29</v>
      </c>
      <c r="P276" s="124" t="n">
        <f aca="false">ABS(D276)/$P$3</f>
        <v>509.31181</v>
      </c>
      <c r="Q276" s="124" t="n">
        <f aca="false">ABS(E276)/$P$3</f>
        <v>0</v>
      </c>
      <c r="R276" s="124" t="n">
        <f aca="false">ABS(F276)/$P$3</f>
        <v>0</v>
      </c>
      <c r="S276" s="124" t="n">
        <f aca="false">ABS(G276)/$P$3</f>
        <v>365.95229</v>
      </c>
      <c r="T276" s="124" t="n">
        <f aca="false">ABS(H276)/$P$3</f>
        <v>60.24472</v>
      </c>
      <c r="U276" s="124" t="n">
        <f aca="false">ABS(I276)/$P$3</f>
        <v>509.31181</v>
      </c>
      <c r="V276" s="124" t="n">
        <f aca="false">ABS(J276)/$P$3</f>
        <v>370.6057</v>
      </c>
      <c r="W276" s="124" t="n">
        <f aca="false">ABS(K276)/$P$3</f>
        <v>196.86831</v>
      </c>
      <c r="X276" s="124" t="n">
        <f aca="false">ABS(L276)/$P$3</f>
        <v>0</v>
      </c>
      <c r="Y276" s="124" t="n">
        <f aca="false">ABS(M276)/$P$3</f>
        <v>60.24472</v>
      </c>
      <c r="Z276" s="124" t="n">
        <f aca="false">ABS(N276)/$P$3</f>
        <v>195.48529</v>
      </c>
    </row>
    <row r="277" customFormat="false" ht="12.75" hidden="false" customHeight="false" outlineLevel="0" collapsed="false">
      <c r="A277" s="120" t="n">
        <f aca="false">A276+1</f>
        <v>37163</v>
      </c>
      <c r="B277" s="131" t="str">
        <f aca="false">INDEX('Master Data'!$A$2:$B$8,MATCH(WEEKDAY('RAC V@r Total'!A277,3),'Master Data'!$A$2:$A$8,0),2)</f>
        <v>Sa</v>
      </c>
      <c r="D277" s="124" t="n">
        <v>0</v>
      </c>
      <c r="E277" s="124" t="n">
        <v>0</v>
      </c>
      <c r="F277" s="124" t="n">
        <v>0</v>
      </c>
      <c r="G277" s="124" t="n">
        <v>0</v>
      </c>
      <c r="H277" s="124" t="n">
        <v>0</v>
      </c>
      <c r="I277" s="124" t="n">
        <v>0</v>
      </c>
      <c r="J277" s="124" t="n">
        <v>0</v>
      </c>
      <c r="K277" s="124" t="n">
        <v>0</v>
      </c>
      <c r="L277" s="124" t="n">
        <v>0</v>
      </c>
      <c r="M277" s="124" t="n">
        <v>0</v>
      </c>
      <c r="N277" s="124" t="n">
        <v>0</v>
      </c>
      <c r="P277" s="124" t="n">
        <f aca="false">ABS(D277)/$P$3</f>
        <v>0</v>
      </c>
      <c r="Q277" s="124" t="n">
        <f aca="false">ABS(E277)/$P$3</f>
        <v>0</v>
      </c>
      <c r="R277" s="124" t="n">
        <f aca="false">ABS(F277)/$P$3</f>
        <v>0</v>
      </c>
      <c r="S277" s="124" t="n">
        <f aca="false">ABS(G277)/$P$3</f>
        <v>0</v>
      </c>
      <c r="T277" s="124" t="n">
        <f aca="false">ABS(H277)/$P$3</f>
        <v>0</v>
      </c>
      <c r="U277" s="124" t="n">
        <f aca="false">ABS(I277)/$P$3</f>
        <v>0</v>
      </c>
      <c r="V277" s="124" t="n">
        <f aca="false">ABS(J277)/$P$3</f>
        <v>0</v>
      </c>
      <c r="W277" s="124" t="n">
        <f aca="false">ABS(K277)/$P$3</f>
        <v>0</v>
      </c>
      <c r="X277" s="124" t="n">
        <f aca="false">ABS(L277)/$P$3</f>
        <v>0</v>
      </c>
      <c r="Y277" s="124" t="n">
        <f aca="false">ABS(M277)/$P$3</f>
        <v>0</v>
      </c>
      <c r="Z277" s="124" t="n">
        <f aca="false">ABS(N277)/$P$3</f>
        <v>0</v>
      </c>
    </row>
    <row r="278" customFormat="false" ht="12.75" hidden="false" customHeight="false" outlineLevel="0" collapsed="false">
      <c r="A278" s="120" t="n">
        <f aca="false">A277+1</f>
        <v>37164</v>
      </c>
      <c r="B278" s="131" t="str">
        <f aca="false">INDEX('Master Data'!$A$2:$B$8,MATCH(WEEKDAY('RAC V@r Total'!A278,3),'Master Data'!$A$2:$A$8,0),2)</f>
        <v>Su</v>
      </c>
      <c r="D278" s="124" t="n">
        <v>0</v>
      </c>
      <c r="E278" s="124" t="n">
        <v>0</v>
      </c>
      <c r="F278" s="124" t="n">
        <v>0</v>
      </c>
      <c r="G278" s="124" t="n">
        <v>0</v>
      </c>
      <c r="H278" s="124" t="n">
        <v>0</v>
      </c>
      <c r="I278" s="124" t="n">
        <v>0</v>
      </c>
      <c r="J278" s="124" t="n">
        <v>0</v>
      </c>
      <c r="K278" s="124" t="n">
        <v>0</v>
      </c>
      <c r="L278" s="124" t="n">
        <v>0</v>
      </c>
      <c r="M278" s="124" t="n">
        <v>0</v>
      </c>
      <c r="N278" s="124" t="n">
        <v>0</v>
      </c>
      <c r="P278" s="124" t="n">
        <f aca="false">ABS(D278)/$P$3</f>
        <v>0</v>
      </c>
      <c r="Q278" s="124" t="n">
        <f aca="false">ABS(E278)/$P$3</f>
        <v>0</v>
      </c>
      <c r="R278" s="124" t="n">
        <f aca="false">ABS(F278)/$P$3</f>
        <v>0</v>
      </c>
      <c r="S278" s="124" t="n">
        <f aca="false">ABS(G278)/$P$3</f>
        <v>0</v>
      </c>
      <c r="T278" s="124" t="n">
        <f aca="false">ABS(H278)/$P$3</f>
        <v>0</v>
      </c>
      <c r="U278" s="124" t="n">
        <f aca="false">ABS(I278)/$P$3</f>
        <v>0</v>
      </c>
      <c r="V278" s="124" t="n">
        <f aca="false">ABS(J278)/$P$3</f>
        <v>0</v>
      </c>
      <c r="W278" s="124" t="n">
        <f aca="false">ABS(K278)/$P$3</f>
        <v>0</v>
      </c>
      <c r="X278" s="124" t="n">
        <f aca="false">ABS(L278)/$P$3</f>
        <v>0</v>
      </c>
      <c r="Y278" s="124" t="n">
        <f aca="false">ABS(M278)/$P$3</f>
        <v>0</v>
      </c>
      <c r="Z278" s="124" t="n">
        <f aca="false">ABS(N278)/$P$3</f>
        <v>0</v>
      </c>
    </row>
    <row r="279" customFormat="false" ht="12.75" hidden="true" customHeight="false" outlineLevel="0" collapsed="false">
      <c r="A279" s="120" t="n">
        <f aca="false">A278+1</f>
        <v>37165</v>
      </c>
      <c r="B279" s="131" t="str">
        <f aca="false">INDEX('Master Data'!$A$2:$B$8,MATCH(WEEKDAY('RAC V@r Total'!A279,3),'Master Data'!$A$2:$A$8,0),2)</f>
        <v>M</v>
      </c>
      <c r="D279" s="124" t="n">
        <v>-498791.33</v>
      </c>
      <c r="E279" s="124" t="n">
        <v>0</v>
      </c>
      <c r="F279" s="124" t="n">
        <v>0</v>
      </c>
      <c r="G279" s="124" t="n">
        <v>-364992.42</v>
      </c>
      <c r="H279" s="124" t="n">
        <v>-62281.36</v>
      </c>
      <c r="I279" s="124" t="n">
        <v>-498791.33</v>
      </c>
      <c r="J279" s="124" t="n">
        <v>-371981.61</v>
      </c>
      <c r="K279" s="124" t="n">
        <v>-209541.95</v>
      </c>
      <c r="L279" s="124" t="n">
        <v>0</v>
      </c>
      <c r="M279" s="124" t="n">
        <v>-62281.36</v>
      </c>
      <c r="N279" s="124" t="n">
        <v>-209335.19</v>
      </c>
      <c r="P279" s="124" t="n">
        <f aca="false">ABS(D279)/$P$3</f>
        <v>498.79133</v>
      </c>
      <c r="Q279" s="124" t="n">
        <f aca="false">ABS(E279)/$P$3</f>
        <v>0</v>
      </c>
      <c r="R279" s="124" t="n">
        <f aca="false">ABS(F279)/$P$3</f>
        <v>0</v>
      </c>
      <c r="S279" s="124" t="n">
        <f aca="false">ABS(G279)/$P$3</f>
        <v>364.99242</v>
      </c>
      <c r="T279" s="124" t="n">
        <f aca="false">ABS(H279)/$P$3</f>
        <v>62.28136</v>
      </c>
      <c r="U279" s="124" t="n">
        <f aca="false">ABS(I279)/$P$3</f>
        <v>498.79133</v>
      </c>
      <c r="V279" s="124" t="n">
        <f aca="false">ABS(J279)/$P$3</f>
        <v>371.98161</v>
      </c>
      <c r="W279" s="124" t="n">
        <f aca="false">ABS(K279)/$P$3</f>
        <v>209.54195</v>
      </c>
      <c r="X279" s="124" t="n">
        <f aca="false">ABS(L279)/$P$3</f>
        <v>0</v>
      </c>
      <c r="Y279" s="124" t="n">
        <f aca="false">ABS(M279)/$P$3</f>
        <v>62.28136</v>
      </c>
      <c r="Z279" s="124" t="n">
        <f aca="false">ABS(N279)/$P$3</f>
        <v>209.33519</v>
      </c>
    </row>
    <row r="280" customFormat="false" ht="12.75" hidden="true" customHeight="false" outlineLevel="0" collapsed="false">
      <c r="A280" s="120" t="n">
        <f aca="false">A279+1</f>
        <v>37166</v>
      </c>
      <c r="B280" s="131" t="str">
        <f aca="false">INDEX('Master Data'!$A$2:$B$8,MATCH(WEEKDAY('RAC V@r Total'!A280,3),'Master Data'!$A$2:$A$8,0),2)</f>
        <v>T</v>
      </c>
      <c r="D280" s="124" t="n">
        <v>-499227.86</v>
      </c>
      <c r="E280" s="124" t="n">
        <v>0</v>
      </c>
      <c r="F280" s="124" t="n">
        <v>0</v>
      </c>
      <c r="G280" s="124" t="n">
        <v>-365210.23</v>
      </c>
      <c r="H280" s="124" t="n">
        <v>-62446.76</v>
      </c>
      <c r="I280" s="124" t="n">
        <v>-499227.86</v>
      </c>
      <c r="J280" s="124" t="n">
        <v>-372224.95</v>
      </c>
      <c r="K280" s="124" t="n">
        <v>-209775.58</v>
      </c>
      <c r="L280" s="124" t="n">
        <v>0</v>
      </c>
      <c r="M280" s="124" t="n">
        <v>-62446.76</v>
      </c>
      <c r="N280" s="124" t="n">
        <v>-209512.85</v>
      </c>
      <c r="P280" s="124" t="n">
        <f aca="false">ABS(D280)/$P$3</f>
        <v>499.22786</v>
      </c>
      <c r="Q280" s="124" t="n">
        <f aca="false">ABS(E280)/$P$3</f>
        <v>0</v>
      </c>
      <c r="R280" s="124" t="n">
        <f aca="false">ABS(F280)/$P$3</f>
        <v>0</v>
      </c>
      <c r="S280" s="124" t="n">
        <f aca="false">ABS(G280)/$P$3</f>
        <v>365.21023</v>
      </c>
      <c r="T280" s="124" t="n">
        <f aca="false">ABS(H280)/$P$3</f>
        <v>62.44676</v>
      </c>
      <c r="U280" s="124" t="n">
        <f aca="false">ABS(I280)/$P$3</f>
        <v>499.22786</v>
      </c>
      <c r="V280" s="124" t="n">
        <f aca="false">ABS(J280)/$P$3</f>
        <v>372.22495</v>
      </c>
      <c r="W280" s="124" t="n">
        <f aca="false">ABS(K280)/$P$3</f>
        <v>209.77558</v>
      </c>
      <c r="X280" s="124" t="n">
        <f aca="false">ABS(L280)/$P$3</f>
        <v>0</v>
      </c>
      <c r="Y280" s="124" t="n">
        <f aca="false">ABS(M280)/$P$3</f>
        <v>62.44676</v>
      </c>
      <c r="Z280" s="124" t="n">
        <f aca="false">ABS(N280)/$P$3</f>
        <v>209.51285</v>
      </c>
    </row>
    <row r="281" customFormat="false" ht="12.75" hidden="true" customHeight="false" outlineLevel="0" collapsed="false">
      <c r="A281" s="120" t="n">
        <f aca="false">A280+1</f>
        <v>37167</v>
      </c>
      <c r="B281" s="131" t="str">
        <f aca="false">INDEX('Master Data'!$A$2:$B$8,MATCH(WEEKDAY('RAC V@r Total'!A281,3),'Master Data'!$A$2:$A$8,0),2)</f>
        <v>W</v>
      </c>
      <c r="D281" s="124" t="n">
        <v>-499669.49</v>
      </c>
      <c r="E281" s="124" t="n">
        <v>0</v>
      </c>
      <c r="F281" s="124" t="n">
        <v>0</v>
      </c>
      <c r="G281" s="124" t="n">
        <v>-366128.25</v>
      </c>
      <c r="H281" s="124" t="n">
        <v>-62529.26</v>
      </c>
      <c r="I281" s="124" t="n">
        <v>-499669.49</v>
      </c>
      <c r="J281" s="124" t="n">
        <v>-373069.72</v>
      </c>
      <c r="K281" s="124" t="n">
        <v>-209843.53</v>
      </c>
      <c r="L281" s="124" t="n">
        <v>0</v>
      </c>
      <c r="M281" s="124" t="n">
        <v>-62529.26</v>
      </c>
      <c r="N281" s="124" t="n">
        <v>-209395.09</v>
      </c>
      <c r="P281" s="124" t="n">
        <f aca="false">ABS(D281)/$P$3</f>
        <v>499.66949</v>
      </c>
      <c r="Q281" s="124" t="n">
        <f aca="false">ABS(E281)/$P$3</f>
        <v>0</v>
      </c>
      <c r="R281" s="124" t="n">
        <f aca="false">ABS(F281)/$P$3</f>
        <v>0</v>
      </c>
      <c r="S281" s="124" t="n">
        <f aca="false">ABS(G281)/$P$3</f>
        <v>366.12825</v>
      </c>
      <c r="T281" s="124" t="n">
        <f aca="false">ABS(H281)/$P$3</f>
        <v>62.52926</v>
      </c>
      <c r="U281" s="124" t="n">
        <f aca="false">ABS(I281)/$P$3</f>
        <v>499.66949</v>
      </c>
      <c r="V281" s="124" t="n">
        <f aca="false">ABS(J281)/$P$3</f>
        <v>373.06972</v>
      </c>
      <c r="W281" s="124" t="n">
        <f aca="false">ABS(K281)/$P$3</f>
        <v>209.84353</v>
      </c>
      <c r="X281" s="124" t="n">
        <f aca="false">ABS(L281)/$P$3</f>
        <v>0</v>
      </c>
      <c r="Y281" s="124" t="n">
        <f aca="false">ABS(M281)/$P$3</f>
        <v>62.52926</v>
      </c>
      <c r="Z281" s="124" t="n">
        <f aca="false">ABS(N281)/$P$3</f>
        <v>209.39509</v>
      </c>
    </row>
    <row r="282" customFormat="false" ht="12.75" hidden="true" customHeight="false" outlineLevel="0" collapsed="false">
      <c r="A282" s="120" t="n">
        <f aca="false">A281+1</f>
        <v>37168</v>
      </c>
      <c r="B282" s="131" t="str">
        <f aca="false">INDEX('Master Data'!$A$2:$B$8,MATCH(WEEKDAY('RAC V@r Total'!A282,3),'Master Data'!$A$2:$A$8,0),2)</f>
        <v>Th</v>
      </c>
      <c r="D282" s="124" t="n">
        <v>-500116.34</v>
      </c>
      <c r="E282" s="124" t="n">
        <v>0</v>
      </c>
      <c r="F282" s="124" t="n">
        <v>0</v>
      </c>
      <c r="G282" s="124" t="n">
        <v>-366445.02</v>
      </c>
      <c r="H282" s="124" t="n">
        <v>-62518.88</v>
      </c>
      <c r="I282" s="124" t="n">
        <v>-500116.34</v>
      </c>
      <c r="J282" s="124" t="n">
        <v>-373338.3</v>
      </c>
      <c r="K282" s="124" t="n">
        <v>-210051.03</v>
      </c>
      <c r="L282" s="124" t="n">
        <v>0</v>
      </c>
      <c r="M282" s="124" t="n">
        <v>-62518.88</v>
      </c>
      <c r="N282" s="124" t="n">
        <v>-209571.12</v>
      </c>
      <c r="P282" s="124" t="n">
        <f aca="false">ABS(D282)/$P$3</f>
        <v>500.11634</v>
      </c>
      <c r="Q282" s="124" t="n">
        <f aca="false">ABS(E282)/$P$3</f>
        <v>0</v>
      </c>
      <c r="R282" s="124" t="n">
        <f aca="false">ABS(F282)/$P$3</f>
        <v>0</v>
      </c>
      <c r="S282" s="124" t="n">
        <f aca="false">ABS(G282)/$P$3</f>
        <v>366.44502</v>
      </c>
      <c r="T282" s="124" t="n">
        <f aca="false">ABS(H282)/$P$3</f>
        <v>62.51888</v>
      </c>
      <c r="U282" s="124" t="n">
        <f aca="false">ABS(I282)/$P$3</f>
        <v>500.11634</v>
      </c>
      <c r="V282" s="124" t="n">
        <f aca="false">ABS(J282)/$P$3</f>
        <v>373.3383</v>
      </c>
      <c r="W282" s="124" t="n">
        <f aca="false">ABS(K282)/$P$3</f>
        <v>210.05103</v>
      </c>
      <c r="X282" s="124" t="n">
        <f aca="false">ABS(L282)/$P$3</f>
        <v>0</v>
      </c>
      <c r="Y282" s="124" t="n">
        <f aca="false">ABS(M282)/$P$3</f>
        <v>62.51888</v>
      </c>
      <c r="Z282" s="124" t="n">
        <f aca="false">ABS(N282)/$P$3</f>
        <v>209.57112</v>
      </c>
    </row>
    <row r="283" customFormat="false" ht="12.75" hidden="true" customHeight="false" outlineLevel="0" collapsed="false">
      <c r="A283" s="120" t="n">
        <f aca="false">A282+1</f>
        <v>37169</v>
      </c>
      <c r="B283" s="131" t="str">
        <f aca="false">INDEX('Master Data'!$A$2:$B$8,MATCH(WEEKDAY('RAC V@r Total'!A283,3),'Master Data'!$A$2:$A$8,0),2)</f>
        <v>F</v>
      </c>
      <c r="D283" s="124" t="n">
        <v>-485592.57</v>
      </c>
      <c r="E283" s="124" t="n">
        <v>0</v>
      </c>
      <c r="F283" s="124" t="n">
        <v>0</v>
      </c>
      <c r="G283" s="124" t="n">
        <v>-366847.73</v>
      </c>
      <c r="H283" s="124" t="n">
        <v>-62525.03</v>
      </c>
      <c r="I283" s="124" t="n">
        <v>-485592.57</v>
      </c>
      <c r="J283" s="124" t="n">
        <v>-373699.16</v>
      </c>
      <c r="K283" s="124" t="n">
        <v>-193941.09</v>
      </c>
      <c r="L283" s="124" t="n">
        <v>0</v>
      </c>
      <c r="M283" s="124" t="n">
        <v>-62525.03</v>
      </c>
      <c r="N283" s="124" t="n">
        <v>-197974.41</v>
      </c>
      <c r="P283" s="124" t="n">
        <f aca="false">ABS(D283)/$P$3</f>
        <v>485.59257</v>
      </c>
      <c r="Q283" s="124" t="n">
        <f aca="false">ABS(E283)/$P$3</f>
        <v>0</v>
      </c>
      <c r="R283" s="124" t="n">
        <f aca="false">ABS(F283)/$P$3</f>
        <v>0</v>
      </c>
      <c r="S283" s="124" t="n">
        <f aca="false">ABS(G283)/$P$3</f>
        <v>366.84773</v>
      </c>
      <c r="T283" s="124" t="n">
        <f aca="false">ABS(H283)/$P$3</f>
        <v>62.52503</v>
      </c>
      <c r="U283" s="124" t="n">
        <f aca="false">ABS(I283)/$P$3</f>
        <v>485.59257</v>
      </c>
      <c r="V283" s="124" t="n">
        <f aca="false">ABS(J283)/$P$3</f>
        <v>373.69916</v>
      </c>
      <c r="W283" s="124" t="n">
        <f aca="false">ABS(K283)/$P$3</f>
        <v>193.94109</v>
      </c>
      <c r="X283" s="124" t="n">
        <f aca="false">ABS(L283)/$P$3</f>
        <v>0</v>
      </c>
      <c r="Y283" s="124" t="n">
        <f aca="false">ABS(M283)/$P$3</f>
        <v>62.52503</v>
      </c>
      <c r="Z283" s="124" t="n">
        <f aca="false">ABS(N283)/$P$3</f>
        <v>197.97441</v>
      </c>
    </row>
    <row r="284" customFormat="false" ht="12.75" hidden="true" customHeight="false" outlineLevel="0" collapsed="false">
      <c r="A284" s="120" t="n">
        <f aca="false">A283+1</f>
        <v>37170</v>
      </c>
      <c r="B284" s="131" t="str">
        <f aca="false">INDEX('Master Data'!$A$2:$B$8,MATCH(WEEKDAY('RAC V@r Total'!A284,3),'Master Data'!$A$2:$A$8,0),2)</f>
        <v>Sa</v>
      </c>
      <c r="D284" s="124" t="n">
        <v>0</v>
      </c>
      <c r="E284" s="124" t="n">
        <v>0</v>
      </c>
      <c r="F284" s="124" t="n">
        <v>0</v>
      </c>
      <c r="G284" s="124" t="n">
        <v>0</v>
      </c>
      <c r="H284" s="124" t="n">
        <v>0</v>
      </c>
      <c r="I284" s="124" t="n">
        <v>0</v>
      </c>
      <c r="J284" s="124" t="n">
        <v>0</v>
      </c>
      <c r="K284" s="124" t="n">
        <v>0</v>
      </c>
      <c r="L284" s="124" t="n">
        <v>0</v>
      </c>
      <c r="M284" s="124" t="n">
        <v>0</v>
      </c>
      <c r="N284" s="124" t="n">
        <v>0</v>
      </c>
      <c r="P284" s="124" t="n">
        <f aca="false">ABS(D284)/$P$3</f>
        <v>0</v>
      </c>
      <c r="Q284" s="124" t="n">
        <f aca="false">ABS(E284)/$P$3</f>
        <v>0</v>
      </c>
      <c r="R284" s="124" t="n">
        <f aca="false">ABS(F284)/$P$3</f>
        <v>0</v>
      </c>
      <c r="S284" s="124" t="n">
        <f aca="false">ABS(G284)/$P$3</f>
        <v>0</v>
      </c>
      <c r="T284" s="124" t="n">
        <f aca="false">ABS(H284)/$P$3</f>
        <v>0</v>
      </c>
      <c r="U284" s="124" t="n">
        <f aca="false">ABS(I284)/$P$3</f>
        <v>0</v>
      </c>
      <c r="V284" s="124" t="n">
        <f aca="false">ABS(J284)/$P$3</f>
        <v>0</v>
      </c>
      <c r="W284" s="124" t="n">
        <f aca="false">ABS(K284)/$P$3</f>
        <v>0</v>
      </c>
      <c r="X284" s="124" t="n">
        <f aca="false">ABS(L284)/$P$3</f>
        <v>0</v>
      </c>
      <c r="Y284" s="124" t="n">
        <f aca="false">ABS(M284)/$P$3</f>
        <v>0</v>
      </c>
      <c r="Z284" s="124" t="n">
        <f aca="false">ABS(N284)/$P$3</f>
        <v>0</v>
      </c>
    </row>
    <row r="285" customFormat="false" ht="12.75" hidden="true" customHeight="false" outlineLevel="0" collapsed="false">
      <c r="A285" s="120" t="n">
        <f aca="false">A284+1</f>
        <v>37171</v>
      </c>
      <c r="B285" s="131" t="str">
        <f aca="false">INDEX('Master Data'!$A$2:$B$8,MATCH(WEEKDAY('RAC V@r Total'!A285,3),'Master Data'!$A$2:$A$8,0),2)</f>
        <v>Su</v>
      </c>
      <c r="D285" s="124" t="n">
        <v>0</v>
      </c>
      <c r="E285" s="124" t="n">
        <v>0</v>
      </c>
      <c r="F285" s="124" t="n">
        <v>0</v>
      </c>
      <c r="G285" s="124" t="n">
        <v>0</v>
      </c>
      <c r="H285" s="124" t="n">
        <v>0</v>
      </c>
      <c r="I285" s="124" t="n">
        <v>0</v>
      </c>
      <c r="J285" s="124" t="n">
        <v>0</v>
      </c>
      <c r="K285" s="124" t="n">
        <v>0</v>
      </c>
      <c r="L285" s="124" t="n">
        <v>0</v>
      </c>
      <c r="M285" s="124" t="n">
        <v>0</v>
      </c>
      <c r="N285" s="124" t="n">
        <v>0</v>
      </c>
      <c r="P285" s="124" t="n">
        <f aca="false">ABS(D285)/$P$3</f>
        <v>0</v>
      </c>
      <c r="Q285" s="124" t="n">
        <f aca="false">ABS(E285)/$P$3</f>
        <v>0</v>
      </c>
      <c r="R285" s="124" t="n">
        <f aca="false">ABS(F285)/$P$3</f>
        <v>0</v>
      </c>
      <c r="S285" s="124" t="n">
        <f aca="false">ABS(G285)/$P$3</f>
        <v>0</v>
      </c>
      <c r="T285" s="124" t="n">
        <f aca="false">ABS(H285)/$P$3</f>
        <v>0</v>
      </c>
      <c r="U285" s="124" t="n">
        <f aca="false">ABS(I285)/$P$3</f>
        <v>0</v>
      </c>
      <c r="V285" s="124" t="n">
        <f aca="false">ABS(J285)/$P$3</f>
        <v>0</v>
      </c>
      <c r="W285" s="124" t="n">
        <f aca="false">ABS(K285)/$P$3</f>
        <v>0</v>
      </c>
      <c r="X285" s="124" t="n">
        <f aca="false">ABS(L285)/$P$3</f>
        <v>0</v>
      </c>
      <c r="Y285" s="124" t="n">
        <f aca="false">ABS(M285)/$P$3</f>
        <v>0</v>
      </c>
      <c r="Z285" s="124" t="n">
        <f aca="false">ABS(N285)/$P$3</f>
        <v>0</v>
      </c>
    </row>
    <row r="286" customFormat="false" ht="12.75" hidden="true" customHeight="false" outlineLevel="0" collapsed="false">
      <c r="A286" s="120" t="n">
        <f aca="false">A285+1</f>
        <v>37172</v>
      </c>
      <c r="B286" s="131" t="str">
        <f aca="false">INDEX('Master Data'!$A$2:$B$8,MATCH(WEEKDAY('RAC V@r Total'!A286,3),'Master Data'!$A$2:$A$8,0),2)</f>
        <v>M</v>
      </c>
      <c r="D286" s="124" t="n">
        <v>-486430.62</v>
      </c>
      <c r="E286" s="124" t="n">
        <v>0</v>
      </c>
      <c r="F286" s="124" t="n">
        <v>0</v>
      </c>
      <c r="G286" s="124" t="n">
        <v>-367959.99</v>
      </c>
      <c r="H286" s="124" t="n">
        <v>-62543.91</v>
      </c>
      <c r="I286" s="124" t="n">
        <v>-486430.62</v>
      </c>
      <c r="J286" s="124" t="n">
        <v>-374691.88</v>
      </c>
      <c r="K286" s="124" t="n">
        <v>-193689.83</v>
      </c>
      <c r="L286" s="124" t="n">
        <v>0</v>
      </c>
      <c r="M286" s="124" t="n">
        <v>-62543.91</v>
      </c>
      <c r="N286" s="124" t="n">
        <v>-198334.41</v>
      </c>
      <c r="P286" s="124" t="n">
        <f aca="false">ABS(D286)/$P$3</f>
        <v>486.43062</v>
      </c>
      <c r="Q286" s="124" t="n">
        <f aca="false">ABS(E286)/$P$3</f>
        <v>0</v>
      </c>
      <c r="R286" s="124" t="n">
        <f aca="false">ABS(F286)/$P$3</f>
        <v>0</v>
      </c>
      <c r="S286" s="124" t="n">
        <f aca="false">ABS(G286)/$P$3</f>
        <v>367.95999</v>
      </c>
      <c r="T286" s="124" t="n">
        <f aca="false">ABS(H286)/$P$3</f>
        <v>62.54391</v>
      </c>
      <c r="U286" s="124" t="n">
        <f aca="false">ABS(I286)/$P$3</f>
        <v>486.43062</v>
      </c>
      <c r="V286" s="124" t="n">
        <f aca="false">ABS(J286)/$P$3</f>
        <v>374.69188</v>
      </c>
      <c r="W286" s="124" t="n">
        <f aca="false">ABS(K286)/$P$3</f>
        <v>193.68983</v>
      </c>
      <c r="X286" s="124" t="n">
        <f aca="false">ABS(L286)/$P$3</f>
        <v>0</v>
      </c>
      <c r="Y286" s="124" t="n">
        <f aca="false">ABS(M286)/$P$3</f>
        <v>62.54391</v>
      </c>
      <c r="Z286" s="124" t="n">
        <f aca="false">ABS(N286)/$P$3</f>
        <v>198.33441</v>
      </c>
    </row>
    <row r="287" customFormat="false" ht="12.75" hidden="true" customHeight="false" outlineLevel="0" collapsed="false">
      <c r="A287" s="120" t="n">
        <f aca="false">A286+1</f>
        <v>37173</v>
      </c>
      <c r="B287" s="131" t="str">
        <f aca="false">INDEX('Master Data'!$A$2:$B$8,MATCH(WEEKDAY('RAC V@r Total'!A287,3),'Master Data'!$A$2:$A$8,0),2)</f>
        <v>T</v>
      </c>
      <c r="D287" s="124" t="n">
        <v>-486719.29</v>
      </c>
      <c r="E287" s="124" t="n">
        <v>0</v>
      </c>
      <c r="F287" s="124" t="n">
        <v>0</v>
      </c>
      <c r="G287" s="124" t="n">
        <v>-368203.07</v>
      </c>
      <c r="H287" s="124" t="n">
        <v>-62220.5</v>
      </c>
      <c r="I287" s="124" t="n">
        <v>-486719.29</v>
      </c>
      <c r="J287" s="124" t="n">
        <v>-374797.5</v>
      </c>
      <c r="K287" s="124" t="n">
        <v>-193743.9</v>
      </c>
      <c r="L287" s="124" t="n">
        <v>0</v>
      </c>
      <c r="M287" s="124" t="n">
        <v>-62220.5</v>
      </c>
      <c r="N287" s="124" t="n">
        <v>-198373.59</v>
      </c>
      <c r="P287" s="124" t="n">
        <f aca="false">ABS(D287)/$P$3</f>
        <v>486.71929</v>
      </c>
      <c r="Q287" s="124" t="n">
        <f aca="false">ABS(E287)/$P$3</f>
        <v>0</v>
      </c>
      <c r="R287" s="124" t="n">
        <f aca="false">ABS(F287)/$P$3</f>
        <v>0</v>
      </c>
      <c r="S287" s="124" t="n">
        <f aca="false">ABS(G287)/$P$3</f>
        <v>368.20307</v>
      </c>
      <c r="T287" s="124" t="n">
        <f aca="false">ABS(H287)/$P$3</f>
        <v>62.2205</v>
      </c>
      <c r="U287" s="124" t="n">
        <f aca="false">ABS(I287)/$P$3</f>
        <v>486.71929</v>
      </c>
      <c r="V287" s="124" t="n">
        <f aca="false">ABS(J287)/$P$3</f>
        <v>374.7975</v>
      </c>
      <c r="W287" s="124" t="n">
        <f aca="false">ABS(K287)/$P$3</f>
        <v>193.7439</v>
      </c>
      <c r="X287" s="124" t="n">
        <f aca="false">ABS(L287)/$P$3</f>
        <v>0</v>
      </c>
      <c r="Y287" s="124" t="n">
        <f aca="false">ABS(M287)/$P$3</f>
        <v>62.2205</v>
      </c>
      <c r="Z287" s="124" t="n">
        <f aca="false">ABS(N287)/$P$3</f>
        <v>198.37359</v>
      </c>
    </row>
    <row r="288" customFormat="false" ht="12.75" hidden="true" customHeight="false" outlineLevel="0" collapsed="false">
      <c r="A288" s="120" t="n">
        <f aca="false">A287+1</f>
        <v>37174</v>
      </c>
      <c r="B288" s="131" t="str">
        <f aca="false">INDEX('Master Data'!$A$2:$B$8,MATCH(WEEKDAY('RAC V@r Total'!A288,3),'Master Data'!$A$2:$A$8,0),2)</f>
        <v>W</v>
      </c>
      <c r="D288" s="124" t="n">
        <v>-487012.91</v>
      </c>
      <c r="E288" s="124" t="n">
        <v>0</v>
      </c>
      <c r="F288" s="124" t="n">
        <v>0</v>
      </c>
      <c r="G288" s="124" t="n">
        <v>-368231.44</v>
      </c>
      <c r="H288" s="124" t="n">
        <v>-62168.18</v>
      </c>
      <c r="I288" s="124" t="n">
        <v>-487012.91</v>
      </c>
      <c r="J288" s="124" t="n">
        <v>-374811.18</v>
      </c>
      <c r="K288" s="124" t="n">
        <v>-194020.31</v>
      </c>
      <c r="L288" s="124" t="n">
        <v>0</v>
      </c>
      <c r="M288" s="124" t="n">
        <v>-62168.18</v>
      </c>
      <c r="N288" s="124" t="n">
        <v>-198518.01</v>
      </c>
      <c r="P288" s="124" t="n">
        <f aca="false">ABS(D288)/$P$3</f>
        <v>487.01291</v>
      </c>
      <c r="Q288" s="124" t="n">
        <f aca="false">ABS(E288)/$P$3</f>
        <v>0</v>
      </c>
      <c r="R288" s="124" t="n">
        <f aca="false">ABS(F288)/$P$3</f>
        <v>0</v>
      </c>
      <c r="S288" s="124" t="n">
        <f aca="false">ABS(G288)/$P$3</f>
        <v>368.23144</v>
      </c>
      <c r="T288" s="124" t="n">
        <f aca="false">ABS(H288)/$P$3</f>
        <v>62.16818</v>
      </c>
      <c r="U288" s="124" t="n">
        <f aca="false">ABS(I288)/$P$3</f>
        <v>487.01291</v>
      </c>
      <c r="V288" s="124" t="n">
        <f aca="false">ABS(J288)/$P$3</f>
        <v>374.81118</v>
      </c>
      <c r="W288" s="124" t="n">
        <f aca="false">ABS(K288)/$P$3</f>
        <v>194.02031</v>
      </c>
      <c r="X288" s="124" t="n">
        <f aca="false">ABS(L288)/$P$3</f>
        <v>0</v>
      </c>
      <c r="Y288" s="124" t="n">
        <f aca="false">ABS(M288)/$P$3</f>
        <v>62.16818</v>
      </c>
      <c r="Z288" s="124" t="n">
        <f aca="false">ABS(N288)/$P$3</f>
        <v>198.51801</v>
      </c>
    </row>
    <row r="289" customFormat="false" ht="12.75" hidden="true" customHeight="false" outlineLevel="0" collapsed="false">
      <c r="A289" s="120" t="n">
        <f aca="false">A288+1</f>
        <v>37175</v>
      </c>
      <c r="B289" s="131" t="str">
        <f aca="false">INDEX('Master Data'!$A$2:$B$8,MATCH(WEEKDAY('RAC V@r Total'!A289,3),'Master Data'!$A$2:$A$8,0),2)</f>
        <v>Th</v>
      </c>
      <c r="D289" s="124" t="n">
        <v>-487311.7</v>
      </c>
      <c r="E289" s="124" t="n">
        <v>0</v>
      </c>
      <c r="F289" s="124" t="n">
        <v>0</v>
      </c>
      <c r="G289" s="124" t="n">
        <v>-368356.4</v>
      </c>
      <c r="H289" s="124" t="n">
        <v>-61808.96</v>
      </c>
      <c r="I289" s="124" t="n">
        <v>-487311.7</v>
      </c>
      <c r="J289" s="124" t="n">
        <v>-374795.26</v>
      </c>
      <c r="K289" s="124" t="n">
        <v>-194204.84</v>
      </c>
      <c r="L289" s="124" t="n">
        <v>0</v>
      </c>
      <c r="M289" s="124" t="n">
        <v>-61808.96</v>
      </c>
      <c r="N289" s="124" t="n">
        <v>-198542.32</v>
      </c>
      <c r="P289" s="124" t="n">
        <f aca="false">ABS(D289)/$P$3</f>
        <v>487.3117</v>
      </c>
      <c r="Q289" s="124" t="n">
        <f aca="false">ABS(E289)/$P$3</f>
        <v>0</v>
      </c>
      <c r="R289" s="124" t="n">
        <f aca="false">ABS(F289)/$P$3</f>
        <v>0</v>
      </c>
      <c r="S289" s="124" t="n">
        <f aca="false">ABS(G289)/$P$3</f>
        <v>368.3564</v>
      </c>
      <c r="T289" s="124" t="n">
        <f aca="false">ABS(H289)/$P$3</f>
        <v>61.80896</v>
      </c>
      <c r="U289" s="124" t="n">
        <f aca="false">ABS(I289)/$P$3</f>
        <v>487.3117</v>
      </c>
      <c r="V289" s="124" t="n">
        <f aca="false">ABS(J289)/$P$3</f>
        <v>374.79526</v>
      </c>
      <c r="W289" s="124" t="n">
        <f aca="false">ABS(K289)/$P$3</f>
        <v>194.20484</v>
      </c>
      <c r="X289" s="124" t="n">
        <f aca="false">ABS(L289)/$P$3</f>
        <v>0</v>
      </c>
      <c r="Y289" s="124" t="n">
        <f aca="false">ABS(M289)/$P$3</f>
        <v>61.80896</v>
      </c>
      <c r="Z289" s="124" t="n">
        <f aca="false">ABS(N289)/$P$3</f>
        <v>198.54232</v>
      </c>
    </row>
    <row r="290" customFormat="false" ht="12.75" hidden="true" customHeight="false" outlineLevel="0" collapsed="false">
      <c r="A290" s="120" t="n">
        <f aca="false">A289+1</f>
        <v>37176</v>
      </c>
      <c r="B290" s="131" t="str">
        <f aca="false">INDEX('Master Data'!$A$2:$B$8,MATCH(WEEKDAY('RAC V@r Total'!A290,3),'Master Data'!$A$2:$A$8,0),2)</f>
        <v>F</v>
      </c>
      <c r="D290" s="124" t="n">
        <v>-487615.84</v>
      </c>
      <c r="E290" s="124" t="n">
        <v>0</v>
      </c>
      <c r="F290" s="124" t="n">
        <v>0</v>
      </c>
      <c r="G290" s="124" t="n">
        <v>-367814.19</v>
      </c>
      <c r="H290" s="124" t="n">
        <v>-61929.67</v>
      </c>
      <c r="I290" s="124" t="n">
        <v>-487615.84</v>
      </c>
      <c r="J290" s="124" t="n">
        <v>-374363.79</v>
      </c>
      <c r="K290" s="124" t="n">
        <v>-195004.07</v>
      </c>
      <c r="L290" s="124" t="n">
        <v>0</v>
      </c>
      <c r="M290" s="124" t="n">
        <v>-61929.67</v>
      </c>
      <c r="N290" s="124" t="n">
        <v>-198620.2</v>
      </c>
      <c r="P290" s="124" t="n">
        <f aca="false">ABS(D290)/$P$3</f>
        <v>487.61584</v>
      </c>
      <c r="Q290" s="124" t="n">
        <f aca="false">ABS(E290)/$P$3</f>
        <v>0</v>
      </c>
      <c r="R290" s="124" t="n">
        <f aca="false">ABS(F290)/$P$3</f>
        <v>0</v>
      </c>
      <c r="S290" s="124" t="n">
        <f aca="false">ABS(G290)/$P$3</f>
        <v>367.81419</v>
      </c>
      <c r="T290" s="124" t="n">
        <f aca="false">ABS(H290)/$P$3</f>
        <v>61.92967</v>
      </c>
      <c r="U290" s="124" t="n">
        <f aca="false">ABS(I290)/$P$3</f>
        <v>487.61584</v>
      </c>
      <c r="V290" s="124" t="n">
        <f aca="false">ABS(J290)/$P$3</f>
        <v>374.36379</v>
      </c>
      <c r="W290" s="124" t="n">
        <f aca="false">ABS(K290)/$P$3</f>
        <v>195.00407</v>
      </c>
      <c r="X290" s="124" t="n">
        <f aca="false">ABS(L290)/$P$3</f>
        <v>0</v>
      </c>
      <c r="Y290" s="124" t="n">
        <f aca="false">ABS(M290)/$P$3</f>
        <v>61.92967</v>
      </c>
      <c r="Z290" s="124" t="n">
        <f aca="false">ABS(N290)/$P$3</f>
        <v>198.6202</v>
      </c>
    </row>
    <row r="291" customFormat="false" ht="12.75" hidden="true" customHeight="false" outlineLevel="0" collapsed="false">
      <c r="A291" s="120" t="n">
        <f aca="false">A290+1</f>
        <v>37177</v>
      </c>
      <c r="B291" s="131" t="str">
        <f aca="false">INDEX('Master Data'!$A$2:$B$8,MATCH(WEEKDAY('RAC V@r Total'!A291,3),'Master Data'!$A$2:$A$8,0),2)</f>
        <v>Sa</v>
      </c>
      <c r="D291" s="124" t="n">
        <v>0</v>
      </c>
      <c r="E291" s="124" t="n">
        <v>0</v>
      </c>
      <c r="F291" s="124" t="n">
        <v>0</v>
      </c>
      <c r="G291" s="124" t="n">
        <v>0</v>
      </c>
      <c r="H291" s="124" t="n">
        <v>0</v>
      </c>
      <c r="I291" s="124" t="n">
        <v>0</v>
      </c>
      <c r="J291" s="124" t="n">
        <v>0</v>
      </c>
      <c r="K291" s="124" t="n">
        <v>0</v>
      </c>
      <c r="L291" s="124" t="n">
        <v>0</v>
      </c>
      <c r="M291" s="124" t="n">
        <v>0</v>
      </c>
      <c r="N291" s="124" t="n">
        <v>0</v>
      </c>
      <c r="P291" s="124" t="n">
        <f aca="false">ABS(D291)/$P$3</f>
        <v>0</v>
      </c>
      <c r="Q291" s="124" t="n">
        <f aca="false">ABS(E291)/$P$3</f>
        <v>0</v>
      </c>
      <c r="R291" s="124" t="n">
        <f aca="false">ABS(F291)/$P$3</f>
        <v>0</v>
      </c>
      <c r="S291" s="124" t="n">
        <f aca="false">ABS(G291)/$P$3</f>
        <v>0</v>
      </c>
      <c r="T291" s="124" t="n">
        <f aca="false">ABS(H291)/$P$3</f>
        <v>0</v>
      </c>
      <c r="U291" s="124" t="n">
        <f aca="false">ABS(I291)/$P$3</f>
        <v>0</v>
      </c>
      <c r="V291" s="124" t="n">
        <f aca="false">ABS(J291)/$P$3</f>
        <v>0</v>
      </c>
      <c r="W291" s="124" t="n">
        <f aca="false">ABS(K291)/$P$3</f>
        <v>0</v>
      </c>
      <c r="X291" s="124" t="n">
        <f aca="false">ABS(L291)/$P$3</f>
        <v>0</v>
      </c>
      <c r="Y291" s="124" t="n">
        <f aca="false">ABS(M291)/$P$3</f>
        <v>0</v>
      </c>
      <c r="Z291" s="124" t="n">
        <f aca="false">ABS(N291)/$P$3</f>
        <v>0</v>
      </c>
    </row>
    <row r="292" customFormat="false" ht="12.75" hidden="true" customHeight="false" outlineLevel="0" collapsed="false">
      <c r="A292" s="120" t="n">
        <f aca="false">A291+1</f>
        <v>37178</v>
      </c>
      <c r="B292" s="131" t="str">
        <f aca="false">INDEX('Master Data'!$A$2:$B$8,MATCH(WEEKDAY('RAC V@r Total'!A292,3),'Master Data'!$A$2:$A$8,0),2)</f>
        <v>Su</v>
      </c>
      <c r="D292" s="124" t="n">
        <v>0</v>
      </c>
      <c r="E292" s="124" t="n">
        <v>0</v>
      </c>
      <c r="F292" s="124" t="n">
        <v>0</v>
      </c>
      <c r="G292" s="124" t="n">
        <v>0</v>
      </c>
      <c r="H292" s="124" t="n">
        <v>0</v>
      </c>
      <c r="I292" s="124" t="n">
        <v>0</v>
      </c>
      <c r="J292" s="124" t="n">
        <v>0</v>
      </c>
      <c r="K292" s="124" t="n">
        <v>0</v>
      </c>
      <c r="L292" s="124" t="n">
        <v>0</v>
      </c>
      <c r="M292" s="124" t="n">
        <v>0</v>
      </c>
      <c r="N292" s="124" t="n">
        <v>0</v>
      </c>
      <c r="P292" s="124" t="n">
        <f aca="false">ABS(D292)/$P$3</f>
        <v>0</v>
      </c>
      <c r="Q292" s="124" t="n">
        <f aca="false">ABS(E292)/$P$3</f>
        <v>0</v>
      </c>
      <c r="R292" s="124" t="n">
        <f aca="false">ABS(F292)/$P$3</f>
        <v>0</v>
      </c>
      <c r="S292" s="124" t="n">
        <f aca="false">ABS(G292)/$P$3</f>
        <v>0</v>
      </c>
      <c r="T292" s="124" t="n">
        <f aca="false">ABS(H292)/$P$3</f>
        <v>0</v>
      </c>
      <c r="U292" s="124" t="n">
        <f aca="false">ABS(I292)/$P$3</f>
        <v>0</v>
      </c>
      <c r="V292" s="124" t="n">
        <f aca="false">ABS(J292)/$P$3</f>
        <v>0</v>
      </c>
      <c r="W292" s="124" t="n">
        <f aca="false">ABS(K292)/$P$3</f>
        <v>0</v>
      </c>
      <c r="X292" s="124" t="n">
        <f aca="false">ABS(L292)/$P$3</f>
        <v>0</v>
      </c>
      <c r="Y292" s="124" t="n">
        <f aca="false">ABS(M292)/$P$3</f>
        <v>0</v>
      </c>
      <c r="Z292" s="124" t="n">
        <f aca="false">ABS(N292)/$P$3</f>
        <v>0</v>
      </c>
    </row>
    <row r="293" customFormat="false" ht="12.75" hidden="true" customHeight="false" outlineLevel="0" collapsed="false">
      <c r="A293" s="120" t="n">
        <f aca="false">A292+1</f>
        <v>37179</v>
      </c>
      <c r="B293" s="131" t="str">
        <f aca="false">INDEX('Master Data'!$A$2:$B$8,MATCH(WEEKDAY('RAC V@r Total'!A293,3),'Master Data'!$A$2:$A$8,0),2)</f>
        <v>M</v>
      </c>
      <c r="D293" s="124" t="n">
        <v>-488562.66</v>
      </c>
      <c r="E293" s="124" t="n">
        <v>0</v>
      </c>
      <c r="F293" s="124" t="n">
        <v>0</v>
      </c>
      <c r="G293" s="124" t="n">
        <v>-368796.17</v>
      </c>
      <c r="H293" s="124" t="n">
        <v>-62134.94</v>
      </c>
      <c r="I293" s="124" t="n">
        <v>-488562.66</v>
      </c>
      <c r="J293" s="124" t="n">
        <v>-375307.52</v>
      </c>
      <c r="K293" s="124" t="n">
        <v>-195041.43</v>
      </c>
      <c r="L293" s="124" t="n">
        <v>0</v>
      </c>
      <c r="M293" s="124" t="n">
        <v>-62134.94</v>
      </c>
      <c r="N293" s="124" t="n">
        <v>-199090.94</v>
      </c>
      <c r="P293" s="124" t="n">
        <f aca="false">ABS(D293)/$P$3</f>
        <v>488.56266</v>
      </c>
      <c r="Q293" s="124" t="n">
        <f aca="false">ABS(E293)/$P$3</f>
        <v>0</v>
      </c>
      <c r="R293" s="124" t="n">
        <f aca="false">ABS(F293)/$P$3</f>
        <v>0</v>
      </c>
      <c r="S293" s="124" t="n">
        <f aca="false">ABS(G293)/$P$3</f>
        <v>368.79617</v>
      </c>
      <c r="T293" s="124" t="n">
        <f aca="false">ABS(H293)/$P$3</f>
        <v>62.13494</v>
      </c>
      <c r="U293" s="124" t="n">
        <f aca="false">ABS(I293)/$P$3</f>
        <v>488.56266</v>
      </c>
      <c r="V293" s="124" t="n">
        <f aca="false">ABS(J293)/$P$3</f>
        <v>375.30752</v>
      </c>
      <c r="W293" s="124" t="n">
        <f aca="false">ABS(K293)/$P$3</f>
        <v>195.04143</v>
      </c>
      <c r="X293" s="124" t="n">
        <f aca="false">ABS(L293)/$P$3</f>
        <v>0</v>
      </c>
      <c r="Y293" s="124" t="n">
        <f aca="false">ABS(M293)/$P$3</f>
        <v>62.13494</v>
      </c>
      <c r="Z293" s="124" t="n">
        <f aca="false">ABS(N293)/$P$3</f>
        <v>199.09094</v>
      </c>
    </row>
    <row r="294" customFormat="false" ht="12.75" hidden="true" customHeight="false" outlineLevel="0" collapsed="false">
      <c r="A294" s="120" t="n">
        <f aca="false">A293+1</f>
        <v>37180</v>
      </c>
      <c r="B294" s="131" t="str">
        <f aca="false">INDEX('Master Data'!$A$2:$B$8,MATCH(WEEKDAY('RAC V@r Total'!A294,3),'Master Data'!$A$2:$A$8,0),2)</f>
        <v>T</v>
      </c>
      <c r="D294" s="124" t="n">
        <v>-488890.54</v>
      </c>
      <c r="E294" s="124" t="n">
        <v>0</v>
      </c>
      <c r="F294" s="124" t="n">
        <v>0</v>
      </c>
      <c r="G294" s="124" t="n">
        <v>-369413.83</v>
      </c>
      <c r="H294" s="124" t="n">
        <v>-62328.51</v>
      </c>
      <c r="I294" s="124" t="n">
        <v>-488890.54</v>
      </c>
      <c r="J294" s="124" t="n">
        <v>-375916.66</v>
      </c>
      <c r="K294" s="124" t="n">
        <v>-194744.26</v>
      </c>
      <c r="L294" s="124" t="n">
        <v>0</v>
      </c>
      <c r="M294" s="124" t="n">
        <v>-62328.51</v>
      </c>
      <c r="N294" s="124" t="n">
        <v>-199310.38</v>
      </c>
      <c r="P294" s="124" t="n">
        <f aca="false">ABS(D294)/$P$3</f>
        <v>488.89054</v>
      </c>
      <c r="Q294" s="124" t="n">
        <f aca="false">ABS(E294)/$P$3</f>
        <v>0</v>
      </c>
      <c r="R294" s="124" t="n">
        <f aca="false">ABS(F294)/$P$3</f>
        <v>0</v>
      </c>
      <c r="S294" s="124" t="n">
        <f aca="false">ABS(G294)/$P$3</f>
        <v>369.41383</v>
      </c>
      <c r="T294" s="124" t="n">
        <f aca="false">ABS(H294)/$P$3</f>
        <v>62.32851</v>
      </c>
      <c r="U294" s="124" t="n">
        <f aca="false">ABS(I294)/$P$3</f>
        <v>488.89054</v>
      </c>
      <c r="V294" s="124" t="n">
        <f aca="false">ABS(J294)/$P$3</f>
        <v>375.91666</v>
      </c>
      <c r="W294" s="124" t="n">
        <f aca="false">ABS(K294)/$P$3</f>
        <v>194.74426</v>
      </c>
      <c r="X294" s="124" t="n">
        <f aca="false">ABS(L294)/$P$3</f>
        <v>0</v>
      </c>
      <c r="Y294" s="124" t="n">
        <f aca="false">ABS(M294)/$P$3</f>
        <v>62.32851</v>
      </c>
      <c r="Z294" s="124" t="n">
        <f aca="false">ABS(N294)/$P$3</f>
        <v>199.31038</v>
      </c>
    </row>
    <row r="295" customFormat="false" ht="12.75" hidden="true" customHeight="false" outlineLevel="0" collapsed="false">
      <c r="A295" s="120" t="n">
        <f aca="false">A294+1</f>
        <v>37181</v>
      </c>
      <c r="B295" s="131" t="str">
        <f aca="false">INDEX('Master Data'!$A$2:$B$8,MATCH(WEEKDAY('RAC V@r Total'!A295,3),'Master Data'!$A$2:$A$8,0),2)</f>
        <v>W</v>
      </c>
      <c r="D295" s="124" t="n">
        <v>-489224.98</v>
      </c>
      <c r="E295" s="124" t="n">
        <v>0</v>
      </c>
      <c r="F295" s="124" t="n">
        <v>0</v>
      </c>
      <c r="G295" s="124" t="n">
        <v>-369729.56</v>
      </c>
      <c r="H295" s="124" t="n">
        <v>-62423.5</v>
      </c>
      <c r="I295" s="124" t="n">
        <v>-489224.98</v>
      </c>
      <c r="J295" s="124" t="n">
        <v>-376225.67</v>
      </c>
      <c r="K295" s="124" t="n">
        <v>-194761.77</v>
      </c>
      <c r="L295" s="124" t="n">
        <v>0</v>
      </c>
      <c r="M295" s="124" t="n">
        <v>-62423.5</v>
      </c>
      <c r="N295" s="124" t="n">
        <v>-199475.97</v>
      </c>
      <c r="P295" s="124" t="n">
        <f aca="false">ABS(D295)/$P$3</f>
        <v>489.22498</v>
      </c>
      <c r="Q295" s="124" t="n">
        <f aca="false">ABS(E295)/$P$3</f>
        <v>0</v>
      </c>
      <c r="R295" s="124" t="n">
        <f aca="false">ABS(F295)/$P$3</f>
        <v>0</v>
      </c>
      <c r="S295" s="124" t="n">
        <f aca="false">ABS(G295)/$P$3</f>
        <v>369.72956</v>
      </c>
      <c r="T295" s="124" t="n">
        <f aca="false">ABS(H295)/$P$3</f>
        <v>62.4235</v>
      </c>
      <c r="U295" s="124" t="n">
        <f aca="false">ABS(I295)/$P$3</f>
        <v>489.22498</v>
      </c>
      <c r="V295" s="124" t="n">
        <f aca="false">ABS(J295)/$P$3</f>
        <v>376.22567</v>
      </c>
      <c r="W295" s="124" t="n">
        <f aca="false">ABS(K295)/$P$3</f>
        <v>194.76177</v>
      </c>
      <c r="X295" s="124" t="n">
        <f aca="false">ABS(L295)/$P$3</f>
        <v>0</v>
      </c>
      <c r="Y295" s="124" t="n">
        <f aca="false">ABS(M295)/$P$3</f>
        <v>62.4235</v>
      </c>
      <c r="Z295" s="124" t="n">
        <f aca="false">ABS(N295)/$P$3</f>
        <v>199.47597</v>
      </c>
    </row>
    <row r="296" customFormat="false" ht="12.75" hidden="true" customHeight="false" outlineLevel="0" collapsed="false">
      <c r="A296" s="120" t="n">
        <f aca="false">A295+1</f>
        <v>37182</v>
      </c>
      <c r="B296" s="131" t="str">
        <f aca="false">INDEX('Master Data'!$A$2:$B$8,MATCH(WEEKDAY('RAC V@r Total'!A296,3),'Master Data'!$A$2:$A$8,0),2)</f>
        <v>Th</v>
      </c>
      <c r="D296" s="124" t="n">
        <v>-489566.29</v>
      </c>
      <c r="E296" s="124" t="n">
        <v>0</v>
      </c>
      <c r="F296" s="124" t="n">
        <v>0</v>
      </c>
      <c r="G296" s="124" t="n">
        <v>-429126.541</v>
      </c>
      <c r="H296" s="124" t="n">
        <v>-62449.78</v>
      </c>
      <c r="I296" s="124" t="n">
        <v>-489566.29</v>
      </c>
      <c r="J296" s="124" t="n">
        <v>-436519.44</v>
      </c>
      <c r="K296" s="124" t="n">
        <v>-163152.64</v>
      </c>
      <c r="L296" s="124" t="n">
        <v>0</v>
      </c>
      <c r="M296" s="124" t="n">
        <v>-62449.78</v>
      </c>
      <c r="N296" s="124" t="n">
        <v>-164743.06</v>
      </c>
      <c r="P296" s="124" t="n">
        <f aca="false">ABS(D296)/$P$3</f>
        <v>489.56629</v>
      </c>
      <c r="Q296" s="124" t="n">
        <f aca="false">ABS(E296)/$P$3</f>
        <v>0</v>
      </c>
      <c r="R296" s="124" t="n">
        <f aca="false">ABS(F296)/$P$3</f>
        <v>0</v>
      </c>
      <c r="S296" s="124" t="n">
        <f aca="false">ABS(G296)/$P$3</f>
        <v>429.126541</v>
      </c>
      <c r="T296" s="124" t="n">
        <f aca="false">ABS(H296)/$P$3</f>
        <v>62.44978</v>
      </c>
      <c r="U296" s="124" t="n">
        <f aca="false">ABS(I296)/$P$3</f>
        <v>489.56629</v>
      </c>
      <c r="V296" s="124" t="n">
        <f aca="false">ABS(J296)/$P$3</f>
        <v>436.51944</v>
      </c>
      <c r="W296" s="124" t="n">
        <f aca="false">ABS(K296)/$P$3</f>
        <v>163.15264</v>
      </c>
      <c r="X296" s="124" t="n">
        <f aca="false">ABS(L296)/$P$3</f>
        <v>0</v>
      </c>
      <c r="Y296" s="124" t="n">
        <f aca="false">ABS(M296)/$P$3</f>
        <v>62.44978</v>
      </c>
      <c r="Z296" s="124" t="n">
        <f aca="false">ABS(N296)/$P$3</f>
        <v>164.74306</v>
      </c>
    </row>
    <row r="297" customFormat="false" ht="12.75" hidden="true" customHeight="false" outlineLevel="0" collapsed="false">
      <c r="A297" s="120" t="n">
        <f aca="false">A296+1</f>
        <v>37183</v>
      </c>
      <c r="B297" s="131" t="str">
        <f aca="false">INDEX('Master Data'!$A$2:$B$8,MATCH(WEEKDAY('RAC V@r Total'!A297,3),'Master Data'!$A$2:$A$8,0),2)</f>
        <v>F</v>
      </c>
      <c r="D297" s="124" t="n">
        <v>-489914.75</v>
      </c>
      <c r="E297" s="124" t="n">
        <v>0</v>
      </c>
      <c r="F297" s="124" t="n">
        <v>0</v>
      </c>
      <c r="G297" s="124" t="n">
        <v>-429552.99</v>
      </c>
      <c r="H297" s="124" t="n">
        <v>-62344.16</v>
      </c>
      <c r="I297" s="124" t="n">
        <v>-489914.75</v>
      </c>
      <c r="J297" s="124" t="n">
        <v>-436999.07</v>
      </c>
      <c r="K297" s="124" t="n">
        <v>-163197.29</v>
      </c>
      <c r="L297" s="124" t="n">
        <v>0</v>
      </c>
      <c r="M297" s="124" t="n">
        <v>-62344.16</v>
      </c>
      <c r="N297" s="124" t="n">
        <v>-164852.94</v>
      </c>
      <c r="P297" s="124" t="n">
        <f aca="false">ABS(D297)/$P$3</f>
        <v>489.91475</v>
      </c>
      <c r="Q297" s="124" t="n">
        <f aca="false">ABS(E297)/$P$3</f>
        <v>0</v>
      </c>
      <c r="R297" s="124" t="n">
        <f aca="false">ABS(F297)/$P$3</f>
        <v>0</v>
      </c>
      <c r="S297" s="124" t="n">
        <f aca="false">ABS(G297)/$P$3</f>
        <v>429.55299</v>
      </c>
      <c r="T297" s="124" t="n">
        <f aca="false">ABS(H297)/$P$3</f>
        <v>62.34416</v>
      </c>
      <c r="U297" s="124" t="n">
        <f aca="false">ABS(I297)/$P$3</f>
        <v>489.91475</v>
      </c>
      <c r="V297" s="124" t="n">
        <f aca="false">ABS(J297)/$P$3</f>
        <v>436.99907</v>
      </c>
      <c r="W297" s="124" t="n">
        <f aca="false">ABS(K297)/$P$3</f>
        <v>163.19729</v>
      </c>
      <c r="X297" s="124" t="n">
        <f aca="false">ABS(L297)/$P$3</f>
        <v>0</v>
      </c>
      <c r="Y297" s="124" t="n">
        <f aca="false">ABS(M297)/$P$3</f>
        <v>62.34416</v>
      </c>
      <c r="Z297" s="124" t="n">
        <f aca="false">ABS(N297)/$P$3</f>
        <v>164.85294</v>
      </c>
    </row>
    <row r="298" customFormat="false" ht="12.75" hidden="true" customHeight="false" outlineLevel="0" collapsed="false">
      <c r="A298" s="120" t="n">
        <f aca="false">A297+1</f>
        <v>37184</v>
      </c>
      <c r="B298" s="131" t="str">
        <f aca="false">INDEX('Master Data'!$A$2:$B$8,MATCH(WEEKDAY('RAC V@r Total'!A298,3),'Master Data'!$A$2:$A$8,0),2)</f>
        <v>Sa</v>
      </c>
      <c r="D298" s="124" t="n">
        <v>0</v>
      </c>
      <c r="E298" s="124" t="n">
        <v>0</v>
      </c>
      <c r="F298" s="124" t="n">
        <v>0</v>
      </c>
      <c r="G298" s="124" t="n">
        <v>0</v>
      </c>
      <c r="H298" s="124" t="n">
        <v>0</v>
      </c>
      <c r="I298" s="124" t="n">
        <v>0</v>
      </c>
      <c r="J298" s="124" t="n">
        <v>0</v>
      </c>
      <c r="K298" s="124" t="n">
        <v>0</v>
      </c>
      <c r="L298" s="124" t="n">
        <v>0</v>
      </c>
      <c r="M298" s="124" t="n">
        <v>0</v>
      </c>
      <c r="N298" s="124" t="n">
        <v>0</v>
      </c>
      <c r="P298" s="124" t="n">
        <f aca="false">ABS(D298)/$P$3</f>
        <v>0</v>
      </c>
      <c r="Q298" s="124" t="n">
        <f aca="false">ABS(E298)/$P$3</f>
        <v>0</v>
      </c>
      <c r="R298" s="124" t="n">
        <f aca="false">ABS(F298)/$P$3</f>
        <v>0</v>
      </c>
      <c r="S298" s="124" t="n">
        <f aca="false">ABS(G298)/$P$3</f>
        <v>0</v>
      </c>
      <c r="T298" s="124" t="n">
        <f aca="false">ABS(H298)/$P$3</f>
        <v>0</v>
      </c>
      <c r="U298" s="124" t="n">
        <f aca="false">ABS(I298)/$P$3</f>
        <v>0</v>
      </c>
      <c r="V298" s="124" t="n">
        <f aca="false">ABS(J298)/$P$3</f>
        <v>0</v>
      </c>
      <c r="W298" s="124" t="n">
        <f aca="false">ABS(K298)/$P$3</f>
        <v>0</v>
      </c>
      <c r="X298" s="124" t="n">
        <f aca="false">ABS(L298)/$P$3</f>
        <v>0</v>
      </c>
      <c r="Y298" s="124" t="n">
        <f aca="false">ABS(M298)/$P$3</f>
        <v>0</v>
      </c>
      <c r="Z298" s="124" t="n">
        <f aca="false">ABS(N298)/$P$3</f>
        <v>0</v>
      </c>
    </row>
    <row r="299" customFormat="false" ht="12.75" hidden="true" customHeight="false" outlineLevel="0" collapsed="false">
      <c r="A299" s="120" t="n">
        <f aca="false">A298+1</f>
        <v>37185</v>
      </c>
      <c r="B299" s="131" t="str">
        <f aca="false">INDEX('Master Data'!$A$2:$B$8,MATCH(WEEKDAY('RAC V@r Total'!A299,3),'Master Data'!$A$2:$A$8,0),2)</f>
        <v>Su</v>
      </c>
      <c r="D299" s="124" t="n">
        <v>0</v>
      </c>
      <c r="E299" s="124" t="n">
        <v>0</v>
      </c>
      <c r="F299" s="124" t="n">
        <v>0</v>
      </c>
      <c r="G299" s="124" t="n">
        <v>0</v>
      </c>
      <c r="H299" s="124" t="n">
        <v>0</v>
      </c>
      <c r="I299" s="124" t="n">
        <v>0</v>
      </c>
      <c r="J299" s="124" t="n">
        <v>0</v>
      </c>
      <c r="K299" s="124" t="n">
        <v>0</v>
      </c>
      <c r="L299" s="124" t="n">
        <v>0</v>
      </c>
      <c r="M299" s="124" t="n">
        <v>0</v>
      </c>
      <c r="N299" s="124" t="n">
        <v>0</v>
      </c>
      <c r="P299" s="124" t="n">
        <f aca="false">ABS(D299)/$P$3</f>
        <v>0</v>
      </c>
      <c r="Q299" s="124" t="n">
        <f aca="false">ABS(E299)/$P$3</f>
        <v>0</v>
      </c>
      <c r="R299" s="124" t="n">
        <f aca="false">ABS(F299)/$P$3</f>
        <v>0</v>
      </c>
      <c r="S299" s="124" t="n">
        <f aca="false">ABS(G299)/$P$3</f>
        <v>0</v>
      </c>
      <c r="T299" s="124" t="n">
        <f aca="false">ABS(H299)/$P$3</f>
        <v>0</v>
      </c>
      <c r="U299" s="124" t="n">
        <f aca="false">ABS(I299)/$P$3</f>
        <v>0</v>
      </c>
      <c r="V299" s="124" t="n">
        <f aca="false">ABS(J299)/$P$3</f>
        <v>0</v>
      </c>
      <c r="W299" s="124" t="n">
        <f aca="false">ABS(K299)/$P$3</f>
        <v>0</v>
      </c>
      <c r="X299" s="124" t="n">
        <f aca="false">ABS(L299)/$P$3</f>
        <v>0</v>
      </c>
      <c r="Y299" s="124" t="n">
        <f aca="false">ABS(M299)/$P$3</f>
        <v>0</v>
      </c>
      <c r="Z299" s="124" t="n">
        <f aca="false">ABS(N299)/$P$3</f>
        <v>0</v>
      </c>
    </row>
    <row r="300" customFormat="false" ht="12.75" hidden="true" customHeight="false" outlineLevel="0" collapsed="false">
      <c r="A300" s="120" t="n">
        <f aca="false">A299+1</f>
        <v>37186</v>
      </c>
      <c r="B300" s="131" t="str">
        <f aca="false">INDEX('Master Data'!$A$2:$B$8,MATCH(WEEKDAY('RAC V@r Total'!A300,3),'Master Data'!$A$2:$A$8,0),2)</f>
        <v>M</v>
      </c>
      <c r="D300" s="124" t="n">
        <v>-491006.38</v>
      </c>
      <c r="E300" s="124" t="n">
        <v>0</v>
      </c>
      <c r="F300" s="124" t="n">
        <v>0</v>
      </c>
      <c r="G300" s="124" t="n">
        <v>-429562.5</v>
      </c>
      <c r="H300" s="124" t="n">
        <v>-62331.14</v>
      </c>
      <c r="I300" s="124" t="n">
        <v>-491006.38</v>
      </c>
      <c r="J300" s="124" t="n">
        <v>-437034.84</v>
      </c>
      <c r="K300" s="124" t="n">
        <v>-164065.93</v>
      </c>
      <c r="L300" s="124" t="n">
        <v>0</v>
      </c>
      <c r="M300" s="124" t="n">
        <v>-62331.14</v>
      </c>
      <c r="N300" s="124" t="n">
        <v>-165152.24</v>
      </c>
      <c r="P300" s="124" t="n">
        <f aca="false">ABS(D300)/$P$3</f>
        <v>491.00638</v>
      </c>
      <c r="Q300" s="124" t="n">
        <f aca="false">ABS(E300)/$P$3</f>
        <v>0</v>
      </c>
      <c r="R300" s="124" t="n">
        <f aca="false">ABS(F300)/$P$3</f>
        <v>0</v>
      </c>
      <c r="S300" s="124" t="n">
        <f aca="false">ABS(G300)/$P$3</f>
        <v>429.5625</v>
      </c>
      <c r="T300" s="124" t="n">
        <f aca="false">ABS(H300)/$P$3</f>
        <v>62.33114</v>
      </c>
      <c r="U300" s="124" t="n">
        <f aca="false">ABS(I300)/$P$3</f>
        <v>491.00638</v>
      </c>
      <c r="V300" s="124" t="n">
        <f aca="false">ABS(J300)/$P$3</f>
        <v>437.03484</v>
      </c>
      <c r="W300" s="124" t="n">
        <f aca="false">ABS(K300)/$P$3</f>
        <v>164.06593</v>
      </c>
      <c r="X300" s="124" t="n">
        <f aca="false">ABS(L300)/$P$3</f>
        <v>0</v>
      </c>
      <c r="Y300" s="124" t="n">
        <f aca="false">ABS(M300)/$P$3</f>
        <v>62.33114</v>
      </c>
      <c r="Z300" s="124" t="n">
        <f aca="false">ABS(N300)/$P$3</f>
        <v>165.15224</v>
      </c>
    </row>
    <row r="301" customFormat="false" ht="12.75" hidden="false" customHeight="false" outlineLevel="0" collapsed="false">
      <c r="A301" s="120" t="n">
        <f aca="false">A300+1</f>
        <v>37187</v>
      </c>
      <c r="B301" s="131" t="str">
        <f aca="false">INDEX('Master Data'!$A$2:$B$8,MATCH(WEEKDAY('RAC V@r Total'!A301,3),'Master Data'!$A$2:$A$8,0),2)</f>
        <v>T</v>
      </c>
      <c r="D301" s="124" t="n">
        <v>-491386.88</v>
      </c>
      <c r="E301" s="124" t="n">
        <v>0</v>
      </c>
      <c r="F301" s="124" t="n">
        <v>0</v>
      </c>
      <c r="G301" s="124" t="n">
        <v>-429449.26</v>
      </c>
      <c r="H301" s="124" t="n">
        <v>-62243</v>
      </c>
      <c r="I301" s="124" t="n">
        <v>-491386.88</v>
      </c>
      <c r="J301" s="124" t="n">
        <v>-436950.9</v>
      </c>
      <c r="K301" s="124" t="n">
        <v>-164429.5</v>
      </c>
      <c r="L301" s="124" t="n">
        <v>0</v>
      </c>
      <c r="M301" s="124" t="n">
        <v>-62243.83</v>
      </c>
      <c r="N301" s="124" t="n">
        <v>-165354.79</v>
      </c>
      <c r="P301" s="124" t="n">
        <f aca="false">ABS(D301)/$P$3</f>
        <v>491.38688</v>
      </c>
      <c r="Q301" s="124" t="n">
        <f aca="false">ABS(E301)/$P$3</f>
        <v>0</v>
      </c>
      <c r="R301" s="124" t="n">
        <f aca="false">ABS(F301)/$P$3</f>
        <v>0</v>
      </c>
      <c r="S301" s="124" t="n">
        <f aca="false">ABS(G301)/$P$3</f>
        <v>429.44926</v>
      </c>
      <c r="T301" s="124" t="n">
        <f aca="false">ABS(H301)/$P$3</f>
        <v>62.243</v>
      </c>
      <c r="U301" s="124" t="n">
        <f aca="false">ABS(I301)/$P$3</f>
        <v>491.38688</v>
      </c>
      <c r="V301" s="124" t="n">
        <f aca="false">ABS(J301)/$P$3</f>
        <v>436.9509</v>
      </c>
      <c r="W301" s="124" t="n">
        <f aca="false">ABS(K301)/$P$3</f>
        <v>164.4295</v>
      </c>
      <c r="X301" s="124" t="n">
        <f aca="false">ABS(L301)/$P$3</f>
        <v>0</v>
      </c>
      <c r="Y301" s="124" t="n">
        <f aca="false">ABS(M301)/$P$3</f>
        <v>62.24383</v>
      </c>
      <c r="Z301" s="124" t="n">
        <f aca="false">ABS(N301)/$P$3</f>
        <v>165.35479</v>
      </c>
    </row>
    <row r="302" customFormat="false" ht="12.75" hidden="false" customHeight="false" outlineLevel="0" collapsed="false">
      <c r="A302" s="120" t="n">
        <f aca="false">A301+1</f>
        <v>37188</v>
      </c>
      <c r="B302" s="131" t="str">
        <f aca="false">INDEX('Master Data'!$A$2:$B$8,MATCH(WEEKDAY('RAC V@r Total'!A302,3),'Master Data'!$A$2:$A$8,0),2)</f>
        <v>W</v>
      </c>
      <c r="D302" s="124" t="n">
        <v>-491776.35</v>
      </c>
      <c r="E302" s="124" t="n">
        <v>0</v>
      </c>
      <c r="F302" s="124" t="n">
        <v>0</v>
      </c>
      <c r="G302" s="124" t="n">
        <v>-429447</v>
      </c>
      <c r="H302" s="124" t="n">
        <v>-62496.37</v>
      </c>
      <c r="I302" s="124" t="n">
        <v>-491776.35</v>
      </c>
      <c r="J302" s="124" t="n">
        <v>-436886.45</v>
      </c>
      <c r="K302" s="124" t="n">
        <v>-164739.28</v>
      </c>
      <c r="L302" s="124" t="n">
        <v>0</v>
      </c>
      <c r="M302" s="124" t="n">
        <v>-62496.37</v>
      </c>
      <c r="N302" s="124" t="n">
        <v>-165477.68</v>
      </c>
      <c r="P302" s="124" t="n">
        <f aca="false">ABS(D302)/$P$3</f>
        <v>491.77635</v>
      </c>
      <c r="Q302" s="124" t="n">
        <f aca="false">ABS(E302)/$P$3</f>
        <v>0</v>
      </c>
      <c r="R302" s="124" t="n">
        <f aca="false">ABS(F302)/$P$3</f>
        <v>0</v>
      </c>
      <c r="S302" s="124" t="n">
        <f aca="false">ABS(G302)/$P$3</f>
        <v>429.447</v>
      </c>
      <c r="T302" s="124" t="n">
        <f aca="false">ABS(H302)/$P$3</f>
        <v>62.49637</v>
      </c>
      <c r="U302" s="124" t="n">
        <f aca="false">ABS(I302)/$P$3</f>
        <v>491.77635</v>
      </c>
      <c r="V302" s="124" t="n">
        <f aca="false">ABS(J302)/$P$3</f>
        <v>436.88645</v>
      </c>
      <c r="W302" s="124" t="n">
        <f aca="false">ABS(K302)/$P$3</f>
        <v>164.73928</v>
      </c>
      <c r="X302" s="124" t="n">
        <f aca="false">ABS(L302)/$P$3</f>
        <v>0</v>
      </c>
      <c r="Y302" s="124" t="n">
        <f aca="false">ABS(M302)/$P$3</f>
        <v>62.49637</v>
      </c>
      <c r="Z302" s="124" t="n">
        <f aca="false">ABS(N302)/$P$3</f>
        <v>165.47768</v>
      </c>
    </row>
    <row r="303" customFormat="false" ht="12.75" hidden="false" customHeight="false" outlineLevel="0" collapsed="false">
      <c r="A303" s="120" t="n">
        <f aca="false">A302+1</f>
        <v>37189</v>
      </c>
      <c r="B303" s="131" t="str">
        <f aca="false">INDEX('Master Data'!$A$2:$B$8,MATCH(WEEKDAY('RAC V@r Total'!A303,3),'Master Data'!$A$2:$A$8,0),2)</f>
        <v>Th</v>
      </c>
      <c r="D303" s="124" t="n">
        <v>-492175.22</v>
      </c>
      <c r="E303" s="124" t="n">
        <v>0</v>
      </c>
      <c r="F303" s="124" t="n">
        <v>0</v>
      </c>
      <c r="G303" s="124" t="n">
        <v>-429969.11</v>
      </c>
      <c r="H303" s="124" t="n">
        <v>-62742.82</v>
      </c>
      <c r="I303" s="124" t="n">
        <v>-492175.22</v>
      </c>
      <c r="J303" s="124" t="n">
        <v>-437366.44</v>
      </c>
      <c r="K303" s="124" t="n">
        <v>-164764.83</v>
      </c>
      <c r="L303" s="124" t="n">
        <v>0</v>
      </c>
      <c r="M303" s="124" t="n">
        <v>-62742.82</v>
      </c>
      <c r="N303" s="124" t="n">
        <v>-165764.98</v>
      </c>
      <c r="P303" s="124" t="n">
        <f aca="false">ABS(D303)/$P$3</f>
        <v>492.17522</v>
      </c>
      <c r="Q303" s="124" t="n">
        <f aca="false">ABS(E303)/$P$3</f>
        <v>0</v>
      </c>
      <c r="R303" s="124" t="n">
        <f aca="false">ABS(F303)/$P$3</f>
        <v>0</v>
      </c>
      <c r="S303" s="124" t="n">
        <f aca="false">ABS(G303)/$P$3</f>
        <v>429.96911</v>
      </c>
      <c r="T303" s="124" t="n">
        <f aca="false">ABS(H303)/$P$3</f>
        <v>62.74282</v>
      </c>
      <c r="U303" s="124" t="n">
        <f aca="false">ABS(I303)/$P$3</f>
        <v>492.17522</v>
      </c>
      <c r="V303" s="124" t="n">
        <f aca="false">ABS(J303)/$P$3</f>
        <v>437.36644</v>
      </c>
      <c r="W303" s="124" t="n">
        <f aca="false">ABS(K303)/$P$3</f>
        <v>164.76483</v>
      </c>
      <c r="X303" s="124" t="n">
        <f aca="false">ABS(L303)/$P$3</f>
        <v>0</v>
      </c>
      <c r="Y303" s="124" t="n">
        <f aca="false">ABS(M303)/$P$3</f>
        <v>62.74282</v>
      </c>
      <c r="Z303" s="124" t="n">
        <f aca="false">ABS(N303)/$P$3</f>
        <v>165.76498</v>
      </c>
    </row>
    <row r="304" customFormat="false" ht="12.75" hidden="false" customHeight="false" outlineLevel="0" collapsed="false">
      <c r="A304" s="120" t="n">
        <f aca="false">A303+1</f>
        <v>37190</v>
      </c>
      <c r="B304" s="131" t="str">
        <f aca="false">INDEX('Master Data'!$A$2:$B$8,MATCH(WEEKDAY('RAC V@r Total'!A304,3),'Master Data'!$A$2:$A$8,0),2)</f>
        <v>F</v>
      </c>
      <c r="D304" s="124" t="n">
        <v>-492583.97</v>
      </c>
      <c r="E304" s="124" t="n">
        <v>0</v>
      </c>
      <c r="F304" s="124" t="n">
        <v>0</v>
      </c>
      <c r="G304" s="124" t="n">
        <v>-430661.85</v>
      </c>
      <c r="H304" s="124" t="n">
        <v>-62799.39</v>
      </c>
      <c r="I304" s="124" t="n">
        <v>-492583.97</v>
      </c>
      <c r="J304" s="124" t="n">
        <v>-438088.95</v>
      </c>
      <c r="K304" s="124" t="n">
        <v>-164696.35</v>
      </c>
      <c r="L304" s="124" t="n">
        <v>0</v>
      </c>
      <c r="M304" s="124" t="n">
        <v>-62799.39</v>
      </c>
      <c r="N304" s="124" t="n">
        <v>-166063.95</v>
      </c>
      <c r="P304" s="124" t="n">
        <f aca="false">ABS(D304)/$P$3</f>
        <v>492.58397</v>
      </c>
      <c r="Q304" s="124" t="n">
        <f aca="false">ABS(E304)/$P$3</f>
        <v>0</v>
      </c>
      <c r="R304" s="124" t="n">
        <f aca="false">ABS(F304)/$P$3</f>
        <v>0</v>
      </c>
      <c r="S304" s="124" t="n">
        <f aca="false">ABS(G304)/$P$3</f>
        <v>430.66185</v>
      </c>
      <c r="T304" s="124" t="n">
        <f aca="false">ABS(H304)/$P$3</f>
        <v>62.79939</v>
      </c>
      <c r="U304" s="124" t="n">
        <f aca="false">ABS(I304)/$P$3</f>
        <v>492.58397</v>
      </c>
      <c r="V304" s="124" t="n">
        <f aca="false">ABS(J304)/$P$3</f>
        <v>438.08895</v>
      </c>
      <c r="W304" s="124" t="n">
        <f aca="false">ABS(K304)/$P$3</f>
        <v>164.69635</v>
      </c>
      <c r="X304" s="124" t="n">
        <f aca="false">ABS(L304)/$P$3</f>
        <v>0</v>
      </c>
      <c r="Y304" s="124" t="n">
        <f aca="false">ABS(M304)/$P$3</f>
        <v>62.79939</v>
      </c>
      <c r="Z304" s="124" t="n">
        <f aca="false">ABS(N304)/$P$3</f>
        <v>166.06395</v>
      </c>
    </row>
    <row r="305" customFormat="false" ht="12.75" hidden="false" customHeight="false" outlineLevel="0" collapsed="false">
      <c r="A305" s="120" t="n">
        <f aca="false">A304+1</f>
        <v>37191</v>
      </c>
      <c r="B305" s="131" t="str">
        <f aca="false">INDEX('Master Data'!$A$2:$B$8,MATCH(WEEKDAY('RAC V@r Total'!A305,3),'Master Data'!$A$2:$A$8,0),2)</f>
        <v>Sa</v>
      </c>
      <c r="D305" s="124" t="n">
        <v>0</v>
      </c>
      <c r="E305" s="124" t="n">
        <v>0</v>
      </c>
      <c r="F305" s="124" t="n">
        <v>0</v>
      </c>
      <c r="G305" s="124" t="n">
        <v>0</v>
      </c>
      <c r="H305" s="124" t="n">
        <v>0</v>
      </c>
      <c r="I305" s="124" t="n">
        <v>0</v>
      </c>
      <c r="J305" s="124" t="n">
        <v>0</v>
      </c>
      <c r="K305" s="124" t="n">
        <v>0</v>
      </c>
      <c r="L305" s="124" t="n">
        <v>0</v>
      </c>
      <c r="M305" s="124" t="n">
        <v>0</v>
      </c>
      <c r="N305" s="124" t="n">
        <v>0</v>
      </c>
      <c r="P305" s="124" t="n">
        <f aca="false">ABS(D305)/$P$3</f>
        <v>0</v>
      </c>
      <c r="Q305" s="124" t="n">
        <f aca="false">ABS(E305)/$P$3</f>
        <v>0</v>
      </c>
      <c r="R305" s="124" t="n">
        <f aca="false">ABS(F305)/$P$3</f>
        <v>0</v>
      </c>
      <c r="S305" s="124" t="n">
        <f aca="false">ABS(G305)/$P$3</f>
        <v>0</v>
      </c>
      <c r="T305" s="124" t="n">
        <f aca="false">ABS(H305)/$P$3</f>
        <v>0</v>
      </c>
      <c r="U305" s="124" t="n">
        <f aca="false">ABS(I305)/$P$3</f>
        <v>0</v>
      </c>
      <c r="V305" s="124" t="n">
        <f aca="false">ABS(J305)/$P$3</f>
        <v>0</v>
      </c>
      <c r="W305" s="124" t="n">
        <f aca="false">ABS(K305)/$P$3</f>
        <v>0</v>
      </c>
      <c r="X305" s="124" t="n">
        <f aca="false">ABS(L305)/$P$3</f>
        <v>0</v>
      </c>
      <c r="Y305" s="124" t="n">
        <f aca="false">ABS(M305)/$P$3</f>
        <v>0</v>
      </c>
      <c r="Z305" s="124" t="n">
        <f aca="false">ABS(N305)/$P$3</f>
        <v>0</v>
      </c>
    </row>
    <row r="306" customFormat="false" ht="12.75" hidden="false" customHeight="false" outlineLevel="0" collapsed="false">
      <c r="A306" s="120" t="n">
        <f aca="false">A305+1</f>
        <v>37192</v>
      </c>
      <c r="B306" s="131" t="str">
        <f aca="false">INDEX('Master Data'!$A$2:$B$8,MATCH(WEEKDAY('RAC V@r Total'!A306,3),'Master Data'!$A$2:$A$8,0),2)</f>
        <v>Su</v>
      </c>
      <c r="D306" s="124" t="n">
        <v>0</v>
      </c>
      <c r="E306" s="124" t="n">
        <v>0</v>
      </c>
      <c r="F306" s="124" t="n">
        <v>0</v>
      </c>
      <c r="G306" s="124" t="n">
        <v>0</v>
      </c>
      <c r="H306" s="124" t="n">
        <v>0</v>
      </c>
      <c r="I306" s="124" t="n">
        <v>0</v>
      </c>
      <c r="J306" s="124" t="n">
        <v>0</v>
      </c>
      <c r="K306" s="124" t="n">
        <v>0</v>
      </c>
      <c r="L306" s="124" t="n">
        <v>0</v>
      </c>
      <c r="M306" s="124" t="n">
        <v>0</v>
      </c>
      <c r="N306" s="124" t="n">
        <v>0</v>
      </c>
      <c r="P306" s="124" t="n">
        <f aca="false">ABS(D306)/$P$3</f>
        <v>0</v>
      </c>
      <c r="Q306" s="124" t="n">
        <f aca="false">ABS(E306)/$P$3</f>
        <v>0</v>
      </c>
      <c r="R306" s="124" t="n">
        <f aca="false">ABS(F306)/$P$3</f>
        <v>0</v>
      </c>
      <c r="S306" s="124" t="n">
        <f aca="false">ABS(G306)/$P$3</f>
        <v>0</v>
      </c>
      <c r="T306" s="124" t="n">
        <f aca="false">ABS(H306)/$P$3</f>
        <v>0</v>
      </c>
      <c r="U306" s="124" t="n">
        <f aca="false">ABS(I306)/$P$3</f>
        <v>0</v>
      </c>
      <c r="V306" s="124" t="n">
        <f aca="false">ABS(J306)/$P$3</f>
        <v>0</v>
      </c>
      <c r="W306" s="124" t="n">
        <f aca="false">ABS(K306)/$P$3</f>
        <v>0</v>
      </c>
      <c r="X306" s="124" t="n">
        <f aca="false">ABS(L306)/$P$3</f>
        <v>0</v>
      </c>
      <c r="Y306" s="124" t="n">
        <f aca="false">ABS(M306)/$P$3</f>
        <v>0</v>
      </c>
      <c r="Z306" s="124" t="n">
        <f aca="false">ABS(N306)/$P$3</f>
        <v>0</v>
      </c>
    </row>
    <row r="307" customFormat="false" ht="12.75" hidden="false" customHeight="false" outlineLevel="0" collapsed="false">
      <c r="A307" s="120" t="n">
        <f aca="false">A306+1</f>
        <v>37193</v>
      </c>
      <c r="B307" s="131" t="str">
        <f aca="false">INDEX('Master Data'!$A$2:$B$8,MATCH(WEEKDAY('RAC V@r Total'!A307,3),'Master Data'!$A$2:$A$8,0),2)</f>
        <v>M</v>
      </c>
      <c r="D307" s="124" t="n">
        <v>-249356.12</v>
      </c>
      <c r="E307" s="124" t="n">
        <v>0</v>
      </c>
      <c r="F307" s="124" t="n">
        <v>0</v>
      </c>
      <c r="G307" s="124" t="n">
        <v>-430735.03</v>
      </c>
      <c r="H307" s="124" t="n">
        <v>-63046.41</v>
      </c>
      <c r="I307" s="124" t="n">
        <v>-249356.12</v>
      </c>
      <c r="J307" s="124" t="n">
        <v>-438111.63</v>
      </c>
      <c r="K307" s="124" t="n">
        <v>-232046.29</v>
      </c>
      <c r="L307" s="124" t="n">
        <v>0</v>
      </c>
      <c r="M307" s="124" t="n">
        <v>-63046.41</v>
      </c>
      <c r="N307" s="124" t="n">
        <v>-233351.47</v>
      </c>
      <c r="P307" s="124" t="n">
        <f aca="false">ABS(D307)/$P$3</f>
        <v>249.35612</v>
      </c>
      <c r="Q307" s="124" t="n">
        <f aca="false">ABS(E307)/$P$3</f>
        <v>0</v>
      </c>
      <c r="R307" s="124" t="n">
        <f aca="false">ABS(F307)/$P$3</f>
        <v>0</v>
      </c>
      <c r="S307" s="124" t="n">
        <f aca="false">ABS(G307)/$P$3</f>
        <v>430.73503</v>
      </c>
      <c r="T307" s="124" t="n">
        <f aca="false">ABS(H307)/$P$3</f>
        <v>63.04641</v>
      </c>
      <c r="U307" s="124" t="n">
        <f aca="false">ABS(I307)/$P$3</f>
        <v>249.35612</v>
      </c>
      <c r="V307" s="124" t="n">
        <f aca="false">ABS(J307)/$P$3</f>
        <v>438.11163</v>
      </c>
      <c r="W307" s="124" t="n">
        <f aca="false">ABS(K307)/$P$3</f>
        <v>232.04629</v>
      </c>
      <c r="X307" s="124" t="n">
        <f aca="false">ABS(L307)/$P$3</f>
        <v>0</v>
      </c>
      <c r="Y307" s="124" t="n">
        <f aca="false">ABS(M307)/$P$3</f>
        <v>63.04641</v>
      </c>
      <c r="Z307" s="124" t="n">
        <f aca="false">ABS(N307)/$P$3</f>
        <v>233.35147</v>
      </c>
    </row>
    <row r="308" customFormat="false" ht="12.75" hidden="false" customHeight="false" outlineLevel="0" collapsed="false">
      <c r="A308" s="120" t="n">
        <f aca="false">A307+1</f>
        <v>37194</v>
      </c>
      <c r="B308" s="131" t="str">
        <f aca="false">INDEX('Master Data'!$A$2:$B$8,MATCH(WEEKDAY('RAC V@r Total'!A308,3),'Master Data'!$A$2:$A$8,0),2)</f>
        <v>T</v>
      </c>
      <c r="D308" s="124" t="n">
        <v>-249589.49</v>
      </c>
      <c r="E308" s="124" t="n">
        <v>0</v>
      </c>
      <c r="F308" s="124" t="n">
        <v>0</v>
      </c>
      <c r="G308" s="124" t="n">
        <v>-431287.18</v>
      </c>
      <c r="H308" s="124" t="n">
        <v>-63327</v>
      </c>
      <c r="I308" s="124" t="n">
        <v>-249589.49</v>
      </c>
      <c r="J308" s="124" t="n">
        <v>-438610.62</v>
      </c>
      <c r="K308" s="124" t="n">
        <v>-232331.41</v>
      </c>
      <c r="L308" s="124" t="n">
        <v>0</v>
      </c>
      <c r="M308" s="124" t="n">
        <v>-63327</v>
      </c>
      <c r="N308" s="124" t="n">
        <v>-233728.64</v>
      </c>
      <c r="P308" s="124" t="n">
        <f aca="false">ABS(D308)/$P$3</f>
        <v>249.58949</v>
      </c>
      <c r="Q308" s="124" t="n">
        <f aca="false">ABS(E308)/$P$3</f>
        <v>0</v>
      </c>
      <c r="R308" s="124" t="n">
        <f aca="false">ABS(F308)/$P$3</f>
        <v>0</v>
      </c>
      <c r="S308" s="124" t="n">
        <f aca="false">ABS(G308)/$P$3</f>
        <v>431.28718</v>
      </c>
      <c r="T308" s="124" t="n">
        <f aca="false">ABS(H308)/$P$3</f>
        <v>63.327</v>
      </c>
      <c r="U308" s="124" t="n">
        <f aca="false">ABS(I308)/$P$3</f>
        <v>249.58949</v>
      </c>
      <c r="V308" s="124" t="n">
        <f aca="false">ABS(J308)/$P$3</f>
        <v>438.61062</v>
      </c>
      <c r="W308" s="124" t="n">
        <f aca="false">ABS(K308)/$P$3</f>
        <v>232.33141</v>
      </c>
      <c r="X308" s="124" t="n">
        <f aca="false">ABS(L308)/$P$3</f>
        <v>0</v>
      </c>
      <c r="Y308" s="124" t="n">
        <f aca="false">ABS(M308)/$P$3</f>
        <v>63.327</v>
      </c>
      <c r="Z308" s="124" t="n">
        <f aca="false">ABS(N308)/$P$3</f>
        <v>233.72864</v>
      </c>
    </row>
    <row r="309" customFormat="false" ht="12.75" hidden="false" customHeight="false" outlineLevel="0" collapsed="false">
      <c r="A309" s="120" t="n">
        <f aca="false">A308+1</f>
        <v>37195</v>
      </c>
      <c r="B309" s="131" t="str">
        <f aca="false">INDEX('Master Data'!$A$2:$B$8,MATCH(WEEKDAY('RAC V@r Total'!A309,3),'Master Data'!$A$2:$A$8,0),2)</f>
        <v>W</v>
      </c>
      <c r="D309" s="124" t="n">
        <v>-71844.46</v>
      </c>
      <c r="E309" s="124" t="n">
        <v>0</v>
      </c>
      <c r="F309" s="124" t="n">
        <v>0</v>
      </c>
      <c r="G309" s="124" t="n">
        <v>-432009.27</v>
      </c>
      <c r="H309" s="124" t="n">
        <v>-63898.23</v>
      </c>
      <c r="I309" s="124" t="n">
        <v>-71844.46</v>
      </c>
      <c r="J309" s="124" t="n">
        <v>-439171.83</v>
      </c>
      <c r="K309" s="124" t="n">
        <v>-368937.26</v>
      </c>
      <c r="L309" s="124" t="n">
        <v>0</v>
      </c>
      <c r="M309" s="124" t="n">
        <v>-63898.23</v>
      </c>
      <c r="N309" s="124" t="n">
        <v>-365941.26</v>
      </c>
      <c r="P309" s="124" t="n">
        <f aca="false">ABS(D309)/$P$3</f>
        <v>71.84446</v>
      </c>
      <c r="Q309" s="124" t="n">
        <f aca="false">ABS(E309)/$P$3</f>
        <v>0</v>
      </c>
      <c r="R309" s="124" t="n">
        <f aca="false">ABS(F309)/$P$3</f>
        <v>0</v>
      </c>
      <c r="S309" s="124" t="n">
        <f aca="false">ABS(G309)/$P$3</f>
        <v>432.00927</v>
      </c>
      <c r="T309" s="124" t="n">
        <f aca="false">ABS(H309)/$P$3</f>
        <v>63.89823</v>
      </c>
      <c r="U309" s="124" t="n">
        <f aca="false">ABS(I309)/$P$3</f>
        <v>71.84446</v>
      </c>
      <c r="V309" s="124" t="n">
        <f aca="false">ABS(J309)/$P$3</f>
        <v>439.17183</v>
      </c>
      <c r="W309" s="124" t="n">
        <f aca="false">ABS(K309)/$P$3</f>
        <v>368.93726</v>
      </c>
      <c r="X309" s="124" t="n">
        <f aca="false">ABS(L309)/$P$3</f>
        <v>0</v>
      </c>
      <c r="Y309" s="124" t="n">
        <f aca="false">ABS(M309)/$P$3</f>
        <v>63.89823</v>
      </c>
      <c r="Z309" s="124" t="n">
        <f aca="false">ABS(N309)/$P$3</f>
        <v>365.94126</v>
      </c>
    </row>
    <row r="310" customFormat="false" ht="12.75" hidden="false" customHeight="false" outlineLevel="0" collapsed="false">
      <c r="A310" s="120" t="n">
        <f aca="false">A309+1</f>
        <v>37196</v>
      </c>
      <c r="B310" s="131" t="str">
        <f aca="false">INDEX('Master Data'!$A$2:$B$8,MATCH(WEEKDAY('RAC V@r Total'!A310,3),'Master Data'!$A$2:$A$8,0),2)</f>
        <v>Th</v>
      </c>
      <c r="D310" s="124" t="n">
        <v>-77828.98</v>
      </c>
      <c r="E310" s="124" t="n">
        <v>0</v>
      </c>
      <c r="F310" s="124" t="n">
        <v>0</v>
      </c>
      <c r="G310" s="124" t="n">
        <v>-437624.97</v>
      </c>
      <c r="H310" s="124" t="n">
        <v>-68307.46</v>
      </c>
      <c r="I310" s="124" t="n">
        <v>-77828.98</v>
      </c>
      <c r="J310" s="124" t="n">
        <v>-446989.12</v>
      </c>
      <c r="K310" s="124" t="n">
        <v>-370495.9535</v>
      </c>
      <c r="L310" s="124" t="n">
        <v>0</v>
      </c>
      <c r="M310" s="124" t="n">
        <v>-61953.89</v>
      </c>
      <c r="N310" s="124" t="n">
        <v>-376104.41</v>
      </c>
      <c r="P310" s="124" t="n">
        <f aca="false">ABS(D310)/$P$3</f>
        <v>77.82898</v>
      </c>
      <c r="Q310" s="124" t="n">
        <f aca="false">ABS(E310)/$P$3</f>
        <v>0</v>
      </c>
      <c r="R310" s="124" t="n">
        <f aca="false">ABS(F310)/$P$3</f>
        <v>0</v>
      </c>
      <c r="S310" s="124" t="n">
        <f aca="false">ABS(G310)/$P$3</f>
        <v>437.62497</v>
      </c>
      <c r="T310" s="124" t="n">
        <f aca="false">ABS(H310)/$P$3</f>
        <v>68.30746</v>
      </c>
      <c r="U310" s="124" t="n">
        <f aca="false">ABS(I310)/$P$3</f>
        <v>77.82898</v>
      </c>
      <c r="V310" s="124" t="n">
        <f aca="false">ABS(J310)/$P$3</f>
        <v>446.98912</v>
      </c>
      <c r="W310" s="124" t="n">
        <f aca="false">ABS(K310)/$P$3</f>
        <v>370.4959535</v>
      </c>
      <c r="X310" s="124" t="n">
        <f aca="false">ABS(L310)/$P$3</f>
        <v>0</v>
      </c>
      <c r="Y310" s="124" t="n">
        <f aca="false">ABS(M310)/$P$3</f>
        <v>61.95389</v>
      </c>
      <c r="Z310" s="124" t="n">
        <f aca="false">ABS(N310)/$P$3</f>
        <v>376.10441</v>
      </c>
    </row>
    <row r="311" customFormat="false" ht="12.75" hidden="false" customHeight="false" outlineLevel="0" collapsed="false">
      <c r="A311" s="120" t="n">
        <f aca="false">A310+1</f>
        <v>37197</v>
      </c>
      <c r="B311" s="131" t="str">
        <f aca="false">INDEX('Master Data'!$A$2:$B$8,MATCH(WEEKDAY('RAC V@r Total'!A311,3),'Master Data'!$A$2:$A$8,0),2)</f>
        <v>F</v>
      </c>
      <c r="D311" s="124" t="n">
        <v>0</v>
      </c>
      <c r="E311" s="124" t="n">
        <v>0</v>
      </c>
      <c r="F311" s="124" t="n">
        <v>0</v>
      </c>
      <c r="G311" s="124" t="n">
        <v>0</v>
      </c>
      <c r="H311" s="124" t="n">
        <v>0</v>
      </c>
      <c r="I311" s="124" t="n">
        <v>0</v>
      </c>
      <c r="J311" s="124" t="n">
        <v>0</v>
      </c>
      <c r="K311" s="124" t="n">
        <v>0</v>
      </c>
      <c r="L311" s="124" t="n">
        <v>0</v>
      </c>
      <c r="M311" s="124" t="n">
        <v>0</v>
      </c>
      <c r="N311" s="124" t="n">
        <v>0</v>
      </c>
      <c r="P311" s="124" t="n">
        <f aca="false">ABS(D311)/$P$3</f>
        <v>0</v>
      </c>
      <c r="Q311" s="124" t="n">
        <f aca="false">ABS(E311)/$P$3</f>
        <v>0</v>
      </c>
      <c r="R311" s="124" t="n">
        <f aca="false">ABS(F311)/$P$3</f>
        <v>0</v>
      </c>
      <c r="S311" s="124" t="n">
        <f aca="false">ABS(G311)/$P$3</f>
        <v>0</v>
      </c>
      <c r="T311" s="124" t="n">
        <f aca="false">ABS(H311)/$P$3</f>
        <v>0</v>
      </c>
      <c r="U311" s="124" t="n">
        <f aca="false">ABS(I311)/$P$3</f>
        <v>0</v>
      </c>
      <c r="V311" s="124" t="n">
        <f aca="false">ABS(J311)/$P$3</f>
        <v>0</v>
      </c>
      <c r="W311" s="124" t="n">
        <f aca="false">ABS(K311)/$P$3</f>
        <v>0</v>
      </c>
      <c r="X311" s="124" t="n">
        <f aca="false">ABS(L311)/$P$3</f>
        <v>0</v>
      </c>
      <c r="Y311" s="124" t="n">
        <f aca="false">ABS(M311)/$P$3</f>
        <v>0</v>
      </c>
      <c r="Z311" s="124" t="n">
        <f aca="false">ABS(N311)/$P$3</f>
        <v>0</v>
      </c>
    </row>
    <row r="312" customFormat="false" ht="12.75" hidden="false" customHeight="false" outlineLevel="0" collapsed="false">
      <c r="A312" s="120" t="n">
        <f aca="false">A311+1</f>
        <v>37198</v>
      </c>
      <c r="B312" s="131" t="str">
        <f aca="false">INDEX('Master Data'!$A$2:$B$8,MATCH(WEEKDAY('RAC V@r Total'!A312,3),'Master Data'!$A$2:$A$8,0),2)</f>
        <v>Sa</v>
      </c>
      <c r="D312" s="124" t="n">
        <v>0</v>
      </c>
      <c r="E312" s="124" t="n">
        <v>0</v>
      </c>
      <c r="F312" s="124" t="n">
        <v>0</v>
      </c>
      <c r="G312" s="124" t="n">
        <v>0</v>
      </c>
      <c r="H312" s="124" t="n">
        <v>0</v>
      </c>
      <c r="I312" s="124" t="n">
        <v>0</v>
      </c>
      <c r="J312" s="124" t="n">
        <v>0</v>
      </c>
      <c r="K312" s="124" t="n">
        <v>0</v>
      </c>
      <c r="L312" s="124" t="n">
        <v>0</v>
      </c>
      <c r="M312" s="124" t="n">
        <v>0</v>
      </c>
      <c r="N312" s="124" t="n">
        <v>0</v>
      </c>
      <c r="P312" s="124" t="n">
        <f aca="false">ABS(D312)/$P$3</f>
        <v>0</v>
      </c>
      <c r="Q312" s="124" t="n">
        <f aca="false">ABS(E312)/$P$3</f>
        <v>0</v>
      </c>
      <c r="R312" s="124" t="n">
        <f aca="false">ABS(F312)/$P$3</f>
        <v>0</v>
      </c>
      <c r="S312" s="124" t="n">
        <f aca="false">ABS(G312)/$P$3</f>
        <v>0</v>
      </c>
      <c r="T312" s="124" t="n">
        <f aca="false">ABS(H312)/$P$3</f>
        <v>0</v>
      </c>
      <c r="U312" s="124" t="n">
        <f aca="false">ABS(I312)/$P$3</f>
        <v>0</v>
      </c>
      <c r="V312" s="124" t="n">
        <f aca="false">ABS(J312)/$P$3</f>
        <v>0</v>
      </c>
      <c r="W312" s="124" t="n">
        <f aca="false">ABS(K312)/$P$3</f>
        <v>0</v>
      </c>
      <c r="X312" s="124" t="n">
        <f aca="false">ABS(L312)/$P$3</f>
        <v>0</v>
      </c>
      <c r="Y312" s="124" t="n">
        <f aca="false">ABS(M312)/$P$3</f>
        <v>0</v>
      </c>
      <c r="Z312" s="124" t="n">
        <f aca="false">ABS(N312)/$P$3</f>
        <v>0</v>
      </c>
    </row>
    <row r="313" customFormat="false" ht="12.75" hidden="false" customHeight="false" outlineLevel="0" collapsed="false">
      <c r="A313" s="120" t="n">
        <f aca="false">A312+1</f>
        <v>37199</v>
      </c>
      <c r="B313" s="131" t="str">
        <f aca="false">INDEX('Master Data'!$A$2:$B$8,MATCH(WEEKDAY('RAC V@r Total'!A313,3),'Master Data'!$A$2:$A$8,0),2)</f>
        <v>Su</v>
      </c>
      <c r="D313" s="124" t="n">
        <v>0</v>
      </c>
      <c r="E313" s="124" t="n">
        <v>0</v>
      </c>
      <c r="F313" s="124" t="n">
        <v>0</v>
      </c>
      <c r="G313" s="124" t="n">
        <v>0</v>
      </c>
      <c r="H313" s="124" t="n">
        <v>0</v>
      </c>
      <c r="I313" s="124" t="n">
        <v>0</v>
      </c>
      <c r="J313" s="124" t="n">
        <v>0</v>
      </c>
      <c r="K313" s="124" t="n">
        <v>0</v>
      </c>
      <c r="L313" s="124" t="n">
        <v>0</v>
      </c>
      <c r="M313" s="124" t="n">
        <v>0</v>
      </c>
      <c r="N313" s="124" t="n">
        <v>0</v>
      </c>
      <c r="P313" s="124" t="n">
        <f aca="false">ABS(D313)/$P$3</f>
        <v>0</v>
      </c>
      <c r="Q313" s="124" t="n">
        <f aca="false">ABS(E313)/$P$3</f>
        <v>0</v>
      </c>
      <c r="R313" s="124" t="n">
        <f aca="false">ABS(F313)/$P$3</f>
        <v>0</v>
      </c>
      <c r="S313" s="124" t="n">
        <f aca="false">ABS(G313)/$P$3</f>
        <v>0</v>
      </c>
      <c r="T313" s="124" t="n">
        <f aca="false">ABS(H313)/$P$3</f>
        <v>0</v>
      </c>
      <c r="U313" s="124" t="n">
        <f aca="false">ABS(I313)/$P$3</f>
        <v>0</v>
      </c>
      <c r="V313" s="124" t="n">
        <f aca="false">ABS(J313)/$P$3</f>
        <v>0</v>
      </c>
      <c r="W313" s="124" t="n">
        <f aca="false">ABS(K313)/$P$3</f>
        <v>0</v>
      </c>
      <c r="X313" s="124" t="n">
        <f aca="false">ABS(L313)/$P$3</f>
        <v>0</v>
      </c>
      <c r="Y313" s="124" t="n">
        <f aca="false">ABS(M313)/$P$3</f>
        <v>0</v>
      </c>
      <c r="Z313" s="124" t="n">
        <f aca="false">ABS(N313)/$P$3</f>
        <v>0</v>
      </c>
    </row>
    <row r="314" customFormat="false" ht="12.75" hidden="false" customHeight="false" outlineLevel="0" collapsed="false">
      <c r="A314" s="120" t="n">
        <f aca="false">A313+1</f>
        <v>37200</v>
      </c>
      <c r="B314" s="131" t="str">
        <f aca="false">INDEX('Master Data'!$A$2:$B$8,MATCH(WEEKDAY('RAC V@r Total'!A314,3),'Master Data'!$A$2:$A$8,0),2)</f>
        <v>M</v>
      </c>
      <c r="D314" s="124" t="n">
        <v>0</v>
      </c>
      <c r="E314" s="124" t="n">
        <v>0</v>
      </c>
      <c r="F314" s="124" t="n">
        <v>0</v>
      </c>
      <c r="G314" s="124" t="n">
        <v>0</v>
      </c>
      <c r="H314" s="124" t="n">
        <v>0</v>
      </c>
      <c r="I314" s="124" t="n">
        <v>0</v>
      </c>
      <c r="J314" s="124" t="n">
        <v>0</v>
      </c>
      <c r="K314" s="124" t="n">
        <v>0</v>
      </c>
      <c r="L314" s="124" t="n">
        <v>0</v>
      </c>
      <c r="M314" s="124" t="n">
        <v>0</v>
      </c>
      <c r="N314" s="124" t="n">
        <v>0</v>
      </c>
      <c r="P314" s="124" t="n">
        <f aca="false">ABS(D314)/$P$3</f>
        <v>0</v>
      </c>
      <c r="Q314" s="124" t="n">
        <f aca="false">ABS(E314)/$P$3</f>
        <v>0</v>
      </c>
      <c r="R314" s="124" t="n">
        <f aca="false">ABS(F314)/$P$3</f>
        <v>0</v>
      </c>
      <c r="S314" s="124" t="n">
        <f aca="false">ABS(G314)/$P$3</f>
        <v>0</v>
      </c>
      <c r="T314" s="124" t="n">
        <f aca="false">ABS(H314)/$P$3</f>
        <v>0</v>
      </c>
      <c r="U314" s="124" t="n">
        <f aca="false">ABS(I314)/$P$3</f>
        <v>0</v>
      </c>
      <c r="V314" s="124" t="n">
        <f aca="false">ABS(J314)/$P$3</f>
        <v>0</v>
      </c>
      <c r="W314" s="124" t="n">
        <f aca="false">ABS(K314)/$P$3</f>
        <v>0</v>
      </c>
      <c r="X314" s="124" t="n">
        <f aca="false">ABS(L314)/$P$3</f>
        <v>0</v>
      </c>
      <c r="Y314" s="124" t="n">
        <f aca="false">ABS(M314)/$P$3</f>
        <v>0</v>
      </c>
      <c r="Z314" s="124" t="n">
        <f aca="false">ABS(N314)/$P$3</f>
        <v>0</v>
      </c>
    </row>
    <row r="315" customFormat="false" ht="12.75" hidden="false" customHeight="false" outlineLevel="0" collapsed="false">
      <c r="A315" s="120" t="n">
        <f aca="false">A314+1</f>
        <v>37201</v>
      </c>
      <c r="B315" s="131" t="str">
        <f aca="false">INDEX('Master Data'!$A$2:$B$8,MATCH(WEEKDAY('RAC V@r Total'!A315,3),'Master Data'!$A$2:$A$8,0),2)</f>
        <v>T</v>
      </c>
      <c r="D315" s="124" t="n">
        <v>0</v>
      </c>
      <c r="E315" s="124" t="n">
        <v>0</v>
      </c>
      <c r="F315" s="124" t="n">
        <v>0</v>
      </c>
      <c r="G315" s="124" t="n">
        <v>0</v>
      </c>
      <c r="H315" s="124" t="n">
        <v>0</v>
      </c>
      <c r="I315" s="124" t="n">
        <v>0</v>
      </c>
      <c r="J315" s="124" t="n">
        <v>0</v>
      </c>
      <c r="K315" s="124" t="n">
        <v>0</v>
      </c>
      <c r="L315" s="124" t="n">
        <v>0</v>
      </c>
      <c r="M315" s="124" t="n">
        <v>0</v>
      </c>
      <c r="N315" s="124" t="n">
        <v>0</v>
      </c>
      <c r="P315" s="124" t="n">
        <f aca="false">ABS(D315)/$P$3</f>
        <v>0</v>
      </c>
      <c r="Q315" s="124" t="n">
        <f aca="false">ABS(E315)/$P$3</f>
        <v>0</v>
      </c>
      <c r="R315" s="124" t="n">
        <f aca="false">ABS(F315)/$P$3</f>
        <v>0</v>
      </c>
      <c r="S315" s="124" t="n">
        <f aca="false">ABS(G315)/$P$3</f>
        <v>0</v>
      </c>
      <c r="T315" s="124" t="n">
        <f aca="false">ABS(H315)/$P$3</f>
        <v>0</v>
      </c>
      <c r="U315" s="124" t="n">
        <f aca="false">ABS(I315)/$P$3</f>
        <v>0</v>
      </c>
      <c r="V315" s="124" t="n">
        <f aca="false">ABS(J315)/$P$3</f>
        <v>0</v>
      </c>
      <c r="W315" s="124" t="n">
        <f aca="false">ABS(K315)/$P$3</f>
        <v>0</v>
      </c>
      <c r="X315" s="124" t="n">
        <f aca="false">ABS(L315)/$P$3</f>
        <v>0</v>
      </c>
      <c r="Y315" s="124" t="n">
        <f aca="false">ABS(M315)/$P$3</f>
        <v>0</v>
      </c>
      <c r="Z315" s="124" t="n">
        <f aca="false">ABS(N315)/$P$3</f>
        <v>0</v>
      </c>
    </row>
    <row r="316" customFormat="false" ht="12.75" hidden="false" customHeight="false" outlineLevel="0" collapsed="false">
      <c r="A316" s="120" t="n">
        <f aca="false">A315+1</f>
        <v>37202</v>
      </c>
      <c r="B316" s="131" t="str">
        <f aca="false">INDEX('Master Data'!$A$2:$B$8,MATCH(WEEKDAY('RAC V@r Total'!A316,3),'Master Data'!$A$2:$A$8,0),2)</f>
        <v>W</v>
      </c>
      <c r="D316" s="124" t="n">
        <v>0</v>
      </c>
      <c r="E316" s="124" t="n">
        <v>0</v>
      </c>
      <c r="F316" s="124" t="n">
        <v>0</v>
      </c>
      <c r="G316" s="124" t="n">
        <v>0</v>
      </c>
      <c r="H316" s="124" t="n">
        <v>0</v>
      </c>
      <c r="I316" s="124" t="n">
        <v>0</v>
      </c>
      <c r="J316" s="124" t="n">
        <v>0</v>
      </c>
      <c r="K316" s="124" t="n">
        <v>0</v>
      </c>
      <c r="L316" s="124" t="n">
        <v>0</v>
      </c>
      <c r="M316" s="124" t="n">
        <v>0</v>
      </c>
      <c r="N316" s="124" t="n">
        <v>0</v>
      </c>
      <c r="P316" s="124" t="n">
        <f aca="false">ABS(D316)/$P$3</f>
        <v>0</v>
      </c>
      <c r="Q316" s="124" t="n">
        <f aca="false">ABS(E316)/$P$3</f>
        <v>0</v>
      </c>
      <c r="R316" s="124" t="n">
        <f aca="false">ABS(F316)/$P$3</f>
        <v>0</v>
      </c>
      <c r="S316" s="124" t="n">
        <f aca="false">ABS(G316)/$P$3</f>
        <v>0</v>
      </c>
      <c r="T316" s="124" t="n">
        <f aca="false">ABS(H316)/$P$3</f>
        <v>0</v>
      </c>
      <c r="U316" s="124" t="n">
        <f aca="false">ABS(I316)/$P$3</f>
        <v>0</v>
      </c>
      <c r="V316" s="124" t="n">
        <f aca="false">ABS(J316)/$P$3</f>
        <v>0</v>
      </c>
      <c r="W316" s="124" t="n">
        <f aca="false">ABS(K316)/$P$3</f>
        <v>0</v>
      </c>
      <c r="X316" s="124" t="n">
        <f aca="false">ABS(L316)/$P$3</f>
        <v>0</v>
      </c>
      <c r="Y316" s="124" t="n">
        <f aca="false">ABS(M316)/$P$3</f>
        <v>0</v>
      </c>
      <c r="Z316" s="124" t="n">
        <f aca="false">ABS(N316)/$P$3</f>
        <v>0</v>
      </c>
    </row>
    <row r="317" customFormat="false" ht="12.75" hidden="false" customHeight="false" outlineLevel="0" collapsed="false">
      <c r="A317" s="120" t="n">
        <f aca="false">A316+1</f>
        <v>37203</v>
      </c>
      <c r="B317" s="131" t="str">
        <f aca="false">INDEX('Master Data'!$A$2:$B$8,MATCH(WEEKDAY('RAC V@r Total'!A317,3),'Master Data'!$A$2:$A$8,0),2)</f>
        <v>Th</v>
      </c>
      <c r="D317" s="124" t="n">
        <v>0</v>
      </c>
      <c r="E317" s="124" t="n">
        <v>0</v>
      </c>
      <c r="F317" s="124" t="n">
        <v>0</v>
      </c>
      <c r="G317" s="124" t="n">
        <v>0</v>
      </c>
      <c r="H317" s="124" t="n">
        <v>0</v>
      </c>
      <c r="I317" s="124" t="n">
        <v>0</v>
      </c>
      <c r="J317" s="124" t="n">
        <v>0</v>
      </c>
      <c r="K317" s="124" t="n">
        <v>0</v>
      </c>
      <c r="L317" s="124" t="n">
        <v>0</v>
      </c>
      <c r="M317" s="124" t="n">
        <v>0</v>
      </c>
      <c r="N317" s="124" t="n">
        <v>0</v>
      </c>
      <c r="P317" s="124" t="n">
        <f aca="false">ABS(D317)/$P$3</f>
        <v>0</v>
      </c>
      <c r="Q317" s="124" t="n">
        <f aca="false">ABS(E317)/$P$3</f>
        <v>0</v>
      </c>
      <c r="R317" s="124" t="n">
        <f aca="false">ABS(F317)/$P$3</f>
        <v>0</v>
      </c>
      <c r="S317" s="124" t="n">
        <f aca="false">ABS(G317)/$P$3</f>
        <v>0</v>
      </c>
      <c r="T317" s="124" t="n">
        <f aca="false">ABS(H317)/$P$3</f>
        <v>0</v>
      </c>
      <c r="U317" s="124" t="n">
        <f aca="false">ABS(I317)/$P$3</f>
        <v>0</v>
      </c>
      <c r="V317" s="124" t="n">
        <f aca="false">ABS(J317)/$P$3</f>
        <v>0</v>
      </c>
      <c r="W317" s="124" t="n">
        <f aca="false">ABS(K317)/$P$3</f>
        <v>0</v>
      </c>
      <c r="X317" s="124" t="n">
        <f aca="false">ABS(L317)/$P$3</f>
        <v>0</v>
      </c>
      <c r="Y317" s="124" t="n">
        <f aca="false">ABS(M317)/$P$3</f>
        <v>0</v>
      </c>
      <c r="Z317" s="124" t="n">
        <f aca="false">ABS(N317)/$P$3</f>
        <v>0</v>
      </c>
    </row>
    <row r="318" customFormat="false" ht="12.75" hidden="false" customHeight="false" outlineLevel="0" collapsed="false">
      <c r="A318" s="120" t="n">
        <f aca="false">A317+1</f>
        <v>37204</v>
      </c>
      <c r="B318" s="131" t="str">
        <f aca="false">INDEX('Master Data'!$A$2:$B$8,MATCH(WEEKDAY('RAC V@r Total'!A318,3),'Master Data'!$A$2:$A$8,0),2)</f>
        <v>F</v>
      </c>
      <c r="D318" s="124" t="n">
        <v>0</v>
      </c>
      <c r="E318" s="124" t="n">
        <v>0</v>
      </c>
      <c r="F318" s="124" t="n">
        <v>0</v>
      </c>
      <c r="G318" s="124" t="n">
        <v>0</v>
      </c>
      <c r="H318" s="124" t="n">
        <v>0</v>
      </c>
      <c r="I318" s="124" t="n">
        <v>0</v>
      </c>
      <c r="J318" s="124" t="n">
        <v>0</v>
      </c>
      <c r="K318" s="124" t="n">
        <v>0</v>
      </c>
      <c r="L318" s="124" t="n">
        <v>0</v>
      </c>
      <c r="M318" s="124" t="n">
        <v>0</v>
      </c>
      <c r="N318" s="124" t="n">
        <v>0</v>
      </c>
      <c r="P318" s="124" t="n">
        <f aca="false">ABS(D318)/$P$3</f>
        <v>0</v>
      </c>
      <c r="Q318" s="124" t="n">
        <f aca="false">ABS(E318)/$P$3</f>
        <v>0</v>
      </c>
      <c r="R318" s="124" t="n">
        <f aca="false">ABS(F318)/$P$3</f>
        <v>0</v>
      </c>
      <c r="S318" s="124" t="n">
        <f aca="false">ABS(G318)/$P$3</f>
        <v>0</v>
      </c>
      <c r="T318" s="124" t="n">
        <f aca="false">ABS(H318)/$P$3</f>
        <v>0</v>
      </c>
      <c r="U318" s="124" t="n">
        <f aca="false">ABS(I318)/$P$3</f>
        <v>0</v>
      </c>
      <c r="V318" s="124" t="n">
        <f aca="false">ABS(J318)/$P$3</f>
        <v>0</v>
      </c>
      <c r="W318" s="124" t="n">
        <f aca="false">ABS(K318)/$P$3</f>
        <v>0</v>
      </c>
      <c r="X318" s="124" t="n">
        <f aca="false">ABS(L318)/$P$3</f>
        <v>0</v>
      </c>
      <c r="Y318" s="124" t="n">
        <f aca="false">ABS(M318)/$P$3</f>
        <v>0</v>
      </c>
      <c r="Z318" s="124" t="n">
        <f aca="false">ABS(N318)/$P$3</f>
        <v>0</v>
      </c>
    </row>
    <row r="319" customFormat="false" ht="12.75" hidden="false" customHeight="false" outlineLevel="0" collapsed="false">
      <c r="A319" s="120" t="n">
        <f aca="false">A318+1</f>
        <v>37205</v>
      </c>
      <c r="B319" s="131" t="str">
        <f aca="false">INDEX('Master Data'!$A$2:$B$8,MATCH(WEEKDAY('RAC V@r Total'!A319,3),'Master Data'!$A$2:$A$8,0),2)</f>
        <v>Sa</v>
      </c>
      <c r="D319" s="124" t="n">
        <v>0</v>
      </c>
      <c r="E319" s="124" t="n">
        <v>0</v>
      </c>
      <c r="F319" s="124" t="n">
        <v>0</v>
      </c>
      <c r="G319" s="124" t="n">
        <v>0</v>
      </c>
      <c r="H319" s="124" t="n">
        <v>0</v>
      </c>
      <c r="I319" s="124" t="n">
        <v>0</v>
      </c>
      <c r="J319" s="124" t="n">
        <v>0</v>
      </c>
      <c r="K319" s="124" t="n">
        <v>0</v>
      </c>
      <c r="L319" s="124" t="n">
        <v>0</v>
      </c>
      <c r="M319" s="124" t="n">
        <v>0</v>
      </c>
      <c r="N319" s="124" t="n">
        <v>0</v>
      </c>
      <c r="P319" s="124" t="n">
        <f aca="false">ABS(D319)/$P$3</f>
        <v>0</v>
      </c>
      <c r="Q319" s="124" t="n">
        <f aca="false">ABS(E319)/$P$3</f>
        <v>0</v>
      </c>
      <c r="R319" s="124" t="n">
        <f aca="false">ABS(F319)/$P$3</f>
        <v>0</v>
      </c>
      <c r="S319" s="124" t="n">
        <f aca="false">ABS(G319)/$P$3</f>
        <v>0</v>
      </c>
      <c r="T319" s="124" t="n">
        <f aca="false">ABS(H319)/$P$3</f>
        <v>0</v>
      </c>
      <c r="U319" s="124" t="n">
        <f aca="false">ABS(I319)/$P$3</f>
        <v>0</v>
      </c>
      <c r="V319" s="124" t="n">
        <f aca="false">ABS(J319)/$P$3</f>
        <v>0</v>
      </c>
      <c r="W319" s="124" t="n">
        <f aca="false">ABS(K319)/$P$3</f>
        <v>0</v>
      </c>
      <c r="X319" s="124" t="n">
        <f aca="false">ABS(L319)/$P$3</f>
        <v>0</v>
      </c>
      <c r="Y319" s="124" t="n">
        <f aca="false">ABS(M319)/$P$3</f>
        <v>0</v>
      </c>
      <c r="Z319" s="124" t="n">
        <f aca="false">ABS(N319)/$P$3</f>
        <v>0</v>
      </c>
    </row>
    <row r="320" customFormat="false" ht="12.75" hidden="false" customHeight="false" outlineLevel="0" collapsed="false">
      <c r="A320" s="120" t="n">
        <f aca="false">A319+1</f>
        <v>37206</v>
      </c>
      <c r="B320" s="131" t="str">
        <f aca="false">INDEX('Master Data'!$A$2:$B$8,MATCH(WEEKDAY('RAC V@r Total'!A320,3),'Master Data'!$A$2:$A$8,0),2)</f>
        <v>Su</v>
      </c>
      <c r="D320" s="124" t="n">
        <v>0</v>
      </c>
      <c r="E320" s="124" t="n">
        <v>0</v>
      </c>
      <c r="F320" s="124" t="n">
        <v>0</v>
      </c>
      <c r="G320" s="124" t="n">
        <v>0</v>
      </c>
      <c r="H320" s="124" t="n">
        <v>0</v>
      </c>
      <c r="I320" s="124" t="n">
        <v>0</v>
      </c>
      <c r="J320" s="124" t="n">
        <v>0</v>
      </c>
      <c r="K320" s="124" t="n">
        <v>0</v>
      </c>
      <c r="L320" s="124" t="n">
        <v>0</v>
      </c>
      <c r="M320" s="124" t="n">
        <v>0</v>
      </c>
      <c r="N320" s="124" t="n">
        <v>0</v>
      </c>
      <c r="P320" s="124" t="n">
        <f aca="false">ABS(D320)/$P$3</f>
        <v>0</v>
      </c>
      <c r="Q320" s="124" t="n">
        <f aca="false">ABS(E320)/$P$3</f>
        <v>0</v>
      </c>
      <c r="R320" s="124" t="n">
        <f aca="false">ABS(F320)/$P$3</f>
        <v>0</v>
      </c>
      <c r="S320" s="124" t="n">
        <f aca="false">ABS(G320)/$P$3</f>
        <v>0</v>
      </c>
      <c r="T320" s="124" t="n">
        <f aca="false">ABS(H320)/$P$3</f>
        <v>0</v>
      </c>
      <c r="U320" s="124" t="n">
        <f aca="false">ABS(I320)/$P$3</f>
        <v>0</v>
      </c>
      <c r="V320" s="124" t="n">
        <f aca="false">ABS(J320)/$P$3</f>
        <v>0</v>
      </c>
      <c r="W320" s="124" t="n">
        <f aca="false">ABS(K320)/$P$3</f>
        <v>0</v>
      </c>
      <c r="X320" s="124" t="n">
        <f aca="false">ABS(L320)/$P$3</f>
        <v>0</v>
      </c>
      <c r="Y320" s="124" t="n">
        <f aca="false">ABS(M320)/$P$3</f>
        <v>0</v>
      </c>
      <c r="Z320" s="124" t="n">
        <f aca="false">ABS(N320)/$P$3</f>
        <v>0</v>
      </c>
    </row>
    <row r="321" customFormat="false" ht="12.75" hidden="false" customHeight="false" outlineLevel="0" collapsed="false">
      <c r="A321" s="120" t="n">
        <f aca="false">A320+1</f>
        <v>37207</v>
      </c>
      <c r="B321" s="131" t="str">
        <f aca="false">INDEX('Master Data'!$A$2:$B$8,MATCH(WEEKDAY('RAC V@r Total'!A321,3),'Master Data'!$A$2:$A$8,0),2)</f>
        <v>M</v>
      </c>
      <c r="D321" s="124" t="n">
        <v>0</v>
      </c>
      <c r="E321" s="124" t="n">
        <v>0</v>
      </c>
      <c r="F321" s="124" t="n">
        <v>0</v>
      </c>
      <c r="G321" s="124" t="n">
        <v>0</v>
      </c>
      <c r="H321" s="124" t="n">
        <v>0</v>
      </c>
      <c r="I321" s="124" t="n">
        <v>0</v>
      </c>
      <c r="J321" s="124" t="n">
        <v>0</v>
      </c>
      <c r="K321" s="124" t="n">
        <v>0</v>
      </c>
      <c r="L321" s="124" t="n">
        <v>0</v>
      </c>
      <c r="M321" s="124" t="n">
        <v>0</v>
      </c>
      <c r="N321" s="124" t="n">
        <v>0</v>
      </c>
      <c r="P321" s="124" t="n">
        <f aca="false">ABS(D321)/$P$3</f>
        <v>0</v>
      </c>
      <c r="Q321" s="124" t="n">
        <f aca="false">ABS(E321)/$P$3</f>
        <v>0</v>
      </c>
      <c r="R321" s="124" t="n">
        <f aca="false">ABS(F321)/$P$3</f>
        <v>0</v>
      </c>
      <c r="S321" s="124" t="n">
        <f aca="false">ABS(G321)/$P$3</f>
        <v>0</v>
      </c>
      <c r="T321" s="124" t="n">
        <f aca="false">ABS(H321)/$P$3</f>
        <v>0</v>
      </c>
      <c r="U321" s="124" t="n">
        <f aca="false">ABS(I321)/$P$3</f>
        <v>0</v>
      </c>
      <c r="V321" s="124" t="n">
        <f aca="false">ABS(J321)/$P$3</f>
        <v>0</v>
      </c>
      <c r="W321" s="124" t="n">
        <f aca="false">ABS(K321)/$P$3</f>
        <v>0</v>
      </c>
      <c r="X321" s="124" t="n">
        <f aca="false">ABS(L321)/$P$3</f>
        <v>0</v>
      </c>
      <c r="Y321" s="124" t="n">
        <f aca="false">ABS(M321)/$P$3</f>
        <v>0</v>
      </c>
      <c r="Z321" s="124" t="n">
        <f aca="false">ABS(N321)/$P$3</f>
        <v>0</v>
      </c>
    </row>
    <row r="322" customFormat="false" ht="12.75" hidden="false" customHeight="false" outlineLevel="0" collapsed="false">
      <c r="A322" s="120" t="n">
        <f aca="false">A321+1</f>
        <v>37208</v>
      </c>
      <c r="B322" s="131" t="str">
        <f aca="false">INDEX('Master Data'!$A$2:$B$8,MATCH(WEEKDAY('RAC V@r Total'!A322,3),'Master Data'!$A$2:$A$8,0),2)</f>
        <v>T</v>
      </c>
      <c r="D322" s="124" t="n">
        <v>0</v>
      </c>
      <c r="E322" s="124" t="n">
        <v>0</v>
      </c>
      <c r="F322" s="124" t="n">
        <v>0</v>
      </c>
      <c r="G322" s="124" t="n">
        <v>0</v>
      </c>
      <c r="H322" s="124" t="n">
        <v>0</v>
      </c>
      <c r="I322" s="124" t="n">
        <v>0</v>
      </c>
      <c r="J322" s="124" t="n">
        <v>0</v>
      </c>
      <c r="K322" s="124" t="n">
        <v>0</v>
      </c>
      <c r="L322" s="124" t="n">
        <v>0</v>
      </c>
      <c r="M322" s="124" t="n">
        <v>0</v>
      </c>
      <c r="N322" s="124" t="n">
        <v>0</v>
      </c>
      <c r="P322" s="124" t="n">
        <f aca="false">ABS(D322)/$P$3</f>
        <v>0</v>
      </c>
      <c r="Q322" s="124" t="n">
        <f aca="false">ABS(E322)/$P$3</f>
        <v>0</v>
      </c>
      <c r="R322" s="124" t="n">
        <f aca="false">ABS(F322)/$P$3</f>
        <v>0</v>
      </c>
      <c r="S322" s="124" t="n">
        <f aca="false">ABS(G322)/$P$3</f>
        <v>0</v>
      </c>
      <c r="T322" s="124" t="n">
        <f aca="false">ABS(H322)/$P$3</f>
        <v>0</v>
      </c>
      <c r="U322" s="124" t="n">
        <f aca="false">ABS(I322)/$P$3</f>
        <v>0</v>
      </c>
      <c r="V322" s="124" t="n">
        <f aca="false">ABS(J322)/$P$3</f>
        <v>0</v>
      </c>
      <c r="W322" s="124" t="n">
        <f aca="false">ABS(K322)/$P$3</f>
        <v>0</v>
      </c>
      <c r="X322" s="124" t="n">
        <f aca="false">ABS(L322)/$P$3</f>
        <v>0</v>
      </c>
      <c r="Y322" s="124" t="n">
        <f aca="false">ABS(M322)/$P$3</f>
        <v>0</v>
      </c>
      <c r="Z322" s="124" t="n">
        <f aca="false">ABS(N322)/$P$3</f>
        <v>0</v>
      </c>
    </row>
    <row r="323" customFormat="false" ht="12.75" hidden="false" customHeight="false" outlineLevel="0" collapsed="false">
      <c r="A323" s="120" t="n">
        <f aca="false">A322+1</f>
        <v>37209</v>
      </c>
      <c r="B323" s="131" t="str">
        <f aca="false">INDEX('Master Data'!$A$2:$B$8,MATCH(WEEKDAY('RAC V@r Total'!A323,3),'Master Data'!$A$2:$A$8,0),2)</f>
        <v>W</v>
      </c>
      <c r="D323" s="124" t="n">
        <v>0</v>
      </c>
      <c r="E323" s="124" t="n">
        <v>0</v>
      </c>
      <c r="F323" s="124" t="n">
        <v>0</v>
      </c>
      <c r="G323" s="124" t="n">
        <v>0</v>
      </c>
      <c r="H323" s="124" t="n">
        <v>0</v>
      </c>
      <c r="I323" s="124" t="n">
        <v>0</v>
      </c>
      <c r="J323" s="124" t="n">
        <v>0</v>
      </c>
      <c r="K323" s="124" t="n">
        <v>0</v>
      </c>
      <c r="L323" s="124" t="n">
        <v>0</v>
      </c>
      <c r="M323" s="124" t="n">
        <v>0</v>
      </c>
      <c r="N323" s="124" t="n">
        <v>0</v>
      </c>
      <c r="P323" s="124" t="n">
        <f aca="false">ABS(D323)/$P$3</f>
        <v>0</v>
      </c>
      <c r="Q323" s="124" t="n">
        <f aca="false">ABS(E323)/$P$3</f>
        <v>0</v>
      </c>
      <c r="R323" s="124" t="n">
        <f aca="false">ABS(F323)/$P$3</f>
        <v>0</v>
      </c>
      <c r="S323" s="124" t="n">
        <f aca="false">ABS(G323)/$P$3</f>
        <v>0</v>
      </c>
      <c r="T323" s="124" t="n">
        <f aca="false">ABS(H323)/$P$3</f>
        <v>0</v>
      </c>
      <c r="U323" s="124" t="n">
        <f aca="false">ABS(I323)/$P$3</f>
        <v>0</v>
      </c>
      <c r="V323" s="124" t="n">
        <f aca="false">ABS(J323)/$P$3</f>
        <v>0</v>
      </c>
      <c r="W323" s="124" t="n">
        <f aca="false">ABS(K323)/$P$3</f>
        <v>0</v>
      </c>
      <c r="X323" s="124" t="n">
        <f aca="false">ABS(L323)/$P$3</f>
        <v>0</v>
      </c>
      <c r="Y323" s="124" t="n">
        <f aca="false">ABS(M323)/$P$3</f>
        <v>0</v>
      </c>
      <c r="Z323" s="124" t="n">
        <f aca="false">ABS(N323)/$P$3</f>
        <v>0</v>
      </c>
    </row>
    <row r="324" customFormat="false" ht="12.75" hidden="false" customHeight="false" outlineLevel="0" collapsed="false">
      <c r="A324" s="120" t="n">
        <f aca="false">A323+1</f>
        <v>37210</v>
      </c>
      <c r="B324" s="131" t="str">
        <f aca="false">INDEX('Master Data'!$A$2:$B$8,MATCH(WEEKDAY('RAC V@r Total'!A324,3),'Master Data'!$A$2:$A$8,0),2)</f>
        <v>Th</v>
      </c>
      <c r="D324" s="124" t="n">
        <v>0</v>
      </c>
      <c r="E324" s="124" t="n">
        <v>0</v>
      </c>
      <c r="F324" s="124" t="n">
        <v>0</v>
      </c>
      <c r="G324" s="124" t="n">
        <v>0</v>
      </c>
      <c r="H324" s="124" t="n">
        <v>0</v>
      </c>
      <c r="I324" s="124" t="n">
        <v>0</v>
      </c>
      <c r="J324" s="124" t="n">
        <v>0</v>
      </c>
      <c r="K324" s="124" t="n">
        <v>0</v>
      </c>
      <c r="L324" s="124" t="n">
        <v>0</v>
      </c>
      <c r="M324" s="124" t="n">
        <v>0</v>
      </c>
      <c r="N324" s="124" t="n">
        <v>0</v>
      </c>
      <c r="P324" s="124" t="n">
        <f aca="false">ABS(D324)/$P$3</f>
        <v>0</v>
      </c>
      <c r="Q324" s="124" t="n">
        <f aca="false">ABS(E324)/$P$3</f>
        <v>0</v>
      </c>
      <c r="R324" s="124" t="n">
        <f aca="false">ABS(F324)/$P$3</f>
        <v>0</v>
      </c>
      <c r="S324" s="124" t="n">
        <f aca="false">ABS(G324)/$P$3</f>
        <v>0</v>
      </c>
      <c r="T324" s="124" t="n">
        <f aca="false">ABS(H324)/$P$3</f>
        <v>0</v>
      </c>
      <c r="U324" s="124" t="n">
        <f aca="false">ABS(I324)/$P$3</f>
        <v>0</v>
      </c>
      <c r="V324" s="124" t="n">
        <f aca="false">ABS(J324)/$P$3</f>
        <v>0</v>
      </c>
      <c r="W324" s="124" t="n">
        <f aca="false">ABS(K324)/$P$3</f>
        <v>0</v>
      </c>
      <c r="X324" s="124" t="n">
        <f aca="false">ABS(L324)/$P$3</f>
        <v>0</v>
      </c>
      <c r="Y324" s="124" t="n">
        <f aca="false">ABS(M324)/$P$3</f>
        <v>0</v>
      </c>
      <c r="Z324" s="124" t="n">
        <f aca="false">ABS(N324)/$P$3</f>
        <v>0</v>
      </c>
    </row>
    <row r="325" customFormat="false" ht="12.75" hidden="false" customHeight="false" outlineLevel="0" collapsed="false">
      <c r="A325" s="120" t="n">
        <f aca="false">A324+1</f>
        <v>37211</v>
      </c>
      <c r="B325" s="131" t="str">
        <f aca="false">INDEX('Master Data'!$A$2:$B$8,MATCH(WEEKDAY('RAC V@r Total'!A325,3),'Master Data'!$A$2:$A$8,0),2)</f>
        <v>F</v>
      </c>
      <c r="D325" s="124" t="n">
        <v>0</v>
      </c>
      <c r="E325" s="124" t="n">
        <v>0</v>
      </c>
      <c r="F325" s="124" t="n">
        <v>0</v>
      </c>
      <c r="G325" s="124" t="n">
        <v>0</v>
      </c>
      <c r="H325" s="124" t="n">
        <v>0</v>
      </c>
      <c r="I325" s="124" t="n">
        <v>0</v>
      </c>
      <c r="J325" s="124" t="n">
        <v>0</v>
      </c>
      <c r="K325" s="124" t="n">
        <v>0</v>
      </c>
      <c r="L325" s="124" t="n">
        <v>0</v>
      </c>
      <c r="M325" s="124" t="n">
        <v>0</v>
      </c>
      <c r="N325" s="124" t="n">
        <v>0</v>
      </c>
      <c r="P325" s="124" t="n">
        <f aca="false">ABS(D325)/$P$3</f>
        <v>0</v>
      </c>
      <c r="Q325" s="124" t="n">
        <f aca="false">ABS(E325)/$P$3</f>
        <v>0</v>
      </c>
      <c r="R325" s="124" t="n">
        <f aca="false">ABS(F325)/$P$3</f>
        <v>0</v>
      </c>
      <c r="S325" s="124" t="n">
        <f aca="false">ABS(G325)/$P$3</f>
        <v>0</v>
      </c>
      <c r="T325" s="124" t="n">
        <f aca="false">ABS(H325)/$P$3</f>
        <v>0</v>
      </c>
      <c r="U325" s="124" t="n">
        <f aca="false">ABS(I325)/$P$3</f>
        <v>0</v>
      </c>
      <c r="V325" s="124" t="n">
        <f aca="false">ABS(J325)/$P$3</f>
        <v>0</v>
      </c>
      <c r="W325" s="124" t="n">
        <f aca="false">ABS(K325)/$P$3</f>
        <v>0</v>
      </c>
      <c r="X325" s="124" t="n">
        <f aca="false">ABS(L325)/$P$3</f>
        <v>0</v>
      </c>
      <c r="Y325" s="124" t="n">
        <f aca="false">ABS(M325)/$P$3</f>
        <v>0</v>
      </c>
      <c r="Z325" s="124" t="n">
        <f aca="false">ABS(N325)/$P$3</f>
        <v>0</v>
      </c>
    </row>
    <row r="326" customFormat="false" ht="12.75" hidden="false" customHeight="false" outlineLevel="0" collapsed="false">
      <c r="A326" s="120" t="n">
        <f aca="false">A325+1</f>
        <v>37212</v>
      </c>
      <c r="B326" s="131" t="str">
        <f aca="false">INDEX('Master Data'!$A$2:$B$8,MATCH(WEEKDAY('RAC V@r Total'!A326,3),'Master Data'!$A$2:$A$8,0),2)</f>
        <v>Sa</v>
      </c>
      <c r="D326" s="124" t="n">
        <v>0</v>
      </c>
      <c r="E326" s="124" t="n">
        <v>0</v>
      </c>
      <c r="F326" s="124" t="n">
        <v>0</v>
      </c>
      <c r="G326" s="124" t="n">
        <v>0</v>
      </c>
      <c r="H326" s="124" t="n">
        <v>0</v>
      </c>
      <c r="I326" s="124" t="n">
        <v>0</v>
      </c>
      <c r="J326" s="124" t="n">
        <v>0</v>
      </c>
      <c r="K326" s="124" t="n">
        <v>0</v>
      </c>
      <c r="L326" s="124" t="n">
        <v>0</v>
      </c>
      <c r="M326" s="124" t="n">
        <v>0</v>
      </c>
      <c r="N326" s="124" t="n">
        <v>0</v>
      </c>
      <c r="P326" s="124" t="n">
        <f aca="false">ABS(D326)/$P$3</f>
        <v>0</v>
      </c>
      <c r="Q326" s="124" t="n">
        <f aca="false">ABS(E326)/$P$3</f>
        <v>0</v>
      </c>
      <c r="R326" s="124" t="n">
        <f aca="false">ABS(F326)/$P$3</f>
        <v>0</v>
      </c>
      <c r="S326" s="124" t="n">
        <f aca="false">ABS(G326)/$P$3</f>
        <v>0</v>
      </c>
      <c r="T326" s="124" t="n">
        <f aca="false">ABS(H326)/$P$3</f>
        <v>0</v>
      </c>
      <c r="U326" s="124" t="n">
        <f aca="false">ABS(I326)/$P$3</f>
        <v>0</v>
      </c>
      <c r="V326" s="124" t="n">
        <f aca="false">ABS(J326)/$P$3</f>
        <v>0</v>
      </c>
      <c r="W326" s="124" t="n">
        <f aca="false">ABS(K326)/$P$3</f>
        <v>0</v>
      </c>
      <c r="X326" s="124" t="n">
        <f aca="false">ABS(L326)/$P$3</f>
        <v>0</v>
      </c>
      <c r="Y326" s="124" t="n">
        <f aca="false">ABS(M326)/$P$3</f>
        <v>0</v>
      </c>
      <c r="Z326" s="124" t="n">
        <f aca="false">ABS(N326)/$P$3</f>
        <v>0</v>
      </c>
    </row>
    <row r="327" customFormat="false" ht="12.75" hidden="false" customHeight="false" outlineLevel="0" collapsed="false">
      <c r="A327" s="120" t="n">
        <f aca="false">A326+1</f>
        <v>37213</v>
      </c>
      <c r="B327" s="131" t="str">
        <f aca="false">INDEX('Master Data'!$A$2:$B$8,MATCH(WEEKDAY('RAC V@r Total'!A327,3),'Master Data'!$A$2:$A$8,0),2)</f>
        <v>Su</v>
      </c>
      <c r="D327" s="124" t="n">
        <v>0</v>
      </c>
      <c r="E327" s="124" t="n">
        <v>0</v>
      </c>
      <c r="F327" s="124" t="n">
        <v>0</v>
      </c>
      <c r="G327" s="124" t="n">
        <v>0</v>
      </c>
      <c r="H327" s="124" t="n">
        <v>0</v>
      </c>
      <c r="I327" s="124" t="n">
        <v>0</v>
      </c>
      <c r="J327" s="124" t="n">
        <v>0</v>
      </c>
      <c r="K327" s="124" t="n">
        <v>0</v>
      </c>
      <c r="L327" s="124" t="n">
        <v>0</v>
      </c>
      <c r="M327" s="124" t="n">
        <v>0</v>
      </c>
      <c r="N327" s="124" t="n">
        <v>0</v>
      </c>
      <c r="P327" s="124" t="n">
        <f aca="false">ABS(D327)/$P$3</f>
        <v>0</v>
      </c>
      <c r="Q327" s="124" t="n">
        <f aca="false">ABS(E327)/$P$3</f>
        <v>0</v>
      </c>
      <c r="R327" s="124" t="n">
        <f aca="false">ABS(F327)/$P$3</f>
        <v>0</v>
      </c>
      <c r="S327" s="124" t="n">
        <f aca="false">ABS(G327)/$P$3</f>
        <v>0</v>
      </c>
      <c r="T327" s="124" t="n">
        <f aca="false">ABS(H327)/$P$3</f>
        <v>0</v>
      </c>
      <c r="U327" s="124" t="n">
        <f aca="false">ABS(I327)/$P$3</f>
        <v>0</v>
      </c>
      <c r="V327" s="124" t="n">
        <f aca="false">ABS(J327)/$P$3</f>
        <v>0</v>
      </c>
      <c r="W327" s="124" t="n">
        <f aca="false">ABS(K327)/$P$3</f>
        <v>0</v>
      </c>
      <c r="X327" s="124" t="n">
        <f aca="false">ABS(L327)/$P$3</f>
        <v>0</v>
      </c>
      <c r="Y327" s="124" t="n">
        <f aca="false">ABS(M327)/$P$3</f>
        <v>0</v>
      </c>
      <c r="Z327" s="124" t="n">
        <f aca="false">ABS(N327)/$P$3</f>
        <v>0</v>
      </c>
    </row>
    <row r="328" customFormat="false" ht="12.75" hidden="false" customHeight="false" outlineLevel="0" collapsed="false">
      <c r="A328" s="120" t="n">
        <f aca="false">A327+1</f>
        <v>37214</v>
      </c>
      <c r="B328" s="131" t="str">
        <f aca="false">INDEX('Master Data'!$A$2:$B$8,MATCH(WEEKDAY('RAC V@r Total'!A328,3),'Master Data'!$A$2:$A$8,0),2)</f>
        <v>M</v>
      </c>
      <c r="D328" s="124" t="n">
        <v>0</v>
      </c>
      <c r="E328" s="124" t="n">
        <v>0</v>
      </c>
      <c r="F328" s="124" t="n">
        <v>0</v>
      </c>
      <c r="G328" s="124" t="n">
        <v>0</v>
      </c>
      <c r="H328" s="124" t="n">
        <v>0</v>
      </c>
      <c r="I328" s="124" t="n">
        <v>0</v>
      </c>
      <c r="J328" s="124" t="n">
        <v>0</v>
      </c>
      <c r="K328" s="124" t="n">
        <v>0</v>
      </c>
      <c r="L328" s="124" t="n">
        <v>0</v>
      </c>
      <c r="M328" s="124" t="n">
        <v>0</v>
      </c>
      <c r="N328" s="124" t="n">
        <v>0</v>
      </c>
      <c r="P328" s="124" t="n">
        <f aca="false">ABS(D328)/$P$3</f>
        <v>0</v>
      </c>
      <c r="Q328" s="124" t="n">
        <f aca="false">ABS(E328)/$P$3</f>
        <v>0</v>
      </c>
      <c r="R328" s="124" t="n">
        <f aca="false">ABS(F328)/$P$3</f>
        <v>0</v>
      </c>
      <c r="S328" s="124" t="n">
        <f aca="false">ABS(G328)/$P$3</f>
        <v>0</v>
      </c>
      <c r="T328" s="124" t="n">
        <f aca="false">ABS(H328)/$P$3</f>
        <v>0</v>
      </c>
      <c r="U328" s="124" t="n">
        <f aca="false">ABS(I328)/$P$3</f>
        <v>0</v>
      </c>
      <c r="V328" s="124" t="n">
        <f aca="false">ABS(J328)/$P$3</f>
        <v>0</v>
      </c>
      <c r="W328" s="124" t="n">
        <f aca="false">ABS(K328)/$P$3</f>
        <v>0</v>
      </c>
      <c r="X328" s="124" t="n">
        <f aca="false">ABS(L328)/$P$3</f>
        <v>0</v>
      </c>
      <c r="Y328" s="124" t="n">
        <f aca="false">ABS(M328)/$P$3</f>
        <v>0</v>
      </c>
      <c r="Z328" s="124" t="n">
        <f aca="false">ABS(N328)/$P$3</f>
        <v>0</v>
      </c>
    </row>
    <row r="329" customFormat="false" ht="12.75" hidden="false" customHeight="false" outlineLevel="0" collapsed="false">
      <c r="A329" s="120" t="n">
        <f aca="false">A328+1</f>
        <v>37215</v>
      </c>
      <c r="B329" s="131" t="str">
        <f aca="false">INDEX('Master Data'!$A$2:$B$8,MATCH(WEEKDAY('RAC V@r Total'!A329,3),'Master Data'!$A$2:$A$8,0),2)</f>
        <v>T</v>
      </c>
      <c r="D329" s="124" t="n">
        <v>0</v>
      </c>
      <c r="E329" s="124" t="n">
        <v>0</v>
      </c>
      <c r="F329" s="124" t="n">
        <v>0</v>
      </c>
      <c r="G329" s="124" t="n">
        <v>0</v>
      </c>
      <c r="H329" s="124" t="n">
        <v>0</v>
      </c>
      <c r="I329" s="124" t="n">
        <v>0</v>
      </c>
      <c r="J329" s="124" t="n">
        <v>0</v>
      </c>
      <c r="K329" s="124" t="n">
        <v>0</v>
      </c>
      <c r="L329" s="124" t="n">
        <v>0</v>
      </c>
      <c r="M329" s="124" t="n">
        <v>0</v>
      </c>
      <c r="N329" s="124" t="n">
        <v>0</v>
      </c>
      <c r="P329" s="124" t="n">
        <f aca="false">ABS(D329)/$P$3</f>
        <v>0</v>
      </c>
      <c r="Q329" s="124" t="n">
        <f aca="false">ABS(E329)/$P$3</f>
        <v>0</v>
      </c>
      <c r="R329" s="124" t="n">
        <f aca="false">ABS(F329)/$P$3</f>
        <v>0</v>
      </c>
      <c r="S329" s="124" t="n">
        <f aca="false">ABS(G329)/$P$3</f>
        <v>0</v>
      </c>
      <c r="T329" s="124" t="n">
        <f aca="false">ABS(H329)/$P$3</f>
        <v>0</v>
      </c>
      <c r="U329" s="124" t="n">
        <f aca="false">ABS(I329)/$P$3</f>
        <v>0</v>
      </c>
      <c r="V329" s="124" t="n">
        <f aca="false">ABS(J329)/$P$3</f>
        <v>0</v>
      </c>
      <c r="W329" s="124" t="n">
        <f aca="false">ABS(K329)/$P$3</f>
        <v>0</v>
      </c>
      <c r="X329" s="124" t="n">
        <f aca="false">ABS(L329)/$P$3</f>
        <v>0</v>
      </c>
      <c r="Y329" s="124" t="n">
        <f aca="false">ABS(M329)/$P$3</f>
        <v>0</v>
      </c>
      <c r="Z329" s="124" t="n">
        <f aca="false">ABS(N329)/$P$3</f>
        <v>0</v>
      </c>
    </row>
    <row r="330" customFormat="false" ht="12.75" hidden="false" customHeight="false" outlineLevel="0" collapsed="false">
      <c r="A330" s="120" t="n">
        <f aca="false">A329+1</f>
        <v>37216</v>
      </c>
      <c r="B330" s="131" t="str">
        <f aca="false">INDEX('Master Data'!$A$2:$B$8,MATCH(WEEKDAY('RAC V@r Total'!A330,3),'Master Data'!$A$2:$A$8,0),2)</f>
        <v>W</v>
      </c>
      <c r="D330" s="124" t="n">
        <v>0</v>
      </c>
      <c r="E330" s="124" t="n">
        <v>0</v>
      </c>
      <c r="F330" s="124" t="n">
        <v>0</v>
      </c>
      <c r="G330" s="124" t="n">
        <v>0</v>
      </c>
      <c r="H330" s="124" t="n">
        <v>0</v>
      </c>
      <c r="I330" s="124" t="n">
        <v>0</v>
      </c>
      <c r="J330" s="124" t="n">
        <v>0</v>
      </c>
      <c r="K330" s="124" t="n">
        <v>0</v>
      </c>
      <c r="L330" s="124" t="n">
        <v>0</v>
      </c>
      <c r="M330" s="124" t="n">
        <v>0</v>
      </c>
      <c r="N330" s="124" t="n">
        <v>0</v>
      </c>
      <c r="P330" s="124" t="n">
        <f aca="false">ABS(D330)/$P$3</f>
        <v>0</v>
      </c>
      <c r="Q330" s="124" t="n">
        <f aca="false">ABS(E330)/$P$3</f>
        <v>0</v>
      </c>
      <c r="R330" s="124" t="n">
        <f aca="false">ABS(F330)/$P$3</f>
        <v>0</v>
      </c>
      <c r="S330" s="124" t="n">
        <f aca="false">ABS(G330)/$P$3</f>
        <v>0</v>
      </c>
      <c r="T330" s="124" t="n">
        <f aca="false">ABS(H330)/$P$3</f>
        <v>0</v>
      </c>
      <c r="U330" s="124" t="n">
        <f aca="false">ABS(I330)/$P$3</f>
        <v>0</v>
      </c>
      <c r="V330" s="124" t="n">
        <f aca="false">ABS(J330)/$P$3</f>
        <v>0</v>
      </c>
      <c r="W330" s="124" t="n">
        <f aca="false">ABS(K330)/$P$3</f>
        <v>0</v>
      </c>
      <c r="X330" s="124" t="n">
        <f aca="false">ABS(L330)/$P$3</f>
        <v>0</v>
      </c>
      <c r="Y330" s="124" t="n">
        <f aca="false">ABS(M330)/$P$3</f>
        <v>0</v>
      </c>
      <c r="Z330" s="124" t="n">
        <f aca="false">ABS(N330)/$P$3</f>
        <v>0</v>
      </c>
    </row>
    <row r="331" customFormat="false" ht="12.75" hidden="false" customHeight="false" outlineLevel="0" collapsed="false">
      <c r="A331" s="120" t="n">
        <f aca="false">A330+1</f>
        <v>37217</v>
      </c>
      <c r="B331" s="131" t="str">
        <f aca="false">INDEX('Master Data'!$A$2:$B$8,MATCH(WEEKDAY('RAC V@r Total'!A331,3),'Master Data'!$A$2:$A$8,0),2)</f>
        <v>Th</v>
      </c>
      <c r="D331" s="124" t="n">
        <v>0</v>
      </c>
      <c r="E331" s="124" t="n">
        <v>0</v>
      </c>
      <c r="F331" s="124" t="n">
        <v>0</v>
      </c>
      <c r="G331" s="124" t="n">
        <v>0</v>
      </c>
      <c r="H331" s="124" t="n">
        <v>0</v>
      </c>
      <c r="I331" s="124" t="n">
        <v>0</v>
      </c>
      <c r="J331" s="124" t="n">
        <v>0</v>
      </c>
      <c r="K331" s="124" t="n">
        <v>0</v>
      </c>
      <c r="L331" s="124" t="n">
        <v>0</v>
      </c>
      <c r="M331" s="124" t="n">
        <v>0</v>
      </c>
      <c r="N331" s="124" t="n">
        <v>0</v>
      </c>
      <c r="P331" s="124" t="n">
        <f aca="false">ABS(D331)/$P$3</f>
        <v>0</v>
      </c>
      <c r="Q331" s="124" t="n">
        <f aca="false">ABS(E331)/$P$3</f>
        <v>0</v>
      </c>
      <c r="R331" s="124" t="n">
        <f aca="false">ABS(F331)/$P$3</f>
        <v>0</v>
      </c>
      <c r="S331" s="124" t="n">
        <f aca="false">ABS(G331)/$P$3</f>
        <v>0</v>
      </c>
      <c r="T331" s="124" t="n">
        <f aca="false">ABS(H331)/$P$3</f>
        <v>0</v>
      </c>
      <c r="U331" s="124" t="n">
        <f aca="false">ABS(I331)/$P$3</f>
        <v>0</v>
      </c>
      <c r="V331" s="124" t="n">
        <f aca="false">ABS(J331)/$P$3</f>
        <v>0</v>
      </c>
      <c r="W331" s="124" t="n">
        <f aca="false">ABS(K331)/$P$3</f>
        <v>0</v>
      </c>
      <c r="X331" s="124" t="n">
        <f aca="false">ABS(L331)/$P$3</f>
        <v>0</v>
      </c>
      <c r="Y331" s="124" t="n">
        <f aca="false">ABS(M331)/$P$3</f>
        <v>0</v>
      </c>
      <c r="Z331" s="124" t="n">
        <f aca="false">ABS(N331)/$P$3</f>
        <v>0</v>
      </c>
    </row>
    <row r="332" customFormat="false" ht="12.75" hidden="false" customHeight="false" outlineLevel="0" collapsed="false">
      <c r="A332" s="120" t="n">
        <f aca="false">A331+1</f>
        <v>37218</v>
      </c>
      <c r="B332" s="131" t="str">
        <f aca="false">INDEX('Master Data'!$A$2:$B$8,MATCH(WEEKDAY('RAC V@r Total'!A332,3),'Master Data'!$A$2:$A$8,0),2)</f>
        <v>F</v>
      </c>
      <c r="D332" s="124" t="n">
        <v>0</v>
      </c>
      <c r="E332" s="124" t="n">
        <v>0</v>
      </c>
      <c r="F332" s="124" t="n">
        <v>0</v>
      </c>
      <c r="G332" s="124" t="n">
        <v>0</v>
      </c>
      <c r="H332" s="124" t="n">
        <v>0</v>
      </c>
      <c r="I332" s="124" t="n">
        <v>0</v>
      </c>
      <c r="J332" s="124" t="n">
        <v>0</v>
      </c>
      <c r="K332" s="124" t="n">
        <v>0</v>
      </c>
      <c r="L332" s="124" t="n">
        <v>0</v>
      </c>
      <c r="M332" s="124" t="n">
        <v>0</v>
      </c>
      <c r="N332" s="124" t="n">
        <v>0</v>
      </c>
      <c r="P332" s="124" t="n">
        <f aca="false">ABS(D332)/$P$3</f>
        <v>0</v>
      </c>
      <c r="Q332" s="124" t="n">
        <f aca="false">ABS(E332)/$P$3</f>
        <v>0</v>
      </c>
      <c r="R332" s="124" t="n">
        <f aca="false">ABS(F332)/$P$3</f>
        <v>0</v>
      </c>
      <c r="S332" s="124" t="n">
        <f aca="false">ABS(G332)/$P$3</f>
        <v>0</v>
      </c>
      <c r="T332" s="124" t="n">
        <f aca="false">ABS(H332)/$P$3</f>
        <v>0</v>
      </c>
      <c r="U332" s="124" t="n">
        <f aca="false">ABS(I332)/$P$3</f>
        <v>0</v>
      </c>
      <c r="V332" s="124" t="n">
        <f aca="false">ABS(J332)/$P$3</f>
        <v>0</v>
      </c>
      <c r="W332" s="124" t="n">
        <f aca="false">ABS(K332)/$P$3</f>
        <v>0</v>
      </c>
      <c r="X332" s="124" t="n">
        <f aca="false">ABS(L332)/$P$3</f>
        <v>0</v>
      </c>
      <c r="Y332" s="124" t="n">
        <f aca="false">ABS(M332)/$P$3</f>
        <v>0</v>
      </c>
      <c r="Z332" s="124" t="n">
        <f aca="false">ABS(N332)/$P$3</f>
        <v>0</v>
      </c>
    </row>
    <row r="333" customFormat="false" ht="12.75" hidden="false" customHeight="false" outlineLevel="0" collapsed="false">
      <c r="A333" s="120" t="n">
        <f aca="false">A332+1</f>
        <v>37219</v>
      </c>
      <c r="B333" s="131" t="str">
        <f aca="false">INDEX('Master Data'!$A$2:$B$8,MATCH(WEEKDAY('RAC V@r Total'!A333,3),'Master Data'!$A$2:$A$8,0),2)</f>
        <v>Sa</v>
      </c>
      <c r="D333" s="124" t="n">
        <v>0</v>
      </c>
      <c r="E333" s="124" t="n">
        <v>0</v>
      </c>
      <c r="F333" s="124" t="n">
        <v>0</v>
      </c>
      <c r="G333" s="124" t="n">
        <v>0</v>
      </c>
      <c r="H333" s="124" t="n">
        <v>0</v>
      </c>
      <c r="I333" s="124" t="n">
        <v>0</v>
      </c>
      <c r="J333" s="124" t="n">
        <v>0</v>
      </c>
      <c r="K333" s="124" t="n">
        <v>0</v>
      </c>
      <c r="L333" s="124" t="n">
        <v>0</v>
      </c>
      <c r="M333" s="124" t="n">
        <v>0</v>
      </c>
      <c r="N333" s="124" t="n">
        <v>0</v>
      </c>
      <c r="P333" s="124" t="n">
        <f aca="false">ABS(D333)/$P$3</f>
        <v>0</v>
      </c>
      <c r="Q333" s="124" t="n">
        <f aca="false">ABS(E333)/$P$3</f>
        <v>0</v>
      </c>
      <c r="R333" s="124" t="n">
        <f aca="false">ABS(F333)/$P$3</f>
        <v>0</v>
      </c>
      <c r="S333" s="124" t="n">
        <f aca="false">ABS(G333)/$P$3</f>
        <v>0</v>
      </c>
      <c r="T333" s="124" t="n">
        <f aca="false">ABS(H333)/$P$3</f>
        <v>0</v>
      </c>
      <c r="U333" s="124" t="n">
        <f aca="false">ABS(I333)/$P$3</f>
        <v>0</v>
      </c>
      <c r="V333" s="124" t="n">
        <f aca="false">ABS(J333)/$P$3</f>
        <v>0</v>
      </c>
      <c r="W333" s="124" t="n">
        <f aca="false">ABS(K333)/$P$3</f>
        <v>0</v>
      </c>
      <c r="X333" s="124" t="n">
        <f aca="false">ABS(L333)/$P$3</f>
        <v>0</v>
      </c>
      <c r="Y333" s="124" t="n">
        <f aca="false">ABS(M333)/$P$3</f>
        <v>0</v>
      </c>
      <c r="Z333" s="124" t="n">
        <f aca="false">ABS(N333)/$P$3</f>
        <v>0</v>
      </c>
    </row>
    <row r="334" customFormat="false" ht="12.75" hidden="false" customHeight="false" outlineLevel="0" collapsed="false">
      <c r="A334" s="120" t="n">
        <f aca="false">A333+1</f>
        <v>37220</v>
      </c>
      <c r="B334" s="131" t="str">
        <f aca="false">INDEX('Master Data'!$A$2:$B$8,MATCH(WEEKDAY('RAC V@r Total'!A334,3),'Master Data'!$A$2:$A$8,0),2)</f>
        <v>Su</v>
      </c>
      <c r="D334" s="124" t="n">
        <v>0</v>
      </c>
      <c r="E334" s="124" t="n">
        <v>0</v>
      </c>
      <c r="F334" s="124" t="n">
        <v>0</v>
      </c>
      <c r="G334" s="124" t="n">
        <v>0</v>
      </c>
      <c r="H334" s="124" t="n">
        <v>0</v>
      </c>
      <c r="I334" s="124" t="n">
        <v>0</v>
      </c>
      <c r="J334" s="124" t="n">
        <v>0</v>
      </c>
      <c r="K334" s="124" t="n">
        <v>0</v>
      </c>
      <c r="L334" s="124" t="n">
        <v>0</v>
      </c>
      <c r="M334" s="124" t="n">
        <v>0</v>
      </c>
      <c r="N334" s="124" t="n">
        <v>0</v>
      </c>
      <c r="P334" s="124" t="n">
        <f aca="false">ABS(D334)/$P$3</f>
        <v>0</v>
      </c>
      <c r="Q334" s="124" t="n">
        <f aca="false">ABS(E334)/$P$3</f>
        <v>0</v>
      </c>
      <c r="R334" s="124" t="n">
        <f aca="false">ABS(F334)/$P$3</f>
        <v>0</v>
      </c>
      <c r="S334" s="124" t="n">
        <f aca="false">ABS(G334)/$P$3</f>
        <v>0</v>
      </c>
      <c r="T334" s="124" t="n">
        <f aca="false">ABS(H334)/$P$3</f>
        <v>0</v>
      </c>
      <c r="U334" s="124" t="n">
        <f aca="false">ABS(I334)/$P$3</f>
        <v>0</v>
      </c>
      <c r="V334" s="124" t="n">
        <f aca="false">ABS(J334)/$P$3</f>
        <v>0</v>
      </c>
      <c r="W334" s="124" t="n">
        <f aca="false">ABS(K334)/$P$3</f>
        <v>0</v>
      </c>
      <c r="X334" s="124" t="n">
        <f aca="false">ABS(L334)/$P$3</f>
        <v>0</v>
      </c>
      <c r="Y334" s="124" t="n">
        <f aca="false">ABS(M334)/$P$3</f>
        <v>0</v>
      </c>
      <c r="Z334" s="124" t="n">
        <f aca="false">ABS(N334)/$P$3</f>
        <v>0</v>
      </c>
    </row>
    <row r="335" customFormat="false" ht="12.75" hidden="false" customHeight="false" outlineLevel="0" collapsed="false">
      <c r="A335" s="120" t="n">
        <f aca="false">A334+1</f>
        <v>37221</v>
      </c>
      <c r="B335" s="131" t="str">
        <f aca="false">INDEX('Master Data'!$A$2:$B$8,MATCH(WEEKDAY('RAC V@r Total'!A335,3),'Master Data'!$A$2:$A$8,0),2)</f>
        <v>M</v>
      </c>
      <c r="D335" s="124" t="n">
        <v>0</v>
      </c>
      <c r="E335" s="124" t="n">
        <v>0</v>
      </c>
      <c r="F335" s="124" t="n">
        <v>0</v>
      </c>
      <c r="G335" s="124" t="n">
        <v>0</v>
      </c>
      <c r="H335" s="124" t="n">
        <v>0</v>
      </c>
      <c r="I335" s="124" t="n">
        <v>0</v>
      </c>
      <c r="J335" s="124" t="n">
        <v>0</v>
      </c>
      <c r="K335" s="124" t="n">
        <v>0</v>
      </c>
      <c r="L335" s="124" t="n">
        <v>0</v>
      </c>
      <c r="M335" s="124" t="n">
        <v>0</v>
      </c>
      <c r="N335" s="124" t="n">
        <v>0</v>
      </c>
      <c r="P335" s="124" t="n">
        <f aca="false">ABS(D335)/$P$3</f>
        <v>0</v>
      </c>
      <c r="Q335" s="124" t="n">
        <f aca="false">ABS(E335)/$P$3</f>
        <v>0</v>
      </c>
      <c r="R335" s="124" t="n">
        <f aca="false">ABS(F335)/$P$3</f>
        <v>0</v>
      </c>
      <c r="S335" s="124" t="n">
        <f aca="false">ABS(G335)/$P$3</f>
        <v>0</v>
      </c>
      <c r="T335" s="124" t="n">
        <f aca="false">ABS(H335)/$P$3</f>
        <v>0</v>
      </c>
      <c r="U335" s="124" t="n">
        <f aca="false">ABS(I335)/$P$3</f>
        <v>0</v>
      </c>
      <c r="V335" s="124" t="n">
        <f aca="false">ABS(J335)/$P$3</f>
        <v>0</v>
      </c>
      <c r="W335" s="124" t="n">
        <f aca="false">ABS(K335)/$P$3</f>
        <v>0</v>
      </c>
      <c r="X335" s="124" t="n">
        <f aca="false">ABS(L335)/$P$3</f>
        <v>0</v>
      </c>
      <c r="Y335" s="124" t="n">
        <f aca="false">ABS(M335)/$P$3</f>
        <v>0</v>
      </c>
      <c r="Z335" s="124" t="n">
        <f aca="false">ABS(N335)/$P$3</f>
        <v>0</v>
      </c>
    </row>
    <row r="336" customFormat="false" ht="12.75" hidden="false" customHeight="false" outlineLevel="0" collapsed="false">
      <c r="A336" s="120" t="n">
        <f aca="false">A335+1</f>
        <v>37222</v>
      </c>
      <c r="B336" s="131" t="str">
        <f aca="false">INDEX('Master Data'!$A$2:$B$8,MATCH(WEEKDAY('RAC V@r Total'!A336,3),'Master Data'!$A$2:$A$8,0),2)</f>
        <v>T</v>
      </c>
      <c r="D336" s="124" t="n">
        <v>0</v>
      </c>
      <c r="E336" s="124" t="n">
        <v>0</v>
      </c>
      <c r="F336" s="124" t="n">
        <v>0</v>
      </c>
      <c r="G336" s="124" t="n">
        <v>0</v>
      </c>
      <c r="H336" s="124" t="n">
        <v>0</v>
      </c>
      <c r="I336" s="124" t="n">
        <v>0</v>
      </c>
      <c r="J336" s="124" t="n">
        <v>0</v>
      </c>
      <c r="K336" s="124" t="n">
        <v>0</v>
      </c>
      <c r="L336" s="124" t="n">
        <v>0</v>
      </c>
      <c r="M336" s="124" t="n">
        <v>0</v>
      </c>
      <c r="N336" s="124" t="n">
        <v>0</v>
      </c>
      <c r="P336" s="124" t="n">
        <f aca="false">ABS(D336)/$P$3</f>
        <v>0</v>
      </c>
      <c r="Q336" s="124" t="n">
        <f aca="false">ABS(E336)/$P$3</f>
        <v>0</v>
      </c>
      <c r="R336" s="124" t="n">
        <f aca="false">ABS(F336)/$P$3</f>
        <v>0</v>
      </c>
      <c r="S336" s="124" t="n">
        <f aca="false">ABS(G336)/$P$3</f>
        <v>0</v>
      </c>
      <c r="T336" s="124" t="n">
        <f aca="false">ABS(H336)/$P$3</f>
        <v>0</v>
      </c>
      <c r="U336" s="124" t="n">
        <f aca="false">ABS(I336)/$P$3</f>
        <v>0</v>
      </c>
      <c r="V336" s="124" t="n">
        <f aca="false">ABS(J336)/$P$3</f>
        <v>0</v>
      </c>
      <c r="W336" s="124" t="n">
        <f aca="false">ABS(K336)/$P$3</f>
        <v>0</v>
      </c>
      <c r="X336" s="124" t="n">
        <f aca="false">ABS(L336)/$P$3</f>
        <v>0</v>
      </c>
      <c r="Y336" s="124" t="n">
        <f aca="false">ABS(M336)/$P$3</f>
        <v>0</v>
      </c>
      <c r="Z336" s="124" t="n">
        <f aca="false">ABS(N336)/$P$3</f>
        <v>0</v>
      </c>
    </row>
    <row r="337" customFormat="false" ht="12.75" hidden="false" customHeight="false" outlineLevel="0" collapsed="false">
      <c r="A337" s="120" t="n">
        <f aca="false">A336+1</f>
        <v>37223</v>
      </c>
      <c r="B337" s="131" t="str">
        <f aca="false">INDEX('Master Data'!$A$2:$B$8,MATCH(WEEKDAY('RAC V@r Total'!A337,3),'Master Data'!$A$2:$A$8,0),2)</f>
        <v>W</v>
      </c>
      <c r="D337" s="124" t="n">
        <v>0</v>
      </c>
      <c r="E337" s="124" t="n">
        <v>0</v>
      </c>
      <c r="F337" s="124" t="n">
        <v>0</v>
      </c>
      <c r="G337" s="124" t="n">
        <v>0</v>
      </c>
      <c r="H337" s="124" t="n">
        <v>0</v>
      </c>
      <c r="I337" s="124" t="n">
        <v>0</v>
      </c>
      <c r="J337" s="124" t="n">
        <v>0</v>
      </c>
      <c r="K337" s="124" t="n">
        <v>0</v>
      </c>
      <c r="L337" s="124" t="n">
        <v>0</v>
      </c>
      <c r="M337" s="124" t="n">
        <v>0</v>
      </c>
      <c r="N337" s="124" t="n">
        <v>0</v>
      </c>
      <c r="P337" s="124" t="n">
        <f aca="false">ABS(D337)/$P$3</f>
        <v>0</v>
      </c>
      <c r="Q337" s="124" t="n">
        <f aca="false">ABS(E337)/$P$3</f>
        <v>0</v>
      </c>
      <c r="R337" s="124" t="n">
        <f aca="false">ABS(F337)/$P$3</f>
        <v>0</v>
      </c>
      <c r="S337" s="124" t="n">
        <f aca="false">ABS(G337)/$P$3</f>
        <v>0</v>
      </c>
      <c r="T337" s="124" t="n">
        <f aca="false">ABS(H337)/$P$3</f>
        <v>0</v>
      </c>
      <c r="U337" s="124" t="n">
        <f aca="false">ABS(I337)/$P$3</f>
        <v>0</v>
      </c>
      <c r="V337" s="124" t="n">
        <f aca="false">ABS(J337)/$P$3</f>
        <v>0</v>
      </c>
      <c r="W337" s="124" t="n">
        <f aca="false">ABS(K337)/$P$3</f>
        <v>0</v>
      </c>
      <c r="X337" s="124" t="n">
        <f aca="false">ABS(L337)/$P$3</f>
        <v>0</v>
      </c>
      <c r="Y337" s="124" t="n">
        <f aca="false">ABS(M337)/$P$3</f>
        <v>0</v>
      </c>
      <c r="Z337" s="124" t="n">
        <f aca="false">ABS(N337)/$P$3</f>
        <v>0</v>
      </c>
    </row>
    <row r="338" customFormat="false" ht="12.75" hidden="false" customHeight="false" outlineLevel="0" collapsed="false">
      <c r="A338" s="120" t="n">
        <f aca="false">A337+1</f>
        <v>37224</v>
      </c>
      <c r="B338" s="131" t="str">
        <f aca="false">INDEX('Master Data'!$A$2:$B$8,MATCH(WEEKDAY('RAC V@r Total'!A338,3),'Master Data'!$A$2:$A$8,0),2)</f>
        <v>Th</v>
      </c>
      <c r="D338" s="124" t="n">
        <v>0</v>
      </c>
      <c r="E338" s="124" t="n">
        <v>0</v>
      </c>
      <c r="F338" s="124" t="n">
        <v>0</v>
      </c>
      <c r="G338" s="124" t="n">
        <v>0</v>
      </c>
      <c r="H338" s="124" t="n">
        <v>0</v>
      </c>
      <c r="I338" s="124" t="n">
        <v>0</v>
      </c>
      <c r="J338" s="124" t="n">
        <v>0</v>
      </c>
      <c r="K338" s="124" t="n">
        <v>0</v>
      </c>
      <c r="L338" s="124" t="n">
        <v>0</v>
      </c>
      <c r="M338" s="124" t="n">
        <v>0</v>
      </c>
      <c r="N338" s="124" t="n">
        <v>0</v>
      </c>
      <c r="P338" s="124" t="n">
        <f aca="false">ABS(D338)/$P$3</f>
        <v>0</v>
      </c>
      <c r="Q338" s="124" t="n">
        <f aca="false">ABS(E338)/$P$3</f>
        <v>0</v>
      </c>
      <c r="R338" s="124" t="n">
        <f aca="false">ABS(F338)/$P$3</f>
        <v>0</v>
      </c>
      <c r="S338" s="124" t="n">
        <f aca="false">ABS(G338)/$P$3</f>
        <v>0</v>
      </c>
      <c r="T338" s="124" t="n">
        <f aca="false">ABS(H338)/$P$3</f>
        <v>0</v>
      </c>
      <c r="U338" s="124" t="n">
        <f aca="false">ABS(I338)/$P$3</f>
        <v>0</v>
      </c>
      <c r="V338" s="124" t="n">
        <f aca="false">ABS(J338)/$P$3</f>
        <v>0</v>
      </c>
      <c r="W338" s="124" t="n">
        <f aca="false">ABS(K338)/$P$3</f>
        <v>0</v>
      </c>
      <c r="X338" s="124" t="n">
        <f aca="false">ABS(L338)/$P$3</f>
        <v>0</v>
      </c>
      <c r="Y338" s="124" t="n">
        <f aca="false">ABS(M338)/$P$3</f>
        <v>0</v>
      </c>
      <c r="Z338" s="124" t="n">
        <f aca="false">ABS(N338)/$P$3</f>
        <v>0</v>
      </c>
    </row>
    <row r="339" customFormat="false" ht="12.75" hidden="false" customHeight="false" outlineLevel="0" collapsed="false">
      <c r="A339" s="120" t="n">
        <f aca="false">A338+1</f>
        <v>37225</v>
      </c>
      <c r="B339" s="131" t="str">
        <f aca="false">INDEX('Master Data'!$A$2:$B$8,MATCH(WEEKDAY('RAC V@r Total'!A339,3),'Master Data'!$A$2:$A$8,0),2)</f>
        <v>F</v>
      </c>
      <c r="D339" s="124" t="n">
        <v>0</v>
      </c>
      <c r="E339" s="124" t="n">
        <v>0</v>
      </c>
      <c r="F339" s="124" t="n">
        <v>0</v>
      </c>
      <c r="G339" s="124" t="n">
        <v>0</v>
      </c>
      <c r="H339" s="124" t="n">
        <v>0</v>
      </c>
      <c r="I339" s="124" t="n">
        <v>0</v>
      </c>
      <c r="J339" s="124" t="n">
        <v>0</v>
      </c>
      <c r="K339" s="124" t="n">
        <v>0</v>
      </c>
      <c r="L339" s="124" t="n">
        <v>0</v>
      </c>
      <c r="M339" s="124" t="n">
        <v>0</v>
      </c>
      <c r="N339" s="124" t="n">
        <v>0</v>
      </c>
      <c r="P339" s="124" t="n">
        <f aca="false">ABS(D339)/$P$3</f>
        <v>0</v>
      </c>
      <c r="Q339" s="124" t="n">
        <f aca="false">ABS(E339)/$P$3</f>
        <v>0</v>
      </c>
      <c r="R339" s="124" t="n">
        <f aca="false">ABS(F339)/$P$3</f>
        <v>0</v>
      </c>
      <c r="S339" s="124" t="n">
        <f aca="false">ABS(G339)/$P$3</f>
        <v>0</v>
      </c>
      <c r="T339" s="124" t="n">
        <f aca="false">ABS(H339)/$P$3</f>
        <v>0</v>
      </c>
      <c r="U339" s="124" t="n">
        <f aca="false">ABS(I339)/$P$3</f>
        <v>0</v>
      </c>
      <c r="V339" s="124" t="n">
        <f aca="false">ABS(J339)/$P$3</f>
        <v>0</v>
      </c>
      <c r="W339" s="124" t="n">
        <f aca="false">ABS(K339)/$P$3</f>
        <v>0</v>
      </c>
      <c r="X339" s="124" t="n">
        <f aca="false">ABS(L339)/$P$3</f>
        <v>0</v>
      </c>
      <c r="Y339" s="124" t="n">
        <f aca="false">ABS(M339)/$P$3</f>
        <v>0</v>
      </c>
      <c r="Z339" s="124" t="n">
        <f aca="false">ABS(N339)/$P$3</f>
        <v>0</v>
      </c>
    </row>
    <row r="340" customFormat="false" ht="12.75" hidden="false" customHeight="false" outlineLevel="0" collapsed="false">
      <c r="A340" s="120" t="n">
        <f aca="false">A339+1</f>
        <v>37226</v>
      </c>
      <c r="B340" s="131" t="str">
        <f aca="false">INDEX('Master Data'!$A$2:$B$8,MATCH(WEEKDAY('RAC V@r Total'!A340,3),'Master Data'!$A$2:$A$8,0),2)</f>
        <v>Sa</v>
      </c>
      <c r="D340" s="124" t="n">
        <v>0</v>
      </c>
      <c r="E340" s="124" t="n">
        <v>0</v>
      </c>
      <c r="F340" s="124" t="n">
        <v>0</v>
      </c>
      <c r="G340" s="124" t="n">
        <v>0</v>
      </c>
      <c r="H340" s="124" t="n">
        <v>0</v>
      </c>
      <c r="I340" s="124" t="n">
        <v>0</v>
      </c>
      <c r="J340" s="124" t="n">
        <v>0</v>
      </c>
      <c r="K340" s="124" t="n">
        <v>0</v>
      </c>
      <c r="L340" s="124" t="n">
        <v>0</v>
      </c>
      <c r="M340" s="124" t="n">
        <v>0</v>
      </c>
      <c r="N340" s="124" t="n">
        <v>0</v>
      </c>
      <c r="P340" s="124" t="n">
        <f aca="false">ABS(D340)/$P$3</f>
        <v>0</v>
      </c>
      <c r="Q340" s="124" t="n">
        <f aca="false">ABS(E340)/$P$3</f>
        <v>0</v>
      </c>
      <c r="R340" s="124" t="n">
        <f aca="false">ABS(F340)/$P$3</f>
        <v>0</v>
      </c>
      <c r="S340" s="124" t="n">
        <f aca="false">ABS(G340)/$P$3</f>
        <v>0</v>
      </c>
      <c r="T340" s="124" t="n">
        <f aca="false">ABS(H340)/$P$3</f>
        <v>0</v>
      </c>
      <c r="U340" s="124" t="n">
        <f aca="false">ABS(I340)/$P$3</f>
        <v>0</v>
      </c>
      <c r="V340" s="124" t="n">
        <f aca="false">ABS(J340)/$P$3</f>
        <v>0</v>
      </c>
      <c r="W340" s="124" t="n">
        <f aca="false">ABS(K340)/$P$3</f>
        <v>0</v>
      </c>
      <c r="X340" s="124" t="n">
        <f aca="false">ABS(L340)/$P$3</f>
        <v>0</v>
      </c>
      <c r="Y340" s="124" t="n">
        <f aca="false">ABS(M340)/$P$3</f>
        <v>0</v>
      </c>
      <c r="Z340" s="124" t="n">
        <f aca="false">ABS(N340)/$P$3</f>
        <v>0</v>
      </c>
    </row>
    <row r="341" customFormat="false" ht="12.75" hidden="false" customHeight="false" outlineLevel="0" collapsed="false">
      <c r="A341" s="120" t="n">
        <f aca="false">A340+1</f>
        <v>37227</v>
      </c>
      <c r="B341" s="131" t="str">
        <f aca="false">INDEX('Master Data'!$A$2:$B$8,MATCH(WEEKDAY('RAC V@r Total'!A341,3),'Master Data'!$A$2:$A$8,0),2)</f>
        <v>Su</v>
      </c>
      <c r="D341" s="124" t="n">
        <v>0</v>
      </c>
      <c r="E341" s="124" t="n">
        <v>0</v>
      </c>
      <c r="F341" s="124" t="n">
        <v>0</v>
      </c>
      <c r="G341" s="124" t="n">
        <v>0</v>
      </c>
      <c r="H341" s="124" t="n">
        <v>0</v>
      </c>
      <c r="I341" s="124" t="n">
        <v>0</v>
      </c>
      <c r="J341" s="124" t="n">
        <v>0</v>
      </c>
      <c r="K341" s="124" t="n">
        <v>0</v>
      </c>
      <c r="L341" s="124" t="n">
        <v>0</v>
      </c>
      <c r="M341" s="124" t="n">
        <v>0</v>
      </c>
      <c r="N341" s="124" t="n">
        <v>0</v>
      </c>
      <c r="P341" s="124" t="n">
        <f aca="false">ABS(D341)/$P$3</f>
        <v>0</v>
      </c>
      <c r="Q341" s="124" t="n">
        <f aca="false">ABS(E341)/$P$3</f>
        <v>0</v>
      </c>
      <c r="R341" s="124" t="n">
        <f aca="false">ABS(F341)/$P$3</f>
        <v>0</v>
      </c>
      <c r="S341" s="124" t="n">
        <f aca="false">ABS(G341)/$P$3</f>
        <v>0</v>
      </c>
      <c r="T341" s="124" t="n">
        <f aca="false">ABS(H341)/$P$3</f>
        <v>0</v>
      </c>
      <c r="U341" s="124" t="n">
        <f aca="false">ABS(I341)/$P$3</f>
        <v>0</v>
      </c>
      <c r="V341" s="124" t="n">
        <f aca="false">ABS(J341)/$P$3</f>
        <v>0</v>
      </c>
      <c r="W341" s="124" t="n">
        <f aca="false">ABS(K341)/$P$3</f>
        <v>0</v>
      </c>
      <c r="X341" s="124" t="n">
        <f aca="false">ABS(L341)/$P$3</f>
        <v>0</v>
      </c>
      <c r="Y341" s="124" t="n">
        <f aca="false">ABS(M341)/$P$3</f>
        <v>0</v>
      </c>
      <c r="Z341" s="124" t="n">
        <f aca="false">ABS(N341)/$P$3</f>
        <v>0</v>
      </c>
    </row>
    <row r="342" customFormat="false" ht="12.75" hidden="false" customHeight="false" outlineLevel="0" collapsed="false">
      <c r="A342" s="120" t="n">
        <f aca="false">A341+1</f>
        <v>37228</v>
      </c>
      <c r="B342" s="131" t="str">
        <f aca="false">INDEX('Master Data'!$A$2:$B$8,MATCH(WEEKDAY('RAC V@r Total'!A342,3),'Master Data'!$A$2:$A$8,0),2)</f>
        <v>M</v>
      </c>
      <c r="D342" s="124" t="n">
        <v>0</v>
      </c>
      <c r="E342" s="124" t="n">
        <v>0</v>
      </c>
      <c r="F342" s="124" t="n">
        <v>0</v>
      </c>
      <c r="G342" s="124" t="n">
        <v>0</v>
      </c>
      <c r="H342" s="124" t="n">
        <v>0</v>
      </c>
      <c r="I342" s="124" t="n">
        <v>0</v>
      </c>
      <c r="J342" s="124" t="n">
        <v>0</v>
      </c>
      <c r="K342" s="124" t="n">
        <v>0</v>
      </c>
      <c r="L342" s="124" t="n">
        <v>0</v>
      </c>
      <c r="M342" s="124" t="n">
        <v>0</v>
      </c>
      <c r="N342" s="124" t="n">
        <v>0</v>
      </c>
      <c r="P342" s="124" t="n">
        <f aca="false">ABS(D342)/$P$3</f>
        <v>0</v>
      </c>
      <c r="Q342" s="124" t="n">
        <f aca="false">ABS(E342)/$P$3</f>
        <v>0</v>
      </c>
      <c r="R342" s="124" t="n">
        <f aca="false">ABS(F342)/$P$3</f>
        <v>0</v>
      </c>
      <c r="S342" s="124" t="n">
        <f aca="false">ABS(G342)/$P$3</f>
        <v>0</v>
      </c>
      <c r="T342" s="124" t="n">
        <f aca="false">ABS(H342)/$P$3</f>
        <v>0</v>
      </c>
      <c r="U342" s="124" t="n">
        <f aca="false">ABS(I342)/$P$3</f>
        <v>0</v>
      </c>
      <c r="V342" s="124" t="n">
        <f aca="false">ABS(J342)/$P$3</f>
        <v>0</v>
      </c>
      <c r="W342" s="124" t="n">
        <f aca="false">ABS(K342)/$P$3</f>
        <v>0</v>
      </c>
      <c r="X342" s="124" t="n">
        <f aca="false">ABS(L342)/$P$3</f>
        <v>0</v>
      </c>
      <c r="Y342" s="124" t="n">
        <f aca="false">ABS(M342)/$P$3</f>
        <v>0</v>
      </c>
      <c r="Z342" s="124" t="n">
        <f aca="false">ABS(N342)/$P$3</f>
        <v>0</v>
      </c>
    </row>
    <row r="343" customFormat="false" ht="12.75" hidden="false" customHeight="false" outlineLevel="0" collapsed="false">
      <c r="A343" s="120" t="n">
        <f aca="false">A342+1</f>
        <v>37229</v>
      </c>
      <c r="B343" s="131" t="str">
        <f aca="false">INDEX('Master Data'!$A$2:$B$8,MATCH(WEEKDAY('RAC V@r Total'!A343,3),'Master Data'!$A$2:$A$8,0),2)</f>
        <v>T</v>
      </c>
      <c r="D343" s="124" t="n">
        <v>0</v>
      </c>
      <c r="E343" s="124" t="n">
        <v>0</v>
      </c>
      <c r="F343" s="124" t="n">
        <v>0</v>
      </c>
      <c r="G343" s="124" t="n">
        <v>0</v>
      </c>
      <c r="H343" s="124" t="n">
        <v>0</v>
      </c>
      <c r="I343" s="124" t="n">
        <v>0</v>
      </c>
      <c r="J343" s="124" t="n">
        <v>0</v>
      </c>
      <c r="K343" s="124" t="n">
        <v>0</v>
      </c>
      <c r="L343" s="124" t="n">
        <v>0</v>
      </c>
      <c r="M343" s="124" t="n">
        <v>0</v>
      </c>
      <c r="N343" s="124" t="n">
        <v>0</v>
      </c>
      <c r="P343" s="124" t="n">
        <f aca="false">ABS(D343)/$P$3</f>
        <v>0</v>
      </c>
      <c r="Q343" s="124" t="n">
        <f aca="false">ABS(E343)/$P$3</f>
        <v>0</v>
      </c>
      <c r="R343" s="124" t="n">
        <f aca="false">ABS(F343)/$P$3</f>
        <v>0</v>
      </c>
      <c r="S343" s="124" t="n">
        <f aca="false">ABS(G343)/$P$3</f>
        <v>0</v>
      </c>
      <c r="T343" s="124" t="n">
        <f aca="false">ABS(H343)/$P$3</f>
        <v>0</v>
      </c>
      <c r="U343" s="124" t="n">
        <f aca="false">ABS(I343)/$P$3</f>
        <v>0</v>
      </c>
      <c r="V343" s="124" t="n">
        <f aca="false">ABS(J343)/$P$3</f>
        <v>0</v>
      </c>
      <c r="W343" s="124" t="n">
        <f aca="false">ABS(K343)/$P$3</f>
        <v>0</v>
      </c>
      <c r="X343" s="124" t="n">
        <f aca="false">ABS(L343)/$P$3</f>
        <v>0</v>
      </c>
      <c r="Y343" s="124" t="n">
        <f aca="false">ABS(M343)/$P$3</f>
        <v>0</v>
      </c>
      <c r="Z343" s="124" t="n">
        <f aca="false">ABS(N343)/$P$3</f>
        <v>0</v>
      </c>
    </row>
    <row r="344" customFormat="false" ht="12.75" hidden="false" customHeight="false" outlineLevel="0" collapsed="false">
      <c r="A344" s="120" t="n">
        <f aca="false">A343+1</f>
        <v>37230</v>
      </c>
      <c r="B344" s="131" t="str">
        <f aca="false">INDEX('Master Data'!$A$2:$B$8,MATCH(WEEKDAY('RAC V@r Total'!A344,3),'Master Data'!$A$2:$A$8,0),2)</f>
        <v>W</v>
      </c>
      <c r="D344" s="124" t="n">
        <v>0</v>
      </c>
      <c r="E344" s="124" t="n">
        <v>0</v>
      </c>
      <c r="F344" s="124" t="n">
        <v>0</v>
      </c>
      <c r="G344" s="124" t="n">
        <v>0</v>
      </c>
      <c r="H344" s="124" t="n">
        <v>0</v>
      </c>
      <c r="I344" s="124" t="n">
        <v>0</v>
      </c>
      <c r="J344" s="124" t="n">
        <v>0</v>
      </c>
      <c r="K344" s="124" t="n">
        <v>0</v>
      </c>
      <c r="L344" s="124" t="n">
        <v>0</v>
      </c>
      <c r="M344" s="124" t="n">
        <v>0</v>
      </c>
      <c r="N344" s="124" t="n">
        <v>0</v>
      </c>
      <c r="P344" s="124" t="n">
        <f aca="false">ABS(D344)/$P$3</f>
        <v>0</v>
      </c>
      <c r="Q344" s="124" t="n">
        <f aca="false">ABS(E344)/$P$3</f>
        <v>0</v>
      </c>
      <c r="R344" s="124" t="n">
        <f aca="false">ABS(F344)/$P$3</f>
        <v>0</v>
      </c>
      <c r="S344" s="124" t="n">
        <f aca="false">ABS(G344)/$P$3</f>
        <v>0</v>
      </c>
      <c r="T344" s="124" t="n">
        <f aca="false">ABS(H344)/$P$3</f>
        <v>0</v>
      </c>
      <c r="U344" s="124" t="n">
        <f aca="false">ABS(I344)/$P$3</f>
        <v>0</v>
      </c>
      <c r="V344" s="124" t="n">
        <f aca="false">ABS(J344)/$P$3</f>
        <v>0</v>
      </c>
      <c r="W344" s="124" t="n">
        <f aca="false">ABS(K344)/$P$3</f>
        <v>0</v>
      </c>
      <c r="X344" s="124" t="n">
        <f aca="false">ABS(L344)/$P$3</f>
        <v>0</v>
      </c>
      <c r="Y344" s="124" t="n">
        <f aca="false">ABS(M344)/$P$3</f>
        <v>0</v>
      </c>
      <c r="Z344" s="124" t="n">
        <f aca="false">ABS(N344)/$P$3</f>
        <v>0</v>
      </c>
    </row>
    <row r="345" customFormat="false" ht="12.75" hidden="false" customHeight="false" outlineLevel="0" collapsed="false">
      <c r="A345" s="120" t="n">
        <f aca="false">A344+1</f>
        <v>37231</v>
      </c>
      <c r="B345" s="131" t="str">
        <f aca="false">INDEX('Master Data'!$A$2:$B$8,MATCH(WEEKDAY('RAC V@r Total'!A345,3),'Master Data'!$A$2:$A$8,0),2)</f>
        <v>Th</v>
      </c>
      <c r="D345" s="124" t="n">
        <v>0</v>
      </c>
      <c r="E345" s="124" t="n">
        <v>0</v>
      </c>
      <c r="F345" s="124" t="n">
        <v>0</v>
      </c>
      <c r="G345" s="124" t="n">
        <v>0</v>
      </c>
      <c r="H345" s="124" t="n">
        <v>0</v>
      </c>
      <c r="I345" s="124" t="n">
        <v>0</v>
      </c>
      <c r="J345" s="124" t="n">
        <v>0</v>
      </c>
      <c r="K345" s="124" t="n">
        <v>0</v>
      </c>
      <c r="L345" s="124" t="n">
        <v>0</v>
      </c>
      <c r="M345" s="124" t="n">
        <v>0</v>
      </c>
      <c r="N345" s="124" t="n">
        <v>0</v>
      </c>
      <c r="P345" s="124" t="n">
        <f aca="false">ABS(D345)/$P$3</f>
        <v>0</v>
      </c>
      <c r="Q345" s="124" t="n">
        <f aca="false">ABS(E345)/$P$3</f>
        <v>0</v>
      </c>
      <c r="R345" s="124" t="n">
        <f aca="false">ABS(F345)/$P$3</f>
        <v>0</v>
      </c>
      <c r="S345" s="124" t="n">
        <f aca="false">ABS(G345)/$P$3</f>
        <v>0</v>
      </c>
      <c r="T345" s="124" t="n">
        <f aca="false">ABS(H345)/$P$3</f>
        <v>0</v>
      </c>
      <c r="U345" s="124" t="n">
        <f aca="false">ABS(I345)/$P$3</f>
        <v>0</v>
      </c>
      <c r="V345" s="124" t="n">
        <f aca="false">ABS(J345)/$P$3</f>
        <v>0</v>
      </c>
      <c r="W345" s="124" t="n">
        <f aca="false">ABS(K345)/$P$3</f>
        <v>0</v>
      </c>
      <c r="X345" s="124" t="n">
        <f aca="false">ABS(L345)/$P$3</f>
        <v>0</v>
      </c>
      <c r="Y345" s="124" t="n">
        <f aca="false">ABS(M345)/$P$3</f>
        <v>0</v>
      </c>
      <c r="Z345" s="124" t="n">
        <f aca="false">ABS(N345)/$P$3</f>
        <v>0</v>
      </c>
    </row>
    <row r="346" customFormat="false" ht="12.75" hidden="false" customHeight="false" outlineLevel="0" collapsed="false">
      <c r="A346" s="120" t="n">
        <f aca="false">A345+1</f>
        <v>37232</v>
      </c>
      <c r="B346" s="131" t="str">
        <f aca="false">INDEX('Master Data'!$A$2:$B$8,MATCH(WEEKDAY('RAC V@r Total'!A346,3),'Master Data'!$A$2:$A$8,0),2)</f>
        <v>F</v>
      </c>
      <c r="D346" s="124" t="n">
        <v>0</v>
      </c>
      <c r="E346" s="124" t="n">
        <v>0</v>
      </c>
      <c r="F346" s="124" t="n">
        <v>0</v>
      </c>
      <c r="G346" s="124" t="n">
        <v>0</v>
      </c>
      <c r="H346" s="124" t="n">
        <v>0</v>
      </c>
      <c r="I346" s="124" t="n">
        <v>0</v>
      </c>
      <c r="J346" s="124" t="n">
        <v>0</v>
      </c>
      <c r="K346" s="124" t="n">
        <v>0</v>
      </c>
      <c r="L346" s="124" t="n">
        <v>0</v>
      </c>
      <c r="M346" s="124" t="n">
        <v>0</v>
      </c>
      <c r="N346" s="124" t="n">
        <v>0</v>
      </c>
      <c r="P346" s="124" t="n">
        <f aca="false">ABS(D346)/$P$3</f>
        <v>0</v>
      </c>
      <c r="Q346" s="124" t="n">
        <f aca="false">ABS(E346)/$P$3</f>
        <v>0</v>
      </c>
      <c r="R346" s="124" t="n">
        <f aca="false">ABS(F346)/$P$3</f>
        <v>0</v>
      </c>
      <c r="S346" s="124" t="n">
        <f aca="false">ABS(G346)/$P$3</f>
        <v>0</v>
      </c>
      <c r="T346" s="124" t="n">
        <f aca="false">ABS(H346)/$P$3</f>
        <v>0</v>
      </c>
      <c r="U346" s="124" t="n">
        <f aca="false">ABS(I346)/$P$3</f>
        <v>0</v>
      </c>
      <c r="V346" s="124" t="n">
        <f aca="false">ABS(J346)/$P$3</f>
        <v>0</v>
      </c>
      <c r="W346" s="124" t="n">
        <f aca="false">ABS(K346)/$P$3</f>
        <v>0</v>
      </c>
      <c r="X346" s="124" t="n">
        <f aca="false">ABS(L346)/$P$3</f>
        <v>0</v>
      </c>
      <c r="Y346" s="124" t="n">
        <f aca="false">ABS(M346)/$P$3</f>
        <v>0</v>
      </c>
      <c r="Z346" s="124" t="n">
        <f aca="false">ABS(N346)/$P$3</f>
        <v>0</v>
      </c>
    </row>
    <row r="347" customFormat="false" ht="12.75" hidden="false" customHeight="false" outlineLevel="0" collapsed="false">
      <c r="A347" s="120" t="n">
        <f aca="false">A346+1</f>
        <v>37233</v>
      </c>
      <c r="B347" s="131" t="str">
        <f aca="false">INDEX('Master Data'!$A$2:$B$8,MATCH(WEEKDAY('RAC V@r Total'!A347,3),'Master Data'!$A$2:$A$8,0),2)</f>
        <v>Sa</v>
      </c>
      <c r="D347" s="124" t="n">
        <v>0</v>
      </c>
      <c r="E347" s="124" t="n">
        <v>0</v>
      </c>
      <c r="F347" s="124" t="n">
        <v>0</v>
      </c>
      <c r="G347" s="124" t="n">
        <v>0</v>
      </c>
      <c r="H347" s="124" t="n">
        <v>0</v>
      </c>
      <c r="I347" s="124" t="n">
        <v>0</v>
      </c>
      <c r="J347" s="124" t="n">
        <v>0</v>
      </c>
      <c r="K347" s="124" t="n">
        <v>0</v>
      </c>
      <c r="L347" s="124" t="n">
        <v>0</v>
      </c>
      <c r="M347" s="124" t="n">
        <v>0</v>
      </c>
      <c r="N347" s="124" t="n">
        <v>0</v>
      </c>
      <c r="P347" s="124" t="n">
        <f aca="false">ABS(D347)/$P$3</f>
        <v>0</v>
      </c>
      <c r="Q347" s="124" t="n">
        <f aca="false">ABS(E347)/$P$3</f>
        <v>0</v>
      </c>
      <c r="R347" s="124" t="n">
        <f aca="false">ABS(F347)/$P$3</f>
        <v>0</v>
      </c>
      <c r="S347" s="124" t="n">
        <f aca="false">ABS(G347)/$P$3</f>
        <v>0</v>
      </c>
      <c r="T347" s="124" t="n">
        <f aca="false">ABS(H347)/$P$3</f>
        <v>0</v>
      </c>
      <c r="U347" s="124" t="n">
        <f aca="false">ABS(I347)/$P$3</f>
        <v>0</v>
      </c>
      <c r="V347" s="124" t="n">
        <f aca="false">ABS(J347)/$P$3</f>
        <v>0</v>
      </c>
      <c r="W347" s="124" t="n">
        <f aca="false">ABS(K347)/$P$3</f>
        <v>0</v>
      </c>
      <c r="X347" s="124" t="n">
        <f aca="false">ABS(L347)/$P$3</f>
        <v>0</v>
      </c>
      <c r="Y347" s="124" t="n">
        <f aca="false">ABS(M347)/$P$3</f>
        <v>0</v>
      </c>
      <c r="Z347" s="124" t="n">
        <f aca="false">ABS(N347)/$P$3</f>
        <v>0</v>
      </c>
    </row>
    <row r="348" customFormat="false" ht="12.75" hidden="false" customHeight="false" outlineLevel="0" collapsed="false">
      <c r="A348" s="120" t="n">
        <f aca="false">A347+1</f>
        <v>37234</v>
      </c>
      <c r="B348" s="131" t="str">
        <f aca="false">INDEX('Master Data'!$A$2:$B$8,MATCH(WEEKDAY('RAC V@r Total'!A348,3),'Master Data'!$A$2:$A$8,0),2)</f>
        <v>Su</v>
      </c>
      <c r="D348" s="124" t="n">
        <v>0</v>
      </c>
      <c r="E348" s="124" t="n">
        <v>0</v>
      </c>
      <c r="F348" s="124" t="n">
        <v>0</v>
      </c>
      <c r="G348" s="124" t="n">
        <v>0</v>
      </c>
      <c r="H348" s="124" t="n">
        <v>0</v>
      </c>
      <c r="I348" s="124" t="n">
        <v>0</v>
      </c>
      <c r="J348" s="124" t="n">
        <v>0</v>
      </c>
      <c r="K348" s="124" t="n">
        <v>0</v>
      </c>
      <c r="L348" s="124" t="n">
        <v>0</v>
      </c>
      <c r="M348" s="124" t="n">
        <v>0</v>
      </c>
      <c r="N348" s="124" t="n">
        <v>0</v>
      </c>
      <c r="P348" s="124" t="n">
        <f aca="false">ABS(D348)/$P$3</f>
        <v>0</v>
      </c>
      <c r="Q348" s="124" t="n">
        <f aca="false">ABS(E348)/$P$3</f>
        <v>0</v>
      </c>
      <c r="R348" s="124" t="n">
        <f aca="false">ABS(F348)/$P$3</f>
        <v>0</v>
      </c>
      <c r="S348" s="124" t="n">
        <f aca="false">ABS(G348)/$P$3</f>
        <v>0</v>
      </c>
      <c r="T348" s="124" t="n">
        <f aca="false">ABS(H348)/$P$3</f>
        <v>0</v>
      </c>
      <c r="U348" s="124" t="n">
        <f aca="false">ABS(I348)/$P$3</f>
        <v>0</v>
      </c>
      <c r="V348" s="124" t="n">
        <f aca="false">ABS(J348)/$P$3</f>
        <v>0</v>
      </c>
      <c r="W348" s="124" t="n">
        <f aca="false">ABS(K348)/$P$3</f>
        <v>0</v>
      </c>
      <c r="X348" s="124" t="n">
        <f aca="false">ABS(L348)/$P$3</f>
        <v>0</v>
      </c>
      <c r="Y348" s="124" t="n">
        <f aca="false">ABS(M348)/$P$3</f>
        <v>0</v>
      </c>
      <c r="Z348" s="124" t="n">
        <f aca="false">ABS(N348)/$P$3</f>
        <v>0</v>
      </c>
    </row>
    <row r="349" customFormat="false" ht="12.75" hidden="false" customHeight="false" outlineLevel="0" collapsed="false">
      <c r="A349" s="120" t="n">
        <f aca="false">A348+1</f>
        <v>37235</v>
      </c>
      <c r="B349" s="131" t="str">
        <f aca="false">INDEX('Master Data'!$A$2:$B$8,MATCH(WEEKDAY('RAC V@r Total'!A349,3),'Master Data'!$A$2:$A$8,0),2)</f>
        <v>M</v>
      </c>
      <c r="D349" s="124" t="n">
        <v>0</v>
      </c>
      <c r="E349" s="124" t="n">
        <v>0</v>
      </c>
      <c r="F349" s="124" t="n">
        <v>0</v>
      </c>
      <c r="G349" s="124" t="n">
        <v>0</v>
      </c>
      <c r="H349" s="124" t="n">
        <v>0</v>
      </c>
      <c r="I349" s="124" t="n">
        <v>0</v>
      </c>
      <c r="J349" s="124" t="n">
        <v>0</v>
      </c>
      <c r="K349" s="124" t="n">
        <v>0</v>
      </c>
      <c r="L349" s="124" t="n">
        <v>0</v>
      </c>
      <c r="M349" s="124" t="n">
        <v>0</v>
      </c>
      <c r="N349" s="124" t="n">
        <v>0</v>
      </c>
      <c r="P349" s="124" t="n">
        <f aca="false">ABS(D349)/$P$3</f>
        <v>0</v>
      </c>
      <c r="Q349" s="124" t="n">
        <f aca="false">ABS(E349)/$P$3</f>
        <v>0</v>
      </c>
      <c r="R349" s="124" t="n">
        <f aca="false">ABS(F349)/$P$3</f>
        <v>0</v>
      </c>
      <c r="S349" s="124" t="n">
        <f aca="false">ABS(G349)/$P$3</f>
        <v>0</v>
      </c>
      <c r="T349" s="124" t="n">
        <f aca="false">ABS(H349)/$P$3</f>
        <v>0</v>
      </c>
      <c r="U349" s="124" t="n">
        <f aca="false">ABS(I349)/$P$3</f>
        <v>0</v>
      </c>
      <c r="V349" s="124" t="n">
        <f aca="false">ABS(J349)/$P$3</f>
        <v>0</v>
      </c>
      <c r="W349" s="124" t="n">
        <f aca="false">ABS(K349)/$P$3</f>
        <v>0</v>
      </c>
      <c r="X349" s="124" t="n">
        <f aca="false">ABS(L349)/$P$3</f>
        <v>0</v>
      </c>
      <c r="Y349" s="124" t="n">
        <f aca="false">ABS(M349)/$P$3</f>
        <v>0</v>
      </c>
      <c r="Z349" s="124" t="n">
        <f aca="false">ABS(N349)/$P$3</f>
        <v>0</v>
      </c>
    </row>
    <row r="350" customFormat="false" ht="12.75" hidden="false" customHeight="false" outlineLevel="0" collapsed="false">
      <c r="A350" s="120" t="n">
        <f aca="false">A349+1</f>
        <v>37236</v>
      </c>
      <c r="B350" s="131" t="str">
        <f aca="false">INDEX('Master Data'!$A$2:$B$8,MATCH(WEEKDAY('RAC V@r Total'!A350,3),'Master Data'!$A$2:$A$8,0),2)</f>
        <v>T</v>
      </c>
      <c r="D350" s="124" t="n">
        <v>0</v>
      </c>
      <c r="E350" s="124" t="n">
        <v>0</v>
      </c>
      <c r="F350" s="124" t="n">
        <v>0</v>
      </c>
      <c r="G350" s="124" t="n">
        <v>0</v>
      </c>
      <c r="H350" s="124" t="n">
        <v>0</v>
      </c>
      <c r="I350" s="124" t="n">
        <v>0</v>
      </c>
      <c r="J350" s="124" t="n">
        <v>0</v>
      </c>
      <c r="K350" s="124" t="n">
        <v>0</v>
      </c>
      <c r="L350" s="124" t="n">
        <v>0</v>
      </c>
      <c r="M350" s="124" t="n">
        <v>0</v>
      </c>
      <c r="N350" s="124" t="n">
        <v>0</v>
      </c>
      <c r="P350" s="124" t="n">
        <f aca="false">ABS(D350)/$P$3</f>
        <v>0</v>
      </c>
      <c r="Q350" s="124" t="n">
        <f aca="false">ABS(E350)/$P$3</f>
        <v>0</v>
      </c>
      <c r="R350" s="124" t="n">
        <f aca="false">ABS(F350)/$P$3</f>
        <v>0</v>
      </c>
      <c r="S350" s="124" t="n">
        <f aca="false">ABS(G350)/$P$3</f>
        <v>0</v>
      </c>
      <c r="T350" s="124" t="n">
        <f aca="false">ABS(H350)/$P$3</f>
        <v>0</v>
      </c>
      <c r="U350" s="124" t="n">
        <f aca="false">ABS(I350)/$P$3</f>
        <v>0</v>
      </c>
      <c r="V350" s="124" t="n">
        <f aca="false">ABS(J350)/$P$3</f>
        <v>0</v>
      </c>
      <c r="W350" s="124" t="n">
        <f aca="false">ABS(K350)/$P$3</f>
        <v>0</v>
      </c>
      <c r="X350" s="124" t="n">
        <f aca="false">ABS(L350)/$P$3</f>
        <v>0</v>
      </c>
      <c r="Y350" s="124" t="n">
        <f aca="false">ABS(M350)/$P$3</f>
        <v>0</v>
      </c>
      <c r="Z350" s="124" t="n">
        <f aca="false">ABS(N350)/$P$3</f>
        <v>0</v>
      </c>
    </row>
    <row r="351" customFormat="false" ht="12.75" hidden="false" customHeight="false" outlineLevel="0" collapsed="false">
      <c r="A351" s="120" t="n">
        <f aca="false">A350+1</f>
        <v>37237</v>
      </c>
      <c r="B351" s="131" t="str">
        <f aca="false">INDEX('Master Data'!$A$2:$B$8,MATCH(WEEKDAY('RAC V@r Total'!A351,3),'Master Data'!$A$2:$A$8,0),2)</f>
        <v>W</v>
      </c>
      <c r="D351" s="124" t="n">
        <v>0</v>
      </c>
      <c r="E351" s="124" t="n">
        <v>0</v>
      </c>
      <c r="F351" s="124" t="n">
        <v>0</v>
      </c>
      <c r="G351" s="124" t="n">
        <v>0</v>
      </c>
      <c r="H351" s="124" t="n">
        <v>0</v>
      </c>
      <c r="I351" s="124" t="n">
        <v>0</v>
      </c>
      <c r="J351" s="124" t="n">
        <v>0</v>
      </c>
      <c r="K351" s="124" t="n">
        <v>0</v>
      </c>
      <c r="L351" s="124" t="n">
        <v>0</v>
      </c>
      <c r="M351" s="124" t="n">
        <v>0</v>
      </c>
      <c r="N351" s="124" t="n">
        <v>0</v>
      </c>
      <c r="P351" s="124" t="n">
        <f aca="false">ABS(D351)/$P$3</f>
        <v>0</v>
      </c>
      <c r="Q351" s="124" t="n">
        <f aca="false">ABS(E351)/$P$3</f>
        <v>0</v>
      </c>
      <c r="R351" s="124" t="n">
        <f aca="false">ABS(F351)/$P$3</f>
        <v>0</v>
      </c>
      <c r="S351" s="124" t="n">
        <f aca="false">ABS(G351)/$P$3</f>
        <v>0</v>
      </c>
      <c r="T351" s="124" t="n">
        <f aca="false">ABS(H351)/$P$3</f>
        <v>0</v>
      </c>
      <c r="U351" s="124" t="n">
        <f aca="false">ABS(I351)/$P$3</f>
        <v>0</v>
      </c>
      <c r="V351" s="124" t="n">
        <f aca="false">ABS(J351)/$P$3</f>
        <v>0</v>
      </c>
      <c r="W351" s="124" t="n">
        <f aca="false">ABS(K351)/$P$3</f>
        <v>0</v>
      </c>
      <c r="X351" s="124" t="n">
        <f aca="false">ABS(L351)/$P$3</f>
        <v>0</v>
      </c>
      <c r="Y351" s="124" t="n">
        <f aca="false">ABS(M351)/$P$3</f>
        <v>0</v>
      </c>
      <c r="Z351" s="124" t="n">
        <f aca="false">ABS(N351)/$P$3</f>
        <v>0</v>
      </c>
    </row>
    <row r="352" customFormat="false" ht="12.75" hidden="false" customHeight="false" outlineLevel="0" collapsed="false">
      <c r="A352" s="120" t="n">
        <f aca="false">A351+1</f>
        <v>37238</v>
      </c>
      <c r="B352" s="131" t="str">
        <f aca="false">INDEX('Master Data'!$A$2:$B$8,MATCH(WEEKDAY('RAC V@r Total'!A352,3),'Master Data'!$A$2:$A$8,0),2)</f>
        <v>Th</v>
      </c>
      <c r="D352" s="124" t="n">
        <v>0</v>
      </c>
      <c r="E352" s="124" t="n">
        <v>0</v>
      </c>
      <c r="F352" s="124" t="n">
        <v>0</v>
      </c>
      <c r="G352" s="124" t="n">
        <v>0</v>
      </c>
      <c r="H352" s="124" t="n">
        <v>0</v>
      </c>
      <c r="I352" s="124" t="n">
        <v>0</v>
      </c>
      <c r="J352" s="124" t="n">
        <v>0</v>
      </c>
      <c r="K352" s="124" t="n">
        <v>0</v>
      </c>
      <c r="L352" s="124" t="n">
        <v>0</v>
      </c>
      <c r="M352" s="124" t="n">
        <v>0</v>
      </c>
      <c r="N352" s="124" t="n">
        <v>0</v>
      </c>
      <c r="P352" s="124" t="n">
        <f aca="false">ABS(D352)/$P$3</f>
        <v>0</v>
      </c>
      <c r="Q352" s="124" t="n">
        <f aca="false">ABS(E352)/$P$3</f>
        <v>0</v>
      </c>
      <c r="R352" s="124" t="n">
        <f aca="false">ABS(F352)/$P$3</f>
        <v>0</v>
      </c>
      <c r="S352" s="124" t="n">
        <f aca="false">ABS(G352)/$P$3</f>
        <v>0</v>
      </c>
      <c r="T352" s="124" t="n">
        <f aca="false">ABS(H352)/$P$3</f>
        <v>0</v>
      </c>
      <c r="U352" s="124" t="n">
        <f aca="false">ABS(I352)/$P$3</f>
        <v>0</v>
      </c>
      <c r="V352" s="124" t="n">
        <f aca="false">ABS(J352)/$P$3</f>
        <v>0</v>
      </c>
      <c r="W352" s="124" t="n">
        <f aca="false">ABS(K352)/$P$3</f>
        <v>0</v>
      </c>
      <c r="X352" s="124" t="n">
        <f aca="false">ABS(L352)/$P$3</f>
        <v>0</v>
      </c>
      <c r="Y352" s="124" t="n">
        <f aca="false">ABS(M352)/$P$3</f>
        <v>0</v>
      </c>
      <c r="Z352" s="124" t="n">
        <f aca="false">ABS(N352)/$P$3</f>
        <v>0</v>
      </c>
    </row>
    <row r="353" customFormat="false" ht="12.75" hidden="false" customHeight="false" outlineLevel="0" collapsed="false">
      <c r="A353" s="120" t="n">
        <f aca="false">A352+1</f>
        <v>37239</v>
      </c>
      <c r="B353" s="131" t="str">
        <f aca="false">INDEX('Master Data'!$A$2:$B$8,MATCH(WEEKDAY('RAC V@r Total'!A353,3),'Master Data'!$A$2:$A$8,0),2)</f>
        <v>F</v>
      </c>
      <c r="D353" s="124" t="n">
        <v>0</v>
      </c>
      <c r="E353" s="124" t="n">
        <v>0</v>
      </c>
      <c r="F353" s="124" t="n">
        <v>0</v>
      </c>
      <c r="G353" s="124" t="n">
        <v>0</v>
      </c>
      <c r="H353" s="124" t="n">
        <v>0</v>
      </c>
      <c r="I353" s="124" t="n">
        <v>0</v>
      </c>
      <c r="J353" s="124" t="n">
        <v>0</v>
      </c>
      <c r="K353" s="124" t="n">
        <v>0</v>
      </c>
      <c r="L353" s="124" t="n">
        <v>0</v>
      </c>
      <c r="M353" s="124" t="n">
        <v>0</v>
      </c>
      <c r="N353" s="124" t="n">
        <v>0</v>
      </c>
      <c r="P353" s="124" t="n">
        <f aca="false">ABS(D353)/$P$3</f>
        <v>0</v>
      </c>
      <c r="Q353" s="124" t="n">
        <f aca="false">ABS(E353)/$P$3</f>
        <v>0</v>
      </c>
      <c r="R353" s="124" t="n">
        <f aca="false">ABS(F353)/$P$3</f>
        <v>0</v>
      </c>
      <c r="S353" s="124" t="n">
        <f aca="false">ABS(G353)/$P$3</f>
        <v>0</v>
      </c>
      <c r="T353" s="124" t="n">
        <f aca="false">ABS(H353)/$P$3</f>
        <v>0</v>
      </c>
      <c r="U353" s="124" t="n">
        <f aca="false">ABS(I353)/$P$3</f>
        <v>0</v>
      </c>
      <c r="V353" s="124" t="n">
        <f aca="false">ABS(J353)/$P$3</f>
        <v>0</v>
      </c>
      <c r="W353" s="124" t="n">
        <f aca="false">ABS(K353)/$P$3</f>
        <v>0</v>
      </c>
      <c r="X353" s="124" t="n">
        <f aca="false">ABS(L353)/$P$3</f>
        <v>0</v>
      </c>
      <c r="Y353" s="124" t="n">
        <f aca="false">ABS(M353)/$P$3</f>
        <v>0</v>
      </c>
      <c r="Z353" s="124" t="n">
        <f aca="false">ABS(N353)/$P$3</f>
        <v>0</v>
      </c>
    </row>
    <row r="354" customFormat="false" ht="12.75" hidden="false" customHeight="false" outlineLevel="0" collapsed="false">
      <c r="A354" s="120" t="n">
        <f aca="false">A353+1</f>
        <v>37240</v>
      </c>
      <c r="B354" s="131" t="str">
        <f aca="false">INDEX('Master Data'!$A$2:$B$8,MATCH(WEEKDAY('RAC V@r Total'!A354,3),'Master Data'!$A$2:$A$8,0),2)</f>
        <v>Sa</v>
      </c>
      <c r="D354" s="124" t="n">
        <v>0</v>
      </c>
      <c r="E354" s="124" t="n">
        <v>0</v>
      </c>
      <c r="F354" s="124" t="n">
        <v>0</v>
      </c>
      <c r="G354" s="124" t="n">
        <v>0</v>
      </c>
      <c r="H354" s="124" t="n">
        <v>0</v>
      </c>
      <c r="I354" s="124" t="n">
        <v>0</v>
      </c>
      <c r="J354" s="124" t="n">
        <v>0</v>
      </c>
      <c r="K354" s="124" t="n">
        <v>0</v>
      </c>
      <c r="L354" s="124" t="n">
        <v>0</v>
      </c>
      <c r="M354" s="124" t="n">
        <v>0</v>
      </c>
      <c r="N354" s="124" t="n">
        <v>0</v>
      </c>
      <c r="P354" s="124" t="n">
        <f aca="false">ABS(D354)/$P$3</f>
        <v>0</v>
      </c>
      <c r="Q354" s="124" t="n">
        <f aca="false">ABS(E354)/$P$3</f>
        <v>0</v>
      </c>
      <c r="R354" s="124" t="n">
        <f aca="false">ABS(F354)/$P$3</f>
        <v>0</v>
      </c>
      <c r="S354" s="124" t="n">
        <f aca="false">ABS(G354)/$P$3</f>
        <v>0</v>
      </c>
      <c r="T354" s="124" t="n">
        <f aca="false">ABS(H354)/$P$3</f>
        <v>0</v>
      </c>
      <c r="U354" s="124" t="n">
        <f aca="false">ABS(I354)/$P$3</f>
        <v>0</v>
      </c>
      <c r="V354" s="124" t="n">
        <f aca="false">ABS(J354)/$P$3</f>
        <v>0</v>
      </c>
      <c r="W354" s="124" t="n">
        <f aca="false">ABS(K354)/$P$3</f>
        <v>0</v>
      </c>
      <c r="X354" s="124" t="n">
        <f aca="false">ABS(L354)/$P$3</f>
        <v>0</v>
      </c>
      <c r="Y354" s="124" t="n">
        <f aca="false">ABS(M354)/$P$3</f>
        <v>0</v>
      </c>
      <c r="Z354" s="124" t="n">
        <f aca="false">ABS(N354)/$P$3</f>
        <v>0</v>
      </c>
    </row>
    <row r="355" customFormat="false" ht="12.75" hidden="false" customHeight="false" outlineLevel="0" collapsed="false">
      <c r="A355" s="120" t="n">
        <f aca="false">A354+1</f>
        <v>37241</v>
      </c>
      <c r="B355" s="131" t="str">
        <f aca="false">INDEX('Master Data'!$A$2:$B$8,MATCH(WEEKDAY('RAC V@r Total'!A355,3),'Master Data'!$A$2:$A$8,0),2)</f>
        <v>Su</v>
      </c>
      <c r="D355" s="124" t="n">
        <v>0</v>
      </c>
      <c r="E355" s="124" t="n">
        <v>0</v>
      </c>
      <c r="F355" s="124" t="n">
        <v>0</v>
      </c>
      <c r="G355" s="124" t="n">
        <v>0</v>
      </c>
      <c r="H355" s="124" t="n">
        <v>0</v>
      </c>
      <c r="I355" s="124" t="n">
        <v>0</v>
      </c>
      <c r="J355" s="124" t="n">
        <v>0</v>
      </c>
      <c r="K355" s="124" t="n">
        <v>0</v>
      </c>
      <c r="L355" s="124" t="n">
        <v>0</v>
      </c>
      <c r="M355" s="124" t="n">
        <v>0</v>
      </c>
      <c r="N355" s="124" t="n">
        <v>0</v>
      </c>
      <c r="P355" s="124" t="n">
        <f aca="false">ABS(D355)/$P$3</f>
        <v>0</v>
      </c>
      <c r="Q355" s="124" t="n">
        <f aca="false">ABS(E355)/$P$3</f>
        <v>0</v>
      </c>
      <c r="R355" s="124" t="n">
        <f aca="false">ABS(F355)/$P$3</f>
        <v>0</v>
      </c>
      <c r="S355" s="124" t="n">
        <f aca="false">ABS(G355)/$P$3</f>
        <v>0</v>
      </c>
      <c r="T355" s="124" t="n">
        <f aca="false">ABS(H355)/$P$3</f>
        <v>0</v>
      </c>
      <c r="U355" s="124" t="n">
        <f aca="false">ABS(I355)/$P$3</f>
        <v>0</v>
      </c>
      <c r="V355" s="124" t="n">
        <f aca="false">ABS(J355)/$P$3</f>
        <v>0</v>
      </c>
      <c r="W355" s="124" t="n">
        <f aca="false">ABS(K355)/$P$3</f>
        <v>0</v>
      </c>
      <c r="X355" s="124" t="n">
        <f aca="false">ABS(L355)/$P$3</f>
        <v>0</v>
      </c>
      <c r="Y355" s="124" t="n">
        <f aca="false">ABS(M355)/$P$3</f>
        <v>0</v>
      </c>
      <c r="Z355" s="124" t="n">
        <f aca="false">ABS(N355)/$P$3</f>
        <v>0</v>
      </c>
    </row>
    <row r="356" customFormat="false" ht="12.75" hidden="false" customHeight="false" outlineLevel="0" collapsed="false">
      <c r="A356" s="120" t="n">
        <f aca="false">A355+1</f>
        <v>37242</v>
      </c>
      <c r="B356" s="131" t="str">
        <f aca="false">INDEX('Master Data'!$A$2:$B$8,MATCH(WEEKDAY('RAC V@r Total'!A356,3),'Master Data'!$A$2:$A$8,0),2)</f>
        <v>M</v>
      </c>
      <c r="D356" s="124" t="n">
        <v>0</v>
      </c>
      <c r="E356" s="124" t="n">
        <v>0</v>
      </c>
      <c r="F356" s="124" t="n">
        <v>0</v>
      </c>
      <c r="G356" s="124" t="n">
        <v>0</v>
      </c>
      <c r="H356" s="124" t="n">
        <v>0</v>
      </c>
      <c r="I356" s="124" t="n">
        <v>0</v>
      </c>
      <c r="J356" s="124" t="n">
        <v>0</v>
      </c>
      <c r="K356" s="124" t="n">
        <v>0</v>
      </c>
      <c r="L356" s="124" t="n">
        <v>0</v>
      </c>
      <c r="M356" s="124" t="n">
        <v>0</v>
      </c>
      <c r="N356" s="124" t="n">
        <v>0</v>
      </c>
      <c r="P356" s="124" t="n">
        <f aca="false">ABS(D356)/$P$3</f>
        <v>0</v>
      </c>
      <c r="Q356" s="124" t="n">
        <f aca="false">ABS(E356)/$P$3</f>
        <v>0</v>
      </c>
      <c r="R356" s="124" t="n">
        <f aca="false">ABS(F356)/$P$3</f>
        <v>0</v>
      </c>
      <c r="S356" s="124" t="n">
        <f aca="false">ABS(G356)/$P$3</f>
        <v>0</v>
      </c>
      <c r="T356" s="124" t="n">
        <f aca="false">ABS(H356)/$P$3</f>
        <v>0</v>
      </c>
      <c r="U356" s="124" t="n">
        <f aca="false">ABS(I356)/$P$3</f>
        <v>0</v>
      </c>
      <c r="V356" s="124" t="n">
        <f aca="false">ABS(J356)/$P$3</f>
        <v>0</v>
      </c>
      <c r="W356" s="124" t="n">
        <f aca="false">ABS(K356)/$P$3</f>
        <v>0</v>
      </c>
      <c r="X356" s="124" t="n">
        <f aca="false">ABS(L356)/$P$3</f>
        <v>0</v>
      </c>
      <c r="Y356" s="124" t="n">
        <f aca="false">ABS(M356)/$P$3</f>
        <v>0</v>
      </c>
      <c r="Z356" s="124" t="n">
        <f aca="false">ABS(N356)/$P$3</f>
        <v>0</v>
      </c>
    </row>
    <row r="357" customFormat="false" ht="12.75" hidden="false" customHeight="false" outlineLevel="0" collapsed="false">
      <c r="A357" s="120" t="n">
        <f aca="false">A356+1</f>
        <v>37243</v>
      </c>
      <c r="B357" s="131" t="str">
        <f aca="false">INDEX('Master Data'!$A$2:$B$8,MATCH(WEEKDAY('RAC V@r Total'!A357,3),'Master Data'!$A$2:$A$8,0),2)</f>
        <v>T</v>
      </c>
      <c r="D357" s="124" t="n">
        <v>0</v>
      </c>
      <c r="E357" s="124" t="n">
        <v>0</v>
      </c>
      <c r="F357" s="124" t="n">
        <v>0</v>
      </c>
      <c r="G357" s="124" t="n">
        <v>0</v>
      </c>
      <c r="H357" s="124" t="n">
        <v>0</v>
      </c>
      <c r="I357" s="124" t="n">
        <v>0</v>
      </c>
      <c r="J357" s="124" t="n">
        <v>0</v>
      </c>
      <c r="K357" s="124" t="n">
        <v>0</v>
      </c>
      <c r="L357" s="124" t="n">
        <v>0</v>
      </c>
      <c r="M357" s="124" t="n">
        <v>0</v>
      </c>
      <c r="N357" s="124" t="n">
        <v>0</v>
      </c>
      <c r="P357" s="124" t="n">
        <f aca="false">ABS(D357)/$P$3</f>
        <v>0</v>
      </c>
      <c r="Q357" s="124" t="n">
        <f aca="false">ABS(E357)/$P$3</f>
        <v>0</v>
      </c>
      <c r="R357" s="124" t="n">
        <f aca="false">ABS(F357)/$P$3</f>
        <v>0</v>
      </c>
      <c r="S357" s="124" t="n">
        <f aca="false">ABS(G357)/$P$3</f>
        <v>0</v>
      </c>
      <c r="T357" s="124" t="n">
        <f aca="false">ABS(H357)/$P$3</f>
        <v>0</v>
      </c>
      <c r="U357" s="124" t="n">
        <f aca="false">ABS(I357)/$P$3</f>
        <v>0</v>
      </c>
      <c r="V357" s="124" t="n">
        <f aca="false">ABS(J357)/$P$3</f>
        <v>0</v>
      </c>
      <c r="W357" s="124" t="n">
        <f aca="false">ABS(K357)/$P$3</f>
        <v>0</v>
      </c>
      <c r="X357" s="124" t="n">
        <f aca="false">ABS(L357)/$P$3</f>
        <v>0</v>
      </c>
      <c r="Y357" s="124" t="n">
        <f aca="false">ABS(M357)/$P$3</f>
        <v>0</v>
      </c>
      <c r="Z357" s="124" t="n">
        <f aca="false">ABS(N357)/$P$3</f>
        <v>0</v>
      </c>
    </row>
    <row r="358" customFormat="false" ht="12.75" hidden="false" customHeight="false" outlineLevel="0" collapsed="false">
      <c r="A358" s="120" t="n">
        <f aca="false">A357+1</f>
        <v>37244</v>
      </c>
      <c r="B358" s="131" t="str">
        <f aca="false">INDEX('Master Data'!$A$2:$B$8,MATCH(WEEKDAY('RAC V@r Total'!A358,3),'Master Data'!$A$2:$A$8,0),2)</f>
        <v>W</v>
      </c>
      <c r="D358" s="124" t="n">
        <v>0</v>
      </c>
      <c r="E358" s="124" t="n">
        <v>0</v>
      </c>
      <c r="F358" s="124" t="n">
        <v>0</v>
      </c>
      <c r="G358" s="124" t="n">
        <v>0</v>
      </c>
      <c r="H358" s="124" t="n">
        <v>0</v>
      </c>
      <c r="I358" s="124" t="n">
        <v>0</v>
      </c>
      <c r="J358" s="124" t="n">
        <v>0</v>
      </c>
      <c r="K358" s="124" t="n">
        <v>0</v>
      </c>
      <c r="L358" s="124" t="n">
        <v>0</v>
      </c>
      <c r="M358" s="124" t="n">
        <v>0</v>
      </c>
      <c r="N358" s="124" t="n">
        <v>0</v>
      </c>
      <c r="P358" s="124" t="n">
        <f aca="false">ABS(D358)/$P$3</f>
        <v>0</v>
      </c>
      <c r="Q358" s="124" t="n">
        <f aca="false">ABS(E358)/$P$3</f>
        <v>0</v>
      </c>
      <c r="R358" s="124" t="n">
        <f aca="false">ABS(F358)/$P$3</f>
        <v>0</v>
      </c>
      <c r="S358" s="124" t="n">
        <f aca="false">ABS(G358)/$P$3</f>
        <v>0</v>
      </c>
      <c r="T358" s="124" t="n">
        <f aca="false">ABS(H358)/$P$3</f>
        <v>0</v>
      </c>
      <c r="U358" s="124" t="n">
        <f aca="false">ABS(I358)/$P$3</f>
        <v>0</v>
      </c>
      <c r="V358" s="124" t="n">
        <f aca="false">ABS(J358)/$P$3</f>
        <v>0</v>
      </c>
      <c r="W358" s="124" t="n">
        <f aca="false">ABS(K358)/$P$3</f>
        <v>0</v>
      </c>
      <c r="X358" s="124" t="n">
        <f aca="false">ABS(L358)/$P$3</f>
        <v>0</v>
      </c>
      <c r="Y358" s="124" t="n">
        <f aca="false">ABS(M358)/$P$3</f>
        <v>0</v>
      </c>
      <c r="Z358" s="124" t="n">
        <f aca="false">ABS(N358)/$P$3</f>
        <v>0</v>
      </c>
    </row>
    <row r="359" customFormat="false" ht="12.75" hidden="false" customHeight="false" outlineLevel="0" collapsed="false">
      <c r="A359" s="120" t="n">
        <f aca="false">A358+1</f>
        <v>37245</v>
      </c>
      <c r="B359" s="131" t="str">
        <f aca="false">INDEX('Master Data'!$A$2:$B$8,MATCH(WEEKDAY('RAC V@r Total'!A359,3),'Master Data'!$A$2:$A$8,0),2)</f>
        <v>Th</v>
      </c>
      <c r="D359" s="124" t="n">
        <v>0</v>
      </c>
      <c r="E359" s="124" t="n">
        <v>0</v>
      </c>
      <c r="F359" s="124" t="n">
        <v>0</v>
      </c>
      <c r="G359" s="124" t="n">
        <v>0</v>
      </c>
      <c r="H359" s="124" t="n">
        <v>0</v>
      </c>
      <c r="I359" s="124" t="n">
        <v>0</v>
      </c>
      <c r="J359" s="124" t="n">
        <v>0</v>
      </c>
      <c r="K359" s="124" t="n">
        <v>0</v>
      </c>
      <c r="L359" s="124" t="n">
        <v>0</v>
      </c>
      <c r="M359" s="124" t="n">
        <v>0</v>
      </c>
      <c r="N359" s="124" t="n">
        <v>0</v>
      </c>
      <c r="P359" s="124" t="n">
        <f aca="false">ABS(D359)/$P$3</f>
        <v>0</v>
      </c>
      <c r="Q359" s="124" t="n">
        <f aca="false">ABS(E359)/$P$3</f>
        <v>0</v>
      </c>
      <c r="R359" s="124" t="n">
        <f aca="false">ABS(F359)/$P$3</f>
        <v>0</v>
      </c>
      <c r="S359" s="124" t="n">
        <f aca="false">ABS(G359)/$P$3</f>
        <v>0</v>
      </c>
      <c r="T359" s="124" t="n">
        <f aca="false">ABS(H359)/$P$3</f>
        <v>0</v>
      </c>
      <c r="U359" s="124" t="n">
        <f aca="false">ABS(I359)/$P$3</f>
        <v>0</v>
      </c>
      <c r="V359" s="124" t="n">
        <f aca="false">ABS(J359)/$P$3</f>
        <v>0</v>
      </c>
      <c r="W359" s="124" t="n">
        <f aca="false">ABS(K359)/$P$3</f>
        <v>0</v>
      </c>
      <c r="X359" s="124" t="n">
        <f aca="false">ABS(L359)/$P$3</f>
        <v>0</v>
      </c>
      <c r="Y359" s="124" t="n">
        <f aca="false">ABS(M359)/$P$3</f>
        <v>0</v>
      </c>
      <c r="Z359" s="124" t="n">
        <f aca="false">ABS(N359)/$P$3</f>
        <v>0</v>
      </c>
    </row>
    <row r="360" customFormat="false" ht="12.75" hidden="false" customHeight="false" outlineLevel="0" collapsed="false">
      <c r="A360" s="120" t="n">
        <f aca="false">A359+1</f>
        <v>37246</v>
      </c>
      <c r="B360" s="131" t="str">
        <f aca="false">INDEX('Master Data'!$A$2:$B$8,MATCH(WEEKDAY('RAC V@r Total'!A360,3),'Master Data'!$A$2:$A$8,0),2)</f>
        <v>F</v>
      </c>
      <c r="D360" s="124" t="n">
        <v>0</v>
      </c>
      <c r="E360" s="124" t="n">
        <v>0</v>
      </c>
      <c r="F360" s="124" t="n">
        <v>0</v>
      </c>
      <c r="G360" s="124" t="n">
        <v>0</v>
      </c>
      <c r="H360" s="124" t="n">
        <v>0</v>
      </c>
      <c r="I360" s="124" t="n">
        <v>0</v>
      </c>
      <c r="J360" s="124" t="n">
        <v>0</v>
      </c>
      <c r="K360" s="124" t="n">
        <v>0</v>
      </c>
      <c r="L360" s="124" t="n">
        <v>0</v>
      </c>
      <c r="M360" s="124" t="n">
        <v>0</v>
      </c>
      <c r="N360" s="124" t="n">
        <v>0</v>
      </c>
      <c r="P360" s="124" t="n">
        <f aca="false">ABS(D360)/$P$3</f>
        <v>0</v>
      </c>
      <c r="Q360" s="124" t="n">
        <f aca="false">ABS(E360)/$P$3</f>
        <v>0</v>
      </c>
      <c r="R360" s="124" t="n">
        <f aca="false">ABS(F360)/$P$3</f>
        <v>0</v>
      </c>
      <c r="S360" s="124" t="n">
        <f aca="false">ABS(G360)/$P$3</f>
        <v>0</v>
      </c>
      <c r="T360" s="124" t="n">
        <f aca="false">ABS(H360)/$P$3</f>
        <v>0</v>
      </c>
      <c r="U360" s="124" t="n">
        <f aca="false">ABS(I360)/$P$3</f>
        <v>0</v>
      </c>
      <c r="V360" s="124" t="n">
        <f aca="false">ABS(J360)/$P$3</f>
        <v>0</v>
      </c>
      <c r="W360" s="124" t="n">
        <f aca="false">ABS(K360)/$P$3</f>
        <v>0</v>
      </c>
      <c r="X360" s="124" t="n">
        <f aca="false">ABS(L360)/$P$3</f>
        <v>0</v>
      </c>
      <c r="Y360" s="124" t="n">
        <f aca="false">ABS(M360)/$P$3</f>
        <v>0</v>
      </c>
      <c r="Z360" s="124" t="n">
        <f aca="false">ABS(N360)/$P$3</f>
        <v>0</v>
      </c>
    </row>
    <row r="361" customFormat="false" ht="12.75" hidden="false" customHeight="false" outlineLevel="0" collapsed="false">
      <c r="A361" s="120" t="n">
        <f aca="false">A360+1</f>
        <v>37247</v>
      </c>
      <c r="B361" s="131" t="str">
        <f aca="false">INDEX('Master Data'!$A$2:$B$8,MATCH(WEEKDAY('RAC V@r Total'!A361,3),'Master Data'!$A$2:$A$8,0),2)</f>
        <v>Sa</v>
      </c>
      <c r="D361" s="124" t="n">
        <v>0</v>
      </c>
      <c r="E361" s="124" t="n">
        <v>0</v>
      </c>
      <c r="F361" s="124" t="n">
        <v>0</v>
      </c>
      <c r="G361" s="124" t="n">
        <v>0</v>
      </c>
      <c r="H361" s="124" t="n">
        <v>0</v>
      </c>
      <c r="I361" s="124" t="n">
        <v>0</v>
      </c>
      <c r="J361" s="124" t="n">
        <v>0</v>
      </c>
      <c r="K361" s="124" t="n">
        <v>0</v>
      </c>
      <c r="L361" s="124" t="n">
        <v>0</v>
      </c>
      <c r="M361" s="124" t="n">
        <v>0</v>
      </c>
      <c r="N361" s="124" t="n">
        <v>0</v>
      </c>
      <c r="P361" s="124" t="n">
        <f aca="false">ABS(D361)/$P$3</f>
        <v>0</v>
      </c>
      <c r="Q361" s="124" t="n">
        <f aca="false">ABS(E361)/$P$3</f>
        <v>0</v>
      </c>
      <c r="R361" s="124" t="n">
        <f aca="false">ABS(F361)/$P$3</f>
        <v>0</v>
      </c>
      <c r="S361" s="124" t="n">
        <f aca="false">ABS(G361)/$P$3</f>
        <v>0</v>
      </c>
      <c r="T361" s="124" t="n">
        <f aca="false">ABS(H361)/$P$3</f>
        <v>0</v>
      </c>
      <c r="U361" s="124" t="n">
        <f aca="false">ABS(I361)/$P$3</f>
        <v>0</v>
      </c>
      <c r="V361" s="124" t="n">
        <f aca="false">ABS(J361)/$P$3</f>
        <v>0</v>
      </c>
      <c r="W361" s="124" t="n">
        <f aca="false">ABS(K361)/$P$3</f>
        <v>0</v>
      </c>
      <c r="X361" s="124" t="n">
        <f aca="false">ABS(L361)/$P$3</f>
        <v>0</v>
      </c>
      <c r="Y361" s="124" t="n">
        <f aca="false">ABS(M361)/$P$3</f>
        <v>0</v>
      </c>
      <c r="Z361" s="124" t="n">
        <f aca="false">ABS(N361)/$P$3</f>
        <v>0</v>
      </c>
    </row>
    <row r="362" customFormat="false" ht="12.75" hidden="false" customHeight="false" outlineLevel="0" collapsed="false">
      <c r="A362" s="120" t="n">
        <f aca="false">A361+1</f>
        <v>37248</v>
      </c>
      <c r="B362" s="131" t="str">
        <f aca="false">INDEX('Master Data'!$A$2:$B$8,MATCH(WEEKDAY('RAC V@r Total'!A362,3),'Master Data'!$A$2:$A$8,0),2)</f>
        <v>Su</v>
      </c>
      <c r="D362" s="124" t="n">
        <v>0</v>
      </c>
      <c r="E362" s="124" t="n">
        <v>0</v>
      </c>
      <c r="F362" s="124" t="n">
        <v>0</v>
      </c>
      <c r="G362" s="124" t="n">
        <v>0</v>
      </c>
      <c r="H362" s="124" t="n">
        <v>0</v>
      </c>
      <c r="I362" s="124" t="n">
        <v>0</v>
      </c>
      <c r="J362" s="124" t="n">
        <v>0</v>
      </c>
      <c r="K362" s="124" t="n">
        <v>0</v>
      </c>
      <c r="L362" s="124" t="n">
        <v>0</v>
      </c>
      <c r="M362" s="124" t="n">
        <v>0</v>
      </c>
      <c r="N362" s="124" t="n">
        <v>0</v>
      </c>
      <c r="P362" s="124" t="n">
        <f aca="false">ABS(D362)/$P$3</f>
        <v>0</v>
      </c>
      <c r="Q362" s="124" t="n">
        <f aca="false">ABS(E362)/$P$3</f>
        <v>0</v>
      </c>
      <c r="R362" s="124" t="n">
        <f aca="false">ABS(F362)/$P$3</f>
        <v>0</v>
      </c>
      <c r="S362" s="124" t="n">
        <f aca="false">ABS(G362)/$P$3</f>
        <v>0</v>
      </c>
      <c r="T362" s="124" t="n">
        <f aca="false">ABS(H362)/$P$3</f>
        <v>0</v>
      </c>
      <c r="U362" s="124" t="n">
        <f aca="false">ABS(I362)/$P$3</f>
        <v>0</v>
      </c>
      <c r="V362" s="124" t="n">
        <f aca="false">ABS(J362)/$P$3</f>
        <v>0</v>
      </c>
      <c r="W362" s="124" t="n">
        <f aca="false">ABS(K362)/$P$3</f>
        <v>0</v>
      </c>
      <c r="X362" s="124" t="n">
        <f aca="false">ABS(L362)/$P$3</f>
        <v>0</v>
      </c>
      <c r="Y362" s="124" t="n">
        <f aca="false">ABS(M362)/$P$3</f>
        <v>0</v>
      </c>
      <c r="Z362" s="124" t="n">
        <f aca="false">ABS(N362)/$P$3</f>
        <v>0</v>
      </c>
    </row>
    <row r="363" customFormat="false" ht="12.75" hidden="false" customHeight="false" outlineLevel="0" collapsed="false">
      <c r="A363" s="120" t="n">
        <f aca="false">A362+1</f>
        <v>37249</v>
      </c>
      <c r="B363" s="131" t="str">
        <f aca="false">INDEX('Master Data'!$A$2:$B$8,MATCH(WEEKDAY('RAC V@r Total'!A363,3),'Master Data'!$A$2:$A$8,0),2)</f>
        <v>M</v>
      </c>
      <c r="D363" s="124" t="n">
        <v>0</v>
      </c>
      <c r="E363" s="124" t="n">
        <v>0</v>
      </c>
      <c r="F363" s="124" t="n">
        <v>0</v>
      </c>
      <c r="G363" s="124" t="n">
        <v>0</v>
      </c>
      <c r="H363" s="124" t="n">
        <v>0</v>
      </c>
      <c r="I363" s="124" t="n">
        <v>0</v>
      </c>
      <c r="J363" s="124" t="n">
        <v>0</v>
      </c>
      <c r="K363" s="124" t="n">
        <v>0</v>
      </c>
      <c r="L363" s="124" t="n">
        <v>0</v>
      </c>
      <c r="M363" s="124" t="n">
        <v>0</v>
      </c>
      <c r="N363" s="124" t="n">
        <v>0</v>
      </c>
      <c r="P363" s="124" t="n">
        <f aca="false">ABS(D363)/$P$3</f>
        <v>0</v>
      </c>
      <c r="Q363" s="124" t="n">
        <f aca="false">ABS(E363)/$P$3</f>
        <v>0</v>
      </c>
      <c r="R363" s="124" t="n">
        <f aca="false">ABS(F363)/$P$3</f>
        <v>0</v>
      </c>
      <c r="S363" s="124" t="n">
        <f aca="false">ABS(G363)/$P$3</f>
        <v>0</v>
      </c>
      <c r="T363" s="124" t="n">
        <f aca="false">ABS(H363)/$P$3</f>
        <v>0</v>
      </c>
      <c r="U363" s="124" t="n">
        <f aca="false">ABS(I363)/$P$3</f>
        <v>0</v>
      </c>
      <c r="V363" s="124" t="n">
        <f aca="false">ABS(J363)/$P$3</f>
        <v>0</v>
      </c>
      <c r="W363" s="124" t="n">
        <f aca="false">ABS(K363)/$P$3</f>
        <v>0</v>
      </c>
      <c r="X363" s="124" t="n">
        <f aca="false">ABS(L363)/$P$3</f>
        <v>0</v>
      </c>
      <c r="Y363" s="124" t="n">
        <f aca="false">ABS(M363)/$P$3</f>
        <v>0</v>
      </c>
      <c r="Z363" s="124" t="n">
        <f aca="false">ABS(N363)/$P$3</f>
        <v>0</v>
      </c>
    </row>
    <row r="364" customFormat="false" ht="12.75" hidden="false" customHeight="false" outlineLevel="0" collapsed="false">
      <c r="A364" s="120" t="n">
        <f aca="false">A363+1</f>
        <v>37250</v>
      </c>
      <c r="B364" s="131" t="str">
        <f aca="false">INDEX('Master Data'!$A$2:$B$8,MATCH(WEEKDAY('RAC V@r Total'!A364,3),'Master Data'!$A$2:$A$8,0),2)</f>
        <v>T</v>
      </c>
      <c r="D364" s="124" t="n">
        <v>0</v>
      </c>
      <c r="E364" s="124" t="n">
        <v>0</v>
      </c>
      <c r="F364" s="124" t="n">
        <v>0</v>
      </c>
      <c r="G364" s="124" t="n">
        <v>0</v>
      </c>
      <c r="H364" s="124" t="n">
        <v>0</v>
      </c>
      <c r="I364" s="124" t="n">
        <v>0</v>
      </c>
      <c r="J364" s="124" t="n">
        <v>0</v>
      </c>
      <c r="K364" s="124" t="n">
        <v>0</v>
      </c>
      <c r="L364" s="124" t="n">
        <v>0</v>
      </c>
      <c r="M364" s="124" t="n">
        <v>0</v>
      </c>
      <c r="N364" s="124" t="n">
        <v>0</v>
      </c>
      <c r="P364" s="124" t="n">
        <f aca="false">ABS(D364)/$P$3</f>
        <v>0</v>
      </c>
      <c r="Q364" s="124" t="n">
        <f aca="false">ABS(E364)/$P$3</f>
        <v>0</v>
      </c>
      <c r="R364" s="124" t="n">
        <f aca="false">ABS(F364)/$P$3</f>
        <v>0</v>
      </c>
      <c r="S364" s="124" t="n">
        <f aca="false">ABS(G364)/$P$3</f>
        <v>0</v>
      </c>
      <c r="T364" s="124" t="n">
        <f aca="false">ABS(H364)/$P$3</f>
        <v>0</v>
      </c>
      <c r="U364" s="124" t="n">
        <f aca="false">ABS(I364)/$P$3</f>
        <v>0</v>
      </c>
      <c r="V364" s="124" t="n">
        <f aca="false">ABS(J364)/$P$3</f>
        <v>0</v>
      </c>
      <c r="W364" s="124" t="n">
        <f aca="false">ABS(K364)/$P$3</f>
        <v>0</v>
      </c>
      <c r="X364" s="124" t="n">
        <f aca="false">ABS(L364)/$P$3</f>
        <v>0</v>
      </c>
      <c r="Y364" s="124" t="n">
        <f aca="false">ABS(M364)/$P$3</f>
        <v>0</v>
      </c>
      <c r="Z364" s="124" t="n">
        <f aca="false">ABS(N364)/$P$3</f>
        <v>0</v>
      </c>
    </row>
    <row r="365" customFormat="false" ht="12.75" hidden="false" customHeight="false" outlineLevel="0" collapsed="false">
      <c r="A365" s="120" t="n">
        <f aca="false">A364+1</f>
        <v>37251</v>
      </c>
      <c r="B365" s="131" t="str">
        <f aca="false">INDEX('Master Data'!$A$2:$B$8,MATCH(WEEKDAY('RAC V@r Total'!A365,3),'Master Data'!$A$2:$A$8,0),2)</f>
        <v>W</v>
      </c>
      <c r="D365" s="124" t="n">
        <v>0</v>
      </c>
      <c r="E365" s="124" t="n">
        <v>0</v>
      </c>
      <c r="F365" s="124" t="n">
        <v>0</v>
      </c>
      <c r="G365" s="124" t="n">
        <v>0</v>
      </c>
      <c r="H365" s="124" t="n">
        <v>0</v>
      </c>
      <c r="I365" s="124" t="n">
        <v>0</v>
      </c>
      <c r="J365" s="124" t="n">
        <v>0</v>
      </c>
      <c r="K365" s="124" t="n">
        <v>0</v>
      </c>
      <c r="L365" s="124" t="n">
        <v>0</v>
      </c>
      <c r="M365" s="124" t="n">
        <v>0</v>
      </c>
      <c r="N365" s="124" t="n">
        <v>0</v>
      </c>
      <c r="P365" s="124" t="n">
        <f aca="false">ABS(D365)/$P$3</f>
        <v>0</v>
      </c>
      <c r="Q365" s="124" t="n">
        <f aca="false">ABS(E365)/$P$3</f>
        <v>0</v>
      </c>
      <c r="R365" s="124" t="n">
        <f aca="false">ABS(F365)/$P$3</f>
        <v>0</v>
      </c>
      <c r="S365" s="124" t="n">
        <f aca="false">ABS(G365)/$P$3</f>
        <v>0</v>
      </c>
      <c r="T365" s="124" t="n">
        <f aca="false">ABS(H365)/$P$3</f>
        <v>0</v>
      </c>
      <c r="U365" s="124" t="n">
        <f aca="false">ABS(I365)/$P$3</f>
        <v>0</v>
      </c>
      <c r="V365" s="124" t="n">
        <f aca="false">ABS(J365)/$P$3</f>
        <v>0</v>
      </c>
      <c r="W365" s="124" t="n">
        <f aca="false">ABS(K365)/$P$3</f>
        <v>0</v>
      </c>
      <c r="X365" s="124" t="n">
        <f aca="false">ABS(L365)/$P$3</f>
        <v>0</v>
      </c>
      <c r="Y365" s="124" t="n">
        <f aca="false">ABS(M365)/$P$3</f>
        <v>0</v>
      </c>
      <c r="Z365" s="124" t="n">
        <f aca="false">ABS(N365)/$P$3</f>
        <v>0</v>
      </c>
    </row>
    <row r="366" customFormat="false" ht="12.75" hidden="false" customHeight="false" outlineLevel="0" collapsed="false">
      <c r="A366" s="120" t="n">
        <f aca="false">A365+1</f>
        <v>37252</v>
      </c>
      <c r="B366" s="131" t="str">
        <f aca="false">INDEX('Master Data'!$A$2:$B$8,MATCH(WEEKDAY('RAC V@r Total'!A366,3),'Master Data'!$A$2:$A$8,0),2)</f>
        <v>Th</v>
      </c>
      <c r="D366" s="124" t="n">
        <v>0</v>
      </c>
      <c r="E366" s="124" t="n">
        <v>0</v>
      </c>
      <c r="F366" s="124" t="n">
        <v>0</v>
      </c>
      <c r="G366" s="124" t="n">
        <v>0</v>
      </c>
      <c r="H366" s="124" t="n">
        <v>0</v>
      </c>
      <c r="I366" s="124" t="n">
        <v>0</v>
      </c>
      <c r="J366" s="124" t="n">
        <v>0</v>
      </c>
      <c r="K366" s="124" t="n">
        <v>0</v>
      </c>
      <c r="L366" s="124" t="n">
        <v>0</v>
      </c>
      <c r="M366" s="124" t="n">
        <v>0</v>
      </c>
      <c r="N366" s="124" t="n">
        <v>0</v>
      </c>
      <c r="P366" s="124" t="n">
        <f aca="false">ABS(D366)/$P$3</f>
        <v>0</v>
      </c>
      <c r="Q366" s="124" t="n">
        <f aca="false">ABS(E366)/$P$3</f>
        <v>0</v>
      </c>
      <c r="R366" s="124" t="n">
        <f aca="false">ABS(F366)/$P$3</f>
        <v>0</v>
      </c>
      <c r="S366" s="124" t="n">
        <f aca="false">ABS(G366)/$P$3</f>
        <v>0</v>
      </c>
      <c r="T366" s="124" t="n">
        <f aca="false">ABS(H366)/$P$3</f>
        <v>0</v>
      </c>
      <c r="U366" s="124" t="n">
        <f aca="false">ABS(I366)/$P$3</f>
        <v>0</v>
      </c>
      <c r="V366" s="124" t="n">
        <f aca="false">ABS(J366)/$P$3</f>
        <v>0</v>
      </c>
      <c r="W366" s="124" t="n">
        <f aca="false">ABS(K366)/$P$3</f>
        <v>0</v>
      </c>
      <c r="X366" s="124" t="n">
        <f aca="false">ABS(L366)/$P$3</f>
        <v>0</v>
      </c>
      <c r="Y366" s="124" t="n">
        <f aca="false">ABS(M366)/$P$3</f>
        <v>0</v>
      </c>
      <c r="Z366" s="124" t="n">
        <f aca="false">ABS(N366)/$P$3</f>
        <v>0</v>
      </c>
    </row>
    <row r="367" customFormat="false" ht="12.75" hidden="false" customHeight="false" outlineLevel="0" collapsed="false">
      <c r="A367" s="120" t="n">
        <f aca="false">A366+1</f>
        <v>37253</v>
      </c>
      <c r="B367" s="131" t="str">
        <f aca="false">INDEX('Master Data'!$A$2:$B$8,MATCH(WEEKDAY('RAC V@r Total'!A367,3),'Master Data'!$A$2:$A$8,0),2)</f>
        <v>F</v>
      </c>
      <c r="D367" s="124" t="n">
        <v>0</v>
      </c>
      <c r="E367" s="124" t="n">
        <v>0</v>
      </c>
      <c r="F367" s="124" t="n">
        <v>0</v>
      </c>
      <c r="G367" s="124" t="n">
        <v>0</v>
      </c>
      <c r="H367" s="124" t="n">
        <v>0</v>
      </c>
      <c r="I367" s="124" t="n">
        <v>0</v>
      </c>
      <c r="J367" s="124" t="n">
        <v>0</v>
      </c>
      <c r="K367" s="124" t="n">
        <v>0</v>
      </c>
      <c r="L367" s="124" t="n">
        <v>0</v>
      </c>
      <c r="M367" s="124" t="n">
        <v>0</v>
      </c>
      <c r="N367" s="124" t="n">
        <v>0</v>
      </c>
      <c r="P367" s="124" t="n">
        <f aca="false">ABS(D367)/$P$3</f>
        <v>0</v>
      </c>
      <c r="Q367" s="124" t="n">
        <f aca="false">ABS(E367)/$P$3</f>
        <v>0</v>
      </c>
      <c r="R367" s="124" t="n">
        <f aca="false">ABS(F367)/$P$3</f>
        <v>0</v>
      </c>
      <c r="S367" s="124" t="n">
        <f aca="false">ABS(G367)/$P$3</f>
        <v>0</v>
      </c>
      <c r="T367" s="124" t="n">
        <f aca="false">ABS(H367)/$P$3</f>
        <v>0</v>
      </c>
      <c r="U367" s="124" t="n">
        <f aca="false">ABS(I367)/$P$3</f>
        <v>0</v>
      </c>
      <c r="V367" s="124" t="n">
        <f aca="false">ABS(J367)/$P$3</f>
        <v>0</v>
      </c>
      <c r="W367" s="124" t="n">
        <f aca="false">ABS(K367)/$P$3</f>
        <v>0</v>
      </c>
      <c r="X367" s="124" t="n">
        <f aca="false">ABS(L367)/$P$3</f>
        <v>0</v>
      </c>
      <c r="Y367" s="124" t="n">
        <f aca="false">ABS(M367)/$P$3</f>
        <v>0</v>
      </c>
      <c r="Z367" s="124" t="n">
        <f aca="false">ABS(N367)/$P$3</f>
        <v>0</v>
      </c>
    </row>
    <row r="368" customFormat="false" ht="12.75" hidden="false" customHeight="false" outlineLevel="0" collapsed="false">
      <c r="A368" s="120" t="n">
        <f aca="false">A367+1</f>
        <v>37254</v>
      </c>
      <c r="B368" s="131" t="str">
        <f aca="false">INDEX('Master Data'!$A$2:$B$8,MATCH(WEEKDAY('RAC V@r Total'!A368,3),'Master Data'!$A$2:$A$8,0),2)</f>
        <v>Sa</v>
      </c>
      <c r="D368" s="124" t="n">
        <v>0</v>
      </c>
      <c r="E368" s="124" t="n">
        <v>0</v>
      </c>
      <c r="F368" s="124" t="n">
        <v>0</v>
      </c>
      <c r="G368" s="124" t="n">
        <v>0</v>
      </c>
      <c r="H368" s="124" t="n">
        <v>0</v>
      </c>
      <c r="I368" s="124" t="n">
        <v>0</v>
      </c>
      <c r="J368" s="124" t="n">
        <v>0</v>
      </c>
      <c r="K368" s="124" t="n">
        <v>0</v>
      </c>
      <c r="L368" s="124" t="n">
        <v>0</v>
      </c>
      <c r="M368" s="124" t="n">
        <v>0</v>
      </c>
      <c r="N368" s="124" t="n">
        <v>0</v>
      </c>
      <c r="P368" s="124" t="n">
        <f aca="false">ABS(D368)/$P$3</f>
        <v>0</v>
      </c>
      <c r="Q368" s="124" t="n">
        <f aca="false">ABS(E368)/$P$3</f>
        <v>0</v>
      </c>
      <c r="R368" s="124" t="n">
        <f aca="false">ABS(F368)/$P$3</f>
        <v>0</v>
      </c>
      <c r="S368" s="124" t="n">
        <f aca="false">ABS(G368)/$P$3</f>
        <v>0</v>
      </c>
      <c r="T368" s="124" t="n">
        <f aca="false">ABS(H368)/$P$3</f>
        <v>0</v>
      </c>
      <c r="U368" s="124" t="n">
        <f aca="false">ABS(I368)/$P$3</f>
        <v>0</v>
      </c>
      <c r="V368" s="124" t="n">
        <f aca="false">ABS(J368)/$P$3</f>
        <v>0</v>
      </c>
      <c r="W368" s="124" t="n">
        <f aca="false">ABS(K368)/$P$3</f>
        <v>0</v>
      </c>
      <c r="X368" s="124" t="n">
        <f aca="false">ABS(L368)/$P$3</f>
        <v>0</v>
      </c>
      <c r="Y368" s="124" t="n">
        <f aca="false">ABS(M368)/$P$3</f>
        <v>0</v>
      </c>
      <c r="Z368" s="124" t="n">
        <f aca="false">ABS(N368)/$P$3</f>
        <v>0</v>
      </c>
    </row>
    <row r="369" customFormat="false" ht="12.75" hidden="false" customHeight="false" outlineLevel="0" collapsed="false">
      <c r="A369" s="120" t="n">
        <f aca="false">A368+1</f>
        <v>37255</v>
      </c>
      <c r="B369" s="131" t="str">
        <f aca="false">INDEX('Master Data'!$A$2:$B$8,MATCH(WEEKDAY('RAC V@r Total'!A369,3),'Master Data'!$A$2:$A$8,0),2)</f>
        <v>Su</v>
      </c>
      <c r="D369" s="124" t="n">
        <v>0</v>
      </c>
      <c r="E369" s="124" t="n">
        <v>0</v>
      </c>
      <c r="F369" s="124" t="n">
        <v>0</v>
      </c>
      <c r="G369" s="124" t="n">
        <v>0</v>
      </c>
      <c r="H369" s="124" t="n">
        <v>0</v>
      </c>
      <c r="I369" s="124" t="n">
        <v>0</v>
      </c>
      <c r="J369" s="124" t="n">
        <v>0</v>
      </c>
      <c r="K369" s="124" t="n">
        <v>0</v>
      </c>
      <c r="L369" s="124" t="n">
        <v>0</v>
      </c>
      <c r="M369" s="124" t="n">
        <v>0</v>
      </c>
      <c r="N369" s="124" t="n">
        <v>0</v>
      </c>
      <c r="P369" s="124" t="n">
        <f aca="false">ABS(D369)/$P$3</f>
        <v>0</v>
      </c>
      <c r="Q369" s="124" t="n">
        <f aca="false">ABS(E369)/$P$3</f>
        <v>0</v>
      </c>
      <c r="R369" s="124" t="n">
        <f aca="false">ABS(F369)/$P$3</f>
        <v>0</v>
      </c>
      <c r="S369" s="124" t="n">
        <f aca="false">ABS(G369)/$P$3</f>
        <v>0</v>
      </c>
      <c r="T369" s="124" t="n">
        <f aca="false">ABS(H369)/$P$3</f>
        <v>0</v>
      </c>
      <c r="U369" s="124" t="n">
        <f aca="false">ABS(I369)/$P$3</f>
        <v>0</v>
      </c>
      <c r="V369" s="124" t="n">
        <f aca="false">ABS(J369)/$P$3</f>
        <v>0</v>
      </c>
      <c r="W369" s="124" t="n">
        <f aca="false">ABS(K369)/$P$3</f>
        <v>0</v>
      </c>
      <c r="X369" s="124" t="n">
        <f aca="false">ABS(L369)/$P$3</f>
        <v>0</v>
      </c>
      <c r="Y369" s="124" t="n">
        <f aca="false">ABS(M369)/$P$3</f>
        <v>0</v>
      </c>
      <c r="Z369" s="124" t="n">
        <f aca="false">ABS(N369)/$P$3</f>
        <v>0</v>
      </c>
    </row>
    <row r="370" customFormat="false" ht="12.75" hidden="false" customHeight="false" outlineLevel="0" collapsed="false">
      <c r="A370" s="120" t="n">
        <f aca="false">A369+1</f>
        <v>37256</v>
      </c>
      <c r="B370" s="131" t="str">
        <f aca="false">INDEX('Master Data'!$A$2:$B$8,MATCH(WEEKDAY('RAC V@r Total'!A370,3),'Master Data'!$A$2:$A$8,0),2)</f>
        <v>M</v>
      </c>
      <c r="D370" s="124" t="n">
        <v>0</v>
      </c>
      <c r="E370" s="124" t="n">
        <v>0</v>
      </c>
      <c r="F370" s="124" t="n">
        <v>0</v>
      </c>
      <c r="G370" s="124" t="n">
        <v>0</v>
      </c>
      <c r="H370" s="124" t="n">
        <v>0</v>
      </c>
      <c r="I370" s="124" t="n">
        <v>0</v>
      </c>
      <c r="J370" s="124" t="n">
        <v>0</v>
      </c>
      <c r="K370" s="124" t="n">
        <v>0</v>
      </c>
      <c r="L370" s="124" t="n">
        <v>0</v>
      </c>
      <c r="M370" s="124" t="n">
        <v>0</v>
      </c>
      <c r="N370" s="124" t="n">
        <v>0</v>
      </c>
      <c r="P370" s="124" t="n">
        <f aca="false">ABS(D370)/$P$3</f>
        <v>0</v>
      </c>
      <c r="Q370" s="124" t="n">
        <f aca="false">ABS(E370)/$P$3</f>
        <v>0</v>
      </c>
      <c r="R370" s="124" t="n">
        <f aca="false">ABS(F370)/$P$3</f>
        <v>0</v>
      </c>
      <c r="S370" s="124" t="n">
        <f aca="false">ABS(G370)/$P$3</f>
        <v>0</v>
      </c>
      <c r="T370" s="124" t="n">
        <f aca="false">ABS(H370)/$P$3</f>
        <v>0</v>
      </c>
      <c r="U370" s="124" t="n">
        <f aca="false">ABS(I370)/$P$3</f>
        <v>0</v>
      </c>
      <c r="V370" s="124" t="n">
        <f aca="false">ABS(J370)/$P$3</f>
        <v>0</v>
      </c>
      <c r="W370" s="124" t="n">
        <f aca="false">ABS(K370)/$P$3</f>
        <v>0</v>
      </c>
      <c r="X370" s="124" t="n">
        <f aca="false">ABS(L370)/$P$3</f>
        <v>0</v>
      </c>
      <c r="Y370" s="124" t="n">
        <f aca="false">ABS(M370)/$P$3</f>
        <v>0</v>
      </c>
      <c r="Z370" s="124" t="n">
        <f aca="false">ABS(N370)/$P$3</f>
        <v>0</v>
      </c>
    </row>
    <row r="371" customFormat="false" ht="12.75" hidden="false" customHeight="false" outlineLevel="0" collapsed="false">
      <c r="A371" s="120" t="n">
        <f aca="false">A370+1</f>
        <v>37257</v>
      </c>
      <c r="B371" s="131" t="str">
        <f aca="false">INDEX('Master Data'!$A$2:$B$8,MATCH(WEEKDAY('RAC V@r Total'!A371,3),'Master Data'!$A$2:$A$8,0),2)</f>
        <v>T</v>
      </c>
      <c r="D371" s="124" t="n">
        <v>0</v>
      </c>
      <c r="E371" s="124" t="n">
        <v>0</v>
      </c>
      <c r="F371" s="124" t="n">
        <v>0</v>
      </c>
      <c r="G371" s="124" t="n">
        <v>0</v>
      </c>
      <c r="H371" s="124" t="n">
        <v>0</v>
      </c>
      <c r="I371" s="124" t="n">
        <v>0</v>
      </c>
      <c r="J371" s="124" t="n">
        <v>0</v>
      </c>
      <c r="K371" s="124" t="n">
        <v>0</v>
      </c>
      <c r="L371" s="124" t="n">
        <v>0</v>
      </c>
      <c r="M371" s="124" t="n">
        <v>0</v>
      </c>
      <c r="N371" s="124" t="n">
        <v>0</v>
      </c>
      <c r="P371" s="124" t="n">
        <f aca="false">ABS(D371)/$P$3</f>
        <v>0</v>
      </c>
      <c r="Q371" s="124" t="n">
        <f aca="false">ABS(E371)/$P$3</f>
        <v>0</v>
      </c>
      <c r="R371" s="124" t="n">
        <f aca="false">ABS(F371)/$P$3</f>
        <v>0</v>
      </c>
      <c r="S371" s="124" t="n">
        <f aca="false">ABS(G371)/$P$3</f>
        <v>0</v>
      </c>
      <c r="T371" s="124" t="n">
        <f aca="false">ABS(H371)/$P$3</f>
        <v>0</v>
      </c>
      <c r="U371" s="124" t="n">
        <f aca="false">ABS(I371)/$P$3</f>
        <v>0</v>
      </c>
      <c r="V371" s="124" t="n">
        <f aca="false">ABS(J371)/$P$3</f>
        <v>0</v>
      </c>
      <c r="W371" s="124" t="n">
        <f aca="false">ABS(K371)/$P$3</f>
        <v>0</v>
      </c>
      <c r="X371" s="124" t="n">
        <f aca="false">ABS(L371)/$P$3</f>
        <v>0</v>
      </c>
      <c r="Y371" s="124" t="n">
        <f aca="false">ABS(M371)/$P$3</f>
        <v>0</v>
      </c>
      <c r="Z371" s="124" t="n">
        <f aca="false">ABS(N371)/$P$3</f>
        <v>0</v>
      </c>
    </row>
    <row r="372" customFormat="false" ht="12.75" hidden="false" customHeight="false" outlineLevel="0" collapsed="false">
      <c r="D372" s="124"/>
      <c r="E372" s="124"/>
      <c r="F372" s="124"/>
      <c r="G372" s="124"/>
      <c r="H372" s="124"/>
      <c r="I372" s="124"/>
      <c r="J372" s="124"/>
      <c r="K372" s="124"/>
      <c r="L372" s="124"/>
      <c r="M372" s="124"/>
      <c r="N372" s="124"/>
    </row>
  </sheetData>
  <mergeCells count="1">
    <mergeCell ref="P4:Z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310" activeCellId="0" sqref="E310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20" width="7.28"/>
    <col collapsed="false" customWidth="true" hidden="false" outlineLevel="0" max="2" min="2" style="121" width="4.14"/>
    <col collapsed="false" customWidth="true" hidden="false" outlineLevel="0" max="3" min="3" style="122" width="2.7"/>
    <col collapsed="false" customWidth="true" hidden="false" outlineLevel="0" max="7" min="4" style="121" width="14.99"/>
    <col collapsed="false" customWidth="true" hidden="false" outlineLevel="0" max="8" min="8" style="122" width="2.7"/>
    <col collapsed="false" customWidth="true" hidden="false" outlineLevel="0" max="9" min="9" style="123" width="13.14"/>
    <col collapsed="false" customWidth="true" hidden="false" outlineLevel="0" max="10" min="10" style="124" width="13.14"/>
    <col collapsed="false" customWidth="true" hidden="false" outlineLevel="0" max="11" min="11" style="124" width="10.99"/>
    <col collapsed="false" customWidth="true" hidden="false" outlineLevel="0" max="14" min="12" style="124" width="13.14"/>
    <col collapsed="false" customWidth="true" hidden="false" outlineLevel="0" max="15" min="15" style="125" width="2.7"/>
    <col collapsed="false" customWidth="true" hidden="false" outlineLevel="0" max="18" min="16" style="121" width="16.13"/>
    <col collapsed="false" customWidth="true" hidden="false" outlineLevel="0" max="23" min="19" style="126" width="12.7"/>
    <col collapsed="false" customWidth="false" hidden="false" outlineLevel="0" max="257" min="24" style="121" width="9.14"/>
  </cols>
  <sheetData>
    <row r="1" customFormat="false" ht="12.75" hidden="false" customHeight="false" outlineLevel="0" collapsed="false">
      <c r="A1" s="127" t="n">
        <v>1</v>
      </c>
      <c r="B1" s="121" t="n">
        <f aca="false">+A1+1</f>
        <v>2</v>
      </c>
      <c r="C1" s="122" t="n">
        <f aca="false">+B1+1</f>
        <v>3</v>
      </c>
      <c r="D1" s="121" t="n">
        <f aca="false">+C1+1</f>
        <v>4</v>
      </c>
      <c r="E1" s="121" t="n">
        <f aca="false">+D1+1</f>
        <v>5</v>
      </c>
      <c r="F1" s="121" t="n">
        <f aca="false">+E1+1</f>
        <v>6</v>
      </c>
      <c r="G1" s="121" t="n">
        <f aca="false">+F1+1</f>
        <v>7</v>
      </c>
      <c r="H1" s="122" t="n">
        <f aca="false">+G1+1</f>
        <v>8</v>
      </c>
      <c r="I1" s="123" t="n">
        <f aca="false">+H1+1</f>
        <v>9</v>
      </c>
      <c r="J1" s="124" t="n">
        <f aca="false">+I1+1</f>
        <v>10</v>
      </c>
      <c r="K1" s="124" t="n">
        <f aca="false">+J1+1</f>
        <v>11</v>
      </c>
      <c r="L1" s="124" t="n">
        <f aca="false">+K1+1</f>
        <v>12</v>
      </c>
      <c r="M1" s="124" t="n">
        <f aca="false">+L1+1</f>
        <v>13</v>
      </c>
      <c r="N1" s="124" t="n">
        <f aca="false">+M1+1</f>
        <v>14</v>
      </c>
      <c r="O1" s="125" t="n">
        <f aca="false">+N1+1</f>
        <v>15</v>
      </c>
      <c r="P1" s="121" t="n">
        <f aca="false">+O1+1</f>
        <v>16</v>
      </c>
      <c r="Q1" s="121" t="n">
        <f aca="false">+P1+1</f>
        <v>17</v>
      </c>
      <c r="R1" s="121" t="n">
        <f aca="false">+Q1+1</f>
        <v>18</v>
      </c>
      <c r="S1" s="121" t="n">
        <f aca="false">+R1+1</f>
        <v>19</v>
      </c>
      <c r="T1" s="121" t="n">
        <f aca="false">+S1+1</f>
        <v>20</v>
      </c>
      <c r="U1" s="121" t="n">
        <f aca="false">+T1+1</f>
        <v>21</v>
      </c>
      <c r="V1" s="121" t="n">
        <f aca="false">+U1+1</f>
        <v>22</v>
      </c>
      <c r="W1" s="121" t="n">
        <f aca="false">+V1+1</f>
        <v>23</v>
      </c>
    </row>
    <row r="2" customFormat="false" ht="12.75" hidden="false" customHeight="false" outlineLevel="0" collapsed="false">
      <c r="K2" s="128" t="n">
        <f aca="false">WORKDAY(K3,-4)</f>
        <v>37190</v>
      </c>
    </row>
    <row r="3" customFormat="false" ht="12.75" hidden="false" customHeight="false" outlineLevel="0" collapsed="false">
      <c r="K3" s="128" t="n">
        <f aca="false">Summary!B8</f>
        <v>37196</v>
      </c>
      <c r="L3" s="129" t="n">
        <f aca="false">SUM(L6:L371)</f>
        <v>0</v>
      </c>
      <c r="P3" s="124" t="n">
        <v>1000000</v>
      </c>
      <c r="Q3" s="124"/>
      <c r="R3" s="124" t="n">
        <v>1000</v>
      </c>
      <c r="S3" s="121"/>
      <c r="T3" s="130" t="n">
        <f aca="false">SUM(T6:T371)</f>
        <v>0</v>
      </c>
    </row>
    <row r="4" customFormat="false" ht="12.75" hidden="false" customHeight="false" outlineLevel="0" collapsed="false">
      <c r="D4" s="131" t="s">
        <v>84</v>
      </c>
      <c r="E4" s="131" t="s">
        <v>84</v>
      </c>
      <c r="F4" s="131" t="s">
        <v>58</v>
      </c>
      <c r="G4" s="131" t="s">
        <v>58</v>
      </c>
      <c r="I4" s="132" t="s">
        <v>58</v>
      </c>
      <c r="J4" s="132"/>
      <c r="K4" s="132"/>
      <c r="L4" s="132"/>
      <c r="M4" s="132"/>
      <c r="N4" s="132"/>
      <c r="O4" s="133"/>
      <c r="P4" s="134" t="s">
        <v>85</v>
      </c>
      <c r="Q4" s="134"/>
      <c r="R4" s="135" t="s">
        <v>60</v>
      </c>
      <c r="S4" s="135"/>
      <c r="T4" s="135"/>
      <c r="U4" s="135"/>
      <c r="V4" s="135"/>
      <c r="W4" s="135"/>
    </row>
    <row r="5" customFormat="false" ht="12" hidden="false" customHeight="true" outlineLevel="0" collapsed="false">
      <c r="A5" s="136" t="s">
        <v>61</v>
      </c>
      <c r="B5" s="131" t="s">
        <v>62</v>
      </c>
      <c r="C5" s="137"/>
      <c r="D5" s="138" t="s">
        <v>63</v>
      </c>
      <c r="E5" s="138" t="s">
        <v>64</v>
      </c>
      <c r="F5" s="138" t="s">
        <v>65</v>
      </c>
      <c r="G5" s="138" t="s">
        <v>66</v>
      </c>
      <c r="H5" s="139"/>
      <c r="I5" s="138" t="s">
        <v>67</v>
      </c>
      <c r="J5" s="140" t="s">
        <v>68</v>
      </c>
      <c r="K5" s="140" t="s">
        <v>69</v>
      </c>
      <c r="L5" s="140" t="s">
        <v>70</v>
      </c>
      <c r="M5" s="140" t="s">
        <v>71</v>
      </c>
      <c r="N5" s="140" t="s">
        <v>72</v>
      </c>
      <c r="O5" s="141"/>
      <c r="P5" s="138" t="s">
        <v>63</v>
      </c>
      <c r="Q5" s="138" t="s">
        <v>64</v>
      </c>
      <c r="R5" s="138" t="s">
        <v>65</v>
      </c>
      <c r="S5" s="142" t="s">
        <v>68</v>
      </c>
      <c r="T5" s="140" t="s">
        <v>70</v>
      </c>
      <c r="U5" s="142" t="s">
        <v>66</v>
      </c>
      <c r="V5" s="142" t="s">
        <v>71</v>
      </c>
      <c r="W5" s="142" t="s">
        <v>72</v>
      </c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1"/>
      <c r="AW5" s="131"/>
      <c r="AX5" s="131"/>
      <c r="AY5" s="131"/>
      <c r="AZ5" s="131"/>
      <c r="BA5" s="131"/>
      <c r="BB5" s="131"/>
      <c r="BC5" s="131"/>
      <c r="BD5" s="131"/>
      <c r="BE5" s="131"/>
      <c r="BF5" s="131"/>
      <c r="BG5" s="131"/>
      <c r="BH5" s="131"/>
      <c r="BI5" s="131"/>
      <c r="BJ5" s="131"/>
      <c r="BK5" s="131"/>
      <c r="BL5" s="131"/>
      <c r="BM5" s="131"/>
      <c r="BN5" s="131"/>
      <c r="BO5" s="131"/>
      <c r="BP5" s="131"/>
      <c r="BQ5" s="131"/>
      <c r="BR5" s="131"/>
      <c r="BS5" s="131"/>
      <c r="BT5" s="131"/>
      <c r="BU5" s="131"/>
      <c r="BV5" s="131"/>
      <c r="BW5" s="131"/>
      <c r="BX5" s="131"/>
      <c r="BY5" s="131"/>
      <c r="BZ5" s="131"/>
      <c r="CA5" s="131"/>
      <c r="CB5" s="131"/>
      <c r="CC5" s="131"/>
      <c r="CD5" s="131"/>
      <c r="CE5" s="131"/>
      <c r="CF5" s="131"/>
      <c r="CG5" s="131"/>
      <c r="CH5" s="131"/>
      <c r="CI5" s="131"/>
      <c r="CJ5" s="131"/>
      <c r="CK5" s="131"/>
      <c r="CL5" s="131"/>
      <c r="CM5" s="131"/>
      <c r="CN5" s="131"/>
      <c r="CO5" s="131"/>
      <c r="CP5" s="131"/>
      <c r="CQ5" s="131"/>
      <c r="CR5" s="131"/>
      <c r="CS5" s="131"/>
      <c r="CT5" s="131"/>
      <c r="CU5" s="131"/>
      <c r="CV5" s="131"/>
      <c r="CW5" s="131"/>
      <c r="CX5" s="131"/>
      <c r="CY5" s="131"/>
      <c r="CZ5" s="131"/>
      <c r="DA5" s="131"/>
      <c r="DB5" s="131"/>
      <c r="DC5" s="131"/>
      <c r="DD5" s="131"/>
      <c r="DE5" s="131"/>
      <c r="DF5" s="131"/>
      <c r="DG5" s="131"/>
      <c r="DH5" s="131"/>
      <c r="DI5" s="131"/>
      <c r="DJ5" s="131"/>
      <c r="DK5" s="131"/>
      <c r="DL5" s="131"/>
      <c r="DM5" s="131"/>
      <c r="DN5" s="131"/>
      <c r="DO5" s="131"/>
      <c r="DP5" s="131"/>
      <c r="DQ5" s="131"/>
      <c r="DR5" s="131"/>
      <c r="DS5" s="131"/>
      <c r="DT5" s="131"/>
      <c r="DU5" s="131"/>
      <c r="DV5" s="131"/>
      <c r="DW5" s="131"/>
      <c r="DX5" s="131"/>
      <c r="DY5" s="131"/>
      <c r="DZ5" s="131"/>
      <c r="EA5" s="131"/>
      <c r="EB5" s="131"/>
      <c r="EC5" s="131"/>
      <c r="ED5" s="131"/>
      <c r="EE5" s="131"/>
      <c r="EF5" s="131"/>
      <c r="EG5" s="131"/>
      <c r="EH5" s="131"/>
      <c r="EI5" s="131"/>
      <c r="EJ5" s="131"/>
      <c r="EK5" s="131"/>
      <c r="EL5" s="131"/>
      <c r="EM5" s="131"/>
      <c r="EN5" s="131"/>
      <c r="EO5" s="131"/>
      <c r="EP5" s="131"/>
      <c r="EQ5" s="131"/>
      <c r="ER5" s="131"/>
      <c r="ES5" s="131"/>
      <c r="ET5" s="131"/>
      <c r="EU5" s="131"/>
      <c r="EV5" s="131"/>
      <c r="EW5" s="131"/>
      <c r="EX5" s="131"/>
      <c r="EY5" s="131"/>
      <c r="EZ5" s="131"/>
      <c r="FA5" s="131"/>
      <c r="FB5" s="131"/>
      <c r="FC5" s="131"/>
      <c r="FD5" s="131"/>
      <c r="FE5" s="131"/>
      <c r="FF5" s="131"/>
      <c r="FG5" s="131"/>
      <c r="FH5" s="131"/>
      <c r="FI5" s="131"/>
      <c r="FJ5" s="131"/>
      <c r="FK5" s="131"/>
      <c r="FL5" s="131"/>
      <c r="FM5" s="131"/>
      <c r="FN5" s="131"/>
      <c r="FO5" s="131"/>
      <c r="FP5" s="131"/>
      <c r="FQ5" s="131"/>
      <c r="FR5" s="131"/>
      <c r="FS5" s="131"/>
      <c r="FT5" s="131"/>
      <c r="FU5" s="131"/>
      <c r="FV5" s="131"/>
      <c r="FW5" s="131"/>
      <c r="FX5" s="131"/>
      <c r="FY5" s="131"/>
      <c r="FZ5" s="131"/>
      <c r="GA5" s="131"/>
      <c r="GB5" s="131"/>
      <c r="GC5" s="131"/>
      <c r="GD5" s="131"/>
      <c r="GE5" s="131"/>
      <c r="GF5" s="131"/>
      <c r="GG5" s="131"/>
      <c r="GH5" s="131"/>
      <c r="GI5" s="131"/>
      <c r="GJ5" s="131"/>
      <c r="GK5" s="131"/>
      <c r="GL5" s="131"/>
      <c r="GM5" s="131"/>
      <c r="GN5" s="131"/>
      <c r="GO5" s="131"/>
      <c r="GP5" s="131"/>
      <c r="GQ5" s="131"/>
      <c r="GR5" s="131"/>
      <c r="GS5" s="131"/>
      <c r="GT5" s="131"/>
      <c r="GU5" s="131"/>
      <c r="GV5" s="131"/>
      <c r="GW5" s="131"/>
      <c r="GX5" s="131"/>
      <c r="GY5" s="131"/>
      <c r="GZ5" s="131"/>
      <c r="HA5" s="131"/>
      <c r="HB5" s="131"/>
      <c r="HC5" s="131"/>
      <c r="HD5" s="131"/>
      <c r="HE5" s="131"/>
      <c r="HF5" s="131"/>
      <c r="HG5" s="131"/>
      <c r="HH5" s="131"/>
      <c r="HI5" s="131"/>
      <c r="HJ5" s="131"/>
      <c r="HK5" s="131"/>
      <c r="HL5" s="131"/>
      <c r="HM5" s="131"/>
      <c r="HN5" s="131"/>
      <c r="HO5" s="131"/>
      <c r="HP5" s="131"/>
      <c r="HQ5" s="131"/>
      <c r="HR5" s="131"/>
      <c r="HS5" s="131"/>
      <c r="HT5" s="131"/>
      <c r="HU5" s="131"/>
      <c r="HV5" s="131"/>
      <c r="HW5" s="131"/>
      <c r="HX5" s="131"/>
      <c r="HY5" s="131"/>
      <c r="HZ5" s="131"/>
      <c r="IA5" s="131"/>
      <c r="IB5" s="131"/>
      <c r="IC5" s="131"/>
      <c r="ID5" s="131"/>
      <c r="IE5" s="131"/>
      <c r="IF5" s="131"/>
      <c r="IG5" s="131"/>
      <c r="IH5" s="131"/>
      <c r="II5" s="131"/>
      <c r="IJ5" s="131"/>
      <c r="IK5" s="131"/>
      <c r="IL5" s="131"/>
      <c r="IM5" s="131"/>
      <c r="IN5" s="131"/>
      <c r="IO5" s="131"/>
      <c r="IP5" s="131"/>
      <c r="IQ5" s="131"/>
      <c r="IR5" s="131"/>
      <c r="IS5" s="131"/>
      <c r="IT5" s="131"/>
      <c r="IU5" s="131"/>
      <c r="IV5" s="131"/>
      <c r="IW5" s="131"/>
    </row>
    <row r="6" customFormat="false" ht="12.75" hidden="true" customHeight="false" outlineLevel="0" collapsed="false">
      <c r="A6" s="120" t="n">
        <v>36892</v>
      </c>
      <c r="B6" s="131" t="str">
        <f aca="false">INDEX('Master Data'!$A$2:$B$8,MATCH(WEEKDAY('SC Total Gas'!A6,3),'Master Data'!$A$2:$A$8,0),2)</f>
        <v>M</v>
      </c>
      <c r="D6" s="124" t="n">
        <v>0</v>
      </c>
      <c r="E6" s="124" t="n">
        <v>0</v>
      </c>
      <c r="F6" s="124" t="n">
        <v>0</v>
      </c>
      <c r="G6" s="124" t="n">
        <v>0</v>
      </c>
      <c r="I6" s="124" t="n">
        <f aca="false">G6</f>
        <v>0</v>
      </c>
      <c r="J6" s="124" t="n">
        <f aca="false">I6</f>
        <v>0</v>
      </c>
      <c r="K6" s="124" t="n">
        <f aca="false">IF(WEEKDAY(A6,3)&gt;4,0,(IF(A6&lt;K$2,0,IF(A6&lt;=K$3,1,0))))</f>
        <v>0</v>
      </c>
      <c r="L6" s="124" t="n">
        <f aca="false">J6*K6</f>
        <v>0</v>
      </c>
      <c r="M6" s="124" t="n">
        <f aca="false">SUM(J$6:J6)</f>
        <v>0</v>
      </c>
      <c r="N6" s="124" t="n">
        <f aca="false">SUM(J$6:J6)</f>
        <v>0</v>
      </c>
      <c r="P6" s="124" t="n">
        <f aca="false">D6/P$3</f>
        <v>0</v>
      </c>
      <c r="Q6" s="124" t="n">
        <f aca="false">E6/P$3</f>
        <v>0</v>
      </c>
      <c r="R6" s="124" t="n">
        <f aca="false">F6/R$3</f>
        <v>0</v>
      </c>
      <c r="S6" s="126" t="n">
        <f aca="false">J6/$R$3</f>
        <v>0</v>
      </c>
      <c r="T6" s="126" t="n">
        <f aca="false">L6/$R$3</f>
        <v>0</v>
      </c>
      <c r="U6" s="126" t="n">
        <f aca="false">I6/$R$3</f>
        <v>0</v>
      </c>
      <c r="V6" s="126" t="n">
        <f aca="false">M6/$R$3</f>
        <v>0</v>
      </c>
      <c r="W6" s="126" t="n">
        <f aca="false">N6/$R$3</f>
        <v>0</v>
      </c>
    </row>
    <row r="7" customFormat="false" ht="12.75" hidden="true" customHeight="false" outlineLevel="0" collapsed="false">
      <c r="A7" s="120" t="n">
        <f aca="false">A6+1</f>
        <v>36893</v>
      </c>
      <c r="B7" s="131" t="str">
        <f aca="false">INDEX('Master Data'!$A$2:$B$8,MATCH(WEEKDAY('SC Total Gas'!A7,3),'Master Data'!$A$2:$A$8,0),2)</f>
        <v>T</v>
      </c>
      <c r="D7" s="124" t="n">
        <v>0</v>
      </c>
      <c r="E7" s="124" t="n">
        <v>4271182.71089207</v>
      </c>
      <c r="F7" s="124" t="n">
        <v>0</v>
      </c>
      <c r="G7" s="124" t="n">
        <v>0</v>
      </c>
      <c r="I7" s="124" t="n">
        <f aca="false">IF(MONTH($A7)=MONTH($A6),IF(G7=0,I6,G7),0)</f>
        <v>0</v>
      </c>
      <c r="J7" s="124" t="n">
        <f aca="false">IF(MONTH($A7)=MONTH($A6),SUM(I7-I6),I7)</f>
        <v>0</v>
      </c>
      <c r="K7" s="124" t="n">
        <f aca="false">IF(WEEKDAY(A7,3)&gt;4,0,(IF(A7&lt;K$2,0,IF(A7&lt;=K$3,1,0))))</f>
        <v>0</v>
      </c>
      <c r="L7" s="124" t="n">
        <f aca="false">J7*K7</f>
        <v>0</v>
      </c>
      <c r="M7" s="124" t="n">
        <f aca="false">SUM(J$6:J7)</f>
        <v>0</v>
      </c>
      <c r="N7" s="124" t="n">
        <f aca="false">SUM(J$6:J7)</f>
        <v>0</v>
      </c>
      <c r="P7" s="124" t="n">
        <f aca="false">D7/P$3</f>
        <v>0</v>
      </c>
      <c r="Q7" s="124" t="n">
        <f aca="false">E7/P$3</f>
        <v>4.27118271089207</v>
      </c>
      <c r="R7" s="124" t="n">
        <f aca="false">F7/R$3</f>
        <v>0</v>
      </c>
      <c r="S7" s="126" t="n">
        <f aca="false">J7/$R$3</f>
        <v>0</v>
      </c>
      <c r="T7" s="126" t="n">
        <f aca="false">L7/$R$3</f>
        <v>0</v>
      </c>
      <c r="U7" s="126" t="n">
        <f aca="false">I7/$R$3</f>
        <v>0</v>
      </c>
      <c r="V7" s="126" t="n">
        <f aca="false">M7/$R$3</f>
        <v>0</v>
      </c>
      <c r="W7" s="126" t="n">
        <f aca="false">N7/$R$3</f>
        <v>0</v>
      </c>
    </row>
    <row r="8" customFormat="false" ht="12.75" hidden="true" customHeight="false" outlineLevel="0" collapsed="false">
      <c r="A8" s="120" t="n">
        <f aca="false">A7+1</f>
        <v>36894</v>
      </c>
      <c r="B8" s="131" t="str">
        <f aca="false">INDEX('Master Data'!$A$2:$B$8,MATCH(WEEKDAY('SC Total Gas'!A8,3),'Master Data'!$A$2:$A$8,0),2)</f>
        <v>W</v>
      </c>
      <c r="D8" s="124" t="n">
        <v>0</v>
      </c>
      <c r="E8" s="124" t="n">
        <v>4256087.65870311</v>
      </c>
      <c r="F8" s="124" t="n">
        <v>0</v>
      </c>
      <c r="G8" s="124" t="n">
        <v>0</v>
      </c>
      <c r="I8" s="124" t="n">
        <f aca="false">IF(MONTH($A8)=MONTH($A7),IF(G8=0,I7,G8),0)</f>
        <v>0</v>
      </c>
      <c r="J8" s="124" t="n">
        <f aca="false">IF(MONTH($A8)=MONTH($A7),SUM(I8-I7),I8)</f>
        <v>0</v>
      </c>
      <c r="K8" s="124" t="n">
        <f aca="false">IF(WEEKDAY(A8,3)&gt;4,0,(IF(A8&lt;K$2,0,IF(A8&lt;=K$3,1,0))))</f>
        <v>0</v>
      </c>
      <c r="L8" s="124" t="n">
        <f aca="false">J8*K8</f>
        <v>0</v>
      </c>
      <c r="M8" s="124" t="n">
        <f aca="false">SUM(J$6:J8)</f>
        <v>0</v>
      </c>
      <c r="N8" s="124" t="n">
        <f aca="false">SUM(J$6:J8)</f>
        <v>0</v>
      </c>
      <c r="P8" s="124" t="n">
        <f aca="false">D8/P$3</f>
        <v>0</v>
      </c>
      <c r="Q8" s="124" t="n">
        <f aca="false">E8/P$3</f>
        <v>4.25608765870311</v>
      </c>
      <c r="R8" s="124" t="n">
        <f aca="false">F8/R$3</f>
        <v>0</v>
      </c>
      <c r="S8" s="126" t="n">
        <f aca="false">J8/$R$3</f>
        <v>0</v>
      </c>
      <c r="T8" s="126" t="n">
        <f aca="false">L8/$R$3</f>
        <v>0</v>
      </c>
      <c r="U8" s="126" t="n">
        <f aca="false">I8/$R$3</f>
        <v>0</v>
      </c>
      <c r="V8" s="126" t="n">
        <f aca="false">M8/$R$3</f>
        <v>0</v>
      </c>
      <c r="W8" s="126" t="n">
        <f aca="false">N8/$R$3</f>
        <v>0</v>
      </c>
    </row>
    <row r="9" customFormat="false" ht="12.75" hidden="true" customHeight="false" outlineLevel="0" collapsed="false">
      <c r="A9" s="120" t="n">
        <f aca="false">A8+1</f>
        <v>36895</v>
      </c>
      <c r="B9" s="131" t="str">
        <f aca="false">INDEX('Master Data'!$A$2:$B$8,MATCH(WEEKDAY('SC Total Gas'!A9,3),'Master Data'!$A$2:$A$8,0),2)</f>
        <v>Th</v>
      </c>
      <c r="D9" s="124" t="n">
        <v>0</v>
      </c>
      <c r="E9" s="124" t="n">
        <v>4281490.18640119</v>
      </c>
      <c r="F9" s="124" t="n">
        <v>0</v>
      </c>
      <c r="G9" s="124" t="n">
        <v>0</v>
      </c>
      <c r="I9" s="124" t="n">
        <f aca="false">IF(MONTH($A9)=MONTH($A8),IF(G9=0,I8,G9),0)</f>
        <v>0</v>
      </c>
      <c r="J9" s="124" t="n">
        <f aca="false">IF(MONTH($A9)=MONTH($A8),SUM(I9-I8),I9)</f>
        <v>0</v>
      </c>
      <c r="K9" s="124" t="n">
        <f aca="false">IF(WEEKDAY(A9,3)&gt;4,0,(IF(A9&lt;K$2,0,IF(A9&lt;=K$3,1,0))))</f>
        <v>0</v>
      </c>
      <c r="L9" s="124" t="n">
        <f aca="false">J9*K9</f>
        <v>0</v>
      </c>
      <c r="M9" s="124" t="n">
        <f aca="false">SUM(J$6:J9)</f>
        <v>0</v>
      </c>
      <c r="N9" s="124" t="n">
        <f aca="false">SUM(J$6:J9)</f>
        <v>0</v>
      </c>
      <c r="P9" s="124" t="n">
        <f aca="false">D9/P$3</f>
        <v>0</v>
      </c>
      <c r="Q9" s="124" t="n">
        <f aca="false">E9/P$3</f>
        <v>4.28149018640119</v>
      </c>
      <c r="R9" s="124" t="n">
        <f aca="false">F9/R$3</f>
        <v>0</v>
      </c>
      <c r="S9" s="126" t="n">
        <f aca="false">J9/$R$3</f>
        <v>0</v>
      </c>
      <c r="T9" s="126" t="n">
        <f aca="false">L9/$R$3</f>
        <v>0</v>
      </c>
      <c r="U9" s="126" t="n">
        <f aca="false">I9/$R$3</f>
        <v>0</v>
      </c>
      <c r="V9" s="126" t="n">
        <f aca="false">M9/$R$3</f>
        <v>0</v>
      </c>
      <c r="W9" s="126" t="n">
        <f aca="false">N9/$R$3</f>
        <v>0</v>
      </c>
    </row>
    <row r="10" customFormat="false" ht="12.75" hidden="true" customHeight="false" outlineLevel="0" collapsed="false">
      <c r="A10" s="120" t="n">
        <f aca="false">A9+1</f>
        <v>36896</v>
      </c>
      <c r="B10" s="131" t="str">
        <f aca="false">INDEX('Master Data'!$A$2:$B$8,MATCH(WEEKDAY('SC Total Gas'!A10,3),'Master Data'!$A$2:$A$8,0),2)</f>
        <v>F</v>
      </c>
      <c r="D10" s="124" t="n">
        <v>0</v>
      </c>
      <c r="E10" s="124" t="n">
        <v>4066137.04619216</v>
      </c>
      <c r="F10" s="124" t="n">
        <v>0</v>
      </c>
      <c r="G10" s="124" t="n">
        <v>0</v>
      </c>
      <c r="I10" s="124" t="n">
        <f aca="false">IF(MONTH($A10)=MONTH($A9),IF(G10=0,I9,G10),0)</f>
        <v>0</v>
      </c>
      <c r="J10" s="124" t="n">
        <f aca="false">IF(MONTH($A10)=MONTH($A9),SUM(I10-I9),I10)</f>
        <v>0</v>
      </c>
      <c r="K10" s="124" t="n">
        <f aca="false">IF(WEEKDAY(A10,3)&gt;4,0,(IF(A10&lt;K$2,0,IF(A10&lt;=K$3,1,0))))</f>
        <v>0</v>
      </c>
      <c r="L10" s="124" t="n">
        <f aca="false">J10*K10</f>
        <v>0</v>
      </c>
      <c r="M10" s="124" t="n">
        <f aca="false">SUM(J$6:J10)</f>
        <v>0</v>
      </c>
      <c r="N10" s="124" t="n">
        <f aca="false">SUM(J$6:J10)</f>
        <v>0</v>
      </c>
      <c r="P10" s="124" t="n">
        <f aca="false">D10/P$3</f>
        <v>0</v>
      </c>
      <c r="Q10" s="124" t="n">
        <f aca="false">E10/P$3</f>
        <v>4.06613704619216</v>
      </c>
      <c r="R10" s="124" t="n">
        <f aca="false">F10/R$3</f>
        <v>0</v>
      </c>
      <c r="S10" s="126" t="n">
        <f aca="false">J10/$R$3</f>
        <v>0</v>
      </c>
      <c r="T10" s="126" t="n">
        <f aca="false">L10/$R$3</f>
        <v>0</v>
      </c>
      <c r="U10" s="126" t="n">
        <f aca="false">I10/$R$3</f>
        <v>0</v>
      </c>
      <c r="V10" s="126" t="n">
        <f aca="false">M10/$R$3</f>
        <v>0</v>
      </c>
      <c r="W10" s="126" t="n">
        <f aca="false">N10/$R$3</f>
        <v>0</v>
      </c>
    </row>
    <row r="11" customFormat="false" ht="12.75" hidden="true" customHeight="false" outlineLevel="0" collapsed="false">
      <c r="A11" s="120" t="n">
        <f aca="false">A10+1</f>
        <v>36897</v>
      </c>
      <c r="B11" s="131" t="str">
        <f aca="false">INDEX('Master Data'!$A$2:$B$8,MATCH(WEEKDAY('SC Total Gas'!A11,3),'Master Data'!$A$2:$A$8,0),2)</f>
        <v>Sa</v>
      </c>
      <c r="D11" s="124" t="n">
        <v>0</v>
      </c>
      <c r="E11" s="124" t="n">
        <v>0</v>
      </c>
      <c r="F11" s="124" t="n">
        <v>0</v>
      </c>
      <c r="G11" s="124" t="n">
        <v>0</v>
      </c>
      <c r="I11" s="124" t="n">
        <f aca="false">IF(MONTH($A11)=MONTH($A10),IF(G11=0,I10,G11),0)</f>
        <v>0</v>
      </c>
      <c r="J11" s="124" t="n">
        <f aca="false">IF(MONTH($A11)=MONTH($A10),SUM(I11-I10),I11)</f>
        <v>0</v>
      </c>
      <c r="K11" s="124" t="n">
        <f aca="false">IF(WEEKDAY(A11,3)&gt;4,0,(IF(A11&lt;K$2,0,IF(A11&lt;=K$3,1,0))))</f>
        <v>0</v>
      </c>
      <c r="L11" s="124" t="n">
        <f aca="false">J11*K11</f>
        <v>0</v>
      </c>
      <c r="M11" s="124" t="n">
        <f aca="false">SUM(J$6:J11)</f>
        <v>0</v>
      </c>
      <c r="N11" s="124" t="n">
        <f aca="false">SUM(J$6:J11)</f>
        <v>0</v>
      </c>
      <c r="P11" s="124" t="n">
        <f aca="false">D11/P$3</f>
        <v>0</v>
      </c>
      <c r="Q11" s="124" t="n">
        <f aca="false">E11/P$3</f>
        <v>0</v>
      </c>
      <c r="R11" s="124" t="n">
        <f aca="false">F11/R$3</f>
        <v>0</v>
      </c>
      <c r="S11" s="126" t="n">
        <f aca="false">J11/$R$3</f>
        <v>0</v>
      </c>
      <c r="T11" s="126" t="n">
        <f aca="false">L11/$R$3</f>
        <v>0</v>
      </c>
      <c r="U11" s="126" t="n">
        <f aca="false">I11/$R$3</f>
        <v>0</v>
      </c>
      <c r="V11" s="126" t="n">
        <f aca="false">M11/$R$3</f>
        <v>0</v>
      </c>
      <c r="W11" s="126" t="n">
        <f aca="false">N11/$R$3</f>
        <v>0</v>
      </c>
    </row>
    <row r="12" customFormat="false" ht="12.75" hidden="true" customHeight="false" outlineLevel="0" collapsed="false">
      <c r="A12" s="120" t="n">
        <f aca="false">A11+1</f>
        <v>36898</v>
      </c>
      <c r="B12" s="131" t="str">
        <f aca="false">INDEX('Master Data'!$A$2:$B$8,MATCH(WEEKDAY('SC Total Gas'!A12,3),'Master Data'!$A$2:$A$8,0),2)</f>
        <v>Su</v>
      </c>
      <c r="D12" s="124" t="n">
        <v>0</v>
      </c>
      <c r="E12" s="124" t="n">
        <v>0</v>
      </c>
      <c r="F12" s="124" t="n">
        <v>0</v>
      </c>
      <c r="G12" s="124" t="n">
        <v>0</v>
      </c>
      <c r="I12" s="124" t="n">
        <f aca="false">IF(MONTH($A12)=MONTH($A11),IF(G12=0,I11,G12),0)</f>
        <v>0</v>
      </c>
      <c r="J12" s="124" t="n">
        <f aca="false">IF(MONTH($A12)=MONTH($A11),SUM(I12-I11),I12)</f>
        <v>0</v>
      </c>
      <c r="K12" s="124" t="n">
        <f aca="false">IF(WEEKDAY(A12,3)&gt;4,0,(IF(A12&lt;K$2,0,IF(A12&lt;=K$3,1,0))))</f>
        <v>0</v>
      </c>
      <c r="L12" s="124" t="n">
        <f aca="false">J12*K12</f>
        <v>0</v>
      </c>
      <c r="M12" s="124" t="n">
        <f aca="false">SUM(J$6:J12)</f>
        <v>0</v>
      </c>
      <c r="N12" s="124" t="n">
        <f aca="false">SUM(J$6:J12)</f>
        <v>0</v>
      </c>
      <c r="P12" s="124" t="n">
        <f aca="false">D12/P$3</f>
        <v>0</v>
      </c>
      <c r="Q12" s="124" t="n">
        <f aca="false">E12/P$3</f>
        <v>0</v>
      </c>
      <c r="R12" s="124" t="n">
        <f aca="false">F12/R$3</f>
        <v>0</v>
      </c>
      <c r="S12" s="126" t="n">
        <f aca="false">J12/$R$3</f>
        <v>0</v>
      </c>
      <c r="T12" s="126" t="n">
        <f aca="false">L12/$R$3</f>
        <v>0</v>
      </c>
      <c r="U12" s="126" t="n">
        <f aca="false">I12/$R$3</f>
        <v>0</v>
      </c>
      <c r="V12" s="126" t="n">
        <f aca="false">M12/$R$3</f>
        <v>0</v>
      </c>
      <c r="W12" s="126" t="n">
        <f aca="false">N12/$R$3</f>
        <v>0</v>
      </c>
    </row>
    <row r="13" customFormat="false" ht="12.75" hidden="true" customHeight="false" outlineLevel="0" collapsed="false">
      <c r="A13" s="120" t="n">
        <f aca="false">A12+1</f>
        <v>36899</v>
      </c>
      <c r="B13" s="131" t="str">
        <f aca="false">INDEX('Master Data'!$A$2:$B$8,MATCH(WEEKDAY('SC Total Gas'!A13,3),'Master Data'!$A$2:$A$8,0),2)</f>
        <v>M</v>
      </c>
      <c r="D13" s="124" t="n">
        <v>0</v>
      </c>
      <c r="E13" s="124" t="n">
        <v>4104421.54084903</v>
      </c>
      <c r="F13" s="124" t="n">
        <v>0</v>
      </c>
      <c r="G13" s="124" t="n">
        <v>0</v>
      </c>
      <c r="I13" s="124" t="n">
        <f aca="false">IF(MONTH($A13)=MONTH($A12),IF(G13=0,I12,G13),0)</f>
        <v>0</v>
      </c>
      <c r="J13" s="124" t="n">
        <f aca="false">IF(MONTH($A13)=MONTH($A12),SUM(I13-I12),I13)</f>
        <v>0</v>
      </c>
      <c r="K13" s="124" t="n">
        <f aca="false">IF(WEEKDAY(A13,3)&gt;4,0,(IF(A13&lt;K$2,0,IF(A13&lt;=K$3,1,0))))</f>
        <v>0</v>
      </c>
      <c r="L13" s="124" t="n">
        <f aca="false">J13*K13</f>
        <v>0</v>
      </c>
      <c r="M13" s="124" t="n">
        <f aca="false">SUM(J$6:J13)</f>
        <v>0</v>
      </c>
      <c r="N13" s="124" t="n">
        <f aca="false">SUM(J$6:J13)</f>
        <v>0</v>
      </c>
      <c r="P13" s="124" t="n">
        <f aca="false">D13/P$3</f>
        <v>0</v>
      </c>
      <c r="Q13" s="124" t="n">
        <f aca="false">E13/P$3</f>
        <v>4.10442154084903</v>
      </c>
      <c r="R13" s="124" t="n">
        <f aca="false">F13/R$3</f>
        <v>0</v>
      </c>
      <c r="S13" s="126" t="n">
        <f aca="false">J13/$R$3</f>
        <v>0</v>
      </c>
      <c r="T13" s="126" t="n">
        <f aca="false">L13/$R$3</f>
        <v>0</v>
      </c>
      <c r="U13" s="126" t="n">
        <f aca="false">I13/$R$3</f>
        <v>0</v>
      </c>
      <c r="V13" s="126" t="n">
        <f aca="false">M13/$R$3</f>
        <v>0</v>
      </c>
      <c r="W13" s="126" t="n">
        <f aca="false">N13/$R$3</f>
        <v>0</v>
      </c>
    </row>
    <row r="14" customFormat="false" ht="12.75" hidden="true" customHeight="false" outlineLevel="0" collapsed="false">
      <c r="A14" s="120" t="n">
        <f aca="false">A13+1</f>
        <v>36900</v>
      </c>
      <c r="B14" s="131" t="str">
        <f aca="false">INDEX('Master Data'!$A$2:$B$8,MATCH(WEEKDAY('SC Total Gas'!A14,3),'Master Data'!$A$2:$A$8,0),2)</f>
        <v>T</v>
      </c>
      <c r="D14" s="124" t="n">
        <v>0</v>
      </c>
      <c r="E14" s="124" t="n">
        <v>4090228.12737347</v>
      </c>
      <c r="F14" s="124" t="n">
        <v>0</v>
      </c>
      <c r="G14" s="124" t="n">
        <v>0</v>
      </c>
      <c r="I14" s="124" t="n">
        <f aca="false">IF(MONTH($A14)=MONTH($A13),IF(G14=0,I13,G14),0)</f>
        <v>0</v>
      </c>
      <c r="J14" s="124" t="n">
        <f aca="false">IF(MONTH($A14)=MONTH($A13),SUM(I14-I13),I14)</f>
        <v>0</v>
      </c>
      <c r="K14" s="124" t="n">
        <f aca="false">IF(WEEKDAY(A14,3)&gt;4,0,(IF(A14&lt;K$2,0,IF(A14&lt;=K$3,1,0))))</f>
        <v>0</v>
      </c>
      <c r="L14" s="124" t="n">
        <f aca="false">J14*K14</f>
        <v>0</v>
      </c>
      <c r="M14" s="124" t="n">
        <f aca="false">SUM(J$6:J14)</f>
        <v>0</v>
      </c>
      <c r="N14" s="124" t="n">
        <f aca="false">SUM(J$6:J14)</f>
        <v>0</v>
      </c>
      <c r="P14" s="124" t="n">
        <f aca="false">D14/P$3</f>
        <v>0</v>
      </c>
      <c r="Q14" s="124" t="n">
        <f aca="false">E14/P$3</f>
        <v>4.09022812737347</v>
      </c>
      <c r="R14" s="124" t="n">
        <f aca="false">F14/R$3</f>
        <v>0</v>
      </c>
      <c r="S14" s="126" t="n">
        <f aca="false">J14/$R$3</f>
        <v>0</v>
      </c>
      <c r="T14" s="126" t="n">
        <f aca="false">L14/$R$3</f>
        <v>0</v>
      </c>
      <c r="U14" s="126" t="n">
        <f aca="false">I14/$R$3</f>
        <v>0</v>
      </c>
      <c r="V14" s="126" t="n">
        <f aca="false">M14/$R$3</f>
        <v>0</v>
      </c>
      <c r="W14" s="126" t="n">
        <f aca="false">N14/$R$3</f>
        <v>0</v>
      </c>
    </row>
    <row r="15" customFormat="false" ht="12.75" hidden="true" customHeight="false" outlineLevel="0" collapsed="false">
      <c r="A15" s="120" t="n">
        <f aca="false">A14+1</f>
        <v>36901</v>
      </c>
      <c r="B15" s="131" t="str">
        <f aca="false">INDEX('Master Data'!$A$2:$B$8,MATCH(WEEKDAY('SC Total Gas'!A15,3),'Master Data'!$A$2:$A$8,0),2)</f>
        <v>W</v>
      </c>
      <c r="D15" s="124" t="n">
        <v>0</v>
      </c>
      <c r="E15" s="124" t="n">
        <v>4069082.74399359</v>
      </c>
      <c r="F15" s="124" t="n">
        <v>0</v>
      </c>
      <c r="G15" s="124" t="n">
        <v>0</v>
      </c>
      <c r="I15" s="124" t="n">
        <f aca="false">IF(MONTH($A15)=MONTH($A14),IF(G15=0,I14,G15),0)</f>
        <v>0</v>
      </c>
      <c r="J15" s="124" t="n">
        <f aca="false">IF(MONTH($A15)=MONTH($A14),SUM(I15-I14),I15)</f>
        <v>0</v>
      </c>
      <c r="K15" s="124" t="n">
        <f aca="false">IF(WEEKDAY(A15,3)&gt;4,0,(IF(A15&lt;K$2,0,IF(A15&lt;=K$3,1,0))))</f>
        <v>0</v>
      </c>
      <c r="L15" s="124" t="n">
        <f aca="false">J15*K15</f>
        <v>0</v>
      </c>
      <c r="M15" s="124" t="n">
        <f aca="false">SUM(J$6:J15)</f>
        <v>0</v>
      </c>
      <c r="N15" s="124" t="n">
        <f aca="false">SUM(J$6:J15)</f>
        <v>0</v>
      </c>
      <c r="P15" s="124" t="n">
        <f aca="false">D15/P$3</f>
        <v>0</v>
      </c>
      <c r="Q15" s="124" t="n">
        <f aca="false">E15/P$3</f>
        <v>4.06908274399359</v>
      </c>
      <c r="R15" s="124" t="n">
        <f aca="false">F15/R$3</f>
        <v>0</v>
      </c>
      <c r="S15" s="126" t="n">
        <f aca="false">J15/$R$3</f>
        <v>0</v>
      </c>
      <c r="T15" s="126" t="n">
        <f aca="false">L15/$R$3</f>
        <v>0</v>
      </c>
      <c r="U15" s="126" t="n">
        <f aca="false">I15/$R$3</f>
        <v>0</v>
      </c>
      <c r="V15" s="126" t="n">
        <f aca="false">M15/$R$3</f>
        <v>0</v>
      </c>
      <c r="W15" s="126" t="n">
        <f aca="false">N15/$R$3</f>
        <v>0</v>
      </c>
    </row>
    <row r="16" customFormat="false" ht="12.75" hidden="true" customHeight="false" outlineLevel="0" collapsed="false">
      <c r="A16" s="120" t="n">
        <f aca="false">A15+1</f>
        <v>36902</v>
      </c>
      <c r="B16" s="131" t="str">
        <f aca="false">INDEX('Master Data'!$A$2:$B$8,MATCH(WEEKDAY('SC Total Gas'!A16,3),'Master Data'!$A$2:$A$8,0),2)</f>
        <v>Th</v>
      </c>
      <c r="D16" s="124" t="n">
        <v>0</v>
      </c>
      <c r="E16" s="124" t="n">
        <v>4069721.66879597</v>
      </c>
      <c r="F16" s="124" t="n">
        <v>0</v>
      </c>
      <c r="G16" s="124" t="n">
        <v>0</v>
      </c>
      <c r="I16" s="124" t="n">
        <f aca="false">IF(MONTH($A16)=MONTH($A15),IF(G16=0,I15,G16),0)</f>
        <v>0</v>
      </c>
      <c r="J16" s="124" t="n">
        <f aca="false">IF(MONTH($A16)=MONTH($A15),SUM(I16-I15),I16)</f>
        <v>0</v>
      </c>
      <c r="K16" s="124" t="n">
        <f aca="false">IF(WEEKDAY(A16,3)&gt;4,0,(IF(A16&lt;K$2,0,IF(A16&lt;=K$3,1,0))))</f>
        <v>0</v>
      </c>
      <c r="L16" s="124" t="n">
        <f aca="false">J16*K16</f>
        <v>0</v>
      </c>
      <c r="M16" s="124" t="n">
        <f aca="false">SUM(J$6:J16)</f>
        <v>0</v>
      </c>
      <c r="N16" s="124" t="n">
        <f aca="false">SUM(J$6:J16)</f>
        <v>0</v>
      </c>
      <c r="P16" s="124" t="n">
        <f aca="false">D16/P$3</f>
        <v>0</v>
      </c>
      <c r="Q16" s="124" t="n">
        <f aca="false">E16/P$3</f>
        <v>4.06972166879597</v>
      </c>
      <c r="R16" s="124" t="n">
        <f aca="false">F16/R$3</f>
        <v>0</v>
      </c>
      <c r="S16" s="126" t="n">
        <f aca="false">J16/$R$3</f>
        <v>0</v>
      </c>
      <c r="T16" s="126" t="n">
        <f aca="false">L16/$R$3</f>
        <v>0</v>
      </c>
      <c r="U16" s="126" t="n">
        <f aca="false">I16/$R$3</f>
        <v>0</v>
      </c>
      <c r="V16" s="126" t="n">
        <f aca="false">M16/$R$3</f>
        <v>0</v>
      </c>
      <c r="W16" s="126" t="n">
        <f aca="false">N16/$R$3</f>
        <v>0</v>
      </c>
    </row>
    <row r="17" customFormat="false" ht="12.75" hidden="true" customHeight="false" outlineLevel="0" collapsed="false">
      <c r="A17" s="120" t="n">
        <f aca="false">A16+1</f>
        <v>36903</v>
      </c>
      <c r="B17" s="131" t="str">
        <f aca="false">INDEX('Master Data'!$A$2:$B$8,MATCH(WEEKDAY('SC Total Gas'!A17,3),'Master Data'!$A$2:$A$8,0),2)</f>
        <v>F</v>
      </c>
      <c r="D17" s="124" t="n">
        <v>0</v>
      </c>
      <c r="E17" s="124" t="n">
        <v>4051666.57456439</v>
      </c>
      <c r="F17" s="124" t="n">
        <v>0</v>
      </c>
      <c r="G17" s="124" t="n">
        <v>0</v>
      </c>
      <c r="I17" s="124" t="n">
        <f aca="false">IF(MONTH($A17)=MONTH($A16),IF(G17=0,I16,G17),0)</f>
        <v>0</v>
      </c>
      <c r="J17" s="124" t="n">
        <f aca="false">IF(MONTH($A17)=MONTH($A16),SUM(I17-I16),I17)</f>
        <v>0</v>
      </c>
      <c r="K17" s="124" t="n">
        <f aca="false">IF(WEEKDAY(A17,3)&gt;4,0,(IF(A17&lt;K$2,0,IF(A17&lt;=K$3,1,0))))</f>
        <v>0</v>
      </c>
      <c r="L17" s="124" t="n">
        <f aca="false">J17*K17</f>
        <v>0</v>
      </c>
      <c r="M17" s="124" t="n">
        <f aca="false">SUM(J$6:J17)</f>
        <v>0</v>
      </c>
      <c r="N17" s="124" t="n">
        <f aca="false">SUM(J$6:J17)</f>
        <v>0</v>
      </c>
      <c r="P17" s="124" t="n">
        <f aca="false">D17/P$3</f>
        <v>0</v>
      </c>
      <c r="Q17" s="124" t="n">
        <f aca="false">E17/P$3</f>
        <v>4.05166657456439</v>
      </c>
      <c r="R17" s="124" t="n">
        <f aca="false">F17/R$3</f>
        <v>0</v>
      </c>
      <c r="S17" s="126" t="n">
        <f aca="false">J17/$R$3</f>
        <v>0</v>
      </c>
      <c r="T17" s="126" t="n">
        <f aca="false">L17/$R$3</f>
        <v>0</v>
      </c>
      <c r="U17" s="126" t="n">
        <f aca="false">I17/$R$3</f>
        <v>0</v>
      </c>
      <c r="V17" s="126" t="n">
        <f aca="false">M17/$R$3</f>
        <v>0</v>
      </c>
      <c r="W17" s="126" t="n">
        <f aca="false">N17/$R$3</f>
        <v>0</v>
      </c>
    </row>
    <row r="18" customFormat="false" ht="12.75" hidden="true" customHeight="false" outlineLevel="0" collapsed="false">
      <c r="A18" s="120" t="n">
        <f aca="false">A17+1</f>
        <v>36904</v>
      </c>
      <c r="B18" s="131" t="str">
        <f aca="false">INDEX('Master Data'!$A$2:$B$8,MATCH(WEEKDAY('SC Total Gas'!A18,3),'Master Data'!$A$2:$A$8,0),2)</f>
        <v>Sa</v>
      </c>
      <c r="D18" s="124" t="n">
        <v>0</v>
      </c>
      <c r="E18" s="124" t="n">
        <v>0</v>
      </c>
      <c r="F18" s="124" t="n">
        <v>0</v>
      </c>
      <c r="G18" s="124" t="n">
        <v>0</v>
      </c>
      <c r="I18" s="124" t="n">
        <f aca="false">IF(MONTH($A18)=MONTH($A17),IF(G18=0,I17,G18),0)</f>
        <v>0</v>
      </c>
      <c r="J18" s="124" t="n">
        <f aca="false">IF(MONTH($A18)=MONTH($A17),SUM(I18-I17),I18)</f>
        <v>0</v>
      </c>
      <c r="K18" s="124" t="n">
        <f aca="false">IF(WEEKDAY(A18,3)&gt;4,0,(IF(A18&lt;K$2,0,IF(A18&lt;=K$3,1,0))))</f>
        <v>0</v>
      </c>
      <c r="L18" s="124" t="n">
        <f aca="false">J18*K18</f>
        <v>0</v>
      </c>
      <c r="M18" s="124" t="n">
        <f aca="false">SUM(J$6:J18)</f>
        <v>0</v>
      </c>
      <c r="N18" s="124" t="n">
        <f aca="false">SUM(J$6:J18)</f>
        <v>0</v>
      </c>
      <c r="P18" s="124" t="n">
        <f aca="false">D18/P$3</f>
        <v>0</v>
      </c>
      <c r="Q18" s="124" t="n">
        <f aca="false">E18/P$3</f>
        <v>0</v>
      </c>
      <c r="R18" s="124" t="n">
        <f aca="false">F18/R$3</f>
        <v>0</v>
      </c>
      <c r="S18" s="126" t="n">
        <f aca="false">J18/$R$3</f>
        <v>0</v>
      </c>
      <c r="T18" s="126" t="n">
        <f aca="false">L18/$R$3</f>
        <v>0</v>
      </c>
      <c r="U18" s="126" t="n">
        <f aca="false">I18/$R$3</f>
        <v>0</v>
      </c>
      <c r="V18" s="126" t="n">
        <f aca="false">M18/$R$3</f>
        <v>0</v>
      </c>
      <c r="W18" s="126" t="n">
        <f aca="false">N18/$R$3</f>
        <v>0</v>
      </c>
    </row>
    <row r="19" customFormat="false" ht="12.75" hidden="true" customHeight="false" outlineLevel="0" collapsed="false">
      <c r="A19" s="120" t="n">
        <f aca="false">A18+1</f>
        <v>36905</v>
      </c>
      <c r="B19" s="131" t="str">
        <f aca="false">INDEX('Master Data'!$A$2:$B$8,MATCH(WEEKDAY('SC Total Gas'!A19,3),'Master Data'!$A$2:$A$8,0),2)</f>
        <v>Su</v>
      </c>
      <c r="D19" s="124" t="n">
        <v>0</v>
      </c>
      <c r="E19" s="124" t="n">
        <v>0</v>
      </c>
      <c r="F19" s="124" t="n">
        <v>0</v>
      </c>
      <c r="G19" s="124" t="n">
        <v>0</v>
      </c>
      <c r="I19" s="124" t="n">
        <f aca="false">IF(MONTH($A19)=MONTH($A18),IF(G19=0,I18,G19),0)</f>
        <v>0</v>
      </c>
      <c r="J19" s="124" t="n">
        <f aca="false">IF(MONTH($A19)=MONTH($A18),SUM(I19-I18),I19)</f>
        <v>0</v>
      </c>
      <c r="K19" s="124" t="n">
        <f aca="false">IF(WEEKDAY(A19,3)&gt;4,0,(IF(A19&lt;K$2,0,IF(A19&lt;=K$3,1,0))))</f>
        <v>0</v>
      </c>
      <c r="L19" s="124" t="n">
        <f aca="false">J19*K19</f>
        <v>0</v>
      </c>
      <c r="M19" s="124" t="n">
        <f aca="false">SUM(J$6:J19)</f>
        <v>0</v>
      </c>
      <c r="N19" s="124" t="n">
        <f aca="false">SUM(J$6:J19)</f>
        <v>0</v>
      </c>
      <c r="P19" s="124" t="n">
        <f aca="false">D19/P$3</f>
        <v>0</v>
      </c>
      <c r="Q19" s="124" t="n">
        <f aca="false">E19/P$3</f>
        <v>0</v>
      </c>
      <c r="R19" s="124" t="n">
        <f aca="false">F19/R$3</f>
        <v>0</v>
      </c>
      <c r="S19" s="126" t="n">
        <f aca="false">J19/$R$3</f>
        <v>0</v>
      </c>
      <c r="T19" s="126" t="n">
        <f aca="false">L19/$R$3</f>
        <v>0</v>
      </c>
      <c r="U19" s="126" t="n">
        <f aca="false">I19/$R$3</f>
        <v>0</v>
      </c>
      <c r="V19" s="126" t="n">
        <f aca="false">M19/$R$3</f>
        <v>0</v>
      </c>
      <c r="W19" s="126" t="n">
        <f aca="false">N19/$R$3</f>
        <v>0</v>
      </c>
    </row>
    <row r="20" customFormat="false" ht="12.75" hidden="true" customHeight="false" outlineLevel="0" collapsed="false">
      <c r="A20" s="120" t="n">
        <f aca="false">A19+1</f>
        <v>36906</v>
      </c>
      <c r="B20" s="131" t="str">
        <f aca="false">INDEX('Master Data'!$A$2:$B$8,MATCH(WEEKDAY('SC Total Gas'!A20,3),'Master Data'!$A$2:$A$8,0),2)</f>
        <v>M</v>
      </c>
      <c r="D20" s="124" t="n">
        <v>0</v>
      </c>
      <c r="E20" s="124" t="n">
        <v>0</v>
      </c>
      <c r="F20" s="124" t="n">
        <v>0</v>
      </c>
      <c r="G20" s="124" t="n">
        <v>0</v>
      </c>
      <c r="I20" s="124" t="n">
        <f aca="false">IF(MONTH($A20)=MONTH($A19),IF(G20=0,I19,G20),0)</f>
        <v>0</v>
      </c>
      <c r="J20" s="124" t="n">
        <f aca="false">IF(MONTH($A20)=MONTH($A19),SUM(I20-I19),I20)</f>
        <v>0</v>
      </c>
      <c r="K20" s="124" t="n">
        <f aca="false">IF(WEEKDAY(A20,3)&gt;4,0,(IF(A20&lt;K$2,0,IF(A20&lt;=K$3,1,0))))</f>
        <v>0</v>
      </c>
      <c r="L20" s="124" t="n">
        <f aca="false">J20*K20</f>
        <v>0</v>
      </c>
      <c r="M20" s="124" t="n">
        <f aca="false">SUM(J$6:J20)</f>
        <v>0</v>
      </c>
      <c r="N20" s="124" t="n">
        <f aca="false">SUM(J$6:J20)</f>
        <v>0</v>
      </c>
      <c r="P20" s="124" t="n">
        <f aca="false">D20/P$3</f>
        <v>0</v>
      </c>
      <c r="Q20" s="124" t="n">
        <f aca="false">E20/P$3</f>
        <v>0</v>
      </c>
      <c r="R20" s="124" t="n">
        <f aca="false">F20/R$3</f>
        <v>0</v>
      </c>
      <c r="S20" s="126" t="n">
        <f aca="false">J20/$R$3</f>
        <v>0</v>
      </c>
      <c r="T20" s="126" t="n">
        <f aca="false">L20/$R$3</f>
        <v>0</v>
      </c>
      <c r="U20" s="126" t="n">
        <f aca="false">I20/$R$3</f>
        <v>0</v>
      </c>
      <c r="V20" s="126" t="n">
        <f aca="false">M20/$R$3</f>
        <v>0</v>
      </c>
      <c r="W20" s="126" t="n">
        <f aca="false">N20/$R$3</f>
        <v>0</v>
      </c>
    </row>
    <row r="21" customFormat="false" ht="12.75" hidden="true" customHeight="false" outlineLevel="0" collapsed="false">
      <c r="A21" s="120" t="n">
        <f aca="false">A20+1</f>
        <v>36907</v>
      </c>
      <c r="B21" s="131" t="str">
        <f aca="false">INDEX('Master Data'!$A$2:$B$8,MATCH(WEEKDAY('SC Total Gas'!A21,3),'Master Data'!$A$2:$A$8,0),2)</f>
        <v>T</v>
      </c>
      <c r="D21" s="124" t="n">
        <v>0</v>
      </c>
      <c r="E21" s="124" t="n">
        <v>4072764.93727928</v>
      </c>
      <c r="F21" s="124" t="n">
        <v>0</v>
      </c>
      <c r="G21" s="124" t="n">
        <v>0</v>
      </c>
      <c r="I21" s="124" t="n">
        <f aca="false">IF(MONTH($A21)=MONTH($A20),IF(G21=0,I20,G21),0)</f>
        <v>0</v>
      </c>
      <c r="J21" s="124" t="n">
        <f aca="false">IF(MONTH($A21)=MONTH($A20),SUM(I21-I20),I21)</f>
        <v>0</v>
      </c>
      <c r="K21" s="124" t="n">
        <f aca="false">IF(WEEKDAY(A21,3)&gt;4,0,(IF(A21&lt;K$2,0,IF(A21&lt;=K$3,1,0))))</f>
        <v>0</v>
      </c>
      <c r="L21" s="124" t="n">
        <f aca="false">J21*K21</f>
        <v>0</v>
      </c>
      <c r="M21" s="124" t="n">
        <f aca="false">SUM(J$6:J21)</f>
        <v>0</v>
      </c>
      <c r="N21" s="124" t="n">
        <f aca="false">SUM(J$6:J21)</f>
        <v>0</v>
      </c>
      <c r="P21" s="124" t="n">
        <f aca="false">D21/P$3</f>
        <v>0</v>
      </c>
      <c r="Q21" s="124" t="n">
        <f aca="false">E21/P$3</f>
        <v>4.07276493727928</v>
      </c>
      <c r="R21" s="124" t="n">
        <f aca="false">F21/R$3</f>
        <v>0</v>
      </c>
      <c r="S21" s="126" t="n">
        <f aca="false">J21/$R$3</f>
        <v>0</v>
      </c>
      <c r="T21" s="126" t="n">
        <f aca="false">L21/$R$3</f>
        <v>0</v>
      </c>
      <c r="U21" s="126" t="n">
        <f aca="false">I21/$R$3</f>
        <v>0</v>
      </c>
      <c r="V21" s="126" t="n">
        <f aca="false">M21/$R$3</f>
        <v>0</v>
      </c>
      <c r="W21" s="126" t="n">
        <f aca="false">N21/$R$3</f>
        <v>0</v>
      </c>
    </row>
    <row r="22" customFormat="false" ht="12.75" hidden="true" customHeight="false" outlineLevel="0" collapsed="false">
      <c r="A22" s="120" t="n">
        <f aca="false">A21+1</f>
        <v>36908</v>
      </c>
      <c r="B22" s="131" t="str">
        <f aca="false">INDEX('Master Data'!$A$2:$B$8,MATCH(WEEKDAY('SC Total Gas'!A22,3),'Master Data'!$A$2:$A$8,0),2)</f>
        <v>W</v>
      </c>
      <c r="D22" s="124" t="n">
        <v>0</v>
      </c>
      <c r="E22" s="124" t="n">
        <v>4091356.51987023</v>
      </c>
      <c r="F22" s="124" t="n">
        <v>0</v>
      </c>
      <c r="G22" s="124" t="n">
        <v>0</v>
      </c>
      <c r="I22" s="124" t="n">
        <f aca="false">IF(MONTH($A22)=MONTH($A21),IF(G22=0,I21,G22),0)</f>
        <v>0</v>
      </c>
      <c r="J22" s="124" t="n">
        <f aca="false">IF(MONTH($A22)=MONTH($A21),SUM(I22-I21),I22)</f>
        <v>0</v>
      </c>
      <c r="K22" s="124" t="n">
        <f aca="false">IF(WEEKDAY(A22,3)&gt;4,0,(IF(A22&lt;K$2,0,IF(A22&lt;=K$3,1,0))))</f>
        <v>0</v>
      </c>
      <c r="L22" s="124" t="n">
        <f aca="false">J22*K22</f>
        <v>0</v>
      </c>
      <c r="M22" s="124" t="n">
        <f aca="false">SUM(J$6:J22)</f>
        <v>0</v>
      </c>
      <c r="N22" s="124" t="n">
        <f aca="false">SUM(J$6:J22)</f>
        <v>0</v>
      </c>
      <c r="P22" s="124" t="n">
        <f aca="false">D22/P$3</f>
        <v>0</v>
      </c>
      <c r="Q22" s="124" t="n">
        <f aca="false">E22/P$3</f>
        <v>4.09135651987023</v>
      </c>
      <c r="R22" s="124" t="n">
        <f aca="false">F22/R$3</f>
        <v>0</v>
      </c>
      <c r="S22" s="126" t="n">
        <f aca="false">J22/$R$3</f>
        <v>0</v>
      </c>
      <c r="T22" s="126" t="n">
        <f aca="false">L22/$R$3</f>
        <v>0</v>
      </c>
      <c r="U22" s="126" t="n">
        <f aca="false">I22/$R$3</f>
        <v>0</v>
      </c>
      <c r="V22" s="126" t="n">
        <f aca="false">M22/$R$3</f>
        <v>0</v>
      </c>
      <c r="W22" s="126" t="n">
        <f aca="false">N22/$R$3</f>
        <v>0</v>
      </c>
    </row>
    <row r="23" customFormat="false" ht="12.75" hidden="true" customHeight="false" outlineLevel="0" collapsed="false">
      <c r="A23" s="120" t="n">
        <f aca="false">A22+1</f>
        <v>36909</v>
      </c>
      <c r="B23" s="131" t="str">
        <f aca="false">INDEX('Master Data'!$A$2:$B$8,MATCH(WEEKDAY('SC Total Gas'!A23,3),'Master Data'!$A$2:$A$8,0),2)</f>
        <v>Th</v>
      </c>
      <c r="D23" s="124" t="n">
        <v>0</v>
      </c>
      <c r="E23" s="124" t="n">
        <v>4097458.47927387</v>
      </c>
      <c r="F23" s="124" t="n">
        <v>0</v>
      </c>
      <c r="G23" s="124" t="n">
        <v>0</v>
      </c>
      <c r="I23" s="124" t="n">
        <f aca="false">IF(MONTH($A23)=MONTH($A22),IF(G23=0,I22,G23),0)</f>
        <v>0</v>
      </c>
      <c r="J23" s="124" t="n">
        <f aca="false">IF(MONTH($A23)=MONTH($A22),SUM(I23-I22),I23)</f>
        <v>0</v>
      </c>
      <c r="K23" s="124" t="n">
        <f aca="false">IF(WEEKDAY(A23,3)&gt;4,0,(IF(A23&lt;K$2,0,IF(A23&lt;=K$3,1,0))))</f>
        <v>0</v>
      </c>
      <c r="L23" s="124" t="n">
        <f aca="false">J23*K23</f>
        <v>0</v>
      </c>
      <c r="M23" s="124" t="n">
        <f aca="false">SUM(J$6:J23)</f>
        <v>0</v>
      </c>
      <c r="N23" s="124" t="n">
        <f aca="false">SUM(J$6:J23)</f>
        <v>0</v>
      </c>
      <c r="P23" s="124" t="n">
        <f aca="false">D23/P$3</f>
        <v>0</v>
      </c>
      <c r="Q23" s="124" t="n">
        <f aca="false">E23/P$3</f>
        <v>4.09745847927387</v>
      </c>
      <c r="R23" s="124" t="n">
        <f aca="false">F23/R$3</f>
        <v>0</v>
      </c>
      <c r="S23" s="126" t="n">
        <f aca="false">J23/$R$3</f>
        <v>0</v>
      </c>
      <c r="T23" s="126" t="n">
        <f aca="false">L23/$R$3</f>
        <v>0</v>
      </c>
      <c r="U23" s="126" t="n">
        <f aca="false">I23/$R$3</f>
        <v>0</v>
      </c>
      <c r="V23" s="126" t="n">
        <f aca="false">M23/$R$3</f>
        <v>0</v>
      </c>
      <c r="W23" s="126" t="n">
        <f aca="false">N23/$R$3</f>
        <v>0</v>
      </c>
    </row>
    <row r="24" customFormat="false" ht="12.75" hidden="true" customHeight="false" outlineLevel="0" collapsed="false">
      <c r="A24" s="120" t="n">
        <f aca="false">A23+1</f>
        <v>36910</v>
      </c>
      <c r="B24" s="131" t="str">
        <f aca="false">INDEX('Master Data'!$A$2:$B$8,MATCH(WEEKDAY('SC Total Gas'!A24,3),'Master Data'!$A$2:$A$8,0),2)</f>
        <v>F</v>
      </c>
      <c r="D24" s="124" t="n">
        <v>0</v>
      </c>
      <c r="E24" s="124" t="n">
        <v>4113285.56861446</v>
      </c>
      <c r="F24" s="124" t="n">
        <v>0</v>
      </c>
      <c r="G24" s="124" t="n">
        <v>0</v>
      </c>
      <c r="I24" s="124" t="n">
        <f aca="false">IF(MONTH($A24)=MONTH($A23),IF(G24=0,I23,G24),0)</f>
        <v>0</v>
      </c>
      <c r="J24" s="124" t="n">
        <f aca="false">IF(MONTH($A24)=MONTH($A23),SUM(I24-I23),I24)</f>
        <v>0</v>
      </c>
      <c r="K24" s="124" t="n">
        <f aca="false">IF(WEEKDAY(A24,3)&gt;4,0,(IF(A24&lt;K$2,0,IF(A24&lt;=K$3,1,0))))</f>
        <v>0</v>
      </c>
      <c r="L24" s="124" t="n">
        <f aca="false">J24*K24</f>
        <v>0</v>
      </c>
      <c r="M24" s="124" t="n">
        <f aca="false">SUM(J$6:J24)</f>
        <v>0</v>
      </c>
      <c r="N24" s="124" t="n">
        <f aca="false">SUM(J$6:J24)</f>
        <v>0</v>
      </c>
      <c r="P24" s="124" t="n">
        <f aca="false">D24/P$3</f>
        <v>0</v>
      </c>
      <c r="Q24" s="124" t="n">
        <f aca="false">E24/P$3</f>
        <v>4.11328556861446</v>
      </c>
      <c r="R24" s="124" t="n">
        <f aca="false">F24/R$3</f>
        <v>0</v>
      </c>
      <c r="S24" s="126" t="n">
        <f aca="false">J24/$R$3</f>
        <v>0</v>
      </c>
      <c r="T24" s="126" t="n">
        <f aca="false">L24/$R$3</f>
        <v>0</v>
      </c>
      <c r="U24" s="126" t="n">
        <f aca="false">I24/$R$3</f>
        <v>0</v>
      </c>
      <c r="V24" s="126" t="n">
        <f aca="false">M24/$R$3</f>
        <v>0</v>
      </c>
      <c r="W24" s="126" t="n">
        <f aca="false">N24/$R$3</f>
        <v>0</v>
      </c>
    </row>
    <row r="25" customFormat="false" ht="12.75" hidden="true" customHeight="false" outlineLevel="0" collapsed="false">
      <c r="A25" s="120" t="n">
        <f aca="false">A24+1</f>
        <v>36911</v>
      </c>
      <c r="B25" s="131" t="str">
        <f aca="false">INDEX('Master Data'!$A$2:$B$8,MATCH(WEEKDAY('SC Total Gas'!A25,3),'Master Data'!$A$2:$A$8,0),2)</f>
        <v>Sa</v>
      </c>
      <c r="D25" s="124" t="n">
        <v>0</v>
      </c>
      <c r="E25" s="124" t="n">
        <v>0</v>
      </c>
      <c r="F25" s="124" t="n">
        <v>0</v>
      </c>
      <c r="G25" s="124" t="n">
        <v>0</v>
      </c>
      <c r="I25" s="124" t="n">
        <f aca="false">IF(MONTH($A25)=MONTH($A24),IF(G25=0,I24,G25),0)</f>
        <v>0</v>
      </c>
      <c r="J25" s="124" t="n">
        <f aca="false">IF(MONTH($A25)=MONTH($A24),SUM(I25-I24),I25)</f>
        <v>0</v>
      </c>
      <c r="K25" s="124" t="n">
        <f aca="false">IF(WEEKDAY(A25,3)&gt;4,0,(IF(A25&lt;K$2,0,IF(A25&lt;=K$3,1,0))))</f>
        <v>0</v>
      </c>
      <c r="L25" s="124" t="n">
        <f aca="false">J25*K25</f>
        <v>0</v>
      </c>
      <c r="M25" s="124" t="n">
        <f aca="false">SUM(J$6:J25)</f>
        <v>0</v>
      </c>
      <c r="N25" s="124" t="n">
        <f aca="false">SUM(J$6:J25)</f>
        <v>0</v>
      </c>
      <c r="P25" s="124" t="n">
        <f aca="false">D25/P$3</f>
        <v>0</v>
      </c>
      <c r="Q25" s="124" t="n">
        <f aca="false">E25/P$3</f>
        <v>0</v>
      </c>
      <c r="R25" s="124" t="n">
        <f aca="false">F25/R$3</f>
        <v>0</v>
      </c>
      <c r="S25" s="126" t="n">
        <f aca="false">J25/$R$3</f>
        <v>0</v>
      </c>
      <c r="T25" s="126" t="n">
        <f aca="false">L25/$R$3</f>
        <v>0</v>
      </c>
      <c r="U25" s="126" t="n">
        <f aca="false">I25/$R$3</f>
        <v>0</v>
      </c>
      <c r="V25" s="126" t="n">
        <f aca="false">M25/$R$3</f>
        <v>0</v>
      </c>
      <c r="W25" s="126" t="n">
        <f aca="false">N25/$R$3</f>
        <v>0</v>
      </c>
    </row>
    <row r="26" customFormat="false" ht="12.75" hidden="true" customHeight="false" outlineLevel="0" collapsed="false">
      <c r="A26" s="120" t="n">
        <f aca="false">A25+1</f>
        <v>36912</v>
      </c>
      <c r="B26" s="131" t="str">
        <f aca="false">INDEX('Master Data'!$A$2:$B$8,MATCH(WEEKDAY('SC Total Gas'!A26,3),'Master Data'!$A$2:$A$8,0),2)</f>
        <v>Su</v>
      </c>
      <c r="D26" s="124" t="n">
        <v>0</v>
      </c>
      <c r="E26" s="124" t="n">
        <v>0</v>
      </c>
      <c r="F26" s="124" t="n">
        <v>0</v>
      </c>
      <c r="G26" s="124" t="n">
        <v>0</v>
      </c>
      <c r="I26" s="124" t="n">
        <f aca="false">IF(MONTH($A26)=MONTH($A25),IF(G26=0,I25,G26),0)</f>
        <v>0</v>
      </c>
      <c r="J26" s="124" t="n">
        <f aca="false">IF(MONTH($A26)=MONTH($A25),SUM(I26-I25),I26)</f>
        <v>0</v>
      </c>
      <c r="K26" s="124" t="n">
        <f aca="false">IF(WEEKDAY(A26,3)&gt;4,0,(IF(A26&lt;K$2,0,IF(A26&lt;=K$3,1,0))))</f>
        <v>0</v>
      </c>
      <c r="L26" s="124" t="n">
        <f aca="false">J26*K26</f>
        <v>0</v>
      </c>
      <c r="M26" s="124" t="n">
        <f aca="false">SUM(J$6:J26)</f>
        <v>0</v>
      </c>
      <c r="N26" s="124" t="n">
        <f aca="false">SUM(J$6:J26)</f>
        <v>0</v>
      </c>
      <c r="P26" s="124" t="n">
        <f aca="false">D26/P$3</f>
        <v>0</v>
      </c>
      <c r="Q26" s="124" t="n">
        <f aca="false">E26/P$3</f>
        <v>0</v>
      </c>
      <c r="R26" s="124" t="n">
        <f aca="false">F26/R$3</f>
        <v>0</v>
      </c>
      <c r="S26" s="126" t="n">
        <f aca="false">J26/$R$3</f>
        <v>0</v>
      </c>
      <c r="T26" s="126" t="n">
        <f aca="false">L26/$R$3</f>
        <v>0</v>
      </c>
      <c r="U26" s="126" t="n">
        <f aca="false">I26/$R$3</f>
        <v>0</v>
      </c>
      <c r="V26" s="126" t="n">
        <f aca="false">M26/$R$3</f>
        <v>0</v>
      </c>
      <c r="W26" s="126" t="n">
        <f aca="false">N26/$R$3</f>
        <v>0</v>
      </c>
    </row>
    <row r="27" customFormat="false" ht="12.75" hidden="true" customHeight="false" outlineLevel="0" collapsed="false">
      <c r="A27" s="120" t="n">
        <f aca="false">A26+1</f>
        <v>36913</v>
      </c>
      <c r="B27" s="131" t="str">
        <f aca="false">INDEX('Master Data'!$A$2:$B$8,MATCH(WEEKDAY('SC Total Gas'!A27,3),'Master Data'!$A$2:$A$8,0),2)</f>
        <v>M</v>
      </c>
      <c r="D27" s="124" t="n">
        <v>0</v>
      </c>
      <c r="E27" s="124" t="n">
        <v>4125962.6484395</v>
      </c>
      <c r="F27" s="124" t="n">
        <v>0</v>
      </c>
      <c r="G27" s="124" t="n">
        <v>0</v>
      </c>
      <c r="I27" s="124" t="n">
        <f aca="false">IF(MONTH($A27)=MONTH($A26),IF(G27=0,I26,G27),0)</f>
        <v>0</v>
      </c>
      <c r="J27" s="124" t="n">
        <f aca="false">IF(MONTH($A27)=MONTH($A26),SUM(I27-I26),I27)</f>
        <v>0</v>
      </c>
      <c r="K27" s="124" t="n">
        <f aca="false">IF(WEEKDAY(A27,3)&gt;4,0,(IF(A27&lt;K$2,0,IF(A27&lt;=K$3,1,0))))</f>
        <v>0</v>
      </c>
      <c r="L27" s="124" t="n">
        <f aca="false">J27*K27</f>
        <v>0</v>
      </c>
      <c r="M27" s="124" t="n">
        <f aca="false">SUM(J$6:J27)</f>
        <v>0</v>
      </c>
      <c r="N27" s="124" t="n">
        <f aca="false">SUM(J$6:J27)</f>
        <v>0</v>
      </c>
      <c r="P27" s="124" t="n">
        <f aca="false">D27/P$3</f>
        <v>0</v>
      </c>
      <c r="Q27" s="124" t="n">
        <f aca="false">E27/P$3</f>
        <v>4.1259626484395</v>
      </c>
      <c r="R27" s="124" t="n">
        <f aca="false">F27/R$3</f>
        <v>0</v>
      </c>
      <c r="S27" s="126" t="n">
        <f aca="false">J27/$R$3</f>
        <v>0</v>
      </c>
      <c r="T27" s="126" t="n">
        <f aca="false">L27/$R$3</f>
        <v>0</v>
      </c>
      <c r="U27" s="126" t="n">
        <f aca="false">I27/$R$3</f>
        <v>0</v>
      </c>
      <c r="V27" s="126" t="n">
        <f aca="false">M27/$R$3</f>
        <v>0</v>
      </c>
      <c r="W27" s="126" t="n">
        <f aca="false">N27/$R$3</f>
        <v>0</v>
      </c>
    </row>
    <row r="28" customFormat="false" ht="12.75" hidden="true" customHeight="false" outlineLevel="0" collapsed="false">
      <c r="A28" s="120" t="n">
        <f aca="false">A27+1</f>
        <v>36914</v>
      </c>
      <c r="B28" s="131" t="str">
        <f aca="false">INDEX('Master Data'!$A$2:$B$8,MATCH(WEEKDAY('SC Total Gas'!A28,3),'Master Data'!$A$2:$A$8,0),2)</f>
        <v>T</v>
      </c>
      <c r="D28" s="124" t="n">
        <v>0</v>
      </c>
      <c r="E28" s="124" t="n">
        <v>4118749.90477405</v>
      </c>
      <c r="F28" s="124" t="n">
        <v>0</v>
      </c>
      <c r="G28" s="124" t="n">
        <v>0</v>
      </c>
      <c r="I28" s="124" t="n">
        <f aca="false">IF(MONTH($A28)=MONTH($A27),IF(G28=0,I27,G28),0)</f>
        <v>0</v>
      </c>
      <c r="J28" s="124" t="n">
        <f aca="false">IF(MONTH($A28)=MONTH($A27),SUM(I28-I27),I28)</f>
        <v>0</v>
      </c>
      <c r="K28" s="124" t="n">
        <f aca="false">IF(WEEKDAY(A28,3)&gt;4,0,(IF(A28&lt;K$2,0,IF(A28&lt;=K$3,1,0))))</f>
        <v>0</v>
      </c>
      <c r="L28" s="124" t="n">
        <f aca="false">J28*K28</f>
        <v>0</v>
      </c>
      <c r="M28" s="124" t="n">
        <f aca="false">SUM(J$6:J28)</f>
        <v>0</v>
      </c>
      <c r="N28" s="124" t="n">
        <f aca="false">SUM(J$6:J28)</f>
        <v>0</v>
      </c>
      <c r="P28" s="124" t="n">
        <f aca="false">D28/P$3</f>
        <v>0</v>
      </c>
      <c r="Q28" s="124" t="n">
        <f aca="false">E28/P$3</f>
        <v>4.11874990477405</v>
      </c>
      <c r="R28" s="124" t="n">
        <f aca="false">F28/R$3</f>
        <v>0</v>
      </c>
      <c r="S28" s="126" t="n">
        <f aca="false">J28/$R$3</f>
        <v>0</v>
      </c>
      <c r="T28" s="126" t="n">
        <f aca="false">L28/$R$3</f>
        <v>0</v>
      </c>
      <c r="U28" s="126" t="n">
        <f aca="false">I28/$R$3</f>
        <v>0</v>
      </c>
      <c r="V28" s="126" t="n">
        <f aca="false">M28/$R$3</f>
        <v>0</v>
      </c>
      <c r="W28" s="126" t="n">
        <f aca="false">N28/$R$3</f>
        <v>0</v>
      </c>
    </row>
    <row r="29" customFormat="false" ht="12.75" hidden="true" customHeight="false" outlineLevel="0" collapsed="false">
      <c r="A29" s="120" t="n">
        <f aca="false">A28+1</f>
        <v>36915</v>
      </c>
      <c r="B29" s="131" t="str">
        <f aca="false">INDEX('Master Data'!$A$2:$B$8,MATCH(WEEKDAY('SC Total Gas'!A29,3),'Master Data'!$A$2:$A$8,0),2)</f>
        <v>W</v>
      </c>
      <c r="D29" s="124" t="n">
        <v>0</v>
      </c>
      <c r="E29" s="124" t="n">
        <v>4121149.67945708</v>
      </c>
      <c r="F29" s="124" t="n">
        <v>0</v>
      </c>
      <c r="G29" s="124" t="n">
        <v>0</v>
      </c>
      <c r="I29" s="124" t="n">
        <f aca="false">IF(MONTH($A29)=MONTH($A28),IF(G29=0,I28,G29),0)</f>
        <v>0</v>
      </c>
      <c r="J29" s="124" t="n">
        <f aca="false">IF(MONTH($A29)=MONTH($A28),SUM(I29-I28),I29)</f>
        <v>0</v>
      </c>
      <c r="K29" s="124" t="n">
        <f aca="false">IF(WEEKDAY(A29,3)&gt;4,0,(IF(A29&lt;K$2,0,IF(A29&lt;=K$3,1,0))))</f>
        <v>0</v>
      </c>
      <c r="L29" s="124" t="n">
        <f aca="false">J29*K29</f>
        <v>0</v>
      </c>
      <c r="M29" s="124" t="n">
        <f aca="false">SUM(J$6:J29)</f>
        <v>0</v>
      </c>
      <c r="N29" s="124" t="n">
        <f aca="false">SUM(J$6:J29)</f>
        <v>0</v>
      </c>
      <c r="P29" s="124" t="n">
        <f aca="false">D29/P$3</f>
        <v>0</v>
      </c>
      <c r="Q29" s="124" t="n">
        <f aca="false">E29/P$3</f>
        <v>4.12114967945708</v>
      </c>
      <c r="R29" s="124" t="n">
        <f aca="false">F29/R$3</f>
        <v>0</v>
      </c>
      <c r="S29" s="126" t="n">
        <f aca="false">J29/$R$3</f>
        <v>0</v>
      </c>
      <c r="T29" s="126" t="n">
        <f aca="false">L29/$R$3</f>
        <v>0</v>
      </c>
      <c r="U29" s="126" t="n">
        <f aca="false">I29/$R$3</f>
        <v>0</v>
      </c>
      <c r="V29" s="126" t="n">
        <f aca="false">M29/$R$3</f>
        <v>0</v>
      </c>
      <c r="W29" s="126" t="n">
        <f aca="false">N29/$R$3</f>
        <v>0</v>
      </c>
    </row>
    <row r="30" customFormat="false" ht="12.75" hidden="true" customHeight="false" outlineLevel="0" collapsed="false">
      <c r="A30" s="120" t="n">
        <f aca="false">A29+1</f>
        <v>36916</v>
      </c>
      <c r="B30" s="131" t="str">
        <f aca="false">INDEX('Master Data'!$A$2:$B$8,MATCH(WEEKDAY('SC Total Gas'!A30,3),'Master Data'!$A$2:$A$8,0),2)</f>
        <v>Th</v>
      </c>
      <c r="D30" s="124" t="n">
        <v>0</v>
      </c>
      <c r="E30" s="124" t="n">
        <v>4130162.98160879</v>
      </c>
      <c r="F30" s="124" t="n">
        <v>0</v>
      </c>
      <c r="G30" s="124" t="n">
        <v>0</v>
      </c>
      <c r="I30" s="124" t="n">
        <f aca="false">IF(MONTH($A30)=MONTH($A29),IF(G30=0,I29,G30),0)</f>
        <v>0</v>
      </c>
      <c r="J30" s="124" t="n">
        <f aca="false">IF(MONTH($A30)=MONTH($A29),SUM(I30-I29),I30)</f>
        <v>0</v>
      </c>
      <c r="K30" s="124" t="n">
        <f aca="false">IF(WEEKDAY(A30,3)&gt;4,0,(IF(A30&lt;K$2,0,IF(A30&lt;=K$3,1,0))))</f>
        <v>0</v>
      </c>
      <c r="L30" s="124" t="n">
        <f aca="false">J30*K30</f>
        <v>0</v>
      </c>
      <c r="M30" s="124" t="n">
        <f aca="false">SUM(J$6:J30)</f>
        <v>0</v>
      </c>
      <c r="N30" s="124" t="n">
        <f aca="false">SUM(J$6:J30)</f>
        <v>0</v>
      </c>
      <c r="P30" s="124" t="n">
        <f aca="false">D30/P$3</f>
        <v>0</v>
      </c>
      <c r="Q30" s="124" t="n">
        <f aca="false">E30/P$3</f>
        <v>4.13016298160879</v>
      </c>
      <c r="R30" s="124" t="n">
        <f aca="false">F30/R$3</f>
        <v>0</v>
      </c>
      <c r="S30" s="126" t="n">
        <f aca="false">J30/$R$3</f>
        <v>0</v>
      </c>
      <c r="T30" s="126" t="n">
        <f aca="false">L30/$R$3</f>
        <v>0</v>
      </c>
      <c r="U30" s="126" t="n">
        <f aca="false">I30/$R$3</f>
        <v>0</v>
      </c>
      <c r="V30" s="126" t="n">
        <f aca="false">M30/$R$3</f>
        <v>0</v>
      </c>
      <c r="W30" s="126" t="n">
        <f aca="false">N30/$R$3</f>
        <v>0</v>
      </c>
    </row>
    <row r="31" customFormat="false" ht="12.75" hidden="true" customHeight="false" outlineLevel="0" collapsed="false">
      <c r="A31" s="120" t="n">
        <f aca="false">A30+1</f>
        <v>36917</v>
      </c>
      <c r="B31" s="131" t="str">
        <f aca="false">INDEX('Master Data'!$A$2:$B$8,MATCH(WEEKDAY('SC Total Gas'!A31,3),'Master Data'!$A$2:$A$8,0),2)</f>
        <v>F</v>
      </c>
      <c r="D31" s="124" t="n">
        <v>0</v>
      </c>
      <c r="E31" s="124" t="n">
        <v>4140989.74140363</v>
      </c>
      <c r="F31" s="124" t="n">
        <v>0</v>
      </c>
      <c r="G31" s="124" t="n">
        <v>0</v>
      </c>
      <c r="I31" s="124" t="n">
        <f aca="false">IF(MONTH($A31)=MONTH($A30),IF(G31=0,I30,G31),0)</f>
        <v>0</v>
      </c>
      <c r="J31" s="124" t="n">
        <f aca="false">IF(MONTH($A31)=MONTH($A30),SUM(I31-I30),I31)</f>
        <v>0</v>
      </c>
      <c r="K31" s="124" t="n">
        <f aca="false">IF(WEEKDAY(A31,3)&gt;4,0,(IF(A31&lt;K$2,0,IF(A31&lt;=K$3,1,0))))</f>
        <v>0</v>
      </c>
      <c r="L31" s="124" t="n">
        <f aca="false">J31*K31</f>
        <v>0</v>
      </c>
      <c r="M31" s="124" t="n">
        <f aca="false">SUM(J$6:J31)</f>
        <v>0</v>
      </c>
      <c r="N31" s="124" t="n">
        <f aca="false">SUM(J$6:J31)</f>
        <v>0</v>
      </c>
      <c r="P31" s="124" t="n">
        <f aca="false">D31/P$3</f>
        <v>0</v>
      </c>
      <c r="Q31" s="124" t="n">
        <f aca="false">E31/P$3</f>
        <v>4.14098974140363</v>
      </c>
      <c r="R31" s="124" t="n">
        <f aca="false">F31/R$3</f>
        <v>0</v>
      </c>
      <c r="S31" s="126" t="n">
        <f aca="false">J31/$R$3</f>
        <v>0</v>
      </c>
      <c r="T31" s="126" t="n">
        <f aca="false">L31/$R$3</f>
        <v>0</v>
      </c>
      <c r="U31" s="126" t="n">
        <f aca="false">I31/$R$3</f>
        <v>0</v>
      </c>
      <c r="V31" s="126" t="n">
        <f aca="false">M31/$R$3</f>
        <v>0</v>
      </c>
      <c r="W31" s="126" t="n">
        <f aca="false">N31/$R$3</f>
        <v>0</v>
      </c>
    </row>
    <row r="32" customFormat="false" ht="12.75" hidden="true" customHeight="false" outlineLevel="0" collapsed="false">
      <c r="A32" s="120" t="n">
        <f aca="false">A31+1</f>
        <v>36918</v>
      </c>
      <c r="B32" s="131" t="str">
        <f aca="false">INDEX('Master Data'!$A$2:$B$8,MATCH(WEEKDAY('SC Total Gas'!A32,3),'Master Data'!$A$2:$A$8,0),2)</f>
        <v>Sa</v>
      </c>
      <c r="D32" s="124" t="n">
        <v>0</v>
      </c>
      <c r="E32" s="124" t="n">
        <v>0</v>
      </c>
      <c r="F32" s="124" t="n">
        <v>0</v>
      </c>
      <c r="G32" s="124" t="n">
        <v>0</v>
      </c>
      <c r="I32" s="124" t="n">
        <f aca="false">IF(MONTH($A32)=MONTH($A31),IF(G32=0,I31,G32),0)</f>
        <v>0</v>
      </c>
      <c r="J32" s="124" t="n">
        <f aca="false">IF(MONTH($A32)=MONTH($A31),SUM(I32-I31),I32)</f>
        <v>0</v>
      </c>
      <c r="K32" s="124" t="n">
        <f aca="false">IF(WEEKDAY(A32,3)&gt;4,0,(IF(A32&lt;K$2,0,IF(A32&lt;=K$3,1,0))))</f>
        <v>0</v>
      </c>
      <c r="L32" s="124" t="n">
        <f aca="false">J32*K32</f>
        <v>0</v>
      </c>
      <c r="M32" s="124" t="n">
        <f aca="false">SUM(J$6:J32)</f>
        <v>0</v>
      </c>
      <c r="N32" s="124" t="n">
        <f aca="false">SUM(J$6:J32)</f>
        <v>0</v>
      </c>
      <c r="P32" s="124" t="n">
        <f aca="false">D32/P$3</f>
        <v>0</v>
      </c>
      <c r="Q32" s="124" t="n">
        <f aca="false">E32/P$3</f>
        <v>0</v>
      </c>
      <c r="R32" s="124" t="n">
        <f aca="false">F32/R$3</f>
        <v>0</v>
      </c>
      <c r="S32" s="126" t="n">
        <f aca="false">J32/$R$3</f>
        <v>0</v>
      </c>
      <c r="T32" s="126" t="n">
        <f aca="false">L32/$R$3</f>
        <v>0</v>
      </c>
      <c r="U32" s="126" t="n">
        <f aca="false">I32/$R$3</f>
        <v>0</v>
      </c>
      <c r="V32" s="126" t="n">
        <f aca="false">M32/$R$3</f>
        <v>0</v>
      </c>
      <c r="W32" s="126" t="n">
        <f aca="false">N32/$R$3</f>
        <v>0</v>
      </c>
    </row>
    <row r="33" customFormat="false" ht="12.75" hidden="true" customHeight="false" outlineLevel="0" collapsed="false">
      <c r="A33" s="120" t="n">
        <f aca="false">A32+1</f>
        <v>36919</v>
      </c>
      <c r="B33" s="131" t="str">
        <f aca="false">INDEX('Master Data'!$A$2:$B$8,MATCH(WEEKDAY('SC Total Gas'!A33,3),'Master Data'!$A$2:$A$8,0),2)</f>
        <v>Su</v>
      </c>
      <c r="D33" s="124" t="n">
        <v>0</v>
      </c>
      <c r="E33" s="124" t="n">
        <v>0</v>
      </c>
      <c r="F33" s="124" t="n">
        <v>0</v>
      </c>
      <c r="G33" s="124" t="n">
        <v>0</v>
      </c>
      <c r="I33" s="124" t="n">
        <f aca="false">IF(MONTH($A33)=MONTH($A32),IF(G33=0,I32,G33),0)</f>
        <v>0</v>
      </c>
      <c r="J33" s="124" t="n">
        <f aca="false">IF(MONTH($A33)=MONTH($A32),SUM(I33-I32),I33)</f>
        <v>0</v>
      </c>
      <c r="K33" s="124" t="n">
        <f aca="false">IF(WEEKDAY(A33,3)&gt;4,0,(IF(A33&lt;K$2,0,IF(A33&lt;=K$3,1,0))))</f>
        <v>0</v>
      </c>
      <c r="L33" s="124" t="n">
        <f aca="false">J33*K33</f>
        <v>0</v>
      </c>
      <c r="M33" s="124" t="n">
        <f aca="false">SUM(J$6:J33)</f>
        <v>0</v>
      </c>
      <c r="N33" s="124" t="n">
        <f aca="false">SUM(J$6:J33)</f>
        <v>0</v>
      </c>
      <c r="P33" s="124" t="n">
        <f aca="false">D33/P$3</f>
        <v>0</v>
      </c>
      <c r="Q33" s="124" t="n">
        <f aca="false">E33/P$3</f>
        <v>0</v>
      </c>
      <c r="R33" s="124" t="n">
        <f aca="false">F33/R$3</f>
        <v>0</v>
      </c>
      <c r="S33" s="126" t="n">
        <f aca="false">J33/$R$3</f>
        <v>0</v>
      </c>
      <c r="T33" s="126" t="n">
        <f aca="false">L33/$R$3</f>
        <v>0</v>
      </c>
      <c r="U33" s="126" t="n">
        <f aca="false">I33/$R$3</f>
        <v>0</v>
      </c>
      <c r="V33" s="126" t="n">
        <f aca="false">M33/$R$3</f>
        <v>0</v>
      </c>
      <c r="W33" s="126" t="n">
        <f aca="false">N33/$R$3</f>
        <v>0</v>
      </c>
    </row>
    <row r="34" customFormat="false" ht="12.75" hidden="true" customHeight="false" outlineLevel="0" collapsed="false">
      <c r="A34" s="120" t="n">
        <f aca="false">A33+1</f>
        <v>36920</v>
      </c>
      <c r="B34" s="131" t="str">
        <f aca="false">INDEX('Master Data'!$A$2:$B$8,MATCH(WEEKDAY('SC Total Gas'!A34,3),'Master Data'!$A$2:$A$8,0),2)</f>
        <v>M</v>
      </c>
      <c r="D34" s="124" t="n">
        <v>0</v>
      </c>
      <c r="E34" s="124" t="n">
        <v>4160788.11198303</v>
      </c>
      <c r="F34" s="124" t="n">
        <v>0</v>
      </c>
      <c r="G34" s="124" t="n">
        <v>0</v>
      </c>
      <c r="I34" s="124" t="n">
        <f aca="false">IF(MONTH($A34)=MONTH($A33),IF(G34=0,I33,G34),0)</f>
        <v>0</v>
      </c>
      <c r="J34" s="124" t="n">
        <f aca="false">IF(MONTH($A34)=MONTH($A33),SUM(I34-I33),I34)</f>
        <v>0</v>
      </c>
      <c r="K34" s="124" t="n">
        <f aca="false">IF(WEEKDAY(A34,3)&gt;4,0,(IF(A34&lt;K$2,0,IF(A34&lt;=K$3,1,0))))</f>
        <v>0</v>
      </c>
      <c r="L34" s="124" t="n">
        <f aca="false">J34*K34</f>
        <v>0</v>
      </c>
      <c r="M34" s="124" t="n">
        <f aca="false">SUM(J$6:J34)</f>
        <v>0</v>
      </c>
      <c r="N34" s="124" t="n">
        <f aca="false">SUM(J$6:J34)</f>
        <v>0</v>
      </c>
      <c r="P34" s="124" t="n">
        <f aca="false">D34/P$3</f>
        <v>0</v>
      </c>
      <c r="Q34" s="124" t="n">
        <f aca="false">E34/P$3</f>
        <v>4.16078811198303</v>
      </c>
      <c r="R34" s="124" t="n">
        <f aca="false">F34/R$3</f>
        <v>0</v>
      </c>
      <c r="S34" s="126" t="n">
        <f aca="false">J34/$R$3</f>
        <v>0</v>
      </c>
      <c r="T34" s="126" t="n">
        <f aca="false">L34/$R$3</f>
        <v>0</v>
      </c>
      <c r="U34" s="126" t="n">
        <f aca="false">I34/$R$3</f>
        <v>0</v>
      </c>
      <c r="V34" s="126" t="n">
        <f aca="false">M34/$R$3</f>
        <v>0</v>
      </c>
      <c r="W34" s="126" t="n">
        <f aca="false">N34/$R$3</f>
        <v>0</v>
      </c>
    </row>
    <row r="35" customFormat="false" ht="12.75" hidden="true" customHeight="false" outlineLevel="0" collapsed="false">
      <c r="A35" s="120" t="n">
        <f aca="false">A34+1</f>
        <v>36921</v>
      </c>
      <c r="B35" s="131" t="str">
        <f aca="false">INDEX('Master Data'!$A$2:$B$8,MATCH(WEEKDAY('SC Total Gas'!A35,3),'Master Data'!$A$2:$A$8,0),2)</f>
        <v>T</v>
      </c>
      <c r="D35" s="124" t="n">
        <v>0</v>
      </c>
      <c r="E35" s="124" t="n">
        <v>4181140.02510727</v>
      </c>
      <c r="F35" s="124" t="n">
        <v>0</v>
      </c>
      <c r="G35" s="124" t="n">
        <v>0</v>
      </c>
      <c r="I35" s="124" t="n">
        <f aca="false">IF(MONTH($A35)=MONTH($A34),IF(G35=0,I34,G35),0)</f>
        <v>0</v>
      </c>
      <c r="J35" s="124" t="n">
        <f aca="false">IF(MONTH($A35)=MONTH($A34),SUM(I35-I34),I35)</f>
        <v>0</v>
      </c>
      <c r="K35" s="124" t="n">
        <f aca="false">IF(WEEKDAY(A35,3)&gt;4,0,(IF(A35&lt;K$2,0,IF(A35&lt;=K$3,1,0))))</f>
        <v>0</v>
      </c>
      <c r="L35" s="124" t="n">
        <f aca="false">J35*K35</f>
        <v>0</v>
      </c>
      <c r="M35" s="124" t="n">
        <f aca="false">SUM(J$6:J35)</f>
        <v>0</v>
      </c>
      <c r="N35" s="124" t="n">
        <f aca="false">SUM(J$6:J35)</f>
        <v>0</v>
      </c>
      <c r="P35" s="124" t="n">
        <f aca="false">D35/P$3</f>
        <v>0</v>
      </c>
      <c r="Q35" s="124" t="n">
        <f aca="false">E35/P$3</f>
        <v>4.18114002510728</v>
      </c>
      <c r="R35" s="124" t="n">
        <f aca="false">F35/R$3</f>
        <v>0</v>
      </c>
      <c r="S35" s="126" t="n">
        <f aca="false">J35/$R$3</f>
        <v>0</v>
      </c>
      <c r="T35" s="126" t="n">
        <f aca="false">L35/$R$3</f>
        <v>0</v>
      </c>
      <c r="U35" s="126" t="n">
        <f aca="false">I35/$R$3</f>
        <v>0</v>
      </c>
      <c r="V35" s="126" t="n">
        <f aca="false">M35/$R$3</f>
        <v>0</v>
      </c>
      <c r="W35" s="126" t="n">
        <f aca="false">N35/$R$3</f>
        <v>0</v>
      </c>
    </row>
    <row r="36" customFormat="false" ht="12.75" hidden="false" customHeight="false" outlineLevel="0" collapsed="false">
      <c r="A36" s="120" t="n">
        <f aca="false">A35+1</f>
        <v>36922</v>
      </c>
      <c r="B36" s="131" t="str">
        <f aca="false">INDEX('Master Data'!$A$2:$B$8,MATCH(WEEKDAY('SC Total Gas'!A36,3),'Master Data'!$A$2:$A$8,0),2)</f>
        <v>W</v>
      </c>
      <c r="D36" s="124" t="n">
        <v>0</v>
      </c>
      <c r="E36" s="124" t="n">
        <v>4207043.91070359</v>
      </c>
      <c r="F36" s="124" t="n">
        <v>0</v>
      </c>
      <c r="G36" s="124" t="n">
        <v>0</v>
      </c>
      <c r="I36" s="124" t="n">
        <f aca="false">IF(MONTH($A36)=MONTH($A35),IF(G36=0,I35,G36),0)</f>
        <v>0</v>
      </c>
      <c r="J36" s="124" t="n">
        <f aca="false">IF(MONTH($A36)=MONTH($A35),SUM(I36-I35),I36)</f>
        <v>0</v>
      </c>
      <c r="K36" s="124" t="n">
        <f aca="false">IF(WEEKDAY(A36,3)&gt;4,0,(IF(A36&lt;K$2,0,IF(A36&lt;=K$3,1,0))))</f>
        <v>0</v>
      </c>
      <c r="L36" s="124" t="n">
        <f aca="false">J36*K36</f>
        <v>0</v>
      </c>
      <c r="M36" s="124" t="n">
        <f aca="false">SUM(J$6:J36)</f>
        <v>0</v>
      </c>
      <c r="N36" s="124" t="n">
        <f aca="false">SUM(J$6:J36)</f>
        <v>0</v>
      </c>
      <c r="P36" s="124" t="n">
        <f aca="false">D36/P$3</f>
        <v>0</v>
      </c>
      <c r="Q36" s="124" t="n">
        <f aca="false">E36/P$3</f>
        <v>4.20704391070359</v>
      </c>
      <c r="R36" s="124" t="n">
        <f aca="false">F36/R$3</f>
        <v>0</v>
      </c>
      <c r="S36" s="126" t="n">
        <f aca="false">J36/$R$3</f>
        <v>0</v>
      </c>
      <c r="T36" s="126" t="n">
        <f aca="false">L36/$R$3</f>
        <v>0</v>
      </c>
      <c r="U36" s="126" t="n">
        <f aca="false">I36/$R$3</f>
        <v>0</v>
      </c>
      <c r="V36" s="126" t="n">
        <f aca="false">M36/$R$3</f>
        <v>0</v>
      </c>
      <c r="W36" s="126" t="n">
        <f aca="false">N36/$R$3</f>
        <v>0</v>
      </c>
    </row>
    <row r="37" customFormat="false" ht="12.75" hidden="true" customHeight="false" outlineLevel="0" collapsed="false">
      <c r="A37" s="120" t="n">
        <f aca="false">A36+1</f>
        <v>36923</v>
      </c>
      <c r="B37" s="131" t="str">
        <f aca="false">INDEX('Master Data'!$A$2:$B$8,MATCH(WEEKDAY('SC Total Gas'!A37,3),'Master Data'!$A$2:$A$8,0),2)</f>
        <v>Th</v>
      </c>
      <c r="D37" s="124" t="n">
        <v>0</v>
      </c>
      <c r="E37" s="124" t="n">
        <v>4220946.70231905</v>
      </c>
      <c r="F37" s="124" t="n">
        <v>0</v>
      </c>
      <c r="G37" s="124" t="n">
        <v>0</v>
      </c>
      <c r="I37" s="124" t="n">
        <f aca="false">IF(MONTH($A37)=MONTH($A36),IF(G37=0,I36,G37),G37)</f>
        <v>0</v>
      </c>
      <c r="J37" s="124" t="n">
        <f aca="false">IF(MONTH($A37)=MONTH($A36),SUM(I37-I36),I37)</f>
        <v>0</v>
      </c>
      <c r="K37" s="124" t="n">
        <f aca="false">IF(WEEKDAY(A37,3)&gt;4,0,(IF(A37&lt;K$2,0,IF(A37&lt;=K$3,1,0))))</f>
        <v>0</v>
      </c>
      <c r="L37" s="124" t="n">
        <f aca="false">J37*K37</f>
        <v>0</v>
      </c>
      <c r="M37" s="124" t="n">
        <f aca="false">SUM(J$6:J37)</f>
        <v>0</v>
      </c>
      <c r="N37" s="124" t="n">
        <f aca="false">SUM(J$6:J37)</f>
        <v>0</v>
      </c>
      <c r="P37" s="124" t="n">
        <f aca="false">D37/P$3</f>
        <v>0</v>
      </c>
      <c r="Q37" s="124" t="n">
        <f aca="false">E37/P$3</f>
        <v>4.22094670231904</v>
      </c>
      <c r="R37" s="124" t="n">
        <f aca="false">F37/R$3</f>
        <v>0</v>
      </c>
      <c r="S37" s="126" t="n">
        <f aca="false">J37/$R$3</f>
        <v>0</v>
      </c>
      <c r="T37" s="126" t="n">
        <f aca="false">L37/$R$3</f>
        <v>0</v>
      </c>
      <c r="U37" s="126" t="n">
        <f aca="false">I37/$R$3</f>
        <v>0</v>
      </c>
      <c r="V37" s="126" t="n">
        <f aca="false">M37/$R$3</f>
        <v>0</v>
      </c>
      <c r="W37" s="126" t="n">
        <f aca="false">N37/$R$3</f>
        <v>0</v>
      </c>
    </row>
    <row r="38" customFormat="false" ht="12.75" hidden="true" customHeight="false" outlineLevel="0" collapsed="false">
      <c r="A38" s="120" t="n">
        <f aca="false">A37+1</f>
        <v>36924</v>
      </c>
      <c r="B38" s="131" t="str">
        <f aca="false">INDEX('Master Data'!$A$2:$B$8,MATCH(WEEKDAY('SC Total Gas'!A38,3),'Master Data'!$A$2:$A$8,0),2)</f>
        <v>F</v>
      </c>
      <c r="D38" s="124" t="n">
        <v>0</v>
      </c>
      <c r="E38" s="124" t="n">
        <v>4206744.25968275</v>
      </c>
      <c r="F38" s="124" t="n">
        <v>0</v>
      </c>
      <c r="G38" s="124" t="n">
        <v>0</v>
      </c>
      <c r="I38" s="124" t="n">
        <f aca="false">IF(MONTH($A38)=MONTH($A37),IF(G38=0,I37,G38),G38)</f>
        <v>0</v>
      </c>
      <c r="J38" s="124" t="n">
        <f aca="false">IF(MONTH($A38)=MONTH($A37),SUM(I38-I37),I38)</f>
        <v>0</v>
      </c>
      <c r="K38" s="124" t="n">
        <f aca="false">IF(WEEKDAY(A38,3)&gt;4,0,(IF(A38&lt;K$2,0,IF(A38&lt;=K$3,1,0))))</f>
        <v>0</v>
      </c>
      <c r="L38" s="124" t="n">
        <f aca="false">J38*K38</f>
        <v>0</v>
      </c>
      <c r="M38" s="124" t="n">
        <f aca="false">SUM(J$6:J38)</f>
        <v>0</v>
      </c>
      <c r="N38" s="124" t="n">
        <f aca="false">SUM(J$6:J38)</f>
        <v>0</v>
      </c>
      <c r="P38" s="124" t="n">
        <f aca="false">D38/P$3</f>
        <v>0</v>
      </c>
      <c r="Q38" s="124" t="n">
        <f aca="false">E38/P$3</f>
        <v>4.20674425968275</v>
      </c>
      <c r="R38" s="124" t="n">
        <f aca="false">F38/R$3</f>
        <v>0</v>
      </c>
      <c r="S38" s="126" t="n">
        <f aca="false">J38/$R$3</f>
        <v>0</v>
      </c>
      <c r="T38" s="126" t="n">
        <f aca="false">L38/$R$3</f>
        <v>0</v>
      </c>
      <c r="U38" s="126" t="n">
        <f aca="false">I38/$R$3</f>
        <v>0</v>
      </c>
      <c r="V38" s="126" t="n">
        <f aca="false">M38/$R$3</f>
        <v>0</v>
      </c>
      <c r="W38" s="126" t="n">
        <f aca="false">N38/$R$3</f>
        <v>0</v>
      </c>
    </row>
    <row r="39" customFormat="false" ht="12.75" hidden="true" customHeight="false" outlineLevel="0" collapsed="false">
      <c r="A39" s="120" t="n">
        <f aca="false">A38+1</f>
        <v>36925</v>
      </c>
      <c r="B39" s="131" t="str">
        <f aca="false">INDEX('Master Data'!$A$2:$B$8,MATCH(WEEKDAY('SC Total Gas'!A39,3),'Master Data'!$A$2:$A$8,0),2)</f>
        <v>Sa</v>
      </c>
      <c r="D39" s="124" t="n">
        <v>0</v>
      </c>
      <c r="E39" s="124" t="n">
        <v>0</v>
      </c>
      <c r="F39" s="124" t="n">
        <v>0</v>
      </c>
      <c r="G39" s="124" t="n">
        <v>0</v>
      </c>
      <c r="I39" s="124" t="n">
        <f aca="false">IF(MONTH($A39)=MONTH($A38),IF(G39=0,I38,G39),G39)</f>
        <v>0</v>
      </c>
      <c r="J39" s="124" t="n">
        <f aca="false">IF(MONTH($A39)=MONTH($A38),SUM(I39-I38),I39)</f>
        <v>0</v>
      </c>
      <c r="K39" s="124" t="n">
        <f aca="false">IF(WEEKDAY(A39,3)&gt;4,0,(IF(A39&lt;K$2,0,IF(A39&lt;=K$3,1,0))))</f>
        <v>0</v>
      </c>
      <c r="L39" s="124" t="n">
        <f aca="false">J39*K39</f>
        <v>0</v>
      </c>
      <c r="M39" s="124" t="n">
        <f aca="false">SUM(J$6:J39)</f>
        <v>0</v>
      </c>
      <c r="N39" s="124" t="n">
        <f aca="false">SUM(J$6:J39)</f>
        <v>0</v>
      </c>
      <c r="P39" s="124" t="n">
        <f aca="false">D39/P$3</f>
        <v>0</v>
      </c>
      <c r="Q39" s="124" t="n">
        <f aca="false">E39/P$3</f>
        <v>0</v>
      </c>
      <c r="R39" s="124" t="n">
        <f aca="false">F39/R$3</f>
        <v>0</v>
      </c>
      <c r="S39" s="126" t="n">
        <f aca="false">J39/$R$3</f>
        <v>0</v>
      </c>
      <c r="T39" s="126" t="n">
        <f aca="false">L39/$R$3</f>
        <v>0</v>
      </c>
      <c r="U39" s="126" t="n">
        <f aca="false">I39/$R$3</f>
        <v>0</v>
      </c>
      <c r="V39" s="126" t="n">
        <f aca="false">M39/$R$3</f>
        <v>0</v>
      </c>
      <c r="W39" s="126" t="n">
        <f aca="false">N39/$R$3</f>
        <v>0</v>
      </c>
    </row>
    <row r="40" customFormat="false" ht="12.75" hidden="true" customHeight="false" outlineLevel="0" collapsed="false">
      <c r="A40" s="120" t="n">
        <f aca="false">A39+1</f>
        <v>36926</v>
      </c>
      <c r="B40" s="131" t="str">
        <f aca="false">INDEX('Master Data'!$A$2:$B$8,MATCH(WEEKDAY('SC Total Gas'!A40,3),'Master Data'!$A$2:$A$8,0),2)</f>
        <v>Su</v>
      </c>
      <c r="D40" s="124" t="n">
        <v>0</v>
      </c>
      <c r="E40" s="124" t="n">
        <v>0</v>
      </c>
      <c r="F40" s="124" t="n">
        <v>0</v>
      </c>
      <c r="G40" s="124" t="n">
        <v>0</v>
      </c>
      <c r="I40" s="124" t="n">
        <f aca="false">IF(MONTH($A40)=MONTH($A39),IF(G40=0,I39,G40),G40)</f>
        <v>0</v>
      </c>
      <c r="J40" s="124" t="n">
        <f aca="false">IF(MONTH($A40)=MONTH($A39),SUM(I40-I39),I40)</f>
        <v>0</v>
      </c>
      <c r="K40" s="124" t="n">
        <f aca="false">IF(WEEKDAY(A40,3)&gt;4,0,(IF(A40&lt;K$2,0,IF(A40&lt;=K$3,1,0))))</f>
        <v>0</v>
      </c>
      <c r="L40" s="124" t="n">
        <f aca="false">J40*K40</f>
        <v>0</v>
      </c>
      <c r="M40" s="124" t="n">
        <f aca="false">SUM(J$6:J40)</f>
        <v>0</v>
      </c>
      <c r="N40" s="124" t="n">
        <f aca="false">SUM(J$6:J40)</f>
        <v>0</v>
      </c>
      <c r="P40" s="124" t="n">
        <f aca="false">D40/P$3</f>
        <v>0</v>
      </c>
      <c r="Q40" s="124" t="n">
        <f aca="false">E40/P$3</f>
        <v>0</v>
      </c>
      <c r="R40" s="124" t="n">
        <f aca="false">F40/R$3</f>
        <v>0</v>
      </c>
      <c r="S40" s="126" t="n">
        <f aca="false">J40/$R$3</f>
        <v>0</v>
      </c>
      <c r="T40" s="126" t="n">
        <f aca="false">L40/$R$3</f>
        <v>0</v>
      </c>
      <c r="U40" s="126" t="n">
        <f aca="false">I40/$R$3</f>
        <v>0</v>
      </c>
      <c r="V40" s="126" t="n">
        <f aca="false">M40/$R$3</f>
        <v>0</v>
      </c>
      <c r="W40" s="126" t="n">
        <f aca="false">N40/$R$3</f>
        <v>0</v>
      </c>
    </row>
    <row r="41" customFormat="false" ht="12.75" hidden="true" customHeight="false" outlineLevel="0" collapsed="false">
      <c r="A41" s="120" t="n">
        <f aca="false">A40+1</f>
        <v>36927</v>
      </c>
      <c r="B41" s="131" t="str">
        <f aca="false">INDEX('Master Data'!$A$2:$B$8,MATCH(WEEKDAY('SC Total Gas'!A41,3),'Master Data'!$A$2:$A$8,0),2)</f>
        <v>M</v>
      </c>
      <c r="D41" s="124" t="n">
        <v>0</v>
      </c>
      <c r="E41" s="124" t="n">
        <v>4223062.84621519</v>
      </c>
      <c r="F41" s="124" t="n">
        <v>0</v>
      </c>
      <c r="G41" s="124" t="n">
        <v>0</v>
      </c>
      <c r="I41" s="124" t="n">
        <f aca="false">IF(MONTH($A41)=MONTH($A40),IF(G41=0,I40,G41),G41)</f>
        <v>0</v>
      </c>
      <c r="J41" s="124" t="n">
        <f aca="false">IF(MONTH($A41)=MONTH($A40),SUM(I41-I40),I41)</f>
        <v>0</v>
      </c>
      <c r="K41" s="124" t="n">
        <f aca="false">IF(WEEKDAY(A41,3)&gt;4,0,(IF(A41&lt;K$2,0,IF(A41&lt;=K$3,1,0))))</f>
        <v>0</v>
      </c>
      <c r="L41" s="124" t="n">
        <f aca="false">J41*K41</f>
        <v>0</v>
      </c>
      <c r="M41" s="124" t="n">
        <f aca="false">SUM(J$6:J41)</f>
        <v>0</v>
      </c>
      <c r="N41" s="124" t="n">
        <f aca="false">SUM(J$6:J41)</f>
        <v>0</v>
      </c>
      <c r="P41" s="124" t="n">
        <f aca="false">D41/P$3</f>
        <v>0</v>
      </c>
      <c r="Q41" s="124" t="n">
        <f aca="false">E41/P$3</f>
        <v>4.22306284621519</v>
      </c>
      <c r="R41" s="124" t="n">
        <f aca="false">F41/R$3</f>
        <v>0</v>
      </c>
      <c r="S41" s="126" t="n">
        <f aca="false">J41/$R$3</f>
        <v>0</v>
      </c>
      <c r="T41" s="126" t="n">
        <f aca="false">L41/$R$3</f>
        <v>0</v>
      </c>
      <c r="U41" s="126" t="n">
        <f aca="false">I41/$R$3</f>
        <v>0</v>
      </c>
      <c r="V41" s="126" t="n">
        <f aca="false">M41/$R$3</f>
        <v>0</v>
      </c>
      <c r="W41" s="126" t="n">
        <f aca="false">N41/$R$3</f>
        <v>0</v>
      </c>
    </row>
    <row r="42" customFormat="false" ht="12.75" hidden="true" customHeight="false" outlineLevel="0" collapsed="false">
      <c r="A42" s="120" t="n">
        <f aca="false">A41+1</f>
        <v>36928</v>
      </c>
      <c r="B42" s="131" t="str">
        <f aca="false">INDEX('Master Data'!$A$2:$B$8,MATCH(WEEKDAY('SC Total Gas'!A42,3),'Master Data'!$A$2:$A$8,0),2)</f>
        <v>T</v>
      </c>
      <c r="D42" s="124" t="n">
        <v>0</v>
      </c>
      <c r="E42" s="124" t="n">
        <v>4220086.69648696</v>
      </c>
      <c r="F42" s="124" t="n">
        <v>0</v>
      </c>
      <c r="G42" s="124" t="n">
        <v>0</v>
      </c>
      <c r="I42" s="124" t="n">
        <f aca="false">IF(MONTH($A42)=MONTH($A41),IF(G42=0,I41,G42),G42)</f>
        <v>0</v>
      </c>
      <c r="J42" s="124" t="n">
        <f aca="false">IF(MONTH($A42)=MONTH($A41),SUM(I42-I41),I42)</f>
        <v>0</v>
      </c>
      <c r="K42" s="124" t="n">
        <f aca="false">IF(WEEKDAY(A42,3)&gt;4,0,(IF(A42&lt;K$2,0,IF(A42&lt;=K$3,1,0))))</f>
        <v>0</v>
      </c>
      <c r="L42" s="124" t="n">
        <f aca="false">J42*K42</f>
        <v>0</v>
      </c>
      <c r="M42" s="124" t="n">
        <f aca="false">SUM(J$6:J42)</f>
        <v>0</v>
      </c>
      <c r="N42" s="124" t="n">
        <f aca="false">SUM(J$6:J42)</f>
        <v>0</v>
      </c>
      <c r="P42" s="124" t="n">
        <f aca="false">D42/P$3</f>
        <v>0</v>
      </c>
      <c r="Q42" s="124" t="n">
        <f aca="false">E42/P$3</f>
        <v>4.22008669648696</v>
      </c>
      <c r="R42" s="124" t="n">
        <f aca="false">F42/R$3</f>
        <v>0</v>
      </c>
      <c r="S42" s="126" t="n">
        <f aca="false">J42/$R$3</f>
        <v>0</v>
      </c>
      <c r="T42" s="126" t="n">
        <f aca="false">L42/$R$3</f>
        <v>0</v>
      </c>
      <c r="U42" s="126" t="n">
        <f aca="false">I42/$R$3</f>
        <v>0</v>
      </c>
      <c r="V42" s="126" t="n">
        <f aca="false">M42/$R$3</f>
        <v>0</v>
      </c>
      <c r="W42" s="126" t="n">
        <f aca="false">N42/$R$3</f>
        <v>0</v>
      </c>
    </row>
    <row r="43" customFormat="false" ht="12.75" hidden="true" customHeight="false" outlineLevel="0" collapsed="false">
      <c r="A43" s="120" t="n">
        <f aca="false">A42+1</f>
        <v>36929</v>
      </c>
      <c r="B43" s="131" t="str">
        <f aca="false">INDEX('Master Data'!$A$2:$B$8,MATCH(WEEKDAY('SC Total Gas'!A43,3),'Master Data'!$A$2:$A$8,0),2)</f>
        <v>W</v>
      </c>
      <c r="D43" s="124" t="n">
        <v>0</v>
      </c>
      <c r="E43" s="124" t="n">
        <v>4232151.5073108</v>
      </c>
      <c r="F43" s="124" t="n">
        <v>0</v>
      </c>
      <c r="G43" s="124" t="n">
        <v>0</v>
      </c>
      <c r="I43" s="124" t="n">
        <f aca="false">IF(MONTH($A43)=MONTH($A42),IF(G43=0,I42,G43),G43)</f>
        <v>0</v>
      </c>
      <c r="J43" s="124" t="n">
        <f aca="false">IF(MONTH($A43)=MONTH($A42),SUM(I43-I42),I43)</f>
        <v>0</v>
      </c>
      <c r="K43" s="124" t="n">
        <f aca="false">IF(WEEKDAY(A43,3)&gt;4,0,(IF(A43&lt;K$2,0,IF(A43&lt;=K$3,1,0))))</f>
        <v>0</v>
      </c>
      <c r="L43" s="124" t="n">
        <f aca="false">J43*K43</f>
        <v>0</v>
      </c>
      <c r="M43" s="124" t="n">
        <f aca="false">SUM(J$6:J43)</f>
        <v>0</v>
      </c>
      <c r="N43" s="124" t="n">
        <f aca="false">SUM(J$6:J43)</f>
        <v>0</v>
      </c>
      <c r="P43" s="124" t="n">
        <f aca="false">D43/P$3</f>
        <v>0</v>
      </c>
      <c r="Q43" s="124" t="n">
        <f aca="false">E43/P$3</f>
        <v>4.2321515073108</v>
      </c>
      <c r="R43" s="124" t="n">
        <f aca="false">F43/R$3</f>
        <v>0</v>
      </c>
      <c r="S43" s="126" t="n">
        <f aca="false">J43/$R$3</f>
        <v>0</v>
      </c>
      <c r="T43" s="126" t="n">
        <f aca="false">L43/$R$3</f>
        <v>0</v>
      </c>
      <c r="U43" s="126" t="n">
        <f aca="false">I43/$R$3</f>
        <v>0</v>
      </c>
      <c r="V43" s="126" t="n">
        <f aca="false">M43/$R$3</f>
        <v>0</v>
      </c>
      <c r="W43" s="126" t="n">
        <f aca="false">N43/$R$3</f>
        <v>0</v>
      </c>
    </row>
    <row r="44" customFormat="false" ht="12.75" hidden="true" customHeight="false" outlineLevel="0" collapsed="false">
      <c r="A44" s="120" t="n">
        <f aca="false">A43+1</f>
        <v>36930</v>
      </c>
      <c r="B44" s="131" t="str">
        <f aca="false">INDEX('Master Data'!$A$2:$B$8,MATCH(WEEKDAY('SC Total Gas'!A44,3),'Master Data'!$A$2:$A$8,0),2)</f>
        <v>Th</v>
      </c>
      <c r="D44" s="124" t="n">
        <v>0</v>
      </c>
      <c r="E44" s="124" t="n">
        <v>4234213.85988021</v>
      </c>
      <c r="F44" s="124" t="n">
        <v>0</v>
      </c>
      <c r="G44" s="124" t="n">
        <v>0</v>
      </c>
      <c r="I44" s="124" t="n">
        <f aca="false">IF(MONTH($A44)=MONTH($A43),IF(G44=0,I43,G44),G44)</f>
        <v>0</v>
      </c>
      <c r="J44" s="124" t="n">
        <f aca="false">IF(MONTH($A44)=MONTH($A43),SUM(I44-I43),I44)</f>
        <v>0</v>
      </c>
      <c r="K44" s="124" t="n">
        <f aca="false">IF(WEEKDAY(A44,3)&gt;4,0,(IF(A44&lt;K$2,0,IF(A44&lt;=K$3,1,0))))</f>
        <v>0</v>
      </c>
      <c r="L44" s="124" t="n">
        <f aca="false">J44*K44</f>
        <v>0</v>
      </c>
      <c r="M44" s="124" t="n">
        <f aca="false">SUM(J$6:J44)</f>
        <v>0</v>
      </c>
      <c r="N44" s="124" t="n">
        <f aca="false">SUM(J$6:J44)</f>
        <v>0</v>
      </c>
      <c r="P44" s="124" t="n">
        <f aca="false">D44/P$3</f>
        <v>0</v>
      </c>
      <c r="Q44" s="124" t="n">
        <f aca="false">E44/P$3</f>
        <v>4.23421385988021</v>
      </c>
      <c r="R44" s="124" t="n">
        <f aca="false">F44/R$3</f>
        <v>0</v>
      </c>
      <c r="S44" s="126" t="n">
        <f aca="false">J44/$R$3</f>
        <v>0</v>
      </c>
      <c r="T44" s="126" t="n">
        <f aca="false">L44/$R$3</f>
        <v>0</v>
      </c>
      <c r="U44" s="126" t="n">
        <f aca="false">I44/$R$3</f>
        <v>0</v>
      </c>
      <c r="V44" s="126" t="n">
        <f aca="false">M44/$R$3</f>
        <v>0</v>
      </c>
      <c r="W44" s="126" t="n">
        <f aca="false">N44/$R$3</f>
        <v>0</v>
      </c>
    </row>
    <row r="45" customFormat="false" ht="12.75" hidden="true" customHeight="false" outlineLevel="0" collapsed="false">
      <c r="A45" s="120" t="n">
        <f aca="false">A44+1</f>
        <v>36931</v>
      </c>
      <c r="B45" s="131" t="str">
        <f aca="false">INDEX('Master Data'!$A$2:$B$8,MATCH(WEEKDAY('SC Total Gas'!A45,3),'Master Data'!$A$2:$A$8,0),2)</f>
        <v>F</v>
      </c>
      <c r="D45" s="124" t="n">
        <v>0</v>
      </c>
      <c r="E45" s="124" t="n">
        <v>4253125.87494682</v>
      </c>
      <c r="F45" s="124" t="n">
        <v>0</v>
      </c>
      <c r="G45" s="124" t="n">
        <v>0</v>
      </c>
      <c r="I45" s="124" t="n">
        <f aca="false">IF(MONTH($A45)=MONTH($A44),IF(G45=0,I44,G45),G45)</f>
        <v>0</v>
      </c>
      <c r="J45" s="124" t="n">
        <f aca="false">IF(MONTH($A45)=MONTH($A44),SUM(I45-I44),I45)</f>
        <v>0</v>
      </c>
      <c r="K45" s="124" t="n">
        <f aca="false">IF(WEEKDAY(A45,3)&gt;4,0,(IF(A45&lt;K$2,0,IF(A45&lt;=K$3,1,0))))</f>
        <v>0</v>
      </c>
      <c r="L45" s="124" t="n">
        <f aca="false">J45*K45</f>
        <v>0</v>
      </c>
      <c r="M45" s="124" t="n">
        <f aca="false">SUM(J$6:J45)</f>
        <v>0</v>
      </c>
      <c r="N45" s="124" t="n">
        <f aca="false">SUM(J$6:J45)</f>
        <v>0</v>
      </c>
      <c r="P45" s="124" t="n">
        <f aca="false">D45/P$3</f>
        <v>0</v>
      </c>
      <c r="Q45" s="124" t="n">
        <f aca="false">E45/P$3</f>
        <v>4.25312587494682</v>
      </c>
      <c r="R45" s="124" t="n">
        <f aca="false">F45/R$3</f>
        <v>0</v>
      </c>
      <c r="S45" s="126" t="n">
        <f aca="false">J45/$R$3</f>
        <v>0</v>
      </c>
      <c r="T45" s="126" t="n">
        <f aca="false">L45/$R$3</f>
        <v>0</v>
      </c>
      <c r="U45" s="126" t="n">
        <f aca="false">I45/$R$3</f>
        <v>0</v>
      </c>
      <c r="V45" s="126" t="n">
        <f aca="false">M45/$R$3</f>
        <v>0</v>
      </c>
      <c r="W45" s="126" t="n">
        <f aca="false">N45/$R$3</f>
        <v>0</v>
      </c>
    </row>
    <row r="46" customFormat="false" ht="12.75" hidden="true" customHeight="false" outlineLevel="0" collapsed="false">
      <c r="A46" s="120" t="n">
        <f aca="false">A45+1</f>
        <v>36932</v>
      </c>
      <c r="B46" s="131" t="str">
        <f aca="false">INDEX('Master Data'!$A$2:$B$8,MATCH(WEEKDAY('SC Total Gas'!A46,3),'Master Data'!$A$2:$A$8,0),2)</f>
        <v>Sa</v>
      </c>
      <c r="D46" s="124" t="n">
        <v>0</v>
      </c>
      <c r="E46" s="124" t="n">
        <v>0</v>
      </c>
      <c r="F46" s="124" t="n">
        <v>0</v>
      </c>
      <c r="G46" s="124" t="n">
        <v>0</v>
      </c>
      <c r="I46" s="124" t="n">
        <f aca="false">IF(MONTH($A46)=MONTH($A45),IF(G46=0,I45,G46),G46)</f>
        <v>0</v>
      </c>
      <c r="J46" s="124" t="n">
        <f aca="false">IF(MONTH($A46)=MONTH($A45),SUM(I46-I45),I46)</f>
        <v>0</v>
      </c>
      <c r="K46" s="124" t="n">
        <f aca="false">IF(WEEKDAY(A46,3)&gt;4,0,(IF(A46&lt;K$2,0,IF(A46&lt;=K$3,1,0))))</f>
        <v>0</v>
      </c>
      <c r="L46" s="124" t="n">
        <f aca="false">J46*K46</f>
        <v>0</v>
      </c>
      <c r="M46" s="124" t="n">
        <f aca="false">SUM(J$6:J46)</f>
        <v>0</v>
      </c>
      <c r="N46" s="124" t="n">
        <f aca="false">SUM(J$6:J46)</f>
        <v>0</v>
      </c>
      <c r="P46" s="124" t="n">
        <f aca="false">D46/P$3</f>
        <v>0</v>
      </c>
      <c r="Q46" s="124" t="n">
        <f aca="false">E46/P$3</f>
        <v>0</v>
      </c>
      <c r="R46" s="124" t="n">
        <f aca="false">F46/R$3</f>
        <v>0</v>
      </c>
      <c r="S46" s="126" t="n">
        <f aca="false">J46/$R$3</f>
        <v>0</v>
      </c>
      <c r="T46" s="126" t="n">
        <f aca="false">L46/$R$3</f>
        <v>0</v>
      </c>
      <c r="U46" s="126" t="n">
        <f aca="false">I46/$R$3</f>
        <v>0</v>
      </c>
      <c r="V46" s="126" t="n">
        <f aca="false">M46/$R$3</f>
        <v>0</v>
      </c>
      <c r="W46" s="126" t="n">
        <f aca="false">N46/$R$3</f>
        <v>0</v>
      </c>
    </row>
    <row r="47" customFormat="false" ht="12.75" hidden="true" customHeight="false" outlineLevel="0" collapsed="false">
      <c r="A47" s="120" t="n">
        <f aca="false">A46+1</f>
        <v>36933</v>
      </c>
      <c r="B47" s="131" t="str">
        <f aca="false">INDEX('Master Data'!$A$2:$B$8,MATCH(WEEKDAY('SC Total Gas'!A47,3),'Master Data'!$A$2:$A$8,0),2)</f>
        <v>Su</v>
      </c>
      <c r="D47" s="124" t="n">
        <v>0</v>
      </c>
      <c r="E47" s="124" t="n">
        <v>0</v>
      </c>
      <c r="F47" s="124" t="n">
        <v>0</v>
      </c>
      <c r="G47" s="124" t="n">
        <v>0</v>
      </c>
      <c r="I47" s="124" t="n">
        <f aca="false">IF(MONTH($A47)=MONTH($A46),IF(G47=0,I46,G47),G47)</f>
        <v>0</v>
      </c>
      <c r="J47" s="124" t="n">
        <f aca="false">IF(MONTH($A47)=MONTH($A46),SUM(I47-I46),I47)</f>
        <v>0</v>
      </c>
      <c r="K47" s="124" t="n">
        <f aca="false">IF(WEEKDAY(A47,3)&gt;4,0,(IF(A47&lt;K$2,0,IF(A47&lt;=K$3,1,0))))</f>
        <v>0</v>
      </c>
      <c r="L47" s="124" t="n">
        <f aca="false">J47*K47</f>
        <v>0</v>
      </c>
      <c r="M47" s="124" t="n">
        <f aca="false">SUM(J$6:J47)</f>
        <v>0</v>
      </c>
      <c r="N47" s="124" t="n">
        <f aca="false">SUM(J$6:J47)</f>
        <v>0</v>
      </c>
      <c r="P47" s="124" t="n">
        <f aca="false">D47/P$3</f>
        <v>0</v>
      </c>
      <c r="Q47" s="124" t="n">
        <f aca="false">E47/P$3</f>
        <v>0</v>
      </c>
      <c r="R47" s="124" t="n">
        <f aca="false">F47/R$3</f>
        <v>0</v>
      </c>
      <c r="S47" s="126" t="n">
        <f aca="false">J47/$R$3</f>
        <v>0</v>
      </c>
      <c r="T47" s="126" t="n">
        <f aca="false">L47/$R$3</f>
        <v>0</v>
      </c>
      <c r="U47" s="126" t="n">
        <f aca="false">I47/$R$3</f>
        <v>0</v>
      </c>
      <c r="V47" s="126" t="n">
        <f aca="false">M47/$R$3</f>
        <v>0</v>
      </c>
      <c r="W47" s="126" t="n">
        <f aca="false">N47/$R$3</f>
        <v>0</v>
      </c>
    </row>
    <row r="48" customFormat="false" ht="12.75" hidden="true" customHeight="false" outlineLevel="0" collapsed="false">
      <c r="A48" s="120" t="n">
        <f aca="false">A47+1</f>
        <v>36934</v>
      </c>
      <c r="B48" s="131" t="str">
        <f aca="false">INDEX('Master Data'!$A$2:$B$8,MATCH(WEEKDAY('SC Total Gas'!A48,3),'Master Data'!$A$2:$A$8,0),2)</f>
        <v>M</v>
      </c>
      <c r="D48" s="124" t="n">
        <v>0</v>
      </c>
      <c r="E48" s="124" t="n">
        <v>4267895.28562596</v>
      </c>
      <c r="F48" s="124" t="n">
        <v>0</v>
      </c>
      <c r="G48" s="124" t="n">
        <v>0</v>
      </c>
      <c r="I48" s="124" t="n">
        <f aca="false">IF(MONTH($A48)=MONTH($A47),IF(G48=0,I47,G48),G48)</f>
        <v>0</v>
      </c>
      <c r="J48" s="124" t="n">
        <f aca="false">IF(MONTH($A48)=MONTH($A47),SUM(I48-I47),I48)</f>
        <v>0</v>
      </c>
      <c r="K48" s="124" t="n">
        <f aca="false">IF(WEEKDAY(A48,3)&gt;4,0,(IF(A48&lt;K$2,0,IF(A48&lt;=K$3,1,0))))</f>
        <v>0</v>
      </c>
      <c r="L48" s="124" t="n">
        <f aca="false">J48*K48</f>
        <v>0</v>
      </c>
      <c r="M48" s="124" t="n">
        <f aca="false">SUM(J$6:J48)</f>
        <v>0</v>
      </c>
      <c r="N48" s="124" t="n">
        <f aca="false">SUM(J$6:J48)</f>
        <v>0</v>
      </c>
      <c r="P48" s="124" t="n">
        <f aca="false">D48/P$3</f>
        <v>0</v>
      </c>
      <c r="Q48" s="124" t="n">
        <f aca="false">E48/P$3</f>
        <v>4.26789528562596</v>
      </c>
      <c r="R48" s="124" t="n">
        <f aca="false">F48/R$3</f>
        <v>0</v>
      </c>
      <c r="S48" s="126" t="n">
        <f aca="false">J48/$R$3</f>
        <v>0</v>
      </c>
      <c r="T48" s="126" t="n">
        <f aca="false">L48/$R$3</f>
        <v>0</v>
      </c>
      <c r="U48" s="126" t="n">
        <f aca="false">I48/$R$3</f>
        <v>0</v>
      </c>
      <c r="V48" s="126" t="n">
        <f aca="false">M48/$R$3</f>
        <v>0</v>
      </c>
      <c r="W48" s="126" t="n">
        <f aca="false">N48/$R$3</f>
        <v>0</v>
      </c>
    </row>
    <row r="49" customFormat="false" ht="12.75" hidden="true" customHeight="false" outlineLevel="0" collapsed="false">
      <c r="A49" s="120" t="n">
        <f aca="false">A48+1</f>
        <v>36935</v>
      </c>
      <c r="B49" s="131" t="str">
        <f aca="false">INDEX('Master Data'!$A$2:$B$8,MATCH(WEEKDAY('SC Total Gas'!A49,3),'Master Data'!$A$2:$A$8,0),2)</f>
        <v>T</v>
      </c>
      <c r="D49" s="124" t="n">
        <v>0</v>
      </c>
      <c r="E49" s="124" t="n">
        <v>4265417.83490328</v>
      </c>
      <c r="F49" s="124" t="n">
        <v>0</v>
      </c>
      <c r="G49" s="124" t="n">
        <v>0</v>
      </c>
      <c r="I49" s="124" t="n">
        <f aca="false">IF(MONTH($A49)=MONTH($A48),IF(G49=0,I48,G49),G49)</f>
        <v>0</v>
      </c>
      <c r="J49" s="124" t="n">
        <f aca="false">IF(MONTH($A49)=MONTH($A48),SUM(I49-I48),I49)</f>
        <v>0</v>
      </c>
      <c r="K49" s="124" t="n">
        <f aca="false">IF(WEEKDAY(A49,3)&gt;4,0,(IF(A49&lt;K$2,0,IF(A49&lt;=K$3,1,0))))</f>
        <v>0</v>
      </c>
      <c r="L49" s="124" t="n">
        <f aca="false">J49*K49</f>
        <v>0</v>
      </c>
      <c r="M49" s="124" t="n">
        <f aca="false">SUM(J$6:J49)</f>
        <v>0</v>
      </c>
      <c r="N49" s="124" t="n">
        <f aca="false">SUM(J$6:J49)</f>
        <v>0</v>
      </c>
      <c r="P49" s="124" t="n">
        <f aca="false">D49/P$3</f>
        <v>0</v>
      </c>
      <c r="Q49" s="124" t="n">
        <f aca="false">E49/P$3</f>
        <v>4.26541783490328</v>
      </c>
      <c r="R49" s="124" t="n">
        <f aca="false">F49/R$3</f>
        <v>0</v>
      </c>
      <c r="S49" s="126" t="n">
        <f aca="false">J49/$R$3</f>
        <v>0</v>
      </c>
      <c r="T49" s="126" t="n">
        <f aca="false">L49/$R$3</f>
        <v>0</v>
      </c>
      <c r="U49" s="126" t="n">
        <f aca="false">I49/$R$3</f>
        <v>0</v>
      </c>
      <c r="V49" s="126" t="n">
        <f aca="false">M49/$R$3</f>
        <v>0</v>
      </c>
      <c r="W49" s="126" t="n">
        <f aca="false">N49/$R$3</f>
        <v>0</v>
      </c>
    </row>
    <row r="50" customFormat="false" ht="12.75" hidden="true" customHeight="false" outlineLevel="0" collapsed="false">
      <c r="A50" s="120" t="n">
        <f aca="false">A49+1</f>
        <v>36936</v>
      </c>
      <c r="B50" s="131" t="str">
        <f aca="false">INDEX('Master Data'!$A$2:$B$8,MATCH(WEEKDAY('SC Total Gas'!A50,3),'Master Data'!$A$2:$A$8,0),2)</f>
        <v>W</v>
      </c>
      <c r="D50" s="124" t="n">
        <v>0</v>
      </c>
      <c r="E50" s="124" t="n">
        <v>4255654.37749165</v>
      </c>
      <c r="F50" s="124" t="n">
        <v>0</v>
      </c>
      <c r="G50" s="124" t="n">
        <v>0</v>
      </c>
      <c r="I50" s="124" t="n">
        <f aca="false">IF(MONTH($A50)=MONTH($A49),IF(G50=0,I49,G50),G50)</f>
        <v>0</v>
      </c>
      <c r="J50" s="124" t="n">
        <f aca="false">IF(MONTH($A50)=MONTH($A49),SUM(I50-I49),I50)</f>
        <v>0</v>
      </c>
      <c r="K50" s="124" t="n">
        <f aca="false">IF(WEEKDAY(A50,3)&gt;4,0,(IF(A50&lt;K$2,0,IF(A50&lt;=K$3,1,0))))</f>
        <v>0</v>
      </c>
      <c r="L50" s="124" t="n">
        <f aca="false">J50*K50</f>
        <v>0</v>
      </c>
      <c r="M50" s="124" t="n">
        <f aca="false">SUM(J$6:J50)</f>
        <v>0</v>
      </c>
      <c r="N50" s="124" t="n">
        <f aca="false">SUM(J$6:J50)</f>
        <v>0</v>
      </c>
      <c r="P50" s="124" t="n">
        <f aca="false">D50/P$3</f>
        <v>0</v>
      </c>
      <c r="Q50" s="124" t="n">
        <f aca="false">E50/P$3</f>
        <v>4.25565437749165</v>
      </c>
      <c r="R50" s="124" t="n">
        <f aca="false">F50/R$3</f>
        <v>0</v>
      </c>
      <c r="S50" s="126" t="n">
        <f aca="false">J50/$R$3</f>
        <v>0</v>
      </c>
      <c r="T50" s="126" t="n">
        <f aca="false">L50/$R$3</f>
        <v>0</v>
      </c>
      <c r="U50" s="126" t="n">
        <f aca="false">I50/$R$3</f>
        <v>0</v>
      </c>
      <c r="V50" s="126" t="n">
        <f aca="false">M50/$R$3</f>
        <v>0</v>
      </c>
      <c r="W50" s="126" t="n">
        <f aca="false">N50/$R$3</f>
        <v>0</v>
      </c>
    </row>
    <row r="51" customFormat="false" ht="12.75" hidden="true" customHeight="false" outlineLevel="0" collapsed="false">
      <c r="A51" s="120" t="n">
        <f aca="false">A50+1</f>
        <v>36937</v>
      </c>
      <c r="B51" s="131" t="str">
        <f aca="false">INDEX('Master Data'!$A$2:$B$8,MATCH(WEEKDAY('SC Total Gas'!A51,3),'Master Data'!$A$2:$A$8,0),2)</f>
        <v>Th</v>
      </c>
      <c r="D51" s="124" t="n">
        <v>0</v>
      </c>
      <c r="E51" s="124" t="n">
        <v>4252505.83690297</v>
      </c>
      <c r="F51" s="124" t="n">
        <v>0</v>
      </c>
      <c r="G51" s="124" t="n">
        <v>0</v>
      </c>
      <c r="I51" s="124" t="n">
        <f aca="false">IF(MONTH($A51)=MONTH($A50),IF(G51=0,I50,G51),G51)</f>
        <v>0</v>
      </c>
      <c r="J51" s="124" t="n">
        <f aca="false">IF(MONTH($A51)=MONTH($A50),SUM(I51-I50),I51)</f>
        <v>0</v>
      </c>
      <c r="K51" s="124" t="n">
        <f aca="false">IF(WEEKDAY(A51,3)&gt;4,0,(IF(A51&lt;K$2,0,IF(A51&lt;=K$3,1,0))))</f>
        <v>0</v>
      </c>
      <c r="L51" s="124" t="n">
        <f aca="false">J51*K51</f>
        <v>0</v>
      </c>
      <c r="M51" s="124" t="n">
        <f aca="false">SUM(J$6:J51)</f>
        <v>0</v>
      </c>
      <c r="N51" s="124" t="n">
        <f aca="false">SUM(J$6:J51)</f>
        <v>0</v>
      </c>
      <c r="P51" s="124" t="n">
        <f aca="false">D51/P$3</f>
        <v>0</v>
      </c>
      <c r="Q51" s="124" t="n">
        <f aca="false">E51/P$3</f>
        <v>4.25250583690297</v>
      </c>
      <c r="R51" s="124" t="n">
        <f aca="false">F51/R$3</f>
        <v>0</v>
      </c>
      <c r="S51" s="126" t="n">
        <f aca="false">J51/$R$3</f>
        <v>0</v>
      </c>
      <c r="T51" s="126" t="n">
        <f aca="false">L51/$R$3</f>
        <v>0</v>
      </c>
      <c r="U51" s="126" t="n">
        <f aca="false">I51/$R$3</f>
        <v>0</v>
      </c>
      <c r="V51" s="126" t="n">
        <f aca="false">M51/$R$3</f>
        <v>0</v>
      </c>
      <c r="W51" s="126" t="n">
        <f aca="false">N51/$R$3</f>
        <v>0</v>
      </c>
    </row>
    <row r="52" customFormat="false" ht="12.75" hidden="true" customHeight="false" outlineLevel="0" collapsed="false">
      <c r="A52" s="120" t="n">
        <f aca="false">A51+1</f>
        <v>36938</v>
      </c>
      <c r="B52" s="131" t="str">
        <f aca="false">INDEX('Master Data'!$A$2:$B$8,MATCH(WEEKDAY('SC Total Gas'!A52,3),'Master Data'!$A$2:$A$8,0),2)</f>
        <v>F</v>
      </c>
      <c r="D52" s="124" t="n">
        <v>0</v>
      </c>
      <c r="E52" s="124" t="n">
        <v>4280563.11968616</v>
      </c>
      <c r="F52" s="124" t="n">
        <v>0</v>
      </c>
      <c r="G52" s="124" t="n">
        <v>0</v>
      </c>
      <c r="I52" s="124" t="n">
        <f aca="false">IF(MONTH($A52)=MONTH($A51),IF(G52=0,I51,G52),G52)</f>
        <v>0</v>
      </c>
      <c r="J52" s="124" t="n">
        <f aca="false">IF(MONTH($A52)=MONTH($A51),SUM(I52-I51),I52)</f>
        <v>0</v>
      </c>
      <c r="K52" s="124" t="n">
        <f aca="false">IF(WEEKDAY(A52,3)&gt;4,0,(IF(A52&lt;K$2,0,IF(A52&lt;=K$3,1,0))))</f>
        <v>0</v>
      </c>
      <c r="L52" s="124" t="n">
        <f aca="false">J52*K52</f>
        <v>0</v>
      </c>
      <c r="M52" s="124" t="n">
        <f aca="false">SUM(J$6:J52)</f>
        <v>0</v>
      </c>
      <c r="N52" s="124" t="n">
        <f aca="false">SUM(J$6:J52)</f>
        <v>0</v>
      </c>
      <c r="P52" s="124" t="n">
        <f aca="false">D52/P$3</f>
        <v>0</v>
      </c>
      <c r="Q52" s="124" t="n">
        <f aca="false">E52/P$3</f>
        <v>4.28056311968616</v>
      </c>
      <c r="R52" s="124" t="n">
        <f aca="false">F52/R$3</f>
        <v>0</v>
      </c>
      <c r="S52" s="126" t="n">
        <f aca="false">J52/$R$3</f>
        <v>0</v>
      </c>
      <c r="T52" s="126" t="n">
        <f aca="false">L52/$R$3</f>
        <v>0</v>
      </c>
      <c r="U52" s="126" t="n">
        <f aca="false">I52/$R$3</f>
        <v>0</v>
      </c>
      <c r="V52" s="126" t="n">
        <f aca="false">M52/$R$3</f>
        <v>0</v>
      </c>
      <c r="W52" s="126" t="n">
        <f aca="false">N52/$R$3</f>
        <v>0</v>
      </c>
    </row>
    <row r="53" customFormat="false" ht="12.75" hidden="true" customHeight="false" outlineLevel="0" collapsed="false">
      <c r="A53" s="120" t="n">
        <f aca="false">A52+1</f>
        <v>36939</v>
      </c>
      <c r="B53" s="131" t="str">
        <f aca="false">INDEX('Master Data'!$A$2:$B$8,MATCH(WEEKDAY('SC Total Gas'!A53,3),'Master Data'!$A$2:$A$8,0),2)</f>
        <v>Sa</v>
      </c>
      <c r="D53" s="124" t="n">
        <v>0</v>
      </c>
      <c r="E53" s="124" t="n">
        <v>0</v>
      </c>
      <c r="F53" s="124" t="n">
        <v>0</v>
      </c>
      <c r="G53" s="124" t="n">
        <v>0</v>
      </c>
      <c r="I53" s="124" t="n">
        <f aca="false">IF(MONTH($A53)=MONTH($A52),IF(G53=0,I52,G53),G53)</f>
        <v>0</v>
      </c>
      <c r="J53" s="124" t="n">
        <f aca="false">IF(MONTH($A53)=MONTH($A52),SUM(I53-I52),I53)</f>
        <v>0</v>
      </c>
      <c r="K53" s="124" t="n">
        <f aca="false">IF(WEEKDAY(A53,3)&gt;4,0,(IF(A53&lt;K$2,0,IF(A53&lt;=K$3,1,0))))</f>
        <v>0</v>
      </c>
      <c r="L53" s="124" t="n">
        <f aca="false">J53*K53</f>
        <v>0</v>
      </c>
      <c r="M53" s="124" t="n">
        <f aca="false">SUM(J$6:J53)</f>
        <v>0</v>
      </c>
      <c r="N53" s="124" t="n">
        <f aca="false">SUM(J$6:J53)</f>
        <v>0</v>
      </c>
      <c r="P53" s="124" t="n">
        <f aca="false">D53/P$3</f>
        <v>0</v>
      </c>
      <c r="Q53" s="124" t="n">
        <f aca="false">E53/P$3</f>
        <v>0</v>
      </c>
      <c r="R53" s="124" t="n">
        <f aca="false">F53/R$3</f>
        <v>0</v>
      </c>
      <c r="S53" s="126" t="n">
        <f aca="false">J53/$R$3</f>
        <v>0</v>
      </c>
      <c r="T53" s="126" t="n">
        <f aca="false">L53/$R$3</f>
        <v>0</v>
      </c>
      <c r="U53" s="126" t="n">
        <f aca="false">I53/$R$3</f>
        <v>0</v>
      </c>
      <c r="V53" s="126" t="n">
        <f aca="false">M53/$R$3</f>
        <v>0</v>
      </c>
      <c r="W53" s="126" t="n">
        <f aca="false">N53/$R$3</f>
        <v>0</v>
      </c>
    </row>
    <row r="54" customFormat="false" ht="12.75" hidden="true" customHeight="false" outlineLevel="0" collapsed="false">
      <c r="A54" s="120" t="n">
        <f aca="false">A53+1</f>
        <v>36940</v>
      </c>
      <c r="B54" s="131" t="str">
        <f aca="false">INDEX('Master Data'!$A$2:$B$8,MATCH(WEEKDAY('SC Total Gas'!A54,3),'Master Data'!$A$2:$A$8,0),2)</f>
        <v>Su</v>
      </c>
      <c r="D54" s="124" t="n">
        <v>0</v>
      </c>
      <c r="E54" s="124" t="n">
        <v>0</v>
      </c>
      <c r="F54" s="124" t="n">
        <v>0</v>
      </c>
      <c r="G54" s="124" t="n">
        <v>0</v>
      </c>
      <c r="I54" s="124" t="n">
        <f aca="false">IF(MONTH($A54)=MONTH($A53),IF(G54=0,I53,G54),G54)</f>
        <v>0</v>
      </c>
      <c r="J54" s="124" t="n">
        <f aca="false">IF(MONTH($A54)=MONTH($A53),SUM(I54-I53),I54)</f>
        <v>0</v>
      </c>
      <c r="K54" s="124" t="n">
        <f aca="false">IF(WEEKDAY(A54,3)&gt;4,0,(IF(A54&lt;K$2,0,IF(A54&lt;=K$3,1,0))))</f>
        <v>0</v>
      </c>
      <c r="L54" s="124" t="n">
        <f aca="false">J54*K54</f>
        <v>0</v>
      </c>
      <c r="M54" s="124" t="n">
        <f aca="false">SUM(J$6:J54)</f>
        <v>0</v>
      </c>
      <c r="N54" s="124" t="n">
        <f aca="false">SUM(J$6:J54)</f>
        <v>0</v>
      </c>
      <c r="P54" s="124" t="n">
        <f aca="false">D54/P$3</f>
        <v>0</v>
      </c>
      <c r="Q54" s="124" t="n">
        <f aca="false">E54/P$3</f>
        <v>0</v>
      </c>
      <c r="R54" s="124" t="n">
        <f aca="false">F54/R$3</f>
        <v>0</v>
      </c>
      <c r="S54" s="126" t="n">
        <f aca="false">J54/$R$3</f>
        <v>0</v>
      </c>
      <c r="T54" s="126" t="n">
        <f aca="false">L54/$R$3</f>
        <v>0</v>
      </c>
      <c r="U54" s="126" t="n">
        <f aca="false">I54/$R$3</f>
        <v>0</v>
      </c>
      <c r="V54" s="126" t="n">
        <f aca="false">M54/$R$3</f>
        <v>0</v>
      </c>
      <c r="W54" s="126" t="n">
        <f aca="false">N54/$R$3</f>
        <v>0</v>
      </c>
    </row>
    <row r="55" customFormat="false" ht="12.75" hidden="true" customHeight="false" outlineLevel="0" collapsed="false">
      <c r="A55" s="120" t="n">
        <f aca="false">A54+1</f>
        <v>36941</v>
      </c>
      <c r="B55" s="131" t="str">
        <f aca="false">INDEX('Master Data'!$A$2:$B$8,MATCH(WEEKDAY('SC Total Gas'!A55,3),'Master Data'!$A$2:$A$8,0),2)</f>
        <v>M</v>
      </c>
      <c r="D55" s="124" t="n">
        <v>0</v>
      </c>
      <c r="E55" s="124" t="n">
        <v>0</v>
      </c>
      <c r="F55" s="124" t="n">
        <v>0</v>
      </c>
      <c r="G55" s="124" t="n">
        <v>0</v>
      </c>
      <c r="I55" s="124" t="n">
        <f aca="false">IF(MONTH($A55)=MONTH($A54),IF(G55=0,I54,G55),G55)</f>
        <v>0</v>
      </c>
      <c r="J55" s="124" t="n">
        <f aca="false">IF(MONTH($A55)=MONTH($A54),SUM(I55-I54),I55)</f>
        <v>0</v>
      </c>
      <c r="K55" s="124" t="n">
        <f aca="false">IF(WEEKDAY(A55,3)&gt;4,0,(IF(A55&lt;K$2,0,IF(A55&lt;=K$3,1,0))))</f>
        <v>0</v>
      </c>
      <c r="L55" s="124" t="n">
        <f aca="false">J55*K55</f>
        <v>0</v>
      </c>
      <c r="M55" s="124" t="n">
        <f aca="false">SUM(J$6:J55)</f>
        <v>0</v>
      </c>
      <c r="N55" s="124" t="n">
        <f aca="false">SUM(J$6:J55)</f>
        <v>0</v>
      </c>
      <c r="P55" s="124" t="n">
        <f aca="false">D55/P$3</f>
        <v>0</v>
      </c>
      <c r="Q55" s="124" t="n">
        <f aca="false">E55/P$3</f>
        <v>0</v>
      </c>
      <c r="R55" s="124" t="n">
        <f aca="false">F55/R$3</f>
        <v>0</v>
      </c>
      <c r="S55" s="126" t="n">
        <f aca="false">J55/$R$3</f>
        <v>0</v>
      </c>
      <c r="T55" s="126" t="n">
        <f aca="false">L55/$R$3</f>
        <v>0</v>
      </c>
      <c r="U55" s="126" t="n">
        <f aca="false">I55/$R$3</f>
        <v>0</v>
      </c>
      <c r="V55" s="126" t="n">
        <f aca="false">M55/$R$3</f>
        <v>0</v>
      </c>
      <c r="W55" s="126" t="n">
        <f aca="false">N55/$R$3</f>
        <v>0</v>
      </c>
    </row>
    <row r="56" customFormat="false" ht="12.75" hidden="true" customHeight="false" outlineLevel="0" collapsed="false">
      <c r="A56" s="120" t="n">
        <f aca="false">A55+1</f>
        <v>36942</v>
      </c>
      <c r="B56" s="131" t="str">
        <f aca="false">INDEX('Master Data'!$A$2:$B$8,MATCH(WEEKDAY('SC Total Gas'!A56,3),'Master Data'!$A$2:$A$8,0),2)</f>
        <v>T</v>
      </c>
      <c r="D56" s="124" t="n">
        <v>0</v>
      </c>
      <c r="E56" s="124" t="n">
        <v>0</v>
      </c>
      <c r="F56" s="124" t="n">
        <v>0</v>
      </c>
      <c r="G56" s="124" t="n">
        <v>0</v>
      </c>
      <c r="I56" s="124" t="n">
        <f aca="false">IF(MONTH($A56)=MONTH($A55),IF(G56=0,I55,G56),G56)</f>
        <v>0</v>
      </c>
      <c r="J56" s="124" t="n">
        <f aca="false">IF(MONTH($A56)=MONTH($A55),SUM(I56-I55),I56)</f>
        <v>0</v>
      </c>
      <c r="K56" s="124" t="n">
        <f aca="false">IF(WEEKDAY(A56,3)&gt;4,0,(IF(A56&lt;K$2,0,IF(A56&lt;=K$3,1,0))))</f>
        <v>0</v>
      </c>
      <c r="L56" s="124" t="n">
        <f aca="false">J56*K56</f>
        <v>0</v>
      </c>
      <c r="M56" s="124" t="n">
        <f aca="false">SUM(J$6:J56)</f>
        <v>0</v>
      </c>
      <c r="N56" s="124" t="n">
        <f aca="false">SUM(J$6:J56)</f>
        <v>0</v>
      </c>
      <c r="P56" s="124" t="n">
        <f aca="false">D56/P$3</f>
        <v>0</v>
      </c>
      <c r="Q56" s="124" t="n">
        <f aca="false">E56/P$3</f>
        <v>0</v>
      </c>
      <c r="R56" s="124" t="n">
        <f aca="false">F56/R$3</f>
        <v>0</v>
      </c>
      <c r="S56" s="126" t="n">
        <f aca="false">J56/$R$3</f>
        <v>0</v>
      </c>
      <c r="T56" s="126" t="n">
        <f aca="false">L56/$R$3</f>
        <v>0</v>
      </c>
      <c r="U56" s="126" t="n">
        <f aca="false">I56/$R$3</f>
        <v>0</v>
      </c>
      <c r="V56" s="126" t="n">
        <f aca="false">M56/$R$3</f>
        <v>0</v>
      </c>
      <c r="W56" s="126" t="n">
        <f aca="false">N56/$R$3</f>
        <v>0</v>
      </c>
    </row>
    <row r="57" customFormat="false" ht="12.75" hidden="true" customHeight="false" outlineLevel="0" collapsed="false">
      <c r="A57" s="120" t="n">
        <f aca="false">A56+1</f>
        <v>36943</v>
      </c>
      <c r="B57" s="131" t="str">
        <f aca="false">INDEX('Master Data'!$A$2:$B$8,MATCH(WEEKDAY('SC Total Gas'!A57,3),'Master Data'!$A$2:$A$8,0),2)</f>
        <v>W</v>
      </c>
      <c r="D57" s="124" t="n">
        <v>0</v>
      </c>
      <c r="E57" s="124" t="n">
        <v>4315262.47546553</v>
      </c>
      <c r="F57" s="124" t="n">
        <v>0</v>
      </c>
      <c r="G57" s="124" t="n">
        <v>0</v>
      </c>
      <c r="I57" s="124" t="n">
        <f aca="false">IF(MONTH($A57)=MONTH($A56),IF(G57=0,I56,G57),G57)</f>
        <v>0</v>
      </c>
      <c r="J57" s="124" t="n">
        <f aca="false">IF(MONTH($A57)=MONTH($A56),SUM(I57-I56),I57)</f>
        <v>0</v>
      </c>
      <c r="K57" s="124" t="n">
        <f aca="false">IF(WEEKDAY(A57,3)&gt;4,0,(IF(A57&lt;K$2,0,IF(A57&lt;=K$3,1,0))))</f>
        <v>0</v>
      </c>
      <c r="L57" s="124" t="n">
        <f aca="false">J57*K57</f>
        <v>0</v>
      </c>
      <c r="M57" s="124" t="n">
        <f aca="false">SUM(J$6:J57)</f>
        <v>0</v>
      </c>
      <c r="N57" s="124" t="n">
        <f aca="false">SUM(J$6:J57)</f>
        <v>0</v>
      </c>
      <c r="P57" s="124" t="n">
        <f aca="false">D57/P$3</f>
        <v>0</v>
      </c>
      <c r="Q57" s="124" t="n">
        <f aca="false">E57/P$3</f>
        <v>4.31526247546553</v>
      </c>
      <c r="R57" s="124" t="n">
        <f aca="false">F57/R$3</f>
        <v>0</v>
      </c>
      <c r="S57" s="126" t="n">
        <f aca="false">J57/$R$3</f>
        <v>0</v>
      </c>
      <c r="T57" s="126" t="n">
        <f aca="false">L57/$R$3</f>
        <v>0</v>
      </c>
      <c r="U57" s="126" t="n">
        <f aca="false">I57/$R$3</f>
        <v>0</v>
      </c>
      <c r="V57" s="126" t="n">
        <f aca="false">M57/$R$3</f>
        <v>0</v>
      </c>
      <c r="W57" s="126" t="n">
        <f aca="false">N57/$R$3</f>
        <v>0</v>
      </c>
    </row>
    <row r="58" customFormat="false" ht="12.75" hidden="true" customHeight="false" outlineLevel="0" collapsed="false">
      <c r="A58" s="120" t="n">
        <f aca="false">A57+1</f>
        <v>36944</v>
      </c>
      <c r="B58" s="131" t="str">
        <f aca="false">INDEX('Master Data'!$A$2:$B$8,MATCH(WEEKDAY('SC Total Gas'!A58,3),'Master Data'!$A$2:$A$8,0),2)</f>
        <v>Th</v>
      </c>
      <c r="D58" s="124" t="n">
        <v>0</v>
      </c>
      <c r="E58" s="124" t="n">
        <v>4328870.22249439</v>
      </c>
      <c r="F58" s="124" t="n">
        <v>0</v>
      </c>
      <c r="G58" s="124" t="n">
        <v>0</v>
      </c>
      <c r="I58" s="124" t="n">
        <f aca="false">IF(MONTH($A58)=MONTH($A57),IF(G58=0,I57,G58),G58)</f>
        <v>0</v>
      </c>
      <c r="J58" s="124" t="n">
        <f aca="false">IF(MONTH($A58)=MONTH($A57),SUM(I58-I57),I58)</f>
        <v>0</v>
      </c>
      <c r="K58" s="124" t="n">
        <f aca="false">IF(WEEKDAY(A58,3)&gt;4,0,(IF(A58&lt;K$2,0,IF(A58&lt;=K$3,1,0))))</f>
        <v>0</v>
      </c>
      <c r="L58" s="124" t="n">
        <f aca="false">J58*K58</f>
        <v>0</v>
      </c>
      <c r="M58" s="124" t="n">
        <f aca="false">SUM(J$6:J58)</f>
        <v>0</v>
      </c>
      <c r="N58" s="124" t="n">
        <f aca="false">SUM(J$6:J58)</f>
        <v>0</v>
      </c>
      <c r="P58" s="124" t="n">
        <f aca="false">D58/P$3</f>
        <v>0</v>
      </c>
      <c r="Q58" s="124" t="n">
        <f aca="false">E58/P$3</f>
        <v>4.32887022249439</v>
      </c>
      <c r="R58" s="124" t="n">
        <f aca="false">F58/R$3</f>
        <v>0</v>
      </c>
      <c r="S58" s="126" t="n">
        <f aca="false">J58/$R$3</f>
        <v>0</v>
      </c>
      <c r="T58" s="126" t="n">
        <f aca="false">L58/$R$3</f>
        <v>0</v>
      </c>
      <c r="U58" s="126" t="n">
        <f aca="false">I58/$R$3</f>
        <v>0</v>
      </c>
      <c r="V58" s="126" t="n">
        <f aca="false">M58/$R$3</f>
        <v>0</v>
      </c>
      <c r="W58" s="126" t="n">
        <f aca="false">N58/$R$3</f>
        <v>0</v>
      </c>
    </row>
    <row r="59" customFormat="false" ht="12.75" hidden="true" customHeight="false" outlineLevel="0" collapsed="false">
      <c r="A59" s="120" t="n">
        <f aca="false">A58+1</f>
        <v>36945</v>
      </c>
      <c r="B59" s="131" t="str">
        <f aca="false">INDEX('Master Data'!$A$2:$B$8,MATCH(WEEKDAY('SC Total Gas'!A59,3),'Master Data'!$A$2:$A$8,0),2)</f>
        <v>F</v>
      </c>
      <c r="D59" s="124" t="n">
        <v>0</v>
      </c>
      <c r="E59" s="124" t="n">
        <v>4349360.2339676</v>
      </c>
      <c r="F59" s="124" t="n">
        <v>0</v>
      </c>
      <c r="G59" s="124" t="n">
        <v>0</v>
      </c>
      <c r="I59" s="124" t="n">
        <f aca="false">IF(MONTH($A59)=MONTH($A58),IF(G59=0,I58,G59),G59)</f>
        <v>0</v>
      </c>
      <c r="J59" s="124" t="n">
        <f aca="false">IF(MONTH($A59)=MONTH($A58),SUM(I59-I58),I59)</f>
        <v>0</v>
      </c>
      <c r="K59" s="124" t="n">
        <f aca="false">IF(WEEKDAY(A59,3)&gt;4,0,(IF(A59&lt;K$2,0,IF(A59&lt;=K$3,1,0))))</f>
        <v>0</v>
      </c>
      <c r="L59" s="124" t="n">
        <f aca="false">J59*K59</f>
        <v>0</v>
      </c>
      <c r="M59" s="124" t="n">
        <f aca="false">SUM(J$6:J59)</f>
        <v>0</v>
      </c>
      <c r="N59" s="124" t="n">
        <f aca="false">SUM(J$6:J59)</f>
        <v>0</v>
      </c>
      <c r="P59" s="124" t="n">
        <f aca="false">D59/P$3</f>
        <v>0</v>
      </c>
      <c r="Q59" s="124" t="n">
        <f aca="false">E59/P$3</f>
        <v>4.3493602339676</v>
      </c>
      <c r="R59" s="124" t="n">
        <f aca="false">F59/R$3</f>
        <v>0</v>
      </c>
      <c r="S59" s="126" t="n">
        <f aca="false">J59/$R$3</f>
        <v>0</v>
      </c>
      <c r="T59" s="126" t="n">
        <f aca="false">L59/$R$3</f>
        <v>0</v>
      </c>
      <c r="U59" s="126" t="n">
        <f aca="false">I59/$R$3</f>
        <v>0</v>
      </c>
      <c r="V59" s="126" t="n">
        <f aca="false">M59/$R$3</f>
        <v>0</v>
      </c>
      <c r="W59" s="126" t="n">
        <f aca="false">N59/$R$3</f>
        <v>0</v>
      </c>
    </row>
    <row r="60" customFormat="false" ht="12.75" hidden="true" customHeight="false" outlineLevel="0" collapsed="false">
      <c r="A60" s="120" t="n">
        <f aca="false">A59+1</f>
        <v>36946</v>
      </c>
      <c r="B60" s="131" t="str">
        <f aca="false">INDEX('Master Data'!$A$2:$B$8,MATCH(WEEKDAY('SC Total Gas'!A60,3),'Master Data'!$A$2:$A$8,0),2)</f>
        <v>Sa</v>
      </c>
      <c r="D60" s="124" t="n">
        <v>0</v>
      </c>
      <c r="E60" s="124" t="n">
        <v>0</v>
      </c>
      <c r="F60" s="124" t="n">
        <v>0</v>
      </c>
      <c r="G60" s="124" t="n">
        <v>0</v>
      </c>
      <c r="I60" s="124" t="n">
        <f aca="false">IF(MONTH($A60)=MONTH($A59),IF(G60=0,I59,G60),G60)</f>
        <v>0</v>
      </c>
      <c r="J60" s="124" t="n">
        <f aca="false">IF(MONTH($A60)=MONTH($A59),SUM(I60-I59),I60)</f>
        <v>0</v>
      </c>
      <c r="K60" s="124" t="n">
        <f aca="false">IF(WEEKDAY(A60,3)&gt;4,0,(IF(A60&lt;K$2,0,IF(A60&lt;=K$3,1,0))))</f>
        <v>0</v>
      </c>
      <c r="L60" s="124" t="n">
        <f aca="false">J60*K60</f>
        <v>0</v>
      </c>
      <c r="M60" s="124" t="n">
        <f aca="false">SUM(J$6:J60)</f>
        <v>0</v>
      </c>
      <c r="N60" s="124" t="n">
        <f aca="false">SUM(J$6:J60)</f>
        <v>0</v>
      </c>
      <c r="P60" s="124" t="n">
        <f aca="false">D60/P$3</f>
        <v>0</v>
      </c>
      <c r="Q60" s="124" t="n">
        <f aca="false">E60/P$3</f>
        <v>0</v>
      </c>
      <c r="R60" s="124" t="n">
        <f aca="false">F60/R$3</f>
        <v>0</v>
      </c>
      <c r="S60" s="126" t="n">
        <f aca="false">J60/$R$3</f>
        <v>0</v>
      </c>
      <c r="T60" s="126" t="n">
        <f aca="false">L60/$R$3</f>
        <v>0</v>
      </c>
      <c r="U60" s="126" t="n">
        <f aca="false">I60/$R$3</f>
        <v>0</v>
      </c>
      <c r="V60" s="126" t="n">
        <f aca="false">M60/$R$3</f>
        <v>0</v>
      </c>
      <c r="W60" s="126" t="n">
        <f aca="false">N60/$R$3</f>
        <v>0</v>
      </c>
    </row>
    <row r="61" customFormat="false" ht="12.75" hidden="true" customHeight="false" outlineLevel="0" collapsed="false">
      <c r="A61" s="120" t="n">
        <f aca="false">A60+1</f>
        <v>36947</v>
      </c>
      <c r="B61" s="131" t="str">
        <f aca="false">INDEX('Master Data'!$A$2:$B$8,MATCH(WEEKDAY('SC Total Gas'!A61,3),'Master Data'!$A$2:$A$8,0),2)</f>
        <v>Su</v>
      </c>
      <c r="D61" s="124" t="n">
        <v>0</v>
      </c>
      <c r="E61" s="124" t="n">
        <v>0</v>
      </c>
      <c r="F61" s="124" t="n">
        <v>0</v>
      </c>
      <c r="G61" s="124" t="n">
        <v>0</v>
      </c>
      <c r="I61" s="124" t="n">
        <f aca="false">IF(MONTH($A61)=MONTH($A60),IF(G61=0,I60,G61),G61)</f>
        <v>0</v>
      </c>
      <c r="J61" s="124" t="n">
        <f aca="false">IF(MONTH($A61)=MONTH($A60),SUM(I61-I60),I61)</f>
        <v>0</v>
      </c>
      <c r="K61" s="124" t="n">
        <f aca="false">IF(WEEKDAY(A61,3)&gt;4,0,(IF(A61&lt;K$2,0,IF(A61&lt;=K$3,1,0))))</f>
        <v>0</v>
      </c>
      <c r="L61" s="124" t="n">
        <f aca="false">J61*K61</f>
        <v>0</v>
      </c>
      <c r="M61" s="124" t="n">
        <f aca="false">SUM(J$6:J61)</f>
        <v>0</v>
      </c>
      <c r="N61" s="124" t="n">
        <f aca="false">SUM(J$6:J61)</f>
        <v>0</v>
      </c>
      <c r="P61" s="124" t="n">
        <f aca="false">D61/P$3</f>
        <v>0</v>
      </c>
      <c r="Q61" s="124" t="n">
        <f aca="false">E61/P$3</f>
        <v>0</v>
      </c>
      <c r="R61" s="124" t="n">
        <f aca="false">F61/R$3</f>
        <v>0</v>
      </c>
      <c r="S61" s="126" t="n">
        <f aca="false">J61/$R$3</f>
        <v>0</v>
      </c>
      <c r="T61" s="126" t="n">
        <f aca="false">L61/$R$3</f>
        <v>0</v>
      </c>
      <c r="U61" s="126" t="n">
        <f aca="false">I61/$R$3</f>
        <v>0</v>
      </c>
      <c r="V61" s="126" t="n">
        <f aca="false">M61/$R$3</f>
        <v>0</v>
      </c>
      <c r="W61" s="126" t="n">
        <f aca="false">N61/$R$3</f>
        <v>0</v>
      </c>
    </row>
    <row r="62" customFormat="false" ht="12.75" hidden="true" customHeight="false" outlineLevel="0" collapsed="false">
      <c r="A62" s="120" t="n">
        <f aca="false">A61+1</f>
        <v>36948</v>
      </c>
      <c r="B62" s="131" t="str">
        <f aca="false">INDEX('Master Data'!$A$2:$B$8,MATCH(WEEKDAY('SC Total Gas'!A62,3),'Master Data'!$A$2:$A$8,0),2)</f>
        <v>M</v>
      </c>
      <c r="D62" s="124" t="n">
        <v>0</v>
      </c>
      <c r="E62" s="124" t="n">
        <v>4373945.26155185</v>
      </c>
      <c r="F62" s="124" t="n">
        <v>0</v>
      </c>
      <c r="G62" s="124" t="n">
        <v>0</v>
      </c>
      <c r="I62" s="124" t="n">
        <f aca="false">IF(MONTH($A62)=MONTH($A61),IF(G62=0,I61,G62),G62)</f>
        <v>0</v>
      </c>
      <c r="J62" s="124" t="n">
        <f aca="false">IF(MONTH($A62)=MONTH($A61),SUM(I62-I61),I62)</f>
        <v>0</v>
      </c>
      <c r="K62" s="124" t="n">
        <f aca="false">IF(WEEKDAY(A62,3)&gt;4,0,(IF(A62&lt;K$2,0,IF(A62&lt;=K$3,1,0))))</f>
        <v>0</v>
      </c>
      <c r="L62" s="124" t="n">
        <f aca="false">J62*K62</f>
        <v>0</v>
      </c>
      <c r="M62" s="124" t="n">
        <f aca="false">SUM(J$6:J62)</f>
        <v>0</v>
      </c>
      <c r="N62" s="124" t="n">
        <f aca="false">SUM(J$6:J62)</f>
        <v>0</v>
      </c>
      <c r="P62" s="124" t="n">
        <f aca="false">D62/P$3</f>
        <v>0</v>
      </c>
      <c r="Q62" s="124" t="n">
        <f aca="false">E62/P$3</f>
        <v>4.37394526155185</v>
      </c>
      <c r="R62" s="124" t="n">
        <f aca="false">F62/R$3</f>
        <v>0</v>
      </c>
      <c r="S62" s="126" t="n">
        <f aca="false">J62/$R$3</f>
        <v>0</v>
      </c>
      <c r="T62" s="126" t="n">
        <f aca="false">L62/$R$3</f>
        <v>0</v>
      </c>
      <c r="U62" s="126" t="n">
        <f aca="false">I62/$R$3</f>
        <v>0</v>
      </c>
      <c r="V62" s="126" t="n">
        <f aca="false">M62/$R$3</f>
        <v>0</v>
      </c>
      <c r="W62" s="126" t="n">
        <f aca="false">N62/$R$3</f>
        <v>0</v>
      </c>
    </row>
    <row r="63" customFormat="false" ht="12.75" hidden="true" customHeight="false" outlineLevel="0" collapsed="false">
      <c r="A63" s="120" t="n">
        <f aca="false">A62+1</f>
        <v>36949</v>
      </c>
      <c r="B63" s="131" t="str">
        <f aca="false">INDEX('Master Data'!$A$2:$B$8,MATCH(WEEKDAY('SC Total Gas'!A63,3),'Master Data'!$A$2:$A$8,0),2)</f>
        <v>T</v>
      </c>
      <c r="D63" s="124" t="n">
        <v>0</v>
      </c>
      <c r="E63" s="124" t="n">
        <v>4387443.43217845</v>
      </c>
      <c r="F63" s="124" t="n">
        <v>0</v>
      </c>
      <c r="G63" s="124" t="n">
        <v>0</v>
      </c>
      <c r="I63" s="124" t="n">
        <f aca="false">IF(MONTH($A63)=MONTH($A62),IF(G63=0,I62,G63),G63)</f>
        <v>0</v>
      </c>
      <c r="J63" s="124" t="n">
        <f aca="false">IF(MONTH($A63)=MONTH($A62),SUM(I63-I62),I63)</f>
        <v>0</v>
      </c>
      <c r="K63" s="124" t="n">
        <f aca="false">IF(WEEKDAY(A63,3)&gt;4,0,(IF(A63&lt;K$2,0,IF(A63&lt;=K$3,1,0))))</f>
        <v>0</v>
      </c>
      <c r="L63" s="124" t="n">
        <f aca="false">J63*K63</f>
        <v>0</v>
      </c>
      <c r="M63" s="124" t="n">
        <f aca="false">SUM(J$6:J63)</f>
        <v>0</v>
      </c>
      <c r="N63" s="124" t="n">
        <f aca="false">SUM(J$6:J63)</f>
        <v>0</v>
      </c>
      <c r="P63" s="124" t="n">
        <f aca="false">D63/P$3</f>
        <v>0</v>
      </c>
      <c r="Q63" s="124" t="n">
        <f aca="false">E63/P$3</f>
        <v>4.38744343217845</v>
      </c>
      <c r="R63" s="124" t="n">
        <f aca="false">F63/R$3</f>
        <v>0</v>
      </c>
      <c r="S63" s="126" t="n">
        <f aca="false">J63/$R$3</f>
        <v>0</v>
      </c>
      <c r="T63" s="126" t="n">
        <f aca="false">L63/$R$3</f>
        <v>0</v>
      </c>
      <c r="U63" s="126" t="n">
        <f aca="false">I63/$R$3</f>
        <v>0</v>
      </c>
      <c r="V63" s="126" t="n">
        <f aca="false">M63/$R$3</f>
        <v>0</v>
      </c>
      <c r="W63" s="126" t="n">
        <f aca="false">N63/$R$3</f>
        <v>0</v>
      </c>
    </row>
    <row r="64" customFormat="false" ht="12.75" hidden="false" customHeight="false" outlineLevel="0" collapsed="false">
      <c r="A64" s="120" t="n">
        <f aca="false">A63+1</f>
        <v>36950</v>
      </c>
      <c r="B64" s="131" t="str">
        <f aca="false">INDEX('Master Data'!$A$2:$B$8,MATCH(WEEKDAY('SC Total Gas'!A64,3),'Master Data'!$A$2:$A$8,0),2)</f>
        <v>W</v>
      </c>
      <c r="D64" s="124" t="n">
        <v>0</v>
      </c>
      <c r="E64" s="124" t="n">
        <v>4092003.69856658</v>
      </c>
      <c r="F64" s="124" t="n">
        <v>0</v>
      </c>
      <c r="G64" s="124" t="n">
        <v>0</v>
      </c>
      <c r="I64" s="124" t="n">
        <f aca="false">IF(MONTH($A64)=MONTH($A63),IF(G64=0,I63,G64),G64)</f>
        <v>0</v>
      </c>
      <c r="J64" s="124" t="n">
        <f aca="false">IF(MONTH($A64)=MONTH($A63),SUM(I64-I63),I64)</f>
        <v>0</v>
      </c>
      <c r="K64" s="124" t="n">
        <f aca="false">IF(WEEKDAY(A64,3)&gt;4,0,(IF(A64&lt;K$2,0,IF(A64&lt;=K$3,1,0))))</f>
        <v>0</v>
      </c>
      <c r="L64" s="124" t="n">
        <f aca="false">J64*K64</f>
        <v>0</v>
      </c>
      <c r="M64" s="124" t="n">
        <f aca="false">SUM(J$6:J64)</f>
        <v>0</v>
      </c>
      <c r="N64" s="124" t="n">
        <f aca="false">SUM(J$6:J64)</f>
        <v>0</v>
      </c>
      <c r="P64" s="124" t="n">
        <f aca="false">D64/P$3</f>
        <v>0</v>
      </c>
      <c r="Q64" s="124" t="n">
        <f aca="false">E64/P$3</f>
        <v>4.09200369856658</v>
      </c>
      <c r="R64" s="124" t="n">
        <f aca="false">F64/R$3</f>
        <v>0</v>
      </c>
      <c r="S64" s="126" t="n">
        <f aca="false">J64/$R$3</f>
        <v>0</v>
      </c>
      <c r="T64" s="126" t="n">
        <f aca="false">L64/$R$3</f>
        <v>0</v>
      </c>
      <c r="U64" s="126" t="n">
        <f aca="false">I64/$R$3</f>
        <v>0</v>
      </c>
      <c r="V64" s="126" t="n">
        <f aca="false">M64/$R$3</f>
        <v>0</v>
      </c>
      <c r="W64" s="126" t="n">
        <f aca="false">N64/$R$3</f>
        <v>0</v>
      </c>
    </row>
    <row r="65" customFormat="false" ht="12.75" hidden="true" customHeight="false" outlineLevel="0" collapsed="false">
      <c r="A65" s="120" t="n">
        <f aca="false">A64+1</f>
        <v>36951</v>
      </c>
      <c r="B65" s="131" t="str">
        <f aca="false">INDEX('Master Data'!$A$2:$B$8,MATCH(WEEKDAY('SC Total Gas'!A65,3),'Master Data'!$A$2:$A$8,0),2)</f>
        <v>Th</v>
      </c>
      <c r="D65" s="124" t="n">
        <v>0</v>
      </c>
      <c r="E65" s="124" t="n">
        <v>4101721.49444746</v>
      </c>
      <c r="F65" s="124" t="n">
        <v>0</v>
      </c>
      <c r="G65" s="124" t="n">
        <v>0</v>
      </c>
      <c r="I65" s="124" t="n">
        <f aca="false">IF(MONTH($A65)=MONTH($A64),IF(G65=0,I64,G65),G65)</f>
        <v>0</v>
      </c>
      <c r="J65" s="124" t="n">
        <f aca="false">IF(MONTH($A65)=MONTH($A64),SUM(I65-I64),I65)</f>
        <v>0</v>
      </c>
      <c r="K65" s="124" t="n">
        <f aca="false">IF(WEEKDAY(A65,3)&gt;4,0,(IF(A65&lt;K$2,0,IF(A65&lt;=K$3,1,0))))</f>
        <v>0</v>
      </c>
      <c r="L65" s="124" t="n">
        <f aca="false">J65*K65</f>
        <v>0</v>
      </c>
      <c r="M65" s="124" t="n">
        <f aca="false">SUM(J$6:J65)</f>
        <v>0</v>
      </c>
      <c r="N65" s="124" t="n">
        <f aca="false">SUM(J$6:J65)</f>
        <v>0</v>
      </c>
      <c r="P65" s="124" t="n">
        <f aca="false">D65/P$3</f>
        <v>0</v>
      </c>
      <c r="Q65" s="124" t="n">
        <f aca="false">E65/P$3</f>
        <v>4.10172149444746</v>
      </c>
      <c r="R65" s="124" t="n">
        <f aca="false">F65/R$3</f>
        <v>0</v>
      </c>
      <c r="S65" s="126" t="n">
        <f aca="false">J65/$R$3</f>
        <v>0</v>
      </c>
      <c r="T65" s="126" t="n">
        <f aca="false">L65/$R$3</f>
        <v>0</v>
      </c>
      <c r="U65" s="126" t="n">
        <f aca="false">I65/$R$3</f>
        <v>0</v>
      </c>
      <c r="V65" s="126" t="n">
        <f aca="false">M65/$R$3</f>
        <v>0</v>
      </c>
      <c r="W65" s="126" t="n">
        <f aca="false">N65/$R$3</f>
        <v>0</v>
      </c>
    </row>
    <row r="66" customFormat="false" ht="12.75" hidden="true" customHeight="false" outlineLevel="0" collapsed="false">
      <c r="A66" s="120" t="n">
        <f aca="false">A65+1</f>
        <v>36952</v>
      </c>
      <c r="B66" s="131" t="str">
        <f aca="false">INDEX('Master Data'!$A$2:$B$8,MATCH(WEEKDAY('SC Total Gas'!A66,3),'Master Data'!$A$2:$A$8,0),2)</f>
        <v>F</v>
      </c>
      <c r="D66" s="124" t="n">
        <v>0</v>
      </c>
      <c r="E66" s="124" t="n">
        <v>4097276.83895484</v>
      </c>
      <c r="F66" s="124" t="n">
        <v>0</v>
      </c>
      <c r="G66" s="124" t="n">
        <v>0</v>
      </c>
      <c r="I66" s="124" t="n">
        <f aca="false">IF(MONTH($A66)=MONTH($A65),IF(G66=0,I65,G66),G66)</f>
        <v>0</v>
      </c>
      <c r="J66" s="124" t="n">
        <f aca="false">IF(MONTH($A66)=MONTH($A65),SUM(I66-I65),I66)</f>
        <v>0</v>
      </c>
      <c r="K66" s="124" t="n">
        <f aca="false">IF(WEEKDAY(A66,3)&gt;4,0,(IF(A66&lt;K$2,0,IF(A66&lt;=K$3,1,0))))</f>
        <v>0</v>
      </c>
      <c r="L66" s="124" t="n">
        <f aca="false">J66*K66</f>
        <v>0</v>
      </c>
      <c r="M66" s="124" t="n">
        <f aca="false">SUM(J$6:J66)</f>
        <v>0</v>
      </c>
      <c r="N66" s="124" t="n">
        <f aca="false">SUM(J$6:J66)</f>
        <v>0</v>
      </c>
      <c r="P66" s="124" t="n">
        <f aca="false">D66/P$3</f>
        <v>0</v>
      </c>
      <c r="Q66" s="124" t="n">
        <f aca="false">E66/P$3</f>
        <v>4.09727683895484</v>
      </c>
      <c r="R66" s="124" t="n">
        <f aca="false">F66/R$3</f>
        <v>0</v>
      </c>
      <c r="S66" s="126" t="n">
        <f aca="false">J66/$R$3</f>
        <v>0</v>
      </c>
      <c r="T66" s="126" t="n">
        <f aca="false">L66/$R$3</f>
        <v>0</v>
      </c>
      <c r="U66" s="126" t="n">
        <f aca="false">I66/$R$3</f>
        <v>0</v>
      </c>
      <c r="V66" s="126" t="n">
        <f aca="false">M66/$R$3</f>
        <v>0</v>
      </c>
      <c r="W66" s="126" t="n">
        <f aca="false">N66/$R$3</f>
        <v>0</v>
      </c>
    </row>
    <row r="67" customFormat="false" ht="12.75" hidden="true" customHeight="false" outlineLevel="0" collapsed="false">
      <c r="A67" s="120" t="n">
        <f aca="false">A66+1</f>
        <v>36953</v>
      </c>
      <c r="B67" s="131" t="str">
        <f aca="false">INDEX('Master Data'!$A$2:$B$8,MATCH(WEEKDAY('SC Total Gas'!A67,3),'Master Data'!$A$2:$A$8,0),2)</f>
        <v>Sa</v>
      </c>
      <c r="D67" s="124" t="n">
        <v>0</v>
      </c>
      <c r="E67" s="124" t="n">
        <v>0</v>
      </c>
      <c r="F67" s="124" t="n">
        <v>0</v>
      </c>
      <c r="G67" s="124" t="n">
        <v>0</v>
      </c>
      <c r="I67" s="124" t="n">
        <f aca="false">IF(MONTH($A67)=MONTH($A66),IF(G67=0,I66,G67),G67)</f>
        <v>0</v>
      </c>
      <c r="J67" s="124" t="n">
        <f aca="false">IF(MONTH($A67)=MONTH($A66),SUM(I67-I66),I67)</f>
        <v>0</v>
      </c>
      <c r="K67" s="124" t="n">
        <f aca="false">IF(WEEKDAY(A67,3)&gt;4,0,(IF(A67&lt;K$2,0,IF(A67&lt;=K$3,1,0))))</f>
        <v>0</v>
      </c>
      <c r="L67" s="124" t="n">
        <f aca="false">J67*K67</f>
        <v>0</v>
      </c>
      <c r="M67" s="124" t="n">
        <f aca="false">SUM(J$6:J67)</f>
        <v>0</v>
      </c>
      <c r="N67" s="124" t="n">
        <f aca="false">SUM(J$6:J67)</f>
        <v>0</v>
      </c>
      <c r="P67" s="124" t="n">
        <f aca="false">D67/P$3</f>
        <v>0</v>
      </c>
      <c r="Q67" s="124" t="n">
        <f aca="false">E67/P$3</f>
        <v>0</v>
      </c>
      <c r="R67" s="124" t="n">
        <f aca="false">F67/R$3</f>
        <v>0</v>
      </c>
      <c r="S67" s="126" t="n">
        <f aca="false">J67/$R$3</f>
        <v>0</v>
      </c>
      <c r="T67" s="126" t="n">
        <f aca="false">L67/$R$3</f>
        <v>0</v>
      </c>
      <c r="U67" s="126" t="n">
        <f aca="false">I67/$R$3</f>
        <v>0</v>
      </c>
      <c r="V67" s="126" t="n">
        <f aca="false">M67/$R$3</f>
        <v>0</v>
      </c>
      <c r="W67" s="126" t="n">
        <f aca="false">N67/$R$3</f>
        <v>0</v>
      </c>
    </row>
    <row r="68" customFormat="false" ht="12.75" hidden="true" customHeight="false" outlineLevel="0" collapsed="false">
      <c r="A68" s="120" t="n">
        <f aca="false">A67+1</f>
        <v>36954</v>
      </c>
      <c r="B68" s="131" t="str">
        <f aca="false">INDEX('Master Data'!$A$2:$B$8,MATCH(WEEKDAY('SC Total Gas'!A68,3),'Master Data'!$A$2:$A$8,0),2)</f>
        <v>Su</v>
      </c>
      <c r="D68" s="124" t="n">
        <v>0</v>
      </c>
      <c r="E68" s="124" t="n">
        <v>0</v>
      </c>
      <c r="F68" s="124" t="n">
        <v>0</v>
      </c>
      <c r="G68" s="124" t="n">
        <v>0</v>
      </c>
      <c r="I68" s="124" t="n">
        <f aca="false">IF(MONTH($A68)=MONTH($A67),IF(G68=0,I67,G68),G68)</f>
        <v>0</v>
      </c>
      <c r="J68" s="124" t="n">
        <f aca="false">IF(MONTH($A68)=MONTH($A67),SUM(I68-I67),I68)</f>
        <v>0</v>
      </c>
      <c r="K68" s="124" t="n">
        <f aca="false">IF(WEEKDAY(A68,3)&gt;4,0,(IF(A68&lt;K$2,0,IF(A68&lt;=K$3,1,0))))</f>
        <v>0</v>
      </c>
      <c r="L68" s="124" t="n">
        <f aca="false">J68*K68</f>
        <v>0</v>
      </c>
      <c r="M68" s="124" t="n">
        <f aca="false">SUM(J$6:J68)</f>
        <v>0</v>
      </c>
      <c r="N68" s="124" t="n">
        <f aca="false">SUM(J$6:J68)</f>
        <v>0</v>
      </c>
      <c r="P68" s="124" t="n">
        <f aca="false">D68/P$3</f>
        <v>0</v>
      </c>
      <c r="Q68" s="124" t="n">
        <f aca="false">E68/P$3</f>
        <v>0</v>
      </c>
      <c r="R68" s="124" t="n">
        <f aca="false">F68/R$3</f>
        <v>0</v>
      </c>
      <c r="S68" s="126" t="n">
        <f aca="false">J68/$R$3</f>
        <v>0</v>
      </c>
      <c r="T68" s="126" t="n">
        <f aca="false">L68/$R$3</f>
        <v>0</v>
      </c>
      <c r="U68" s="126" t="n">
        <f aca="false">I68/$R$3</f>
        <v>0</v>
      </c>
      <c r="V68" s="126" t="n">
        <f aca="false">M68/$R$3</f>
        <v>0</v>
      </c>
      <c r="W68" s="126" t="n">
        <f aca="false">N68/$R$3</f>
        <v>0</v>
      </c>
    </row>
    <row r="69" customFormat="false" ht="12.75" hidden="true" customHeight="false" outlineLevel="0" collapsed="false">
      <c r="A69" s="120" t="n">
        <f aca="false">A68+1</f>
        <v>36955</v>
      </c>
      <c r="B69" s="131" t="str">
        <f aca="false">INDEX('Master Data'!$A$2:$B$8,MATCH(WEEKDAY('SC Total Gas'!A69,3),'Master Data'!$A$2:$A$8,0),2)</f>
        <v>M</v>
      </c>
      <c r="D69" s="124" t="n">
        <v>0</v>
      </c>
      <c r="E69" s="124" t="n">
        <v>4118371.19921135</v>
      </c>
      <c r="F69" s="124" t="n">
        <v>0</v>
      </c>
      <c r="G69" s="124" t="n">
        <v>0</v>
      </c>
      <c r="I69" s="124" t="n">
        <f aca="false">IF(MONTH($A69)=MONTH($A68),IF(G69=0,I68,G69),G69)</f>
        <v>0</v>
      </c>
      <c r="J69" s="124" t="n">
        <f aca="false">IF(MONTH($A69)=MONTH($A68),SUM(I69-I68),I69)</f>
        <v>0</v>
      </c>
      <c r="K69" s="124" t="n">
        <f aca="false">IF(WEEKDAY(A69,3)&gt;4,0,(IF(A69&lt;K$2,0,IF(A69&lt;=K$3,1,0))))</f>
        <v>0</v>
      </c>
      <c r="L69" s="124" t="n">
        <f aca="false">J69*K69</f>
        <v>0</v>
      </c>
      <c r="M69" s="124" t="n">
        <f aca="false">SUM(J$6:J69)</f>
        <v>0</v>
      </c>
      <c r="N69" s="124" t="n">
        <f aca="false">SUM(J$6:J69)</f>
        <v>0</v>
      </c>
      <c r="P69" s="124" t="n">
        <f aca="false">D69/P$3</f>
        <v>0</v>
      </c>
      <c r="Q69" s="124" t="n">
        <f aca="false">E69/P$3</f>
        <v>4.11837119921135</v>
      </c>
      <c r="R69" s="124" t="n">
        <f aca="false">F69/R$3</f>
        <v>0</v>
      </c>
      <c r="S69" s="126" t="n">
        <f aca="false">J69/$R$3</f>
        <v>0</v>
      </c>
      <c r="T69" s="126" t="n">
        <f aca="false">L69/$R$3</f>
        <v>0</v>
      </c>
      <c r="U69" s="126" t="n">
        <f aca="false">I69/$R$3</f>
        <v>0</v>
      </c>
      <c r="V69" s="126" t="n">
        <f aca="false">M69/$R$3</f>
        <v>0</v>
      </c>
      <c r="W69" s="126" t="n">
        <f aca="false">N69/$R$3</f>
        <v>0</v>
      </c>
    </row>
    <row r="70" customFormat="false" ht="12.75" hidden="true" customHeight="false" outlineLevel="0" collapsed="false">
      <c r="A70" s="120" t="n">
        <f aca="false">A69+1</f>
        <v>36956</v>
      </c>
      <c r="B70" s="131" t="str">
        <f aca="false">INDEX('Master Data'!$A$2:$B$8,MATCH(WEEKDAY('SC Total Gas'!A70,3),'Master Data'!$A$2:$A$8,0),2)</f>
        <v>T</v>
      </c>
      <c r="D70" s="124" t="n">
        <v>0</v>
      </c>
      <c r="E70" s="124" t="n">
        <v>3982269.02859573</v>
      </c>
      <c r="F70" s="124" t="n">
        <v>0</v>
      </c>
      <c r="G70" s="124" t="n">
        <v>0</v>
      </c>
      <c r="I70" s="124" t="n">
        <f aca="false">IF(MONTH($A70)=MONTH($A69),IF(G70=0,I69,G70),G70)</f>
        <v>0</v>
      </c>
      <c r="J70" s="124" t="n">
        <f aca="false">IF(MONTH($A70)=MONTH($A69),SUM(I70-I69),I70)</f>
        <v>0</v>
      </c>
      <c r="K70" s="124" t="n">
        <f aca="false">IF(WEEKDAY(A70,3)&gt;4,0,(IF(A70&lt;K$2,0,IF(A70&lt;=K$3,1,0))))</f>
        <v>0</v>
      </c>
      <c r="L70" s="124" t="n">
        <f aca="false">J70*K70</f>
        <v>0</v>
      </c>
      <c r="M70" s="124" t="n">
        <f aca="false">SUM(J$6:J70)</f>
        <v>0</v>
      </c>
      <c r="N70" s="124" t="n">
        <f aca="false">SUM(J$6:J70)</f>
        <v>0</v>
      </c>
      <c r="P70" s="124" t="n">
        <f aca="false">D70/P$3</f>
        <v>0</v>
      </c>
      <c r="Q70" s="124" t="n">
        <f aca="false">E70/P$3</f>
        <v>3.98226902859573</v>
      </c>
      <c r="R70" s="124" t="n">
        <f aca="false">F70/R$3</f>
        <v>0</v>
      </c>
      <c r="S70" s="126" t="n">
        <f aca="false">J70/$R$3</f>
        <v>0</v>
      </c>
      <c r="T70" s="126" t="n">
        <f aca="false">L70/$R$3</f>
        <v>0</v>
      </c>
      <c r="U70" s="126" t="n">
        <f aca="false">I70/$R$3</f>
        <v>0</v>
      </c>
      <c r="V70" s="126" t="n">
        <f aca="false">M70/$R$3</f>
        <v>0</v>
      </c>
      <c r="W70" s="126" t="n">
        <f aca="false">N70/$R$3</f>
        <v>0</v>
      </c>
    </row>
    <row r="71" customFormat="false" ht="12.75" hidden="true" customHeight="false" outlineLevel="0" collapsed="false">
      <c r="A71" s="120" t="n">
        <f aca="false">A70+1</f>
        <v>36957</v>
      </c>
      <c r="B71" s="131" t="str">
        <f aca="false">INDEX('Master Data'!$A$2:$B$8,MATCH(WEEKDAY('SC Total Gas'!A71,3),'Master Data'!$A$2:$A$8,0),2)</f>
        <v>W</v>
      </c>
      <c r="D71" s="124" t="n">
        <v>0</v>
      </c>
      <c r="E71" s="124" t="n">
        <v>3987181.23149266</v>
      </c>
      <c r="F71" s="124" t="n">
        <v>0</v>
      </c>
      <c r="G71" s="124" t="n">
        <v>0</v>
      </c>
      <c r="I71" s="124" t="n">
        <f aca="false">IF(MONTH($A71)=MONTH($A70),IF(G71=0,I70,G71),G71)</f>
        <v>0</v>
      </c>
      <c r="J71" s="124" t="n">
        <f aca="false">IF(MONTH($A71)=MONTH($A70),SUM(I71-I70),I71)</f>
        <v>0</v>
      </c>
      <c r="K71" s="124" t="n">
        <f aca="false">IF(WEEKDAY(A71,3)&gt;4,0,(IF(A71&lt;K$2,0,IF(A71&lt;=K$3,1,0))))</f>
        <v>0</v>
      </c>
      <c r="L71" s="124" t="n">
        <f aca="false">J71*K71</f>
        <v>0</v>
      </c>
      <c r="M71" s="124" t="n">
        <f aca="false">SUM(J$6:J71)</f>
        <v>0</v>
      </c>
      <c r="N71" s="124" t="n">
        <f aca="false">SUM(J$6:J71)</f>
        <v>0</v>
      </c>
      <c r="P71" s="124" t="n">
        <f aca="false">D71/P$3</f>
        <v>0</v>
      </c>
      <c r="Q71" s="124" t="n">
        <f aca="false">E71/P$3</f>
        <v>3.98718123149266</v>
      </c>
      <c r="R71" s="124" t="n">
        <f aca="false">F71/R$3</f>
        <v>0</v>
      </c>
      <c r="S71" s="126" t="n">
        <f aca="false">J71/$R$3</f>
        <v>0</v>
      </c>
      <c r="T71" s="126" t="n">
        <f aca="false">L71/$R$3</f>
        <v>0</v>
      </c>
      <c r="U71" s="126" t="n">
        <f aca="false">I71/$R$3</f>
        <v>0</v>
      </c>
      <c r="V71" s="126" t="n">
        <f aca="false">M71/$R$3</f>
        <v>0</v>
      </c>
      <c r="W71" s="126" t="n">
        <f aca="false">N71/$R$3</f>
        <v>0</v>
      </c>
    </row>
    <row r="72" customFormat="false" ht="12.75" hidden="true" customHeight="false" outlineLevel="0" collapsed="false">
      <c r="A72" s="120" t="n">
        <f aca="false">A71+1</f>
        <v>36958</v>
      </c>
      <c r="B72" s="131" t="str">
        <f aca="false">INDEX('Master Data'!$A$2:$B$8,MATCH(WEEKDAY('SC Total Gas'!A72,3),'Master Data'!$A$2:$A$8,0),2)</f>
        <v>Th</v>
      </c>
      <c r="D72" s="124" t="n">
        <v>0</v>
      </c>
      <c r="E72" s="124" t="n">
        <v>3999873.44283872</v>
      </c>
      <c r="F72" s="124" t="n">
        <v>0</v>
      </c>
      <c r="G72" s="124" t="n">
        <v>0</v>
      </c>
      <c r="I72" s="124" t="n">
        <f aca="false">IF(MONTH($A72)=MONTH($A71),IF(G72=0,I71,G72),G72)</f>
        <v>0</v>
      </c>
      <c r="J72" s="124" t="n">
        <f aca="false">IF(MONTH($A72)=MONTH($A71),SUM(I72-I71),I72)</f>
        <v>0</v>
      </c>
      <c r="K72" s="124" t="n">
        <f aca="false">IF(WEEKDAY(A72,3)&gt;4,0,(IF(A72&lt;K$2,0,IF(A72&lt;=K$3,1,0))))</f>
        <v>0</v>
      </c>
      <c r="L72" s="124" t="n">
        <f aca="false">J72*K72</f>
        <v>0</v>
      </c>
      <c r="M72" s="124" t="n">
        <f aca="false">SUM(J$6:J72)</f>
        <v>0</v>
      </c>
      <c r="N72" s="124" t="n">
        <f aca="false">SUM(J$6:J72)</f>
        <v>0</v>
      </c>
      <c r="P72" s="124" t="n">
        <f aca="false">D72/P$3</f>
        <v>0</v>
      </c>
      <c r="Q72" s="124" t="n">
        <f aca="false">E72/P$3</f>
        <v>3.99987344283872</v>
      </c>
      <c r="R72" s="124" t="n">
        <f aca="false">F72/R$3</f>
        <v>0</v>
      </c>
      <c r="S72" s="126" t="n">
        <f aca="false">J72/$R$3</f>
        <v>0</v>
      </c>
      <c r="T72" s="126" t="n">
        <f aca="false">L72/$R$3</f>
        <v>0</v>
      </c>
      <c r="U72" s="126" t="n">
        <f aca="false">I72/$R$3</f>
        <v>0</v>
      </c>
      <c r="V72" s="126" t="n">
        <f aca="false">M72/$R$3</f>
        <v>0</v>
      </c>
      <c r="W72" s="126" t="n">
        <f aca="false">N72/$R$3</f>
        <v>0</v>
      </c>
    </row>
    <row r="73" customFormat="false" ht="12.75" hidden="true" customHeight="false" outlineLevel="0" collapsed="false">
      <c r="A73" s="120" t="n">
        <f aca="false">A72+1</f>
        <v>36959</v>
      </c>
      <c r="B73" s="131" t="str">
        <f aca="false">INDEX('Master Data'!$A$2:$B$8,MATCH(WEEKDAY('SC Total Gas'!A73,3),'Master Data'!$A$2:$A$8,0),2)</f>
        <v>F</v>
      </c>
      <c r="D73" s="124" t="n">
        <v>0</v>
      </c>
      <c r="E73" s="124" t="n">
        <v>4001346.64138422</v>
      </c>
      <c r="F73" s="124" t="n">
        <v>0</v>
      </c>
      <c r="G73" s="124" t="n">
        <v>0</v>
      </c>
      <c r="I73" s="124" t="n">
        <f aca="false">IF(MONTH($A73)=MONTH($A72),IF(G73=0,I72,G73),G73)</f>
        <v>0</v>
      </c>
      <c r="J73" s="124" t="n">
        <f aca="false">IF(MONTH($A73)=MONTH($A72),SUM(I73-I72),I73)</f>
        <v>0</v>
      </c>
      <c r="K73" s="124" t="n">
        <f aca="false">IF(WEEKDAY(A73,3)&gt;4,0,(IF(A73&lt;K$2,0,IF(A73&lt;=K$3,1,0))))</f>
        <v>0</v>
      </c>
      <c r="L73" s="124" t="n">
        <f aca="false">J73*K73</f>
        <v>0</v>
      </c>
      <c r="M73" s="124" t="n">
        <f aca="false">SUM(J$6:J73)</f>
        <v>0</v>
      </c>
      <c r="N73" s="124" t="n">
        <f aca="false">SUM(J$6:J73)</f>
        <v>0</v>
      </c>
      <c r="P73" s="124" t="n">
        <f aca="false">D73/P$3</f>
        <v>0</v>
      </c>
      <c r="Q73" s="124" t="n">
        <f aca="false">E73/P$3</f>
        <v>4.00134664138423</v>
      </c>
      <c r="R73" s="124" t="n">
        <f aca="false">F73/R$3</f>
        <v>0</v>
      </c>
      <c r="S73" s="126" t="n">
        <f aca="false">J73/$R$3</f>
        <v>0</v>
      </c>
      <c r="T73" s="126" t="n">
        <f aca="false">L73/$R$3</f>
        <v>0</v>
      </c>
      <c r="U73" s="126" t="n">
        <f aca="false">I73/$R$3</f>
        <v>0</v>
      </c>
      <c r="V73" s="126" t="n">
        <f aca="false">M73/$R$3</f>
        <v>0</v>
      </c>
      <c r="W73" s="126" t="n">
        <f aca="false">N73/$R$3</f>
        <v>0</v>
      </c>
    </row>
    <row r="74" customFormat="false" ht="12.75" hidden="true" customHeight="false" outlineLevel="0" collapsed="false">
      <c r="A74" s="120" t="n">
        <f aca="false">A73+1</f>
        <v>36960</v>
      </c>
      <c r="B74" s="131" t="str">
        <f aca="false">INDEX('Master Data'!$A$2:$B$8,MATCH(WEEKDAY('SC Total Gas'!A74,3),'Master Data'!$A$2:$A$8,0),2)</f>
        <v>Sa</v>
      </c>
      <c r="D74" s="124" t="n">
        <v>0</v>
      </c>
      <c r="E74" s="124" t="n">
        <v>0</v>
      </c>
      <c r="F74" s="124" t="n">
        <v>0</v>
      </c>
      <c r="G74" s="124" t="n">
        <v>0</v>
      </c>
      <c r="I74" s="124" t="n">
        <f aca="false">IF(MONTH($A74)=MONTH($A73),IF(G74=0,I73,G74),G74)</f>
        <v>0</v>
      </c>
      <c r="J74" s="124" t="n">
        <f aca="false">IF(MONTH($A74)=MONTH($A73),SUM(I74-I73),I74)</f>
        <v>0</v>
      </c>
      <c r="K74" s="124" t="n">
        <f aca="false">IF(WEEKDAY(A74,3)&gt;4,0,(IF(A74&lt;K$2,0,IF(A74&lt;=K$3,1,0))))</f>
        <v>0</v>
      </c>
      <c r="L74" s="124" t="n">
        <f aca="false">J74*K74</f>
        <v>0</v>
      </c>
      <c r="M74" s="124" t="n">
        <f aca="false">SUM(J$6:J74)</f>
        <v>0</v>
      </c>
      <c r="N74" s="124" t="n">
        <f aca="false">SUM(J$6:J74)</f>
        <v>0</v>
      </c>
      <c r="P74" s="124" t="n">
        <f aca="false">D74/P$3</f>
        <v>0</v>
      </c>
      <c r="Q74" s="124" t="n">
        <f aca="false">E74/P$3</f>
        <v>0</v>
      </c>
      <c r="R74" s="124" t="n">
        <f aca="false">F74/R$3</f>
        <v>0</v>
      </c>
      <c r="S74" s="126" t="n">
        <f aca="false">J74/$R$3</f>
        <v>0</v>
      </c>
      <c r="T74" s="126" t="n">
        <f aca="false">L74/$R$3</f>
        <v>0</v>
      </c>
      <c r="U74" s="126" t="n">
        <f aca="false">I74/$R$3</f>
        <v>0</v>
      </c>
      <c r="V74" s="126" t="n">
        <f aca="false">M74/$R$3</f>
        <v>0</v>
      </c>
      <c r="W74" s="126" t="n">
        <f aca="false">N74/$R$3</f>
        <v>0</v>
      </c>
    </row>
    <row r="75" customFormat="false" ht="12.75" hidden="true" customHeight="false" outlineLevel="0" collapsed="false">
      <c r="A75" s="120" t="n">
        <f aca="false">A74+1</f>
        <v>36961</v>
      </c>
      <c r="B75" s="131" t="str">
        <f aca="false">INDEX('Master Data'!$A$2:$B$8,MATCH(WEEKDAY('SC Total Gas'!A75,3),'Master Data'!$A$2:$A$8,0),2)</f>
        <v>Su</v>
      </c>
      <c r="D75" s="124" t="n">
        <v>0</v>
      </c>
      <c r="E75" s="124" t="n">
        <v>0</v>
      </c>
      <c r="F75" s="124" t="n">
        <v>0</v>
      </c>
      <c r="G75" s="124" t="n">
        <v>0</v>
      </c>
      <c r="I75" s="124" t="n">
        <f aca="false">IF(MONTH($A75)=MONTH($A74),IF(G75=0,I74,G75),G75)</f>
        <v>0</v>
      </c>
      <c r="J75" s="124" t="n">
        <f aca="false">IF(MONTH($A75)=MONTH($A74),SUM(I75-I74),I75)</f>
        <v>0</v>
      </c>
      <c r="K75" s="124" t="n">
        <f aca="false">IF(WEEKDAY(A75,3)&gt;4,0,(IF(A75&lt;K$2,0,IF(A75&lt;=K$3,1,0))))</f>
        <v>0</v>
      </c>
      <c r="L75" s="124" t="n">
        <f aca="false">J75*K75</f>
        <v>0</v>
      </c>
      <c r="M75" s="124" t="n">
        <f aca="false">SUM(J$6:J75)</f>
        <v>0</v>
      </c>
      <c r="N75" s="124" t="n">
        <f aca="false">SUM(J$6:J75)</f>
        <v>0</v>
      </c>
      <c r="P75" s="124" t="n">
        <f aca="false">D75/P$3</f>
        <v>0</v>
      </c>
      <c r="Q75" s="124" t="n">
        <f aca="false">E75/P$3</f>
        <v>0</v>
      </c>
      <c r="R75" s="124" t="n">
        <f aca="false">F75/R$3</f>
        <v>0</v>
      </c>
      <c r="S75" s="126" t="n">
        <f aca="false">J75/$R$3</f>
        <v>0</v>
      </c>
      <c r="T75" s="126" t="n">
        <f aca="false">L75/$R$3</f>
        <v>0</v>
      </c>
      <c r="U75" s="126" t="n">
        <f aca="false">I75/$R$3</f>
        <v>0</v>
      </c>
      <c r="V75" s="126" t="n">
        <f aca="false">M75/$R$3</f>
        <v>0</v>
      </c>
      <c r="W75" s="126" t="n">
        <f aca="false">N75/$R$3</f>
        <v>0</v>
      </c>
    </row>
    <row r="76" customFormat="false" ht="12.75" hidden="true" customHeight="false" outlineLevel="0" collapsed="false">
      <c r="A76" s="120" t="n">
        <f aca="false">A75+1</f>
        <v>36962</v>
      </c>
      <c r="B76" s="131" t="str">
        <f aca="false">INDEX('Master Data'!$A$2:$B$8,MATCH(WEEKDAY('SC Total Gas'!A76,3),'Master Data'!$A$2:$A$8,0),2)</f>
        <v>M</v>
      </c>
      <c r="D76" s="124" t="n">
        <v>0</v>
      </c>
      <c r="E76" s="124" t="n">
        <v>4022823.60286967</v>
      </c>
      <c r="F76" s="124" t="n">
        <v>0</v>
      </c>
      <c r="G76" s="124" t="n">
        <v>0</v>
      </c>
      <c r="I76" s="124" t="n">
        <f aca="false">IF(MONTH($A76)=MONTH($A75),IF(G76=0,I75,G76),G76)</f>
        <v>0</v>
      </c>
      <c r="J76" s="124" t="n">
        <f aca="false">IF(MONTH($A76)=MONTH($A75),SUM(I76-I75),I76)</f>
        <v>0</v>
      </c>
      <c r="K76" s="124" t="n">
        <f aca="false">IF(WEEKDAY(A76,3)&gt;4,0,(IF(A76&lt;K$2,0,IF(A76&lt;=K$3,1,0))))</f>
        <v>0</v>
      </c>
      <c r="L76" s="124" t="n">
        <f aca="false">J76*K76</f>
        <v>0</v>
      </c>
      <c r="M76" s="124" t="n">
        <f aca="false">SUM(J$6:J76)</f>
        <v>0</v>
      </c>
      <c r="N76" s="124" t="n">
        <f aca="false">SUM(J$6:J76)</f>
        <v>0</v>
      </c>
      <c r="P76" s="124" t="n">
        <f aca="false">D76/P$3</f>
        <v>0</v>
      </c>
      <c r="Q76" s="124" t="n">
        <f aca="false">E76/P$3</f>
        <v>4.02282360286967</v>
      </c>
      <c r="R76" s="124" t="n">
        <f aca="false">F76/R$3</f>
        <v>0</v>
      </c>
      <c r="S76" s="126" t="n">
        <f aca="false">J76/$R$3</f>
        <v>0</v>
      </c>
      <c r="T76" s="126" t="n">
        <f aca="false">L76/$R$3</f>
        <v>0</v>
      </c>
      <c r="U76" s="126" t="n">
        <f aca="false">I76/$R$3</f>
        <v>0</v>
      </c>
      <c r="V76" s="126" t="n">
        <f aca="false">M76/$R$3</f>
        <v>0</v>
      </c>
      <c r="W76" s="126" t="n">
        <f aca="false">N76/$R$3</f>
        <v>0</v>
      </c>
    </row>
    <row r="77" customFormat="false" ht="12.75" hidden="true" customHeight="false" outlineLevel="0" collapsed="false">
      <c r="A77" s="120" t="n">
        <f aca="false">A76+1</f>
        <v>36963</v>
      </c>
      <c r="B77" s="131" t="str">
        <f aca="false">INDEX('Master Data'!$A$2:$B$8,MATCH(WEEKDAY('SC Total Gas'!A77,3),'Master Data'!$A$2:$A$8,0),2)</f>
        <v>T</v>
      </c>
      <c r="D77" s="124" t="n">
        <v>0</v>
      </c>
      <c r="E77" s="124" t="n">
        <v>4032078.24515785</v>
      </c>
      <c r="F77" s="124" t="n">
        <v>0</v>
      </c>
      <c r="G77" s="124" t="n">
        <v>0</v>
      </c>
      <c r="I77" s="124" t="n">
        <f aca="false">IF(MONTH($A77)=MONTH($A76),IF(G77=0,I76,G77),G77)</f>
        <v>0</v>
      </c>
      <c r="J77" s="124" t="n">
        <f aca="false">IF(MONTH($A77)=MONTH($A76),SUM(I77-I76),I77)</f>
        <v>0</v>
      </c>
      <c r="K77" s="124" t="n">
        <f aca="false">IF(WEEKDAY(A77,3)&gt;4,0,(IF(A77&lt;K$2,0,IF(A77&lt;=K$3,1,0))))</f>
        <v>0</v>
      </c>
      <c r="L77" s="124" t="n">
        <f aca="false">J77*K77</f>
        <v>0</v>
      </c>
      <c r="M77" s="124" t="n">
        <f aca="false">SUM(J$6:J77)</f>
        <v>0</v>
      </c>
      <c r="N77" s="124" t="n">
        <f aca="false">SUM(J$6:J77)</f>
        <v>0</v>
      </c>
      <c r="P77" s="124" t="n">
        <f aca="false">D77/P$3</f>
        <v>0</v>
      </c>
      <c r="Q77" s="124" t="n">
        <f aca="false">E77/P$3</f>
        <v>4.03207824515785</v>
      </c>
      <c r="R77" s="124" t="n">
        <f aca="false">F77/R$3</f>
        <v>0</v>
      </c>
      <c r="S77" s="126" t="n">
        <f aca="false">J77/$R$3</f>
        <v>0</v>
      </c>
      <c r="T77" s="126" t="n">
        <f aca="false">L77/$R$3</f>
        <v>0</v>
      </c>
      <c r="U77" s="126" t="n">
        <f aca="false">I77/$R$3</f>
        <v>0</v>
      </c>
      <c r="V77" s="126" t="n">
        <f aca="false">M77/$R$3</f>
        <v>0</v>
      </c>
      <c r="W77" s="126" t="n">
        <f aca="false">N77/$R$3</f>
        <v>0</v>
      </c>
    </row>
    <row r="78" customFormat="false" ht="12.75" hidden="true" customHeight="false" outlineLevel="0" collapsed="false">
      <c r="A78" s="120" t="n">
        <f aca="false">A77+1</f>
        <v>36964</v>
      </c>
      <c r="B78" s="131" t="str">
        <f aca="false">INDEX('Master Data'!$A$2:$B$8,MATCH(WEEKDAY('SC Total Gas'!A78,3),'Master Data'!$A$2:$A$8,0),2)</f>
        <v>W</v>
      </c>
      <c r="D78" s="124" t="n">
        <v>0</v>
      </c>
      <c r="E78" s="124" t="n">
        <v>4061887.78473745</v>
      </c>
      <c r="F78" s="124" t="n">
        <v>0</v>
      </c>
      <c r="G78" s="124" t="n">
        <v>0</v>
      </c>
      <c r="I78" s="124" t="n">
        <f aca="false">IF(MONTH($A78)=MONTH($A77),IF(G78=0,I77,G78),G78)</f>
        <v>0</v>
      </c>
      <c r="J78" s="124" t="n">
        <f aca="false">IF(MONTH($A78)=MONTH($A77),SUM(I78-I77),I78)</f>
        <v>0</v>
      </c>
      <c r="K78" s="124" t="n">
        <f aca="false">IF(WEEKDAY(A78,3)&gt;4,0,(IF(A78&lt;K$2,0,IF(A78&lt;=K$3,1,0))))</f>
        <v>0</v>
      </c>
      <c r="L78" s="124" t="n">
        <f aca="false">J78*K78</f>
        <v>0</v>
      </c>
      <c r="M78" s="124" t="n">
        <f aca="false">SUM(J$6:J78)</f>
        <v>0</v>
      </c>
      <c r="N78" s="124" t="n">
        <f aca="false">SUM(J$6:J78)</f>
        <v>0</v>
      </c>
      <c r="P78" s="124" t="n">
        <f aca="false">D78/P$3</f>
        <v>0</v>
      </c>
      <c r="Q78" s="124" t="n">
        <f aca="false">E78/P$3</f>
        <v>4.06188778473745</v>
      </c>
      <c r="R78" s="124" t="n">
        <f aca="false">F78/R$3</f>
        <v>0</v>
      </c>
      <c r="S78" s="126" t="n">
        <f aca="false">J78/$R$3</f>
        <v>0</v>
      </c>
      <c r="T78" s="126" t="n">
        <f aca="false">L78/$R$3</f>
        <v>0</v>
      </c>
      <c r="U78" s="126" t="n">
        <f aca="false">I78/$R$3</f>
        <v>0</v>
      </c>
      <c r="V78" s="126" t="n">
        <f aca="false">M78/$R$3</f>
        <v>0</v>
      </c>
      <c r="W78" s="126" t="n">
        <f aca="false">N78/$R$3</f>
        <v>0</v>
      </c>
    </row>
    <row r="79" customFormat="false" ht="12.75" hidden="true" customHeight="false" outlineLevel="0" collapsed="false">
      <c r="A79" s="120" t="n">
        <f aca="false">A78+1</f>
        <v>36965</v>
      </c>
      <c r="B79" s="131" t="str">
        <f aca="false">INDEX('Master Data'!$A$2:$B$8,MATCH(WEEKDAY('SC Total Gas'!A79,3),'Master Data'!$A$2:$A$8,0),2)</f>
        <v>Th</v>
      </c>
      <c r="D79" s="124" t="n">
        <v>0</v>
      </c>
      <c r="E79" s="124" t="n">
        <v>4076114.41804996</v>
      </c>
      <c r="F79" s="124" t="n">
        <v>0</v>
      </c>
      <c r="G79" s="124" t="n">
        <v>0</v>
      </c>
      <c r="I79" s="124" t="n">
        <f aca="false">IF(MONTH($A79)=MONTH($A78),IF(G79=0,I78,G79),G79)</f>
        <v>0</v>
      </c>
      <c r="J79" s="124" t="n">
        <f aca="false">IF(MONTH($A79)=MONTH($A78),SUM(I79-I78),I79)</f>
        <v>0</v>
      </c>
      <c r="K79" s="124" t="n">
        <f aca="false">IF(WEEKDAY(A79,3)&gt;4,0,(IF(A79&lt;K$2,0,IF(A79&lt;=K$3,1,0))))</f>
        <v>0</v>
      </c>
      <c r="L79" s="124" t="n">
        <f aca="false">J79*K79</f>
        <v>0</v>
      </c>
      <c r="M79" s="124" t="n">
        <f aca="false">SUM(J$6:J79)</f>
        <v>0</v>
      </c>
      <c r="N79" s="124" t="n">
        <f aca="false">SUM(J$6:J79)</f>
        <v>0</v>
      </c>
      <c r="P79" s="124" t="n">
        <f aca="false">D79/P$3</f>
        <v>0</v>
      </c>
      <c r="Q79" s="124" t="n">
        <f aca="false">E79/P$3</f>
        <v>4.07611441804996</v>
      </c>
      <c r="R79" s="124" t="n">
        <f aca="false">F79/R$3</f>
        <v>0</v>
      </c>
      <c r="S79" s="126" t="n">
        <f aca="false">J79/$R$3</f>
        <v>0</v>
      </c>
      <c r="T79" s="126" t="n">
        <f aca="false">L79/$R$3</f>
        <v>0</v>
      </c>
      <c r="U79" s="126" t="n">
        <f aca="false">I79/$R$3</f>
        <v>0</v>
      </c>
      <c r="V79" s="126" t="n">
        <f aca="false">M79/$R$3</f>
        <v>0</v>
      </c>
      <c r="W79" s="126" t="n">
        <f aca="false">N79/$R$3</f>
        <v>0</v>
      </c>
    </row>
    <row r="80" customFormat="false" ht="12.75" hidden="true" customHeight="false" outlineLevel="0" collapsed="false">
      <c r="A80" s="120" t="n">
        <f aca="false">A79+1</f>
        <v>36966</v>
      </c>
      <c r="B80" s="131" t="str">
        <f aca="false">INDEX('Master Data'!$A$2:$B$8,MATCH(WEEKDAY('SC Total Gas'!A80,3),'Master Data'!$A$2:$A$8,0),2)</f>
        <v>F</v>
      </c>
      <c r="D80" s="124" t="n">
        <v>0</v>
      </c>
      <c r="E80" s="124" t="n">
        <v>4083652.65581465</v>
      </c>
      <c r="F80" s="124" t="n">
        <v>0</v>
      </c>
      <c r="G80" s="124" t="n">
        <v>0</v>
      </c>
      <c r="I80" s="124" t="n">
        <f aca="false">IF(MONTH($A80)=MONTH($A79),IF(G80=0,I79,G80),G80)</f>
        <v>0</v>
      </c>
      <c r="J80" s="124" t="n">
        <f aca="false">IF(MONTH($A80)=MONTH($A79),SUM(I80-I79),I80)</f>
        <v>0</v>
      </c>
      <c r="K80" s="124" t="n">
        <f aca="false">IF(WEEKDAY(A80,3)&gt;4,0,(IF(A80&lt;K$2,0,IF(A80&lt;=K$3,1,0))))</f>
        <v>0</v>
      </c>
      <c r="L80" s="124" t="n">
        <f aca="false">J80*K80</f>
        <v>0</v>
      </c>
      <c r="M80" s="124" t="n">
        <f aca="false">SUM(J$6:J80)</f>
        <v>0</v>
      </c>
      <c r="N80" s="124" t="n">
        <f aca="false">SUM(J$6:J80)</f>
        <v>0</v>
      </c>
      <c r="P80" s="124" t="n">
        <f aca="false">D80/P$3</f>
        <v>0</v>
      </c>
      <c r="Q80" s="124" t="n">
        <f aca="false">E80/P$3</f>
        <v>4.08365265581465</v>
      </c>
      <c r="R80" s="124" t="n">
        <f aca="false">F80/R$3</f>
        <v>0</v>
      </c>
      <c r="S80" s="126" t="n">
        <f aca="false">J80/$R$3</f>
        <v>0</v>
      </c>
      <c r="T80" s="126" t="n">
        <f aca="false">L80/$R$3</f>
        <v>0</v>
      </c>
      <c r="U80" s="126" t="n">
        <f aca="false">I80/$R$3</f>
        <v>0</v>
      </c>
      <c r="V80" s="126" t="n">
        <f aca="false">M80/$R$3</f>
        <v>0</v>
      </c>
      <c r="W80" s="126" t="n">
        <f aca="false">N80/$R$3</f>
        <v>0</v>
      </c>
    </row>
    <row r="81" customFormat="false" ht="12.75" hidden="true" customHeight="false" outlineLevel="0" collapsed="false">
      <c r="A81" s="120" t="n">
        <f aca="false">A80+1</f>
        <v>36967</v>
      </c>
      <c r="B81" s="131" t="str">
        <f aca="false">INDEX('Master Data'!$A$2:$B$8,MATCH(WEEKDAY('SC Total Gas'!A81,3),'Master Data'!$A$2:$A$8,0),2)</f>
        <v>Sa</v>
      </c>
      <c r="D81" s="124" t="n">
        <v>0</v>
      </c>
      <c r="E81" s="124" t="n">
        <v>0</v>
      </c>
      <c r="F81" s="124" t="n">
        <v>0</v>
      </c>
      <c r="G81" s="124" t="n">
        <v>0</v>
      </c>
      <c r="I81" s="124" t="n">
        <f aca="false">IF(MONTH($A81)=MONTH($A80),IF(G81=0,I80,G81),G81)</f>
        <v>0</v>
      </c>
      <c r="J81" s="124" t="n">
        <f aca="false">IF(MONTH($A81)=MONTH($A80),SUM(I81-I80),I81)</f>
        <v>0</v>
      </c>
      <c r="K81" s="124" t="n">
        <f aca="false">IF(WEEKDAY(A81,3)&gt;4,0,(IF(A81&lt;K$2,0,IF(A81&lt;=K$3,1,0))))</f>
        <v>0</v>
      </c>
      <c r="L81" s="124" t="n">
        <f aca="false">J81*K81</f>
        <v>0</v>
      </c>
      <c r="M81" s="124" t="n">
        <f aca="false">SUM(J$6:J81)</f>
        <v>0</v>
      </c>
      <c r="N81" s="124" t="n">
        <f aca="false">SUM(J$6:J81)</f>
        <v>0</v>
      </c>
      <c r="P81" s="124" t="n">
        <f aca="false">D81/P$3</f>
        <v>0</v>
      </c>
      <c r="Q81" s="124" t="n">
        <f aca="false">E81/P$3</f>
        <v>0</v>
      </c>
      <c r="R81" s="124" t="n">
        <f aca="false">F81/R$3</f>
        <v>0</v>
      </c>
      <c r="S81" s="126" t="n">
        <f aca="false">J81/$R$3</f>
        <v>0</v>
      </c>
      <c r="T81" s="126" t="n">
        <f aca="false">L81/$R$3</f>
        <v>0</v>
      </c>
      <c r="U81" s="126" t="n">
        <f aca="false">I81/$R$3</f>
        <v>0</v>
      </c>
      <c r="V81" s="126" t="n">
        <f aca="false">M81/$R$3</f>
        <v>0</v>
      </c>
      <c r="W81" s="126" t="n">
        <f aca="false">N81/$R$3</f>
        <v>0</v>
      </c>
    </row>
    <row r="82" customFormat="false" ht="12.75" hidden="true" customHeight="false" outlineLevel="0" collapsed="false">
      <c r="A82" s="120" t="n">
        <f aca="false">A81+1</f>
        <v>36968</v>
      </c>
      <c r="B82" s="131" t="str">
        <f aca="false">INDEX('Master Data'!$A$2:$B$8,MATCH(WEEKDAY('SC Total Gas'!A82,3),'Master Data'!$A$2:$A$8,0),2)</f>
        <v>Su</v>
      </c>
      <c r="D82" s="124" t="n">
        <v>0</v>
      </c>
      <c r="E82" s="124" t="n">
        <v>0</v>
      </c>
      <c r="F82" s="124" t="n">
        <v>0</v>
      </c>
      <c r="G82" s="124" t="n">
        <v>0</v>
      </c>
      <c r="I82" s="124" t="n">
        <f aca="false">IF(MONTH($A82)=MONTH($A81),IF(G82=0,I81,G82),G82)</f>
        <v>0</v>
      </c>
      <c r="J82" s="124" t="n">
        <f aca="false">IF(MONTH($A82)=MONTH($A81),SUM(I82-I81),I82)</f>
        <v>0</v>
      </c>
      <c r="K82" s="124" t="n">
        <f aca="false">IF(WEEKDAY(A82,3)&gt;4,0,(IF(A82&lt;K$2,0,IF(A82&lt;=K$3,1,0))))</f>
        <v>0</v>
      </c>
      <c r="L82" s="124" t="n">
        <f aca="false">J82*K82</f>
        <v>0</v>
      </c>
      <c r="M82" s="124" t="n">
        <f aca="false">SUM(J$6:J82)</f>
        <v>0</v>
      </c>
      <c r="N82" s="124" t="n">
        <f aca="false">SUM(J$6:J82)</f>
        <v>0</v>
      </c>
      <c r="P82" s="124" t="n">
        <f aca="false">D82/P$3</f>
        <v>0</v>
      </c>
      <c r="Q82" s="124" t="n">
        <f aca="false">E82/P$3</f>
        <v>0</v>
      </c>
      <c r="R82" s="124" t="n">
        <f aca="false">F82/R$3</f>
        <v>0</v>
      </c>
      <c r="S82" s="126" t="n">
        <f aca="false">J82/$R$3</f>
        <v>0</v>
      </c>
      <c r="T82" s="126" t="n">
        <f aca="false">L82/$R$3</f>
        <v>0</v>
      </c>
      <c r="U82" s="126" t="n">
        <f aca="false">I82/$R$3</f>
        <v>0</v>
      </c>
      <c r="V82" s="126" t="n">
        <f aca="false">M82/$R$3</f>
        <v>0</v>
      </c>
      <c r="W82" s="126" t="n">
        <f aca="false">N82/$R$3</f>
        <v>0</v>
      </c>
    </row>
    <row r="83" customFormat="false" ht="12.75" hidden="true" customHeight="false" outlineLevel="0" collapsed="false">
      <c r="A83" s="120" t="n">
        <f aca="false">A82+1</f>
        <v>36969</v>
      </c>
      <c r="B83" s="131" t="str">
        <f aca="false">INDEX('Master Data'!$A$2:$B$8,MATCH(WEEKDAY('SC Total Gas'!A83,3),'Master Data'!$A$2:$A$8,0),2)</f>
        <v>M</v>
      </c>
      <c r="D83" s="124" t="n">
        <v>0</v>
      </c>
      <c r="E83" s="124" t="n">
        <v>4445042.83909446</v>
      </c>
      <c r="F83" s="124" t="n">
        <v>0</v>
      </c>
      <c r="G83" s="124" t="n">
        <v>0</v>
      </c>
      <c r="I83" s="124" t="n">
        <f aca="false">IF(MONTH($A83)=MONTH($A82),IF(G83=0,I82,G83),G83)</f>
        <v>0</v>
      </c>
      <c r="J83" s="124" t="n">
        <f aca="false">IF(MONTH($A83)=MONTH($A82),SUM(I83-I82),I83)</f>
        <v>0</v>
      </c>
      <c r="K83" s="124" t="n">
        <f aca="false">IF(WEEKDAY(A83,3)&gt;4,0,(IF(A83&lt;K$2,0,IF(A83&lt;=K$3,1,0))))</f>
        <v>0</v>
      </c>
      <c r="L83" s="124" t="n">
        <f aca="false">J83*K83</f>
        <v>0</v>
      </c>
      <c r="M83" s="124" t="n">
        <f aca="false">SUM(J$6:J83)</f>
        <v>0</v>
      </c>
      <c r="N83" s="124" t="n">
        <f aca="false">SUM(J$6:J83)</f>
        <v>0</v>
      </c>
      <c r="P83" s="124" t="n">
        <f aca="false">D83/P$3</f>
        <v>0</v>
      </c>
      <c r="Q83" s="124" t="n">
        <f aca="false">E83/P$3</f>
        <v>4.44504283909446</v>
      </c>
      <c r="R83" s="124" t="n">
        <f aca="false">F83/R$3</f>
        <v>0</v>
      </c>
      <c r="S83" s="126" t="n">
        <f aca="false">J83/$R$3</f>
        <v>0</v>
      </c>
      <c r="T83" s="126" t="n">
        <f aca="false">L83/$R$3</f>
        <v>0</v>
      </c>
      <c r="U83" s="126" t="n">
        <f aca="false">I83/$R$3</f>
        <v>0</v>
      </c>
      <c r="V83" s="126" t="n">
        <f aca="false">M83/$R$3</f>
        <v>0</v>
      </c>
      <c r="W83" s="126" t="n">
        <f aca="false">N83/$R$3</f>
        <v>0</v>
      </c>
    </row>
    <row r="84" customFormat="false" ht="12.75" hidden="true" customHeight="false" outlineLevel="0" collapsed="false">
      <c r="A84" s="120" t="n">
        <f aca="false">A83+1</f>
        <v>36970</v>
      </c>
      <c r="B84" s="131" t="str">
        <f aca="false">INDEX('Master Data'!$A$2:$B$8,MATCH(WEEKDAY('SC Total Gas'!A84,3),'Master Data'!$A$2:$A$8,0),2)</f>
        <v>T</v>
      </c>
      <c r="D84" s="124" t="n">
        <v>0</v>
      </c>
      <c r="E84" s="124" t="n">
        <v>2069952.20320716</v>
      </c>
      <c r="F84" s="124" t="n">
        <v>0</v>
      </c>
      <c r="G84" s="124" t="n">
        <v>0</v>
      </c>
      <c r="I84" s="124" t="n">
        <f aca="false">IF(MONTH($A84)=MONTH($A83),IF(G84=0,I83,G84),G84)</f>
        <v>0</v>
      </c>
      <c r="J84" s="124" t="n">
        <f aca="false">IF(MONTH($A84)=MONTH($A83),SUM(I84-I83),I84)</f>
        <v>0</v>
      </c>
      <c r="K84" s="124" t="n">
        <f aca="false">IF(WEEKDAY(A84,3)&gt;4,0,(IF(A84&lt;K$2,0,IF(A84&lt;=K$3,1,0))))</f>
        <v>0</v>
      </c>
      <c r="L84" s="124" t="n">
        <f aca="false">J84*K84</f>
        <v>0</v>
      </c>
      <c r="M84" s="124" t="n">
        <f aca="false">SUM(J$6:J84)</f>
        <v>0</v>
      </c>
      <c r="N84" s="124" t="n">
        <f aca="false">SUM(J$6:J84)</f>
        <v>0</v>
      </c>
      <c r="P84" s="124" t="n">
        <f aca="false">D84/P$3</f>
        <v>0</v>
      </c>
      <c r="Q84" s="124" t="n">
        <f aca="false">E84/P$3</f>
        <v>2.06995220320716</v>
      </c>
      <c r="R84" s="124" t="n">
        <f aca="false">F84/R$3</f>
        <v>0</v>
      </c>
      <c r="S84" s="126" t="n">
        <f aca="false">J84/$R$3</f>
        <v>0</v>
      </c>
      <c r="T84" s="126" t="n">
        <f aca="false">L84/$R$3</f>
        <v>0</v>
      </c>
      <c r="U84" s="126" t="n">
        <f aca="false">I84/$R$3</f>
        <v>0</v>
      </c>
      <c r="V84" s="126" t="n">
        <f aca="false">M84/$R$3</f>
        <v>0</v>
      </c>
      <c r="W84" s="126" t="n">
        <f aca="false">N84/$R$3</f>
        <v>0</v>
      </c>
    </row>
    <row r="85" customFormat="false" ht="12.75" hidden="true" customHeight="false" outlineLevel="0" collapsed="false">
      <c r="A85" s="120" t="n">
        <f aca="false">A84+1</f>
        <v>36971</v>
      </c>
      <c r="B85" s="131" t="str">
        <f aca="false">INDEX('Master Data'!$A$2:$B$8,MATCH(WEEKDAY('SC Total Gas'!A85,3),'Master Data'!$A$2:$A$8,0),2)</f>
        <v>W</v>
      </c>
      <c r="D85" s="124" t="n">
        <v>0</v>
      </c>
      <c r="E85" s="124" t="n">
        <v>589737.320290716</v>
      </c>
      <c r="F85" s="124" t="n">
        <v>0</v>
      </c>
      <c r="G85" s="124" t="n">
        <v>0</v>
      </c>
      <c r="I85" s="124" t="n">
        <f aca="false">IF(MONTH($A85)=MONTH($A84),IF(G85=0,I84,G85),G85)</f>
        <v>0</v>
      </c>
      <c r="J85" s="124" t="n">
        <f aca="false">IF(MONTH($A85)=MONTH($A84),SUM(I85-I84),I85)</f>
        <v>0</v>
      </c>
      <c r="K85" s="124" t="n">
        <f aca="false">IF(WEEKDAY(A85,3)&gt;4,0,(IF(A85&lt;K$2,0,IF(A85&lt;=K$3,1,0))))</f>
        <v>0</v>
      </c>
      <c r="L85" s="124" t="n">
        <f aca="false">J85*K85</f>
        <v>0</v>
      </c>
      <c r="M85" s="124" t="n">
        <f aca="false">SUM(J$6:J85)</f>
        <v>0</v>
      </c>
      <c r="N85" s="124" t="n">
        <f aca="false">SUM(J$6:J85)</f>
        <v>0</v>
      </c>
      <c r="P85" s="124" t="n">
        <f aca="false">D85/P$3</f>
        <v>0</v>
      </c>
      <c r="Q85" s="124" t="n">
        <f aca="false">E85/P$3</f>
        <v>0.589737320290716</v>
      </c>
      <c r="R85" s="124" t="n">
        <f aca="false">F85/R$3</f>
        <v>0</v>
      </c>
      <c r="S85" s="126" t="n">
        <f aca="false">J85/$R$3</f>
        <v>0</v>
      </c>
      <c r="T85" s="126" t="n">
        <f aca="false">L85/$R$3</f>
        <v>0</v>
      </c>
      <c r="U85" s="126" t="n">
        <f aca="false">I85/$R$3</f>
        <v>0</v>
      </c>
      <c r="V85" s="126" t="n">
        <f aca="false">M85/$R$3</f>
        <v>0</v>
      </c>
      <c r="W85" s="126" t="n">
        <f aca="false">N85/$R$3</f>
        <v>0</v>
      </c>
    </row>
    <row r="86" customFormat="false" ht="12.75" hidden="true" customHeight="false" outlineLevel="0" collapsed="false">
      <c r="A86" s="120" t="n">
        <f aca="false">A85+1</f>
        <v>36972</v>
      </c>
      <c r="B86" s="131" t="str">
        <f aca="false">INDEX('Master Data'!$A$2:$B$8,MATCH(WEEKDAY('SC Total Gas'!A86,3),'Master Data'!$A$2:$A$8,0),2)</f>
        <v>Th</v>
      </c>
      <c r="D86" s="124" t="n">
        <v>0</v>
      </c>
      <c r="E86" s="124" t="n">
        <v>589822.004188517</v>
      </c>
      <c r="F86" s="124" t="n">
        <v>0</v>
      </c>
      <c r="G86" s="124" t="n">
        <v>0</v>
      </c>
      <c r="I86" s="124" t="n">
        <f aca="false">IF(MONTH($A86)=MONTH($A85),IF(G86=0,I85,G86),G86)</f>
        <v>0</v>
      </c>
      <c r="J86" s="124" t="n">
        <f aca="false">IF(MONTH($A86)=MONTH($A85),SUM(I86-I85),I86)</f>
        <v>0</v>
      </c>
      <c r="K86" s="124" t="n">
        <f aca="false">IF(WEEKDAY(A86,3)&gt;4,0,(IF(A86&lt;K$2,0,IF(A86&lt;=K$3,1,0))))</f>
        <v>0</v>
      </c>
      <c r="L86" s="124" t="n">
        <f aca="false">J86*K86</f>
        <v>0</v>
      </c>
      <c r="M86" s="124" t="n">
        <f aca="false">SUM(J$6:J86)</f>
        <v>0</v>
      </c>
      <c r="N86" s="124" t="n">
        <f aca="false">SUM(J$6:J86)</f>
        <v>0</v>
      </c>
      <c r="P86" s="124" t="n">
        <f aca="false">D86/P$3</f>
        <v>0</v>
      </c>
      <c r="Q86" s="124" t="n">
        <f aca="false">E86/P$3</f>
        <v>0.589822004188517</v>
      </c>
      <c r="R86" s="124" t="n">
        <f aca="false">F86/R$3</f>
        <v>0</v>
      </c>
      <c r="S86" s="126" t="n">
        <f aca="false">J86/$R$3</f>
        <v>0</v>
      </c>
      <c r="T86" s="126" t="n">
        <f aca="false">L86/$R$3</f>
        <v>0</v>
      </c>
      <c r="U86" s="126" t="n">
        <f aca="false">I86/$R$3</f>
        <v>0</v>
      </c>
      <c r="V86" s="126" t="n">
        <f aca="false">M86/$R$3</f>
        <v>0</v>
      </c>
      <c r="W86" s="126" t="n">
        <f aca="false">N86/$R$3</f>
        <v>0</v>
      </c>
    </row>
    <row r="87" customFormat="false" ht="12.75" hidden="true" customHeight="false" outlineLevel="0" collapsed="false">
      <c r="A87" s="120" t="n">
        <f aca="false">A86+1</f>
        <v>36973</v>
      </c>
      <c r="B87" s="131" t="str">
        <f aca="false">INDEX('Master Data'!$A$2:$B$8,MATCH(WEEKDAY('SC Total Gas'!A87,3),'Master Data'!$A$2:$A$8,0),2)</f>
        <v>F</v>
      </c>
      <c r="D87" s="124" t="n">
        <v>0</v>
      </c>
      <c r="E87" s="124" t="n">
        <v>589874.050685641</v>
      </c>
      <c r="F87" s="124" t="n">
        <v>0</v>
      </c>
      <c r="G87" s="124" t="n">
        <v>0</v>
      </c>
      <c r="I87" s="124" t="n">
        <f aca="false">IF(MONTH($A87)=MONTH($A86),IF(G87=0,I86,G87),G87)</f>
        <v>0</v>
      </c>
      <c r="J87" s="124" t="n">
        <f aca="false">IF(MONTH($A87)=MONTH($A86),SUM(I87-I86),I87)</f>
        <v>0</v>
      </c>
      <c r="K87" s="124" t="n">
        <f aca="false">IF(WEEKDAY(A87,3)&gt;4,0,(IF(A87&lt;K$2,0,IF(A87&lt;=K$3,1,0))))</f>
        <v>0</v>
      </c>
      <c r="L87" s="124" t="n">
        <f aca="false">J87*K87</f>
        <v>0</v>
      </c>
      <c r="M87" s="124" t="n">
        <f aca="false">SUM(J$6:J87)</f>
        <v>0</v>
      </c>
      <c r="N87" s="124" t="n">
        <f aca="false">SUM(J$6:J87)</f>
        <v>0</v>
      </c>
      <c r="P87" s="124" t="n">
        <f aca="false">D87/P$3</f>
        <v>0</v>
      </c>
      <c r="Q87" s="124" t="n">
        <f aca="false">E87/P$3</f>
        <v>0.589874050685641</v>
      </c>
      <c r="R87" s="124" t="n">
        <f aca="false">F87/R$3</f>
        <v>0</v>
      </c>
      <c r="S87" s="126" t="n">
        <f aca="false">J87/$R$3</f>
        <v>0</v>
      </c>
      <c r="T87" s="126" t="n">
        <f aca="false">L87/$R$3</f>
        <v>0</v>
      </c>
      <c r="U87" s="126" t="n">
        <f aca="false">I87/$R$3</f>
        <v>0</v>
      </c>
      <c r="V87" s="126" t="n">
        <f aca="false">M87/$R$3</f>
        <v>0</v>
      </c>
      <c r="W87" s="126" t="n">
        <f aca="false">N87/$R$3</f>
        <v>0</v>
      </c>
    </row>
    <row r="88" customFormat="false" ht="12.75" hidden="true" customHeight="false" outlineLevel="0" collapsed="false">
      <c r="A88" s="120" t="n">
        <f aca="false">A87+1</f>
        <v>36974</v>
      </c>
      <c r="B88" s="131" t="str">
        <f aca="false">INDEX('Master Data'!$A$2:$B$8,MATCH(WEEKDAY('SC Total Gas'!A88,3),'Master Data'!$A$2:$A$8,0),2)</f>
        <v>Sa</v>
      </c>
      <c r="D88" s="124" t="n">
        <v>0</v>
      </c>
      <c r="E88" s="124" t="n">
        <v>0</v>
      </c>
      <c r="F88" s="124" t="n">
        <v>0</v>
      </c>
      <c r="G88" s="124" t="n">
        <v>0</v>
      </c>
      <c r="I88" s="124" t="n">
        <f aca="false">IF(MONTH($A88)=MONTH($A87),IF(G88=0,I87,G88),G88)</f>
        <v>0</v>
      </c>
      <c r="J88" s="124" t="n">
        <f aca="false">IF(MONTH($A88)=MONTH($A87),SUM(I88-I87),I88)</f>
        <v>0</v>
      </c>
      <c r="K88" s="124" t="n">
        <f aca="false">IF(WEEKDAY(A88,3)&gt;4,0,(IF(A88&lt;K$2,0,IF(A88&lt;=K$3,1,0))))</f>
        <v>0</v>
      </c>
      <c r="L88" s="124" t="n">
        <f aca="false">J88*K88</f>
        <v>0</v>
      </c>
      <c r="M88" s="124" t="n">
        <f aca="false">SUM(J$6:J88)</f>
        <v>0</v>
      </c>
      <c r="N88" s="124" t="n">
        <f aca="false">SUM(J$6:J88)</f>
        <v>0</v>
      </c>
      <c r="P88" s="124" t="n">
        <f aca="false">D88/P$3</f>
        <v>0</v>
      </c>
      <c r="Q88" s="124" t="n">
        <f aca="false">E88/P$3</f>
        <v>0</v>
      </c>
      <c r="R88" s="124" t="n">
        <f aca="false">F88/R$3</f>
        <v>0</v>
      </c>
      <c r="S88" s="126" t="n">
        <f aca="false">J88/$R$3</f>
        <v>0</v>
      </c>
      <c r="T88" s="126" t="n">
        <f aca="false">L88/$R$3</f>
        <v>0</v>
      </c>
      <c r="U88" s="126" t="n">
        <f aca="false">I88/$R$3</f>
        <v>0</v>
      </c>
      <c r="V88" s="126" t="n">
        <f aca="false">M88/$R$3</f>
        <v>0</v>
      </c>
      <c r="W88" s="126" t="n">
        <f aca="false">N88/$R$3</f>
        <v>0</v>
      </c>
    </row>
    <row r="89" customFormat="false" ht="12.75" hidden="true" customHeight="false" outlineLevel="0" collapsed="false">
      <c r="A89" s="120" t="n">
        <f aca="false">A88+1</f>
        <v>36975</v>
      </c>
      <c r="B89" s="131" t="str">
        <f aca="false">INDEX('Master Data'!$A$2:$B$8,MATCH(WEEKDAY('SC Total Gas'!A89,3),'Master Data'!$A$2:$A$8,0),2)</f>
        <v>Su</v>
      </c>
      <c r="D89" s="124" t="n">
        <v>0</v>
      </c>
      <c r="E89" s="124" t="n">
        <v>0</v>
      </c>
      <c r="F89" s="124" t="n">
        <v>0</v>
      </c>
      <c r="G89" s="124" t="n">
        <v>0</v>
      </c>
      <c r="I89" s="124" t="n">
        <f aca="false">IF(MONTH($A89)=MONTH($A88),IF(G89=0,I88,G89),G89)</f>
        <v>0</v>
      </c>
      <c r="J89" s="124" t="n">
        <f aca="false">IF(MONTH($A89)=MONTH($A88),SUM(I89-I88),I89)</f>
        <v>0</v>
      </c>
      <c r="K89" s="124" t="n">
        <f aca="false">IF(WEEKDAY(A89,3)&gt;4,0,(IF(A89&lt;K$2,0,IF(A89&lt;=K$3,1,0))))</f>
        <v>0</v>
      </c>
      <c r="L89" s="124" t="n">
        <f aca="false">J89*K89</f>
        <v>0</v>
      </c>
      <c r="M89" s="124" t="n">
        <f aca="false">SUM(J$6:J89)</f>
        <v>0</v>
      </c>
      <c r="N89" s="124" t="n">
        <f aca="false">SUM(J$6:J89)</f>
        <v>0</v>
      </c>
      <c r="P89" s="124" t="n">
        <f aca="false">D89/P$3</f>
        <v>0</v>
      </c>
      <c r="Q89" s="124" t="n">
        <f aca="false">E89/P$3</f>
        <v>0</v>
      </c>
      <c r="R89" s="124" t="n">
        <f aca="false">F89/R$3</f>
        <v>0</v>
      </c>
      <c r="S89" s="126" t="n">
        <f aca="false">J89/$R$3</f>
        <v>0</v>
      </c>
      <c r="T89" s="126" t="n">
        <f aca="false">L89/$R$3</f>
        <v>0</v>
      </c>
      <c r="U89" s="126" t="n">
        <f aca="false">I89/$R$3</f>
        <v>0</v>
      </c>
      <c r="V89" s="126" t="n">
        <f aca="false">M89/$R$3</f>
        <v>0</v>
      </c>
      <c r="W89" s="126" t="n">
        <f aca="false">N89/$R$3</f>
        <v>0</v>
      </c>
    </row>
    <row r="90" customFormat="false" ht="12.75" hidden="true" customHeight="false" outlineLevel="0" collapsed="false">
      <c r="A90" s="120" t="n">
        <f aca="false">A89+1</f>
        <v>36976</v>
      </c>
      <c r="B90" s="131" t="str">
        <f aca="false">INDEX('Master Data'!$A$2:$B$8,MATCH(WEEKDAY('SC Total Gas'!A90,3),'Master Data'!$A$2:$A$8,0),2)</f>
        <v>M</v>
      </c>
      <c r="D90" s="124" t="n">
        <v>0</v>
      </c>
      <c r="E90" s="124" t="n">
        <v>590099.125013132</v>
      </c>
      <c r="F90" s="124" t="n">
        <v>0</v>
      </c>
      <c r="G90" s="124" t="n">
        <v>0</v>
      </c>
      <c r="I90" s="124" t="n">
        <f aca="false">IF(MONTH($A90)=MONTH($A89),IF(G90=0,I89,G90),G90)</f>
        <v>0</v>
      </c>
      <c r="J90" s="124" t="n">
        <f aca="false">IF(MONTH($A90)=MONTH($A89),SUM(I90-I89),I90)</f>
        <v>0</v>
      </c>
      <c r="K90" s="124" t="n">
        <f aca="false">IF(WEEKDAY(A90,3)&gt;4,0,(IF(A90&lt;K$2,0,IF(A90&lt;=K$3,1,0))))</f>
        <v>0</v>
      </c>
      <c r="L90" s="124" t="n">
        <f aca="false">J90*K90</f>
        <v>0</v>
      </c>
      <c r="M90" s="124" t="n">
        <f aca="false">SUM(J$6:J90)</f>
        <v>0</v>
      </c>
      <c r="N90" s="124" t="n">
        <f aca="false">SUM(J$6:J90)</f>
        <v>0</v>
      </c>
      <c r="P90" s="124" t="n">
        <f aca="false">D90/P$3</f>
        <v>0</v>
      </c>
      <c r="Q90" s="124" t="n">
        <f aca="false">E90/P$3</f>
        <v>0.590099125013132</v>
      </c>
      <c r="R90" s="124" t="n">
        <f aca="false">F90/R$3</f>
        <v>0</v>
      </c>
      <c r="S90" s="126" t="n">
        <f aca="false">J90/$R$3</f>
        <v>0</v>
      </c>
      <c r="T90" s="126" t="n">
        <f aca="false">L90/$R$3</f>
        <v>0</v>
      </c>
      <c r="U90" s="126" t="n">
        <f aca="false">I90/$R$3</f>
        <v>0</v>
      </c>
      <c r="V90" s="126" t="n">
        <f aca="false">M90/$R$3</f>
        <v>0</v>
      </c>
      <c r="W90" s="126" t="n">
        <f aca="false">N90/$R$3</f>
        <v>0</v>
      </c>
    </row>
    <row r="91" customFormat="false" ht="12.75" hidden="true" customHeight="false" outlineLevel="0" collapsed="false">
      <c r="A91" s="120" t="n">
        <f aca="false">A90+1</f>
        <v>36977</v>
      </c>
      <c r="B91" s="131" t="str">
        <f aca="false">INDEX('Master Data'!$A$2:$B$8,MATCH(WEEKDAY('SC Total Gas'!A91,3),'Master Data'!$A$2:$A$8,0),2)</f>
        <v>T</v>
      </c>
      <c r="D91" s="124" t="n">
        <v>0</v>
      </c>
      <c r="E91" s="124" t="n">
        <v>590121.130412393</v>
      </c>
      <c r="F91" s="124" t="n">
        <v>0</v>
      </c>
      <c r="G91" s="124" t="n">
        <v>0</v>
      </c>
      <c r="I91" s="124" t="n">
        <f aca="false">IF(MONTH($A91)=MONTH($A90),IF(G91=0,I90,G91),G91)</f>
        <v>0</v>
      </c>
      <c r="J91" s="124" t="n">
        <f aca="false">IF(MONTH($A91)=MONTH($A90),SUM(I91-I90),I91)</f>
        <v>0</v>
      </c>
      <c r="K91" s="124" t="n">
        <f aca="false">IF(WEEKDAY(A91,3)&gt;4,0,(IF(A91&lt;K$2,0,IF(A91&lt;=K$3,1,0))))</f>
        <v>0</v>
      </c>
      <c r="L91" s="124" t="n">
        <f aca="false">J91*K91</f>
        <v>0</v>
      </c>
      <c r="M91" s="124" t="n">
        <f aca="false">SUM(J$6:J91)</f>
        <v>0</v>
      </c>
      <c r="N91" s="124" t="n">
        <f aca="false">SUM(J$6:J91)</f>
        <v>0</v>
      </c>
      <c r="P91" s="124" t="n">
        <f aca="false">D91/P$3</f>
        <v>0</v>
      </c>
      <c r="Q91" s="124" t="n">
        <f aca="false">E91/P$3</f>
        <v>0.590121130412393</v>
      </c>
      <c r="R91" s="124" t="n">
        <f aca="false">F91/R$3</f>
        <v>0</v>
      </c>
      <c r="S91" s="126" t="n">
        <f aca="false">J91/$R$3</f>
        <v>0</v>
      </c>
      <c r="T91" s="126" t="n">
        <f aca="false">L91/$R$3</f>
        <v>0</v>
      </c>
      <c r="U91" s="126" t="n">
        <f aca="false">I91/$R$3</f>
        <v>0</v>
      </c>
      <c r="V91" s="126" t="n">
        <f aca="false">M91/$R$3</f>
        <v>0</v>
      </c>
      <c r="W91" s="126" t="n">
        <f aca="false">N91/$R$3</f>
        <v>0</v>
      </c>
    </row>
    <row r="92" customFormat="false" ht="12.75" hidden="true" customHeight="false" outlineLevel="0" collapsed="false">
      <c r="A92" s="120" t="n">
        <f aca="false">A91+1</f>
        <v>36978</v>
      </c>
      <c r="B92" s="131" t="str">
        <f aca="false">INDEX('Master Data'!$A$2:$B$8,MATCH(WEEKDAY('SC Total Gas'!A92,3),'Master Data'!$A$2:$A$8,0),2)</f>
        <v>W</v>
      </c>
      <c r="D92" s="124" t="n">
        <v>0</v>
      </c>
      <c r="E92" s="124" t="n">
        <v>590175.669932549</v>
      </c>
      <c r="F92" s="124" t="n">
        <v>0</v>
      </c>
      <c r="G92" s="124" t="n">
        <v>0</v>
      </c>
      <c r="I92" s="124" t="n">
        <f aca="false">IF(MONTH($A92)=MONTH($A91),IF(G92=0,I91,G92),G92)</f>
        <v>0</v>
      </c>
      <c r="J92" s="124" t="n">
        <f aca="false">IF(MONTH($A92)=MONTH($A91),SUM(I92-I91),I92)</f>
        <v>0</v>
      </c>
      <c r="K92" s="124" t="n">
        <f aca="false">IF(WEEKDAY(A92,3)&gt;4,0,(IF(A92&lt;K$2,0,IF(A92&lt;=K$3,1,0))))</f>
        <v>0</v>
      </c>
      <c r="L92" s="124" t="n">
        <f aca="false">J92*K92</f>
        <v>0</v>
      </c>
      <c r="M92" s="124" t="n">
        <f aca="false">SUM(J$6:J92)</f>
        <v>0</v>
      </c>
      <c r="N92" s="124" t="n">
        <f aca="false">SUM(J$6:J92)</f>
        <v>0</v>
      </c>
      <c r="P92" s="124" t="n">
        <f aca="false">D92/P$3</f>
        <v>0</v>
      </c>
      <c r="Q92" s="124" t="n">
        <f aca="false">E92/P$3</f>
        <v>0.590175669932549</v>
      </c>
      <c r="R92" s="124" t="n">
        <f aca="false">F92/R$3</f>
        <v>0</v>
      </c>
      <c r="S92" s="126" t="n">
        <f aca="false">J92/$R$3</f>
        <v>0</v>
      </c>
      <c r="T92" s="126" t="n">
        <f aca="false">L92/$R$3</f>
        <v>0</v>
      </c>
      <c r="U92" s="126" t="n">
        <f aca="false">I92/$R$3</f>
        <v>0</v>
      </c>
      <c r="V92" s="126" t="n">
        <f aca="false">M92/$R$3</f>
        <v>0</v>
      </c>
      <c r="W92" s="126" t="n">
        <f aca="false">N92/$R$3</f>
        <v>0</v>
      </c>
    </row>
    <row r="93" customFormat="false" ht="12.75" hidden="true" customHeight="false" outlineLevel="0" collapsed="false">
      <c r="A93" s="120" t="n">
        <f aca="false">A92+1</f>
        <v>36979</v>
      </c>
      <c r="B93" s="131" t="str">
        <f aca="false">INDEX('Master Data'!$A$2:$B$8,MATCH(WEEKDAY('SC Total Gas'!A93,3),'Master Data'!$A$2:$A$8,0),2)</f>
        <v>Th</v>
      </c>
      <c r="D93" s="124" t="n">
        <v>0</v>
      </c>
      <c r="E93" s="124" t="n">
        <v>590271.866568498</v>
      </c>
      <c r="F93" s="124" t="n">
        <v>0</v>
      </c>
      <c r="G93" s="124" t="n">
        <v>0</v>
      </c>
      <c r="I93" s="124" t="n">
        <f aca="false">IF(MONTH($A93)=MONTH($A92),IF(G93=0,I92,G93),G93)</f>
        <v>0</v>
      </c>
      <c r="J93" s="124" t="n">
        <f aca="false">IF(MONTH($A93)=MONTH($A92),SUM(I93-I92),I93)</f>
        <v>0</v>
      </c>
      <c r="K93" s="124" t="n">
        <f aca="false">IF(WEEKDAY(A93,3)&gt;4,0,(IF(A93&lt;K$2,0,IF(A93&lt;=K$3,1,0))))</f>
        <v>0</v>
      </c>
      <c r="L93" s="124" t="n">
        <f aca="false">J93*K93</f>
        <v>0</v>
      </c>
      <c r="M93" s="124" t="n">
        <f aca="false">SUM(J$6:J93)</f>
        <v>0</v>
      </c>
      <c r="N93" s="124" t="n">
        <f aca="false">SUM(J$6:J93)</f>
        <v>0</v>
      </c>
      <c r="P93" s="124" t="n">
        <f aca="false">D93/P$3</f>
        <v>0</v>
      </c>
      <c r="Q93" s="124" t="n">
        <f aca="false">E93/P$3</f>
        <v>0.590271866568498</v>
      </c>
      <c r="R93" s="124" t="n">
        <f aca="false">F93/R$3</f>
        <v>0</v>
      </c>
      <c r="S93" s="126" t="n">
        <f aca="false">J93/$R$3</f>
        <v>0</v>
      </c>
      <c r="T93" s="126" t="n">
        <f aca="false">L93/$R$3</f>
        <v>0</v>
      </c>
      <c r="U93" s="126" t="n">
        <f aca="false">I93/$R$3</f>
        <v>0</v>
      </c>
      <c r="V93" s="126" t="n">
        <f aca="false">M93/$R$3</f>
        <v>0</v>
      </c>
      <c r="W93" s="126" t="n">
        <f aca="false">N93/$R$3</f>
        <v>0</v>
      </c>
    </row>
    <row r="94" customFormat="false" ht="12.75" hidden="false" customHeight="false" outlineLevel="0" collapsed="false">
      <c r="A94" s="120" t="n">
        <f aca="false">A93+1</f>
        <v>36980</v>
      </c>
      <c r="B94" s="131" t="str">
        <f aca="false">INDEX('Master Data'!$A$2:$B$8,MATCH(WEEKDAY('SC Total Gas'!A94,3),'Master Data'!$A$2:$A$8,0),2)</f>
        <v>F</v>
      </c>
      <c r="D94" s="124" t="n">
        <v>0</v>
      </c>
      <c r="E94" s="124" t="n">
        <v>589807.616563885</v>
      </c>
      <c r="F94" s="124" t="n">
        <v>0</v>
      </c>
      <c r="G94" s="124" t="n">
        <v>0</v>
      </c>
      <c r="I94" s="124" t="n">
        <f aca="false">IF(MONTH($A94)=MONTH($A93),IF(G94=0,I93,G94),G94)</f>
        <v>0</v>
      </c>
      <c r="J94" s="124" t="n">
        <f aca="false">IF(MONTH($A94)=MONTH($A93),SUM(I94-I93),I94)</f>
        <v>0</v>
      </c>
      <c r="K94" s="124" t="n">
        <f aca="false">IF(WEEKDAY(A94,3)&gt;4,0,(IF(A94&lt;K$2,0,IF(A94&lt;=K$3,1,0))))</f>
        <v>0</v>
      </c>
      <c r="L94" s="124" t="n">
        <f aca="false">J94*K94</f>
        <v>0</v>
      </c>
      <c r="M94" s="124" t="n">
        <f aca="false">SUM(J$6:J94)</f>
        <v>0</v>
      </c>
      <c r="N94" s="124" t="n">
        <f aca="false">SUM(J$6:J94)</f>
        <v>0</v>
      </c>
      <c r="P94" s="124" t="n">
        <f aca="false">D94/P$3</f>
        <v>0</v>
      </c>
      <c r="Q94" s="124" t="n">
        <f aca="false">E94/P$3</f>
        <v>0.589807616563885</v>
      </c>
      <c r="R94" s="124" t="n">
        <f aca="false">F94/R$3</f>
        <v>0</v>
      </c>
      <c r="S94" s="126" t="n">
        <f aca="false">J94/$R$3</f>
        <v>0</v>
      </c>
      <c r="T94" s="126" t="n">
        <f aca="false">L94/$R$3</f>
        <v>0</v>
      </c>
      <c r="U94" s="126" t="n">
        <f aca="false">I94/$R$3</f>
        <v>0</v>
      </c>
      <c r="V94" s="126" t="n">
        <f aca="false">M94/$R$3</f>
        <v>0</v>
      </c>
      <c r="W94" s="126" t="n">
        <f aca="false">N94/$R$3</f>
        <v>0</v>
      </c>
    </row>
    <row r="95" customFormat="false" ht="12.75" hidden="true" customHeight="false" outlineLevel="0" collapsed="false">
      <c r="A95" s="120" t="n">
        <f aca="false">A94+1</f>
        <v>36981</v>
      </c>
      <c r="B95" s="131" t="str">
        <f aca="false">INDEX('Master Data'!$A$2:$B$8,MATCH(WEEKDAY('SC Total Gas'!A95,3),'Master Data'!$A$2:$A$8,0),2)</f>
        <v>Sa</v>
      </c>
      <c r="D95" s="124" t="n">
        <v>0</v>
      </c>
      <c r="E95" s="124" t="n">
        <v>0</v>
      </c>
      <c r="F95" s="124" t="n">
        <v>0</v>
      </c>
      <c r="G95" s="124" t="n">
        <v>0</v>
      </c>
      <c r="I95" s="124" t="n">
        <f aca="false">IF(MONTH($A95)=MONTH($A94),IF(G95=0,I94,G95),G95)</f>
        <v>0</v>
      </c>
      <c r="J95" s="124" t="n">
        <f aca="false">IF(MONTH($A95)=MONTH($A94),SUM(I95-I94),I95)</f>
        <v>0</v>
      </c>
      <c r="K95" s="124" t="n">
        <f aca="false">IF(WEEKDAY(A95,3)&gt;4,0,(IF(A95&lt;K$2,0,IF(A95&lt;=K$3,1,0))))</f>
        <v>0</v>
      </c>
      <c r="L95" s="124" t="n">
        <f aca="false">J95*K95</f>
        <v>0</v>
      </c>
      <c r="M95" s="124" t="n">
        <f aca="false">SUM(J$6:J95)</f>
        <v>0</v>
      </c>
      <c r="N95" s="124" t="n">
        <f aca="false">SUM(J$6:J95)</f>
        <v>0</v>
      </c>
      <c r="P95" s="124" t="n">
        <f aca="false">D95/P$3</f>
        <v>0</v>
      </c>
      <c r="Q95" s="124" t="n">
        <f aca="false">E95/P$3</f>
        <v>0</v>
      </c>
      <c r="R95" s="124" t="n">
        <f aca="false">F95/R$3</f>
        <v>0</v>
      </c>
      <c r="S95" s="126" t="n">
        <f aca="false">J95/$R$3</f>
        <v>0</v>
      </c>
      <c r="T95" s="126" t="n">
        <f aca="false">L95/$R$3</f>
        <v>0</v>
      </c>
      <c r="U95" s="126" t="n">
        <f aca="false">I95/$R$3</f>
        <v>0</v>
      </c>
      <c r="V95" s="126" t="n">
        <f aca="false">M95/$R$3</f>
        <v>0</v>
      </c>
      <c r="W95" s="126" t="n">
        <f aca="false">N95/$R$3</f>
        <v>0</v>
      </c>
    </row>
    <row r="96" customFormat="false" ht="12.75" hidden="true" customHeight="false" outlineLevel="0" collapsed="false">
      <c r="A96" s="120" t="n">
        <f aca="false">A95+1</f>
        <v>36982</v>
      </c>
      <c r="B96" s="131" t="str">
        <f aca="false">INDEX('Master Data'!$A$2:$B$8,MATCH(WEEKDAY('SC Total Gas'!A96,3),'Master Data'!$A$2:$A$8,0),2)</f>
        <v>Su</v>
      </c>
      <c r="D96" s="124" t="n">
        <v>0</v>
      </c>
      <c r="E96" s="124" t="n">
        <v>0</v>
      </c>
      <c r="F96" s="124" t="n">
        <v>0</v>
      </c>
      <c r="G96" s="124" t="n">
        <v>0</v>
      </c>
      <c r="I96" s="124" t="n">
        <f aca="false">IF(MONTH($A96)=MONTH($A95),IF(G96=0,I95,G96),G96)</f>
        <v>0</v>
      </c>
      <c r="J96" s="124" t="n">
        <f aca="false">IF(MONTH($A96)=MONTH($A95),SUM(I96-I95),I96)</f>
        <v>0</v>
      </c>
      <c r="K96" s="124" t="n">
        <f aca="false">IF(WEEKDAY(A96,3)&gt;4,0,(IF(A96&lt;K$2,0,IF(A96&lt;=K$3,1,0))))</f>
        <v>0</v>
      </c>
      <c r="L96" s="124" t="n">
        <f aca="false">J96*K96</f>
        <v>0</v>
      </c>
      <c r="M96" s="124" t="n">
        <f aca="false">SUM(J$6:J96)</f>
        <v>0</v>
      </c>
      <c r="N96" s="124" t="n">
        <f aca="false">SUM(J$6:J96)</f>
        <v>0</v>
      </c>
      <c r="P96" s="124" t="n">
        <f aca="false">D96/P$3</f>
        <v>0</v>
      </c>
      <c r="Q96" s="124" t="n">
        <f aca="false">E96/P$3</f>
        <v>0</v>
      </c>
      <c r="R96" s="124" t="n">
        <f aca="false">F96/R$3</f>
        <v>0</v>
      </c>
      <c r="S96" s="126" t="n">
        <f aca="false">J96/$R$3</f>
        <v>0</v>
      </c>
      <c r="T96" s="126" t="n">
        <f aca="false">L96/$R$3</f>
        <v>0</v>
      </c>
      <c r="U96" s="126" t="n">
        <f aca="false">I96/$R$3</f>
        <v>0</v>
      </c>
      <c r="V96" s="126" t="n">
        <f aca="false">M96/$R$3</f>
        <v>0</v>
      </c>
      <c r="W96" s="126" t="n">
        <f aca="false">N96/$R$3</f>
        <v>0</v>
      </c>
    </row>
    <row r="97" customFormat="false" ht="12.75" hidden="true" customHeight="false" outlineLevel="0" collapsed="false">
      <c r="A97" s="120" t="n">
        <f aca="false">A96+1</f>
        <v>36983</v>
      </c>
      <c r="B97" s="131" t="str">
        <f aca="false">INDEX('Master Data'!$A$2:$B$8,MATCH(WEEKDAY('SC Total Gas'!A97,3),'Master Data'!$A$2:$A$8,0),2)</f>
        <v>M</v>
      </c>
      <c r="D97" s="124" t="n">
        <v>0</v>
      </c>
      <c r="E97" s="124" t="n">
        <v>590065.057834465</v>
      </c>
      <c r="F97" s="124" t="n">
        <v>0</v>
      </c>
      <c r="G97" s="124" t="n">
        <v>0</v>
      </c>
      <c r="I97" s="124" t="n">
        <f aca="false">IF(MONTH($A97)=MONTH($A96),IF(G97=0,I96,G97),G97)</f>
        <v>0</v>
      </c>
      <c r="J97" s="124" t="n">
        <f aca="false">IF(MONTH($A97)=MONTH($A96),SUM(I97-I96),I97)</f>
        <v>0</v>
      </c>
      <c r="K97" s="124" t="n">
        <f aca="false">IF(WEEKDAY(A97,3)&gt;4,0,(IF(A97&lt;K$2,0,IF(A97&lt;=K$3,1,0))))</f>
        <v>0</v>
      </c>
      <c r="L97" s="124" t="n">
        <f aca="false">J97*K97</f>
        <v>0</v>
      </c>
      <c r="M97" s="124" t="n">
        <f aca="false">SUM(J$97:J97)</f>
        <v>0</v>
      </c>
      <c r="N97" s="124" t="n">
        <f aca="false">SUM(J$6:J97)</f>
        <v>0</v>
      </c>
      <c r="P97" s="124" t="n">
        <f aca="false">D97/P$3</f>
        <v>0</v>
      </c>
      <c r="Q97" s="124" t="n">
        <f aca="false">E97/P$3</f>
        <v>0.590065057834465</v>
      </c>
      <c r="R97" s="124" t="n">
        <f aca="false">F97/R$3</f>
        <v>0</v>
      </c>
      <c r="S97" s="126" t="n">
        <f aca="false">J97/$R$3</f>
        <v>0</v>
      </c>
      <c r="T97" s="126" t="n">
        <f aca="false">L97/$R$3</f>
        <v>0</v>
      </c>
      <c r="U97" s="126" t="n">
        <f aca="false">I97/$R$3</f>
        <v>0</v>
      </c>
      <c r="V97" s="126" t="n">
        <f aca="false">M97/$R$3</f>
        <v>0</v>
      </c>
      <c r="W97" s="126" t="n">
        <f aca="false">N97/$R$3</f>
        <v>0</v>
      </c>
    </row>
    <row r="98" customFormat="false" ht="12.75" hidden="true" customHeight="false" outlineLevel="0" collapsed="false">
      <c r="A98" s="120" t="n">
        <f aca="false">A97+1</f>
        <v>36984</v>
      </c>
      <c r="B98" s="131" t="str">
        <f aca="false">INDEX('Master Data'!$A$2:$B$8,MATCH(WEEKDAY('SC Total Gas'!A98,3),'Master Data'!$A$2:$A$8,0),2)</f>
        <v>T</v>
      </c>
      <c r="D98" s="124" t="n">
        <v>0</v>
      </c>
      <c r="E98" s="124" t="n">
        <v>540691.332672727</v>
      </c>
      <c r="F98" s="124" t="n">
        <v>0</v>
      </c>
      <c r="G98" s="124" t="n">
        <v>0</v>
      </c>
      <c r="I98" s="124" t="n">
        <f aca="false">IF(MONTH($A98)=MONTH($A97),IF(G98=0,I97,G98),G98)</f>
        <v>0</v>
      </c>
      <c r="J98" s="124" t="n">
        <f aca="false">IF(MONTH($A98)=MONTH($A97),SUM(I98-I97),I98)</f>
        <v>0</v>
      </c>
      <c r="K98" s="124" t="n">
        <f aca="false">IF(WEEKDAY(A98,3)&gt;4,0,(IF(A98&lt;K$2,0,IF(A98&lt;=K$3,1,0))))</f>
        <v>0</v>
      </c>
      <c r="L98" s="124" t="n">
        <f aca="false">J98*K98</f>
        <v>0</v>
      </c>
      <c r="M98" s="124" t="n">
        <f aca="false">SUM(J$97:J98)</f>
        <v>0</v>
      </c>
      <c r="N98" s="124" t="n">
        <f aca="false">SUM(J$6:J98)</f>
        <v>0</v>
      </c>
      <c r="P98" s="124" t="n">
        <f aca="false">D98/P$3</f>
        <v>0</v>
      </c>
      <c r="Q98" s="124" t="n">
        <f aca="false">E98/P$3</f>
        <v>0.540691332672727</v>
      </c>
      <c r="R98" s="124" t="n">
        <f aca="false">F98/R$3</f>
        <v>0</v>
      </c>
      <c r="S98" s="126" t="n">
        <f aca="false">J98/$R$3</f>
        <v>0</v>
      </c>
      <c r="T98" s="126" t="n">
        <f aca="false">L98/$R$3</f>
        <v>0</v>
      </c>
      <c r="U98" s="126" t="n">
        <f aca="false">I98/$R$3</f>
        <v>0</v>
      </c>
      <c r="V98" s="126" t="n">
        <f aca="false">M98/$R$3</f>
        <v>0</v>
      </c>
      <c r="W98" s="126" t="n">
        <f aca="false">N98/$R$3</f>
        <v>0</v>
      </c>
    </row>
    <row r="99" customFormat="false" ht="12.75" hidden="true" customHeight="false" outlineLevel="0" collapsed="false">
      <c r="A99" s="120" t="n">
        <f aca="false">A98+1</f>
        <v>36985</v>
      </c>
      <c r="B99" s="131" t="str">
        <f aca="false">INDEX('Master Data'!$A$2:$B$8,MATCH(WEEKDAY('SC Total Gas'!A99,3),'Master Data'!$A$2:$A$8,0),2)</f>
        <v>W</v>
      </c>
      <c r="D99" s="124" t="n">
        <v>0</v>
      </c>
      <c r="E99" s="124" t="n">
        <v>540954.426202101</v>
      </c>
      <c r="F99" s="124" t="n">
        <v>0</v>
      </c>
      <c r="G99" s="124" t="n">
        <v>0</v>
      </c>
      <c r="I99" s="124" t="n">
        <f aca="false">IF(MONTH($A99)=MONTH($A98),IF(G99=0,I98,G99),G99)</f>
        <v>0</v>
      </c>
      <c r="J99" s="124" t="n">
        <f aca="false">IF(MONTH($A99)=MONTH($A98),SUM(I99-I98),I99)</f>
        <v>0</v>
      </c>
      <c r="K99" s="124" t="n">
        <f aca="false">IF(WEEKDAY(A99,3)&gt;4,0,(IF(A99&lt;K$2,0,IF(A99&lt;=K$3,1,0))))</f>
        <v>0</v>
      </c>
      <c r="L99" s="124" t="n">
        <f aca="false">J99*K99</f>
        <v>0</v>
      </c>
      <c r="M99" s="124" t="n">
        <f aca="false">SUM(J$97:J99)</f>
        <v>0</v>
      </c>
      <c r="N99" s="124" t="n">
        <f aca="false">SUM(J$6:J99)</f>
        <v>0</v>
      </c>
      <c r="P99" s="124" t="n">
        <f aca="false">D99/P$3</f>
        <v>0</v>
      </c>
      <c r="Q99" s="124" t="n">
        <f aca="false">E99/P$3</f>
        <v>0.540954426202101</v>
      </c>
      <c r="R99" s="124" t="n">
        <f aca="false">F99/R$3</f>
        <v>0</v>
      </c>
      <c r="S99" s="126" t="n">
        <f aca="false">J99/$R$3</f>
        <v>0</v>
      </c>
      <c r="T99" s="126" t="n">
        <f aca="false">L99/$R$3</f>
        <v>0</v>
      </c>
      <c r="U99" s="126" t="n">
        <f aca="false">I99/$R$3</f>
        <v>0</v>
      </c>
      <c r="V99" s="126" t="n">
        <f aca="false">M99/$R$3</f>
        <v>0</v>
      </c>
      <c r="W99" s="126" t="n">
        <f aca="false">N99/$R$3</f>
        <v>0</v>
      </c>
    </row>
    <row r="100" customFormat="false" ht="12.75" hidden="true" customHeight="false" outlineLevel="0" collapsed="false">
      <c r="A100" s="120" t="n">
        <f aca="false">A99+1</f>
        <v>36986</v>
      </c>
      <c r="B100" s="131" t="str">
        <f aca="false">INDEX('Master Data'!$A$2:$B$8,MATCH(WEEKDAY('SC Total Gas'!A100,3),'Master Data'!$A$2:$A$8,0),2)</f>
        <v>Th</v>
      </c>
      <c r="D100" s="124" t="n">
        <v>0</v>
      </c>
      <c r="E100" s="124" t="n">
        <v>540856.750578492</v>
      </c>
      <c r="F100" s="124" t="n">
        <v>0</v>
      </c>
      <c r="G100" s="124" t="n">
        <v>0</v>
      </c>
      <c r="I100" s="124" t="n">
        <f aca="false">IF(MONTH($A100)=MONTH($A99),IF(G100=0,I99,G100),G100)</f>
        <v>0</v>
      </c>
      <c r="J100" s="124" t="n">
        <f aca="false">IF(MONTH($A100)=MONTH($A99),SUM(I100-I99),I100)</f>
        <v>0</v>
      </c>
      <c r="K100" s="124" t="n">
        <f aca="false">IF(WEEKDAY(A100,3)&gt;4,0,(IF(A100&lt;K$2,0,IF(A100&lt;=K$3,1,0))))</f>
        <v>0</v>
      </c>
      <c r="L100" s="124" t="n">
        <f aca="false">J100*K100</f>
        <v>0</v>
      </c>
      <c r="M100" s="124" t="n">
        <f aca="false">SUM(J$97:J100)</f>
        <v>0</v>
      </c>
      <c r="N100" s="124" t="n">
        <f aca="false">SUM(J$6:J100)</f>
        <v>0</v>
      </c>
      <c r="P100" s="124" t="n">
        <f aca="false">D100/P$3</f>
        <v>0</v>
      </c>
      <c r="Q100" s="124" t="n">
        <f aca="false">E100/P$3</f>
        <v>0.540856750578492</v>
      </c>
      <c r="R100" s="124" t="n">
        <f aca="false">F100/R$3</f>
        <v>0</v>
      </c>
      <c r="S100" s="126" t="n">
        <f aca="false">J100/$R$3</f>
        <v>0</v>
      </c>
      <c r="T100" s="126" t="n">
        <f aca="false">L100/$R$3</f>
        <v>0</v>
      </c>
      <c r="U100" s="126" t="n">
        <f aca="false">I100/$R$3</f>
        <v>0</v>
      </c>
      <c r="V100" s="126" t="n">
        <f aca="false">M100/$R$3</f>
        <v>0</v>
      </c>
      <c r="W100" s="126" t="n">
        <f aca="false">N100/$R$3</f>
        <v>0</v>
      </c>
    </row>
    <row r="101" customFormat="false" ht="12.75" hidden="true" customHeight="false" outlineLevel="0" collapsed="false">
      <c r="A101" s="120" t="n">
        <f aca="false">A100+1</f>
        <v>36987</v>
      </c>
      <c r="B101" s="131" t="str">
        <f aca="false">INDEX('Master Data'!$A$2:$B$8,MATCH(WEEKDAY('SC Total Gas'!A101,3),'Master Data'!$A$2:$A$8,0),2)</f>
        <v>F</v>
      </c>
      <c r="D101" s="124" t="n">
        <v>0</v>
      </c>
      <c r="E101" s="124" t="n">
        <v>541152.916136152</v>
      </c>
      <c r="F101" s="124" t="n">
        <v>0</v>
      </c>
      <c r="G101" s="124" t="n">
        <v>0</v>
      </c>
      <c r="I101" s="124" t="n">
        <f aca="false">IF(MONTH($A101)=MONTH($A100),IF(G101=0,I100,G101),G101)</f>
        <v>0</v>
      </c>
      <c r="J101" s="124" t="n">
        <f aca="false">IF(MONTH($A101)=MONTH($A100),SUM(I101-I100),I101)</f>
        <v>0</v>
      </c>
      <c r="K101" s="124" t="n">
        <f aca="false">IF(WEEKDAY(A101,3)&gt;4,0,(IF(A101&lt;K$2,0,IF(A101&lt;=K$3,1,0))))</f>
        <v>0</v>
      </c>
      <c r="L101" s="124" t="n">
        <f aca="false">J101*K101</f>
        <v>0</v>
      </c>
      <c r="M101" s="124" t="n">
        <f aca="false">SUM(J$97:J101)</f>
        <v>0</v>
      </c>
      <c r="N101" s="124" t="n">
        <f aca="false">SUM(J$6:J101)</f>
        <v>0</v>
      </c>
      <c r="P101" s="124" t="n">
        <f aca="false">D101/P$3</f>
        <v>0</v>
      </c>
      <c r="Q101" s="124" t="n">
        <f aca="false">E101/P$3</f>
        <v>0.541152916136152</v>
      </c>
      <c r="R101" s="124" t="n">
        <f aca="false">F101/R$3</f>
        <v>0</v>
      </c>
      <c r="S101" s="126" t="n">
        <f aca="false">J101/$R$3</f>
        <v>0</v>
      </c>
      <c r="T101" s="126" t="n">
        <f aca="false">L101/$R$3</f>
        <v>0</v>
      </c>
      <c r="U101" s="126" t="n">
        <f aca="false">I101/$R$3</f>
        <v>0</v>
      </c>
      <c r="V101" s="126" t="n">
        <f aca="false">M101/$R$3</f>
        <v>0</v>
      </c>
      <c r="W101" s="126" t="n">
        <f aca="false">N101/$R$3</f>
        <v>0</v>
      </c>
    </row>
    <row r="102" customFormat="false" ht="12.75" hidden="true" customHeight="false" outlineLevel="0" collapsed="false">
      <c r="A102" s="120" t="n">
        <f aca="false">A101+1</f>
        <v>36988</v>
      </c>
      <c r="B102" s="131" t="str">
        <f aca="false">INDEX('Master Data'!$A$2:$B$8,MATCH(WEEKDAY('SC Total Gas'!A102,3),'Master Data'!$A$2:$A$8,0),2)</f>
        <v>Sa</v>
      </c>
      <c r="D102" s="124" t="n">
        <v>0</v>
      </c>
      <c r="E102" s="124" t="n">
        <v>0</v>
      </c>
      <c r="F102" s="124" t="n">
        <v>0</v>
      </c>
      <c r="G102" s="124" t="n">
        <v>0</v>
      </c>
      <c r="I102" s="124" t="n">
        <f aca="false">IF(MONTH($A102)=MONTH($A101),IF(G102=0,I101,G102),G102)</f>
        <v>0</v>
      </c>
      <c r="J102" s="124" t="n">
        <f aca="false">IF(MONTH($A102)=MONTH($A101),SUM(I102-I101),I102)</f>
        <v>0</v>
      </c>
      <c r="K102" s="124" t="n">
        <f aca="false">IF(WEEKDAY(A102,3)&gt;4,0,(IF(A102&lt;K$2,0,IF(A102&lt;=K$3,1,0))))</f>
        <v>0</v>
      </c>
      <c r="L102" s="124" t="n">
        <f aca="false">J102*K102</f>
        <v>0</v>
      </c>
      <c r="M102" s="124" t="n">
        <f aca="false">SUM(J$97:J102)</f>
        <v>0</v>
      </c>
      <c r="N102" s="124" t="n">
        <f aca="false">SUM(J$6:J102)</f>
        <v>0</v>
      </c>
      <c r="P102" s="124" t="n">
        <f aca="false">D102/P$3</f>
        <v>0</v>
      </c>
      <c r="Q102" s="124" t="n">
        <f aca="false">E102/P$3</f>
        <v>0</v>
      </c>
      <c r="R102" s="124" t="n">
        <f aca="false">F102/R$3</f>
        <v>0</v>
      </c>
      <c r="S102" s="126" t="n">
        <f aca="false">J102/$R$3</f>
        <v>0</v>
      </c>
      <c r="T102" s="126" t="n">
        <f aca="false">L102/$R$3</f>
        <v>0</v>
      </c>
      <c r="U102" s="126" t="n">
        <f aca="false">I102/$R$3</f>
        <v>0</v>
      </c>
      <c r="V102" s="126" t="n">
        <f aca="false">M102/$R$3</f>
        <v>0</v>
      </c>
      <c r="W102" s="126" t="n">
        <f aca="false">N102/$R$3</f>
        <v>0</v>
      </c>
    </row>
    <row r="103" customFormat="false" ht="12.75" hidden="true" customHeight="false" outlineLevel="0" collapsed="false">
      <c r="A103" s="120" t="n">
        <f aca="false">A102+1</f>
        <v>36989</v>
      </c>
      <c r="B103" s="131" t="str">
        <f aca="false">INDEX('Master Data'!$A$2:$B$8,MATCH(WEEKDAY('SC Total Gas'!A103,3),'Master Data'!$A$2:$A$8,0),2)</f>
        <v>Su</v>
      </c>
      <c r="D103" s="124" t="n">
        <v>0</v>
      </c>
      <c r="E103" s="124" t="n">
        <v>0</v>
      </c>
      <c r="F103" s="124" t="n">
        <v>0</v>
      </c>
      <c r="G103" s="124" t="n">
        <v>0</v>
      </c>
      <c r="I103" s="124" t="n">
        <f aca="false">IF(MONTH($A103)=MONTH($A102),IF(G103=0,I102,G103),G103)</f>
        <v>0</v>
      </c>
      <c r="J103" s="124" t="n">
        <f aca="false">IF(MONTH($A103)=MONTH($A102),SUM(I103-I102),I103)</f>
        <v>0</v>
      </c>
      <c r="K103" s="124" t="n">
        <f aca="false">IF(WEEKDAY(A103,3)&gt;4,0,(IF(A103&lt;K$2,0,IF(A103&lt;=K$3,1,0))))</f>
        <v>0</v>
      </c>
      <c r="L103" s="124" t="n">
        <f aca="false">J103*K103</f>
        <v>0</v>
      </c>
      <c r="M103" s="124" t="n">
        <f aca="false">SUM(J$97:J103)</f>
        <v>0</v>
      </c>
      <c r="N103" s="124" t="n">
        <f aca="false">SUM(J$6:J103)</f>
        <v>0</v>
      </c>
      <c r="P103" s="124" t="n">
        <f aca="false">D103/P$3</f>
        <v>0</v>
      </c>
      <c r="Q103" s="124" t="n">
        <f aca="false">E103/P$3</f>
        <v>0</v>
      </c>
      <c r="R103" s="124" t="n">
        <f aca="false">F103/R$3</f>
        <v>0</v>
      </c>
      <c r="S103" s="126" t="n">
        <f aca="false">J103/$R$3</f>
        <v>0</v>
      </c>
      <c r="T103" s="126" t="n">
        <f aca="false">L103/$R$3</f>
        <v>0</v>
      </c>
      <c r="U103" s="126" t="n">
        <f aca="false">I103/$R$3</f>
        <v>0</v>
      </c>
      <c r="V103" s="126" t="n">
        <f aca="false">M103/$R$3</f>
        <v>0</v>
      </c>
      <c r="W103" s="126" t="n">
        <f aca="false">N103/$R$3</f>
        <v>0</v>
      </c>
    </row>
    <row r="104" customFormat="false" ht="12.75" hidden="true" customHeight="false" outlineLevel="0" collapsed="false">
      <c r="A104" s="120" t="n">
        <f aca="false">A103+1</f>
        <v>36990</v>
      </c>
      <c r="B104" s="131" t="str">
        <f aca="false">INDEX('Master Data'!$A$2:$B$8,MATCH(WEEKDAY('SC Total Gas'!A104,3),'Master Data'!$A$2:$A$8,0),2)</f>
        <v>M</v>
      </c>
      <c r="D104" s="124" t="n">
        <v>0</v>
      </c>
      <c r="E104" s="124" t="n">
        <v>541421.69193949</v>
      </c>
      <c r="F104" s="124" t="n">
        <v>0</v>
      </c>
      <c r="G104" s="124" t="n">
        <v>0</v>
      </c>
      <c r="I104" s="124" t="n">
        <f aca="false">IF(MONTH($A104)=MONTH($A103),IF(G104=0,I103,G104),G104)</f>
        <v>0</v>
      </c>
      <c r="J104" s="124" t="n">
        <f aca="false">IF(MONTH($A104)=MONTH($A103),SUM(I104-I103),I104)</f>
        <v>0</v>
      </c>
      <c r="K104" s="124" t="n">
        <f aca="false">IF(WEEKDAY(A104,3)&gt;4,0,(IF(A104&lt;K$2,0,IF(A104&lt;=K$3,1,0))))</f>
        <v>0</v>
      </c>
      <c r="L104" s="124" t="n">
        <f aca="false">J104*K104</f>
        <v>0</v>
      </c>
      <c r="M104" s="124" t="n">
        <f aca="false">SUM(J$97:J104)</f>
        <v>0</v>
      </c>
      <c r="N104" s="124" t="n">
        <f aca="false">SUM(J$6:J104)</f>
        <v>0</v>
      </c>
      <c r="P104" s="124" t="n">
        <f aca="false">D104/P$3</f>
        <v>0</v>
      </c>
      <c r="Q104" s="124" t="n">
        <f aca="false">E104/P$3</f>
        <v>0.54142169193949</v>
      </c>
      <c r="R104" s="124" t="n">
        <f aca="false">F104/R$3</f>
        <v>0</v>
      </c>
      <c r="S104" s="126" t="n">
        <f aca="false">J104/$R$3</f>
        <v>0</v>
      </c>
      <c r="T104" s="126" t="n">
        <f aca="false">L104/$R$3</f>
        <v>0</v>
      </c>
      <c r="U104" s="126" t="n">
        <f aca="false">I104/$R$3</f>
        <v>0</v>
      </c>
      <c r="V104" s="126" t="n">
        <f aca="false">M104/$R$3</f>
        <v>0</v>
      </c>
      <c r="W104" s="126" t="n">
        <f aca="false">N104/$R$3</f>
        <v>0</v>
      </c>
    </row>
    <row r="105" customFormat="false" ht="12.75" hidden="true" customHeight="false" outlineLevel="0" collapsed="false">
      <c r="A105" s="120" t="n">
        <f aca="false">A104+1</f>
        <v>36991</v>
      </c>
      <c r="B105" s="131" t="str">
        <f aca="false">INDEX('Master Data'!$A$2:$B$8,MATCH(WEEKDAY('SC Total Gas'!A105,3),'Master Data'!$A$2:$A$8,0),2)</f>
        <v>T</v>
      </c>
      <c r="D105" s="124" t="n">
        <v>0</v>
      </c>
      <c r="E105" s="124" t="n">
        <v>540935.356509929</v>
      </c>
      <c r="F105" s="124" t="n">
        <v>0</v>
      </c>
      <c r="G105" s="124" t="n">
        <v>0</v>
      </c>
      <c r="I105" s="124" t="n">
        <f aca="false">IF(MONTH($A105)=MONTH($A104),IF(G105=0,I104,G105),G105)</f>
        <v>0</v>
      </c>
      <c r="J105" s="124" t="n">
        <f aca="false">IF(MONTH($A105)=MONTH($A104),SUM(I105-I104),I105)</f>
        <v>0</v>
      </c>
      <c r="K105" s="124" t="n">
        <f aca="false">IF(WEEKDAY(A105,3)&gt;4,0,(IF(A105&lt;K$2,0,IF(A105&lt;=K$3,1,0))))</f>
        <v>0</v>
      </c>
      <c r="L105" s="124" t="n">
        <f aca="false">J105*K105</f>
        <v>0</v>
      </c>
      <c r="M105" s="124" t="n">
        <f aca="false">SUM(J$97:J105)</f>
        <v>0</v>
      </c>
      <c r="N105" s="124" t="n">
        <f aca="false">SUM(J$6:J105)</f>
        <v>0</v>
      </c>
      <c r="P105" s="124" t="n">
        <f aca="false">D105/P$3</f>
        <v>0</v>
      </c>
      <c r="Q105" s="124" t="n">
        <f aca="false">E105/P$3</f>
        <v>0.540935356509929</v>
      </c>
      <c r="R105" s="124" t="n">
        <f aca="false">F105/R$3</f>
        <v>0</v>
      </c>
      <c r="S105" s="126" t="n">
        <f aca="false">J105/$R$3</f>
        <v>0</v>
      </c>
      <c r="T105" s="126" t="n">
        <f aca="false">L105/$R$3</f>
        <v>0</v>
      </c>
      <c r="U105" s="126" t="n">
        <f aca="false">I105/$R$3</f>
        <v>0</v>
      </c>
      <c r="V105" s="126" t="n">
        <f aca="false">M105/$R$3</f>
        <v>0</v>
      </c>
      <c r="W105" s="126" t="n">
        <f aca="false">N105/$R$3</f>
        <v>0</v>
      </c>
    </row>
    <row r="106" customFormat="false" ht="12.75" hidden="true" customHeight="false" outlineLevel="0" collapsed="false">
      <c r="A106" s="120" t="n">
        <f aca="false">A105+1</f>
        <v>36992</v>
      </c>
      <c r="B106" s="131" t="str">
        <f aca="false">INDEX('Master Data'!$A$2:$B$8,MATCH(WEEKDAY('SC Total Gas'!A106,3),'Master Data'!$A$2:$A$8,0),2)</f>
        <v>W</v>
      </c>
      <c r="D106" s="124" t="n">
        <v>0</v>
      </c>
      <c r="E106" s="124" t="n">
        <v>541080.499367072</v>
      </c>
      <c r="F106" s="124" t="n">
        <v>0</v>
      </c>
      <c r="G106" s="124" t="n">
        <v>0</v>
      </c>
      <c r="I106" s="124" t="n">
        <f aca="false">IF(MONTH($A106)=MONTH($A105),IF(G106=0,I105,G106),G106)</f>
        <v>0</v>
      </c>
      <c r="J106" s="124" t="n">
        <f aca="false">IF(MONTH($A106)=MONTH($A105),SUM(I106-I105),I106)</f>
        <v>0</v>
      </c>
      <c r="K106" s="124" t="n">
        <f aca="false">IF(WEEKDAY(A106,3)&gt;4,0,(IF(A106&lt;K$2,0,IF(A106&lt;=K$3,1,0))))</f>
        <v>0</v>
      </c>
      <c r="L106" s="124" t="n">
        <f aca="false">J106*K106</f>
        <v>0</v>
      </c>
      <c r="M106" s="124" t="n">
        <f aca="false">SUM(J$97:J106)</f>
        <v>0</v>
      </c>
      <c r="N106" s="124" t="n">
        <f aca="false">SUM(J$6:J106)</f>
        <v>0</v>
      </c>
      <c r="P106" s="124" t="n">
        <f aca="false">D106/P$3</f>
        <v>0</v>
      </c>
      <c r="Q106" s="124" t="n">
        <f aca="false">E106/P$3</f>
        <v>0.541080499367072</v>
      </c>
      <c r="R106" s="124" t="n">
        <f aca="false">F106/R$3</f>
        <v>0</v>
      </c>
      <c r="S106" s="126" t="n">
        <f aca="false">J106/$R$3</f>
        <v>0</v>
      </c>
      <c r="T106" s="126" t="n">
        <f aca="false">L106/$R$3</f>
        <v>0</v>
      </c>
      <c r="U106" s="126" t="n">
        <f aca="false">I106/$R$3</f>
        <v>0</v>
      </c>
      <c r="V106" s="126" t="n">
        <f aca="false">M106/$R$3</f>
        <v>0</v>
      </c>
      <c r="W106" s="126" t="n">
        <f aca="false">N106/$R$3</f>
        <v>0</v>
      </c>
    </row>
    <row r="107" customFormat="false" ht="12.75" hidden="true" customHeight="false" outlineLevel="0" collapsed="false">
      <c r="A107" s="120" t="n">
        <f aca="false">A106+1</f>
        <v>36993</v>
      </c>
      <c r="B107" s="131" t="str">
        <f aca="false">INDEX('Master Data'!$A$2:$B$8,MATCH(WEEKDAY('SC Total Gas'!A107,3),'Master Data'!$A$2:$A$8,0),2)</f>
        <v>Th</v>
      </c>
      <c r="D107" s="124" t="n">
        <v>0</v>
      </c>
      <c r="E107" s="124" t="n">
        <v>541038.445891136</v>
      </c>
      <c r="F107" s="124" t="n">
        <v>0</v>
      </c>
      <c r="G107" s="124" t="n">
        <v>0</v>
      </c>
      <c r="I107" s="124" t="n">
        <f aca="false">IF(MONTH($A107)=MONTH($A106),IF(G107=0,I106,G107),G107)</f>
        <v>0</v>
      </c>
      <c r="J107" s="124" t="n">
        <f aca="false">IF(MONTH($A107)=MONTH($A106),SUM(I107-I106),I107)</f>
        <v>0</v>
      </c>
      <c r="K107" s="124" t="n">
        <f aca="false">IF(WEEKDAY(A107,3)&gt;4,0,(IF(A107&lt;K$2,0,IF(A107&lt;=K$3,1,0))))</f>
        <v>0</v>
      </c>
      <c r="L107" s="124" t="n">
        <f aca="false">J107*K107</f>
        <v>0</v>
      </c>
      <c r="M107" s="124" t="n">
        <f aca="false">SUM(J$97:J107)</f>
        <v>0</v>
      </c>
      <c r="N107" s="124" t="n">
        <f aca="false">SUM(J$6:J107)</f>
        <v>0</v>
      </c>
      <c r="P107" s="124" t="n">
        <f aca="false">D107/P$3</f>
        <v>0</v>
      </c>
      <c r="Q107" s="124" t="n">
        <f aca="false">E107/P$3</f>
        <v>0.541038445891136</v>
      </c>
      <c r="R107" s="124" t="n">
        <f aca="false">F107/R$3</f>
        <v>0</v>
      </c>
      <c r="S107" s="126" t="n">
        <f aca="false">J107/$R$3</f>
        <v>0</v>
      </c>
      <c r="T107" s="126" t="n">
        <f aca="false">L107/$R$3</f>
        <v>0</v>
      </c>
      <c r="U107" s="126" t="n">
        <f aca="false">I107/$R$3</f>
        <v>0</v>
      </c>
      <c r="V107" s="126" t="n">
        <f aca="false">M107/$R$3</f>
        <v>0</v>
      </c>
      <c r="W107" s="126" t="n">
        <f aca="false">N107/$R$3</f>
        <v>0</v>
      </c>
    </row>
    <row r="108" customFormat="false" ht="12.75" hidden="true" customHeight="false" outlineLevel="0" collapsed="false">
      <c r="A108" s="120" t="n">
        <f aca="false">A107+1</f>
        <v>36994</v>
      </c>
      <c r="B108" s="131" t="str">
        <f aca="false">INDEX('Master Data'!$A$2:$B$8,MATCH(WEEKDAY('SC Total Gas'!A108,3),'Master Data'!$A$2:$A$8,0),2)</f>
        <v>F</v>
      </c>
      <c r="D108" s="124" t="n">
        <v>0</v>
      </c>
      <c r="E108" s="124" t="n">
        <v>0</v>
      </c>
      <c r="F108" s="124" t="n">
        <v>0</v>
      </c>
      <c r="G108" s="124" t="n">
        <v>0</v>
      </c>
      <c r="I108" s="124" t="n">
        <f aca="false">IF(MONTH($A108)=MONTH($A107),IF(G108=0,I107,G108),G108)</f>
        <v>0</v>
      </c>
      <c r="J108" s="124" t="n">
        <f aca="false">IF(MONTH($A108)=MONTH($A107),SUM(I108-I107),I108)</f>
        <v>0</v>
      </c>
      <c r="K108" s="124" t="n">
        <f aca="false">IF(WEEKDAY(A108,3)&gt;4,0,(IF(A108&lt;K$2,0,IF(A108&lt;=K$3,1,0))))</f>
        <v>0</v>
      </c>
      <c r="L108" s="124" t="n">
        <f aca="false">J108*K108</f>
        <v>0</v>
      </c>
      <c r="M108" s="124" t="n">
        <f aca="false">SUM(J$97:J108)</f>
        <v>0</v>
      </c>
      <c r="N108" s="124" t="n">
        <f aca="false">SUM(J$6:J108)</f>
        <v>0</v>
      </c>
      <c r="P108" s="124" t="n">
        <f aca="false">D108/P$3</f>
        <v>0</v>
      </c>
      <c r="Q108" s="124" t="n">
        <f aca="false">E108/P$3</f>
        <v>0</v>
      </c>
      <c r="R108" s="124" t="n">
        <f aca="false">F108/R$3</f>
        <v>0</v>
      </c>
      <c r="S108" s="126" t="n">
        <f aca="false">J108/$R$3</f>
        <v>0</v>
      </c>
      <c r="T108" s="126" t="n">
        <f aca="false">L108/$R$3</f>
        <v>0</v>
      </c>
      <c r="U108" s="126" t="n">
        <f aca="false">I108/$R$3</f>
        <v>0</v>
      </c>
      <c r="V108" s="126" t="n">
        <f aca="false">M108/$R$3</f>
        <v>0</v>
      </c>
      <c r="W108" s="126" t="n">
        <f aca="false">N108/$R$3</f>
        <v>0</v>
      </c>
    </row>
    <row r="109" customFormat="false" ht="12.75" hidden="true" customHeight="false" outlineLevel="0" collapsed="false">
      <c r="A109" s="120" t="n">
        <f aca="false">A108+1</f>
        <v>36995</v>
      </c>
      <c r="B109" s="131" t="str">
        <f aca="false">INDEX('Master Data'!$A$2:$B$8,MATCH(WEEKDAY('SC Total Gas'!A109,3),'Master Data'!$A$2:$A$8,0),2)</f>
        <v>Sa</v>
      </c>
      <c r="D109" s="124" t="n">
        <v>0</v>
      </c>
      <c r="E109" s="124" t="n">
        <v>0</v>
      </c>
      <c r="F109" s="124" t="n">
        <v>0</v>
      </c>
      <c r="G109" s="124" t="n">
        <v>0</v>
      </c>
      <c r="I109" s="124" t="n">
        <f aca="false">IF(MONTH($A109)=MONTH($A108),IF(G109=0,I108,G109),G109)</f>
        <v>0</v>
      </c>
      <c r="J109" s="124" t="n">
        <f aca="false">IF(MONTH($A109)=MONTH($A108),SUM(I109-I108),I109)</f>
        <v>0</v>
      </c>
      <c r="K109" s="124" t="n">
        <f aca="false">IF(WEEKDAY(A109,3)&gt;4,0,(IF(A109&lt;K$2,0,IF(A109&lt;=K$3,1,0))))</f>
        <v>0</v>
      </c>
      <c r="L109" s="124" t="n">
        <f aca="false">J109*K109</f>
        <v>0</v>
      </c>
      <c r="M109" s="124" t="n">
        <f aca="false">SUM(J$97:J109)</f>
        <v>0</v>
      </c>
      <c r="N109" s="124" t="n">
        <f aca="false">SUM(J$6:J109)</f>
        <v>0</v>
      </c>
      <c r="P109" s="124" t="n">
        <f aca="false">D109/P$3</f>
        <v>0</v>
      </c>
      <c r="Q109" s="124" t="n">
        <f aca="false">E109/P$3</f>
        <v>0</v>
      </c>
      <c r="R109" s="124" t="n">
        <f aca="false">F109/R$3</f>
        <v>0</v>
      </c>
      <c r="S109" s="126" t="n">
        <f aca="false">J109/$R$3</f>
        <v>0</v>
      </c>
      <c r="T109" s="126" t="n">
        <f aca="false">L109/$R$3</f>
        <v>0</v>
      </c>
      <c r="U109" s="126" t="n">
        <f aca="false">I109/$R$3</f>
        <v>0</v>
      </c>
      <c r="V109" s="126" t="n">
        <f aca="false">M109/$R$3</f>
        <v>0</v>
      </c>
      <c r="W109" s="126" t="n">
        <f aca="false">N109/$R$3</f>
        <v>0</v>
      </c>
    </row>
    <row r="110" customFormat="false" ht="12.75" hidden="true" customHeight="false" outlineLevel="0" collapsed="false">
      <c r="A110" s="120" t="n">
        <f aca="false">A109+1</f>
        <v>36996</v>
      </c>
      <c r="B110" s="131" t="str">
        <f aca="false">INDEX('Master Data'!$A$2:$B$8,MATCH(WEEKDAY('SC Total Gas'!A110,3),'Master Data'!$A$2:$A$8,0),2)</f>
        <v>Su</v>
      </c>
      <c r="D110" s="124" t="n">
        <v>0</v>
      </c>
      <c r="E110" s="124" t="n">
        <v>0</v>
      </c>
      <c r="F110" s="124" t="n">
        <v>0</v>
      </c>
      <c r="G110" s="124" t="n">
        <v>0</v>
      </c>
      <c r="I110" s="124" t="n">
        <f aca="false">IF(MONTH($A110)=MONTH($A109),IF(G110=0,I109,G110),G110)</f>
        <v>0</v>
      </c>
      <c r="J110" s="124" t="n">
        <f aca="false">IF(MONTH($A110)=MONTH($A109),SUM(I110-I109),I110)</f>
        <v>0</v>
      </c>
      <c r="K110" s="124" t="n">
        <f aca="false">IF(WEEKDAY(A110,3)&gt;4,0,(IF(A110&lt;K$2,0,IF(A110&lt;=K$3,1,0))))</f>
        <v>0</v>
      </c>
      <c r="L110" s="124" t="n">
        <f aca="false">J110*K110</f>
        <v>0</v>
      </c>
      <c r="M110" s="124" t="n">
        <f aca="false">SUM(J$97:J110)</f>
        <v>0</v>
      </c>
      <c r="N110" s="124" t="n">
        <f aca="false">SUM(J$6:J110)</f>
        <v>0</v>
      </c>
      <c r="P110" s="124" t="n">
        <f aca="false">D110/P$3</f>
        <v>0</v>
      </c>
      <c r="Q110" s="124" t="n">
        <f aca="false">E110/P$3</f>
        <v>0</v>
      </c>
      <c r="R110" s="124" t="n">
        <f aca="false">F110/R$3</f>
        <v>0</v>
      </c>
      <c r="S110" s="126" t="n">
        <f aca="false">J110/$R$3</f>
        <v>0</v>
      </c>
      <c r="T110" s="126" t="n">
        <f aca="false">L110/$R$3</f>
        <v>0</v>
      </c>
      <c r="U110" s="126" t="n">
        <f aca="false">I110/$R$3</f>
        <v>0</v>
      </c>
      <c r="V110" s="126" t="n">
        <f aca="false">M110/$R$3</f>
        <v>0</v>
      </c>
      <c r="W110" s="126" t="n">
        <f aca="false">N110/$R$3</f>
        <v>0</v>
      </c>
    </row>
    <row r="111" customFormat="false" ht="12.75" hidden="true" customHeight="false" outlineLevel="0" collapsed="false">
      <c r="A111" s="120" t="n">
        <f aca="false">A110+1</f>
        <v>36997</v>
      </c>
      <c r="B111" s="131" t="str">
        <f aca="false">INDEX('Master Data'!$A$2:$B$8,MATCH(WEEKDAY('SC Total Gas'!A111,3),'Master Data'!$A$2:$A$8,0),2)</f>
        <v>M</v>
      </c>
      <c r="D111" s="124" t="n">
        <v>0</v>
      </c>
      <c r="E111" s="124" t="n">
        <v>541019.963256976</v>
      </c>
      <c r="F111" s="124" t="n">
        <v>0</v>
      </c>
      <c r="G111" s="124" t="n">
        <v>0</v>
      </c>
      <c r="I111" s="124" t="n">
        <f aca="false">IF(MONTH($A111)=MONTH($A110),IF(G111=0,I110,G111),G111)</f>
        <v>0</v>
      </c>
      <c r="J111" s="124" t="n">
        <f aca="false">IF(MONTH($A111)=MONTH($A110),SUM(I111-I110),I111)</f>
        <v>0</v>
      </c>
      <c r="K111" s="124" t="n">
        <f aca="false">IF(WEEKDAY(A111,3)&gt;4,0,(IF(A111&lt;K$2,0,IF(A111&lt;=K$3,1,0))))</f>
        <v>0</v>
      </c>
      <c r="L111" s="124" t="n">
        <f aca="false">J111*K111</f>
        <v>0</v>
      </c>
      <c r="M111" s="124" t="n">
        <f aca="false">SUM(J$97:J111)</f>
        <v>0</v>
      </c>
      <c r="N111" s="124" t="n">
        <f aca="false">SUM(J$6:J111)</f>
        <v>0</v>
      </c>
      <c r="P111" s="124" t="n">
        <f aca="false">D111/P$3</f>
        <v>0</v>
      </c>
      <c r="Q111" s="124" t="n">
        <f aca="false">E111/P$3</f>
        <v>0.541019963256976</v>
      </c>
      <c r="R111" s="124" t="n">
        <f aca="false">F111/R$3</f>
        <v>0</v>
      </c>
      <c r="S111" s="126" t="n">
        <f aca="false">J111/$R$3</f>
        <v>0</v>
      </c>
      <c r="T111" s="126" t="n">
        <f aca="false">L111/$R$3</f>
        <v>0</v>
      </c>
      <c r="U111" s="126" t="n">
        <f aca="false">I111/$R$3</f>
        <v>0</v>
      </c>
      <c r="V111" s="126" t="n">
        <f aca="false">M111/$R$3</f>
        <v>0</v>
      </c>
      <c r="W111" s="126" t="n">
        <f aca="false">N111/$R$3</f>
        <v>0</v>
      </c>
    </row>
    <row r="112" customFormat="false" ht="12.75" hidden="true" customHeight="false" outlineLevel="0" collapsed="false">
      <c r="A112" s="120" t="n">
        <f aca="false">A111+1</f>
        <v>36998</v>
      </c>
      <c r="B112" s="131" t="str">
        <f aca="false">INDEX('Master Data'!$A$2:$B$8,MATCH(WEEKDAY('SC Total Gas'!A112,3),'Master Data'!$A$2:$A$8,0),2)</f>
        <v>T</v>
      </c>
      <c r="D112" s="124" t="n">
        <v>0</v>
      </c>
      <c r="E112" s="124" t="n">
        <v>541285.262231375</v>
      </c>
      <c r="F112" s="124" t="n">
        <v>0</v>
      </c>
      <c r="G112" s="124" t="n">
        <v>0</v>
      </c>
      <c r="I112" s="124" t="n">
        <f aca="false">IF(MONTH($A112)=MONTH($A111),IF(G112=0,I111,G112),G112)</f>
        <v>0</v>
      </c>
      <c r="J112" s="124" t="n">
        <f aca="false">IF(MONTH($A112)=MONTH($A111),SUM(I112-I111),I112)</f>
        <v>0</v>
      </c>
      <c r="K112" s="124" t="n">
        <f aca="false">IF(WEEKDAY(A112,3)&gt;4,0,(IF(A112&lt;K$2,0,IF(A112&lt;=K$3,1,0))))</f>
        <v>0</v>
      </c>
      <c r="L112" s="124" t="n">
        <f aca="false">J112*K112</f>
        <v>0</v>
      </c>
      <c r="M112" s="124" t="n">
        <f aca="false">SUM(J$97:J112)</f>
        <v>0</v>
      </c>
      <c r="N112" s="124" t="n">
        <f aca="false">SUM(J$6:J112)</f>
        <v>0</v>
      </c>
      <c r="P112" s="124" t="n">
        <f aca="false">D112/P$3</f>
        <v>0</v>
      </c>
      <c r="Q112" s="124" t="n">
        <f aca="false">E112/P$3</f>
        <v>0.541285262231375</v>
      </c>
      <c r="R112" s="124" t="n">
        <f aca="false">F112/R$3</f>
        <v>0</v>
      </c>
      <c r="S112" s="126" t="n">
        <f aca="false">J112/$R$3</f>
        <v>0</v>
      </c>
      <c r="T112" s="126" t="n">
        <f aca="false">L112/$R$3</f>
        <v>0</v>
      </c>
      <c r="U112" s="126" t="n">
        <f aca="false">I112/$R$3</f>
        <v>0</v>
      </c>
      <c r="V112" s="126" t="n">
        <f aca="false">M112/$R$3</f>
        <v>0</v>
      </c>
      <c r="W112" s="126" t="n">
        <f aca="false">N112/$R$3</f>
        <v>0</v>
      </c>
    </row>
    <row r="113" customFormat="false" ht="12.75" hidden="true" customHeight="false" outlineLevel="0" collapsed="false">
      <c r="A113" s="120" t="n">
        <f aca="false">A112+1</f>
        <v>36999</v>
      </c>
      <c r="B113" s="131" t="str">
        <f aca="false">INDEX('Master Data'!$A$2:$B$8,MATCH(WEEKDAY('SC Total Gas'!A113,3),'Master Data'!$A$2:$A$8,0),2)</f>
        <v>W</v>
      </c>
      <c r="D113" s="124" t="n">
        <v>0</v>
      </c>
      <c r="E113" s="124" t="n">
        <v>542004.675328366</v>
      </c>
      <c r="F113" s="124" t="n">
        <v>0</v>
      </c>
      <c r="G113" s="124" t="n">
        <v>0</v>
      </c>
      <c r="I113" s="124" t="n">
        <f aca="false">IF(MONTH($A113)=MONTH($A112),IF(G113=0,I112,G113),G113)</f>
        <v>0</v>
      </c>
      <c r="J113" s="124" t="n">
        <f aca="false">IF(MONTH($A113)=MONTH($A112),SUM(I113-I112),I113)</f>
        <v>0</v>
      </c>
      <c r="K113" s="124" t="n">
        <f aca="false">IF(WEEKDAY(A113,3)&gt;4,0,(IF(A113&lt;K$2,0,IF(A113&lt;=K$3,1,0))))</f>
        <v>0</v>
      </c>
      <c r="L113" s="124" t="n">
        <f aca="false">J113*K113</f>
        <v>0</v>
      </c>
      <c r="M113" s="124" t="n">
        <f aca="false">SUM(J$97:J113)</f>
        <v>0</v>
      </c>
      <c r="N113" s="124" t="n">
        <f aca="false">SUM(J$6:J113)</f>
        <v>0</v>
      </c>
      <c r="P113" s="124" t="n">
        <f aca="false">D113/P$3</f>
        <v>0</v>
      </c>
      <c r="Q113" s="124" t="n">
        <f aca="false">E113/P$3</f>
        <v>0.542004675328366</v>
      </c>
      <c r="R113" s="124" t="n">
        <f aca="false">F113/R$3</f>
        <v>0</v>
      </c>
      <c r="S113" s="126" t="n">
        <f aca="false">J113/$R$3</f>
        <v>0</v>
      </c>
      <c r="T113" s="126" t="n">
        <f aca="false">L113/$R$3</f>
        <v>0</v>
      </c>
      <c r="U113" s="126" t="n">
        <f aca="false">I113/$R$3</f>
        <v>0</v>
      </c>
      <c r="V113" s="126" t="n">
        <f aca="false">M113/$R$3</f>
        <v>0</v>
      </c>
      <c r="W113" s="126" t="n">
        <f aca="false">N113/$R$3</f>
        <v>0</v>
      </c>
    </row>
    <row r="114" customFormat="false" ht="12.75" hidden="true" customHeight="false" outlineLevel="0" collapsed="false">
      <c r="A114" s="120" t="n">
        <f aca="false">A113+1</f>
        <v>37000</v>
      </c>
      <c r="B114" s="131" t="str">
        <f aca="false">INDEX('Master Data'!$A$2:$B$8,MATCH(WEEKDAY('SC Total Gas'!A114,3),'Master Data'!$A$2:$A$8,0),2)</f>
        <v>Th</v>
      </c>
      <c r="D114" s="124" t="n">
        <v>0</v>
      </c>
      <c r="E114" s="124" t="n">
        <v>542471.178522529</v>
      </c>
      <c r="F114" s="124" t="n">
        <v>0</v>
      </c>
      <c r="G114" s="124" t="n">
        <v>0</v>
      </c>
      <c r="I114" s="124" t="n">
        <f aca="false">IF(MONTH($A114)=MONTH($A113),IF(G114=0,I113,G114),G114)</f>
        <v>0</v>
      </c>
      <c r="J114" s="124" t="n">
        <f aca="false">IF(MONTH($A114)=MONTH($A113),SUM(I114-I113),I114)</f>
        <v>0</v>
      </c>
      <c r="K114" s="124" t="n">
        <f aca="false">IF(WEEKDAY(A114,3)&gt;4,0,(IF(A114&lt;K$2,0,IF(A114&lt;=K$3,1,0))))</f>
        <v>0</v>
      </c>
      <c r="L114" s="124" t="n">
        <f aca="false">J114*K114</f>
        <v>0</v>
      </c>
      <c r="M114" s="124" t="n">
        <f aca="false">SUM(J$97:J114)</f>
        <v>0</v>
      </c>
      <c r="N114" s="124" t="n">
        <f aca="false">SUM(J$6:J114)</f>
        <v>0</v>
      </c>
      <c r="P114" s="124" t="n">
        <f aca="false">D114/P$3</f>
        <v>0</v>
      </c>
      <c r="Q114" s="124" t="n">
        <f aca="false">E114/P$3</f>
        <v>0.542471178522529</v>
      </c>
      <c r="R114" s="124" t="n">
        <f aca="false">F114/R$3</f>
        <v>0</v>
      </c>
      <c r="S114" s="126" t="n">
        <f aca="false">J114/$R$3</f>
        <v>0</v>
      </c>
      <c r="T114" s="126" t="n">
        <f aca="false">L114/$R$3</f>
        <v>0</v>
      </c>
      <c r="U114" s="126" t="n">
        <f aca="false">I114/$R$3</f>
        <v>0</v>
      </c>
      <c r="V114" s="126" t="n">
        <f aca="false">M114/$R$3</f>
        <v>0</v>
      </c>
      <c r="W114" s="126" t="n">
        <f aca="false">N114/$R$3</f>
        <v>0</v>
      </c>
    </row>
    <row r="115" customFormat="false" ht="12.75" hidden="true" customHeight="false" outlineLevel="0" collapsed="false">
      <c r="A115" s="120" t="n">
        <f aca="false">A114+1</f>
        <v>37001</v>
      </c>
      <c r="B115" s="131" t="str">
        <f aca="false">INDEX('Master Data'!$A$2:$B$8,MATCH(WEEKDAY('SC Total Gas'!A115,3),'Master Data'!$A$2:$A$8,0),2)</f>
        <v>F</v>
      </c>
      <c r="D115" s="124" t="n">
        <v>0</v>
      </c>
      <c r="E115" s="124" t="n">
        <v>542658.946313703</v>
      </c>
      <c r="F115" s="124" t="n">
        <v>0</v>
      </c>
      <c r="G115" s="124" t="n">
        <v>0</v>
      </c>
      <c r="I115" s="124" t="n">
        <f aca="false">IF(MONTH($A115)=MONTH($A114),IF(G115=0,I114,G115),G115)</f>
        <v>0</v>
      </c>
      <c r="J115" s="124" t="n">
        <f aca="false">IF(MONTH($A115)=MONTH($A114),SUM(I115-I114),I115)</f>
        <v>0</v>
      </c>
      <c r="K115" s="124" t="n">
        <f aca="false">IF(WEEKDAY(A115,3)&gt;4,0,(IF(A115&lt;K$2,0,IF(A115&lt;=K$3,1,0))))</f>
        <v>0</v>
      </c>
      <c r="L115" s="124" t="n">
        <f aca="false">J115*K115</f>
        <v>0</v>
      </c>
      <c r="M115" s="124" t="n">
        <f aca="false">SUM(J$97:J115)</f>
        <v>0</v>
      </c>
      <c r="N115" s="124" t="n">
        <f aca="false">SUM(J$6:J115)</f>
        <v>0</v>
      </c>
      <c r="P115" s="124" t="n">
        <f aca="false">D115/P$3</f>
        <v>0</v>
      </c>
      <c r="Q115" s="124" t="n">
        <f aca="false">E115/P$3</f>
        <v>0.542658946313703</v>
      </c>
      <c r="R115" s="124" t="n">
        <f aca="false">F115/R$3</f>
        <v>0</v>
      </c>
      <c r="S115" s="126" t="n">
        <f aca="false">J115/$R$3</f>
        <v>0</v>
      </c>
      <c r="T115" s="126" t="n">
        <f aca="false">L115/$R$3</f>
        <v>0</v>
      </c>
      <c r="U115" s="126" t="n">
        <f aca="false">I115/$R$3</f>
        <v>0</v>
      </c>
      <c r="V115" s="126" t="n">
        <f aca="false">M115/$R$3</f>
        <v>0</v>
      </c>
      <c r="W115" s="126" t="n">
        <f aca="false">N115/$R$3</f>
        <v>0</v>
      </c>
    </row>
    <row r="116" customFormat="false" ht="12.75" hidden="true" customHeight="false" outlineLevel="0" collapsed="false">
      <c r="A116" s="120" t="n">
        <f aca="false">A115+1</f>
        <v>37002</v>
      </c>
      <c r="B116" s="131" t="str">
        <f aca="false">INDEX('Master Data'!$A$2:$B$8,MATCH(WEEKDAY('SC Total Gas'!A116,3),'Master Data'!$A$2:$A$8,0),2)</f>
        <v>Sa</v>
      </c>
      <c r="D116" s="124" t="n">
        <v>0</v>
      </c>
      <c r="E116" s="124" t="n">
        <v>0</v>
      </c>
      <c r="F116" s="124" t="n">
        <v>0</v>
      </c>
      <c r="G116" s="124" t="n">
        <v>0</v>
      </c>
      <c r="I116" s="124" t="n">
        <f aca="false">IF(MONTH($A116)=MONTH($A115),IF(G116=0,I115,G116),G116)</f>
        <v>0</v>
      </c>
      <c r="J116" s="124" t="n">
        <f aca="false">IF(MONTH($A116)=MONTH($A115),SUM(I116-I115),I116)</f>
        <v>0</v>
      </c>
      <c r="K116" s="124" t="n">
        <f aca="false">IF(WEEKDAY(A116,3)&gt;4,0,(IF(A116&lt;K$2,0,IF(A116&lt;=K$3,1,0))))</f>
        <v>0</v>
      </c>
      <c r="L116" s="124" t="n">
        <f aca="false">J116*K116</f>
        <v>0</v>
      </c>
      <c r="M116" s="124" t="n">
        <f aca="false">SUM(J$97:J116)</f>
        <v>0</v>
      </c>
      <c r="N116" s="124" t="n">
        <f aca="false">SUM(J$6:J116)</f>
        <v>0</v>
      </c>
      <c r="P116" s="124" t="n">
        <f aca="false">D116/P$3</f>
        <v>0</v>
      </c>
      <c r="Q116" s="124" t="n">
        <f aca="false">E116/P$3</f>
        <v>0</v>
      </c>
      <c r="R116" s="124" t="n">
        <f aca="false">F116/R$3</f>
        <v>0</v>
      </c>
      <c r="S116" s="126" t="n">
        <f aca="false">J116/$R$3</f>
        <v>0</v>
      </c>
      <c r="T116" s="126" t="n">
        <f aca="false">L116/$R$3</f>
        <v>0</v>
      </c>
      <c r="U116" s="126" t="n">
        <f aca="false">I116/$R$3</f>
        <v>0</v>
      </c>
      <c r="V116" s="126" t="n">
        <f aca="false">M116/$R$3</f>
        <v>0</v>
      </c>
      <c r="W116" s="126" t="n">
        <f aca="false">N116/$R$3</f>
        <v>0</v>
      </c>
    </row>
    <row r="117" customFormat="false" ht="12.75" hidden="true" customHeight="false" outlineLevel="0" collapsed="false">
      <c r="A117" s="120" t="n">
        <f aca="false">A116+1</f>
        <v>37003</v>
      </c>
      <c r="B117" s="131" t="str">
        <f aca="false">INDEX('Master Data'!$A$2:$B$8,MATCH(WEEKDAY('SC Total Gas'!A117,3),'Master Data'!$A$2:$A$8,0),2)</f>
        <v>Su</v>
      </c>
      <c r="D117" s="124" t="n">
        <v>0</v>
      </c>
      <c r="E117" s="124" t="n">
        <v>0</v>
      </c>
      <c r="F117" s="124" t="n">
        <v>0</v>
      </c>
      <c r="G117" s="124" t="n">
        <v>0</v>
      </c>
      <c r="I117" s="124" t="n">
        <f aca="false">IF(MONTH($A117)=MONTH($A116),IF(G117=0,I116,G117),G117)</f>
        <v>0</v>
      </c>
      <c r="J117" s="124" t="n">
        <f aca="false">IF(MONTH($A117)=MONTH($A116),SUM(I117-I116),I117)</f>
        <v>0</v>
      </c>
      <c r="K117" s="124" t="n">
        <f aca="false">IF(WEEKDAY(A117,3)&gt;4,0,(IF(A117&lt;K$2,0,IF(A117&lt;=K$3,1,0))))</f>
        <v>0</v>
      </c>
      <c r="L117" s="124" t="n">
        <f aca="false">J117*K117</f>
        <v>0</v>
      </c>
      <c r="M117" s="124" t="n">
        <f aca="false">SUM(J$97:J117)</f>
        <v>0</v>
      </c>
      <c r="N117" s="124" t="n">
        <f aca="false">SUM(J$6:J117)</f>
        <v>0</v>
      </c>
      <c r="P117" s="124" t="n">
        <f aca="false">D117/P$3</f>
        <v>0</v>
      </c>
      <c r="Q117" s="124" t="n">
        <f aca="false">E117/P$3</f>
        <v>0</v>
      </c>
      <c r="R117" s="124" t="n">
        <f aca="false">F117/R$3</f>
        <v>0</v>
      </c>
      <c r="S117" s="126" t="n">
        <f aca="false">J117/$R$3</f>
        <v>0</v>
      </c>
      <c r="T117" s="126" t="n">
        <f aca="false">L117/$R$3</f>
        <v>0</v>
      </c>
      <c r="U117" s="126" t="n">
        <f aca="false">I117/$R$3</f>
        <v>0</v>
      </c>
      <c r="V117" s="126" t="n">
        <f aca="false">M117/$R$3</f>
        <v>0</v>
      </c>
      <c r="W117" s="126" t="n">
        <f aca="false">N117/$R$3</f>
        <v>0</v>
      </c>
    </row>
    <row r="118" customFormat="false" ht="12.75" hidden="true" customHeight="false" outlineLevel="0" collapsed="false">
      <c r="A118" s="120" t="n">
        <f aca="false">A117+1</f>
        <v>37004</v>
      </c>
      <c r="B118" s="131" t="str">
        <f aca="false">INDEX('Master Data'!$A$2:$B$8,MATCH(WEEKDAY('SC Total Gas'!A118,3),'Master Data'!$A$2:$A$8,0),2)</f>
        <v>M</v>
      </c>
      <c r="D118" s="124" t="n">
        <v>0</v>
      </c>
      <c r="E118" s="124" t="n">
        <v>543055.79894672</v>
      </c>
      <c r="F118" s="124" t="n">
        <v>0</v>
      </c>
      <c r="G118" s="124" t="n">
        <v>0</v>
      </c>
      <c r="I118" s="124" t="n">
        <f aca="false">IF(MONTH($A118)=MONTH($A117),IF(G118=0,I117,G118),G118)</f>
        <v>0</v>
      </c>
      <c r="J118" s="124" t="n">
        <f aca="false">IF(MONTH($A118)=MONTH($A117),SUM(I118-I117),I118)</f>
        <v>0</v>
      </c>
      <c r="K118" s="124" t="n">
        <f aca="false">IF(WEEKDAY(A118,3)&gt;4,0,(IF(A118&lt;K$2,0,IF(A118&lt;=K$3,1,0))))</f>
        <v>0</v>
      </c>
      <c r="L118" s="124" t="n">
        <f aca="false">J118*K118</f>
        <v>0</v>
      </c>
      <c r="M118" s="124" t="n">
        <f aca="false">SUM(J$97:J118)</f>
        <v>0</v>
      </c>
      <c r="N118" s="124" t="n">
        <f aca="false">SUM(J$6:J118)</f>
        <v>0</v>
      </c>
      <c r="P118" s="124" t="n">
        <f aca="false">D118/P$3</f>
        <v>0</v>
      </c>
      <c r="Q118" s="124" t="n">
        <f aca="false">E118/P$3</f>
        <v>0.54305579894672</v>
      </c>
      <c r="R118" s="124" t="n">
        <f aca="false">F118/R$3</f>
        <v>0</v>
      </c>
      <c r="S118" s="126" t="n">
        <f aca="false">J118/$R$3</f>
        <v>0</v>
      </c>
      <c r="T118" s="126" t="n">
        <f aca="false">L118/$R$3</f>
        <v>0</v>
      </c>
      <c r="U118" s="126" t="n">
        <f aca="false">I118/$R$3</f>
        <v>0</v>
      </c>
      <c r="V118" s="126" t="n">
        <f aca="false">M118/$R$3</f>
        <v>0</v>
      </c>
      <c r="W118" s="126" t="n">
        <f aca="false">N118/$R$3</f>
        <v>0</v>
      </c>
    </row>
    <row r="119" customFormat="false" ht="12.75" hidden="true" customHeight="false" outlineLevel="0" collapsed="false">
      <c r="A119" s="120" t="n">
        <f aca="false">A118+1</f>
        <v>37005</v>
      </c>
      <c r="B119" s="131" t="str">
        <f aca="false">INDEX('Master Data'!$A$2:$B$8,MATCH(WEEKDAY('SC Total Gas'!A119,3),'Master Data'!$A$2:$A$8,0),2)</f>
        <v>T</v>
      </c>
      <c r="D119" s="124" t="n">
        <v>0</v>
      </c>
      <c r="E119" s="124" t="n">
        <v>543134.630145075</v>
      </c>
      <c r="F119" s="124" t="n">
        <v>0</v>
      </c>
      <c r="G119" s="124" t="n">
        <v>0</v>
      </c>
      <c r="I119" s="124" t="n">
        <f aca="false">IF(MONTH($A119)=MONTH($A118),IF(G119=0,I118,G119),G119)</f>
        <v>0</v>
      </c>
      <c r="J119" s="124" t="n">
        <f aca="false">IF(MONTH($A119)=MONTH($A118),SUM(I119-I118),I119)</f>
        <v>0</v>
      </c>
      <c r="K119" s="124" t="n">
        <f aca="false">IF(WEEKDAY(A119,3)&gt;4,0,(IF(A119&lt;K$2,0,IF(A119&lt;=K$3,1,0))))</f>
        <v>0</v>
      </c>
      <c r="L119" s="124" t="n">
        <f aca="false">J119*K119</f>
        <v>0</v>
      </c>
      <c r="M119" s="124" t="n">
        <f aca="false">SUM(J$97:J119)</f>
        <v>0</v>
      </c>
      <c r="N119" s="124" t="n">
        <f aca="false">SUM(J$6:J119)</f>
        <v>0</v>
      </c>
      <c r="P119" s="124" t="n">
        <f aca="false">D119/P$3</f>
        <v>0</v>
      </c>
      <c r="Q119" s="124" t="n">
        <f aca="false">E119/P$3</f>
        <v>0.543134630145075</v>
      </c>
      <c r="R119" s="124" t="n">
        <f aca="false">F119/R$3</f>
        <v>0</v>
      </c>
      <c r="S119" s="126" t="n">
        <f aca="false">J119/$R$3</f>
        <v>0</v>
      </c>
      <c r="T119" s="126" t="n">
        <f aca="false">L119/$R$3</f>
        <v>0</v>
      </c>
      <c r="U119" s="126" t="n">
        <f aca="false">I119/$R$3</f>
        <v>0</v>
      </c>
      <c r="V119" s="126" t="n">
        <f aca="false">M119/$R$3</f>
        <v>0</v>
      </c>
      <c r="W119" s="126" t="n">
        <f aca="false">N119/$R$3</f>
        <v>0</v>
      </c>
    </row>
    <row r="120" customFormat="false" ht="12.75" hidden="true" customHeight="false" outlineLevel="0" collapsed="false">
      <c r="A120" s="120" t="n">
        <f aca="false">A119+1</f>
        <v>37006</v>
      </c>
      <c r="B120" s="131" t="str">
        <f aca="false">INDEX('Master Data'!$A$2:$B$8,MATCH(WEEKDAY('SC Total Gas'!A120,3),'Master Data'!$A$2:$A$8,0),2)</f>
        <v>W</v>
      </c>
      <c r="D120" s="124" t="n">
        <v>0</v>
      </c>
      <c r="E120" s="124" t="n">
        <v>543068.981255744</v>
      </c>
      <c r="F120" s="124" t="n">
        <v>0</v>
      </c>
      <c r="G120" s="124" t="n">
        <v>0</v>
      </c>
      <c r="I120" s="124" t="n">
        <f aca="false">IF(MONTH($A120)=MONTH($A119),IF(G120=0,I119,G120),G120)</f>
        <v>0</v>
      </c>
      <c r="J120" s="124" t="n">
        <f aca="false">IF(MONTH($A120)=MONTH($A119),SUM(I120-I119),I120)</f>
        <v>0</v>
      </c>
      <c r="K120" s="124" t="n">
        <f aca="false">IF(WEEKDAY(A120,3)&gt;4,0,(IF(A120&lt;K$2,0,IF(A120&lt;=K$3,1,0))))</f>
        <v>0</v>
      </c>
      <c r="L120" s="124" t="n">
        <f aca="false">J120*K120</f>
        <v>0</v>
      </c>
      <c r="M120" s="124" t="n">
        <f aca="false">SUM(J$97:J120)</f>
        <v>0</v>
      </c>
      <c r="N120" s="124" t="n">
        <f aca="false">SUM(J$6:J120)</f>
        <v>0</v>
      </c>
      <c r="P120" s="124" t="n">
        <f aca="false">D120/P$3</f>
        <v>0</v>
      </c>
      <c r="Q120" s="124" t="n">
        <f aca="false">E120/P$3</f>
        <v>0.543068981255744</v>
      </c>
      <c r="R120" s="124" t="n">
        <f aca="false">F120/R$3</f>
        <v>0</v>
      </c>
      <c r="S120" s="126" t="n">
        <f aca="false">J120/$R$3</f>
        <v>0</v>
      </c>
      <c r="T120" s="126" t="n">
        <f aca="false">L120/$R$3</f>
        <v>0</v>
      </c>
      <c r="U120" s="126" t="n">
        <f aca="false">I120/$R$3</f>
        <v>0</v>
      </c>
      <c r="V120" s="126" t="n">
        <f aca="false">M120/$R$3</f>
        <v>0</v>
      </c>
      <c r="W120" s="126" t="n">
        <f aca="false">N120/$R$3</f>
        <v>0</v>
      </c>
    </row>
    <row r="121" customFormat="false" ht="12.75" hidden="true" customHeight="false" outlineLevel="0" collapsed="false">
      <c r="A121" s="120" t="n">
        <f aca="false">A120+1</f>
        <v>37007</v>
      </c>
      <c r="B121" s="131" t="str">
        <f aca="false">INDEX('Master Data'!$A$2:$B$8,MATCH(WEEKDAY('SC Total Gas'!A121,3),'Master Data'!$A$2:$A$8,0),2)</f>
        <v>Th</v>
      </c>
      <c r="D121" s="124" t="n">
        <v>0</v>
      </c>
      <c r="E121" s="124" t="n">
        <v>543222.313902636</v>
      </c>
      <c r="F121" s="124" t="n">
        <v>0</v>
      </c>
      <c r="G121" s="124" t="n">
        <v>0</v>
      </c>
      <c r="I121" s="124" t="n">
        <f aca="false">IF(MONTH($A121)=MONTH($A120),IF(G121=0,I120,G121),G121)</f>
        <v>0</v>
      </c>
      <c r="J121" s="124" t="n">
        <f aca="false">IF(MONTH($A121)=MONTH($A120),SUM(I121-I120),I121)</f>
        <v>0</v>
      </c>
      <c r="K121" s="124" t="n">
        <f aca="false">IF(WEEKDAY(A121,3)&gt;4,0,(IF(A121&lt;K$2,0,IF(A121&lt;=K$3,1,0))))</f>
        <v>0</v>
      </c>
      <c r="L121" s="124" t="n">
        <f aca="false">J121*K121</f>
        <v>0</v>
      </c>
      <c r="M121" s="124" t="n">
        <f aca="false">SUM(J$97:J121)</f>
        <v>0</v>
      </c>
      <c r="N121" s="124" t="n">
        <f aca="false">SUM(J$6:J121)</f>
        <v>0</v>
      </c>
      <c r="P121" s="124" t="n">
        <f aca="false">D121/P$3</f>
        <v>0</v>
      </c>
      <c r="Q121" s="124" t="n">
        <f aca="false">E121/P$3</f>
        <v>0.543222313902636</v>
      </c>
      <c r="R121" s="124" t="n">
        <f aca="false">F121/R$3</f>
        <v>0</v>
      </c>
      <c r="S121" s="126" t="n">
        <f aca="false">J121/$R$3</f>
        <v>0</v>
      </c>
      <c r="T121" s="126" t="n">
        <f aca="false">L121/$R$3</f>
        <v>0</v>
      </c>
      <c r="U121" s="126" t="n">
        <f aca="false">I121/$R$3</f>
        <v>0</v>
      </c>
      <c r="V121" s="126" t="n">
        <f aca="false">M121/$R$3</f>
        <v>0</v>
      </c>
      <c r="W121" s="126" t="n">
        <f aca="false">N121/$R$3</f>
        <v>0</v>
      </c>
    </row>
    <row r="122" customFormat="false" ht="12.75" hidden="true" customHeight="false" outlineLevel="0" collapsed="false">
      <c r="A122" s="120" t="n">
        <f aca="false">A121+1</f>
        <v>37008</v>
      </c>
      <c r="B122" s="131" t="str">
        <f aca="false">INDEX('Master Data'!$A$2:$B$8,MATCH(WEEKDAY('SC Total Gas'!A122,3),'Master Data'!$A$2:$A$8,0),2)</f>
        <v>F</v>
      </c>
      <c r="D122" s="124" t="n">
        <v>0</v>
      </c>
      <c r="E122" s="124" t="n">
        <v>543094.504076202</v>
      </c>
      <c r="F122" s="124" t="n">
        <v>0</v>
      </c>
      <c r="G122" s="124" t="n">
        <v>0</v>
      </c>
      <c r="I122" s="124" t="n">
        <f aca="false">IF(MONTH($A122)=MONTH($A121),IF(G122=0,I121,G122),G122)</f>
        <v>0</v>
      </c>
      <c r="J122" s="124" t="n">
        <f aca="false">IF(MONTH($A122)=MONTH($A121),SUM(I122-I121),I122)</f>
        <v>0</v>
      </c>
      <c r="K122" s="124" t="n">
        <f aca="false">IF(WEEKDAY(A122,3)&gt;4,0,(IF(A122&lt;K$2,0,IF(A122&lt;=K$3,1,0))))</f>
        <v>0</v>
      </c>
      <c r="L122" s="124" t="n">
        <f aca="false">J122*K122</f>
        <v>0</v>
      </c>
      <c r="M122" s="124" t="n">
        <f aca="false">SUM(J$97:J122)</f>
        <v>0</v>
      </c>
      <c r="N122" s="124" t="n">
        <f aca="false">SUM(J$6:J122)</f>
        <v>0</v>
      </c>
      <c r="P122" s="124" t="n">
        <f aca="false">D122/P$3</f>
        <v>0</v>
      </c>
      <c r="Q122" s="124" t="n">
        <f aca="false">E122/P$3</f>
        <v>0.543094504076202</v>
      </c>
      <c r="R122" s="124" t="n">
        <f aca="false">F122/R$3</f>
        <v>0</v>
      </c>
      <c r="S122" s="126" t="n">
        <f aca="false">J122/$R$3</f>
        <v>0</v>
      </c>
      <c r="T122" s="126" t="n">
        <f aca="false">L122/$R$3</f>
        <v>0</v>
      </c>
      <c r="U122" s="126" t="n">
        <f aca="false">I122/$R$3</f>
        <v>0</v>
      </c>
      <c r="V122" s="126" t="n">
        <f aca="false">M122/$R$3</f>
        <v>0</v>
      </c>
      <c r="W122" s="126" t="n">
        <f aca="false">N122/$R$3</f>
        <v>0</v>
      </c>
    </row>
    <row r="123" customFormat="false" ht="12.75" hidden="true" customHeight="false" outlineLevel="0" collapsed="false">
      <c r="A123" s="120" t="n">
        <f aca="false">A122+1</f>
        <v>37009</v>
      </c>
      <c r="B123" s="131" t="str">
        <f aca="false">INDEX('Master Data'!$A$2:$B$8,MATCH(WEEKDAY('SC Total Gas'!A123,3),'Master Data'!$A$2:$A$8,0),2)</f>
        <v>Sa</v>
      </c>
      <c r="D123" s="124" t="n">
        <v>0</v>
      </c>
      <c r="E123" s="124" t="n">
        <v>0</v>
      </c>
      <c r="F123" s="124" t="n">
        <v>0</v>
      </c>
      <c r="G123" s="124" t="n">
        <v>0</v>
      </c>
      <c r="I123" s="124" t="n">
        <f aca="false">IF(MONTH($A123)=MONTH($A122),IF(G123=0,I122,G123),G123)</f>
        <v>0</v>
      </c>
      <c r="J123" s="124" t="n">
        <f aca="false">IF(MONTH($A123)=MONTH($A122),SUM(I123-I122),I123)</f>
        <v>0</v>
      </c>
      <c r="K123" s="124" t="n">
        <f aca="false">IF(WEEKDAY(A123,3)&gt;4,0,(IF(A123&lt;K$2,0,IF(A123&lt;=K$3,1,0))))</f>
        <v>0</v>
      </c>
      <c r="L123" s="124" t="n">
        <f aca="false">J123*K123</f>
        <v>0</v>
      </c>
      <c r="M123" s="124" t="n">
        <f aca="false">SUM(J$97:J123)</f>
        <v>0</v>
      </c>
      <c r="N123" s="124" t="n">
        <f aca="false">SUM(J$6:J123)</f>
        <v>0</v>
      </c>
      <c r="P123" s="124" t="n">
        <f aca="false">D123/P$3</f>
        <v>0</v>
      </c>
      <c r="Q123" s="124" t="n">
        <f aca="false">E123/P$3</f>
        <v>0</v>
      </c>
      <c r="R123" s="124" t="n">
        <f aca="false">F123/R$3</f>
        <v>0</v>
      </c>
      <c r="S123" s="126" t="n">
        <f aca="false">J123/$R$3</f>
        <v>0</v>
      </c>
      <c r="T123" s="126" t="n">
        <f aca="false">L123/$R$3</f>
        <v>0</v>
      </c>
      <c r="U123" s="126" t="n">
        <f aca="false">I123/$R$3</f>
        <v>0</v>
      </c>
      <c r="V123" s="126" t="n">
        <f aca="false">M123/$R$3</f>
        <v>0</v>
      </c>
      <c r="W123" s="126" t="n">
        <f aca="false">N123/$R$3</f>
        <v>0</v>
      </c>
    </row>
    <row r="124" customFormat="false" ht="12.75" hidden="true" customHeight="false" outlineLevel="0" collapsed="false">
      <c r="A124" s="120" t="n">
        <f aca="false">A123+1</f>
        <v>37010</v>
      </c>
      <c r="B124" s="131" t="str">
        <f aca="false">INDEX('Master Data'!$A$2:$B$8,MATCH(WEEKDAY('SC Total Gas'!A124,3),'Master Data'!$A$2:$A$8,0),2)</f>
        <v>Su</v>
      </c>
      <c r="D124" s="124" t="n">
        <v>0</v>
      </c>
      <c r="E124" s="124" t="n">
        <v>0</v>
      </c>
      <c r="F124" s="124" t="n">
        <v>0</v>
      </c>
      <c r="G124" s="124" t="n">
        <v>0</v>
      </c>
      <c r="I124" s="124" t="n">
        <f aca="false">IF(MONTH($A124)=MONTH($A123),IF(G124=0,I123,G124),G124)</f>
        <v>0</v>
      </c>
      <c r="J124" s="124" t="n">
        <f aca="false">IF(MONTH($A124)=MONTH($A123),SUM(I124-I123),I124)</f>
        <v>0</v>
      </c>
      <c r="K124" s="124" t="n">
        <f aca="false">IF(WEEKDAY(A124,3)&gt;4,0,(IF(A124&lt;K$2,0,IF(A124&lt;=K$3,1,0))))</f>
        <v>0</v>
      </c>
      <c r="L124" s="124" t="n">
        <f aca="false">J124*K124</f>
        <v>0</v>
      </c>
      <c r="M124" s="124" t="n">
        <f aca="false">SUM(J$97:J124)</f>
        <v>0</v>
      </c>
      <c r="N124" s="124" t="n">
        <f aca="false">SUM(J$6:J124)</f>
        <v>0</v>
      </c>
      <c r="P124" s="124" t="n">
        <f aca="false">D124/P$3</f>
        <v>0</v>
      </c>
      <c r="Q124" s="124" t="n">
        <f aca="false">E124/P$3</f>
        <v>0</v>
      </c>
      <c r="R124" s="124" t="n">
        <f aca="false">F124/R$3</f>
        <v>0</v>
      </c>
      <c r="S124" s="126" t="n">
        <f aca="false">J124/$R$3</f>
        <v>0</v>
      </c>
      <c r="T124" s="126" t="n">
        <f aca="false">L124/$R$3</f>
        <v>0</v>
      </c>
      <c r="U124" s="126" t="n">
        <f aca="false">I124/$R$3</f>
        <v>0</v>
      </c>
      <c r="V124" s="126" t="n">
        <f aca="false">M124/$R$3</f>
        <v>0</v>
      </c>
      <c r="W124" s="126" t="n">
        <f aca="false">N124/$R$3</f>
        <v>0</v>
      </c>
    </row>
    <row r="125" customFormat="false" ht="12.75" hidden="false" customHeight="false" outlineLevel="0" collapsed="false">
      <c r="A125" s="120" t="n">
        <f aca="false">A124+1</f>
        <v>37011</v>
      </c>
      <c r="B125" s="131" t="str">
        <f aca="false">INDEX('Master Data'!$A$2:$B$8,MATCH(WEEKDAY('SC Total Gas'!A125,3),'Master Data'!$A$2:$A$8,0),2)</f>
        <v>M</v>
      </c>
      <c r="D125" s="124" t="n">
        <v>0</v>
      </c>
      <c r="E125" s="124" t="n">
        <v>543264.454600813</v>
      </c>
      <c r="F125" s="124" t="n">
        <v>0</v>
      </c>
      <c r="G125" s="124" t="n">
        <v>0</v>
      </c>
      <c r="I125" s="124" t="n">
        <f aca="false">IF(MONTH($A125)=MONTH($A124),IF(G125=0,I124,G125),G125)</f>
        <v>0</v>
      </c>
      <c r="J125" s="124" t="n">
        <f aca="false">IF(MONTH($A125)=MONTH($A124),SUM(I125-I124),I125)</f>
        <v>0</v>
      </c>
      <c r="K125" s="124" t="n">
        <f aca="false">IF(WEEKDAY(A125,3)&gt;4,0,(IF(A125&lt;K$2,0,IF(A125&lt;=K$3,1,0))))</f>
        <v>0</v>
      </c>
      <c r="L125" s="124" t="n">
        <f aca="false">J125*K125</f>
        <v>0</v>
      </c>
      <c r="M125" s="124" t="n">
        <f aca="false">SUM(J$97:J125)</f>
        <v>0</v>
      </c>
      <c r="N125" s="124" t="n">
        <f aca="false">SUM(J$6:J125)</f>
        <v>0</v>
      </c>
      <c r="P125" s="124" t="n">
        <f aca="false">D125/P$3</f>
        <v>0</v>
      </c>
      <c r="Q125" s="124" t="n">
        <f aca="false">E125/P$3</f>
        <v>0.543264454600813</v>
      </c>
      <c r="R125" s="124" t="n">
        <f aca="false">F125/R$3</f>
        <v>0</v>
      </c>
      <c r="S125" s="126" t="n">
        <f aca="false">J125/$R$3</f>
        <v>0</v>
      </c>
      <c r="T125" s="126" t="n">
        <f aca="false">L125/$R$3</f>
        <v>0</v>
      </c>
      <c r="U125" s="126" t="n">
        <f aca="false">I125/$R$3</f>
        <v>0</v>
      </c>
      <c r="V125" s="126" t="n">
        <f aca="false">M125/$R$3</f>
        <v>0</v>
      </c>
      <c r="W125" s="126" t="n">
        <f aca="false">N125/$R$3</f>
        <v>0</v>
      </c>
    </row>
    <row r="126" customFormat="false" ht="12.75" hidden="true" customHeight="false" outlineLevel="0" collapsed="false">
      <c r="A126" s="120" t="n">
        <f aca="false">A125+1</f>
        <v>37012</v>
      </c>
      <c r="B126" s="131" t="str">
        <f aca="false">INDEX('Master Data'!$A$2:$B$8,MATCH(WEEKDAY('SC Total Gas'!A126,3),'Master Data'!$A$2:$A$8,0),2)</f>
        <v>T</v>
      </c>
      <c r="D126" s="124" t="n">
        <v>0</v>
      </c>
      <c r="E126" s="124" t="n">
        <v>543479.284422597</v>
      </c>
      <c r="F126" s="124" t="n">
        <v>0</v>
      </c>
      <c r="G126" s="124" t="n">
        <v>0</v>
      </c>
      <c r="I126" s="124" t="n">
        <f aca="false">IF(MONTH($A126)=MONTH($A125),IF(G126=0,I125,G126),G126)</f>
        <v>0</v>
      </c>
      <c r="J126" s="124" t="n">
        <f aca="false">IF(MONTH($A126)=MONTH($A125),SUM(I126-I125),I126)</f>
        <v>0</v>
      </c>
      <c r="K126" s="124" t="n">
        <f aca="false">IF(WEEKDAY(A126,3)&gt;4,0,(IF(A126&lt;K$2,0,IF(A126&lt;=K$3,1,0))))</f>
        <v>0</v>
      </c>
      <c r="L126" s="124" t="n">
        <f aca="false">J126*K126</f>
        <v>0</v>
      </c>
      <c r="M126" s="124" t="n">
        <f aca="false">SUM(J$97:J126)</f>
        <v>0</v>
      </c>
      <c r="N126" s="124" t="n">
        <f aca="false">SUM(J$6:J126)</f>
        <v>0</v>
      </c>
      <c r="P126" s="124" t="n">
        <f aca="false">D126/P$3</f>
        <v>0</v>
      </c>
      <c r="Q126" s="124" t="n">
        <f aca="false">E126/P$3</f>
        <v>0.543479284422596</v>
      </c>
      <c r="R126" s="124" t="n">
        <f aca="false">F126/R$3</f>
        <v>0</v>
      </c>
      <c r="S126" s="126" t="n">
        <f aca="false">J126/$R$3</f>
        <v>0</v>
      </c>
      <c r="T126" s="126" t="n">
        <f aca="false">L126/$R$3</f>
        <v>0</v>
      </c>
      <c r="U126" s="126" t="n">
        <f aca="false">I126/$R$3</f>
        <v>0</v>
      </c>
      <c r="V126" s="126" t="n">
        <f aca="false">M126/$R$3</f>
        <v>0</v>
      </c>
      <c r="W126" s="126" t="n">
        <f aca="false">N126/$R$3</f>
        <v>0</v>
      </c>
    </row>
    <row r="127" customFormat="false" ht="12.75" hidden="true" customHeight="false" outlineLevel="0" collapsed="false">
      <c r="A127" s="120" t="n">
        <f aca="false">A126+1</f>
        <v>37013</v>
      </c>
      <c r="B127" s="131" t="str">
        <f aca="false">INDEX('Master Data'!$A$2:$B$8,MATCH(WEEKDAY('SC Total Gas'!A127,3),'Master Data'!$A$2:$A$8,0),2)</f>
        <v>W</v>
      </c>
      <c r="D127" s="124" t="n">
        <v>0</v>
      </c>
      <c r="E127" s="124" t="n">
        <v>543480.706022594</v>
      </c>
      <c r="F127" s="124" t="n">
        <v>0</v>
      </c>
      <c r="G127" s="124" t="n">
        <v>0</v>
      </c>
      <c r="I127" s="124" t="n">
        <f aca="false">IF(MONTH($A127)=MONTH($A126),IF(G127=0,I126,G127),G127)</f>
        <v>0</v>
      </c>
      <c r="J127" s="124" t="n">
        <f aca="false">IF(MONTH($A127)=MONTH($A126),SUM(I127-I126),I127)</f>
        <v>0</v>
      </c>
      <c r="K127" s="124" t="n">
        <f aca="false">IF(WEEKDAY(A127,3)&gt;4,0,(IF(A127&lt;K$2,0,IF(A127&lt;=K$3,1,0))))</f>
        <v>0</v>
      </c>
      <c r="L127" s="124" t="n">
        <f aca="false">J127*K127</f>
        <v>0</v>
      </c>
      <c r="M127" s="124" t="n">
        <f aca="false">SUM(J$97:J127)</f>
        <v>0</v>
      </c>
      <c r="N127" s="124" t="n">
        <f aca="false">SUM(J$6:J127)</f>
        <v>0</v>
      </c>
      <c r="P127" s="124" t="n">
        <f aca="false">D127/P$3</f>
        <v>0</v>
      </c>
      <c r="Q127" s="124" t="n">
        <f aca="false">E127/P$3</f>
        <v>0.543480706022594</v>
      </c>
      <c r="R127" s="124" t="n">
        <f aca="false">F127/R$3</f>
        <v>0</v>
      </c>
      <c r="S127" s="126" t="n">
        <f aca="false">J127/$R$3</f>
        <v>0</v>
      </c>
      <c r="T127" s="126" t="n">
        <f aca="false">L127/$R$3</f>
        <v>0</v>
      </c>
      <c r="U127" s="126" t="n">
        <f aca="false">I127/$R$3</f>
        <v>0</v>
      </c>
      <c r="V127" s="126" t="n">
        <f aca="false">M127/$R$3</f>
        <v>0</v>
      </c>
      <c r="W127" s="126" t="n">
        <f aca="false">N127/$R$3</f>
        <v>0</v>
      </c>
    </row>
    <row r="128" customFormat="false" ht="12.75" hidden="true" customHeight="false" outlineLevel="0" collapsed="false">
      <c r="A128" s="120" t="n">
        <f aca="false">A127+1</f>
        <v>37014</v>
      </c>
      <c r="B128" s="131" t="str">
        <f aca="false">INDEX('Master Data'!$A$2:$B$8,MATCH(WEEKDAY('SC Total Gas'!A128,3),'Master Data'!$A$2:$A$8,0),2)</f>
        <v>Th</v>
      </c>
      <c r="D128" s="124" t="n">
        <v>0</v>
      </c>
      <c r="E128" s="124" t="n">
        <v>543643.278720711</v>
      </c>
      <c r="F128" s="124" t="n">
        <v>0</v>
      </c>
      <c r="G128" s="124" t="n">
        <v>0</v>
      </c>
      <c r="I128" s="124" t="n">
        <f aca="false">IF(MONTH($A128)=MONTH($A127),IF(G128=0,I127,G128),G128)</f>
        <v>0</v>
      </c>
      <c r="J128" s="124" t="n">
        <f aca="false">IF(MONTH($A128)=MONTH($A127),SUM(I128-I127),I128)</f>
        <v>0</v>
      </c>
      <c r="K128" s="124" t="n">
        <f aca="false">IF(WEEKDAY(A128,3)&gt;4,0,(IF(A128&lt;K$2,0,IF(A128&lt;=K$3,1,0))))</f>
        <v>0</v>
      </c>
      <c r="L128" s="124" t="n">
        <f aca="false">J128*K128</f>
        <v>0</v>
      </c>
      <c r="M128" s="124" t="n">
        <f aca="false">SUM(J$97:J128)</f>
        <v>0</v>
      </c>
      <c r="N128" s="124" t="n">
        <f aca="false">SUM(J$6:J128)</f>
        <v>0</v>
      </c>
      <c r="P128" s="124" t="n">
        <f aca="false">D128/P$3</f>
        <v>0</v>
      </c>
      <c r="Q128" s="124" t="n">
        <f aca="false">E128/P$3</f>
        <v>0.543643278720711</v>
      </c>
      <c r="R128" s="124" t="n">
        <f aca="false">F128/R$3</f>
        <v>0</v>
      </c>
      <c r="S128" s="126" t="n">
        <f aca="false">J128/$R$3</f>
        <v>0</v>
      </c>
      <c r="T128" s="126" t="n">
        <f aca="false">L128/$R$3</f>
        <v>0</v>
      </c>
      <c r="U128" s="126" t="n">
        <f aca="false">I128/$R$3</f>
        <v>0</v>
      </c>
      <c r="V128" s="126" t="n">
        <f aca="false">M128/$R$3</f>
        <v>0</v>
      </c>
      <c r="W128" s="126" t="n">
        <f aca="false">N128/$R$3</f>
        <v>0</v>
      </c>
    </row>
    <row r="129" customFormat="false" ht="12.75" hidden="true" customHeight="false" outlineLevel="0" collapsed="false">
      <c r="A129" s="120" t="n">
        <f aca="false">A128+1</f>
        <v>37015</v>
      </c>
      <c r="B129" s="131" t="str">
        <f aca="false">INDEX('Master Data'!$A$2:$B$8,MATCH(WEEKDAY('SC Total Gas'!A129,3),'Master Data'!$A$2:$A$8,0),2)</f>
        <v>F</v>
      </c>
      <c r="D129" s="124" t="n">
        <v>0</v>
      </c>
      <c r="E129" s="124" t="n">
        <v>3282246.25513816</v>
      </c>
      <c r="F129" s="124" t="n">
        <v>0</v>
      </c>
      <c r="G129" s="124" t="n">
        <v>0</v>
      </c>
      <c r="I129" s="124" t="n">
        <f aca="false">IF(MONTH($A129)=MONTH($A128),IF(G129=0,I128,G129),G129)</f>
        <v>0</v>
      </c>
      <c r="J129" s="124" t="n">
        <f aca="false">IF(MONTH($A129)=MONTH($A128),SUM(I129-I128),I129)</f>
        <v>0</v>
      </c>
      <c r="K129" s="124" t="n">
        <f aca="false">IF(WEEKDAY(A129,3)&gt;4,0,(IF(A129&lt;K$2,0,IF(A129&lt;=K$3,1,0))))</f>
        <v>0</v>
      </c>
      <c r="L129" s="124" t="n">
        <f aca="false">J129*K129</f>
        <v>0</v>
      </c>
      <c r="M129" s="124" t="n">
        <f aca="false">SUM(J$97:J129)</f>
        <v>0</v>
      </c>
      <c r="N129" s="124" t="n">
        <f aca="false">SUM(J$6:J129)</f>
        <v>0</v>
      </c>
      <c r="P129" s="124" t="n">
        <f aca="false">D129/P$3</f>
        <v>0</v>
      </c>
      <c r="Q129" s="124" t="n">
        <f aca="false">E129/P$3</f>
        <v>3.28224625513816</v>
      </c>
      <c r="R129" s="124" t="n">
        <f aca="false">F129/R$3</f>
        <v>0</v>
      </c>
      <c r="S129" s="126" t="n">
        <f aca="false">J129/$R$3</f>
        <v>0</v>
      </c>
      <c r="T129" s="126" t="n">
        <f aca="false">L129/$R$3</f>
        <v>0</v>
      </c>
      <c r="U129" s="126" t="n">
        <f aca="false">I129/$R$3</f>
        <v>0</v>
      </c>
      <c r="V129" s="126" t="n">
        <f aca="false">M129/$R$3</f>
        <v>0</v>
      </c>
      <c r="W129" s="126" t="n">
        <f aca="false">N129/$R$3</f>
        <v>0</v>
      </c>
    </row>
    <row r="130" customFormat="false" ht="12.75" hidden="true" customHeight="false" outlineLevel="0" collapsed="false">
      <c r="A130" s="120" t="n">
        <f aca="false">A129+1</f>
        <v>37016</v>
      </c>
      <c r="B130" s="131" t="str">
        <f aca="false">INDEX('Master Data'!$A$2:$B$8,MATCH(WEEKDAY('SC Total Gas'!A130,3),'Master Data'!$A$2:$A$8,0),2)</f>
        <v>Sa</v>
      </c>
      <c r="D130" s="124" t="n">
        <v>0</v>
      </c>
      <c r="E130" s="124" t="n">
        <v>0</v>
      </c>
      <c r="F130" s="124" t="n">
        <v>0</v>
      </c>
      <c r="G130" s="124" t="n">
        <v>0</v>
      </c>
      <c r="I130" s="124" t="n">
        <f aca="false">IF(MONTH($A130)=MONTH($A129),IF(G130=0,I129,G130),G130)</f>
        <v>0</v>
      </c>
      <c r="J130" s="124" t="n">
        <f aca="false">IF(MONTH($A130)=MONTH($A129),SUM(I130-I129),I130)</f>
        <v>0</v>
      </c>
      <c r="K130" s="124" t="n">
        <f aca="false">IF(WEEKDAY(A130,3)&gt;4,0,(IF(A130&lt;K$2,0,IF(A130&lt;=K$3,1,0))))</f>
        <v>0</v>
      </c>
      <c r="L130" s="124" t="n">
        <f aca="false">J130*K130</f>
        <v>0</v>
      </c>
      <c r="M130" s="124" t="n">
        <f aca="false">SUM(J$97:J130)</f>
        <v>0</v>
      </c>
      <c r="N130" s="124" t="n">
        <f aca="false">SUM(J$6:J130)</f>
        <v>0</v>
      </c>
      <c r="P130" s="124" t="n">
        <f aca="false">D130/P$3</f>
        <v>0</v>
      </c>
      <c r="Q130" s="124" t="n">
        <f aca="false">E130/P$3</f>
        <v>0</v>
      </c>
      <c r="R130" s="124" t="n">
        <f aca="false">F130/R$3</f>
        <v>0</v>
      </c>
      <c r="S130" s="126" t="n">
        <f aca="false">J130/$R$3</f>
        <v>0</v>
      </c>
      <c r="T130" s="126" t="n">
        <f aca="false">L130/$R$3</f>
        <v>0</v>
      </c>
      <c r="U130" s="126" t="n">
        <f aca="false">I130/$R$3</f>
        <v>0</v>
      </c>
      <c r="V130" s="126" t="n">
        <f aca="false">M130/$R$3</f>
        <v>0</v>
      </c>
      <c r="W130" s="126" t="n">
        <f aca="false">N130/$R$3</f>
        <v>0</v>
      </c>
    </row>
    <row r="131" customFormat="false" ht="12.75" hidden="true" customHeight="false" outlineLevel="0" collapsed="false">
      <c r="A131" s="120" t="n">
        <f aca="false">A130+1</f>
        <v>37017</v>
      </c>
      <c r="B131" s="131" t="str">
        <f aca="false">INDEX('Master Data'!$A$2:$B$8,MATCH(WEEKDAY('SC Total Gas'!A131,3),'Master Data'!$A$2:$A$8,0),2)</f>
        <v>Su</v>
      </c>
      <c r="D131" s="124" t="n">
        <v>0</v>
      </c>
      <c r="E131" s="124" t="n">
        <v>0</v>
      </c>
      <c r="F131" s="124" t="n">
        <v>0</v>
      </c>
      <c r="G131" s="124" t="n">
        <v>0</v>
      </c>
      <c r="I131" s="124" t="n">
        <f aca="false">IF(MONTH($A131)=MONTH($A130),IF(G131=0,I130,G131),G131)</f>
        <v>0</v>
      </c>
      <c r="J131" s="124" t="n">
        <f aca="false">IF(MONTH($A131)=MONTH($A130),SUM(I131-I130),I131)</f>
        <v>0</v>
      </c>
      <c r="K131" s="124" t="n">
        <f aca="false">IF(WEEKDAY(A131,3)&gt;4,0,(IF(A131&lt;K$2,0,IF(A131&lt;=K$3,1,0))))</f>
        <v>0</v>
      </c>
      <c r="L131" s="124" t="n">
        <f aca="false">J131*K131</f>
        <v>0</v>
      </c>
      <c r="M131" s="124" t="n">
        <f aca="false">SUM(J$97:J131)</f>
        <v>0</v>
      </c>
      <c r="N131" s="124" t="n">
        <f aca="false">SUM(J$6:J131)</f>
        <v>0</v>
      </c>
      <c r="P131" s="124" t="n">
        <f aca="false">D131/P$3</f>
        <v>0</v>
      </c>
      <c r="Q131" s="124" t="n">
        <f aca="false">E131/P$3</f>
        <v>0</v>
      </c>
      <c r="R131" s="124" t="n">
        <f aca="false">F131/R$3</f>
        <v>0</v>
      </c>
      <c r="S131" s="126" t="n">
        <f aca="false">J131/$R$3</f>
        <v>0</v>
      </c>
      <c r="T131" s="126" t="n">
        <f aca="false">L131/$R$3</f>
        <v>0</v>
      </c>
      <c r="U131" s="126" t="n">
        <f aca="false">I131/$R$3</f>
        <v>0</v>
      </c>
      <c r="V131" s="126" t="n">
        <f aca="false">M131/$R$3</f>
        <v>0</v>
      </c>
      <c r="W131" s="126" t="n">
        <f aca="false">N131/$R$3</f>
        <v>0</v>
      </c>
    </row>
    <row r="132" customFormat="false" ht="12.75" hidden="true" customHeight="false" outlineLevel="0" collapsed="false">
      <c r="A132" s="120" t="n">
        <f aca="false">A131+1</f>
        <v>37018</v>
      </c>
      <c r="B132" s="131" t="str">
        <f aca="false">INDEX('Master Data'!$A$2:$B$8,MATCH(WEEKDAY('SC Total Gas'!A132,3),'Master Data'!$A$2:$A$8,0),2)</f>
        <v>M</v>
      </c>
      <c r="D132" s="124" t="n">
        <v>0</v>
      </c>
      <c r="E132" s="124" t="n">
        <v>3282538.06603116</v>
      </c>
      <c r="F132" s="124" t="n">
        <v>0</v>
      </c>
      <c r="G132" s="124" t="n">
        <v>0</v>
      </c>
      <c r="I132" s="124" t="n">
        <f aca="false">IF(MONTH($A132)=MONTH($A131),IF(G132=0,I131,G132),G132)</f>
        <v>0</v>
      </c>
      <c r="J132" s="124" t="n">
        <f aca="false">IF(MONTH($A132)=MONTH($A131),SUM(I132-I131),I132)</f>
        <v>0</v>
      </c>
      <c r="K132" s="124" t="n">
        <f aca="false">IF(WEEKDAY(A132,3)&gt;4,0,(IF(A132&lt;K$2,0,IF(A132&lt;=K$3,1,0))))</f>
        <v>0</v>
      </c>
      <c r="L132" s="124" t="n">
        <f aca="false">J132*K132</f>
        <v>0</v>
      </c>
      <c r="M132" s="124" t="n">
        <f aca="false">SUM(J$97:J132)</f>
        <v>0</v>
      </c>
      <c r="N132" s="124" t="n">
        <f aca="false">SUM(J$6:J132)</f>
        <v>0</v>
      </c>
      <c r="P132" s="124" t="n">
        <f aca="false">D132/P$3</f>
        <v>0</v>
      </c>
      <c r="Q132" s="124" t="n">
        <f aca="false">E132/P$3</f>
        <v>3.28253806603116</v>
      </c>
      <c r="R132" s="124" t="n">
        <f aca="false">F132/R$3</f>
        <v>0</v>
      </c>
      <c r="S132" s="126" t="n">
        <f aca="false">J132/$R$3</f>
        <v>0</v>
      </c>
      <c r="T132" s="126" t="n">
        <f aca="false">L132/$R$3</f>
        <v>0</v>
      </c>
      <c r="U132" s="126" t="n">
        <f aca="false">I132/$R$3</f>
        <v>0</v>
      </c>
      <c r="V132" s="126" t="n">
        <f aca="false">M132/$R$3</f>
        <v>0</v>
      </c>
      <c r="W132" s="126" t="n">
        <f aca="false">N132/$R$3</f>
        <v>0</v>
      </c>
    </row>
    <row r="133" customFormat="false" ht="12.75" hidden="true" customHeight="false" outlineLevel="0" collapsed="false">
      <c r="A133" s="120" t="n">
        <f aca="false">A132+1</f>
        <v>37019</v>
      </c>
      <c r="B133" s="131" t="str">
        <f aca="false">INDEX('Master Data'!$A$2:$B$8,MATCH(WEEKDAY('SC Total Gas'!A133,3),'Master Data'!$A$2:$A$8,0),2)</f>
        <v>T</v>
      </c>
      <c r="D133" s="124" t="n">
        <v>0</v>
      </c>
      <c r="E133" s="124" t="n">
        <v>3286091.84566158</v>
      </c>
      <c r="F133" s="124" t="n">
        <v>0</v>
      </c>
      <c r="G133" s="124" t="n">
        <v>0</v>
      </c>
      <c r="I133" s="124" t="n">
        <f aca="false">IF(MONTH($A133)=MONTH($A132),IF(G133=0,I132,G133),G133)</f>
        <v>0</v>
      </c>
      <c r="J133" s="124" t="n">
        <f aca="false">IF(MONTH($A133)=MONTH($A132),SUM(I133-I132),I133)</f>
        <v>0</v>
      </c>
      <c r="K133" s="124" t="n">
        <f aca="false">IF(WEEKDAY(A133,3)&gt;4,0,(IF(A133&lt;K$2,0,IF(A133&lt;=K$3,1,0))))</f>
        <v>0</v>
      </c>
      <c r="L133" s="124" t="n">
        <f aca="false">J133*K133</f>
        <v>0</v>
      </c>
      <c r="M133" s="124" t="n">
        <f aca="false">SUM(J$97:J133)</f>
        <v>0</v>
      </c>
      <c r="N133" s="124" t="n">
        <f aca="false">SUM(J$6:J133)</f>
        <v>0</v>
      </c>
      <c r="P133" s="124" t="n">
        <f aca="false">D133/P$3</f>
        <v>0</v>
      </c>
      <c r="Q133" s="124" t="n">
        <f aca="false">E133/P$3</f>
        <v>3.28609184566158</v>
      </c>
      <c r="R133" s="124" t="n">
        <f aca="false">F133/R$3</f>
        <v>0</v>
      </c>
      <c r="S133" s="126" t="n">
        <f aca="false">J133/$R$3</f>
        <v>0</v>
      </c>
      <c r="T133" s="126" t="n">
        <f aca="false">L133/$R$3</f>
        <v>0</v>
      </c>
      <c r="U133" s="126" t="n">
        <f aca="false">I133/$R$3</f>
        <v>0</v>
      </c>
      <c r="V133" s="126" t="n">
        <f aca="false">M133/$R$3</f>
        <v>0</v>
      </c>
      <c r="W133" s="126" t="n">
        <f aca="false">N133/$R$3</f>
        <v>0</v>
      </c>
    </row>
    <row r="134" customFormat="false" ht="12.75" hidden="true" customHeight="false" outlineLevel="0" collapsed="false">
      <c r="A134" s="120" t="n">
        <f aca="false">A133+1</f>
        <v>37020</v>
      </c>
      <c r="B134" s="131" t="str">
        <f aca="false">INDEX('Master Data'!$A$2:$B$8,MATCH(WEEKDAY('SC Total Gas'!A134,3),'Master Data'!$A$2:$A$8,0),2)</f>
        <v>W</v>
      </c>
      <c r="D134" s="124" t="n">
        <v>0</v>
      </c>
      <c r="E134" s="124" t="n">
        <v>3289316.65594565</v>
      </c>
      <c r="F134" s="124" t="n">
        <v>0</v>
      </c>
      <c r="G134" s="124" t="n">
        <v>0</v>
      </c>
      <c r="I134" s="124" t="n">
        <f aca="false">IF(MONTH($A134)=MONTH($A133),IF(G134=0,I133,G134),G134)</f>
        <v>0</v>
      </c>
      <c r="J134" s="124" t="n">
        <f aca="false">IF(MONTH($A134)=MONTH($A133),SUM(I134-I133),I134)</f>
        <v>0</v>
      </c>
      <c r="K134" s="124" t="n">
        <f aca="false">IF(WEEKDAY(A134,3)&gt;4,0,(IF(A134&lt;K$2,0,IF(A134&lt;=K$3,1,0))))</f>
        <v>0</v>
      </c>
      <c r="L134" s="124" t="n">
        <f aca="false">J134*K134</f>
        <v>0</v>
      </c>
      <c r="M134" s="124" t="n">
        <f aca="false">SUM(J$97:J134)</f>
        <v>0</v>
      </c>
      <c r="N134" s="124" t="n">
        <f aca="false">SUM(J$6:J134)</f>
        <v>0</v>
      </c>
      <c r="P134" s="124" t="n">
        <f aca="false">D134/P$3</f>
        <v>0</v>
      </c>
      <c r="Q134" s="124" t="n">
        <f aca="false">E134/P$3</f>
        <v>3.28931665594565</v>
      </c>
      <c r="R134" s="124" t="n">
        <f aca="false">F134/R$3</f>
        <v>0</v>
      </c>
      <c r="S134" s="126" t="n">
        <f aca="false">J134/$R$3</f>
        <v>0</v>
      </c>
      <c r="T134" s="126" t="n">
        <f aca="false">L134/$R$3</f>
        <v>0</v>
      </c>
      <c r="U134" s="126" t="n">
        <f aca="false">I134/$R$3</f>
        <v>0</v>
      </c>
      <c r="V134" s="126" t="n">
        <f aca="false">M134/$R$3</f>
        <v>0</v>
      </c>
      <c r="W134" s="126" t="n">
        <f aca="false">N134/$R$3</f>
        <v>0</v>
      </c>
    </row>
    <row r="135" customFormat="false" ht="12.75" hidden="true" customHeight="false" outlineLevel="0" collapsed="false">
      <c r="A135" s="120" t="n">
        <f aca="false">A134+1</f>
        <v>37021</v>
      </c>
      <c r="B135" s="131" t="str">
        <f aca="false">INDEX('Master Data'!$A$2:$B$8,MATCH(WEEKDAY('SC Total Gas'!A135,3),'Master Data'!$A$2:$A$8,0),2)</f>
        <v>Th</v>
      </c>
      <c r="D135" s="124" t="n">
        <v>0</v>
      </c>
      <c r="E135" s="124" t="n">
        <v>3277884.79498308</v>
      </c>
      <c r="F135" s="124" t="n">
        <v>0</v>
      </c>
      <c r="G135" s="124" t="n">
        <v>0</v>
      </c>
      <c r="I135" s="124" t="n">
        <f aca="false">IF(MONTH($A135)=MONTH($A134),IF(G135=0,I134,G135),G135)</f>
        <v>0</v>
      </c>
      <c r="J135" s="124" t="n">
        <f aca="false">IF(MONTH($A135)=MONTH($A134),SUM(I135-I134),I135)</f>
        <v>0</v>
      </c>
      <c r="K135" s="124" t="n">
        <f aca="false">IF(WEEKDAY(A135,3)&gt;4,0,(IF(A135&lt;K$2,0,IF(A135&lt;=K$3,1,0))))</f>
        <v>0</v>
      </c>
      <c r="L135" s="124" t="n">
        <f aca="false">J135*K135</f>
        <v>0</v>
      </c>
      <c r="M135" s="124" t="n">
        <f aca="false">SUM(J$97:J135)</f>
        <v>0</v>
      </c>
      <c r="N135" s="124" t="n">
        <f aca="false">SUM(J$6:J135)</f>
        <v>0</v>
      </c>
      <c r="P135" s="124" t="n">
        <f aca="false">D135/P$3</f>
        <v>0</v>
      </c>
      <c r="Q135" s="124" t="n">
        <f aca="false">E135/P$3</f>
        <v>3.27788479498308</v>
      </c>
      <c r="R135" s="124" t="n">
        <f aca="false">F135/R$3</f>
        <v>0</v>
      </c>
      <c r="S135" s="126" t="n">
        <f aca="false">J135/$R$3</f>
        <v>0</v>
      </c>
      <c r="T135" s="126" t="n">
        <f aca="false">L135/$R$3</f>
        <v>0</v>
      </c>
      <c r="U135" s="126" t="n">
        <f aca="false">I135/$R$3</f>
        <v>0</v>
      </c>
      <c r="V135" s="126" t="n">
        <f aca="false">M135/$R$3</f>
        <v>0</v>
      </c>
      <c r="W135" s="126" t="n">
        <f aca="false">N135/$R$3</f>
        <v>0</v>
      </c>
    </row>
    <row r="136" customFormat="false" ht="12.75" hidden="true" customHeight="false" outlineLevel="0" collapsed="false">
      <c r="A136" s="120" t="n">
        <f aca="false">A135+1</f>
        <v>37022</v>
      </c>
      <c r="B136" s="131" t="str">
        <f aca="false">INDEX('Master Data'!$A$2:$B$8,MATCH(WEEKDAY('SC Total Gas'!A136,3),'Master Data'!$A$2:$A$8,0),2)</f>
        <v>F</v>
      </c>
      <c r="D136" s="124" t="n">
        <v>0</v>
      </c>
      <c r="E136" s="124" t="n">
        <v>3254737.39485096</v>
      </c>
      <c r="F136" s="124" t="n">
        <v>0</v>
      </c>
      <c r="G136" s="124" t="n">
        <v>0</v>
      </c>
      <c r="I136" s="124" t="n">
        <f aca="false">IF(MONTH($A136)=MONTH($A135),IF(G136=0,I135,G136),G136)</f>
        <v>0</v>
      </c>
      <c r="J136" s="124" t="n">
        <f aca="false">IF(MONTH($A136)=MONTH($A135),SUM(I136-I135),I136)</f>
        <v>0</v>
      </c>
      <c r="K136" s="124" t="n">
        <f aca="false">IF(WEEKDAY(A136,3)&gt;4,0,(IF(A136&lt;K$2,0,IF(A136&lt;=K$3,1,0))))</f>
        <v>0</v>
      </c>
      <c r="L136" s="124" t="n">
        <f aca="false">J136*K136</f>
        <v>0</v>
      </c>
      <c r="M136" s="124" t="n">
        <f aca="false">SUM(J$97:J136)</f>
        <v>0</v>
      </c>
      <c r="N136" s="124" t="n">
        <f aca="false">SUM(J$6:J136)</f>
        <v>0</v>
      </c>
      <c r="P136" s="124" t="n">
        <f aca="false">D136/P$3</f>
        <v>0</v>
      </c>
      <c r="Q136" s="124" t="n">
        <f aca="false">E136/P$3</f>
        <v>3.25473739485096</v>
      </c>
      <c r="R136" s="124" t="n">
        <f aca="false">F136/R$3</f>
        <v>0</v>
      </c>
      <c r="S136" s="126" t="n">
        <f aca="false">J136/$R$3</f>
        <v>0</v>
      </c>
      <c r="T136" s="126" t="n">
        <f aca="false">L136/$R$3</f>
        <v>0</v>
      </c>
      <c r="U136" s="126" t="n">
        <f aca="false">I136/$R$3</f>
        <v>0</v>
      </c>
      <c r="V136" s="126" t="n">
        <f aca="false">M136/$R$3</f>
        <v>0</v>
      </c>
      <c r="W136" s="126" t="n">
        <f aca="false">N136/$R$3</f>
        <v>0</v>
      </c>
    </row>
    <row r="137" customFormat="false" ht="12.75" hidden="true" customHeight="false" outlineLevel="0" collapsed="false">
      <c r="A137" s="120" t="n">
        <f aca="false">A136+1</f>
        <v>37023</v>
      </c>
      <c r="B137" s="131" t="str">
        <f aca="false">INDEX('Master Data'!$A$2:$B$8,MATCH(WEEKDAY('SC Total Gas'!A137,3),'Master Data'!$A$2:$A$8,0),2)</f>
        <v>Sa</v>
      </c>
      <c r="D137" s="124" t="n">
        <v>0</v>
      </c>
      <c r="E137" s="124" t="n">
        <v>0</v>
      </c>
      <c r="F137" s="124" t="n">
        <v>0</v>
      </c>
      <c r="G137" s="124" t="n">
        <v>0</v>
      </c>
      <c r="I137" s="124" t="n">
        <f aca="false">IF(MONTH($A137)=MONTH($A136),IF(G137=0,I136,G137),G137)</f>
        <v>0</v>
      </c>
      <c r="J137" s="124" t="n">
        <f aca="false">IF(MONTH($A137)=MONTH($A136),SUM(I137-I136),I137)</f>
        <v>0</v>
      </c>
      <c r="K137" s="124" t="n">
        <f aca="false">IF(WEEKDAY(A137,3)&gt;4,0,(IF(A137&lt;K$2,0,IF(A137&lt;=K$3,1,0))))</f>
        <v>0</v>
      </c>
      <c r="L137" s="124" t="n">
        <f aca="false">J137*K137</f>
        <v>0</v>
      </c>
      <c r="M137" s="124" t="n">
        <f aca="false">SUM(J$97:J137)</f>
        <v>0</v>
      </c>
      <c r="N137" s="124" t="n">
        <f aca="false">SUM(J$6:J137)</f>
        <v>0</v>
      </c>
      <c r="P137" s="124" t="n">
        <f aca="false">D137/P$3</f>
        <v>0</v>
      </c>
      <c r="Q137" s="124" t="n">
        <f aca="false">E137/P$3</f>
        <v>0</v>
      </c>
      <c r="R137" s="124" t="n">
        <f aca="false">F137/R$3</f>
        <v>0</v>
      </c>
      <c r="S137" s="126" t="n">
        <f aca="false">J137/$R$3</f>
        <v>0</v>
      </c>
      <c r="T137" s="126" t="n">
        <f aca="false">L137/$R$3</f>
        <v>0</v>
      </c>
      <c r="U137" s="126" t="n">
        <f aca="false">I137/$R$3</f>
        <v>0</v>
      </c>
      <c r="V137" s="126" t="n">
        <f aca="false">M137/$R$3</f>
        <v>0</v>
      </c>
      <c r="W137" s="126" t="n">
        <f aca="false">N137/$R$3</f>
        <v>0</v>
      </c>
    </row>
    <row r="138" customFormat="false" ht="12.75" hidden="true" customHeight="false" outlineLevel="0" collapsed="false">
      <c r="A138" s="120" t="n">
        <f aca="false">A137+1</f>
        <v>37024</v>
      </c>
      <c r="B138" s="131" t="str">
        <f aca="false">INDEX('Master Data'!$A$2:$B$8,MATCH(WEEKDAY('SC Total Gas'!A138,3),'Master Data'!$A$2:$A$8,0),2)</f>
        <v>Su</v>
      </c>
      <c r="D138" s="124" t="n">
        <v>0</v>
      </c>
      <c r="E138" s="124" t="n">
        <v>0</v>
      </c>
      <c r="F138" s="124" t="n">
        <v>0</v>
      </c>
      <c r="G138" s="124" t="n">
        <v>0</v>
      </c>
      <c r="I138" s="124" t="n">
        <f aca="false">IF(MONTH($A138)=MONTH($A137),IF(G138=0,I137,G138),G138)</f>
        <v>0</v>
      </c>
      <c r="J138" s="124" t="n">
        <f aca="false">IF(MONTH($A138)=MONTH($A137),SUM(I138-I137),I138)</f>
        <v>0</v>
      </c>
      <c r="K138" s="124" t="n">
        <f aca="false">IF(WEEKDAY(A138,3)&gt;4,0,(IF(A138&lt;K$2,0,IF(A138&lt;=K$3,1,0))))</f>
        <v>0</v>
      </c>
      <c r="L138" s="124" t="n">
        <f aca="false">J138*K138</f>
        <v>0</v>
      </c>
      <c r="M138" s="124" t="n">
        <f aca="false">SUM(J$97:J138)</f>
        <v>0</v>
      </c>
      <c r="N138" s="124" t="n">
        <f aca="false">SUM(J$6:J138)</f>
        <v>0</v>
      </c>
      <c r="P138" s="124" t="n">
        <f aca="false">D138/P$3</f>
        <v>0</v>
      </c>
      <c r="Q138" s="124" t="n">
        <f aca="false">E138/P$3</f>
        <v>0</v>
      </c>
      <c r="R138" s="124" t="n">
        <f aca="false">F138/R$3</f>
        <v>0</v>
      </c>
      <c r="S138" s="126" t="n">
        <f aca="false">J138/$R$3</f>
        <v>0</v>
      </c>
      <c r="T138" s="126" t="n">
        <f aca="false">L138/$R$3</f>
        <v>0</v>
      </c>
      <c r="U138" s="126" t="n">
        <f aca="false">I138/$R$3</f>
        <v>0</v>
      </c>
      <c r="V138" s="126" t="n">
        <f aca="false">M138/$R$3</f>
        <v>0</v>
      </c>
      <c r="W138" s="126" t="n">
        <f aca="false">N138/$R$3</f>
        <v>0</v>
      </c>
    </row>
    <row r="139" customFormat="false" ht="12.75" hidden="true" customHeight="false" outlineLevel="0" collapsed="false">
      <c r="A139" s="120" t="n">
        <f aca="false">A138+1</f>
        <v>37025</v>
      </c>
      <c r="B139" s="131" t="str">
        <f aca="false">INDEX('Master Data'!$A$2:$B$8,MATCH(WEEKDAY('SC Total Gas'!A139,3),'Master Data'!$A$2:$A$8,0),2)</f>
        <v>M</v>
      </c>
      <c r="D139" s="124" t="n">
        <v>0</v>
      </c>
      <c r="E139" s="124" t="n">
        <v>3263649.69588099</v>
      </c>
      <c r="F139" s="124" t="n">
        <v>0</v>
      </c>
      <c r="G139" s="124" t="n">
        <v>0</v>
      </c>
      <c r="I139" s="124" t="n">
        <f aca="false">IF(MONTH($A139)=MONTH($A138),IF(G139=0,I138,G139),G139)</f>
        <v>0</v>
      </c>
      <c r="J139" s="124" t="n">
        <f aca="false">IF(MONTH($A139)=MONTH($A138),SUM(I139-I138),I139)</f>
        <v>0</v>
      </c>
      <c r="K139" s="124" t="n">
        <f aca="false">IF(WEEKDAY(A139,3)&gt;4,0,(IF(A139&lt;K$2,0,IF(A139&lt;=K$3,1,0))))</f>
        <v>0</v>
      </c>
      <c r="L139" s="124" t="n">
        <f aca="false">J139*K139</f>
        <v>0</v>
      </c>
      <c r="M139" s="124" t="n">
        <f aca="false">SUM(J$97:J139)</f>
        <v>0</v>
      </c>
      <c r="N139" s="124" t="n">
        <f aca="false">SUM(J$6:J139)</f>
        <v>0</v>
      </c>
      <c r="P139" s="124" t="n">
        <f aca="false">D139/P$3</f>
        <v>0</v>
      </c>
      <c r="Q139" s="124" t="n">
        <f aca="false">E139/P$3</f>
        <v>3.26364969588099</v>
      </c>
      <c r="R139" s="124" t="n">
        <f aca="false">F139/R$3</f>
        <v>0</v>
      </c>
      <c r="S139" s="126" t="n">
        <f aca="false">J139/$R$3</f>
        <v>0</v>
      </c>
      <c r="T139" s="126" t="n">
        <f aca="false">L139/$R$3</f>
        <v>0</v>
      </c>
      <c r="U139" s="126" t="n">
        <f aca="false">I139/$R$3</f>
        <v>0</v>
      </c>
      <c r="V139" s="126" t="n">
        <f aca="false">M139/$R$3</f>
        <v>0</v>
      </c>
      <c r="W139" s="126" t="n">
        <f aca="false">N139/$R$3</f>
        <v>0</v>
      </c>
    </row>
    <row r="140" customFormat="false" ht="12.75" hidden="true" customHeight="false" outlineLevel="0" collapsed="false">
      <c r="A140" s="120" t="n">
        <f aca="false">A139+1</f>
        <v>37026</v>
      </c>
      <c r="B140" s="131" t="str">
        <f aca="false">INDEX('Master Data'!$A$2:$B$8,MATCH(WEEKDAY('SC Total Gas'!A140,3),'Master Data'!$A$2:$A$8,0),2)</f>
        <v>T</v>
      </c>
      <c r="D140" s="124" t="n">
        <v>0</v>
      </c>
      <c r="E140" s="124" t="n">
        <v>3264815.59225798</v>
      </c>
      <c r="F140" s="124" t="n">
        <v>0</v>
      </c>
      <c r="G140" s="124" t="n">
        <v>0</v>
      </c>
      <c r="I140" s="124" t="n">
        <f aca="false">IF(MONTH($A140)=MONTH($A139),IF(G140=0,I139,G140),G140)</f>
        <v>0</v>
      </c>
      <c r="J140" s="124" t="n">
        <f aca="false">IF(MONTH($A140)=MONTH($A139),SUM(I140-I139),I140)</f>
        <v>0</v>
      </c>
      <c r="K140" s="124" t="n">
        <f aca="false">IF(WEEKDAY(A140,3)&gt;4,0,(IF(A140&lt;K$2,0,IF(A140&lt;=K$3,1,0))))</f>
        <v>0</v>
      </c>
      <c r="L140" s="124" t="n">
        <f aca="false">J140*K140</f>
        <v>0</v>
      </c>
      <c r="M140" s="124" t="n">
        <f aca="false">SUM(J$97:J140)</f>
        <v>0</v>
      </c>
      <c r="N140" s="124" t="n">
        <f aca="false">SUM(J$6:J140)</f>
        <v>0</v>
      </c>
      <c r="P140" s="124" t="n">
        <f aca="false">D140/P$3</f>
        <v>0</v>
      </c>
      <c r="Q140" s="124" t="n">
        <f aca="false">E140/P$3</f>
        <v>3.26481559225798</v>
      </c>
      <c r="R140" s="124" t="n">
        <f aca="false">F140/R$3</f>
        <v>0</v>
      </c>
      <c r="S140" s="126" t="n">
        <f aca="false">J140/$R$3</f>
        <v>0</v>
      </c>
      <c r="T140" s="126" t="n">
        <f aca="false">L140/$R$3</f>
        <v>0</v>
      </c>
      <c r="U140" s="126" t="n">
        <f aca="false">I140/$R$3</f>
        <v>0</v>
      </c>
      <c r="V140" s="126" t="n">
        <f aca="false">M140/$R$3</f>
        <v>0</v>
      </c>
      <c r="W140" s="126" t="n">
        <f aca="false">N140/$R$3</f>
        <v>0</v>
      </c>
    </row>
    <row r="141" customFormat="false" ht="12.75" hidden="true" customHeight="false" outlineLevel="0" collapsed="false">
      <c r="A141" s="120" t="n">
        <f aca="false">A140+1</f>
        <v>37027</v>
      </c>
      <c r="B141" s="131" t="str">
        <f aca="false">INDEX('Master Data'!$A$2:$B$8,MATCH(WEEKDAY('SC Total Gas'!A141,3),'Master Data'!$A$2:$A$8,0),2)</f>
        <v>W</v>
      </c>
      <c r="D141" s="124" t="n">
        <v>0</v>
      </c>
      <c r="E141" s="124" t="n">
        <v>3267487.60470618</v>
      </c>
      <c r="F141" s="124" t="n">
        <v>0</v>
      </c>
      <c r="G141" s="124" t="n">
        <v>0</v>
      </c>
      <c r="I141" s="124" t="n">
        <f aca="false">IF(MONTH($A141)=MONTH($A140),IF(G141=0,I140,G141),G141)</f>
        <v>0</v>
      </c>
      <c r="J141" s="124" t="n">
        <f aca="false">IF(MONTH($A141)=MONTH($A140),SUM(I141-I140),I141)</f>
        <v>0</v>
      </c>
      <c r="K141" s="124" t="n">
        <f aca="false">IF(WEEKDAY(A141,3)&gt;4,0,(IF(A141&lt;K$2,0,IF(A141&lt;=K$3,1,0))))</f>
        <v>0</v>
      </c>
      <c r="L141" s="124" t="n">
        <f aca="false">J141*K141</f>
        <v>0</v>
      </c>
      <c r="M141" s="124" t="n">
        <f aca="false">SUM(J$97:J141)</f>
        <v>0</v>
      </c>
      <c r="N141" s="124" t="n">
        <f aca="false">SUM(J$6:J141)</f>
        <v>0</v>
      </c>
      <c r="P141" s="124" t="n">
        <f aca="false">D141/P$3</f>
        <v>0</v>
      </c>
      <c r="Q141" s="124" t="n">
        <f aca="false">E141/P$3</f>
        <v>3.26748760470618</v>
      </c>
      <c r="R141" s="124" t="n">
        <f aca="false">F141/R$3</f>
        <v>0</v>
      </c>
      <c r="S141" s="126" t="n">
        <f aca="false">J141/$R$3</f>
        <v>0</v>
      </c>
      <c r="T141" s="126" t="n">
        <f aca="false">L141/$R$3</f>
        <v>0</v>
      </c>
      <c r="U141" s="126" t="n">
        <f aca="false">I141/$R$3</f>
        <v>0</v>
      </c>
      <c r="V141" s="126" t="n">
        <f aca="false">M141/$R$3</f>
        <v>0</v>
      </c>
      <c r="W141" s="126" t="n">
        <f aca="false">N141/$R$3</f>
        <v>0</v>
      </c>
    </row>
    <row r="142" customFormat="false" ht="12.75" hidden="true" customHeight="false" outlineLevel="0" collapsed="false">
      <c r="A142" s="120" t="n">
        <f aca="false">A141+1</f>
        <v>37028</v>
      </c>
      <c r="B142" s="131" t="str">
        <f aca="false">INDEX('Master Data'!$A$2:$B$8,MATCH(WEEKDAY('SC Total Gas'!A142,3),'Master Data'!$A$2:$A$8,0),2)</f>
        <v>Th</v>
      </c>
      <c r="D142" s="124" t="n">
        <v>0</v>
      </c>
      <c r="E142" s="124" t="n">
        <v>3262081.56501441</v>
      </c>
      <c r="F142" s="124" t="n">
        <v>0</v>
      </c>
      <c r="G142" s="124" t="n">
        <v>0</v>
      </c>
      <c r="I142" s="124" t="n">
        <f aca="false">IF(MONTH($A142)=MONTH($A141),IF(G142=0,I141,G142),G142)</f>
        <v>0</v>
      </c>
      <c r="J142" s="124" t="n">
        <f aca="false">IF(MONTH($A142)=MONTH($A141),SUM(I142-I141),I142)</f>
        <v>0</v>
      </c>
      <c r="K142" s="124" t="n">
        <f aca="false">IF(WEEKDAY(A142,3)&gt;4,0,(IF(A142&lt;K$2,0,IF(A142&lt;=K$3,1,0))))</f>
        <v>0</v>
      </c>
      <c r="L142" s="124" t="n">
        <f aca="false">J142*K142</f>
        <v>0</v>
      </c>
      <c r="M142" s="124" t="n">
        <f aca="false">SUM(J$97:J142)</f>
        <v>0</v>
      </c>
      <c r="N142" s="124" t="n">
        <f aca="false">SUM(J$6:J142)</f>
        <v>0</v>
      </c>
      <c r="P142" s="124" t="n">
        <f aca="false">D142/P$3</f>
        <v>0</v>
      </c>
      <c r="Q142" s="124" t="n">
        <f aca="false">E142/P$3</f>
        <v>3.26208156501441</v>
      </c>
      <c r="R142" s="124" t="n">
        <f aca="false">F142/R$3</f>
        <v>0</v>
      </c>
      <c r="S142" s="126" t="n">
        <f aca="false">J142/$R$3</f>
        <v>0</v>
      </c>
      <c r="T142" s="126" t="n">
        <f aca="false">L142/$R$3</f>
        <v>0</v>
      </c>
      <c r="U142" s="126" t="n">
        <f aca="false">I142/$R$3</f>
        <v>0</v>
      </c>
      <c r="V142" s="126" t="n">
        <f aca="false">M142/$R$3</f>
        <v>0</v>
      </c>
      <c r="W142" s="126" t="n">
        <f aca="false">N142/$R$3</f>
        <v>0</v>
      </c>
    </row>
    <row r="143" customFormat="false" ht="12.75" hidden="true" customHeight="false" outlineLevel="0" collapsed="false">
      <c r="A143" s="120" t="n">
        <f aca="false">A142+1</f>
        <v>37029</v>
      </c>
      <c r="B143" s="131" t="str">
        <f aca="false">INDEX('Master Data'!$A$2:$B$8,MATCH(WEEKDAY('SC Total Gas'!A143,3),'Master Data'!$A$2:$A$8,0),2)</f>
        <v>F</v>
      </c>
      <c r="D143" s="124" t="n">
        <v>0</v>
      </c>
      <c r="E143" s="124" t="n">
        <v>3260006.21898931</v>
      </c>
      <c r="F143" s="124" t="n">
        <v>0</v>
      </c>
      <c r="G143" s="124" t="n">
        <v>0</v>
      </c>
      <c r="I143" s="124" t="n">
        <f aca="false">IF(MONTH($A143)=MONTH($A142),IF(G143=0,I142,G143),G143)</f>
        <v>0</v>
      </c>
      <c r="J143" s="124" t="n">
        <f aca="false">IF(MONTH($A143)=MONTH($A142),SUM(I143-I142),I143)</f>
        <v>0</v>
      </c>
      <c r="K143" s="124" t="n">
        <f aca="false">IF(WEEKDAY(A143,3)&gt;4,0,(IF(A143&lt;K$2,0,IF(A143&lt;=K$3,1,0))))</f>
        <v>0</v>
      </c>
      <c r="L143" s="124" t="n">
        <f aca="false">J143*K143</f>
        <v>0</v>
      </c>
      <c r="M143" s="124" t="n">
        <f aca="false">SUM(J$97:J143)</f>
        <v>0</v>
      </c>
      <c r="N143" s="124" t="n">
        <f aca="false">SUM(J$6:J143)</f>
        <v>0</v>
      </c>
      <c r="P143" s="124" t="n">
        <f aca="false">D143/P$3</f>
        <v>0</v>
      </c>
      <c r="Q143" s="124" t="n">
        <f aca="false">E143/P$3</f>
        <v>3.26000621898931</v>
      </c>
      <c r="R143" s="124" t="n">
        <f aca="false">F143/R$3</f>
        <v>0</v>
      </c>
      <c r="S143" s="126" t="n">
        <f aca="false">J143/$R$3</f>
        <v>0</v>
      </c>
      <c r="T143" s="126" t="n">
        <f aca="false">L143/$R$3</f>
        <v>0</v>
      </c>
      <c r="U143" s="126" t="n">
        <f aca="false">I143/$R$3</f>
        <v>0</v>
      </c>
      <c r="V143" s="126" t="n">
        <f aca="false">M143/$R$3</f>
        <v>0</v>
      </c>
      <c r="W143" s="126" t="n">
        <f aca="false">N143/$R$3</f>
        <v>0</v>
      </c>
    </row>
    <row r="144" customFormat="false" ht="12.75" hidden="true" customHeight="false" outlineLevel="0" collapsed="false">
      <c r="A144" s="120" t="n">
        <f aca="false">A143+1</f>
        <v>37030</v>
      </c>
      <c r="B144" s="131" t="str">
        <f aca="false">INDEX('Master Data'!$A$2:$B$8,MATCH(WEEKDAY('SC Total Gas'!A144,3),'Master Data'!$A$2:$A$8,0),2)</f>
        <v>Sa</v>
      </c>
      <c r="D144" s="124" t="n">
        <v>0</v>
      </c>
      <c r="E144" s="124" t="n">
        <v>0</v>
      </c>
      <c r="F144" s="124" t="n">
        <v>0</v>
      </c>
      <c r="G144" s="124" t="n">
        <v>0</v>
      </c>
      <c r="I144" s="124" t="n">
        <f aca="false">IF(MONTH($A144)=MONTH($A143),IF(G144=0,I143,G144),G144)</f>
        <v>0</v>
      </c>
      <c r="J144" s="124" t="n">
        <f aca="false">IF(MONTH($A144)=MONTH($A143),SUM(I144-I143),I144)</f>
        <v>0</v>
      </c>
      <c r="K144" s="124" t="n">
        <f aca="false">IF(WEEKDAY(A144,3)&gt;4,0,(IF(A144&lt;K$2,0,IF(A144&lt;=K$3,1,0))))</f>
        <v>0</v>
      </c>
      <c r="L144" s="124" t="n">
        <f aca="false">J144*K144</f>
        <v>0</v>
      </c>
      <c r="M144" s="124" t="n">
        <f aca="false">SUM(J$97:J144)</f>
        <v>0</v>
      </c>
      <c r="N144" s="124" t="n">
        <f aca="false">SUM(J$6:J144)</f>
        <v>0</v>
      </c>
      <c r="P144" s="124" t="n">
        <f aca="false">D144/P$3</f>
        <v>0</v>
      </c>
      <c r="Q144" s="124" t="n">
        <f aca="false">E144/P$3</f>
        <v>0</v>
      </c>
      <c r="R144" s="124" t="n">
        <f aca="false">F144/R$3</f>
        <v>0</v>
      </c>
      <c r="S144" s="126" t="n">
        <f aca="false">J144/$R$3</f>
        <v>0</v>
      </c>
      <c r="T144" s="126" t="n">
        <f aca="false">L144/$R$3</f>
        <v>0</v>
      </c>
      <c r="U144" s="126" t="n">
        <f aca="false">I144/$R$3</f>
        <v>0</v>
      </c>
      <c r="V144" s="126" t="n">
        <f aca="false">M144/$R$3</f>
        <v>0</v>
      </c>
      <c r="W144" s="126" t="n">
        <f aca="false">N144/$R$3</f>
        <v>0</v>
      </c>
    </row>
    <row r="145" customFormat="false" ht="12.75" hidden="true" customHeight="false" outlineLevel="0" collapsed="false">
      <c r="A145" s="120" t="n">
        <f aca="false">A144+1</f>
        <v>37031</v>
      </c>
      <c r="B145" s="131" t="str">
        <f aca="false">INDEX('Master Data'!$A$2:$B$8,MATCH(WEEKDAY('SC Total Gas'!A145,3),'Master Data'!$A$2:$A$8,0),2)</f>
        <v>Su</v>
      </c>
      <c r="D145" s="124" t="n">
        <v>0</v>
      </c>
      <c r="E145" s="124" t="n">
        <v>0</v>
      </c>
      <c r="F145" s="124" t="n">
        <v>0</v>
      </c>
      <c r="G145" s="124" t="n">
        <v>0</v>
      </c>
      <c r="I145" s="124" t="n">
        <f aca="false">IF(MONTH($A145)=MONTH($A144),IF(G145=0,I144,G145),G145)</f>
        <v>0</v>
      </c>
      <c r="J145" s="124" t="n">
        <f aca="false">IF(MONTH($A145)=MONTH($A144),SUM(I145-I144),I145)</f>
        <v>0</v>
      </c>
      <c r="K145" s="124" t="n">
        <f aca="false">IF(WEEKDAY(A145,3)&gt;4,0,(IF(A145&lt;K$2,0,IF(A145&lt;=K$3,1,0))))</f>
        <v>0</v>
      </c>
      <c r="L145" s="124" t="n">
        <f aca="false">J145*K145</f>
        <v>0</v>
      </c>
      <c r="M145" s="124" t="n">
        <f aca="false">SUM(J$97:J145)</f>
        <v>0</v>
      </c>
      <c r="N145" s="124" t="n">
        <f aca="false">SUM(J$6:J145)</f>
        <v>0</v>
      </c>
      <c r="P145" s="124" t="n">
        <f aca="false">D145/P$3</f>
        <v>0</v>
      </c>
      <c r="Q145" s="124" t="n">
        <f aca="false">E145/P$3</f>
        <v>0</v>
      </c>
      <c r="R145" s="124" t="n">
        <f aca="false">F145/R$3</f>
        <v>0</v>
      </c>
      <c r="S145" s="126" t="n">
        <f aca="false">J145/$R$3</f>
        <v>0</v>
      </c>
      <c r="T145" s="126" t="n">
        <f aca="false">L145/$R$3</f>
        <v>0</v>
      </c>
      <c r="U145" s="126" t="n">
        <f aca="false">I145/$R$3</f>
        <v>0</v>
      </c>
      <c r="V145" s="126" t="n">
        <f aca="false">M145/$R$3</f>
        <v>0</v>
      </c>
      <c r="W145" s="126" t="n">
        <f aca="false">N145/$R$3</f>
        <v>0</v>
      </c>
    </row>
    <row r="146" customFormat="false" ht="12.75" hidden="true" customHeight="false" outlineLevel="0" collapsed="false">
      <c r="A146" s="120" t="n">
        <f aca="false">A145+1</f>
        <v>37032</v>
      </c>
      <c r="B146" s="131" t="str">
        <f aca="false">INDEX('Master Data'!$A$2:$B$8,MATCH(WEEKDAY('SC Total Gas'!A146,3),'Master Data'!$A$2:$A$8,0),2)</f>
        <v>M</v>
      </c>
      <c r="D146" s="124" t="n">
        <v>0</v>
      </c>
      <c r="E146" s="124" t="n">
        <v>3260573.62090765</v>
      </c>
      <c r="F146" s="124" t="n">
        <v>0</v>
      </c>
      <c r="G146" s="124" t="n">
        <v>0</v>
      </c>
      <c r="I146" s="124" t="n">
        <f aca="false">IF(MONTH($A146)=MONTH($A145),IF(G146=0,I145,G146),G146)</f>
        <v>0</v>
      </c>
      <c r="J146" s="124" t="n">
        <f aca="false">IF(MONTH($A146)=MONTH($A145),SUM(I146-I145),I146)</f>
        <v>0</v>
      </c>
      <c r="K146" s="124" t="n">
        <f aca="false">IF(WEEKDAY(A146,3)&gt;4,0,(IF(A146&lt;K$2,0,IF(A146&lt;=K$3,1,0))))</f>
        <v>0</v>
      </c>
      <c r="L146" s="124" t="n">
        <f aca="false">J146*K146</f>
        <v>0</v>
      </c>
      <c r="M146" s="124" t="n">
        <f aca="false">SUM(J$97:J146)</f>
        <v>0</v>
      </c>
      <c r="N146" s="124" t="n">
        <f aca="false">SUM(J$6:J146)</f>
        <v>0</v>
      </c>
      <c r="P146" s="124" t="n">
        <f aca="false">D146/P$3</f>
        <v>0</v>
      </c>
      <c r="Q146" s="124" t="n">
        <f aca="false">E146/P$3</f>
        <v>3.26057362090765</v>
      </c>
      <c r="R146" s="124" t="n">
        <f aca="false">F146/R$3</f>
        <v>0</v>
      </c>
      <c r="S146" s="126" t="n">
        <f aca="false">J146/$R$3</f>
        <v>0</v>
      </c>
      <c r="T146" s="126" t="n">
        <f aca="false">L146/$R$3</f>
        <v>0</v>
      </c>
      <c r="U146" s="126" t="n">
        <f aca="false">I146/$R$3</f>
        <v>0</v>
      </c>
      <c r="V146" s="126" t="n">
        <f aca="false">M146/$R$3</f>
        <v>0</v>
      </c>
      <c r="W146" s="126" t="n">
        <f aca="false">N146/$R$3</f>
        <v>0</v>
      </c>
    </row>
    <row r="147" customFormat="false" ht="12.75" hidden="true" customHeight="false" outlineLevel="0" collapsed="false">
      <c r="A147" s="120" t="n">
        <f aca="false">A146+1</f>
        <v>37033</v>
      </c>
      <c r="B147" s="131" t="str">
        <f aca="false">INDEX('Master Data'!$A$2:$B$8,MATCH(WEEKDAY('SC Total Gas'!A147,3),'Master Data'!$A$2:$A$8,0),2)</f>
        <v>T</v>
      </c>
      <c r="D147" s="124" t="n">
        <v>0</v>
      </c>
      <c r="E147" s="124" t="n">
        <v>3264021.990519</v>
      </c>
      <c r="F147" s="124" t="n">
        <v>0</v>
      </c>
      <c r="G147" s="124" t="n">
        <v>0</v>
      </c>
      <c r="I147" s="124" t="n">
        <f aca="false">IF(MONTH($A147)=MONTH($A146),IF(G147=0,I146,G147),G147)</f>
        <v>0</v>
      </c>
      <c r="J147" s="124" t="n">
        <f aca="false">IF(MONTH($A147)=MONTH($A146),SUM(I147-I146),I147)</f>
        <v>0</v>
      </c>
      <c r="K147" s="124" t="n">
        <f aca="false">IF(WEEKDAY(A147,3)&gt;4,0,(IF(A147&lt;K$2,0,IF(A147&lt;=K$3,1,0))))</f>
        <v>0</v>
      </c>
      <c r="L147" s="124" t="n">
        <f aca="false">J147*K147</f>
        <v>0</v>
      </c>
      <c r="M147" s="124" t="n">
        <f aca="false">SUM(J$97:J147)</f>
        <v>0</v>
      </c>
      <c r="N147" s="124" t="n">
        <f aca="false">SUM(J$6:J147)</f>
        <v>0</v>
      </c>
      <c r="P147" s="124" t="n">
        <f aca="false">D147/P$3</f>
        <v>0</v>
      </c>
      <c r="Q147" s="124" t="n">
        <f aca="false">E147/P$3</f>
        <v>3.264021990519</v>
      </c>
      <c r="R147" s="124" t="n">
        <f aca="false">F147/R$3</f>
        <v>0</v>
      </c>
      <c r="S147" s="126" t="n">
        <f aca="false">J147/$R$3</f>
        <v>0</v>
      </c>
      <c r="T147" s="126" t="n">
        <f aca="false">L147/$R$3</f>
        <v>0</v>
      </c>
      <c r="U147" s="126" t="n">
        <f aca="false">I147/$R$3</f>
        <v>0</v>
      </c>
      <c r="V147" s="126" t="n">
        <f aca="false">M147/$R$3</f>
        <v>0</v>
      </c>
      <c r="W147" s="126" t="n">
        <f aca="false">N147/$R$3</f>
        <v>0</v>
      </c>
    </row>
    <row r="148" customFormat="false" ht="12.75" hidden="true" customHeight="false" outlineLevel="0" collapsed="false">
      <c r="A148" s="120" t="n">
        <f aca="false">A147+1</f>
        <v>37034</v>
      </c>
      <c r="B148" s="131" t="str">
        <f aca="false">INDEX('Master Data'!$A$2:$B$8,MATCH(WEEKDAY('SC Total Gas'!A148,3),'Master Data'!$A$2:$A$8,0),2)</f>
        <v>W</v>
      </c>
      <c r="D148" s="124" t="n">
        <v>0</v>
      </c>
      <c r="E148" s="124" t="n">
        <v>3268310.17652595</v>
      </c>
      <c r="F148" s="124" t="n">
        <v>0</v>
      </c>
      <c r="G148" s="124" t="n">
        <v>0</v>
      </c>
      <c r="I148" s="124" t="n">
        <f aca="false">IF(MONTH($A148)=MONTH($A147),IF(G148=0,I147,G148),G148)</f>
        <v>0</v>
      </c>
      <c r="J148" s="124" t="n">
        <f aca="false">IF(MONTH($A148)=MONTH($A147),SUM(I148-I147),I148)</f>
        <v>0</v>
      </c>
      <c r="K148" s="124" t="n">
        <f aca="false">IF(WEEKDAY(A148,3)&gt;4,0,(IF(A148&lt;K$2,0,IF(A148&lt;=K$3,1,0))))</f>
        <v>0</v>
      </c>
      <c r="L148" s="124" t="n">
        <f aca="false">J148*K148</f>
        <v>0</v>
      </c>
      <c r="M148" s="124" t="n">
        <f aca="false">SUM(J$97:J148)</f>
        <v>0</v>
      </c>
      <c r="N148" s="124" t="n">
        <f aca="false">SUM(J$6:J148)</f>
        <v>0</v>
      </c>
      <c r="P148" s="124" t="n">
        <f aca="false">D148/P$3</f>
        <v>0</v>
      </c>
      <c r="Q148" s="124" t="n">
        <f aca="false">E148/P$3</f>
        <v>3.26831017652595</v>
      </c>
      <c r="R148" s="124" t="n">
        <f aca="false">F148/R$3</f>
        <v>0</v>
      </c>
      <c r="S148" s="126" t="n">
        <f aca="false">J148/$R$3</f>
        <v>0</v>
      </c>
      <c r="T148" s="126" t="n">
        <f aca="false">L148/$R$3</f>
        <v>0</v>
      </c>
      <c r="U148" s="126" t="n">
        <f aca="false">I148/$R$3</f>
        <v>0</v>
      </c>
      <c r="V148" s="126" t="n">
        <f aca="false">M148/$R$3</f>
        <v>0</v>
      </c>
      <c r="W148" s="126" t="n">
        <f aca="false">N148/$R$3</f>
        <v>0</v>
      </c>
    </row>
    <row r="149" customFormat="false" ht="12.75" hidden="true" customHeight="false" outlineLevel="0" collapsed="false">
      <c r="A149" s="120" t="n">
        <f aca="false">A148+1</f>
        <v>37035</v>
      </c>
      <c r="B149" s="131" t="str">
        <f aca="false">INDEX('Master Data'!$A$2:$B$8,MATCH(WEEKDAY('SC Total Gas'!A149,3),'Master Data'!$A$2:$A$8,0),2)</f>
        <v>Th</v>
      </c>
      <c r="D149" s="124" t="n">
        <v>0</v>
      </c>
      <c r="E149" s="124" t="n">
        <v>3262030.01195366</v>
      </c>
      <c r="F149" s="124" t="n">
        <v>0</v>
      </c>
      <c r="G149" s="124" t="n">
        <v>0</v>
      </c>
      <c r="I149" s="124" t="n">
        <f aca="false">IF(MONTH($A149)=MONTH($A148),IF(G149=0,I148,G149),G149)</f>
        <v>0</v>
      </c>
      <c r="J149" s="124" t="n">
        <f aca="false">IF(MONTH($A149)=MONTH($A148),SUM(I149-I148),I149)</f>
        <v>0</v>
      </c>
      <c r="K149" s="124" t="n">
        <f aca="false">IF(WEEKDAY(A149,3)&gt;4,0,(IF(A149&lt;K$2,0,IF(A149&lt;=K$3,1,0))))</f>
        <v>0</v>
      </c>
      <c r="L149" s="124" t="n">
        <f aca="false">J149*K149</f>
        <v>0</v>
      </c>
      <c r="M149" s="124" t="n">
        <f aca="false">SUM(J$97:J149)</f>
        <v>0</v>
      </c>
      <c r="N149" s="124" t="n">
        <f aca="false">SUM(J$6:J149)</f>
        <v>0</v>
      </c>
      <c r="P149" s="124" t="n">
        <f aca="false">D149/P$3</f>
        <v>0</v>
      </c>
      <c r="Q149" s="124" t="n">
        <f aca="false">E149/P$3</f>
        <v>3.26203001195366</v>
      </c>
      <c r="R149" s="124" t="n">
        <f aca="false">F149/R$3</f>
        <v>0</v>
      </c>
      <c r="S149" s="126" t="n">
        <f aca="false">J149/$R$3</f>
        <v>0</v>
      </c>
      <c r="T149" s="126" t="n">
        <f aca="false">L149/$R$3</f>
        <v>0</v>
      </c>
      <c r="U149" s="126" t="n">
        <f aca="false">I149/$R$3</f>
        <v>0</v>
      </c>
      <c r="V149" s="126" t="n">
        <f aca="false">M149/$R$3</f>
        <v>0</v>
      </c>
      <c r="W149" s="126" t="n">
        <f aca="false">N149/$R$3</f>
        <v>0</v>
      </c>
    </row>
    <row r="150" customFormat="false" ht="12.75" hidden="true" customHeight="false" outlineLevel="0" collapsed="false">
      <c r="A150" s="120" t="n">
        <f aca="false">A149+1</f>
        <v>37036</v>
      </c>
      <c r="B150" s="131" t="str">
        <f aca="false">INDEX('Master Data'!$A$2:$B$8,MATCH(WEEKDAY('SC Total Gas'!A150,3),'Master Data'!$A$2:$A$8,0),2)</f>
        <v>F</v>
      </c>
      <c r="D150" s="124" t="n">
        <v>0</v>
      </c>
      <c r="E150" s="124" t="n">
        <v>3263882.5847219</v>
      </c>
      <c r="F150" s="124" t="n">
        <v>0</v>
      </c>
      <c r="G150" s="124" t="n">
        <v>0</v>
      </c>
      <c r="I150" s="124" t="n">
        <f aca="false">IF(MONTH($A150)=MONTH($A149),IF(G150=0,I149,G150),G150)</f>
        <v>0</v>
      </c>
      <c r="J150" s="124" t="n">
        <f aca="false">IF(MONTH($A150)=MONTH($A149),SUM(I150-I149),I150)</f>
        <v>0</v>
      </c>
      <c r="K150" s="124" t="n">
        <f aca="false">IF(WEEKDAY(A150,3)&gt;4,0,(IF(A150&lt;K$2,0,IF(A150&lt;=K$3,1,0))))</f>
        <v>0</v>
      </c>
      <c r="L150" s="124" t="n">
        <f aca="false">J150*K150</f>
        <v>0</v>
      </c>
      <c r="M150" s="124" t="n">
        <f aca="false">SUM(J$97:J150)</f>
        <v>0</v>
      </c>
      <c r="N150" s="124" t="n">
        <f aca="false">SUM(J$6:J150)</f>
        <v>0</v>
      </c>
      <c r="P150" s="124" t="n">
        <f aca="false">D150/P$3</f>
        <v>0</v>
      </c>
      <c r="Q150" s="124" t="n">
        <f aca="false">E150/P$3</f>
        <v>3.2638825847219</v>
      </c>
      <c r="R150" s="124" t="n">
        <f aca="false">F150/R$3</f>
        <v>0</v>
      </c>
      <c r="S150" s="126" t="n">
        <f aca="false">J150/$R$3</f>
        <v>0</v>
      </c>
      <c r="T150" s="126" t="n">
        <f aca="false">L150/$R$3</f>
        <v>0</v>
      </c>
      <c r="U150" s="126" t="n">
        <f aca="false">I150/$R$3</f>
        <v>0</v>
      </c>
      <c r="V150" s="126" t="n">
        <f aca="false">M150/$R$3</f>
        <v>0</v>
      </c>
      <c r="W150" s="126" t="n">
        <f aca="false">N150/$R$3</f>
        <v>0</v>
      </c>
    </row>
    <row r="151" customFormat="false" ht="12.75" hidden="true" customHeight="false" outlineLevel="0" collapsed="false">
      <c r="A151" s="120" t="n">
        <f aca="false">A150+1</f>
        <v>37037</v>
      </c>
      <c r="B151" s="131" t="str">
        <f aca="false">INDEX('Master Data'!$A$2:$B$8,MATCH(WEEKDAY('SC Total Gas'!A151,3),'Master Data'!$A$2:$A$8,0),2)</f>
        <v>Sa</v>
      </c>
      <c r="D151" s="124" t="n">
        <v>0</v>
      </c>
      <c r="E151" s="124" t="n">
        <v>0</v>
      </c>
      <c r="F151" s="124" t="n">
        <v>0</v>
      </c>
      <c r="G151" s="124" t="n">
        <v>0</v>
      </c>
      <c r="I151" s="124" t="n">
        <f aca="false">IF(MONTH($A151)=MONTH($A150),IF(G151=0,I150,G151),G151)</f>
        <v>0</v>
      </c>
      <c r="J151" s="124" t="n">
        <f aca="false">IF(MONTH($A151)=MONTH($A150),SUM(I151-I150),I151)</f>
        <v>0</v>
      </c>
      <c r="K151" s="124" t="n">
        <f aca="false">IF(WEEKDAY(A151,3)&gt;4,0,(IF(A151&lt;K$2,0,IF(A151&lt;=K$3,1,0))))</f>
        <v>0</v>
      </c>
      <c r="L151" s="124" t="n">
        <f aca="false">J151*K151</f>
        <v>0</v>
      </c>
      <c r="M151" s="124" t="n">
        <f aca="false">SUM(J$97:J151)</f>
        <v>0</v>
      </c>
      <c r="N151" s="124" t="n">
        <f aca="false">SUM(J$6:J151)</f>
        <v>0</v>
      </c>
      <c r="P151" s="124" t="n">
        <f aca="false">D151/P$3</f>
        <v>0</v>
      </c>
      <c r="Q151" s="124" t="n">
        <f aca="false">E151/P$3</f>
        <v>0</v>
      </c>
      <c r="R151" s="124" t="n">
        <f aca="false">F151/R$3</f>
        <v>0</v>
      </c>
      <c r="S151" s="126" t="n">
        <f aca="false">J151/$R$3</f>
        <v>0</v>
      </c>
      <c r="T151" s="126" t="n">
        <f aca="false">L151/$R$3</f>
        <v>0</v>
      </c>
      <c r="U151" s="126" t="n">
        <f aca="false">I151/$R$3</f>
        <v>0</v>
      </c>
      <c r="V151" s="126" t="n">
        <f aca="false">M151/$R$3</f>
        <v>0</v>
      </c>
      <c r="W151" s="126" t="n">
        <f aca="false">N151/$R$3</f>
        <v>0</v>
      </c>
    </row>
    <row r="152" customFormat="false" ht="12.75" hidden="true" customHeight="false" outlineLevel="0" collapsed="false">
      <c r="A152" s="120" t="n">
        <f aca="false">A151+1</f>
        <v>37038</v>
      </c>
      <c r="B152" s="131" t="str">
        <f aca="false">INDEX('Master Data'!$A$2:$B$8,MATCH(WEEKDAY('SC Total Gas'!A152,3),'Master Data'!$A$2:$A$8,0),2)</f>
        <v>Su</v>
      </c>
      <c r="D152" s="124" t="n">
        <v>0</v>
      </c>
      <c r="E152" s="124" t="n">
        <v>0</v>
      </c>
      <c r="F152" s="124" t="n">
        <v>0</v>
      </c>
      <c r="G152" s="124" t="n">
        <v>0</v>
      </c>
      <c r="I152" s="124" t="n">
        <f aca="false">IF(MONTH($A152)=MONTH($A151),IF(G152=0,I151,G152),G152)</f>
        <v>0</v>
      </c>
      <c r="J152" s="124" t="n">
        <f aca="false">IF(MONTH($A152)=MONTH($A151),SUM(I152-I151),I152)</f>
        <v>0</v>
      </c>
      <c r="K152" s="124" t="n">
        <f aca="false">IF(WEEKDAY(A152,3)&gt;4,0,(IF(A152&lt;K$2,0,IF(A152&lt;=K$3,1,0))))</f>
        <v>0</v>
      </c>
      <c r="L152" s="124" t="n">
        <f aca="false">J152*K152</f>
        <v>0</v>
      </c>
      <c r="M152" s="124" t="n">
        <f aca="false">SUM(J$97:J152)</f>
        <v>0</v>
      </c>
      <c r="N152" s="124" t="n">
        <f aca="false">SUM(J$6:J152)</f>
        <v>0</v>
      </c>
      <c r="P152" s="124" t="n">
        <f aca="false">D152/P$3</f>
        <v>0</v>
      </c>
      <c r="Q152" s="124" t="n">
        <f aca="false">E152/P$3</f>
        <v>0</v>
      </c>
      <c r="R152" s="124" t="n">
        <f aca="false">F152/R$3</f>
        <v>0</v>
      </c>
      <c r="S152" s="126" t="n">
        <f aca="false">J152/$R$3</f>
        <v>0</v>
      </c>
      <c r="T152" s="126" t="n">
        <f aca="false">L152/$R$3</f>
        <v>0</v>
      </c>
      <c r="U152" s="126" t="n">
        <f aca="false">I152/$R$3</f>
        <v>0</v>
      </c>
      <c r="V152" s="126" t="n">
        <f aca="false">M152/$R$3</f>
        <v>0</v>
      </c>
      <c r="W152" s="126" t="n">
        <f aca="false">N152/$R$3</f>
        <v>0</v>
      </c>
    </row>
    <row r="153" customFormat="false" ht="12.75" hidden="true" customHeight="false" outlineLevel="0" collapsed="false">
      <c r="A153" s="120" t="n">
        <f aca="false">A152+1</f>
        <v>37039</v>
      </c>
      <c r="B153" s="131" t="str">
        <f aca="false">INDEX('Master Data'!$A$2:$B$8,MATCH(WEEKDAY('SC Total Gas'!A153,3),'Master Data'!$A$2:$A$8,0),2)</f>
        <v>M</v>
      </c>
      <c r="D153" s="124" t="n">
        <v>0</v>
      </c>
      <c r="E153" s="124" t="n">
        <v>0</v>
      </c>
      <c r="F153" s="124" t="n">
        <v>0</v>
      </c>
      <c r="G153" s="124" t="n">
        <v>0</v>
      </c>
      <c r="I153" s="124" t="n">
        <f aca="false">IF(MONTH($A153)=MONTH($A152),IF(G153=0,I152,G153),G153)</f>
        <v>0</v>
      </c>
      <c r="J153" s="124" t="n">
        <f aca="false">IF(MONTH($A153)=MONTH($A152),SUM(I153-I152),I153)</f>
        <v>0</v>
      </c>
      <c r="K153" s="124" t="n">
        <f aca="false">IF(WEEKDAY(A153,3)&gt;4,0,(IF(A153&lt;K$2,0,IF(A153&lt;=K$3,1,0))))</f>
        <v>0</v>
      </c>
      <c r="L153" s="124" t="n">
        <f aca="false">J153*K153</f>
        <v>0</v>
      </c>
      <c r="M153" s="124" t="n">
        <f aca="false">SUM(J$97:J153)</f>
        <v>0</v>
      </c>
      <c r="N153" s="124" t="n">
        <f aca="false">SUM(J$6:J153)</f>
        <v>0</v>
      </c>
      <c r="P153" s="124" t="n">
        <f aca="false">D153/P$3</f>
        <v>0</v>
      </c>
      <c r="Q153" s="124" t="n">
        <f aca="false">E153/P$3</f>
        <v>0</v>
      </c>
      <c r="R153" s="124" t="n">
        <f aca="false">F153/R$3</f>
        <v>0</v>
      </c>
      <c r="S153" s="126" t="n">
        <f aca="false">J153/$R$3</f>
        <v>0</v>
      </c>
      <c r="T153" s="126" t="n">
        <f aca="false">L153/$R$3</f>
        <v>0</v>
      </c>
      <c r="U153" s="126" t="n">
        <f aca="false">I153/$R$3</f>
        <v>0</v>
      </c>
      <c r="V153" s="126" t="n">
        <f aca="false">M153/$R$3</f>
        <v>0</v>
      </c>
      <c r="W153" s="126" t="n">
        <f aca="false">N153/$R$3</f>
        <v>0</v>
      </c>
    </row>
    <row r="154" customFormat="false" ht="12.75" hidden="true" customHeight="false" outlineLevel="0" collapsed="false">
      <c r="A154" s="120" t="n">
        <f aca="false">A153+1</f>
        <v>37040</v>
      </c>
      <c r="B154" s="131" t="str">
        <f aca="false">INDEX('Master Data'!$A$2:$B$8,MATCH(WEEKDAY('SC Total Gas'!A154,3),'Master Data'!$A$2:$A$8,0),2)</f>
        <v>T</v>
      </c>
      <c r="D154" s="124" t="n">
        <v>0</v>
      </c>
      <c r="E154" s="124" t="n">
        <v>3263711.5784775</v>
      </c>
      <c r="F154" s="124" t="n">
        <v>0</v>
      </c>
      <c r="G154" s="124" t="n">
        <v>0</v>
      </c>
      <c r="I154" s="124" t="n">
        <f aca="false">IF(MONTH($A154)=MONTH($A153),IF(G154=0,I153,G154),G154)</f>
        <v>0</v>
      </c>
      <c r="J154" s="124" t="n">
        <f aca="false">IF(MONTH($A154)=MONTH($A153),SUM(I154-I153),I154)</f>
        <v>0</v>
      </c>
      <c r="K154" s="124" t="n">
        <f aca="false">IF(WEEKDAY(A154,3)&gt;4,0,(IF(A154&lt;K$2,0,IF(A154&lt;=K$3,1,0))))</f>
        <v>0</v>
      </c>
      <c r="L154" s="124" t="n">
        <f aca="false">J154*K154</f>
        <v>0</v>
      </c>
      <c r="M154" s="124" t="n">
        <f aca="false">SUM(J$97:J154)</f>
        <v>0</v>
      </c>
      <c r="N154" s="124" t="n">
        <f aca="false">SUM(J$6:J154)</f>
        <v>0</v>
      </c>
      <c r="P154" s="124" t="n">
        <f aca="false">D154/P$3</f>
        <v>0</v>
      </c>
      <c r="Q154" s="124" t="n">
        <f aca="false">E154/P$3</f>
        <v>3.2637115784775</v>
      </c>
      <c r="R154" s="124" t="n">
        <f aca="false">F154/R$3</f>
        <v>0</v>
      </c>
      <c r="S154" s="126" t="n">
        <f aca="false">J154/$R$3</f>
        <v>0</v>
      </c>
      <c r="T154" s="126" t="n">
        <f aca="false">L154/$R$3</f>
        <v>0</v>
      </c>
      <c r="U154" s="126" t="n">
        <f aca="false">I154/$R$3</f>
        <v>0</v>
      </c>
      <c r="V154" s="126" t="n">
        <f aca="false">M154/$R$3</f>
        <v>0</v>
      </c>
      <c r="W154" s="126" t="n">
        <f aca="false">N154/$R$3</f>
        <v>0</v>
      </c>
    </row>
    <row r="155" customFormat="false" ht="12.75" hidden="true" customHeight="false" outlineLevel="0" collapsed="false">
      <c r="A155" s="120" t="n">
        <f aca="false">A154+1</f>
        <v>37041</v>
      </c>
      <c r="B155" s="131" t="str">
        <f aca="false">INDEX('Master Data'!$A$2:$B$8,MATCH(WEEKDAY('SC Total Gas'!A155,3),'Master Data'!$A$2:$A$8,0),2)</f>
        <v>W</v>
      </c>
      <c r="D155" s="124" t="n">
        <v>0</v>
      </c>
      <c r="E155" s="124" t="n">
        <v>3262796.91286264</v>
      </c>
      <c r="F155" s="124" t="n">
        <v>0</v>
      </c>
      <c r="G155" s="124" t="n">
        <v>0</v>
      </c>
      <c r="I155" s="124" t="n">
        <f aca="false">IF(MONTH($A155)=MONTH($A154),IF(G155=0,I154,G155),G155)</f>
        <v>0</v>
      </c>
      <c r="J155" s="124" t="n">
        <f aca="false">IF(MONTH($A155)=MONTH($A154),SUM(I155-I154),I155)</f>
        <v>0</v>
      </c>
      <c r="K155" s="124" t="n">
        <f aca="false">IF(WEEKDAY(A155,3)&gt;4,0,(IF(A155&lt;K$2,0,IF(A155&lt;=K$3,1,0))))</f>
        <v>0</v>
      </c>
      <c r="L155" s="124" t="n">
        <f aca="false">J155*K155</f>
        <v>0</v>
      </c>
      <c r="M155" s="124" t="n">
        <f aca="false">SUM(J$97:J155)</f>
        <v>0</v>
      </c>
      <c r="N155" s="124" t="n">
        <f aca="false">SUM(J$6:J155)</f>
        <v>0</v>
      </c>
      <c r="P155" s="124" t="n">
        <f aca="false">D155/P$3</f>
        <v>0</v>
      </c>
      <c r="Q155" s="124" t="n">
        <f aca="false">E155/P$3</f>
        <v>3.26279691286264</v>
      </c>
      <c r="R155" s="124" t="n">
        <f aca="false">F155/R$3</f>
        <v>0</v>
      </c>
      <c r="S155" s="126" t="n">
        <f aca="false">J155/$R$3</f>
        <v>0</v>
      </c>
      <c r="T155" s="126" t="n">
        <f aca="false">L155/$R$3</f>
        <v>0</v>
      </c>
      <c r="U155" s="126" t="n">
        <f aca="false">I155/$R$3</f>
        <v>0</v>
      </c>
      <c r="V155" s="126" t="n">
        <f aca="false">M155/$R$3</f>
        <v>0</v>
      </c>
      <c r="W155" s="126" t="n">
        <f aca="false">N155/$R$3</f>
        <v>0</v>
      </c>
    </row>
    <row r="156" customFormat="false" ht="12.75" hidden="false" customHeight="false" outlineLevel="0" collapsed="false">
      <c r="A156" s="120" t="n">
        <f aca="false">A155+1</f>
        <v>37042</v>
      </c>
      <c r="B156" s="131" t="str">
        <f aca="false">INDEX('Master Data'!$A$2:$B$8,MATCH(WEEKDAY('SC Total Gas'!A156,3),'Master Data'!$A$2:$A$8,0),2)</f>
        <v>Th</v>
      </c>
      <c r="D156" s="124" t="n">
        <v>0</v>
      </c>
      <c r="E156" s="124" t="n">
        <v>3285095.71878079</v>
      </c>
      <c r="F156" s="124" t="n">
        <v>0</v>
      </c>
      <c r="G156" s="124" t="n">
        <v>0</v>
      </c>
      <c r="I156" s="124" t="n">
        <f aca="false">IF(MONTH($A156)=MONTH($A155),IF(G156=0,I155,G156),G156)</f>
        <v>0</v>
      </c>
      <c r="J156" s="124" t="n">
        <f aca="false">IF(MONTH($A156)=MONTH($A155),SUM(I156-I155),I156)</f>
        <v>0</v>
      </c>
      <c r="K156" s="124" t="n">
        <f aca="false">IF(WEEKDAY(A156,3)&gt;4,0,(IF(A156&lt;K$2,0,IF(A156&lt;=K$3,1,0))))</f>
        <v>0</v>
      </c>
      <c r="L156" s="124" t="n">
        <f aca="false">J156*K156</f>
        <v>0</v>
      </c>
      <c r="M156" s="124" t="n">
        <f aca="false">SUM(J$97:J156)</f>
        <v>0</v>
      </c>
      <c r="N156" s="124" t="n">
        <f aca="false">SUM(J$6:J156)</f>
        <v>0</v>
      </c>
      <c r="P156" s="124" t="n">
        <f aca="false">D156/P$3</f>
        <v>0</v>
      </c>
      <c r="Q156" s="124" t="n">
        <f aca="false">E156/P$3</f>
        <v>3.28509571878079</v>
      </c>
      <c r="R156" s="124" t="n">
        <f aca="false">F156/R$3</f>
        <v>0</v>
      </c>
      <c r="S156" s="126" t="n">
        <f aca="false">J156/$R$3</f>
        <v>0</v>
      </c>
      <c r="T156" s="126" t="n">
        <f aca="false">L156/$R$3</f>
        <v>0</v>
      </c>
      <c r="U156" s="126" t="n">
        <f aca="false">I156/$R$3</f>
        <v>0</v>
      </c>
      <c r="V156" s="126" t="n">
        <f aca="false">M156/$R$3</f>
        <v>0</v>
      </c>
      <c r="W156" s="126" t="n">
        <f aca="false">N156/$R$3</f>
        <v>0</v>
      </c>
    </row>
    <row r="157" customFormat="false" ht="12.75" hidden="true" customHeight="false" outlineLevel="0" collapsed="false">
      <c r="A157" s="120" t="n">
        <f aca="false">A156+1</f>
        <v>37043</v>
      </c>
      <c r="B157" s="131" t="str">
        <f aca="false">INDEX('Master Data'!$A$2:$B$8,MATCH(WEEKDAY('SC Total Gas'!A157,3),'Master Data'!$A$2:$A$8,0),2)</f>
        <v>F</v>
      </c>
      <c r="D157" s="124" t="n">
        <v>0</v>
      </c>
      <c r="E157" s="124" t="n">
        <v>3278123.4982636</v>
      </c>
      <c r="F157" s="124" t="n">
        <v>0</v>
      </c>
      <c r="G157" s="124" t="n">
        <v>0</v>
      </c>
      <c r="I157" s="124" t="n">
        <f aca="false">IF(MONTH($A157)=MONTH($A156),IF(G157=0,I156,G157),G157)</f>
        <v>0</v>
      </c>
      <c r="J157" s="124" t="n">
        <f aca="false">IF(MONTH($A157)=MONTH($A156),SUM(I157-I156),I157)</f>
        <v>0</v>
      </c>
      <c r="K157" s="124" t="n">
        <f aca="false">IF(WEEKDAY(A157,3)&gt;4,0,(IF(A157&lt;K$2,0,IF(A157&lt;=K$3,1,0))))</f>
        <v>0</v>
      </c>
      <c r="L157" s="124" t="n">
        <f aca="false">J157*K157</f>
        <v>0</v>
      </c>
      <c r="M157" s="124" t="n">
        <f aca="false">SUM(J$97:J157)</f>
        <v>0</v>
      </c>
      <c r="N157" s="124" t="n">
        <f aca="false">SUM(J$6:J157)</f>
        <v>0</v>
      </c>
      <c r="P157" s="124" t="n">
        <f aca="false">D157/P$3</f>
        <v>0</v>
      </c>
      <c r="Q157" s="124" t="n">
        <f aca="false">E157/P$3</f>
        <v>3.2781234982636</v>
      </c>
      <c r="R157" s="124" t="n">
        <f aca="false">F157/R$3</f>
        <v>0</v>
      </c>
      <c r="S157" s="126" t="n">
        <f aca="false">J157/$R$3</f>
        <v>0</v>
      </c>
      <c r="T157" s="126" t="n">
        <f aca="false">L157/$R$3</f>
        <v>0</v>
      </c>
      <c r="U157" s="126" t="n">
        <f aca="false">I157/$R$3</f>
        <v>0</v>
      </c>
      <c r="V157" s="126" t="n">
        <f aca="false">M157/$R$3</f>
        <v>0</v>
      </c>
      <c r="W157" s="126" t="n">
        <f aca="false">N157/$R$3</f>
        <v>0</v>
      </c>
    </row>
    <row r="158" customFormat="false" ht="12.75" hidden="true" customHeight="false" outlineLevel="0" collapsed="false">
      <c r="A158" s="120" t="n">
        <f aca="false">A157+1</f>
        <v>37044</v>
      </c>
      <c r="B158" s="131" t="str">
        <f aca="false">INDEX('Master Data'!$A$2:$B$8,MATCH(WEEKDAY('SC Total Gas'!A158,3),'Master Data'!$A$2:$A$8,0),2)</f>
        <v>Sa</v>
      </c>
      <c r="D158" s="124" t="n">
        <v>0</v>
      </c>
      <c r="E158" s="124" t="n">
        <v>0</v>
      </c>
      <c r="F158" s="124" t="n">
        <v>0</v>
      </c>
      <c r="G158" s="124" t="n">
        <v>0</v>
      </c>
      <c r="I158" s="124" t="n">
        <f aca="false">IF(MONTH($A158)=MONTH($A157),IF(G158=0,I157,G158),G158)</f>
        <v>0</v>
      </c>
      <c r="J158" s="124" t="n">
        <f aca="false">IF(MONTH($A158)=MONTH($A157),SUM(I158-I157),I158)</f>
        <v>0</v>
      </c>
      <c r="K158" s="124" t="n">
        <f aca="false">IF(WEEKDAY(A158,3)&gt;4,0,(IF(A158&lt;K$2,0,IF(A158&lt;=K$3,1,0))))</f>
        <v>0</v>
      </c>
      <c r="L158" s="124" t="n">
        <f aca="false">J158*K158</f>
        <v>0</v>
      </c>
      <c r="M158" s="124" t="n">
        <f aca="false">SUM(J$97:J158)</f>
        <v>0</v>
      </c>
      <c r="N158" s="124" t="n">
        <f aca="false">SUM(J$6:J158)</f>
        <v>0</v>
      </c>
      <c r="P158" s="124" t="n">
        <f aca="false">D158/P$3</f>
        <v>0</v>
      </c>
      <c r="Q158" s="124" t="n">
        <f aca="false">E158/P$3</f>
        <v>0</v>
      </c>
      <c r="R158" s="124" t="n">
        <f aca="false">F158/R$3</f>
        <v>0</v>
      </c>
      <c r="S158" s="126" t="n">
        <f aca="false">J158/$R$3</f>
        <v>0</v>
      </c>
      <c r="T158" s="126" t="n">
        <f aca="false">L158/$R$3</f>
        <v>0</v>
      </c>
      <c r="U158" s="126" t="n">
        <f aca="false">I158/$R$3</f>
        <v>0</v>
      </c>
      <c r="V158" s="126" t="n">
        <f aca="false">M158/$R$3</f>
        <v>0</v>
      </c>
      <c r="W158" s="126" t="n">
        <f aca="false">N158/$R$3</f>
        <v>0</v>
      </c>
    </row>
    <row r="159" customFormat="false" ht="12.75" hidden="true" customHeight="false" outlineLevel="0" collapsed="false">
      <c r="A159" s="120" t="n">
        <f aca="false">A158+1</f>
        <v>37045</v>
      </c>
      <c r="B159" s="131" t="str">
        <f aca="false">INDEX('Master Data'!$A$2:$B$8,MATCH(WEEKDAY('SC Total Gas'!A159,3),'Master Data'!$A$2:$A$8,0),2)</f>
        <v>Su</v>
      </c>
      <c r="D159" s="124" t="n">
        <v>0</v>
      </c>
      <c r="E159" s="124" t="n">
        <v>0</v>
      </c>
      <c r="F159" s="124" t="n">
        <v>0</v>
      </c>
      <c r="G159" s="124" t="n">
        <v>0</v>
      </c>
      <c r="I159" s="124" t="n">
        <f aca="false">IF(MONTH($A159)=MONTH($A158),IF(G159=0,I158,G159),G159)</f>
        <v>0</v>
      </c>
      <c r="J159" s="124" t="n">
        <f aca="false">IF(MONTH($A159)=MONTH($A158),SUM(I159-I158),I159)</f>
        <v>0</v>
      </c>
      <c r="K159" s="124" t="n">
        <f aca="false">IF(WEEKDAY(A159,3)&gt;4,0,(IF(A159&lt;K$2,0,IF(A159&lt;=K$3,1,0))))</f>
        <v>0</v>
      </c>
      <c r="L159" s="124" t="n">
        <f aca="false">J159*K159</f>
        <v>0</v>
      </c>
      <c r="M159" s="124" t="n">
        <f aca="false">SUM(J$97:J159)</f>
        <v>0</v>
      </c>
      <c r="N159" s="124" t="n">
        <f aca="false">SUM(J$6:J159)</f>
        <v>0</v>
      </c>
      <c r="P159" s="124" t="n">
        <f aca="false">D159/P$3</f>
        <v>0</v>
      </c>
      <c r="Q159" s="124" t="n">
        <f aca="false">E159/P$3</f>
        <v>0</v>
      </c>
      <c r="R159" s="124" t="n">
        <f aca="false">F159/R$3</f>
        <v>0</v>
      </c>
      <c r="S159" s="126" t="n">
        <f aca="false">J159/$R$3</f>
        <v>0</v>
      </c>
      <c r="T159" s="126" t="n">
        <f aca="false">L159/$R$3</f>
        <v>0</v>
      </c>
      <c r="U159" s="126" t="n">
        <f aca="false">I159/$R$3</f>
        <v>0</v>
      </c>
      <c r="V159" s="126" t="n">
        <f aca="false">M159/$R$3</f>
        <v>0</v>
      </c>
      <c r="W159" s="126" t="n">
        <f aca="false">N159/$R$3</f>
        <v>0</v>
      </c>
    </row>
    <row r="160" customFormat="false" ht="12.75" hidden="true" customHeight="false" outlineLevel="0" collapsed="false">
      <c r="A160" s="120" t="n">
        <f aca="false">A159+1</f>
        <v>37046</v>
      </c>
      <c r="B160" s="131" t="str">
        <f aca="false">INDEX('Master Data'!$A$2:$B$8,MATCH(WEEKDAY('SC Total Gas'!A160,3),'Master Data'!$A$2:$A$8,0),2)</f>
        <v>M</v>
      </c>
      <c r="D160" s="124" t="n">
        <v>0</v>
      </c>
      <c r="E160" s="124" t="n">
        <v>3280462.48292571</v>
      </c>
      <c r="F160" s="124" t="n">
        <v>0</v>
      </c>
      <c r="G160" s="124" t="n">
        <v>0</v>
      </c>
      <c r="I160" s="124" t="n">
        <f aca="false">IF(MONTH($A160)=MONTH($A159),IF(G160=0,I159,G160),G160)</f>
        <v>0</v>
      </c>
      <c r="J160" s="124" t="n">
        <f aca="false">IF(MONTH($A160)=MONTH($A159),SUM(I160-I159),I160)</f>
        <v>0</v>
      </c>
      <c r="K160" s="124" t="n">
        <f aca="false">IF(WEEKDAY(A160,3)&gt;4,0,(IF(A160&lt;K$2,0,IF(A160&lt;=K$3,1,0))))</f>
        <v>0</v>
      </c>
      <c r="L160" s="124" t="n">
        <f aca="false">J160*K160</f>
        <v>0</v>
      </c>
      <c r="M160" s="124" t="n">
        <f aca="false">SUM(J$97:J160)</f>
        <v>0</v>
      </c>
      <c r="N160" s="124" t="n">
        <f aca="false">SUM(J$6:J160)</f>
        <v>0</v>
      </c>
      <c r="P160" s="124" t="n">
        <f aca="false">D160/P$3</f>
        <v>0</v>
      </c>
      <c r="Q160" s="124" t="n">
        <f aca="false">E160/P$3</f>
        <v>3.28046248292571</v>
      </c>
      <c r="R160" s="124" t="n">
        <f aca="false">F160/R$3</f>
        <v>0</v>
      </c>
      <c r="S160" s="126" t="n">
        <f aca="false">J160/$R$3</f>
        <v>0</v>
      </c>
      <c r="T160" s="126" t="n">
        <f aca="false">L160/$R$3</f>
        <v>0</v>
      </c>
      <c r="U160" s="126" t="n">
        <f aca="false">I160/$R$3</f>
        <v>0</v>
      </c>
      <c r="V160" s="126" t="n">
        <f aca="false">M160/$R$3</f>
        <v>0</v>
      </c>
      <c r="W160" s="126" t="n">
        <f aca="false">N160/$R$3</f>
        <v>0</v>
      </c>
    </row>
    <row r="161" customFormat="false" ht="12.75" hidden="true" customHeight="false" outlineLevel="0" collapsed="false">
      <c r="A161" s="120" t="n">
        <f aca="false">A160+1</f>
        <v>37047</v>
      </c>
      <c r="B161" s="131" t="str">
        <f aca="false">INDEX('Master Data'!$A$2:$B$8,MATCH(WEEKDAY('SC Total Gas'!A161,3),'Master Data'!$A$2:$A$8,0),2)</f>
        <v>T</v>
      </c>
      <c r="D161" s="124" t="n">
        <v>0</v>
      </c>
      <c r="E161" s="124" t="n">
        <v>3287799.56772327</v>
      </c>
      <c r="F161" s="124" t="n">
        <v>0</v>
      </c>
      <c r="G161" s="124" t="n">
        <v>0</v>
      </c>
      <c r="I161" s="124" t="n">
        <f aca="false">IF(MONTH($A161)=MONTH($A160),IF(G161=0,I160,G161),G161)</f>
        <v>0</v>
      </c>
      <c r="J161" s="124" t="n">
        <f aca="false">IF(MONTH($A161)=MONTH($A160),SUM(I161-I160),I161)</f>
        <v>0</v>
      </c>
      <c r="K161" s="124" t="n">
        <f aca="false">IF(WEEKDAY(A161,3)&gt;4,0,(IF(A161&lt;K$2,0,IF(A161&lt;=K$3,1,0))))</f>
        <v>0</v>
      </c>
      <c r="L161" s="124" t="n">
        <f aca="false">J161*K161</f>
        <v>0</v>
      </c>
      <c r="M161" s="124" t="n">
        <f aca="false">SUM(J$97:J161)</f>
        <v>0</v>
      </c>
      <c r="N161" s="124" t="n">
        <f aca="false">SUM(J$6:J161)</f>
        <v>0</v>
      </c>
      <c r="P161" s="124" t="n">
        <f aca="false">D161/P$3</f>
        <v>0</v>
      </c>
      <c r="Q161" s="124" t="n">
        <f aca="false">E161/P$3</f>
        <v>3.28779956772327</v>
      </c>
      <c r="R161" s="124" t="n">
        <f aca="false">F161/R$3</f>
        <v>0</v>
      </c>
      <c r="S161" s="126" t="n">
        <f aca="false">J161/$R$3</f>
        <v>0</v>
      </c>
      <c r="T161" s="126" t="n">
        <f aca="false">L161/$R$3</f>
        <v>0</v>
      </c>
      <c r="U161" s="126" t="n">
        <f aca="false">I161/$R$3</f>
        <v>0</v>
      </c>
      <c r="V161" s="126" t="n">
        <f aca="false">M161/$R$3</f>
        <v>0</v>
      </c>
      <c r="W161" s="126" t="n">
        <f aca="false">N161/$R$3</f>
        <v>0</v>
      </c>
    </row>
    <row r="162" customFormat="false" ht="12.75" hidden="true" customHeight="false" outlineLevel="0" collapsed="false">
      <c r="A162" s="120" t="n">
        <f aca="false">A161+1</f>
        <v>37048</v>
      </c>
      <c r="B162" s="131" t="str">
        <f aca="false">INDEX('Master Data'!$A$2:$B$8,MATCH(WEEKDAY('SC Total Gas'!A162,3),'Master Data'!$A$2:$A$8,0),2)</f>
        <v>W</v>
      </c>
      <c r="D162" s="124" t="n">
        <v>0</v>
      </c>
      <c r="E162" s="124" t="n">
        <v>3289389.54739946</v>
      </c>
      <c r="F162" s="124" t="n">
        <v>0</v>
      </c>
      <c r="G162" s="124" t="n">
        <v>0</v>
      </c>
      <c r="I162" s="124" t="n">
        <f aca="false">IF(MONTH($A162)=MONTH($A161),IF(G162=0,I161,G162),G162)</f>
        <v>0</v>
      </c>
      <c r="J162" s="124" t="n">
        <f aca="false">IF(MONTH($A162)=MONTH($A161),SUM(I162-I161),I162)</f>
        <v>0</v>
      </c>
      <c r="K162" s="124" t="n">
        <f aca="false">IF(WEEKDAY(A162,3)&gt;4,0,(IF(A162&lt;K$2,0,IF(A162&lt;=K$3,1,0))))</f>
        <v>0</v>
      </c>
      <c r="L162" s="124" t="n">
        <f aca="false">J162*K162</f>
        <v>0</v>
      </c>
      <c r="M162" s="124" t="n">
        <f aca="false">SUM(J$97:J162)</f>
        <v>0</v>
      </c>
      <c r="N162" s="124" t="n">
        <f aca="false">SUM(J$6:J162)</f>
        <v>0</v>
      </c>
      <c r="P162" s="124" t="n">
        <f aca="false">D162/P$3</f>
        <v>0</v>
      </c>
      <c r="Q162" s="124" t="n">
        <f aca="false">E162/P$3</f>
        <v>3.28938954739946</v>
      </c>
      <c r="R162" s="124" t="n">
        <f aca="false">F162/R$3</f>
        <v>0</v>
      </c>
      <c r="S162" s="126" t="n">
        <f aca="false">J162/$R$3</f>
        <v>0</v>
      </c>
      <c r="T162" s="126" t="n">
        <f aca="false">L162/$R$3</f>
        <v>0</v>
      </c>
      <c r="U162" s="126" t="n">
        <f aca="false">I162/$R$3</f>
        <v>0</v>
      </c>
      <c r="V162" s="126" t="n">
        <f aca="false">M162/$R$3</f>
        <v>0</v>
      </c>
      <c r="W162" s="126" t="n">
        <f aca="false">N162/$R$3</f>
        <v>0</v>
      </c>
    </row>
    <row r="163" customFormat="false" ht="12.75" hidden="true" customHeight="false" outlineLevel="0" collapsed="false">
      <c r="A163" s="120" t="n">
        <f aca="false">A162+1</f>
        <v>37049</v>
      </c>
      <c r="B163" s="131" t="str">
        <f aca="false">INDEX('Master Data'!$A$2:$B$8,MATCH(WEEKDAY('SC Total Gas'!A163,3),'Master Data'!$A$2:$A$8,0),2)</f>
        <v>Th</v>
      </c>
      <c r="D163" s="124" t="n">
        <v>0</v>
      </c>
      <c r="E163" s="124" t="n">
        <v>3287981.45427974</v>
      </c>
      <c r="F163" s="124" t="n">
        <v>0</v>
      </c>
      <c r="G163" s="124" t="n">
        <v>0</v>
      </c>
      <c r="I163" s="124" t="n">
        <f aca="false">IF(MONTH($A163)=MONTH($A162),IF(G163=0,I162,G163),G163)</f>
        <v>0</v>
      </c>
      <c r="J163" s="124" t="n">
        <f aca="false">IF(MONTH($A163)=MONTH($A162),SUM(I163-I162),I163)</f>
        <v>0</v>
      </c>
      <c r="K163" s="124" t="n">
        <f aca="false">IF(WEEKDAY(A163,3)&gt;4,0,(IF(A163&lt;K$2,0,IF(A163&lt;=K$3,1,0))))</f>
        <v>0</v>
      </c>
      <c r="L163" s="124" t="n">
        <f aca="false">J163*K163</f>
        <v>0</v>
      </c>
      <c r="M163" s="124" t="n">
        <f aca="false">SUM(J$97:J163)</f>
        <v>0</v>
      </c>
      <c r="N163" s="124" t="n">
        <f aca="false">SUM(J$6:J163)</f>
        <v>0</v>
      </c>
      <c r="P163" s="124" t="n">
        <f aca="false">D163/P$3</f>
        <v>0</v>
      </c>
      <c r="Q163" s="124" t="n">
        <f aca="false">E163/P$3</f>
        <v>3.28798145427974</v>
      </c>
      <c r="R163" s="124" t="n">
        <f aca="false">F163/R$3</f>
        <v>0</v>
      </c>
      <c r="S163" s="126" t="n">
        <f aca="false">J163/$R$3</f>
        <v>0</v>
      </c>
      <c r="T163" s="126" t="n">
        <f aca="false">L163/$R$3</f>
        <v>0</v>
      </c>
      <c r="U163" s="126" t="n">
        <f aca="false">I163/$R$3</f>
        <v>0</v>
      </c>
      <c r="V163" s="126" t="n">
        <f aca="false">M163/$R$3</f>
        <v>0</v>
      </c>
      <c r="W163" s="126" t="n">
        <f aca="false">N163/$R$3</f>
        <v>0</v>
      </c>
    </row>
    <row r="164" customFormat="false" ht="12.75" hidden="true" customHeight="false" outlineLevel="0" collapsed="false">
      <c r="A164" s="120" t="n">
        <f aca="false">A163+1</f>
        <v>37050</v>
      </c>
      <c r="B164" s="131" t="str">
        <f aca="false">INDEX('Master Data'!$A$2:$B$8,MATCH(WEEKDAY('SC Total Gas'!A164,3),'Master Data'!$A$2:$A$8,0),2)</f>
        <v>F</v>
      </c>
      <c r="D164" s="124" t="n">
        <v>0</v>
      </c>
      <c r="E164" s="124" t="n">
        <v>3277659.225743</v>
      </c>
      <c r="F164" s="124" t="n">
        <v>0</v>
      </c>
      <c r="G164" s="124" t="n">
        <v>0</v>
      </c>
      <c r="I164" s="124" t="n">
        <f aca="false">IF(MONTH($A164)=MONTH($A163),IF(G164=0,I163,G164),G164)</f>
        <v>0</v>
      </c>
      <c r="J164" s="124" t="n">
        <f aca="false">IF(MONTH($A164)=MONTH($A163),SUM(I164-I163),I164)</f>
        <v>0</v>
      </c>
      <c r="K164" s="124" t="n">
        <f aca="false">IF(WEEKDAY(A164,3)&gt;4,0,(IF(A164&lt;K$2,0,IF(A164&lt;=K$3,1,0))))</f>
        <v>0</v>
      </c>
      <c r="L164" s="124" t="n">
        <f aca="false">J164*K164</f>
        <v>0</v>
      </c>
      <c r="M164" s="124" t="n">
        <f aca="false">SUM(J$97:J164)</f>
        <v>0</v>
      </c>
      <c r="N164" s="124" t="n">
        <f aca="false">SUM(J$6:J164)</f>
        <v>0</v>
      </c>
      <c r="P164" s="124" t="n">
        <f aca="false">D164/P$3</f>
        <v>0</v>
      </c>
      <c r="Q164" s="124" t="n">
        <f aca="false">E164/P$3</f>
        <v>3.277659225743</v>
      </c>
      <c r="R164" s="124" t="n">
        <f aca="false">F164/R$3</f>
        <v>0</v>
      </c>
      <c r="S164" s="126" t="n">
        <f aca="false">J164/$R$3</f>
        <v>0</v>
      </c>
      <c r="T164" s="126" t="n">
        <f aca="false">L164/$R$3</f>
        <v>0</v>
      </c>
      <c r="U164" s="126" t="n">
        <f aca="false">I164/$R$3</f>
        <v>0</v>
      </c>
      <c r="V164" s="126" t="n">
        <f aca="false">M164/$R$3</f>
        <v>0</v>
      </c>
      <c r="W164" s="126" t="n">
        <f aca="false">N164/$R$3</f>
        <v>0</v>
      </c>
    </row>
    <row r="165" customFormat="false" ht="12.75" hidden="true" customHeight="false" outlineLevel="0" collapsed="false">
      <c r="A165" s="120" t="n">
        <f aca="false">A164+1</f>
        <v>37051</v>
      </c>
      <c r="B165" s="131" t="str">
        <f aca="false">INDEX('Master Data'!$A$2:$B$8,MATCH(WEEKDAY('SC Total Gas'!A165,3),'Master Data'!$A$2:$A$8,0),2)</f>
        <v>Sa</v>
      </c>
      <c r="D165" s="124" t="n">
        <v>0</v>
      </c>
      <c r="E165" s="124" t="n">
        <v>0</v>
      </c>
      <c r="F165" s="124" t="n">
        <v>0</v>
      </c>
      <c r="G165" s="124" t="n">
        <v>0</v>
      </c>
      <c r="I165" s="124" t="n">
        <f aca="false">IF(MONTH($A165)=MONTH($A164),IF(G165=0,I164,G165),G165)</f>
        <v>0</v>
      </c>
      <c r="J165" s="124" t="n">
        <f aca="false">IF(MONTH($A165)=MONTH($A164),SUM(I165-I164),I165)</f>
        <v>0</v>
      </c>
      <c r="K165" s="124" t="n">
        <f aca="false">IF(WEEKDAY(A165,3)&gt;4,0,(IF(A165&lt;K$2,0,IF(A165&lt;=K$3,1,0))))</f>
        <v>0</v>
      </c>
      <c r="L165" s="124" t="n">
        <f aca="false">J165*K165</f>
        <v>0</v>
      </c>
      <c r="M165" s="124" t="n">
        <f aca="false">SUM(J$97:J165)</f>
        <v>0</v>
      </c>
      <c r="N165" s="124" t="n">
        <f aca="false">SUM(J$6:J165)</f>
        <v>0</v>
      </c>
      <c r="P165" s="124" t="n">
        <f aca="false">D165/P$3</f>
        <v>0</v>
      </c>
      <c r="Q165" s="124" t="n">
        <f aca="false">E165/P$3</f>
        <v>0</v>
      </c>
      <c r="R165" s="124" t="n">
        <f aca="false">F165/R$3</f>
        <v>0</v>
      </c>
      <c r="S165" s="126" t="n">
        <f aca="false">J165/$R$3</f>
        <v>0</v>
      </c>
      <c r="T165" s="126" t="n">
        <f aca="false">L165/$R$3</f>
        <v>0</v>
      </c>
      <c r="U165" s="126" t="n">
        <f aca="false">I165/$R$3</f>
        <v>0</v>
      </c>
      <c r="V165" s="126" t="n">
        <f aca="false">M165/$R$3</f>
        <v>0</v>
      </c>
      <c r="W165" s="126" t="n">
        <f aca="false">N165/$R$3</f>
        <v>0</v>
      </c>
    </row>
    <row r="166" customFormat="false" ht="12.75" hidden="true" customHeight="false" outlineLevel="0" collapsed="false">
      <c r="A166" s="120" t="n">
        <f aca="false">A165+1</f>
        <v>37052</v>
      </c>
      <c r="B166" s="131" t="str">
        <f aca="false">INDEX('Master Data'!$A$2:$B$8,MATCH(WEEKDAY('SC Total Gas'!A166,3),'Master Data'!$A$2:$A$8,0),2)</f>
        <v>Su</v>
      </c>
      <c r="D166" s="124" t="n">
        <v>0</v>
      </c>
      <c r="E166" s="124" t="n">
        <v>0</v>
      </c>
      <c r="F166" s="124" t="n">
        <v>0</v>
      </c>
      <c r="G166" s="124" t="n">
        <v>0</v>
      </c>
      <c r="I166" s="124" t="n">
        <f aca="false">IF(MONTH($A166)=MONTH($A165),IF(G166=0,I165,G166),G166)</f>
        <v>0</v>
      </c>
      <c r="J166" s="124" t="n">
        <f aca="false">IF(MONTH($A166)=MONTH($A165),SUM(I166-I165),I166)</f>
        <v>0</v>
      </c>
      <c r="K166" s="124" t="n">
        <f aca="false">IF(WEEKDAY(A166,3)&gt;4,0,(IF(A166&lt;K$2,0,IF(A166&lt;=K$3,1,0))))</f>
        <v>0</v>
      </c>
      <c r="L166" s="124" t="n">
        <f aca="false">J166*K166</f>
        <v>0</v>
      </c>
      <c r="M166" s="124" t="n">
        <f aca="false">SUM(J$97:J166)</f>
        <v>0</v>
      </c>
      <c r="N166" s="124" t="n">
        <f aca="false">SUM(J$6:J166)</f>
        <v>0</v>
      </c>
      <c r="P166" s="124" t="n">
        <f aca="false">D166/P$3</f>
        <v>0</v>
      </c>
      <c r="Q166" s="124" t="n">
        <f aca="false">E166/P$3</f>
        <v>0</v>
      </c>
      <c r="R166" s="124" t="n">
        <f aca="false">F166/R$3</f>
        <v>0</v>
      </c>
      <c r="S166" s="126" t="n">
        <f aca="false">J166/$R$3</f>
        <v>0</v>
      </c>
      <c r="T166" s="126" t="n">
        <f aca="false">L166/$R$3</f>
        <v>0</v>
      </c>
      <c r="U166" s="126" t="n">
        <f aca="false">I166/$R$3</f>
        <v>0</v>
      </c>
      <c r="V166" s="126" t="n">
        <f aca="false">M166/$R$3</f>
        <v>0</v>
      </c>
      <c r="W166" s="126" t="n">
        <f aca="false">N166/$R$3</f>
        <v>0</v>
      </c>
    </row>
    <row r="167" customFormat="false" ht="12.75" hidden="true" customHeight="false" outlineLevel="0" collapsed="false">
      <c r="A167" s="120" t="n">
        <f aca="false">A166+1</f>
        <v>37053</v>
      </c>
      <c r="B167" s="131" t="str">
        <f aca="false">INDEX('Master Data'!$A$2:$B$8,MATCH(WEEKDAY('SC Total Gas'!A167,3),'Master Data'!$A$2:$A$8,0),2)</f>
        <v>M</v>
      </c>
      <c r="D167" s="124" t="n">
        <v>0</v>
      </c>
      <c r="E167" s="124" t="n">
        <v>3288816.24191495</v>
      </c>
      <c r="F167" s="124" t="n">
        <v>0</v>
      </c>
      <c r="G167" s="124" t="n">
        <v>0</v>
      </c>
      <c r="I167" s="124" t="n">
        <f aca="false">IF(MONTH($A167)=MONTH($A166),IF(G167=0,I166,G167),G167)</f>
        <v>0</v>
      </c>
      <c r="J167" s="124" t="n">
        <f aca="false">IF(MONTH($A167)=MONTH($A166),SUM(I167-I166),I167)</f>
        <v>0</v>
      </c>
      <c r="K167" s="124" t="n">
        <f aca="false">IF(WEEKDAY(A167,3)&gt;4,0,(IF(A167&lt;K$2,0,IF(A167&lt;=K$3,1,0))))</f>
        <v>0</v>
      </c>
      <c r="L167" s="124" t="n">
        <f aca="false">J167*K167</f>
        <v>0</v>
      </c>
      <c r="M167" s="124" t="n">
        <f aca="false">SUM(J$97:J167)</f>
        <v>0</v>
      </c>
      <c r="N167" s="124" t="n">
        <f aca="false">SUM(J$6:J167)</f>
        <v>0</v>
      </c>
      <c r="P167" s="124" t="n">
        <f aca="false">D167/P$3</f>
        <v>0</v>
      </c>
      <c r="Q167" s="124" t="n">
        <f aca="false">E167/P$3</f>
        <v>3.28881624191495</v>
      </c>
      <c r="R167" s="124" t="n">
        <f aca="false">F167/R$3</f>
        <v>0</v>
      </c>
      <c r="S167" s="126" t="n">
        <f aca="false">J167/$R$3</f>
        <v>0</v>
      </c>
      <c r="T167" s="126" t="n">
        <f aca="false">L167/$R$3</f>
        <v>0</v>
      </c>
      <c r="U167" s="126" t="n">
        <f aca="false">I167/$R$3</f>
        <v>0</v>
      </c>
      <c r="V167" s="126" t="n">
        <f aca="false">M167/$R$3</f>
        <v>0</v>
      </c>
      <c r="W167" s="126" t="n">
        <f aca="false">N167/$R$3</f>
        <v>0</v>
      </c>
    </row>
    <row r="168" customFormat="false" ht="12.75" hidden="true" customHeight="false" outlineLevel="0" collapsed="false">
      <c r="A168" s="120" t="n">
        <f aca="false">A167+1</f>
        <v>37054</v>
      </c>
      <c r="B168" s="131" t="str">
        <f aca="false">INDEX('Master Data'!$A$2:$B$8,MATCH(WEEKDAY('SC Total Gas'!A168,3),'Master Data'!$A$2:$A$8,0),2)</f>
        <v>T</v>
      </c>
      <c r="D168" s="124" t="n">
        <v>0</v>
      </c>
      <c r="E168" s="124" t="n">
        <v>3295395.96206493</v>
      </c>
      <c r="F168" s="124" t="n">
        <v>0</v>
      </c>
      <c r="G168" s="124" t="n">
        <v>0</v>
      </c>
      <c r="I168" s="124" t="n">
        <f aca="false">IF(MONTH($A168)=MONTH($A167),IF(G168=0,I167,G168),G168)</f>
        <v>0</v>
      </c>
      <c r="J168" s="124" t="n">
        <f aca="false">IF(MONTH($A168)=MONTH($A167),SUM(I168-I167),I168)</f>
        <v>0</v>
      </c>
      <c r="K168" s="124" t="n">
        <f aca="false">IF(WEEKDAY(A168,3)&gt;4,0,(IF(A168&lt;K$2,0,IF(A168&lt;=K$3,1,0))))</f>
        <v>0</v>
      </c>
      <c r="L168" s="124" t="n">
        <f aca="false">J168*K168</f>
        <v>0</v>
      </c>
      <c r="M168" s="124" t="n">
        <f aca="false">SUM(J$97:J168)</f>
        <v>0</v>
      </c>
      <c r="N168" s="124" t="n">
        <f aca="false">SUM(J$6:J168)</f>
        <v>0</v>
      </c>
      <c r="P168" s="124" t="n">
        <f aca="false">D168/P$3</f>
        <v>0</v>
      </c>
      <c r="Q168" s="124" t="n">
        <f aca="false">E168/P$3</f>
        <v>3.29539596206493</v>
      </c>
      <c r="R168" s="124" t="n">
        <f aca="false">F168/R$3</f>
        <v>0</v>
      </c>
      <c r="S168" s="126" t="n">
        <f aca="false">J168/$R$3</f>
        <v>0</v>
      </c>
      <c r="T168" s="126" t="n">
        <f aca="false">L168/$R$3</f>
        <v>0</v>
      </c>
      <c r="U168" s="126" t="n">
        <f aca="false">I168/$R$3</f>
        <v>0</v>
      </c>
      <c r="V168" s="126" t="n">
        <f aca="false">M168/$R$3</f>
        <v>0</v>
      </c>
      <c r="W168" s="126" t="n">
        <f aca="false">N168/$R$3</f>
        <v>0</v>
      </c>
    </row>
    <row r="169" customFormat="false" ht="12.75" hidden="true" customHeight="false" outlineLevel="0" collapsed="false">
      <c r="A169" s="120" t="n">
        <f aca="false">A168+1</f>
        <v>37055</v>
      </c>
      <c r="B169" s="131" t="str">
        <f aca="false">INDEX('Master Data'!$A$2:$B$8,MATCH(WEEKDAY('SC Total Gas'!A169,3),'Master Data'!$A$2:$A$8,0),2)</f>
        <v>W</v>
      </c>
      <c r="D169" s="124" t="n">
        <v>0</v>
      </c>
      <c r="E169" s="124" t="n">
        <v>3296925.89401505</v>
      </c>
      <c r="F169" s="124" t="n">
        <v>0</v>
      </c>
      <c r="G169" s="124" t="n">
        <v>0</v>
      </c>
      <c r="I169" s="124" t="n">
        <f aca="false">IF(MONTH($A169)=MONTH($A168),IF(G169=0,I168,G169),G169)</f>
        <v>0</v>
      </c>
      <c r="J169" s="124" t="n">
        <f aca="false">IF(MONTH($A169)=MONTH($A168),SUM(I169-I168),I169)</f>
        <v>0</v>
      </c>
      <c r="K169" s="124" t="n">
        <f aca="false">IF(WEEKDAY(A169,3)&gt;4,0,(IF(A169&lt;K$2,0,IF(A169&lt;=K$3,1,0))))</f>
        <v>0</v>
      </c>
      <c r="L169" s="124" t="n">
        <f aca="false">J169*K169</f>
        <v>0</v>
      </c>
      <c r="M169" s="124" t="n">
        <f aca="false">SUM(J$97:J169)</f>
        <v>0</v>
      </c>
      <c r="N169" s="124" t="n">
        <f aca="false">SUM(J$6:J169)</f>
        <v>0</v>
      </c>
      <c r="P169" s="124" t="n">
        <f aca="false">D169/P$3</f>
        <v>0</v>
      </c>
      <c r="Q169" s="124" t="n">
        <f aca="false">E169/P$3</f>
        <v>3.29692589401505</v>
      </c>
      <c r="R169" s="124" t="n">
        <f aca="false">F169/R$3</f>
        <v>0</v>
      </c>
      <c r="S169" s="126" t="n">
        <f aca="false">J169/$R$3</f>
        <v>0</v>
      </c>
      <c r="T169" s="126" t="n">
        <f aca="false">L169/$R$3</f>
        <v>0</v>
      </c>
      <c r="U169" s="126" t="n">
        <f aca="false">I169/$R$3</f>
        <v>0</v>
      </c>
      <c r="V169" s="126" t="n">
        <f aca="false">M169/$R$3</f>
        <v>0</v>
      </c>
      <c r="W169" s="126" t="n">
        <f aca="false">N169/$R$3</f>
        <v>0</v>
      </c>
    </row>
    <row r="170" customFormat="false" ht="12.75" hidden="true" customHeight="false" outlineLevel="0" collapsed="false">
      <c r="A170" s="120" t="n">
        <f aca="false">A169+1</f>
        <v>37056</v>
      </c>
      <c r="B170" s="131" t="str">
        <f aca="false">INDEX('Master Data'!$A$2:$B$8,MATCH(WEEKDAY('SC Total Gas'!A170,3),'Master Data'!$A$2:$A$8,0),2)</f>
        <v>Th</v>
      </c>
      <c r="D170" s="124" t="n">
        <v>0</v>
      </c>
      <c r="E170" s="124" t="n">
        <v>4259560.37100637</v>
      </c>
      <c r="F170" s="124" t="n">
        <v>0</v>
      </c>
      <c r="G170" s="124" t="n">
        <v>0</v>
      </c>
      <c r="I170" s="124" t="n">
        <f aca="false">IF(MONTH($A170)=MONTH($A169),IF(G170=0,I169,G170),G170)</f>
        <v>0</v>
      </c>
      <c r="J170" s="124" t="n">
        <f aca="false">IF(MONTH($A170)=MONTH($A169),SUM(I170-I169),I170)</f>
        <v>0</v>
      </c>
      <c r="K170" s="124" t="n">
        <f aca="false">IF(WEEKDAY(A170,3)&gt;4,0,(IF(A170&lt;K$2,0,IF(A170&lt;=K$3,1,0))))</f>
        <v>0</v>
      </c>
      <c r="L170" s="124" t="n">
        <f aca="false">J170*K170</f>
        <v>0</v>
      </c>
      <c r="M170" s="124" t="n">
        <f aca="false">SUM(J$97:J170)</f>
        <v>0</v>
      </c>
      <c r="N170" s="124" t="n">
        <f aca="false">SUM(J$6:J170)</f>
        <v>0</v>
      </c>
      <c r="P170" s="124" t="n">
        <f aca="false">D170/P$3</f>
        <v>0</v>
      </c>
      <c r="Q170" s="124" t="n">
        <f aca="false">E170/P$3</f>
        <v>4.25956037100637</v>
      </c>
      <c r="R170" s="124" t="n">
        <f aca="false">F170/R$3</f>
        <v>0</v>
      </c>
      <c r="S170" s="126" t="n">
        <f aca="false">J170/$R$3</f>
        <v>0</v>
      </c>
      <c r="T170" s="126" t="n">
        <f aca="false">L170/$R$3</f>
        <v>0</v>
      </c>
      <c r="U170" s="126" t="n">
        <f aca="false">I170/$R$3</f>
        <v>0</v>
      </c>
      <c r="V170" s="126" t="n">
        <f aca="false">M170/$R$3</f>
        <v>0</v>
      </c>
      <c r="W170" s="126" t="n">
        <f aca="false">N170/$R$3</f>
        <v>0</v>
      </c>
    </row>
    <row r="171" customFormat="false" ht="12.75" hidden="true" customHeight="false" outlineLevel="0" collapsed="false">
      <c r="A171" s="120" t="n">
        <f aca="false">A170+1</f>
        <v>37057</v>
      </c>
      <c r="B171" s="131" t="str">
        <f aca="false">INDEX('Master Data'!$A$2:$B$8,MATCH(WEEKDAY('SC Total Gas'!A171,3),'Master Data'!$A$2:$A$8,0),2)</f>
        <v>F</v>
      </c>
      <c r="D171" s="124" t="n">
        <v>0</v>
      </c>
      <c r="E171" s="124" t="n">
        <v>4259684.79452914</v>
      </c>
      <c r="F171" s="124" t="n">
        <v>0</v>
      </c>
      <c r="G171" s="124" t="n">
        <v>0</v>
      </c>
      <c r="I171" s="124" t="n">
        <f aca="false">IF(MONTH($A171)=MONTH($A170),IF(G171=0,I170,G171),G171)</f>
        <v>0</v>
      </c>
      <c r="J171" s="124" t="n">
        <f aca="false">IF(MONTH($A171)=MONTH($A170),SUM(I171-I170),I171)</f>
        <v>0</v>
      </c>
      <c r="K171" s="124" t="n">
        <f aca="false">IF(WEEKDAY(A171,3)&gt;4,0,(IF(A171&lt;K$2,0,IF(A171&lt;=K$3,1,0))))</f>
        <v>0</v>
      </c>
      <c r="L171" s="124" t="n">
        <f aca="false">J171*K171</f>
        <v>0</v>
      </c>
      <c r="M171" s="124" t="n">
        <f aca="false">SUM(J$97:J171)</f>
        <v>0</v>
      </c>
      <c r="N171" s="124" t="n">
        <f aca="false">SUM(J$6:J171)</f>
        <v>0</v>
      </c>
      <c r="P171" s="124" t="n">
        <f aca="false">D171/P$3</f>
        <v>0</v>
      </c>
      <c r="Q171" s="124" t="n">
        <f aca="false">E171/P$3</f>
        <v>4.25968479452914</v>
      </c>
      <c r="R171" s="124" t="n">
        <f aca="false">F171/R$3</f>
        <v>0</v>
      </c>
      <c r="S171" s="126" t="n">
        <f aca="false">J171/$R$3</f>
        <v>0</v>
      </c>
      <c r="T171" s="126" t="n">
        <f aca="false">L171/$R$3</f>
        <v>0</v>
      </c>
      <c r="U171" s="126" t="n">
        <f aca="false">I171/$R$3</f>
        <v>0</v>
      </c>
      <c r="V171" s="126" t="n">
        <f aca="false">M171/$R$3</f>
        <v>0</v>
      </c>
      <c r="W171" s="126" t="n">
        <f aca="false">N171/$R$3</f>
        <v>0</v>
      </c>
    </row>
    <row r="172" customFormat="false" ht="12.75" hidden="true" customHeight="false" outlineLevel="0" collapsed="false">
      <c r="A172" s="120" t="n">
        <f aca="false">A171+1</f>
        <v>37058</v>
      </c>
      <c r="B172" s="131" t="str">
        <f aca="false">INDEX('Master Data'!$A$2:$B$8,MATCH(WEEKDAY('SC Total Gas'!A172,3),'Master Data'!$A$2:$A$8,0),2)</f>
        <v>Sa</v>
      </c>
      <c r="D172" s="124" t="n">
        <v>0</v>
      </c>
      <c r="E172" s="124" t="n">
        <v>0</v>
      </c>
      <c r="F172" s="124" t="n">
        <v>0</v>
      </c>
      <c r="G172" s="124" t="n">
        <v>0</v>
      </c>
      <c r="I172" s="124" t="n">
        <f aca="false">IF(MONTH($A172)=MONTH($A171),IF(G172=0,I171,G172),G172)</f>
        <v>0</v>
      </c>
      <c r="J172" s="124" t="n">
        <f aca="false">IF(MONTH($A172)=MONTH($A171),SUM(I172-I171),I172)</f>
        <v>0</v>
      </c>
      <c r="K172" s="124" t="n">
        <f aca="false">IF(WEEKDAY(A172,3)&gt;4,0,(IF(A172&lt;K$2,0,IF(A172&lt;=K$3,1,0))))</f>
        <v>0</v>
      </c>
      <c r="L172" s="124" t="n">
        <f aca="false">J172*K172</f>
        <v>0</v>
      </c>
      <c r="M172" s="124" t="n">
        <f aca="false">SUM(J$97:J172)</f>
        <v>0</v>
      </c>
      <c r="N172" s="124" t="n">
        <f aca="false">SUM(J$6:J172)</f>
        <v>0</v>
      </c>
      <c r="P172" s="124" t="n">
        <f aca="false">D172/P$3</f>
        <v>0</v>
      </c>
      <c r="Q172" s="124" t="n">
        <f aca="false">E172/P$3</f>
        <v>0</v>
      </c>
      <c r="R172" s="124" t="n">
        <f aca="false">F172/R$3</f>
        <v>0</v>
      </c>
      <c r="S172" s="126" t="n">
        <f aca="false">J172/$R$3</f>
        <v>0</v>
      </c>
      <c r="T172" s="126" t="n">
        <f aca="false">L172/$R$3</f>
        <v>0</v>
      </c>
      <c r="U172" s="126" t="n">
        <f aca="false">I172/$R$3</f>
        <v>0</v>
      </c>
      <c r="V172" s="126" t="n">
        <f aca="false">M172/$R$3</f>
        <v>0</v>
      </c>
      <c r="W172" s="126" t="n">
        <f aca="false">N172/$R$3</f>
        <v>0</v>
      </c>
    </row>
    <row r="173" customFormat="false" ht="12.75" hidden="true" customHeight="false" outlineLevel="0" collapsed="false">
      <c r="A173" s="120" t="n">
        <f aca="false">A172+1</f>
        <v>37059</v>
      </c>
      <c r="B173" s="131" t="str">
        <f aca="false">INDEX('Master Data'!$A$2:$B$8,MATCH(WEEKDAY('SC Total Gas'!A173,3),'Master Data'!$A$2:$A$8,0),2)</f>
        <v>Su</v>
      </c>
      <c r="D173" s="124" t="n">
        <v>0</v>
      </c>
      <c r="E173" s="124" t="n">
        <v>0</v>
      </c>
      <c r="F173" s="124" t="n">
        <v>0</v>
      </c>
      <c r="G173" s="124" t="n">
        <v>0</v>
      </c>
      <c r="I173" s="124" t="n">
        <f aca="false">IF(MONTH($A173)=MONTH($A172),IF(G173=0,I172,G173),G173)</f>
        <v>0</v>
      </c>
      <c r="J173" s="124" t="n">
        <f aca="false">IF(MONTH($A173)=MONTH($A172),SUM(I173-I172),I173)</f>
        <v>0</v>
      </c>
      <c r="K173" s="124" t="n">
        <f aca="false">IF(WEEKDAY(A173,3)&gt;4,0,(IF(A173&lt;K$2,0,IF(A173&lt;=K$3,1,0))))</f>
        <v>0</v>
      </c>
      <c r="L173" s="124" t="n">
        <f aca="false">J173*K173</f>
        <v>0</v>
      </c>
      <c r="M173" s="124" t="n">
        <f aca="false">SUM(J$97:J173)</f>
        <v>0</v>
      </c>
      <c r="N173" s="124" t="n">
        <f aca="false">SUM(J$6:J173)</f>
        <v>0</v>
      </c>
      <c r="P173" s="124" t="n">
        <f aca="false">D173/P$3</f>
        <v>0</v>
      </c>
      <c r="Q173" s="124" t="n">
        <f aca="false">E173/P$3</f>
        <v>0</v>
      </c>
      <c r="R173" s="124" t="n">
        <f aca="false">F173/R$3</f>
        <v>0</v>
      </c>
      <c r="S173" s="126" t="n">
        <f aca="false">J173/$R$3</f>
        <v>0</v>
      </c>
      <c r="T173" s="126" t="n">
        <f aca="false">L173/$R$3</f>
        <v>0</v>
      </c>
      <c r="U173" s="126" t="n">
        <f aca="false">I173/$R$3</f>
        <v>0</v>
      </c>
      <c r="V173" s="126" t="n">
        <f aca="false">M173/$R$3</f>
        <v>0</v>
      </c>
      <c r="W173" s="126" t="n">
        <f aca="false">N173/$R$3</f>
        <v>0</v>
      </c>
    </row>
    <row r="174" customFormat="false" ht="12.75" hidden="true" customHeight="false" outlineLevel="0" collapsed="false">
      <c r="A174" s="120" t="n">
        <f aca="false">A173+1</f>
        <v>37060</v>
      </c>
      <c r="B174" s="131" t="str">
        <f aca="false">INDEX('Master Data'!$A$2:$B$8,MATCH(WEEKDAY('SC Total Gas'!A174,3),'Master Data'!$A$2:$A$8,0),2)</f>
        <v>M</v>
      </c>
      <c r="D174" s="124" t="n">
        <v>0</v>
      </c>
      <c r="E174" s="124" t="n">
        <v>4263921.14419312</v>
      </c>
      <c r="F174" s="124" t="n">
        <v>0</v>
      </c>
      <c r="G174" s="124" t="n">
        <v>0</v>
      </c>
      <c r="I174" s="124" t="n">
        <f aca="false">IF(MONTH($A174)=MONTH($A173),IF(G174=0,I173,G174),G174)</f>
        <v>0</v>
      </c>
      <c r="J174" s="124" t="n">
        <f aca="false">IF(MONTH($A174)=MONTH($A173),SUM(I174-I173),I174)</f>
        <v>0</v>
      </c>
      <c r="K174" s="124" t="n">
        <f aca="false">IF(WEEKDAY(A174,3)&gt;4,0,(IF(A174&lt;K$2,0,IF(A174&lt;=K$3,1,0))))</f>
        <v>0</v>
      </c>
      <c r="L174" s="124" t="n">
        <f aca="false">J174*K174</f>
        <v>0</v>
      </c>
      <c r="M174" s="124" t="n">
        <f aca="false">SUM(J$97:J174)</f>
        <v>0</v>
      </c>
      <c r="N174" s="124" t="n">
        <f aca="false">SUM(J$6:J174)</f>
        <v>0</v>
      </c>
      <c r="P174" s="124" t="n">
        <f aca="false">D174/P$3</f>
        <v>0</v>
      </c>
      <c r="Q174" s="124" t="n">
        <f aca="false">E174/P$3</f>
        <v>4.26392114419312</v>
      </c>
      <c r="R174" s="124" t="n">
        <f aca="false">F174/R$3</f>
        <v>0</v>
      </c>
      <c r="S174" s="126" t="n">
        <f aca="false">J174/$R$3</f>
        <v>0</v>
      </c>
      <c r="T174" s="126" t="n">
        <f aca="false">L174/$R$3</f>
        <v>0</v>
      </c>
      <c r="U174" s="126" t="n">
        <f aca="false">I174/$R$3</f>
        <v>0</v>
      </c>
      <c r="V174" s="126" t="n">
        <f aca="false">M174/$R$3</f>
        <v>0</v>
      </c>
      <c r="W174" s="126" t="n">
        <f aca="false">N174/$R$3</f>
        <v>0</v>
      </c>
    </row>
    <row r="175" customFormat="false" ht="12.75" hidden="true" customHeight="false" outlineLevel="0" collapsed="false">
      <c r="A175" s="120" t="n">
        <f aca="false">A174+1</f>
        <v>37061</v>
      </c>
      <c r="B175" s="131" t="str">
        <f aca="false">INDEX('Master Data'!$A$2:$B$8,MATCH(WEEKDAY('SC Total Gas'!A175,3),'Master Data'!$A$2:$A$8,0),2)</f>
        <v>T</v>
      </c>
      <c r="D175" s="124" t="n">
        <v>0</v>
      </c>
      <c r="E175" s="124" t="n">
        <v>4293207.1267221</v>
      </c>
      <c r="F175" s="124" t="n">
        <v>0</v>
      </c>
      <c r="G175" s="124" t="n">
        <v>0</v>
      </c>
      <c r="I175" s="124" t="n">
        <f aca="false">IF(MONTH($A175)=MONTH($A174),IF(G175=0,I174,G175),G175)</f>
        <v>0</v>
      </c>
      <c r="J175" s="124" t="n">
        <f aca="false">IF(MONTH($A175)=MONTH($A174),SUM(I175-I174),I175)</f>
        <v>0</v>
      </c>
      <c r="K175" s="124" t="n">
        <f aca="false">IF(WEEKDAY(A175,3)&gt;4,0,(IF(A175&lt;K$2,0,IF(A175&lt;=K$3,1,0))))</f>
        <v>0</v>
      </c>
      <c r="L175" s="124" t="n">
        <f aca="false">J175*K175</f>
        <v>0</v>
      </c>
      <c r="M175" s="124" t="n">
        <f aca="false">SUM(J$97:J175)</f>
        <v>0</v>
      </c>
      <c r="N175" s="124" t="n">
        <f aca="false">SUM(J$6:J175)</f>
        <v>0</v>
      </c>
      <c r="P175" s="124" t="n">
        <f aca="false">D175/P$3</f>
        <v>0</v>
      </c>
      <c r="Q175" s="124" t="n">
        <f aca="false">E175/P$3</f>
        <v>4.2932071267221</v>
      </c>
      <c r="R175" s="124" t="n">
        <f aca="false">F175/R$3</f>
        <v>0</v>
      </c>
      <c r="S175" s="126" t="n">
        <f aca="false">J175/$R$3</f>
        <v>0</v>
      </c>
      <c r="T175" s="126" t="n">
        <f aca="false">L175/$R$3</f>
        <v>0</v>
      </c>
      <c r="U175" s="126" t="n">
        <f aca="false">I175/$R$3</f>
        <v>0</v>
      </c>
      <c r="V175" s="126" t="n">
        <f aca="false">M175/$R$3</f>
        <v>0</v>
      </c>
      <c r="W175" s="126" t="n">
        <f aca="false">N175/$R$3</f>
        <v>0</v>
      </c>
    </row>
    <row r="176" customFormat="false" ht="12.75" hidden="true" customHeight="false" outlineLevel="0" collapsed="false">
      <c r="A176" s="120" t="n">
        <f aca="false">A175+1</f>
        <v>37062</v>
      </c>
      <c r="B176" s="131" t="str">
        <f aca="false">INDEX('Master Data'!$A$2:$B$8,MATCH(WEEKDAY('SC Total Gas'!A176,3),'Master Data'!$A$2:$A$8,0),2)</f>
        <v>W</v>
      </c>
      <c r="D176" s="124" t="n">
        <v>0</v>
      </c>
      <c r="E176" s="124" t="n">
        <v>4271239.34159276</v>
      </c>
      <c r="F176" s="124" t="n">
        <v>0</v>
      </c>
      <c r="G176" s="124" t="n">
        <v>0</v>
      </c>
      <c r="I176" s="124" t="n">
        <f aca="false">IF(MONTH($A176)=MONTH($A175),IF(G176=0,I175,G176),G176)</f>
        <v>0</v>
      </c>
      <c r="J176" s="124" t="n">
        <f aca="false">IF(MONTH($A176)=MONTH($A175),SUM(I176-I175),I176)</f>
        <v>0</v>
      </c>
      <c r="K176" s="124" t="n">
        <f aca="false">IF(WEEKDAY(A176,3)&gt;4,0,(IF(A176&lt;K$2,0,IF(A176&lt;=K$3,1,0))))</f>
        <v>0</v>
      </c>
      <c r="L176" s="124" t="n">
        <f aca="false">J176*K176</f>
        <v>0</v>
      </c>
      <c r="M176" s="124" t="n">
        <f aca="false">SUM(J$97:J176)</f>
        <v>0</v>
      </c>
      <c r="N176" s="124" t="n">
        <f aca="false">SUM(J$6:J176)</f>
        <v>0</v>
      </c>
      <c r="P176" s="124" t="n">
        <f aca="false">D176/P$3</f>
        <v>0</v>
      </c>
      <c r="Q176" s="124" t="n">
        <f aca="false">E176/P$3</f>
        <v>4.27123934159276</v>
      </c>
      <c r="R176" s="124" t="n">
        <f aca="false">F176/R$3</f>
        <v>0</v>
      </c>
      <c r="S176" s="126" t="n">
        <f aca="false">J176/$R$3</f>
        <v>0</v>
      </c>
      <c r="T176" s="126" t="n">
        <f aca="false">L176/$R$3</f>
        <v>0</v>
      </c>
      <c r="U176" s="126" t="n">
        <f aca="false">I176/$R$3</f>
        <v>0</v>
      </c>
      <c r="V176" s="126" t="n">
        <f aca="false">M176/$R$3</f>
        <v>0</v>
      </c>
      <c r="W176" s="126" t="n">
        <f aca="false">N176/$R$3</f>
        <v>0</v>
      </c>
    </row>
    <row r="177" customFormat="false" ht="12.75" hidden="true" customHeight="false" outlineLevel="0" collapsed="false">
      <c r="A177" s="120" t="n">
        <f aca="false">A176+1</f>
        <v>37063</v>
      </c>
      <c r="B177" s="131" t="str">
        <f aca="false">INDEX('Master Data'!$A$2:$B$8,MATCH(WEEKDAY('SC Total Gas'!A177,3),'Master Data'!$A$2:$A$8,0),2)</f>
        <v>Th</v>
      </c>
      <c r="D177" s="124" t="n">
        <v>0</v>
      </c>
      <c r="E177" s="124" t="n">
        <v>4269146.04679975</v>
      </c>
      <c r="F177" s="124" t="n">
        <v>0</v>
      </c>
      <c r="G177" s="124" t="n">
        <v>0</v>
      </c>
      <c r="I177" s="124" t="n">
        <f aca="false">IF(MONTH($A177)=MONTH($A176),IF(G177=0,I176,G177),G177)</f>
        <v>0</v>
      </c>
      <c r="J177" s="124" t="n">
        <f aca="false">IF(MONTH($A177)=MONTH($A176),SUM(I177-I176),I177)</f>
        <v>0</v>
      </c>
      <c r="K177" s="124" t="n">
        <f aca="false">IF(WEEKDAY(A177,3)&gt;4,0,(IF(A177&lt;K$2,0,IF(A177&lt;=K$3,1,0))))</f>
        <v>0</v>
      </c>
      <c r="L177" s="124" t="n">
        <f aca="false">J177*K177</f>
        <v>0</v>
      </c>
      <c r="M177" s="124" t="n">
        <f aca="false">SUM(J$97:J177)</f>
        <v>0</v>
      </c>
      <c r="N177" s="124" t="n">
        <f aca="false">SUM(J$6:J177)</f>
        <v>0</v>
      </c>
      <c r="P177" s="124" t="n">
        <f aca="false">D177/P$3</f>
        <v>0</v>
      </c>
      <c r="Q177" s="124" t="n">
        <f aca="false">E177/P$3</f>
        <v>4.26914604679975</v>
      </c>
      <c r="R177" s="124" t="n">
        <f aca="false">F177/R$3</f>
        <v>0</v>
      </c>
      <c r="S177" s="126" t="n">
        <f aca="false">J177/$R$3</f>
        <v>0</v>
      </c>
      <c r="T177" s="126" t="n">
        <f aca="false">L177/$R$3</f>
        <v>0</v>
      </c>
      <c r="U177" s="126" t="n">
        <f aca="false">I177/$R$3</f>
        <v>0</v>
      </c>
      <c r="V177" s="126" t="n">
        <f aca="false">M177/$R$3</f>
        <v>0</v>
      </c>
      <c r="W177" s="126" t="n">
        <f aca="false">N177/$R$3</f>
        <v>0</v>
      </c>
    </row>
    <row r="178" customFormat="false" ht="12.75" hidden="true" customHeight="false" outlineLevel="0" collapsed="false">
      <c r="A178" s="120" t="n">
        <f aca="false">A177+1</f>
        <v>37064</v>
      </c>
      <c r="B178" s="131" t="str">
        <f aca="false">INDEX('Master Data'!$A$2:$B$8,MATCH(WEEKDAY('SC Total Gas'!A178,3),'Master Data'!$A$2:$A$8,0),2)</f>
        <v>F</v>
      </c>
      <c r="D178" s="124" t="n">
        <v>0</v>
      </c>
      <c r="E178" s="124" t="n">
        <v>4279436.80000591</v>
      </c>
      <c r="F178" s="124" t="n">
        <v>0</v>
      </c>
      <c r="G178" s="124" t="n">
        <v>0</v>
      </c>
      <c r="I178" s="124" t="n">
        <f aca="false">IF(MONTH($A178)=MONTH($A177),IF(G178=0,I177,G178),G178)</f>
        <v>0</v>
      </c>
      <c r="J178" s="124" t="n">
        <f aca="false">IF(MONTH($A178)=MONTH($A177),SUM(I178-I177),I178)</f>
        <v>0</v>
      </c>
      <c r="K178" s="124" t="n">
        <f aca="false">IF(WEEKDAY(A178,3)&gt;4,0,(IF(A178&lt;K$2,0,IF(A178&lt;=K$3,1,0))))</f>
        <v>0</v>
      </c>
      <c r="L178" s="124" t="n">
        <f aca="false">J178*K178</f>
        <v>0</v>
      </c>
      <c r="M178" s="124" t="n">
        <f aca="false">SUM(J$97:J178)</f>
        <v>0</v>
      </c>
      <c r="N178" s="124" t="n">
        <f aca="false">SUM(J$6:J178)</f>
        <v>0</v>
      </c>
      <c r="P178" s="124" t="n">
        <f aca="false">D178/P$3</f>
        <v>0</v>
      </c>
      <c r="Q178" s="124" t="n">
        <f aca="false">E178/P$3</f>
        <v>4.27943680000591</v>
      </c>
      <c r="R178" s="124" t="n">
        <f aca="false">F178/R$3</f>
        <v>0</v>
      </c>
      <c r="S178" s="126" t="n">
        <f aca="false">J178/$R$3</f>
        <v>0</v>
      </c>
      <c r="T178" s="126" t="n">
        <f aca="false">L178/$R$3</f>
        <v>0</v>
      </c>
      <c r="U178" s="126" t="n">
        <f aca="false">I178/$R$3</f>
        <v>0</v>
      </c>
      <c r="V178" s="126" t="n">
        <f aca="false">M178/$R$3</f>
        <v>0</v>
      </c>
      <c r="W178" s="126" t="n">
        <f aca="false">N178/$R$3</f>
        <v>0</v>
      </c>
      <c r="X178" s="144"/>
    </row>
    <row r="179" customFormat="false" ht="12.75" hidden="true" customHeight="false" outlineLevel="0" collapsed="false">
      <c r="A179" s="120" t="n">
        <f aca="false">A178+1</f>
        <v>37065</v>
      </c>
      <c r="B179" s="131" t="str">
        <f aca="false">INDEX('Master Data'!$A$2:$B$8,MATCH(WEEKDAY('SC Total Gas'!A179,3),'Master Data'!$A$2:$A$8,0),2)</f>
        <v>Sa</v>
      </c>
      <c r="D179" s="124" t="n">
        <v>0</v>
      </c>
      <c r="E179" s="124" t="n">
        <v>0</v>
      </c>
      <c r="F179" s="124" t="n">
        <v>0</v>
      </c>
      <c r="G179" s="124" t="n">
        <v>0</v>
      </c>
      <c r="I179" s="124" t="n">
        <f aca="false">IF(MONTH($A179)=MONTH($A178),IF(G179=0,I178,G179),G179)</f>
        <v>0</v>
      </c>
      <c r="J179" s="124" t="n">
        <f aca="false">IF(MONTH($A179)=MONTH($A178),SUM(I179-I178),I179)</f>
        <v>0</v>
      </c>
      <c r="K179" s="124" t="n">
        <f aca="false">IF(WEEKDAY(A179,3)&gt;4,0,(IF(A179&lt;K$2,0,IF(A179&lt;=K$3,1,0))))</f>
        <v>0</v>
      </c>
      <c r="L179" s="124" t="n">
        <f aca="false">J179*K179</f>
        <v>0</v>
      </c>
      <c r="M179" s="124" t="n">
        <f aca="false">SUM(J$97:J179)</f>
        <v>0</v>
      </c>
      <c r="N179" s="124" t="n">
        <f aca="false">SUM(J$6:J179)</f>
        <v>0</v>
      </c>
      <c r="P179" s="124" t="n">
        <f aca="false">D179/P$3</f>
        <v>0</v>
      </c>
      <c r="Q179" s="124" t="n">
        <f aca="false">E179/P$3</f>
        <v>0</v>
      </c>
      <c r="R179" s="124" t="n">
        <f aca="false">F179/R$3</f>
        <v>0</v>
      </c>
      <c r="S179" s="126" t="n">
        <f aca="false">J179/$R$3</f>
        <v>0</v>
      </c>
      <c r="T179" s="126" t="n">
        <f aca="false">L179/$R$3</f>
        <v>0</v>
      </c>
      <c r="U179" s="126" t="n">
        <f aca="false">I179/$R$3</f>
        <v>0</v>
      </c>
      <c r="V179" s="126" t="n">
        <f aca="false">M179/$R$3</f>
        <v>0</v>
      </c>
      <c r="W179" s="126" t="n">
        <f aca="false">N179/$R$3</f>
        <v>0</v>
      </c>
    </row>
    <row r="180" customFormat="false" ht="12.75" hidden="true" customHeight="false" outlineLevel="0" collapsed="false">
      <c r="A180" s="120" t="n">
        <f aca="false">A179+1</f>
        <v>37066</v>
      </c>
      <c r="B180" s="131" t="str">
        <f aca="false">INDEX('Master Data'!$A$2:$B$8,MATCH(WEEKDAY('SC Total Gas'!A180,3),'Master Data'!$A$2:$A$8,0),2)</f>
        <v>Su</v>
      </c>
      <c r="D180" s="124" t="n">
        <v>0</v>
      </c>
      <c r="E180" s="124" t="n">
        <v>0</v>
      </c>
      <c r="F180" s="124" t="n">
        <v>0</v>
      </c>
      <c r="G180" s="124" t="n">
        <v>0</v>
      </c>
      <c r="I180" s="124" t="n">
        <f aca="false">IF(MONTH($A180)=MONTH($A179),IF(G180=0,I179,G180),G180)</f>
        <v>0</v>
      </c>
      <c r="J180" s="124" t="n">
        <f aca="false">IF(MONTH($A180)=MONTH($A179),SUM(I180-I179),I180)</f>
        <v>0</v>
      </c>
      <c r="K180" s="124" t="n">
        <f aca="false">IF(WEEKDAY(A180,3)&gt;4,0,(IF(A180&lt;K$2,0,IF(A180&lt;=K$3,1,0))))</f>
        <v>0</v>
      </c>
      <c r="L180" s="124" t="n">
        <f aca="false">J180*K180</f>
        <v>0</v>
      </c>
      <c r="M180" s="124" t="n">
        <f aca="false">SUM(J$97:J180)</f>
        <v>0</v>
      </c>
      <c r="N180" s="124" t="n">
        <f aca="false">SUM(J$6:J180)</f>
        <v>0</v>
      </c>
      <c r="P180" s="124" t="n">
        <f aca="false">D180/P$3</f>
        <v>0</v>
      </c>
      <c r="Q180" s="124" t="n">
        <f aca="false">E180/P$3</f>
        <v>0</v>
      </c>
      <c r="R180" s="124" t="n">
        <f aca="false">F180/R$3</f>
        <v>0</v>
      </c>
      <c r="S180" s="126" t="n">
        <f aca="false">J180/$R$3</f>
        <v>0</v>
      </c>
      <c r="T180" s="126" t="n">
        <f aca="false">L180/$R$3</f>
        <v>0</v>
      </c>
      <c r="U180" s="126" t="n">
        <f aca="false">I180/$R$3</f>
        <v>0</v>
      </c>
      <c r="V180" s="126" t="n">
        <f aca="false">M180/$R$3</f>
        <v>0</v>
      </c>
      <c r="W180" s="126" t="n">
        <f aca="false">N180/$R$3</f>
        <v>0</v>
      </c>
    </row>
    <row r="181" customFormat="false" ht="12.75" hidden="true" customHeight="false" outlineLevel="0" collapsed="false">
      <c r="A181" s="120" t="n">
        <f aca="false">A180+1</f>
        <v>37067</v>
      </c>
      <c r="B181" s="131" t="str">
        <f aca="false">INDEX('Master Data'!$A$2:$B$8,MATCH(WEEKDAY('SC Total Gas'!A181,3),'Master Data'!$A$2:$A$8,0),2)</f>
        <v>M</v>
      </c>
      <c r="D181" s="124" t="n">
        <v>0</v>
      </c>
      <c r="E181" s="124" t="n">
        <v>4279326.64147134</v>
      </c>
      <c r="F181" s="124" t="n">
        <v>0</v>
      </c>
      <c r="G181" s="124" t="n">
        <v>0</v>
      </c>
      <c r="I181" s="124" t="n">
        <f aca="false">IF(MONTH($A181)=MONTH($A180),IF(G181=0,I180,G181),G181)</f>
        <v>0</v>
      </c>
      <c r="J181" s="124" t="n">
        <f aca="false">IF(MONTH($A181)=MONTH($A180),SUM(I181-I180),I181)</f>
        <v>0</v>
      </c>
      <c r="K181" s="124" t="n">
        <f aca="false">IF(WEEKDAY(A181,3)&gt;4,0,(IF(A181&lt;K$2,0,IF(A181&lt;=K$3,1,0))))</f>
        <v>0</v>
      </c>
      <c r="L181" s="124" t="n">
        <f aca="false">J181*K181</f>
        <v>0</v>
      </c>
      <c r="M181" s="124" t="n">
        <f aca="false">SUM(J$97:J181)</f>
        <v>0</v>
      </c>
      <c r="N181" s="124" t="n">
        <f aca="false">SUM(J$6:J181)</f>
        <v>0</v>
      </c>
      <c r="P181" s="124" t="n">
        <f aca="false">D181/P$3</f>
        <v>0</v>
      </c>
      <c r="Q181" s="124" t="n">
        <f aca="false">E181/P$3</f>
        <v>4.27932664147134</v>
      </c>
      <c r="R181" s="124" t="n">
        <f aca="false">F181/R$3</f>
        <v>0</v>
      </c>
      <c r="S181" s="126" t="n">
        <f aca="false">J181/$R$3</f>
        <v>0</v>
      </c>
      <c r="T181" s="126" t="n">
        <f aca="false">L181/$R$3</f>
        <v>0</v>
      </c>
      <c r="U181" s="126" t="n">
        <f aca="false">I181/$R$3</f>
        <v>0</v>
      </c>
      <c r="V181" s="126" t="n">
        <f aca="false">M181/$R$3</f>
        <v>0</v>
      </c>
      <c r="W181" s="126" t="n">
        <f aca="false">N181/$R$3</f>
        <v>0</v>
      </c>
    </row>
    <row r="182" customFormat="false" ht="12.75" hidden="true" customHeight="false" outlineLevel="0" collapsed="false">
      <c r="A182" s="120" t="n">
        <f aca="false">A181+1</f>
        <v>37068</v>
      </c>
      <c r="B182" s="131" t="str">
        <f aca="false">INDEX('Master Data'!$A$2:$B$8,MATCH(WEEKDAY('SC Total Gas'!A182,3),'Master Data'!$A$2:$A$8,0),2)</f>
        <v>T</v>
      </c>
      <c r="D182" s="124" t="n">
        <v>0</v>
      </c>
      <c r="E182" s="124" t="n">
        <v>4267841.39251854</v>
      </c>
      <c r="F182" s="124" t="n">
        <v>0</v>
      </c>
      <c r="G182" s="124" t="n">
        <v>0</v>
      </c>
      <c r="I182" s="124" t="n">
        <f aca="false">IF(MONTH($A182)=MONTH($A181),IF(G182=0,I181,G182),G182)</f>
        <v>0</v>
      </c>
      <c r="J182" s="124" t="n">
        <f aca="false">IF(MONTH($A182)=MONTH($A181),SUM(I182-I181),I182)</f>
        <v>0</v>
      </c>
      <c r="K182" s="124" t="n">
        <f aca="false">IF(WEEKDAY(A182,3)&gt;4,0,(IF(A182&lt;K$2,0,IF(A182&lt;=K$3,1,0))))</f>
        <v>0</v>
      </c>
      <c r="L182" s="124" t="n">
        <f aca="false">J182*K182</f>
        <v>0</v>
      </c>
      <c r="M182" s="124" t="n">
        <f aca="false">SUM(J$97:J182)</f>
        <v>0</v>
      </c>
      <c r="N182" s="124" t="n">
        <f aca="false">SUM(J$6:J182)</f>
        <v>0</v>
      </c>
      <c r="P182" s="124" t="n">
        <f aca="false">D182/P$3</f>
        <v>0</v>
      </c>
      <c r="Q182" s="124" t="n">
        <f aca="false">E182/P$3</f>
        <v>4.26784139251854</v>
      </c>
      <c r="R182" s="124" t="n">
        <f aca="false">F182/R$3</f>
        <v>0</v>
      </c>
      <c r="S182" s="126" t="n">
        <f aca="false">J182/$R$3</f>
        <v>0</v>
      </c>
      <c r="T182" s="126" t="n">
        <f aca="false">L182/$R$3</f>
        <v>0</v>
      </c>
      <c r="U182" s="126" t="n">
        <f aca="false">I182/$R$3</f>
        <v>0</v>
      </c>
      <c r="V182" s="126" t="n">
        <f aca="false">M182/$R$3</f>
        <v>0</v>
      </c>
      <c r="W182" s="126" t="n">
        <f aca="false">N182/$R$3</f>
        <v>0</v>
      </c>
    </row>
    <row r="183" customFormat="false" ht="12.75" hidden="true" customHeight="false" outlineLevel="0" collapsed="false">
      <c r="A183" s="120" t="n">
        <f aca="false">A182+1</f>
        <v>37069</v>
      </c>
      <c r="B183" s="131" t="str">
        <f aca="false">INDEX('Master Data'!$A$2:$B$8,MATCH(WEEKDAY('SC Total Gas'!A183,3),'Master Data'!$A$2:$A$8,0),2)</f>
        <v>W</v>
      </c>
      <c r="D183" s="124" t="n">
        <v>0</v>
      </c>
      <c r="E183" s="124" t="n">
        <v>4257276.44057676</v>
      </c>
      <c r="F183" s="124" t="n">
        <v>0</v>
      </c>
      <c r="G183" s="124" t="n">
        <v>0</v>
      </c>
      <c r="I183" s="124" t="n">
        <f aca="false">IF(MONTH($A183)=MONTH($A182),IF(G183=0,I182,G183),G183)</f>
        <v>0</v>
      </c>
      <c r="J183" s="124" t="n">
        <f aca="false">IF(MONTH($A183)=MONTH($A182),SUM(I183-I182),I183)</f>
        <v>0</v>
      </c>
      <c r="K183" s="124" t="n">
        <f aca="false">IF(WEEKDAY(A183,3)&gt;4,0,(IF(A183&lt;K$2,0,IF(A183&lt;=K$3,1,0))))</f>
        <v>0</v>
      </c>
      <c r="L183" s="124" t="n">
        <f aca="false">J183*K183</f>
        <v>0</v>
      </c>
      <c r="M183" s="124" t="n">
        <f aca="false">SUM(J$97:J183)</f>
        <v>0</v>
      </c>
      <c r="N183" s="124" t="n">
        <f aca="false">SUM(J$6:J183)</f>
        <v>0</v>
      </c>
      <c r="P183" s="124" t="n">
        <f aca="false">D183/P$3</f>
        <v>0</v>
      </c>
      <c r="Q183" s="124" t="n">
        <f aca="false">E183/P$3</f>
        <v>4.25727644057676</v>
      </c>
      <c r="R183" s="124" t="n">
        <f aca="false">F183/R$3</f>
        <v>0</v>
      </c>
      <c r="S183" s="126" t="n">
        <f aca="false">J183/$R$3</f>
        <v>0</v>
      </c>
      <c r="T183" s="126" t="n">
        <f aca="false">L183/$R$3</f>
        <v>0</v>
      </c>
      <c r="U183" s="126" t="n">
        <f aca="false">I183/$R$3</f>
        <v>0</v>
      </c>
      <c r="V183" s="126" t="n">
        <f aca="false">M183/$R$3</f>
        <v>0</v>
      </c>
      <c r="W183" s="126" t="n">
        <f aca="false">N183/$R$3</f>
        <v>0</v>
      </c>
    </row>
    <row r="184" customFormat="false" ht="12.75" hidden="true" customHeight="false" outlineLevel="0" collapsed="false">
      <c r="A184" s="120" t="n">
        <f aca="false">A183+1</f>
        <v>37070</v>
      </c>
      <c r="B184" s="131" t="str">
        <f aca="false">INDEX('Master Data'!$A$2:$B$8,MATCH(WEEKDAY('SC Total Gas'!A184,3),'Master Data'!$A$2:$A$8,0),2)</f>
        <v>Th</v>
      </c>
      <c r="D184" s="124" t="n">
        <v>0</v>
      </c>
      <c r="E184" s="124" t="n">
        <v>4238165.63586541</v>
      </c>
      <c r="F184" s="124" t="n">
        <v>0</v>
      </c>
      <c r="G184" s="124" t="n">
        <v>0</v>
      </c>
      <c r="I184" s="124" t="n">
        <f aca="false">IF(MONTH($A184)=MONTH($A183),IF(G184=0,I183,G184),G184)</f>
        <v>0</v>
      </c>
      <c r="J184" s="124" t="n">
        <f aca="false">IF(MONTH($A184)=MONTH($A183),SUM(I184-I183),I184)</f>
        <v>0</v>
      </c>
      <c r="K184" s="124" t="n">
        <f aca="false">IF(WEEKDAY(A184,3)&gt;4,0,(IF(A184&lt;K$2,0,IF(A184&lt;=K$3,1,0))))</f>
        <v>0</v>
      </c>
      <c r="L184" s="124" t="n">
        <f aca="false">J184*K184</f>
        <v>0</v>
      </c>
      <c r="M184" s="124" t="n">
        <f aca="false">SUM(J$97:J184)</f>
        <v>0</v>
      </c>
      <c r="N184" s="124" t="n">
        <f aca="false">SUM(J$6:J184)</f>
        <v>0</v>
      </c>
      <c r="P184" s="124" t="n">
        <f aca="false">D184/P$3</f>
        <v>0</v>
      </c>
      <c r="Q184" s="124" t="n">
        <f aca="false">E184/P$3</f>
        <v>4.23816563586541</v>
      </c>
      <c r="R184" s="124" t="n">
        <f aca="false">F184/R$3</f>
        <v>0</v>
      </c>
      <c r="S184" s="126" t="n">
        <f aca="false">J184/$R$3</f>
        <v>0</v>
      </c>
      <c r="T184" s="126" t="n">
        <f aca="false">L184/$R$3</f>
        <v>0</v>
      </c>
      <c r="U184" s="126" t="n">
        <f aca="false">I184/$R$3</f>
        <v>0</v>
      </c>
      <c r="V184" s="126" t="n">
        <f aca="false">M184/$R$3</f>
        <v>0</v>
      </c>
      <c r="W184" s="126" t="n">
        <f aca="false">N184/$R$3</f>
        <v>0</v>
      </c>
    </row>
    <row r="185" customFormat="false" ht="12.75" hidden="true" customHeight="false" outlineLevel="0" collapsed="false">
      <c r="A185" s="120" t="n">
        <f aca="false">A184+1</f>
        <v>37071</v>
      </c>
      <c r="B185" s="131" t="str">
        <f aca="false">INDEX('Master Data'!$A$2:$B$8,MATCH(WEEKDAY('SC Total Gas'!A185,3),'Master Data'!$A$2:$A$8,0),2)</f>
        <v>F</v>
      </c>
      <c r="D185" s="124" t="n">
        <v>0</v>
      </c>
      <c r="E185" s="124" t="n">
        <v>4233572.83705155</v>
      </c>
      <c r="F185" s="124" t="n">
        <v>0</v>
      </c>
      <c r="G185" s="124" t="n">
        <v>0</v>
      </c>
      <c r="I185" s="124" t="n">
        <f aca="false">IF(MONTH($A185)=MONTH($A184),IF(G185=0,I184,G185),G185)</f>
        <v>0</v>
      </c>
      <c r="J185" s="124" t="n">
        <f aca="false">IF(MONTH($A185)=MONTH($A184),SUM(I185-I184),I185)</f>
        <v>0</v>
      </c>
      <c r="K185" s="124" t="n">
        <f aca="false">IF(WEEKDAY(A185,3)&gt;4,0,(IF(A185&lt;K$2,0,IF(A185&lt;=K$3,1,0))))</f>
        <v>0</v>
      </c>
      <c r="L185" s="124" t="n">
        <f aca="false">J185*K185</f>
        <v>0</v>
      </c>
      <c r="M185" s="124" t="n">
        <f aca="false">SUM(J$97:J185)</f>
        <v>0</v>
      </c>
      <c r="N185" s="124" t="n">
        <f aca="false">SUM(J$6:J185)</f>
        <v>0</v>
      </c>
      <c r="P185" s="124" t="n">
        <f aca="false">D185/P$3</f>
        <v>0</v>
      </c>
      <c r="Q185" s="124" t="n">
        <f aca="false">E185/P$3</f>
        <v>4.23357283705155</v>
      </c>
      <c r="R185" s="124" t="n">
        <f aca="false">F185/R$3</f>
        <v>0</v>
      </c>
      <c r="S185" s="126" t="n">
        <f aca="false">J185/$R$3</f>
        <v>0</v>
      </c>
      <c r="T185" s="126" t="n">
        <f aca="false">L185/$R$3</f>
        <v>0</v>
      </c>
      <c r="U185" s="126" t="n">
        <f aca="false">I185/$R$3</f>
        <v>0</v>
      </c>
      <c r="V185" s="126" t="n">
        <f aca="false">M185/$R$3</f>
        <v>0</v>
      </c>
      <c r="W185" s="126" t="n">
        <f aca="false">N185/$R$3</f>
        <v>0</v>
      </c>
    </row>
    <row r="186" customFormat="false" ht="12.75" hidden="false" customHeight="false" outlineLevel="0" collapsed="false">
      <c r="A186" s="120" t="n">
        <f aca="false">A185+1</f>
        <v>37072</v>
      </c>
      <c r="B186" s="131" t="str">
        <f aca="false">INDEX('Master Data'!$A$2:$B$8,MATCH(WEEKDAY('SC Total Gas'!A186,3),'Master Data'!$A$2:$A$8,0),2)</f>
        <v>Sa</v>
      </c>
      <c r="D186" s="124" t="n">
        <v>0</v>
      </c>
      <c r="E186" s="124" t="n">
        <v>0</v>
      </c>
      <c r="F186" s="124" t="n">
        <v>0</v>
      </c>
      <c r="G186" s="124" t="n">
        <v>0</v>
      </c>
      <c r="I186" s="124" t="n">
        <f aca="false">IF(MONTH($A186)=MONTH($A185),IF(G186=0,I185,G186),G186)</f>
        <v>0</v>
      </c>
      <c r="J186" s="124" t="n">
        <f aca="false">IF(MONTH($A186)=MONTH($A185),SUM(I186-I185),I186)</f>
        <v>0</v>
      </c>
      <c r="K186" s="124" t="n">
        <f aca="false">IF(WEEKDAY(A186,3)&gt;4,0,(IF(A186&lt;K$2,0,IF(A186&lt;=K$3,1,0))))</f>
        <v>0</v>
      </c>
      <c r="L186" s="124" t="n">
        <f aca="false">J186*K186</f>
        <v>0</v>
      </c>
      <c r="M186" s="124" t="n">
        <f aca="false">SUM(J$97:J186)</f>
        <v>0</v>
      </c>
      <c r="N186" s="124" t="n">
        <f aca="false">SUM(J$6:J186)</f>
        <v>0</v>
      </c>
      <c r="P186" s="124" t="n">
        <f aca="false">D186/P$3</f>
        <v>0</v>
      </c>
      <c r="Q186" s="124" t="n">
        <f aca="false">E186/P$3</f>
        <v>0</v>
      </c>
      <c r="R186" s="124" t="n">
        <f aca="false">F186/R$3</f>
        <v>0</v>
      </c>
      <c r="S186" s="126" t="n">
        <f aca="false">J186/$R$3</f>
        <v>0</v>
      </c>
      <c r="T186" s="126" t="n">
        <f aca="false">L186/$R$3</f>
        <v>0</v>
      </c>
      <c r="U186" s="126" t="n">
        <f aca="false">I186/$R$3</f>
        <v>0</v>
      </c>
      <c r="V186" s="126" t="n">
        <f aca="false">M186/$R$3</f>
        <v>0</v>
      </c>
      <c r="W186" s="126" t="n">
        <f aca="false">N186/$R$3</f>
        <v>0</v>
      </c>
    </row>
    <row r="187" customFormat="false" ht="12.75" hidden="true" customHeight="false" outlineLevel="0" collapsed="false">
      <c r="A187" s="120" t="n">
        <f aca="false">A186+1</f>
        <v>37073</v>
      </c>
      <c r="B187" s="131" t="str">
        <f aca="false">INDEX('Master Data'!$A$2:$B$8,MATCH(WEEKDAY('SC Total Gas'!A187,3),'Master Data'!$A$2:$A$8,0),2)</f>
        <v>Su</v>
      </c>
      <c r="D187" s="124" t="n">
        <v>0</v>
      </c>
      <c r="E187" s="124" t="n">
        <v>0</v>
      </c>
      <c r="F187" s="124" t="n">
        <v>0</v>
      </c>
      <c r="G187" s="124" t="n">
        <v>0</v>
      </c>
      <c r="I187" s="124" t="n">
        <f aca="false">IF(MONTH($A187)=MONTH($A186),IF(G187=0,I186,G187),G187)</f>
        <v>0</v>
      </c>
      <c r="J187" s="124" t="n">
        <f aca="false">IF(MONTH($A187)=MONTH($A186),SUM(I187-I186),I187)</f>
        <v>0</v>
      </c>
      <c r="K187" s="124" t="n">
        <f aca="false">IF(WEEKDAY(A187,3)&gt;4,0,(IF(A187&lt;K$2,0,IF(A187&lt;=K$3,1,0))))</f>
        <v>0</v>
      </c>
      <c r="L187" s="124" t="n">
        <f aca="false">J187*K187</f>
        <v>0</v>
      </c>
      <c r="M187" s="124" t="n">
        <f aca="false">SUM(J$97:J187)</f>
        <v>0</v>
      </c>
      <c r="N187" s="124" t="n">
        <f aca="false">SUM(J$6:J187)</f>
        <v>0</v>
      </c>
      <c r="P187" s="124" t="n">
        <f aca="false">D187/P$3</f>
        <v>0</v>
      </c>
      <c r="Q187" s="124" t="n">
        <f aca="false">E187/P$3</f>
        <v>0</v>
      </c>
      <c r="R187" s="124" t="n">
        <f aca="false">F187/R$3</f>
        <v>0</v>
      </c>
      <c r="S187" s="126" t="n">
        <f aca="false">J187/$R$3</f>
        <v>0</v>
      </c>
      <c r="T187" s="126" t="n">
        <f aca="false">L187/$R$3</f>
        <v>0</v>
      </c>
      <c r="U187" s="126" t="n">
        <f aca="false">I187/$R$3</f>
        <v>0</v>
      </c>
      <c r="V187" s="126" t="n">
        <f aca="false">M187/$R$3</f>
        <v>0</v>
      </c>
      <c r="W187" s="126" t="n">
        <f aca="false">N187/$R$3</f>
        <v>0</v>
      </c>
    </row>
    <row r="188" customFormat="false" ht="12.75" hidden="true" customHeight="false" outlineLevel="0" collapsed="false">
      <c r="A188" s="120" t="n">
        <f aca="false">A187+1</f>
        <v>37074</v>
      </c>
      <c r="B188" s="131" t="str">
        <f aca="false">INDEX('Master Data'!$A$2:$B$8,MATCH(WEEKDAY('SC Total Gas'!A188,3),'Master Data'!$A$2:$A$8,0),2)</f>
        <v>M</v>
      </c>
      <c r="D188" s="124" t="n">
        <v>0</v>
      </c>
      <c r="E188" s="124" t="n">
        <v>4243161.03076066</v>
      </c>
      <c r="F188" s="124" t="n">
        <v>0</v>
      </c>
      <c r="G188" s="124" t="n">
        <v>0</v>
      </c>
      <c r="I188" s="124" t="n">
        <f aca="false">IF(MONTH($A188)=MONTH($A187),IF(G188=0,I187,G188),G188)</f>
        <v>0</v>
      </c>
      <c r="J188" s="124" t="n">
        <f aca="false">IF(MONTH($A188)=MONTH($A187),SUM(I188-I187),I188)</f>
        <v>0</v>
      </c>
      <c r="K188" s="124" t="n">
        <f aca="false">IF(WEEKDAY(A188,3)&gt;4,0,(IF(A188&lt;K$2,0,IF(A188&lt;=K$3,1,0))))</f>
        <v>0</v>
      </c>
      <c r="L188" s="124" t="n">
        <f aca="false">J188*K188</f>
        <v>0</v>
      </c>
      <c r="M188" s="124" t="n">
        <f aca="false">SUM(J$97:J188)</f>
        <v>0</v>
      </c>
      <c r="N188" s="124" t="n">
        <f aca="false">SUM(J$6:J188)</f>
        <v>0</v>
      </c>
      <c r="P188" s="124" t="n">
        <f aca="false">D188/P$3</f>
        <v>0</v>
      </c>
      <c r="Q188" s="124" t="n">
        <f aca="false">E188/P$3</f>
        <v>4.24316103076066</v>
      </c>
      <c r="R188" s="124" t="n">
        <f aca="false">F188/R$3</f>
        <v>0</v>
      </c>
      <c r="S188" s="126" t="n">
        <f aca="false">J188/$R$3</f>
        <v>0</v>
      </c>
      <c r="T188" s="126" t="n">
        <f aca="false">L188/$R$3</f>
        <v>0</v>
      </c>
      <c r="U188" s="126" t="n">
        <f aca="false">I188/$R$3</f>
        <v>0</v>
      </c>
      <c r="V188" s="126" t="n">
        <f aca="false">M188/$R$3</f>
        <v>0</v>
      </c>
      <c r="W188" s="126" t="n">
        <f aca="false">N188/$R$3</f>
        <v>0</v>
      </c>
    </row>
    <row r="189" customFormat="false" ht="12.75" hidden="true" customHeight="false" outlineLevel="0" collapsed="false">
      <c r="A189" s="120" t="n">
        <f aca="false">A188+1</f>
        <v>37075</v>
      </c>
      <c r="B189" s="131" t="str">
        <f aca="false">INDEX('Master Data'!$A$2:$B$8,MATCH(WEEKDAY('SC Total Gas'!A189,3),'Master Data'!$A$2:$A$8,0),2)</f>
        <v>T</v>
      </c>
      <c r="D189" s="124" t="n">
        <v>0</v>
      </c>
      <c r="E189" s="124" t="n">
        <v>4240018.25023712</v>
      </c>
      <c r="F189" s="124" t="n">
        <v>0</v>
      </c>
      <c r="G189" s="124" t="n">
        <v>0</v>
      </c>
      <c r="I189" s="124" t="n">
        <f aca="false">IF(MONTH($A189)=MONTH($A188),IF(G189=0,I188,G189),G189)</f>
        <v>0</v>
      </c>
      <c r="J189" s="124" t="n">
        <f aca="false">IF(MONTH($A189)=MONTH($A188),SUM(I189-I188),I189)</f>
        <v>0</v>
      </c>
      <c r="K189" s="124" t="n">
        <f aca="false">IF(WEEKDAY(A189,3)&gt;4,0,(IF(A189&lt;K$2,0,IF(A189&lt;=K$3,1,0))))</f>
        <v>0</v>
      </c>
      <c r="L189" s="124" t="n">
        <f aca="false">J189*K189</f>
        <v>0</v>
      </c>
      <c r="M189" s="124" t="n">
        <f aca="false">SUM(J$97:J189)</f>
        <v>0</v>
      </c>
      <c r="N189" s="124" t="n">
        <f aca="false">SUM(J$6:J189)</f>
        <v>0</v>
      </c>
      <c r="P189" s="124" t="n">
        <f aca="false">D189/P$3</f>
        <v>0</v>
      </c>
      <c r="Q189" s="124" t="n">
        <f aca="false">E189/P$3</f>
        <v>4.24001825023712</v>
      </c>
      <c r="R189" s="124" t="n">
        <f aca="false">F189/R$3</f>
        <v>0</v>
      </c>
      <c r="S189" s="126" t="n">
        <f aca="false">J189/$R$3</f>
        <v>0</v>
      </c>
      <c r="T189" s="126" t="n">
        <f aca="false">L189/$R$3</f>
        <v>0</v>
      </c>
      <c r="U189" s="126" t="n">
        <f aca="false">I189/$R$3</f>
        <v>0</v>
      </c>
      <c r="V189" s="126" t="n">
        <f aca="false">M189/$R$3</f>
        <v>0</v>
      </c>
      <c r="W189" s="126" t="n">
        <f aca="false">N189/$R$3</f>
        <v>0</v>
      </c>
    </row>
    <row r="190" customFormat="false" ht="12.75" hidden="true" customHeight="false" outlineLevel="0" collapsed="false">
      <c r="A190" s="120" t="n">
        <f aca="false">A189+1</f>
        <v>37076</v>
      </c>
      <c r="B190" s="131" t="str">
        <f aca="false">INDEX('Master Data'!$A$2:$B$8,MATCH(WEEKDAY('SC Total Gas'!A190,3),'Master Data'!$A$2:$A$8,0),2)</f>
        <v>W</v>
      </c>
      <c r="D190" s="124" t="n">
        <v>0</v>
      </c>
      <c r="E190" s="124" t="n">
        <v>0</v>
      </c>
      <c r="F190" s="124" t="n">
        <v>0</v>
      </c>
      <c r="G190" s="124" t="n">
        <v>0</v>
      </c>
      <c r="I190" s="124" t="n">
        <f aca="false">IF(MONTH($A190)=MONTH($A189),IF(G190=0,I189,G190),G190)</f>
        <v>0</v>
      </c>
      <c r="J190" s="124" t="n">
        <f aca="false">IF(MONTH($A190)=MONTH($A189),SUM(I190-I189),I190)</f>
        <v>0</v>
      </c>
      <c r="K190" s="124" t="n">
        <f aca="false">IF(WEEKDAY(A190,3)&gt;4,0,(IF(A190&lt;K$2,0,IF(A190&lt;=K$3,1,0))))</f>
        <v>0</v>
      </c>
      <c r="L190" s="124" t="n">
        <f aca="false">J190*K190</f>
        <v>0</v>
      </c>
      <c r="M190" s="124" t="n">
        <f aca="false">SUM(J$97:J190)</f>
        <v>0</v>
      </c>
      <c r="N190" s="124" t="n">
        <f aca="false">SUM(J$6:J190)</f>
        <v>0</v>
      </c>
      <c r="P190" s="124" t="n">
        <f aca="false">D190/P$3</f>
        <v>0</v>
      </c>
      <c r="Q190" s="124" t="n">
        <f aca="false">E190/P$3</f>
        <v>0</v>
      </c>
      <c r="R190" s="124" t="n">
        <f aca="false">F190/R$3</f>
        <v>0</v>
      </c>
      <c r="S190" s="126" t="n">
        <f aca="false">J190/$R$3</f>
        <v>0</v>
      </c>
      <c r="T190" s="126" t="n">
        <f aca="false">L190/$R$3</f>
        <v>0</v>
      </c>
      <c r="U190" s="126" t="n">
        <f aca="false">I190/$R$3</f>
        <v>0</v>
      </c>
      <c r="V190" s="126" t="n">
        <f aca="false">M190/$R$3</f>
        <v>0</v>
      </c>
      <c r="W190" s="126" t="n">
        <f aca="false">N190/$R$3</f>
        <v>0</v>
      </c>
    </row>
    <row r="191" customFormat="false" ht="12.75" hidden="true" customHeight="false" outlineLevel="0" collapsed="false">
      <c r="A191" s="120" t="n">
        <f aca="false">A190+1</f>
        <v>37077</v>
      </c>
      <c r="B191" s="131" t="str">
        <f aca="false">INDEX('Master Data'!$A$2:$B$8,MATCH(WEEKDAY('SC Total Gas'!A191,3),'Master Data'!$A$2:$A$8,0),2)</f>
        <v>Th</v>
      </c>
      <c r="D191" s="124" t="n">
        <v>0</v>
      </c>
      <c r="E191" s="124" t="n">
        <v>4236923.83062632</v>
      </c>
      <c r="F191" s="124" t="n">
        <v>0</v>
      </c>
      <c r="G191" s="124" t="n">
        <v>0</v>
      </c>
      <c r="I191" s="124" t="n">
        <f aca="false">IF(MONTH($A191)=MONTH($A190),IF(G191=0,I190,G191),G191)</f>
        <v>0</v>
      </c>
      <c r="J191" s="124" t="n">
        <f aca="false">IF(MONTH($A191)=MONTH($A190),SUM(I191-I190),I191)</f>
        <v>0</v>
      </c>
      <c r="K191" s="124" t="n">
        <f aca="false">IF(WEEKDAY(A191,3)&gt;4,0,(IF(A191&lt;K$2,0,IF(A191&lt;=K$3,1,0))))</f>
        <v>0</v>
      </c>
      <c r="L191" s="124" t="n">
        <f aca="false">J191*K191</f>
        <v>0</v>
      </c>
      <c r="M191" s="124" t="n">
        <f aca="false">SUM(J$97:J191)</f>
        <v>0</v>
      </c>
      <c r="N191" s="124" t="n">
        <f aca="false">SUM(J$6:J191)</f>
        <v>0</v>
      </c>
      <c r="P191" s="124" t="n">
        <f aca="false">D191/P$3</f>
        <v>0</v>
      </c>
      <c r="Q191" s="124" t="n">
        <f aca="false">E191/P$3</f>
        <v>4.23692383062632</v>
      </c>
      <c r="R191" s="124" t="n">
        <f aca="false">F191/R$3</f>
        <v>0</v>
      </c>
      <c r="S191" s="126" t="n">
        <f aca="false">J191/$R$3</f>
        <v>0</v>
      </c>
      <c r="T191" s="126" t="n">
        <f aca="false">L191/$R$3</f>
        <v>0</v>
      </c>
      <c r="U191" s="126" t="n">
        <f aca="false">I191/$R$3</f>
        <v>0</v>
      </c>
      <c r="V191" s="126" t="n">
        <f aca="false">M191/$R$3</f>
        <v>0</v>
      </c>
      <c r="W191" s="126" t="n">
        <f aca="false">N191/$R$3</f>
        <v>0</v>
      </c>
    </row>
    <row r="192" customFormat="false" ht="12.75" hidden="true" customHeight="false" outlineLevel="0" collapsed="false">
      <c r="A192" s="120" t="n">
        <f aca="false">A191+1</f>
        <v>37078</v>
      </c>
      <c r="B192" s="131" t="str">
        <f aca="false">INDEX('Master Data'!$A$2:$B$8,MATCH(WEEKDAY('SC Total Gas'!A192,3),'Master Data'!$A$2:$A$8,0),2)</f>
        <v>F</v>
      </c>
      <c r="D192" s="124" t="n">
        <v>0</v>
      </c>
      <c r="E192" s="124" t="n">
        <v>4251338.38524079</v>
      </c>
      <c r="F192" s="124" t="n">
        <v>0</v>
      </c>
      <c r="G192" s="124" t="n">
        <v>0</v>
      </c>
      <c r="I192" s="124" t="n">
        <f aca="false">IF(MONTH($A192)=MONTH($A191),IF(G192=0,I191,G192),G192)</f>
        <v>0</v>
      </c>
      <c r="J192" s="124" t="n">
        <f aca="false">IF(MONTH($A192)=MONTH($A191),SUM(I192-I191),I192)</f>
        <v>0</v>
      </c>
      <c r="K192" s="124" t="n">
        <f aca="false">IF(WEEKDAY(A192,3)&gt;4,0,(IF(A192&lt;K$2,0,IF(A192&lt;=K$3,1,0))))</f>
        <v>0</v>
      </c>
      <c r="L192" s="124" t="n">
        <f aca="false">J192*K192</f>
        <v>0</v>
      </c>
      <c r="M192" s="124" t="n">
        <f aca="false">SUM(J$97:J192)</f>
        <v>0</v>
      </c>
      <c r="N192" s="124" t="n">
        <f aca="false">SUM(J$6:J192)</f>
        <v>0</v>
      </c>
      <c r="P192" s="124" t="n">
        <f aca="false">D192/P$3</f>
        <v>0</v>
      </c>
      <c r="Q192" s="124" t="n">
        <f aca="false">E192/P$3</f>
        <v>4.25133838524079</v>
      </c>
      <c r="R192" s="124" t="n">
        <f aca="false">F192/R$3</f>
        <v>0</v>
      </c>
      <c r="S192" s="126" t="n">
        <f aca="false">J192/$R$3</f>
        <v>0</v>
      </c>
      <c r="T192" s="126" t="n">
        <f aca="false">L192/$R$3</f>
        <v>0</v>
      </c>
      <c r="U192" s="126" t="n">
        <f aca="false">I192/$R$3</f>
        <v>0</v>
      </c>
      <c r="V192" s="126" t="n">
        <f aca="false">M192/$R$3</f>
        <v>0</v>
      </c>
      <c r="W192" s="126" t="n">
        <f aca="false">N192/$R$3</f>
        <v>0</v>
      </c>
    </row>
    <row r="193" customFormat="false" ht="12.75" hidden="true" customHeight="false" outlineLevel="0" collapsed="false">
      <c r="A193" s="120" t="n">
        <f aca="false">A192+1</f>
        <v>37079</v>
      </c>
      <c r="B193" s="131" t="str">
        <f aca="false">INDEX('Master Data'!$A$2:$B$8,MATCH(WEEKDAY('SC Total Gas'!A193,3),'Master Data'!$A$2:$A$8,0),2)</f>
        <v>Sa</v>
      </c>
      <c r="D193" s="124" t="n">
        <v>0</v>
      </c>
      <c r="E193" s="124" t="n">
        <v>0</v>
      </c>
      <c r="F193" s="124" t="n">
        <v>0</v>
      </c>
      <c r="G193" s="124" t="n">
        <v>0</v>
      </c>
      <c r="I193" s="124" t="n">
        <f aca="false">IF(MONTH($A193)=MONTH($A192),IF(G193=0,I192,G193),G193)</f>
        <v>0</v>
      </c>
      <c r="J193" s="124" t="n">
        <f aca="false">IF(MONTH($A193)=MONTH($A192),SUM(I193-I192),I193)</f>
        <v>0</v>
      </c>
      <c r="K193" s="124" t="n">
        <f aca="false">IF(WEEKDAY(A193,3)&gt;4,0,(IF(A193&lt;K$2,0,IF(A193&lt;=K$3,1,0))))</f>
        <v>0</v>
      </c>
      <c r="L193" s="124" t="n">
        <f aca="false">J193*K193</f>
        <v>0</v>
      </c>
      <c r="M193" s="124" t="n">
        <f aca="false">SUM(J$97:J193)</f>
        <v>0</v>
      </c>
      <c r="N193" s="124" t="n">
        <f aca="false">SUM(J$6:J193)</f>
        <v>0</v>
      </c>
      <c r="P193" s="124" t="n">
        <f aca="false">D193/P$3</f>
        <v>0</v>
      </c>
      <c r="Q193" s="124" t="n">
        <f aca="false">E193/P$3</f>
        <v>0</v>
      </c>
      <c r="R193" s="124" t="n">
        <f aca="false">F193/R$3</f>
        <v>0</v>
      </c>
      <c r="S193" s="126" t="n">
        <f aca="false">J193/$R$3</f>
        <v>0</v>
      </c>
      <c r="T193" s="126" t="n">
        <f aca="false">L193/$R$3</f>
        <v>0</v>
      </c>
      <c r="U193" s="126" t="n">
        <f aca="false">I193/$R$3</f>
        <v>0</v>
      </c>
      <c r="V193" s="126" t="n">
        <f aca="false">M193/$R$3</f>
        <v>0</v>
      </c>
      <c r="W193" s="126" t="n">
        <f aca="false">N193/$R$3</f>
        <v>0</v>
      </c>
    </row>
    <row r="194" customFormat="false" ht="12.75" hidden="true" customHeight="false" outlineLevel="0" collapsed="false">
      <c r="A194" s="120" t="n">
        <f aca="false">A193+1</f>
        <v>37080</v>
      </c>
      <c r="B194" s="131" t="str">
        <f aca="false">INDEX('Master Data'!$A$2:$B$8,MATCH(WEEKDAY('SC Total Gas'!A194,3),'Master Data'!$A$2:$A$8,0),2)</f>
        <v>Su</v>
      </c>
      <c r="D194" s="124" t="n">
        <v>0</v>
      </c>
      <c r="E194" s="124" t="n">
        <v>0</v>
      </c>
      <c r="F194" s="124" t="n">
        <v>0</v>
      </c>
      <c r="G194" s="124" t="n">
        <v>0</v>
      </c>
      <c r="I194" s="124" t="n">
        <f aca="false">IF(MONTH($A194)=MONTH($A193),IF(G194=0,I193,G194),G194)</f>
        <v>0</v>
      </c>
      <c r="J194" s="124" t="n">
        <f aca="false">IF(MONTH($A194)=MONTH($A193),SUM(I194-I193),I194)</f>
        <v>0</v>
      </c>
      <c r="K194" s="124" t="n">
        <f aca="false">IF(WEEKDAY(A194,3)&gt;4,0,(IF(A194&lt;K$2,0,IF(A194&lt;=K$3,1,0))))</f>
        <v>0</v>
      </c>
      <c r="L194" s="124" t="n">
        <f aca="false">J194*K194</f>
        <v>0</v>
      </c>
      <c r="M194" s="124" t="n">
        <f aca="false">SUM(J$97:J194)</f>
        <v>0</v>
      </c>
      <c r="N194" s="124" t="n">
        <f aca="false">SUM(J$6:J194)</f>
        <v>0</v>
      </c>
      <c r="P194" s="124" t="n">
        <f aca="false">D194/P$3</f>
        <v>0</v>
      </c>
      <c r="Q194" s="124" t="n">
        <f aca="false">E194/P$3</f>
        <v>0</v>
      </c>
      <c r="R194" s="124" t="n">
        <f aca="false">F194/R$3</f>
        <v>0</v>
      </c>
      <c r="S194" s="126" t="n">
        <f aca="false">J194/$R$3</f>
        <v>0</v>
      </c>
      <c r="T194" s="126" t="n">
        <f aca="false">L194/$R$3</f>
        <v>0</v>
      </c>
      <c r="U194" s="126" t="n">
        <f aca="false">I194/$R$3</f>
        <v>0</v>
      </c>
      <c r="V194" s="126" t="n">
        <f aca="false">M194/$R$3</f>
        <v>0</v>
      </c>
      <c r="W194" s="126" t="n">
        <f aca="false">N194/$R$3</f>
        <v>0</v>
      </c>
    </row>
    <row r="195" customFormat="false" ht="12.75" hidden="true" customHeight="false" outlineLevel="0" collapsed="false">
      <c r="A195" s="120" t="n">
        <f aca="false">A194+1</f>
        <v>37081</v>
      </c>
      <c r="B195" s="131" t="str">
        <f aca="false">INDEX('Master Data'!$A$2:$B$8,MATCH(WEEKDAY('SC Total Gas'!A195,3),'Master Data'!$A$2:$A$8,0),2)</f>
        <v>M</v>
      </c>
      <c r="D195" s="124" t="n">
        <v>0</v>
      </c>
      <c r="E195" s="124" t="n">
        <v>4255486.82896927</v>
      </c>
      <c r="F195" s="124" t="n">
        <v>0</v>
      </c>
      <c r="G195" s="124" t="n">
        <v>0</v>
      </c>
      <c r="I195" s="124" t="n">
        <f aca="false">IF(MONTH($A195)=MONTH($A194),IF(G195=0,I194,G195),G195)</f>
        <v>0</v>
      </c>
      <c r="J195" s="124" t="n">
        <f aca="false">IF(MONTH($A195)=MONTH($A194),SUM(I195-I194),I195)</f>
        <v>0</v>
      </c>
      <c r="K195" s="124" t="n">
        <f aca="false">IF(WEEKDAY(A195,3)&gt;4,0,(IF(A195&lt;K$2,0,IF(A195&lt;=K$3,1,0))))</f>
        <v>0</v>
      </c>
      <c r="L195" s="124" t="n">
        <f aca="false">J195*K195</f>
        <v>0</v>
      </c>
      <c r="M195" s="124" t="n">
        <f aca="false">SUM(J$97:J195)</f>
        <v>0</v>
      </c>
      <c r="N195" s="124" t="n">
        <f aca="false">SUM(J$6:J195)</f>
        <v>0</v>
      </c>
      <c r="P195" s="124" t="n">
        <f aca="false">D195/P$3</f>
        <v>0</v>
      </c>
      <c r="Q195" s="124" t="n">
        <f aca="false">E195/P$3</f>
        <v>4.25548682896927</v>
      </c>
      <c r="R195" s="124" t="n">
        <f aca="false">F195/R$3</f>
        <v>0</v>
      </c>
      <c r="S195" s="126" t="n">
        <f aca="false">J195/$R$3</f>
        <v>0</v>
      </c>
      <c r="T195" s="126" t="n">
        <f aca="false">L195/$R$3</f>
        <v>0</v>
      </c>
      <c r="U195" s="126" t="n">
        <f aca="false">I195/$R$3</f>
        <v>0</v>
      </c>
      <c r="V195" s="126" t="n">
        <f aca="false">M195/$R$3</f>
        <v>0</v>
      </c>
      <c r="W195" s="126" t="n">
        <f aca="false">N195/$R$3</f>
        <v>0</v>
      </c>
    </row>
    <row r="196" customFormat="false" ht="12.75" hidden="true" customHeight="false" outlineLevel="0" collapsed="false">
      <c r="A196" s="120" t="n">
        <f aca="false">A195+1</f>
        <v>37082</v>
      </c>
      <c r="B196" s="131" t="str">
        <f aca="false">INDEX('Master Data'!$A$2:$B$8,MATCH(WEEKDAY('SC Total Gas'!A196,3),'Master Data'!$A$2:$A$8,0),2)</f>
        <v>T</v>
      </c>
      <c r="D196" s="124" t="n">
        <v>0</v>
      </c>
      <c r="E196" s="124" t="n">
        <v>4263713.481527</v>
      </c>
      <c r="F196" s="124" t="n">
        <v>0</v>
      </c>
      <c r="G196" s="124" t="n">
        <v>0</v>
      </c>
      <c r="I196" s="124" t="n">
        <f aca="false">IF(MONTH($A196)=MONTH($A195),IF(G196=0,I195,G196),G196)</f>
        <v>0</v>
      </c>
      <c r="J196" s="124" t="n">
        <f aca="false">IF(MONTH($A196)=MONTH($A195),SUM(I196-I195),I196)</f>
        <v>0</v>
      </c>
      <c r="K196" s="124" t="n">
        <f aca="false">IF(WEEKDAY(A196,3)&gt;4,0,(IF(A196&lt;K$2,0,IF(A196&lt;=K$3,1,0))))</f>
        <v>0</v>
      </c>
      <c r="L196" s="124" t="n">
        <f aca="false">J196*K196</f>
        <v>0</v>
      </c>
      <c r="M196" s="124" t="n">
        <f aca="false">SUM(J$97:J196)</f>
        <v>0</v>
      </c>
      <c r="N196" s="124" t="n">
        <f aca="false">SUM(J$6:J196)</f>
        <v>0</v>
      </c>
      <c r="P196" s="124" t="n">
        <f aca="false">D196/P$3</f>
        <v>0</v>
      </c>
      <c r="Q196" s="124" t="n">
        <f aca="false">E196/P$3</f>
        <v>4.263713481527</v>
      </c>
      <c r="R196" s="124" t="n">
        <f aca="false">F196/R$3</f>
        <v>0</v>
      </c>
      <c r="S196" s="126" t="n">
        <f aca="false">J196/$R$3</f>
        <v>0</v>
      </c>
      <c r="T196" s="126" t="n">
        <f aca="false">L196/$R$3</f>
        <v>0</v>
      </c>
      <c r="U196" s="126" t="n">
        <f aca="false">I196/$R$3</f>
        <v>0</v>
      </c>
      <c r="V196" s="126" t="n">
        <f aca="false">M196/$R$3</f>
        <v>0</v>
      </c>
      <c r="W196" s="126" t="n">
        <f aca="false">N196/$R$3</f>
        <v>0</v>
      </c>
    </row>
    <row r="197" customFormat="false" ht="12.75" hidden="true" customHeight="false" outlineLevel="0" collapsed="false">
      <c r="A197" s="120" t="n">
        <f aca="false">A196+1</f>
        <v>37083</v>
      </c>
      <c r="B197" s="131" t="str">
        <f aca="false">INDEX('Master Data'!$A$2:$B$8,MATCH(WEEKDAY('SC Total Gas'!A197,3),'Master Data'!$A$2:$A$8,0),2)</f>
        <v>W</v>
      </c>
      <c r="D197" s="124" t="n">
        <v>0</v>
      </c>
      <c r="E197" s="124" t="n">
        <v>4265312.8530279</v>
      </c>
      <c r="F197" s="124" t="n">
        <v>0</v>
      </c>
      <c r="G197" s="124" t="n">
        <v>0</v>
      </c>
      <c r="I197" s="124" t="n">
        <f aca="false">IF(MONTH($A197)=MONTH($A196),IF(G197=0,I196,G197),G197)</f>
        <v>0</v>
      </c>
      <c r="J197" s="124" t="n">
        <f aca="false">IF(MONTH($A197)=MONTH($A196),SUM(I197-I196),I197)</f>
        <v>0</v>
      </c>
      <c r="K197" s="124" t="n">
        <f aca="false">IF(WEEKDAY(A197,3)&gt;4,0,(IF(A197&lt;K$2,0,IF(A197&lt;=K$3,1,0))))</f>
        <v>0</v>
      </c>
      <c r="L197" s="124" t="n">
        <f aca="false">J197*K197</f>
        <v>0</v>
      </c>
      <c r="M197" s="124" t="n">
        <f aca="false">SUM(J$97:J197)</f>
        <v>0</v>
      </c>
      <c r="N197" s="124" t="n">
        <f aca="false">SUM(J$6:J197)</f>
        <v>0</v>
      </c>
      <c r="P197" s="124" t="n">
        <f aca="false">D197/P$3</f>
        <v>0</v>
      </c>
      <c r="Q197" s="124" t="n">
        <f aca="false">E197/P$3</f>
        <v>4.2653128530279</v>
      </c>
      <c r="R197" s="124" t="n">
        <f aca="false">F197/R$3</f>
        <v>0</v>
      </c>
      <c r="S197" s="126" t="n">
        <f aca="false">J197/$R$3</f>
        <v>0</v>
      </c>
      <c r="T197" s="126" t="n">
        <f aca="false">L197/$R$3</f>
        <v>0</v>
      </c>
      <c r="U197" s="126" t="n">
        <f aca="false">I197/$R$3</f>
        <v>0</v>
      </c>
      <c r="V197" s="126" t="n">
        <f aca="false">M197/$R$3</f>
        <v>0</v>
      </c>
      <c r="W197" s="126" t="n">
        <f aca="false">N197/$R$3</f>
        <v>0</v>
      </c>
    </row>
    <row r="198" customFormat="false" ht="12.75" hidden="true" customHeight="false" outlineLevel="0" collapsed="false">
      <c r="A198" s="120" t="n">
        <f aca="false">A197+1</f>
        <v>37084</v>
      </c>
      <c r="B198" s="131" t="str">
        <f aca="false">INDEX('Master Data'!$A$2:$B$8,MATCH(WEEKDAY('SC Total Gas'!A198,3),'Master Data'!$A$2:$A$8,0),2)</f>
        <v>Th</v>
      </c>
      <c r="D198" s="124" t="n">
        <v>0</v>
      </c>
      <c r="E198" s="124" t="n">
        <v>4262188.3298753</v>
      </c>
      <c r="F198" s="124" t="n">
        <v>0</v>
      </c>
      <c r="G198" s="124" t="n">
        <v>0</v>
      </c>
      <c r="I198" s="124" t="n">
        <f aca="false">IF(MONTH($A198)=MONTH($A197),IF(G198=0,I197,G198),G198)</f>
        <v>0</v>
      </c>
      <c r="J198" s="124" t="n">
        <f aca="false">IF(MONTH($A198)=MONTH($A197),SUM(I198-I197),I198)</f>
        <v>0</v>
      </c>
      <c r="K198" s="124" t="n">
        <f aca="false">IF(WEEKDAY(A198,3)&gt;4,0,(IF(A198&lt;K$2,0,IF(A198&lt;=K$3,1,0))))</f>
        <v>0</v>
      </c>
      <c r="L198" s="124" t="n">
        <f aca="false">J198*K198</f>
        <v>0</v>
      </c>
      <c r="M198" s="124" t="n">
        <f aca="false">SUM(J$97:J198)</f>
        <v>0</v>
      </c>
      <c r="N198" s="124" t="n">
        <f aca="false">SUM(J$6:J198)</f>
        <v>0</v>
      </c>
      <c r="P198" s="124" t="n">
        <f aca="false">D198/P$3</f>
        <v>0</v>
      </c>
      <c r="Q198" s="124" t="n">
        <f aca="false">E198/P$3</f>
        <v>4.2621883298753</v>
      </c>
      <c r="R198" s="124" t="n">
        <f aca="false">F198/R$3</f>
        <v>0</v>
      </c>
      <c r="S198" s="126" t="n">
        <f aca="false">J198/$R$3</f>
        <v>0</v>
      </c>
      <c r="T198" s="126" t="n">
        <f aca="false">L198/$R$3</f>
        <v>0</v>
      </c>
      <c r="U198" s="126" t="n">
        <f aca="false">I198/$R$3</f>
        <v>0</v>
      </c>
      <c r="V198" s="126" t="n">
        <f aca="false">M198/$R$3</f>
        <v>0</v>
      </c>
      <c r="W198" s="126" t="n">
        <f aca="false">N198/$R$3</f>
        <v>0</v>
      </c>
    </row>
    <row r="199" customFormat="false" ht="12.75" hidden="true" customHeight="false" outlineLevel="0" collapsed="false">
      <c r="A199" s="120" t="n">
        <f aca="false">A198+1</f>
        <v>37085</v>
      </c>
      <c r="B199" s="131" t="str">
        <f aca="false">INDEX('Master Data'!$A$2:$B$8,MATCH(WEEKDAY('SC Total Gas'!A199,3),'Master Data'!$A$2:$A$8,0),2)</f>
        <v>F</v>
      </c>
      <c r="D199" s="124" t="n">
        <v>0</v>
      </c>
      <c r="E199" s="124" t="n">
        <v>4265787.83514354</v>
      </c>
      <c r="F199" s="124" t="n">
        <v>0</v>
      </c>
      <c r="G199" s="124" t="n">
        <v>0</v>
      </c>
      <c r="I199" s="124" t="n">
        <f aca="false">IF(MONTH($A199)=MONTH($A198),IF(G199=0,I198,G199),G199)</f>
        <v>0</v>
      </c>
      <c r="J199" s="124" t="n">
        <f aca="false">IF(MONTH($A199)=MONTH($A198),SUM(I199-I198),I199)</f>
        <v>0</v>
      </c>
      <c r="K199" s="124" t="n">
        <f aca="false">IF(WEEKDAY(A199,3)&gt;4,0,(IF(A199&lt;K$2,0,IF(A199&lt;=K$3,1,0))))</f>
        <v>0</v>
      </c>
      <c r="L199" s="124" t="n">
        <f aca="false">J199*K199</f>
        <v>0</v>
      </c>
      <c r="M199" s="124" t="n">
        <f aca="false">SUM(J$97:J199)</f>
        <v>0</v>
      </c>
      <c r="N199" s="124" t="n">
        <f aca="false">SUM(J$6:J199)</f>
        <v>0</v>
      </c>
      <c r="P199" s="124" t="n">
        <f aca="false">D199/P$3</f>
        <v>0</v>
      </c>
      <c r="Q199" s="124" t="n">
        <f aca="false">E199/P$3</f>
        <v>4.26578783514354</v>
      </c>
      <c r="R199" s="124" t="n">
        <f aca="false">F199/R$3</f>
        <v>0</v>
      </c>
      <c r="S199" s="126" t="n">
        <f aca="false">J199/$R$3</f>
        <v>0</v>
      </c>
      <c r="T199" s="126" t="n">
        <f aca="false">L199/$R$3</f>
        <v>0</v>
      </c>
      <c r="U199" s="126" t="n">
        <f aca="false">I199/$R$3</f>
        <v>0</v>
      </c>
      <c r="V199" s="126" t="n">
        <f aca="false">M199/$R$3</f>
        <v>0</v>
      </c>
      <c r="W199" s="126" t="n">
        <f aca="false">N199/$R$3</f>
        <v>0</v>
      </c>
    </row>
    <row r="200" customFormat="false" ht="12.75" hidden="true" customHeight="false" outlineLevel="0" collapsed="false">
      <c r="A200" s="120" t="n">
        <f aca="false">A199+1</f>
        <v>37086</v>
      </c>
      <c r="B200" s="131" t="str">
        <f aca="false">INDEX('Master Data'!$A$2:$B$8,MATCH(WEEKDAY('SC Total Gas'!A200,3),'Master Data'!$A$2:$A$8,0),2)</f>
        <v>Sa</v>
      </c>
      <c r="D200" s="124" t="n">
        <v>0</v>
      </c>
      <c r="E200" s="124" t="n">
        <v>0</v>
      </c>
      <c r="F200" s="124" t="n">
        <v>0</v>
      </c>
      <c r="G200" s="124" t="n">
        <v>0</v>
      </c>
      <c r="I200" s="124" t="n">
        <f aca="false">IF(MONTH($A200)=MONTH($A199),IF(G200=0,I199,G200),G200)</f>
        <v>0</v>
      </c>
      <c r="J200" s="124" t="n">
        <f aca="false">IF(MONTH($A200)=MONTH($A199),SUM(I200-I199),I200)</f>
        <v>0</v>
      </c>
      <c r="K200" s="124" t="n">
        <f aca="false">IF(WEEKDAY(A200,3)&gt;4,0,(IF(A200&lt;K$2,0,IF(A200&lt;=K$3,1,0))))</f>
        <v>0</v>
      </c>
      <c r="L200" s="124" t="n">
        <f aca="false">J200*K200</f>
        <v>0</v>
      </c>
      <c r="M200" s="124" t="n">
        <f aca="false">SUM(J$97:J200)</f>
        <v>0</v>
      </c>
      <c r="N200" s="124" t="n">
        <f aca="false">SUM(J$6:J200)</f>
        <v>0</v>
      </c>
      <c r="P200" s="124" t="n">
        <f aca="false">D200/P$3</f>
        <v>0</v>
      </c>
      <c r="Q200" s="124" t="n">
        <f aca="false">E200/P$3</f>
        <v>0</v>
      </c>
      <c r="R200" s="124" t="n">
        <f aca="false">F200/R$3</f>
        <v>0</v>
      </c>
      <c r="S200" s="126" t="n">
        <f aca="false">J200/$R$3</f>
        <v>0</v>
      </c>
      <c r="T200" s="126" t="n">
        <f aca="false">L200/$R$3</f>
        <v>0</v>
      </c>
      <c r="U200" s="126" t="n">
        <f aca="false">I200/$R$3</f>
        <v>0</v>
      </c>
      <c r="V200" s="126" t="n">
        <f aca="false">M200/$R$3</f>
        <v>0</v>
      </c>
      <c r="W200" s="126" t="n">
        <f aca="false">N200/$R$3</f>
        <v>0</v>
      </c>
    </row>
    <row r="201" customFormat="false" ht="12.75" hidden="true" customHeight="false" outlineLevel="0" collapsed="false">
      <c r="A201" s="120" t="n">
        <f aca="false">A200+1</f>
        <v>37087</v>
      </c>
      <c r="B201" s="131" t="str">
        <f aca="false">INDEX('Master Data'!$A$2:$B$8,MATCH(WEEKDAY('SC Total Gas'!A201,3),'Master Data'!$A$2:$A$8,0),2)</f>
        <v>Su</v>
      </c>
      <c r="D201" s="124" t="n">
        <v>0</v>
      </c>
      <c r="E201" s="124" t="n">
        <v>0</v>
      </c>
      <c r="F201" s="124" t="n">
        <v>0</v>
      </c>
      <c r="G201" s="124" t="n">
        <v>0</v>
      </c>
      <c r="I201" s="124" t="n">
        <f aca="false">IF(MONTH($A201)=MONTH($A200),IF(G201=0,I200,G201),G201)</f>
        <v>0</v>
      </c>
      <c r="J201" s="124" t="n">
        <f aca="false">IF(MONTH($A201)=MONTH($A200),SUM(I201-I200),I201)</f>
        <v>0</v>
      </c>
      <c r="K201" s="124" t="n">
        <f aca="false">IF(WEEKDAY(A201,3)&gt;4,0,(IF(A201&lt;K$2,0,IF(A201&lt;=K$3,1,0))))</f>
        <v>0</v>
      </c>
      <c r="L201" s="124" t="n">
        <f aca="false">J201*K201</f>
        <v>0</v>
      </c>
      <c r="M201" s="124" t="n">
        <f aca="false">SUM(J$97:J201)</f>
        <v>0</v>
      </c>
      <c r="N201" s="124" t="n">
        <f aca="false">SUM(J$6:J201)</f>
        <v>0</v>
      </c>
      <c r="P201" s="124" t="n">
        <f aca="false">D201/P$3</f>
        <v>0</v>
      </c>
      <c r="Q201" s="124" t="n">
        <f aca="false">E201/P$3</f>
        <v>0</v>
      </c>
      <c r="R201" s="124" t="n">
        <f aca="false">F201/R$3</f>
        <v>0</v>
      </c>
      <c r="S201" s="126" t="n">
        <f aca="false">J201/$R$3</f>
        <v>0</v>
      </c>
      <c r="T201" s="126" t="n">
        <f aca="false">L201/$R$3</f>
        <v>0</v>
      </c>
      <c r="U201" s="126" t="n">
        <f aca="false">I201/$R$3</f>
        <v>0</v>
      </c>
      <c r="V201" s="126" t="n">
        <f aca="false">M201/$R$3</f>
        <v>0</v>
      </c>
      <c r="W201" s="126" t="n">
        <f aca="false">N201/$R$3</f>
        <v>0</v>
      </c>
    </row>
    <row r="202" customFormat="false" ht="12.75" hidden="true" customHeight="false" outlineLevel="0" collapsed="false">
      <c r="A202" s="120" t="n">
        <f aca="false">A201+1</f>
        <v>37088</v>
      </c>
      <c r="B202" s="131" t="str">
        <f aca="false">INDEX('Master Data'!$A$2:$B$8,MATCH(WEEKDAY('SC Total Gas'!A202,3),'Master Data'!$A$2:$A$8,0),2)</f>
        <v>M</v>
      </c>
      <c r="D202" s="124" t="n">
        <v>0</v>
      </c>
      <c r="E202" s="124" t="n">
        <v>4274186.95761045</v>
      </c>
      <c r="F202" s="124" t="n">
        <v>0</v>
      </c>
      <c r="G202" s="124" t="n">
        <v>0</v>
      </c>
      <c r="I202" s="124" t="n">
        <f aca="false">IF(MONTH($A202)=MONTH($A201),IF(G202=0,I201,G202),G202)</f>
        <v>0</v>
      </c>
      <c r="J202" s="124" t="n">
        <f aca="false">IF(MONTH($A202)=MONTH($A201),SUM(I202-I201),I202)</f>
        <v>0</v>
      </c>
      <c r="K202" s="124" t="n">
        <f aca="false">IF(WEEKDAY(A202,3)&gt;4,0,(IF(A202&lt;K$2,0,IF(A202&lt;=K$3,1,0))))</f>
        <v>0</v>
      </c>
      <c r="L202" s="124" t="n">
        <f aca="false">J202*K202</f>
        <v>0</v>
      </c>
      <c r="M202" s="124" t="n">
        <f aca="false">SUM(J$97:J202)</f>
        <v>0</v>
      </c>
      <c r="N202" s="124" t="n">
        <f aca="false">SUM(J$6:J202)</f>
        <v>0</v>
      </c>
      <c r="P202" s="124" t="n">
        <f aca="false">D202/P$3</f>
        <v>0</v>
      </c>
      <c r="Q202" s="124" t="n">
        <f aca="false">E202/P$3</f>
        <v>4.27418695761045</v>
      </c>
      <c r="R202" s="124" t="n">
        <f aca="false">F202/R$3</f>
        <v>0</v>
      </c>
      <c r="S202" s="126" t="n">
        <f aca="false">J202/$R$3</f>
        <v>0</v>
      </c>
      <c r="T202" s="126" t="n">
        <f aca="false">L202/$R$3</f>
        <v>0</v>
      </c>
      <c r="U202" s="126" t="n">
        <f aca="false">I202/$R$3</f>
        <v>0</v>
      </c>
      <c r="V202" s="126" t="n">
        <f aca="false">M202/$R$3</f>
        <v>0</v>
      </c>
      <c r="W202" s="126" t="n">
        <f aca="false">N202/$R$3</f>
        <v>0</v>
      </c>
    </row>
    <row r="203" customFormat="false" ht="12.75" hidden="true" customHeight="false" outlineLevel="0" collapsed="false">
      <c r="A203" s="120" t="n">
        <f aca="false">A202+1</f>
        <v>37089</v>
      </c>
      <c r="B203" s="131" t="str">
        <f aca="false">INDEX('Master Data'!$A$2:$B$8,MATCH(WEEKDAY('SC Total Gas'!A203,3),'Master Data'!$A$2:$A$8,0),2)</f>
        <v>T</v>
      </c>
      <c r="D203" s="124" t="n">
        <v>0</v>
      </c>
      <c r="E203" s="124" t="n">
        <v>4275272.24849149</v>
      </c>
      <c r="F203" s="124" t="n">
        <v>0</v>
      </c>
      <c r="G203" s="124" t="n">
        <v>0</v>
      </c>
      <c r="I203" s="124" t="n">
        <f aca="false">IF(MONTH($A203)=MONTH($A202),IF(G203=0,I202,G203),G203)</f>
        <v>0</v>
      </c>
      <c r="J203" s="124" t="n">
        <f aca="false">IF(MONTH($A203)=MONTH($A202),SUM(I203-I202),I203)</f>
        <v>0</v>
      </c>
      <c r="K203" s="124" t="n">
        <f aca="false">IF(WEEKDAY(A203,3)&gt;4,0,(IF(A203&lt;K$2,0,IF(A203&lt;=K$3,1,0))))</f>
        <v>0</v>
      </c>
      <c r="L203" s="124" t="n">
        <f aca="false">J203*K203</f>
        <v>0</v>
      </c>
      <c r="M203" s="124" t="n">
        <f aca="false">SUM(J$97:J203)</f>
        <v>0</v>
      </c>
      <c r="N203" s="124" t="n">
        <f aca="false">SUM(J$6:J203)</f>
        <v>0</v>
      </c>
      <c r="P203" s="124" t="n">
        <f aca="false">D203/P$3</f>
        <v>0</v>
      </c>
      <c r="Q203" s="124" t="n">
        <f aca="false">E203/P$3</f>
        <v>4.27527224849149</v>
      </c>
      <c r="R203" s="124" t="n">
        <f aca="false">F203/R$3</f>
        <v>0</v>
      </c>
      <c r="S203" s="126" t="n">
        <f aca="false">J203/$R$3</f>
        <v>0</v>
      </c>
      <c r="T203" s="126" t="n">
        <f aca="false">L203/$R$3</f>
        <v>0</v>
      </c>
      <c r="U203" s="126" t="n">
        <f aca="false">I203/$R$3</f>
        <v>0</v>
      </c>
      <c r="V203" s="126" t="n">
        <f aca="false">M203/$R$3</f>
        <v>0</v>
      </c>
      <c r="W203" s="126" t="n">
        <f aca="false">N203/$R$3</f>
        <v>0</v>
      </c>
    </row>
    <row r="204" customFormat="false" ht="12.75" hidden="true" customHeight="false" outlineLevel="0" collapsed="false">
      <c r="A204" s="120" t="n">
        <f aca="false">A203+1</f>
        <v>37090</v>
      </c>
      <c r="B204" s="131" t="str">
        <f aca="false">INDEX('Master Data'!$A$2:$B$8,MATCH(WEEKDAY('SC Total Gas'!A204,3),'Master Data'!$A$2:$A$8,0),2)</f>
        <v>W</v>
      </c>
      <c r="D204" s="124" t="n">
        <v>0</v>
      </c>
      <c r="E204" s="124" t="n">
        <v>4296655.1544233</v>
      </c>
      <c r="F204" s="124" t="n">
        <v>0</v>
      </c>
      <c r="G204" s="124" t="n">
        <v>0</v>
      </c>
      <c r="I204" s="124" t="n">
        <f aca="false">IF(MONTH($A204)=MONTH($A203),IF(G204=0,I203,G204),G204)</f>
        <v>0</v>
      </c>
      <c r="J204" s="124" t="n">
        <f aca="false">IF(MONTH($A204)=MONTH($A203),SUM(I204-I203),I204)</f>
        <v>0</v>
      </c>
      <c r="K204" s="124" t="n">
        <f aca="false">IF(WEEKDAY(A204,3)&gt;4,0,(IF(A204&lt;K$2,0,IF(A204&lt;=K$3,1,0))))</f>
        <v>0</v>
      </c>
      <c r="L204" s="124" t="n">
        <f aca="false">J204*K204</f>
        <v>0</v>
      </c>
      <c r="M204" s="124" t="n">
        <f aca="false">SUM(J$97:J204)</f>
        <v>0</v>
      </c>
      <c r="N204" s="124" t="n">
        <f aca="false">SUM(J$6:J204)</f>
        <v>0</v>
      </c>
      <c r="P204" s="124" t="n">
        <f aca="false">D204/P$3</f>
        <v>0</v>
      </c>
      <c r="Q204" s="124" t="n">
        <f aca="false">E204/P$3</f>
        <v>4.2966551544233</v>
      </c>
      <c r="R204" s="124" t="n">
        <f aca="false">F204/R$3</f>
        <v>0</v>
      </c>
      <c r="S204" s="126" t="n">
        <f aca="false">J204/$R$3</f>
        <v>0</v>
      </c>
      <c r="T204" s="126" t="n">
        <f aca="false">L204/$R$3</f>
        <v>0</v>
      </c>
      <c r="U204" s="126" t="n">
        <f aca="false">I204/$R$3</f>
        <v>0</v>
      </c>
      <c r="V204" s="126" t="n">
        <f aca="false">M204/$R$3</f>
        <v>0</v>
      </c>
      <c r="W204" s="126" t="n">
        <f aca="false">N204/$R$3</f>
        <v>0</v>
      </c>
    </row>
    <row r="205" customFormat="false" ht="12.75" hidden="true" customHeight="false" outlineLevel="0" collapsed="false">
      <c r="A205" s="120" t="n">
        <f aca="false">A204+1</f>
        <v>37091</v>
      </c>
      <c r="B205" s="131" t="str">
        <f aca="false">INDEX('Master Data'!$A$2:$B$8,MATCH(WEEKDAY('SC Total Gas'!A205,3),'Master Data'!$A$2:$A$8,0),2)</f>
        <v>Th</v>
      </c>
      <c r="D205" s="124" t="n">
        <v>0</v>
      </c>
      <c r="E205" s="124" t="n">
        <v>4294107.55124131</v>
      </c>
      <c r="F205" s="124" t="n">
        <v>0</v>
      </c>
      <c r="G205" s="124" t="n">
        <v>0</v>
      </c>
      <c r="I205" s="124" t="n">
        <f aca="false">IF(MONTH($A205)=MONTH($A204),IF(G205=0,I204,G205),G205)</f>
        <v>0</v>
      </c>
      <c r="J205" s="124" t="n">
        <f aca="false">IF(MONTH($A205)=MONTH($A204),SUM(I205-I204),I205)</f>
        <v>0</v>
      </c>
      <c r="K205" s="124" t="n">
        <f aca="false">IF(WEEKDAY(A205,3)&gt;4,0,(IF(A205&lt;K$2,0,IF(A205&lt;=K$3,1,0))))</f>
        <v>0</v>
      </c>
      <c r="L205" s="124" t="n">
        <f aca="false">J205*K205</f>
        <v>0</v>
      </c>
      <c r="M205" s="124" t="n">
        <f aca="false">SUM(J$97:J205)</f>
        <v>0</v>
      </c>
      <c r="N205" s="124" t="n">
        <f aca="false">SUM(J$6:J205)</f>
        <v>0</v>
      </c>
      <c r="P205" s="124" t="n">
        <f aca="false">D205/P$3</f>
        <v>0</v>
      </c>
      <c r="Q205" s="124" t="n">
        <f aca="false">E205/P$3</f>
        <v>4.29410755124131</v>
      </c>
      <c r="R205" s="124" t="n">
        <f aca="false">F205/R$3</f>
        <v>0</v>
      </c>
      <c r="S205" s="126" t="n">
        <f aca="false">J205/$R$3</f>
        <v>0</v>
      </c>
      <c r="T205" s="126" t="n">
        <f aca="false">L205/$R$3</f>
        <v>0</v>
      </c>
      <c r="U205" s="126" t="n">
        <f aca="false">I205/$R$3</f>
        <v>0</v>
      </c>
      <c r="V205" s="126" t="n">
        <f aca="false">M205/$R$3</f>
        <v>0</v>
      </c>
      <c r="W205" s="126" t="n">
        <f aca="false">N205/$R$3</f>
        <v>0</v>
      </c>
    </row>
    <row r="206" customFormat="false" ht="12.75" hidden="true" customHeight="false" outlineLevel="0" collapsed="false">
      <c r="A206" s="120" t="n">
        <f aca="false">A205+1</f>
        <v>37092</v>
      </c>
      <c r="B206" s="131" t="str">
        <f aca="false">INDEX('Master Data'!$A$2:$B$8,MATCH(WEEKDAY('SC Total Gas'!A206,3),'Master Data'!$A$2:$A$8,0),2)</f>
        <v>F</v>
      </c>
      <c r="D206" s="124" t="n">
        <v>0</v>
      </c>
      <c r="E206" s="124" t="n">
        <v>4294415.60843362</v>
      </c>
      <c r="F206" s="124" t="n">
        <v>0</v>
      </c>
      <c r="G206" s="124" t="n">
        <v>0</v>
      </c>
      <c r="I206" s="124" t="n">
        <f aca="false">IF(MONTH($A206)=MONTH($A205),IF(G206=0,I205,G206),G206)</f>
        <v>0</v>
      </c>
      <c r="J206" s="124" t="n">
        <f aca="false">IF(MONTH($A206)=MONTH($A205),SUM(I206-I205),I206)</f>
        <v>0</v>
      </c>
      <c r="K206" s="124" t="n">
        <f aca="false">IF(WEEKDAY(A206,3)&gt;4,0,(IF(A206&lt;K$2,0,IF(A206&lt;=K$3,1,0))))</f>
        <v>0</v>
      </c>
      <c r="L206" s="124" t="n">
        <f aca="false">J206*K206</f>
        <v>0</v>
      </c>
      <c r="M206" s="124" t="n">
        <f aca="false">SUM(J$97:J206)</f>
        <v>0</v>
      </c>
      <c r="N206" s="124" t="n">
        <f aca="false">SUM(J$6:J206)</f>
        <v>0</v>
      </c>
      <c r="P206" s="124" t="n">
        <f aca="false">D206/P$3</f>
        <v>0</v>
      </c>
      <c r="Q206" s="124" t="n">
        <f aca="false">E206/P$3</f>
        <v>4.29441560843362</v>
      </c>
      <c r="R206" s="124" t="n">
        <f aca="false">F206/R$3</f>
        <v>0</v>
      </c>
      <c r="S206" s="126" t="n">
        <f aca="false">J206/$R$3</f>
        <v>0</v>
      </c>
      <c r="T206" s="126" t="n">
        <f aca="false">L206/$R$3</f>
        <v>0</v>
      </c>
      <c r="U206" s="126" t="n">
        <f aca="false">I206/$R$3</f>
        <v>0</v>
      </c>
      <c r="V206" s="126" t="n">
        <f aca="false">M206/$R$3</f>
        <v>0</v>
      </c>
      <c r="W206" s="126" t="n">
        <f aca="false">N206/$R$3</f>
        <v>0</v>
      </c>
    </row>
    <row r="207" customFormat="false" ht="12.75" hidden="true" customHeight="false" outlineLevel="0" collapsed="false">
      <c r="A207" s="120" t="n">
        <f aca="false">A206+1</f>
        <v>37093</v>
      </c>
      <c r="B207" s="131" t="str">
        <f aca="false">INDEX('Master Data'!$A$2:$B$8,MATCH(WEEKDAY('SC Total Gas'!A207,3),'Master Data'!$A$2:$A$8,0),2)</f>
        <v>Sa</v>
      </c>
      <c r="D207" s="124" t="n">
        <v>0</v>
      </c>
      <c r="E207" s="124" t="n">
        <v>0</v>
      </c>
      <c r="F207" s="124" t="n">
        <v>0</v>
      </c>
      <c r="G207" s="124" t="n">
        <v>0</v>
      </c>
      <c r="I207" s="124" t="n">
        <f aca="false">IF(MONTH($A207)=MONTH($A206),IF(G207=0,I206,G207),G207)</f>
        <v>0</v>
      </c>
      <c r="J207" s="124" t="n">
        <f aca="false">IF(MONTH($A207)=MONTH($A206),SUM(I207-I206),I207)</f>
        <v>0</v>
      </c>
      <c r="K207" s="124" t="n">
        <f aca="false">IF(WEEKDAY(A207,3)&gt;4,0,(IF(A207&lt;K$2,0,IF(A207&lt;=K$3,1,0))))</f>
        <v>0</v>
      </c>
      <c r="L207" s="124" t="n">
        <f aca="false">J207*K207</f>
        <v>0</v>
      </c>
      <c r="M207" s="124" t="n">
        <f aca="false">SUM(J$97:J207)</f>
        <v>0</v>
      </c>
      <c r="N207" s="124" t="n">
        <f aca="false">SUM(J$6:J207)</f>
        <v>0</v>
      </c>
      <c r="P207" s="124" t="n">
        <f aca="false">D207/P$3</f>
        <v>0</v>
      </c>
      <c r="Q207" s="124" t="n">
        <f aca="false">E207/P$3</f>
        <v>0</v>
      </c>
      <c r="R207" s="124" t="n">
        <f aca="false">F207/R$3</f>
        <v>0</v>
      </c>
      <c r="S207" s="126" t="n">
        <f aca="false">J207/$R$3</f>
        <v>0</v>
      </c>
      <c r="T207" s="126" t="n">
        <f aca="false">L207/$R$3</f>
        <v>0</v>
      </c>
      <c r="U207" s="126" t="n">
        <f aca="false">I207/$R$3</f>
        <v>0</v>
      </c>
      <c r="V207" s="126" t="n">
        <f aca="false">M207/$R$3</f>
        <v>0</v>
      </c>
      <c r="W207" s="126" t="n">
        <f aca="false">N207/$R$3</f>
        <v>0</v>
      </c>
    </row>
    <row r="208" customFormat="false" ht="12.75" hidden="true" customHeight="false" outlineLevel="0" collapsed="false">
      <c r="A208" s="120" t="n">
        <f aca="false">A207+1</f>
        <v>37094</v>
      </c>
      <c r="B208" s="131" t="str">
        <f aca="false">INDEX('Master Data'!$A$2:$B$8,MATCH(WEEKDAY('SC Total Gas'!A208,3),'Master Data'!$A$2:$A$8,0),2)</f>
        <v>Su</v>
      </c>
      <c r="D208" s="124" t="n">
        <v>0</v>
      </c>
      <c r="E208" s="124" t="n">
        <v>0</v>
      </c>
      <c r="F208" s="124" t="n">
        <v>0</v>
      </c>
      <c r="G208" s="124" t="n">
        <v>0</v>
      </c>
      <c r="I208" s="124" t="n">
        <f aca="false">IF(MONTH($A208)=MONTH($A207),IF(G208=0,I207,G208),G208)</f>
        <v>0</v>
      </c>
      <c r="J208" s="124" t="n">
        <f aca="false">IF(MONTH($A208)=MONTH($A207),SUM(I208-I207),I208)</f>
        <v>0</v>
      </c>
      <c r="K208" s="124" t="n">
        <f aca="false">IF(WEEKDAY(A208,3)&gt;4,0,(IF(A208&lt;K$2,0,IF(A208&lt;=K$3,1,0))))</f>
        <v>0</v>
      </c>
      <c r="L208" s="124" t="n">
        <f aca="false">J208*K208</f>
        <v>0</v>
      </c>
      <c r="M208" s="124" t="n">
        <f aca="false">SUM(J$97:J208)</f>
        <v>0</v>
      </c>
      <c r="N208" s="124" t="n">
        <f aca="false">SUM(J$6:J208)</f>
        <v>0</v>
      </c>
      <c r="P208" s="124" t="n">
        <f aca="false">D208/P$3</f>
        <v>0</v>
      </c>
      <c r="Q208" s="124" t="n">
        <f aca="false">E208/P$3</f>
        <v>0</v>
      </c>
      <c r="R208" s="124" t="n">
        <f aca="false">F208/R$3</f>
        <v>0</v>
      </c>
      <c r="S208" s="126" t="n">
        <f aca="false">J208/$R$3</f>
        <v>0</v>
      </c>
      <c r="T208" s="126" t="n">
        <f aca="false">L208/$R$3</f>
        <v>0</v>
      </c>
      <c r="U208" s="126" t="n">
        <f aca="false">I208/$R$3</f>
        <v>0</v>
      </c>
      <c r="V208" s="126" t="n">
        <f aca="false">M208/$R$3</f>
        <v>0</v>
      </c>
      <c r="W208" s="126" t="n">
        <f aca="false">N208/$R$3</f>
        <v>0</v>
      </c>
    </row>
    <row r="209" customFormat="false" ht="12.75" hidden="true" customHeight="false" outlineLevel="0" collapsed="false">
      <c r="A209" s="120" t="n">
        <f aca="false">A208+1</f>
        <v>37095</v>
      </c>
      <c r="B209" s="131" t="str">
        <f aca="false">INDEX('Master Data'!$A$2:$B$8,MATCH(WEEKDAY('SC Total Gas'!A209,3),'Master Data'!$A$2:$A$8,0),2)</f>
        <v>M</v>
      </c>
      <c r="D209" s="124" t="n">
        <v>0</v>
      </c>
      <c r="E209" s="124" t="n">
        <v>4297653.82473253</v>
      </c>
      <c r="F209" s="124" t="n">
        <v>0</v>
      </c>
      <c r="G209" s="124" t="n">
        <v>0</v>
      </c>
      <c r="I209" s="124" t="n">
        <f aca="false">IF(MONTH($A209)=MONTH($A208),IF(G209=0,I208,G209),G209)</f>
        <v>0</v>
      </c>
      <c r="J209" s="124" t="n">
        <f aca="false">IF(MONTH($A209)=MONTH($A208),SUM(I209-I208),I209)</f>
        <v>0</v>
      </c>
      <c r="K209" s="124" t="n">
        <f aca="false">IF(WEEKDAY(A209,3)&gt;4,0,(IF(A209&lt;K$2,0,IF(A209&lt;=K$3,1,0))))</f>
        <v>0</v>
      </c>
      <c r="L209" s="124" t="n">
        <f aca="false">J209*K209</f>
        <v>0</v>
      </c>
      <c r="M209" s="124" t="n">
        <f aca="false">SUM(J$97:J209)</f>
        <v>0</v>
      </c>
      <c r="N209" s="124" t="n">
        <f aca="false">SUM(J$6:J209)</f>
        <v>0</v>
      </c>
      <c r="P209" s="124" t="n">
        <f aca="false">D209/P$3</f>
        <v>0</v>
      </c>
      <c r="Q209" s="124" t="n">
        <f aca="false">E209/P$3</f>
        <v>4.29765382473253</v>
      </c>
      <c r="R209" s="124" t="n">
        <f aca="false">F209/R$3</f>
        <v>0</v>
      </c>
      <c r="S209" s="126" t="n">
        <f aca="false">J209/$R$3</f>
        <v>0</v>
      </c>
      <c r="T209" s="126" t="n">
        <f aca="false">L209/$R$3</f>
        <v>0</v>
      </c>
      <c r="U209" s="126" t="n">
        <f aca="false">I209/$R$3</f>
        <v>0</v>
      </c>
      <c r="V209" s="126" t="n">
        <f aca="false">M209/$R$3</f>
        <v>0</v>
      </c>
      <c r="W209" s="126" t="n">
        <f aca="false">N209/$R$3</f>
        <v>0</v>
      </c>
    </row>
    <row r="210" customFormat="false" ht="12.75" hidden="true" customHeight="false" outlineLevel="0" collapsed="false">
      <c r="A210" s="120" t="n">
        <f aca="false">A209+1</f>
        <v>37096</v>
      </c>
      <c r="B210" s="131" t="str">
        <f aca="false">INDEX('Master Data'!$A$2:$B$8,MATCH(WEEKDAY('SC Total Gas'!A210,3),'Master Data'!$A$2:$A$8,0),2)</f>
        <v>T</v>
      </c>
      <c r="D210" s="124" t="n">
        <v>0</v>
      </c>
      <c r="E210" s="124" t="n">
        <v>4301463.16579385</v>
      </c>
      <c r="F210" s="124" t="n">
        <v>0</v>
      </c>
      <c r="G210" s="124" t="n">
        <v>0</v>
      </c>
      <c r="I210" s="124" t="n">
        <f aca="false">IF(MONTH($A210)=MONTH($A209),IF(G210=0,I209,G210),G210)</f>
        <v>0</v>
      </c>
      <c r="J210" s="124" t="n">
        <f aca="false">IF(MONTH($A210)=MONTH($A209),SUM(I210-I209),I210)</f>
        <v>0</v>
      </c>
      <c r="K210" s="124" t="n">
        <f aca="false">IF(WEEKDAY(A210,3)&gt;4,0,(IF(A210&lt;K$2,0,IF(A210&lt;=K$3,1,0))))</f>
        <v>0</v>
      </c>
      <c r="L210" s="124" t="n">
        <f aca="false">J210*K210</f>
        <v>0</v>
      </c>
      <c r="M210" s="124" t="n">
        <f aca="false">SUM(J$97:J210)</f>
        <v>0</v>
      </c>
      <c r="N210" s="124" t="n">
        <f aca="false">SUM(J$6:J210)</f>
        <v>0</v>
      </c>
      <c r="P210" s="124" t="n">
        <f aca="false">D210/P$3</f>
        <v>0</v>
      </c>
      <c r="Q210" s="124" t="n">
        <f aca="false">E210/P$3</f>
        <v>4.30146316579385</v>
      </c>
      <c r="R210" s="124" t="n">
        <f aca="false">F210/R$3</f>
        <v>0</v>
      </c>
      <c r="S210" s="126" t="n">
        <f aca="false">J210/$R$3</f>
        <v>0</v>
      </c>
      <c r="T210" s="126" t="n">
        <f aca="false">L210/$R$3</f>
        <v>0</v>
      </c>
      <c r="U210" s="126" t="n">
        <f aca="false">I210/$R$3</f>
        <v>0</v>
      </c>
      <c r="V210" s="126" t="n">
        <f aca="false">M210/$R$3</f>
        <v>0</v>
      </c>
      <c r="W210" s="126" t="n">
        <f aca="false">N210/$R$3</f>
        <v>0</v>
      </c>
    </row>
    <row r="211" customFormat="false" ht="12.75" hidden="true" customHeight="false" outlineLevel="0" collapsed="false">
      <c r="A211" s="120" t="n">
        <f aca="false">A210+1</f>
        <v>37097</v>
      </c>
      <c r="B211" s="131" t="str">
        <f aca="false">INDEX('Master Data'!$A$2:$B$8,MATCH(WEEKDAY('SC Total Gas'!A211,3),'Master Data'!$A$2:$A$8,0),2)</f>
        <v>W</v>
      </c>
      <c r="D211" s="124" t="n">
        <v>0</v>
      </c>
      <c r="E211" s="124" t="n">
        <v>4299219.22654016</v>
      </c>
      <c r="F211" s="124" t="n">
        <v>0</v>
      </c>
      <c r="G211" s="124" t="n">
        <v>0</v>
      </c>
      <c r="I211" s="124" t="n">
        <f aca="false">IF(MONTH($A211)=MONTH($A210),IF(G211=0,I210,G211),G211)</f>
        <v>0</v>
      </c>
      <c r="J211" s="124" t="n">
        <f aca="false">IF(MONTH($A211)=MONTH($A210),SUM(I211-I210),I211)</f>
        <v>0</v>
      </c>
      <c r="K211" s="124" t="n">
        <f aca="false">IF(WEEKDAY(A211,3)&gt;4,0,(IF(A211&lt;K$2,0,IF(A211&lt;=K$3,1,0))))</f>
        <v>0</v>
      </c>
      <c r="L211" s="124" t="n">
        <f aca="false">J211*K211</f>
        <v>0</v>
      </c>
      <c r="M211" s="124" t="n">
        <f aca="false">SUM(J$97:J211)</f>
        <v>0</v>
      </c>
      <c r="N211" s="124" t="n">
        <f aca="false">SUM(J$6:J211)</f>
        <v>0</v>
      </c>
      <c r="P211" s="124" t="n">
        <f aca="false">D211/P$3</f>
        <v>0</v>
      </c>
      <c r="Q211" s="124" t="n">
        <f aca="false">E211/P$3</f>
        <v>4.29921922654015</v>
      </c>
      <c r="R211" s="124" t="n">
        <f aca="false">F211/R$3</f>
        <v>0</v>
      </c>
      <c r="S211" s="126" t="n">
        <f aca="false">J211/$R$3</f>
        <v>0</v>
      </c>
      <c r="T211" s="126" t="n">
        <f aca="false">L211/$R$3</f>
        <v>0</v>
      </c>
      <c r="U211" s="126" t="n">
        <f aca="false">I211/$R$3</f>
        <v>0</v>
      </c>
      <c r="V211" s="126" t="n">
        <f aca="false">M211/$R$3</f>
        <v>0</v>
      </c>
      <c r="W211" s="126" t="n">
        <f aca="false">N211/$R$3</f>
        <v>0</v>
      </c>
    </row>
    <row r="212" customFormat="false" ht="12.75" hidden="true" customHeight="false" outlineLevel="0" collapsed="false">
      <c r="A212" s="120" t="n">
        <f aca="false">A211+1</f>
        <v>37098</v>
      </c>
      <c r="B212" s="131" t="str">
        <f aca="false">INDEX('Master Data'!$A$2:$B$8,MATCH(WEEKDAY('SC Total Gas'!A212,3),'Master Data'!$A$2:$A$8,0),2)</f>
        <v>Th</v>
      </c>
      <c r="D212" s="124" t="n">
        <v>0</v>
      </c>
      <c r="E212" s="124" t="n">
        <v>4302901.05898591</v>
      </c>
      <c r="F212" s="124" t="n">
        <v>0</v>
      </c>
      <c r="G212" s="124" t="n">
        <v>0</v>
      </c>
      <c r="I212" s="124" t="n">
        <f aca="false">IF(MONTH($A212)=MONTH($A211),IF(G212=0,I211,G212),G212)</f>
        <v>0</v>
      </c>
      <c r="J212" s="124" t="n">
        <f aca="false">IF(MONTH($A212)=MONTH($A211),SUM(I212-I211),I212)</f>
        <v>0</v>
      </c>
      <c r="K212" s="124" t="n">
        <f aca="false">IF(WEEKDAY(A212,3)&gt;4,0,(IF(A212&lt;K$2,0,IF(A212&lt;=K$3,1,0))))</f>
        <v>0</v>
      </c>
      <c r="L212" s="124" t="n">
        <f aca="false">J212*K212</f>
        <v>0</v>
      </c>
      <c r="M212" s="124" t="n">
        <f aca="false">SUM(J$97:J212)</f>
        <v>0</v>
      </c>
      <c r="N212" s="124" t="n">
        <f aca="false">SUM(J$6:J212)</f>
        <v>0</v>
      </c>
      <c r="P212" s="124" t="n">
        <f aca="false">D212/P$3</f>
        <v>0</v>
      </c>
      <c r="Q212" s="124" t="n">
        <f aca="false">E212/P$3</f>
        <v>4.30290105898591</v>
      </c>
      <c r="R212" s="124" t="n">
        <f aca="false">F212/R$3</f>
        <v>0</v>
      </c>
      <c r="S212" s="126" t="n">
        <f aca="false">J212/$R$3</f>
        <v>0</v>
      </c>
      <c r="T212" s="126" t="n">
        <f aca="false">L212/$R$3</f>
        <v>0</v>
      </c>
      <c r="U212" s="126" t="n">
        <f aca="false">I212/$R$3</f>
        <v>0</v>
      </c>
      <c r="V212" s="126" t="n">
        <f aca="false">M212/$R$3</f>
        <v>0</v>
      </c>
      <c r="W212" s="126" t="n">
        <f aca="false">N212/$R$3</f>
        <v>0</v>
      </c>
    </row>
    <row r="213" customFormat="false" ht="12.75" hidden="true" customHeight="false" outlineLevel="0" collapsed="false">
      <c r="A213" s="120" t="n">
        <f aca="false">A212+1</f>
        <v>37099</v>
      </c>
      <c r="B213" s="131" t="str">
        <f aca="false">INDEX('Master Data'!$A$2:$B$8,MATCH(WEEKDAY('SC Total Gas'!A213,3),'Master Data'!$A$2:$A$8,0),2)</f>
        <v>F</v>
      </c>
      <c r="D213" s="124" t="n">
        <v>0</v>
      </c>
      <c r="E213" s="124" t="n">
        <v>4315801.18939117</v>
      </c>
      <c r="F213" s="124" t="n">
        <v>0</v>
      </c>
      <c r="G213" s="124" t="n">
        <v>0</v>
      </c>
      <c r="I213" s="124" t="n">
        <f aca="false">IF(MONTH($A213)=MONTH($A212),IF(G213=0,I212,G213),G213)</f>
        <v>0</v>
      </c>
      <c r="J213" s="124" t="n">
        <f aca="false">IF(MONTH($A213)=MONTH($A212),SUM(I213-I212),I213)</f>
        <v>0</v>
      </c>
      <c r="K213" s="124" t="n">
        <f aca="false">IF(WEEKDAY(A213,3)&gt;4,0,(IF(A213&lt;K$2,0,IF(A213&lt;=K$3,1,0))))</f>
        <v>0</v>
      </c>
      <c r="L213" s="124" t="n">
        <f aca="false">J213*K213</f>
        <v>0</v>
      </c>
      <c r="M213" s="124" t="n">
        <f aca="false">SUM(J$97:J213)</f>
        <v>0</v>
      </c>
      <c r="N213" s="124" t="n">
        <f aca="false">SUM(J$6:J213)</f>
        <v>0</v>
      </c>
      <c r="P213" s="124" t="n">
        <f aca="false">D213/P$3</f>
        <v>0</v>
      </c>
      <c r="Q213" s="124" t="n">
        <f aca="false">E213/P$3</f>
        <v>4.31580118939117</v>
      </c>
      <c r="R213" s="124" t="n">
        <f aca="false">F213/R$3</f>
        <v>0</v>
      </c>
      <c r="S213" s="126" t="n">
        <f aca="false">J213/$R$3</f>
        <v>0</v>
      </c>
      <c r="T213" s="126" t="n">
        <f aca="false">L213/$R$3</f>
        <v>0</v>
      </c>
      <c r="U213" s="126" t="n">
        <f aca="false">I213/$R$3</f>
        <v>0</v>
      </c>
      <c r="V213" s="126" t="n">
        <f aca="false">M213/$R$3</f>
        <v>0</v>
      </c>
      <c r="W213" s="126" t="n">
        <f aca="false">N213/$R$3</f>
        <v>0</v>
      </c>
    </row>
    <row r="214" customFormat="false" ht="12.75" hidden="true" customHeight="false" outlineLevel="0" collapsed="false">
      <c r="A214" s="120" t="n">
        <f aca="false">A213+1</f>
        <v>37100</v>
      </c>
      <c r="B214" s="131" t="str">
        <f aca="false">INDEX('Master Data'!$A$2:$B$8,MATCH(WEEKDAY('SC Total Gas'!A214,3),'Master Data'!$A$2:$A$8,0),2)</f>
        <v>Sa</v>
      </c>
      <c r="D214" s="124" t="n">
        <v>0</v>
      </c>
      <c r="E214" s="124" t="n">
        <v>0</v>
      </c>
      <c r="F214" s="124" t="n">
        <v>0</v>
      </c>
      <c r="G214" s="124" t="n">
        <v>0</v>
      </c>
      <c r="I214" s="124" t="n">
        <f aca="false">IF(MONTH($A214)=MONTH($A213),IF(G214=0,I213,G214),G214)</f>
        <v>0</v>
      </c>
      <c r="J214" s="124" t="n">
        <f aca="false">IF(MONTH($A214)=MONTH($A213),SUM(I214-I213),I214)</f>
        <v>0</v>
      </c>
      <c r="K214" s="124" t="n">
        <f aca="false">IF(WEEKDAY(A214,3)&gt;4,0,(IF(A214&lt;K$2,0,IF(A214&lt;=K$3,1,0))))</f>
        <v>0</v>
      </c>
      <c r="L214" s="124" t="n">
        <f aca="false">J214*K214</f>
        <v>0</v>
      </c>
      <c r="M214" s="124" t="n">
        <f aca="false">SUM(J$97:J214)</f>
        <v>0</v>
      </c>
      <c r="N214" s="124" t="n">
        <f aca="false">SUM(J$6:J214)</f>
        <v>0</v>
      </c>
      <c r="P214" s="124" t="n">
        <f aca="false">D214/P$3</f>
        <v>0</v>
      </c>
      <c r="Q214" s="124" t="n">
        <f aca="false">E214/P$3</f>
        <v>0</v>
      </c>
      <c r="R214" s="124" t="n">
        <f aca="false">F214/R$3</f>
        <v>0</v>
      </c>
      <c r="S214" s="126" t="n">
        <f aca="false">J214/$R$3</f>
        <v>0</v>
      </c>
      <c r="T214" s="126" t="n">
        <f aca="false">L214/$R$3</f>
        <v>0</v>
      </c>
      <c r="U214" s="126" t="n">
        <f aca="false">I214/$R$3</f>
        <v>0</v>
      </c>
      <c r="V214" s="126" t="n">
        <f aca="false">M214/$R$3</f>
        <v>0</v>
      </c>
      <c r="W214" s="126" t="n">
        <f aca="false">N214/$R$3</f>
        <v>0</v>
      </c>
    </row>
    <row r="215" customFormat="false" ht="12.75" hidden="true" customHeight="false" outlineLevel="0" collapsed="false">
      <c r="A215" s="120" t="n">
        <f aca="false">A214+1</f>
        <v>37101</v>
      </c>
      <c r="B215" s="131" t="str">
        <f aca="false">INDEX('Master Data'!$A$2:$B$8,MATCH(WEEKDAY('SC Total Gas'!A215,3),'Master Data'!$A$2:$A$8,0),2)</f>
        <v>Su</v>
      </c>
      <c r="D215" s="124" t="n">
        <v>0</v>
      </c>
      <c r="E215" s="124" t="n">
        <v>0</v>
      </c>
      <c r="F215" s="124" t="n">
        <v>0</v>
      </c>
      <c r="G215" s="124" t="n">
        <v>0</v>
      </c>
      <c r="I215" s="124" t="n">
        <f aca="false">IF(MONTH($A215)=MONTH($A214),IF(G215=0,I214,G215),G215)</f>
        <v>0</v>
      </c>
      <c r="J215" s="124" t="n">
        <f aca="false">IF(MONTH($A215)=MONTH($A214),SUM(I215-I214),I215)</f>
        <v>0</v>
      </c>
      <c r="K215" s="124" t="n">
        <f aca="false">IF(WEEKDAY(A215,3)&gt;4,0,(IF(A215&lt;K$2,0,IF(A215&lt;=K$3,1,0))))</f>
        <v>0</v>
      </c>
      <c r="L215" s="124" t="n">
        <f aca="false">J215*K215</f>
        <v>0</v>
      </c>
      <c r="M215" s="124" t="n">
        <f aca="false">SUM(J$97:J215)</f>
        <v>0</v>
      </c>
      <c r="N215" s="124" t="n">
        <f aca="false">SUM(J$6:J215)</f>
        <v>0</v>
      </c>
      <c r="P215" s="124" t="n">
        <f aca="false">D215/P$3</f>
        <v>0</v>
      </c>
      <c r="Q215" s="124" t="n">
        <f aca="false">E215/P$3</f>
        <v>0</v>
      </c>
      <c r="R215" s="124" t="n">
        <f aca="false">F215/R$3</f>
        <v>0</v>
      </c>
      <c r="S215" s="126" t="n">
        <f aca="false">J215/$R$3</f>
        <v>0</v>
      </c>
      <c r="T215" s="126" t="n">
        <f aca="false">L215/$R$3</f>
        <v>0</v>
      </c>
      <c r="U215" s="126" t="n">
        <f aca="false">I215/$R$3</f>
        <v>0</v>
      </c>
      <c r="V215" s="126" t="n">
        <f aca="false">M215/$R$3</f>
        <v>0</v>
      </c>
      <c r="W215" s="126" t="n">
        <f aca="false">N215/$R$3</f>
        <v>0</v>
      </c>
    </row>
    <row r="216" customFormat="false" ht="12.75" hidden="true" customHeight="false" outlineLevel="0" collapsed="false">
      <c r="A216" s="120" t="n">
        <f aca="false">A215+1</f>
        <v>37102</v>
      </c>
      <c r="B216" s="131" t="str">
        <f aca="false">INDEX('Master Data'!$A$2:$B$8,MATCH(WEEKDAY('SC Total Gas'!A216,3),'Master Data'!$A$2:$A$8,0),2)</f>
        <v>M</v>
      </c>
      <c r="D216" s="124" t="n">
        <v>0</v>
      </c>
      <c r="E216" s="124" t="n">
        <v>4319891.44197178</v>
      </c>
      <c r="F216" s="124" t="n">
        <v>0</v>
      </c>
      <c r="G216" s="124" t="n">
        <v>0</v>
      </c>
      <c r="I216" s="124" t="n">
        <f aca="false">IF(MONTH($A216)=MONTH($A215),IF(G216=0,I215,G216),G216)</f>
        <v>0</v>
      </c>
      <c r="J216" s="124" t="n">
        <f aca="false">IF(MONTH($A216)=MONTH($A215),SUM(I216-I215),I216)</f>
        <v>0</v>
      </c>
      <c r="K216" s="124" t="n">
        <f aca="false">IF(WEEKDAY(A216,3)&gt;4,0,(IF(A216&lt;K$2,0,IF(A216&lt;=K$3,1,0))))</f>
        <v>0</v>
      </c>
      <c r="L216" s="124" t="n">
        <f aca="false">J216*K216</f>
        <v>0</v>
      </c>
      <c r="M216" s="124" t="n">
        <f aca="false">SUM(J$97:J216)</f>
        <v>0</v>
      </c>
      <c r="N216" s="124" t="n">
        <f aca="false">SUM(J$6:J216)</f>
        <v>0</v>
      </c>
      <c r="P216" s="124" t="n">
        <f aca="false">D216/P$3</f>
        <v>0</v>
      </c>
      <c r="Q216" s="124" t="n">
        <f aca="false">E216/P$3</f>
        <v>4.31989144197178</v>
      </c>
      <c r="R216" s="124" t="n">
        <f aca="false">F216/R$3</f>
        <v>0</v>
      </c>
      <c r="S216" s="126" t="n">
        <f aca="false">J216/$R$3</f>
        <v>0</v>
      </c>
      <c r="T216" s="126" t="n">
        <f aca="false">L216/$R$3</f>
        <v>0</v>
      </c>
      <c r="U216" s="126" t="n">
        <f aca="false">I216/$R$3</f>
        <v>0</v>
      </c>
      <c r="V216" s="126" t="n">
        <f aca="false">M216/$R$3</f>
        <v>0</v>
      </c>
      <c r="W216" s="126" t="n">
        <f aca="false">N216/$R$3</f>
        <v>0</v>
      </c>
    </row>
    <row r="217" customFormat="false" ht="12.75" hidden="false" customHeight="false" outlineLevel="0" collapsed="false">
      <c r="A217" s="120" t="n">
        <f aca="false">A216+1</f>
        <v>37103</v>
      </c>
      <c r="B217" s="131" t="str">
        <f aca="false">INDEX('Master Data'!$A$2:$B$8,MATCH(WEEKDAY('SC Total Gas'!A217,3),'Master Data'!$A$2:$A$8,0),2)</f>
        <v>T</v>
      </c>
      <c r="D217" s="124" t="n">
        <v>0</v>
      </c>
      <c r="E217" s="124" t="n">
        <v>4329089.61916572</v>
      </c>
      <c r="F217" s="124" t="n">
        <v>0</v>
      </c>
      <c r="G217" s="124" t="n">
        <v>0</v>
      </c>
      <c r="I217" s="124" t="n">
        <f aca="false">IF(MONTH($A217)=MONTH($A216),IF(G217=0,I216,G217),G217)</f>
        <v>0</v>
      </c>
      <c r="J217" s="124" t="n">
        <f aca="false">IF(MONTH($A217)=MONTH($A216),SUM(I217-I216),I217)</f>
        <v>0</v>
      </c>
      <c r="K217" s="124" t="n">
        <f aca="false">IF(WEEKDAY(A217,3)&gt;4,0,(IF(A217&lt;K$2,0,IF(A217&lt;=K$3,1,0))))</f>
        <v>0</v>
      </c>
      <c r="L217" s="124" t="n">
        <f aca="false">J217*K217</f>
        <v>0</v>
      </c>
      <c r="M217" s="124" t="n">
        <f aca="false">SUM(J$97:J217)</f>
        <v>0</v>
      </c>
      <c r="N217" s="124" t="n">
        <f aca="false">SUM(J$6:J217)</f>
        <v>0</v>
      </c>
      <c r="P217" s="124" t="n">
        <f aca="false">D217/P$3</f>
        <v>0</v>
      </c>
      <c r="Q217" s="124" t="n">
        <f aca="false">E217/P$3</f>
        <v>4.32908961916572</v>
      </c>
      <c r="R217" s="124" t="n">
        <f aca="false">F217/R$3</f>
        <v>0</v>
      </c>
      <c r="S217" s="126" t="n">
        <f aca="false">J217/$R$3</f>
        <v>0</v>
      </c>
      <c r="T217" s="126" t="n">
        <f aca="false">L217/$R$3</f>
        <v>0</v>
      </c>
      <c r="U217" s="126" t="n">
        <f aca="false">I217/$R$3</f>
        <v>0</v>
      </c>
      <c r="V217" s="126" t="n">
        <f aca="false">M217/$R$3</f>
        <v>0</v>
      </c>
      <c r="W217" s="126" t="n">
        <f aca="false">N217/$R$3</f>
        <v>0</v>
      </c>
    </row>
    <row r="218" customFormat="false" ht="12.75" hidden="true" customHeight="false" outlineLevel="0" collapsed="false">
      <c r="A218" s="120" t="n">
        <f aca="false">A217+1</f>
        <v>37104</v>
      </c>
      <c r="B218" s="131" t="str">
        <f aca="false">INDEX('Master Data'!$A$2:$B$8,MATCH(WEEKDAY('SC Total Gas'!A218,3),'Master Data'!$A$2:$A$8,0),2)</f>
        <v>W</v>
      </c>
      <c r="D218" s="124" t="n">
        <v>0</v>
      </c>
      <c r="E218" s="124" t="n">
        <v>4326176.3286242</v>
      </c>
      <c r="F218" s="124" t="n">
        <v>0</v>
      </c>
      <c r="G218" s="124" t="n">
        <v>0</v>
      </c>
      <c r="I218" s="124" t="n">
        <f aca="false">IF(MONTH($A218)=MONTH($A217),IF(G218=0,I217,G218),G218)</f>
        <v>0</v>
      </c>
      <c r="J218" s="124" t="n">
        <f aca="false">IF(MONTH($A218)=MONTH($A217),SUM(I218-I217),I218)</f>
        <v>0</v>
      </c>
      <c r="K218" s="124" t="n">
        <f aca="false">IF(WEEKDAY(A218,3)&gt;4,0,(IF(A218&lt;K$2,0,IF(A218&lt;=K$3,1,0))))</f>
        <v>0</v>
      </c>
      <c r="L218" s="124" t="n">
        <f aca="false">J218*K218</f>
        <v>0</v>
      </c>
      <c r="M218" s="124" t="n">
        <f aca="false">SUM(J$97:J218)</f>
        <v>0</v>
      </c>
      <c r="N218" s="124" t="n">
        <f aca="false">SUM(J$6:J218)</f>
        <v>0</v>
      </c>
      <c r="P218" s="124" t="n">
        <f aca="false">D218/P$3</f>
        <v>0</v>
      </c>
      <c r="Q218" s="124" t="n">
        <f aca="false">E218/P$3</f>
        <v>4.3261763286242</v>
      </c>
      <c r="R218" s="124" t="n">
        <f aca="false">F218/R$3</f>
        <v>0</v>
      </c>
      <c r="S218" s="126" t="n">
        <f aca="false">J218/$R$3</f>
        <v>0</v>
      </c>
      <c r="T218" s="126" t="n">
        <f aca="false">L218/$R$3</f>
        <v>0</v>
      </c>
      <c r="U218" s="126" t="n">
        <f aca="false">I218/$R$3</f>
        <v>0</v>
      </c>
      <c r="V218" s="126" t="n">
        <f aca="false">M218/$R$3</f>
        <v>0</v>
      </c>
      <c r="W218" s="126" t="n">
        <f aca="false">N218/$R$3</f>
        <v>0</v>
      </c>
    </row>
    <row r="219" customFormat="false" ht="12.75" hidden="true" customHeight="false" outlineLevel="0" collapsed="false">
      <c r="A219" s="120" t="n">
        <f aca="false">A218+1</f>
        <v>37105</v>
      </c>
      <c r="B219" s="131" t="str">
        <f aca="false">INDEX('Master Data'!$A$2:$B$8,MATCH(WEEKDAY('SC Total Gas'!A219,3),'Master Data'!$A$2:$A$8,0),2)</f>
        <v>Th</v>
      </c>
      <c r="D219" s="124" t="n">
        <v>0</v>
      </c>
      <c r="E219" s="124" t="n">
        <v>4314465.78555375</v>
      </c>
      <c r="F219" s="124" t="n">
        <v>0</v>
      </c>
      <c r="G219" s="124" t="n">
        <v>0</v>
      </c>
      <c r="I219" s="124" t="n">
        <f aca="false">IF(MONTH($A219)=MONTH($A218),IF(G219=0,I218,G219),G219)</f>
        <v>0</v>
      </c>
      <c r="J219" s="124" t="n">
        <f aca="false">IF(MONTH($A219)=MONTH($A218),SUM(I219-I218),I219)</f>
        <v>0</v>
      </c>
      <c r="K219" s="124" t="n">
        <f aca="false">IF(WEEKDAY(A219,3)&gt;4,0,(IF(A219&lt;K$2,0,IF(A219&lt;=K$3,1,0))))</f>
        <v>0</v>
      </c>
      <c r="L219" s="124" t="n">
        <f aca="false">J219*K219</f>
        <v>0</v>
      </c>
      <c r="M219" s="124" t="n">
        <f aca="false">SUM(J$97:J219)</f>
        <v>0</v>
      </c>
      <c r="N219" s="124" t="n">
        <f aca="false">SUM(J$6:J219)</f>
        <v>0</v>
      </c>
      <c r="P219" s="124" t="n">
        <f aca="false">D219/P$3</f>
        <v>0</v>
      </c>
      <c r="Q219" s="124" t="n">
        <f aca="false">E219/P$3</f>
        <v>4.31446578555375</v>
      </c>
      <c r="R219" s="124" t="n">
        <f aca="false">F219/R$3</f>
        <v>0</v>
      </c>
      <c r="S219" s="126" t="n">
        <f aca="false">J219/$R$3</f>
        <v>0</v>
      </c>
      <c r="T219" s="126" t="n">
        <f aca="false">L219/$R$3</f>
        <v>0</v>
      </c>
      <c r="U219" s="126" t="n">
        <f aca="false">I219/$R$3</f>
        <v>0</v>
      </c>
      <c r="V219" s="126" t="n">
        <f aca="false">M219/$R$3</f>
        <v>0</v>
      </c>
      <c r="W219" s="126" t="n">
        <f aca="false">N219/$R$3</f>
        <v>0</v>
      </c>
    </row>
    <row r="220" customFormat="false" ht="12.75" hidden="true" customHeight="false" outlineLevel="0" collapsed="false">
      <c r="A220" s="120" t="n">
        <f aca="false">A219+1</f>
        <v>37106</v>
      </c>
      <c r="B220" s="131" t="str">
        <f aca="false">INDEX('Master Data'!$A$2:$B$8,MATCH(WEEKDAY('SC Total Gas'!A220,3),'Master Data'!$A$2:$A$8,0),2)</f>
        <v>F</v>
      </c>
      <c r="D220" s="124" t="n">
        <v>0</v>
      </c>
      <c r="E220" s="124" t="n">
        <v>4312849.03291224</v>
      </c>
      <c r="F220" s="124" t="n">
        <v>0</v>
      </c>
      <c r="G220" s="124" t="n">
        <v>0</v>
      </c>
      <c r="I220" s="124" t="n">
        <f aca="false">IF(MONTH($A220)=MONTH($A219),IF(G220=0,I219,G220),G220)</f>
        <v>0</v>
      </c>
      <c r="J220" s="124" t="n">
        <f aca="false">IF(MONTH($A220)=MONTH($A219),SUM(I220-I219),I220)</f>
        <v>0</v>
      </c>
      <c r="K220" s="124" t="n">
        <f aca="false">IF(WEEKDAY(A220,3)&gt;4,0,(IF(A220&lt;K$2,0,IF(A220&lt;=K$3,1,0))))</f>
        <v>0</v>
      </c>
      <c r="L220" s="124" t="n">
        <f aca="false">J220*K220</f>
        <v>0</v>
      </c>
      <c r="M220" s="124" t="n">
        <f aca="false">SUM(J$97:J220)</f>
        <v>0</v>
      </c>
      <c r="N220" s="124" t="n">
        <f aca="false">SUM(J$6:J220)</f>
        <v>0</v>
      </c>
      <c r="P220" s="124" t="n">
        <f aca="false">D220/P$3</f>
        <v>0</v>
      </c>
      <c r="Q220" s="124" t="n">
        <f aca="false">E220/P$3</f>
        <v>4.31284903291224</v>
      </c>
      <c r="R220" s="124" t="n">
        <f aca="false">F220/R$3</f>
        <v>0</v>
      </c>
      <c r="S220" s="126" t="n">
        <f aca="false">J220/$R$3</f>
        <v>0</v>
      </c>
      <c r="T220" s="126" t="n">
        <f aca="false">L220/$R$3</f>
        <v>0</v>
      </c>
      <c r="U220" s="126" t="n">
        <f aca="false">I220/$R$3</f>
        <v>0</v>
      </c>
      <c r="V220" s="126" t="n">
        <f aca="false">M220/$R$3</f>
        <v>0</v>
      </c>
      <c r="W220" s="126" t="n">
        <f aca="false">N220/$R$3</f>
        <v>0</v>
      </c>
    </row>
    <row r="221" customFormat="false" ht="12.75" hidden="true" customHeight="false" outlineLevel="0" collapsed="false">
      <c r="A221" s="120" t="n">
        <f aca="false">A220+1</f>
        <v>37107</v>
      </c>
      <c r="B221" s="131" t="str">
        <f aca="false">INDEX('Master Data'!$A$2:$B$8,MATCH(WEEKDAY('SC Total Gas'!A221,3),'Master Data'!$A$2:$A$8,0),2)</f>
        <v>Sa</v>
      </c>
      <c r="D221" s="124" t="n">
        <v>0</v>
      </c>
      <c r="E221" s="124" t="n">
        <v>0</v>
      </c>
      <c r="F221" s="124" t="n">
        <v>0</v>
      </c>
      <c r="G221" s="124" t="n">
        <v>0</v>
      </c>
      <c r="I221" s="124" t="n">
        <f aca="false">IF(MONTH($A221)=MONTH($A220),IF(G221=0,I220,G221),G221)</f>
        <v>0</v>
      </c>
      <c r="J221" s="124" t="n">
        <f aca="false">IF(MONTH($A221)=MONTH($A220),SUM(I221-I220),I221)</f>
        <v>0</v>
      </c>
      <c r="K221" s="124" t="n">
        <f aca="false">IF(WEEKDAY(A221,3)&gt;4,0,(IF(A221&lt;K$2,0,IF(A221&lt;=K$3,1,0))))</f>
        <v>0</v>
      </c>
      <c r="L221" s="124" t="n">
        <f aca="false">J221*K221</f>
        <v>0</v>
      </c>
      <c r="M221" s="124" t="n">
        <f aca="false">SUM(J$97:J221)</f>
        <v>0</v>
      </c>
      <c r="N221" s="124" t="n">
        <f aca="false">SUM(J$6:J221)</f>
        <v>0</v>
      </c>
      <c r="P221" s="124" t="n">
        <f aca="false">D221/P$3</f>
        <v>0</v>
      </c>
      <c r="Q221" s="124" t="n">
        <f aca="false">E221/P$3</f>
        <v>0</v>
      </c>
      <c r="R221" s="124" t="n">
        <f aca="false">F221/R$3</f>
        <v>0</v>
      </c>
      <c r="S221" s="126" t="n">
        <f aca="false">J221/$R$3</f>
        <v>0</v>
      </c>
      <c r="T221" s="126" t="n">
        <f aca="false">L221/$R$3</f>
        <v>0</v>
      </c>
      <c r="U221" s="126" t="n">
        <f aca="false">I221/$R$3</f>
        <v>0</v>
      </c>
      <c r="V221" s="126" t="n">
        <f aca="false">M221/$R$3</f>
        <v>0</v>
      </c>
      <c r="W221" s="126" t="n">
        <f aca="false">N221/$R$3</f>
        <v>0</v>
      </c>
    </row>
    <row r="222" customFormat="false" ht="12.75" hidden="true" customHeight="false" outlineLevel="0" collapsed="false">
      <c r="A222" s="120" t="n">
        <f aca="false">A221+1</f>
        <v>37108</v>
      </c>
      <c r="B222" s="131" t="str">
        <f aca="false">INDEX('Master Data'!$A$2:$B$8,MATCH(WEEKDAY('SC Total Gas'!A222,3),'Master Data'!$A$2:$A$8,0),2)</f>
        <v>Su</v>
      </c>
      <c r="D222" s="124" t="n">
        <v>0</v>
      </c>
      <c r="E222" s="124" t="n">
        <v>0</v>
      </c>
      <c r="F222" s="124" t="n">
        <v>0</v>
      </c>
      <c r="G222" s="124" t="n">
        <v>0</v>
      </c>
      <c r="I222" s="124" t="n">
        <f aca="false">IF(MONTH($A222)=MONTH($A221),IF(G222=0,I221,G222),G222)</f>
        <v>0</v>
      </c>
      <c r="J222" s="124" t="n">
        <f aca="false">IF(MONTH($A222)=MONTH($A221),SUM(I222-I221),I222)</f>
        <v>0</v>
      </c>
      <c r="K222" s="124" t="n">
        <f aca="false">IF(WEEKDAY(A222,3)&gt;4,0,(IF(A222&lt;K$2,0,IF(A222&lt;=K$3,1,0))))</f>
        <v>0</v>
      </c>
      <c r="L222" s="124" t="n">
        <f aca="false">J222*K222</f>
        <v>0</v>
      </c>
      <c r="M222" s="124" t="n">
        <f aca="false">SUM(J$97:J222)</f>
        <v>0</v>
      </c>
      <c r="N222" s="124" t="n">
        <f aca="false">SUM(J$6:J222)</f>
        <v>0</v>
      </c>
      <c r="P222" s="124" t="n">
        <f aca="false">D222/P$3</f>
        <v>0</v>
      </c>
      <c r="Q222" s="124" t="n">
        <f aca="false">E222/P$3</f>
        <v>0</v>
      </c>
      <c r="R222" s="124" t="n">
        <f aca="false">F222/R$3</f>
        <v>0</v>
      </c>
      <c r="S222" s="126" t="n">
        <f aca="false">J222/$R$3</f>
        <v>0</v>
      </c>
      <c r="T222" s="126" t="n">
        <f aca="false">L222/$R$3</f>
        <v>0</v>
      </c>
      <c r="U222" s="126" t="n">
        <f aca="false">I222/$R$3</f>
        <v>0</v>
      </c>
      <c r="V222" s="126" t="n">
        <f aca="false">M222/$R$3</f>
        <v>0</v>
      </c>
      <c r="W222" s="126" t="n">
        <f aca="false">N222/$R$3</f>
        <v>0</v>
      </c>
    </row>
    <row r="223" customFormat="false" ht="12.75" hidden="true" customHeight="false" outlineLevel="0" collapsed="false">
      <c r="A223" s="120" t="n">
        <f aca="false">A222+1</f>
        <v>37109</v>
      </c>
      <c r="B223" s="131" t="str">
        <f aca="false">INDEX('Master Data'!$A$2:$B$8,MATCH(WEEKDAY('SC Total Gas'!A223,3),'Master Data'!$A$2:$A$8,0),2)</f>
        <v>M</v>
      </c>
      <c r="D223" s="124" t="n">
        <v>0</v>
      </c>
      <c r="E223" s="124" t="n">
        <v>4317431.29556065</v>
      </c>
      <c r="F223" s="124" t="n">
        <v>0</v>
      </c>
      <c r="G223" s="124" t="n">
        <v>0</v>
      </c>
      <c r="I223" s="124" t="n">
        <f aca="false">IF(MONTH($A223)=MONTH($A222),IF(G223=0,I222,G223),G223)</f>
        <v>0</v>
      </c>
      <c r="J223" s="124" t="n">
        <f aca="false">IF(MONTH($A223)=MONTH($A222),SUM(I223-I222),I223)</f>
        <v>0</v>
      </c>
      <c r="K223" s="124" t="n">
        <f aca="false">IF(WEEKDAY(A223,3)&gt;4,0,(IF(A223&lt;K$2,0,IF(A223&lt;=K$3,1,0))))</f>
        <v>0</v>
      </c>
      <c r="L223" s="124" t="n">
        <f aca="false">J223*K223</f>
        <v>0</v>
      </c>
      <c r="M223" s="124" t="n">
        <f aca="false">SUM(J$97:J223)</f>
        <v>0</v>
      </c>
      <c r="N223" s="124" t="n">
        <f aca="false">SUM(J$6:J223)</f>
        <v>0</v>
      </c>
      <c r="P223" s="124" t="n">
        <f aca="false">D223/P$3</f>
        <v>0</v>
      </c>
      <c r="Q223" s="124" t="n">
        <f aca="false">E223/P$3</f>
        <v>4.31743129556065</v>
      </c>
      <c r="R223" s="124" t="n">
        <f aca="false">F223/R$3</f>
        <v>0</v>
      </c>
      <c r="S223" s="126" t="n">
        <f aca="false">J223/$R$3</f>
        <v>0</v>
      </c>
      <c r="T223" s="126" t="n">
        <f aca="false">L223/$R$3</f>
        <v>0</v>
      </c>
      <c r="U223" s="126" t="n">
        <f aca="false">I223/$R$3</f>
        <v>0</v>
      </c>
      <c r="V223" s="126" t="n">
        <f aca="false">M223/$R$3</f>
        <v>0</v>
      </c>
      <c r="W223" s="126" t="n">
        <f aca="false">N223/$R$3</f>
        <v>0</v>
      </c>
    </row>
    <row r="224" customFormat="false" ht="12.75" hidden="true" customHeight="false" outlineLevel="0" collapsed="false">
      <c r="A224" s="120" t="n">
        <f aca="false">A223+1</f>
        <v>37110</v>
      </c>
      <c r="B224" s="131" t="str">
        <f aca="false">INDEX('Master Data'!$A$2:$B$8,MATCH(WEEKDAY('SC Total Gas'!A224,3),'Master Data'!$A$2:$A$8,0),2)</f>
        <v>T</v>
      </c>
      <c r="D224" s="124" t="n">
        <v>0</v>
      </c>
      <c r="E224" s="124" t="n">
        <v>4317303.30877279</v>
      </c>
      <c r="F224" s="124" t="n">
        <v>0</v>
      </c>
      <c r="G224" s="124" t="n">
        <v>0</v>
      </c>
      <c r="I224" s="124" t="n">
        <f aca="false">IF(MONTH($A224)=MONTH($A223),IF(G224=0,I223,G224),G224)</f>
        <v>0</v>
      </c>
      <c r="J224" s="124" t="n">
        <f aca="false">IF(MONTH($A224)=MONTH($A223),SUM(I224-I223),I224)</f>
        <v>0</v>
      </c>
      <c r="K224" s="124" t="n">
        <f aca="false">IF(WEEKDAY(A224,3)&gt;4,0,(IF(A224&lt;K$2,0,IF(A224&lt;=K$3,1,0))))</f>
        <v>0</v>
      </c>
      <c r="L224" s="124" t="n">
        <f aca="false">J224*K224</f>
        <v>0</v>
      </c>
      <c r="M224" s="124" t="n">
        <f aca="false">SUM(J$97:J224)</f>
        <v>0</v>
      </c>
      <c r="N224" s="124" t="n">
        <f aca="false">SUM(J$6:J224)</f>
        <v>0</v>
      </c>
      <c r="P224" s="124" t="n">
        <f aca="false">D224/P$3</f>
        <v>0</v>
      </c>
      <c r="Q224" s="124" t="n">
        <f aca="false">E224/P$3</f>
        <v>4.31730330877279</v>
      </c>
      <c r="R224" s="124" t="n">
        <f aca="false">F224/R$3</f>
        <v>0</v>
      </c>
      <c r="S224" s="126" t="n">
        <f aca="false">J224/$R$3</f>
        <v>0</v>
      </c>
      <c r="T224" s="126" t="n">
        <f aca="false">L224/$R$3</f>
        <v>0</v>
      </c>
      <c r="U224" s="126" t="n">
        <f aca="false">I224/$R$3</f>
        <v>0</v>
      </c>
      <c r="V224" s="126" t="n">
        <f aca="false">M224/$R$3</f>
        <v>0</v>
      </c>
      <c r="W224" s="126" t="n">
        <f aca="false">N224/$R$3</f>
        <v>0</v>
      </c>
    </row>
    <row r="225" customFormat="false" ht="12.75" hidden="true" customHeight="false" outlineLevel="0" collapsed="false">
      <c r="A225" s="120" t="n">
        <f aca="false">A224+1</f>
        <v>37111</v>
      </c>
      <c r="B225" s="131" t="str">
        <f aca="false">INDEX('Master Data'!$A$2:$B$8,MATCH(WEEKDAY('SC Total Gas'!A225,3),'Master Data'!$A$2:$A$8,0),2)</f>
        <v>W</v>
      </c>
      <c r="D225" s="124" t="n">
        <v>0</v>
      </c>
      <c r="E225" s="124" t="n">
        <v>4332506.16997155</v>
      </c>
      <c r="F225" s="124" t="n">
        <v>0</v>
      </c>
      <c r="G225" s="124" t="n">
        <v>0</v>
      </c>
      <c r="I225" s="124" t="n">
        <f aca="false">IF(MONTH($A225)=MONTH($A224),IF(G225=0,I224,G225),G225)</f>
        <v>0</v>
      </c>
      <c r="J225" s="124" t="n">
        <f aca="false">IF(MONTH($A225)=MONTH($A224),SUM(I225-I224),I225)</f>
        <v>0</v>
      </c>
      <c r="K225" s="124" t="n">
        <f aca="false">IF(WEEKDAY(A225,3)&gt;4,0,(IF(A225&lt;K$2,0,IF(A225&lt;=K$3,1,0))))</f>
        <v>0</v>
      </c>
      <c r="L225" s="124" t="n">
        <f aca="false">J225*K225</f>
        <v>0</v>
      </c>
      <c r="M225" s="124" t="n">
        <f aca="false">SUM(J$97:J225)</f>
        <v>0</v>
      </c>
      <c r="N225" s="124" t="n">
        <f aca="false">SUM(J$6:J225)</f>
        <v>0</v>
      </c>
      <c r="P225" s="124" t="n">
        <f aca="false">D225/P$3</f>
        <v>0</v>
      </c>
      <c r="Q225" s="124" t="n">
        <f aca="false">E225/P$3</f>
        <v>4.33250616997155</v>
      </c>
      <c r="R225" s="124" t="n">
        <f aca="false">F225/R$3</f>
        <v>0</v>
      </c>
      <c r="S225" s="126" t="n">
        <f aca="false">J225/$R$3</f>
        <v>0</v>
      </c>
      <c r="T225" s="126" t="n">
        <f aca="false">L225/$R$3</f>
        <v>0</v>
      </c>
      <c r="U225" s="126" t="n">
        <f aca="false">I225/$R$3</f>
        <v>0</v>
      </c>
      <c r="V225" s="126" t="n">
        <f aca="false">M225/$R$3</f>
        <v>0</v>
      </c>
      <c r="W225" s="126" t="n">
        <f aca="false">N225/$R$3</f>
        <v>0</v>
      </c>
    </row>
    <row r="226" customFormat="false" ht="12.75" hidden="true" customHeight="false" outlineLevel="0" collapsed="false">
      <c r="A226" s="120" t="n">
        <f aca="false">A225+1</f>
        <v>37112</v>
      </c>
      <c r="B226" s="131" t="str">
        <f aca="false">INDEX('Master Data'!$A$2:$B$8,MATCH(WEEKDAY('SC Total Gas'!A226,3),'Master Data'!$A$2:$A$8,0),2)</f>
        <v>Th</v>
      </c>
      <c r="D226" s="124" t="n">
        <v>0</v>
      </c>
      <c r="E226" s="124" t="n">
        <v>4328044.05997498</v>
      </c>
      <c r="F226" s="124" t="n">
        <v>0</v>
      </c>
      <c r="G226" s="124" t="n">
        <v>0</v>
      </c>
      <c r="I226" s="124" t="n">
        <f aca="false">IF(MONTH($A226)=MONTH($A225),IF(G226=0,I225,G226),G226)</f>
        <v>0</v>
      </c>
      <c r="J226" s="124" t="n">
        <f aca="false">IF(MONTH($A226)=MONTH($A225),SUM(I226-I225),I226)</f>
        <v>0</v>
      </c>
      <c r="K226" s="124" t="n">
        <f aca="false">IF(WEEKDAY(A226,3)&gt;4,0,(IF(A226&lt;K$2,0,IF(A226&lt;=K$3,1,0))))</f>
        <v>0</v>
      </c>
      <c r="L226" s="124" t="n">
        <f aca="false">J226*K226</f>
        <v>0</v>
      </c>
      <c r="M226" s="124" t="n">
        <f aca="false">SUM(J$97:J226)</f>
        <v>0</v>
      </c>
      <c r="N226" s="124" t="n">
        <f aca="false">SUM(J$6:J226)</f>
        <v>0</v>
      </c>
      <c r="P226" s="124" t="n">
        <f aca="false">D226/P$3</f>
        <v>0</v>
      </c>
      <c r="Q226" s="124" t="n">
        <f aca="false">E226/P$3</f>
        <v>4.32804405997498</v>
      </c>
      <c r="R226" s="124" t="n">
        <f aca="false">F226/R$3</f>
        <v>0</v>
      </c>
      <c r="S226" s="126" t="n">
        <f aca="false">J226/$R$3</f>
        <v>0</v>
      </c>
      <c r="T226" s="126" t="n">
        <f aca="false">L226/$R$3</f>
        <v>0</v>
      </c>
      <c r="U226" s="126" t="n">
        <f aca="false">I226/$R$3</f>
        <v>0</v>
      </c>
      <c r="V226" s="126" t="n">
        <f aca="false">M226/$R$3</f>
        <v>0</v>
      </c>
      <c r="W226" s="126" t="n">
        <f aca="false">N226/$R$3</f>
        <v>0</v>
      </c>
    </row>
    <row r="227" customFormat="false" ht="12.75" hidden="true" customHeight="false" outlineLevel="0" collapsed="false">
      <c r="A227" s="120" t="n">
        <f aca="false">A226+1</f>
        <v>37113</v>
      </c>
      <c r="B227" s="131" t="str">
        <f aca="false">INDEX('Master Data'!$A$2:$B$8,MATCH(WEEKDAY('SC Total Gas'!A227,3),'Master Data'!$A$2:$A$8,0),2)</f>
        <v>F</v>
      </c>
      <c r="D227" s="124" t="n">
        <v>0</v>
      </c>
      <c r="E227" s="124" t="n">
        <v>4329599.0348018</v>
      </c>
      <c r="F227" s="124" t="n">
        <v>0</v>
      </c>
      <c r="G227" s="124" t="n">
        <v>0</v>
      </c>
      <c r="I227" s="124" t="n">
        <f aca="false">IF(MONTH($A227)=MONTH($A226),IF(G227=0,I226,G227),G227)</f>
        <v>0</v>
      </c>
      <c r="J227" s="124" t="n">
        <f aca="false">IF(MONTH($A227)=MONTH($A226),SUM(I227-I226),I227)</f>
        <v>0</v>
      </c>
      <c r="K227" s="124" t="n">
        <f aca="false">IF(WEEKDAY(A227,3)&gt;4,0,(IF(A227&lt;K$2,0,IF(A227&lt;=K$3,1,0))))</f>
        <v>0</v>
      </c>
      <c r="L227" s="124" t="n">
        <f aca="false">J227*K227</f>
        <v>0</v>
      </c>
      <c r="M227" s="124" t="n">
        <f aca="false">SUM(J$97:J227)</f>
        <v>0</v>
      </c>
      <c r="N227" s="124" t="n">
        <f aca="false">SUM(J$6:J227)</f>
        <v>0</v>
      </c>
      <c r="P227" s="124" t="n">
        <f aca="false">D227/P$3</f>
        <v>0</v>
      </c>
      <c r="Q227" s="124" t="n">
        <f aca="false">E227/P$3</f>
        <v>4.3295990348018</v>
      </c>
      <c r="R227" s="124" t="n">
        <f aca="false">F227/R$3</f>
        <v>0</v>
      </c>
      <c r="S227" s="126" t="n">
        <f aca="false">J227/$R$3</f>
        <v>0</v>
      </c>
      <c r="T227" s="126" t="n">
        <f aca="false">L227/$R$3</f>
        <v>0</v>
      </c>
      <c r="U227" s="126" t="n">
        <f aca="false">I227/$R$3</f>
        <v>0</v>
      </c>
      <c r="V227" s="126" t="n">
        <f aca="false">M227/$R$3</f>
        <v>0</v>
      </c>
      <c r="W227" s="126" t="n">
        <f aca="false">N227/$R$3</f>
        <v>0</v>
      </c>
    </row>
    <row r="228" customFormat="false" ht="12.75" hidden="true" customHeight="false" outlineLevel="0" collapsed="false">
      <c r="A228" s="120" t="n">
        <f aca="false">A227+1</f>
        <v>37114</v>
      </c>
      <c r="B228" s="131" t="str">
        <f aca="false">INDEX('Master Data'!$A$2:$B$8,MATCH(WEEKDAY('SC Total Gas'!A228,3),'Master Data'!$A$2:$A$8,0),2)</f>
        <v>Sa</v>
      </c>
      <c r="D228" s="124" t="n">
        <v>0</v>
      </c>
      <c r="E228" s="124" t="n">
        <v>0</v>
      </c>
      <c r="F228" s="124" t="n">
        <v>0</v>
      </c>
      <c r="G228" s="124" t="n">
        <v>0</v>
      </c>
      <c r="I228" s="124" t="n">
        <f aca="false">IF(MONTH($A228)=MONTH($A227),IF(G228=0,I227,G228),G228)</f>
        <v>0</v>
      </c>
      <c r="J228" s="124" t="n">
        <f aca="false">IF(MONTH($A228)=MONTH($A227),SUM(I228-I227),I228)</f>
        <v>0</v>
      </c>
      <c r="K228" s="124" t="n">
        <f aca="false">IF(WEEKDAY(A228,3)&gt;4,0,(IF(A228&lt;K$2,0,IF(A228&lt;=K$3,1,0))))</f>
        <v>0</v>
      </c>
      <c r="L228" s="124" t="n">
        <f aca="false">J228*K228</f>
        <v>0</v>
      </c>
      <c r="M228" s="124" t="n">
        <f aca="false">SUM(J$97:J228)</f>
        <v>0</v>
      </c>
      <c r="N228" s="124" t="n">
        <f aca="false">SUM(J$6:J228)</f>
        <v>0</v>
      </c>
      <c r="P228" s="124" t="n">
        <f aca="false">D228/P$3</f>
        <v>0</v>
      </c>
      <c r="Q228" s="124" t="n">
        <f aca="false">E228/P$3</f>
        <v>0</v>
      </c>
      <c r="R228" s="124" t="n">
        <f aca="false">F228/R$3</f>
        <v>0</v>
      </c>
      <c r="S228" s="126" t="n">
        <f aca="false">J228/$R$3</f>
        <v>0</v>
      </c>
      <c r="T228" s="126" t="n">
        <f aca="false">L228/$R$3</f>
        <v>0</v>
      </c>
      <c r="U228" s="126" t="n">
        <f aca="false">I228/$R$3</f>
        <v>0</v>
      </c>
      <c r="V228" s="126" t="n">
        <f aca="false">M228/$R$3</f>
        <v>0</v>
      </c>
      <c r="W228" s="126" t="n">
        <f aca="false">N228/$R$3</f>
        <v>0</v>
      </c>
    </row>
    <row r="229" customFormat="false" ht="12.75" hidden="true" customHeight="false" outlineLevel="0" collapsed="false">
      <c r="A229" s="120" t="n">
        <f aca="false">A228+1</f>
        <v>37115</v>
      </c>
      <c r="B229" s="131" t="str">
        <f aca="false">INDEX('Master Data'!$A$2:$B$8,MATCH(WEEKDAY('SC Total Gas'!A229,3),'Master Data'!$A$2:$A$8,0),2)</f>
        <v>Su</v>
      </c>
      <c r="D229" s="124" t="n">
        <v>0</v>
      </c>
      <c r="E229" s="124" t="n">
        <v>0</v>
      </c>
      <c r="F229" s="124" t="n">
        <v>0</v>
      </c>
      <c r="G229" s="124" t="n">
        <v>0</v>
      </c>
      <c r="I229" s="124" t="n">
        <f aca="false">IF(MONTH($A229)=MONTH($A228),IF(G229=0,I228,G229),G229)</f>
        <v>0</v>
      </c>
      <c r="J229" s="124" t="n">
        <f aca="false">IF(MONTH($A229)=MONTH($A228),SUM(I229-I228),I229)</f>
        <v>0</v>
      </c>
      <c r="K229" s="124" t="n">
        <f aca="false">IF(WEEKDAY(A229,3)&gt;4,0,(IF(A229&lt;K$2,0,IF(A229&lt;=K$3,1,0))))</f>
        <v>0</v>
      </c>
      <c r="L229" s="124" t="n">
        <f aca="false">J229*K229</f>
        <v>0</v>
      </c>
      <c r="M229" s="124" t="n">
        <f aca="false">SUM(J$97:J229)</f>
        <v>0</v>
      </c>
      <c r="N229" s="124" t="n">
        <f aca="false">SUM(J$6:J229)</f>
        <v>0</v>
      </c>
      <c r="P229" s="124" t="n">
        <f aca="false">D229/P$3</f>
        <v>0</v>
      </c>
      <c r="Q229" s="124" t="n">
        <f aca="false">E229/P$3</f>
        <v>0</v>
      </c>
      <c r="R229" s="124" t="n">
        <f aca="false">F229/R$3</f>
        <v>0</v>
      </c>
      <c r="S229" s="126" t="n">
        <f aca="false">J229/$R$3</f>
        <v>0</v>
      </c>
      <c r="T229" s="126" t="n">
        <f aca="false">L229/$R$3</f>
        <v>0</v>
      </c>
      <c r="U229" s="126" t="n">
        <f aca="false">I229/$R$3</f>
        <v>0</v>
      </c>
      <c r="V229" s="126" t="n">
        <f aca="false">M229/$R$3</f>
        <v>0</v>
      </c>
      <c r="W229" s="126" t="n">
        <f aca="false">N229/$R$3</f>
        <v>0</v>
      </c>
    </row>
    <row r="230" customFormat="false" ht="12.75" hidden="true" customHeight="false" outlineLevel="0" collapsed="false">
      <c r="A230" s="120" t="n">
        <f aca="false">A229+1</f>
        <v>37116</v>
      </c>
      <c r="B230" s="131" t="str">
        <f aca="false">INDEX('Master Data'!$A$2:$B$8,MATCH(WEEKDAY('SC Total Gas'!A230,3),'Master Data'!$A$2:$A$8,0),2)</f>
        <v>M</v>
      </c>
      <c r="D230" s="124" t="n">
        <v>0</v>
      </c>
      <c r="E230" s="124" t="n">
        <v>4347899.64126098</v>
      </c>
      <c r="F230" s="124" t="n">
        <v>0</v>
      </c>
      <c r="G230" s="124" t="n">
        <v>0</v>
      </c>
      <c r="I230" s="124" t="n">
        <f aca="false">IF(MONTH($A230)=MONTH($A229),IF(G230=0,I229,G230),G230)</f>
        <v>0</v>
      </c>
      <c r="J230" s="124" t="n">
        <f aca="false">IF(MONTH($A230)=MONTH($A229),SUM(I230-I229),I230)</f>
        <v>0</v>
      </c>
      <c r="K230" s="124" t="n">
        <f aca="false">IF(WEEKDAY(A230,3)&gt;4,0,(IF(A230&lt;K$2,0,IF(A230&lt;=K$3,1,0))))</f>
        <v>0</v>
      </c>
      <c r="L230" s="124" t="n">
        <f aca="false">J230*K230</f>
        <v>0</v>
      </c>
      <c r="M230" s="124" t="n">
        <f aca="false">SUM(J$97:J230)</f>
        <v>0</v>
      </c>
      <c r="N230" s="124" t="n">
        <f aca="false">SUM(J$6:J230)</f>
        <v>0</v>
      </c>
      <c r="P230" s="124" t="n">
        <f aca="false">D230/P$3</f>
        <v>0</v>
      </c>
      <c r="Q230" s="124" t="n">
        <f aca="false">E230/P$3</f>
        <v>4.34789964126099</v>
      </c>
      <c r="R230" s="124" t="n">
        <f aca="false">F230/R$3</f>
        <v>0</v>
      </c>
      <c r="S230" s="126" t="n">
        <f aca="false">J230/$R$3</f>
        <v>0</v>
      </c>
      <c r="T230" s="126" t="n">
        <f aca="false">L230/$R$3</f>
        <v>0</v>
      </c>
      <c r="U230" s="126" t="n">
        <f aca="false">I230/$R$3</f>
        <v>0</v>
      </c>
      <c r="V230" s="126" t="n">
        <f aca="false">M230/$R$3</f>
        <v>0</v>
      </c>
      <c r="W230" s="126" t="n">
        <f aca="false">N230/$R$3</f>
        <v>0</v>
      </c>
    </row>
    <row r="231" customFormat="false" ht="12.75" hidden="true" customHeight="false" outlineLevel="0" collapsed="false">
      <c r="A231" s="120" t="n">
        <f aca="false">A230+1</f>
        <v>37117</v>
      </c>
      <c r="B231" s="131" t="str">
        <f aca="false">INDEX('Master Data'!$A$2:$B$8,MATCH(WEEKDAY('SC Total Gas'!A231,3),'Master Data'!$A$2:$A$8,0),2)</f>
        <v>T</v>
      </c>
      <c r="D231" s="124" t="n">
        <v>0</v>
      </c>
      <c r="E231" s="124" t="n">
        <v>4342291.50122342</v>
      </c>
      <c r="F231" s="124" t="n">
        <v>0</v>
      </c>
      <c r="G231" s="124" t="n">
        <v>0</v>
      </c>
      <c r="I231" s="124" t="n">
        <f aca="false">IF(MONTH($A231)=MONTH($A230),IF(G231=0,I230,G231),G231)</f>
        <v>0</v>
      </c>
      <c r="J231" s="124" t="n">
        <f aca="false">IF(MONTH($A231)=MONTH($A230),SUM(I231-I230),I231)</f>
        <v>0</v>
      </c>
      <c r="K231" s="124" t="n">
        <f aca="false">IF(WEEKDAY(A231,3)&gt;4,0,(IF(A231&lt;K$2,0,IF(A231&lt;=K$3,1,0))))</f>
        <v>0</v>
      </c>
      <c r="L231" s="124" t="n">
        <f aca="false">J231*K231</f>
        <v>0</v>
      </c>
      <c r="M231" s="124" t="n">
        <f aca="false">SUM(J$97:J231)</f>
        <v>0</v>
      </c>
      <c r="N231" s="124" t="n">
        <f aca="false">SUM(J$6:J231)</f>
        <v>0</v>
      </c>
      <c r="P231" s="124" t="n">
        <f aca="false">D231/P$3</f>
        <v>0</v>
      </c>
      <c r="Q231" s="124" t="n">
        <f aca="false">E231/P$3</f>
        <v>4.34229150122342</v>
      </c>
      <c r="R231" s="124" t="n">
        <f aca="false">F231/R$3</f>
        <v>0</v>
      </c>
      <c r="S231" s="126" t="n">
        <f aca="false">J231/$R$3</f>
        <v>0</v>
      </c>
      <c r="T231" s="126" t="n">
        <f aca="false">L231/$R$3</f>
        <v>0</v>
      </c>
      <c r="U231" s="126" t="n">
        <f aca="false">I231/$R$3</f>
        <v>0</v>
      </c>
      <c r="V231" s="126" t="n">
        <f aca="false">M231/$R$3</f>
        <v>0</v>
      </c>
      <c r="W231" s="126" t="n">
        <f aca="false">N231/$R$3</f>
        <v>0</v>
      </c>
    </row>
    <row r="232" customFormat="false" ht="12.75" hidden="true" customHeight="false" outlineLevel="0" collapsed="false">
      <c r="A232" s="120" t="n">
        <f aca="false">A231+1</f>
        <v>37118</v>
      </c>
      <c r="B232" s="131" t="str">
        <f aca="false">INDEX('Master Data'!$A$2:$B$8,MATCH(WEEKDAY('SC Total Gas'!A232,3),'Master Data'!$A$2:$A$8,0),2)</f>
        <v>W</v>
      </c>
      <c r="D232" s="124" t="n">
        <v>0</v>
      </c>
      <c r="E232" s="124" t="n">
        <v>4333550.30050597</v>
      </c>
      <c r="F232" s="124" t="n">
        <v>0</v>
      </c>
      <c r="G232" s="124" t="n">
        <v>0</v>
      </c>
      <c r="I232" s="124" t="n">
        <f aca="false">IF(MONTH($A232)=MONTH($A231),IF(G232=0,I231,G232),G232)</f>
        <v>0</v>
      </c>
      <c r="J232" s="124" t="n">
        <f aca="false">IF(MONTH($A232)=MONTH($A231),SUM(I232-I231),I232)</f>
        <v>0</v>
      </c>
      <c r="K232" s="124" t="n">
        <f aca="false">IF(WEEKDAY(A232,3)&gt;4,0,(IF(A232&lt;K$2,0,IF(A232&lt;=K$3,1,0))))</f>
        <v>0</v>
      </c>
      <c r="L232" s="124" t="n">
        <f aca="false">J232*K232</f>
        <v>0</v>
      </c>
      <c r="M232" s="124" t="n">
        <f aca="false">SUM(J$97:J232)</f>
        <v>0</v>
      </c>
      <c r="N232" s="124" t="n">
        <f aca="false">SUM(J$6:J232)</f>
        <v>0</v>
      </c>
      <c r="P232" s="124" t="n">
        <f aca="false">D232/P$3</f>
        <v>0</v>
      </c>
      <c r="Q232" s="124" t="n">
        <f aca="false">E232/P$3</f>
        <v>4.33355030050597</v>
      </c>
      <c r="R232" s="124" t="n">
        <f aca="false">F232/R$3</f>
        <v>0</v>
      </c>
      <c r="S232" s="126" t="n">
        <f aca="false">J232/$R$3</f>
        <v>0</v>
      </c>
      <c r="T232" s="126" t="n">
        <f aca="false">L232/$R$3</f>
        <v>0</v>
      </c>
      <c r="U232" s="126" t="n">
        <f aca="false">I232/$R$3</f>
        <v>0</v>
      </c>
      <c r="V232" s="126" t="n">
        <f aca="false">M232/$R$3</f>
        <v>0</v>
      </c>
      <c r="W232" s="126" t="n">
        <f aca="false">N232/$R$3</f>
        <v>0</v>
      </c>
    </row>
    <row r="233" customFormat="false" ht="12.75" hidden="true" customHeight="false" outlineLevel="0" collapsed="false">
      <c r="A233" s="120" t="n">
        <f aca="false">A232+1</f>
        <v>37119</v>
      </c>
      <c r="B233" s="131" t="str">
        <f aca="false">INDEX('Master Data'!$A$2:$B$8,MATCH(WEEKDAY('SC Total Gas'!A233,3),'Master Data'!$A$2:$A$8,0),2)</f>
        <v>Th</v>
      </c>
      <c r="D233" s="124" t="n">
        <v>0</v>
      </c>
      <c r="E233" s="124" t="n">
        <v>4341264.76959954</v>
      </c>
      <c r="F233" s="124" t="n">
        <v>0</v>
      </c>
      <c r="G233" s="124" t="n">
        <v>0</v>
      </c>
      <c r="I233" s="124" t="n">
        <f aca="false">IF(MONTH($A233)=MONTH($A232),IF(G233=0,I232,G233),G233)</f>
        <v>0</v>
      </c>
      <c r="J233" s="124" t="n">
        <f aca="false">IF(MONTH($A233)=MONTH($A232),SUM(I233-I232),I233)</f>
        <v>0</v>
      </c>
      <c r="K233" s="124" t="n">
        <f aca="false">IF(WEEKDAY(A233,3)&gt;4,0,(IF(A233&lt;K$2,0,IF(A233&lt;=K$3,1,0))))</f>
        <v>0</v>
      </c>
      <c r="L233" s="124" t="n">
        <f aca="false">J233*K233</f>
        <v>0</v>
      </c>
      <c r="M233" s="124" t="n">
        <f aca="false">SUM(J$97:J233)</f>
        <v>0</v>
      </c>
      <c r="N233" s="124" t="n">
        <f aca="false">SUM(J$6:J233)</f>
        <v>0</v>
      </c>
      <c r="P233" s="124" t="n">
        <f aca="false">D233/P$3</f>
        <v>0</v>
      </c>
      <c r="Q233" s="124" t="n">
        <f aca="false">E233/P$3</f>
        <v>4.34126476959954</v>
      </c>
      <c r="R233" s="124" t="n">
        <f aca="false">F233/R$3</f>
        <v>0</v>
      </c>
      <c r="S233" s="126" t="n">
        <f aca="false">J233/$R$3</f>
        <v>0</v>
      </c>
      <c r="T233" s="126" t="n">
        <f aca="false">L233/$R$3</f>
        <v>0</v>
      </c>
      <c r="U233" s="126" t="n">
        <f aca="false">I233/$R$3</f>
        <v>0</v>
      </c>
      <c r="V233" s="126" t="n">
        <f aca="false">M233/$R$3</f>
        <v>0</v>
      </c>
      <c r="W233" s="126" t="n">
        <f aca="false">N233/$R$3</f>
        <v>0</v>
      </c>
    </row>
    <row r="234" customFormat="false" ht="12.75" hidden="true" customHeight="false" outlineLevel="0" collapsed="false">
      <c r="A234" s="120" t="n">
        <f aca="false">A233+1</f>
        <v>37120</v>
      </c>
      <c r="B234" s="131" t="str">
        <f aca="false">INDEX('Master Data'!$A$2:$B$8,MATCH(WEEKDAY('SC Total Gas'!A234,3),'Master Data'!$A$2:$A$8,0),2)</f>
        <v>F</v>
      </c>
      <c r="D234" s="124" t="n">
        <v>0</v>
      </c>
      <c r="E234" s="124" t="n">
        <v>4352200.02729155</v>
      </c>
      <c r="F234" s="124" t="n">
        <v>0</v>
      </c>
      <c r="G234" s="124" t="n">
        <v>0</v>
      </c>
      <c r="I234" s="124" t="n">
        <f aca="false">IF(MONTH($A234)=MONTH($A233),IF(G234=0,I233,G234),G234)</f>
        <v>0</v>
      </c>
      <c r="J234" s="124" t="n">
        <f aca="false">IF(MONTH($A234)=MONTH($A233),SUM(I234-I233),I234)</f>
        <v>0</v>
      </c>
      <c r="K234" s="124" t="n">
        <f aca="false">IF(WEEKDAY(A234,3)&gt;4,0,(IF(A234&lt;K$2,0,IF(A234&lt;=K$3,1,0))))</f>
        <v>0</v>
      </c>
      <c r="L234" s="124" t="n">
        <f aca="false">J234*K234</f>
        <v>0</v>
      </c>
      <c r="M234" s="124" t="n">
        <f aca="false">SUM(J$97:J234)</f>
        <v>0</v>
      </c>
      <c r="N234" s="124" t="n">
        <f aca="false">SUM(J$6:J234)</f>
        <v>0</v>
      </c>
      <c r="P234" s="124" t="n">
        <f aca="false">D234/P$3</f>
        <v>0</v>
      </c>
      <c r="Q234" s="124" t="n">
        <f aca="false">E234/P$3</f>
        <v>4.35220002729155</v>
      </c>
      <c r="R234" s="124" t="n">
        <f aca="false">F234/R$3</f>
        <v>0</v>
      </c>
      <c r="S234" s="126" t="n">
        <f aca="false">J234/$R$3</f>
        <v>0</v>
      </c>
      <c r="T234" s="126" t="n">
        <f aca="false">L234/$R$3</f>
        <v>0</v>
      </c>
      <c r="U234" s="126" t="n">
        <f aca="false">I234/$R$3</f>
        <v>0</v>
      </c>
      <c r="V234" s="126" t="n">
        <f aca="false">M234/$R$3</f>
        <v>0</v>
      </c>
      <c r="W234" s="126" t="n">
        <f aca="false">N234/$R$3</f>
        <v>0</v>
      </c>
    </row>
    <row r="235" customFormat="false" ht="12.75" hidden="true" customHeight="false" outlineLevel="0" collapsed="false">
      <c r="A235" s="120" t="n">
        <f aca="false">A234+1</f>
        <v>37121</v>
      </c>
      <c r="B235" s="131" t="str">
        <f aca="false">INDEX('Master Data'!$A$2:$B$8,MATCH(WEEKDAY('SC Total Gas'!A235,3),'Master Data'!$A$2:$A$8,0),2)</f>
        <v>Sa</v>
      </c>
      <c r="D235" s="124" t="n">
        <v>0</v>
      </c>
      <c r="E235" s="124" t="n">
        <v>0</v>
      </c>
      <c r="F235" s="124" t="n">
        <v>0</v>
      </c>
      <c r="G235" s="124" t="n">
        <v>0</v>
      </c>
      <c r="I235" s="124" t="n">
        <f aca="false">IF(MONTH($A235)=MONTH($A234),IF(G235=0,I234,G235),G235)</f>
        <v>0</v>
      </c>
      <c r="J235" s="124" t="n">
        <f aca="false">IF(MONTH($A235)=MONTH($A234),SUM(I235-I234),I235)</f>
        <v>0</v>
      </c>
      <c r="K235" s="124" t="n">
        <f aca="false">IF(WEEKDAY(A235,3)&gt;4,0,(IF(A235&lt;K$2,0,IF(A235&lt;=K$3,1,0))))</f>
        <v>0</v>
      </c>
      <c r="L235" s="124" t="n">
        <f aca="false">J235*K235</f>
        <v>0</v>
      </c>
      <c r="M235" s="124" t="n">
        <f aca="false">SUM(J$97:J235)</f>
        <v>0</v>
      </c>
      <c r="N235" s="124" t="n">
        <f aca="false">SUM(J$6:J235)</f>
        <v>0</v>
      </c>
      <c r="P235" s="124" t="n">
        <f aca="false">D235/P$3</f>
        <v>0</v>
      </c>
      <c r="Q235" s="124" t="n">
        <f aca="false">E235/P$3</f>
        <v>0</v>
      </c>
      <c r="R235" s="124" t="n">
        <f aca="false">F235/R$3</f>
        <v>0</v>
      </c>
      <c r="S235" s="126" t="n">
        <f aca="false">J235/$R$3</f>
        <v>0</v>
      </c>
      <c r="T235" s="126" t="n">
        <f aca="false">L235/$R$3</f>
        <v>0</v>
      </c>
      <c r="U235" s="126" t="n">
        <f aca="false">I235/$R$3</f>
        <v>0</v>
      </c>
      <c r="V235" s="126" t="n">
        <f aca="false">M235/$R$3</f>
        <v>0</v>
      </c>
      <c r="W235" s="126" t="n">
        <f aca="false">N235/$R$3</f>
        <v>0</v>
      </c>
    </row>
    <row r="236" customFormat="false" ht="12.75" hidden="true" customHeight="false" outlineLevel="0" collapsed="false">
      <c r="A236" s="120" t="n">
        <f aca="false">A235+1</f>
        <v>37122</v>
      </c>
      <c r="B236" s="131" t="str">
        <f aca="false">INDEX('Master Data'!$A$2:$B$8,MATCH(WEEKDAY('SC Total Gas'!A236,3),'Master Data'!$A$2:$A$8,0),2)</f>
        <v>Su</v>
      </c>
      <c r="D236" s="124" t="n">
        <v>0</v>
      </c>
      <c r="E236" s="124" t="n">
        <v>0</v>
      </c>
      <c r="F236" s="124" t="n">
        <v>0</v>
      </c>
      <c r="G236" s="124" t="n">
        <v>0</v>
      </c>
      <c r="I236" s="124" t="n">
        <f aca="false">IF(MONTH($A236)=MONTH($A235),IF(G236=0,I235,G236),G236)</f>
        <v>0</v>
      </c>
      <c r="J236" s="124" t="n">
        <f aca="false">IF(MONTH($A236)=MONTH($A235),SUM(I236-I235),I236)</f>
        <v>0</v>
      </c>
      <c r="K236" s="124" t="n">
        <f aca="false">IF(WEEKDAY(A236,3)&gt;4,0,(IF(A236&lt;K$2,0,IF(A236&lt;=K$3,1,0))))</f>
        <v>0</v>
      </c>
      <c r="L236" s="124" t="n">
        <f aca="false">J236*K236</f>
        <v>0</v>
      </c>
      <c r="M236" s="124" t="n">
        <f aca="false">SUM(J$97:J236)</f>
        <v>0</v>
      </c>
      <c r="N236" s="124" t="n">
        <f aca="false">SUM(J$6:J236)</f>
        <v>0</v>
      </c>
      <c r="P236" s="124" t="n">
        <f aca="false">D236/P$3</f>
        <v>0</v>
      </c>
      <c r="Q236" s="124" t="n">
        <f aca="false">E236/P$3</f>
        <v>0</v>
      </c>
      <c r="R236" s="124" t="n">
        <f aca="false">F236/R$3</f>
        <v>0</v>
      </c>
      <c r="S236" s="126" t="n">
        <f aca="false">J236/$R$3</f>
        <v>0</v>
      </c>
      <c r="T236" s="126" t="n">
        <f aca="false">L236/$R$3</f>
        <v>0</v>
      </c>
      <c r="U236" s="126" t="n">
        <f aca="false">I236/$R$3</f>
        <v>0</v>
      </c>
      <c r="V236" s="126" t="n">
        <f aca="false">M236/$R$3</f>
        <v>0</v>
      </c>
      <c r="W236" s="126" t="n">
        <f aca="false">N236/$R$3</f>
        <v>0</v>
      </c>
    </row>
    <row r="237" customFormat="false" ht="12.75" hidden="true" customHeight="false" outlineLevel="0" collapsed="false">
      <c r="A237" s="120" t="n">
        <f aca="false">A236+1</f>
        <v>37123</v>
      </c>
      <c r="B237" s="131" t="str">
        <f aca="false">INDEX('Master Data'!$A$2:$B$8,MATCH(WEEKDAY('SC Total Gas'!A237,3),'Master Data'!$A$2:$A$8,0),2)</f>
        <v>M</v>
      </c>
      <c r="D237" s="124" t="n">
        <v>0</v>
      </c>
      <c r="E237" s="124" t="n">
        <v>4345341.38673546</v>
      </c>
      <c r="F237" s="124" t="n">
        <v>0</v>
      </c>
      <c r="G237" s="124" t="n">
        <v>0</v>
      </c>
      <c r="I237" s="124" t="n">
        <f aca="false">IF(MONTH($A237)=MONTH($A236),IF(G237=0,I236,G237),G237)</f>
        <v>0</v>
      </c>
      <c r="J237" s="124" t="n">
        <f aca="false">IF(MONTH($A237)=MONTH($A236),SUM(I237-I236),I237)</f>
        <v>0</v>
      </c>
      <c r="K237" s="124" t="n">
        <f aca="false">IF(WEEKDAY(A237,3)&gt;4,0,(IF(A237&lt;K$2,0,IF(A237&lt;=K$3,1,0))))</f>
        <v>0</v>
      </c>
      <c r="L237" s="124" t="n">
        <f aca="false">J237*K237</f>
        <v>0</v>
      </c>
      <c r="M237" s="124" t="n">
        <f aca="false">SUM(J$97:J237)</f>
        <v>0</v>
      </c>
      <c r="N237" s="124" t="n">
        <f aca="false">SUM(J$6:J237)</f>
        <v>0</v>
      </c>
      <c r="P237" s="124" t="n">
        <f aca="false">D237/P$3</f>
        <v>0</v>
      </c>
      <c r="Q237" s="124" t="n">
        <f aca="false">E237/P$3</f>
        <v>4.34534138673546</v>
      </c>
      <c r="R237" s="124" t="n">
        <f aca="false">F237/R$3</f>
        <v>0</v>
      </c>
      <c r="S237" s="126" t="n">
        <f aca="false">J237/$R$3</f>
        <v>0</v>
      </c>
      <c r="T237" s="126" t="n">
        <f aca="false">L237/$R$3</f>
        <v>0</v>
      </c>
      <c r="U237" s="126" t="n">
        <f aca="false">I237/$R$3</f>
        <v>0</v>
      </c>
      <c r="V237" s="126" t="n">
        <f aca="false">M237/$R$3</f>
        <v>0</v>
      </c>
      <c r="W237" s="126" t="n">
        <f aca="false">N237/$R$3</f>
        <v>0</v>
      </c>
    </row>
    <row r="238" customFormat="false" ht="12.75" hidden="true" customHeight="false" outlineLevel="0" collapsed="false">
      <c r="A238" s="120" t="n">
        <f aca="false">A237+1</f>
        <v>37124</v>
      </c>
      <c r="B238" s="131" t="str">
        <f aca="false">INDEX('Master Data'!$A$2:$B$8,MATCH(WEEKDAY('SC Total Gas'!A238,3),'Master Data'!$A$2:$A$8,0),2)</f>
        <v>T</v>
      </c>
      <c r="D238" s="124" t="n">
        <v>0</v>
      </c>
      <c r="E238" s="124" t="n">
        <v>4352643.90177257</v>
      </c>
      <c r="F238" s="124" t="n">
        <v>0</v>
      </c>
      <c r="G238" s="124" t="n">
        <v>0</v>
      </c>
      <c r="I238" s="124" t="n">
        <f aca="false">IF(MONTH($A238)=MONTH($A237),IF(G238=0,I237,G238),G238)</f>
        <v>0</v>
      </c>
      <c r="J238" s="124" t="n">
        <f aca="false">IF(MONTH($A238)=MONTH($A237),SUM(I238-I237),I238)</f>
        <v>0</v>
      </c>
      <c r="K238" s="124" t="n">
        <f aca="false">IF(WEEKDAY(A238,3)&gt;4,0,(IF(A238&lt;K$2,0,IF(A238&lt;=K$3,1,0))))</f>
        <v>0</v>
      </c>
      <c r="L238" s="124" t="n">
        <f aca="false">J238*K238</f>
        <v>0</v>
      </c>
      <c r="M238" s="124" t="n">
        <f aca="false">SUM(J$97:J238)</f>
        <v>0</v>
      </c>
      <c r="N238" s="124" t="n">
        <f aca="false">SUM(J$6:J238)</f>
        <v>0</v>
      </c>
      <c r="P238" s="124" t="n">
        <f aca="false">D238/P$3</f>
        <v>0</v>
      </c>
      <c r="Q238" s="124" t="n">
        <f aca="false">E238/P$3</f>
        <v>4.35264390177257</v>
      </c>
      <c r="R238" s="124" t="n">
        <f aca="false">F238/R$3</f>
        <v>0</v>
      </c>
      <c r="S238" s="126" t="n">
        <f aca="false">J238/$R$3</f>
        <v>0</v>
      </c>
      <c r="T238" s="126" t="n">
        <f aca="false">L238/$R$3</f>
        <v>0</v>
      </c>
      <c r="U238" s="126" t="n">
        <f aca="false">I238/$R$3</f>
        <v>0</v>
      </c>
      <c r="V238" s="126" t="n">
        <f aca="false">M238/$R$3</f>
        <v>0</v>
      </c>
      <c r="W238" s="126" t="n">
        <f aca="false">N238/$R$3</f>
        <v>0</v>
      </c>
    </row>
    <row r="239" customFormat="false" ht="12.75" hidden="true" customHeight="false" outlineLevel="0" collapsed="false">
      <c r="A239" s="120" t="n">
        <f aca="false">A238+1</f>
        <v>37125</v>
      </c>
      <c r="B239" s="131" t="str">
        <f aca="false">INDEX('Master Data'!$A$2:$B$8,MATCH(WEEKDAY('SC Total Gas'!A239,3),'Master Data'!$A$2:$A$8,0),2)</f>
        <v>W</v>
      </c>
      <c r="D239" s="124" t="n">
        <v>0</v>
      </c>
      <c r="E239" s="124" t="n">
        <v>4350013.87668058</v>
      </c>
      <c r="F239" s="124" t="n">
        <v>0</v>
      </c>
      <c r="G239" s="124" t="n">
        <v>0</v>
      </c>
      <c r="I239" s="124" t="n">
        <f aca="false">IF(MONTH($A239)=MONTH($A238),IF(G239=0,I238,G239),G239)</f>
        <v>0</v>
      </c>
      <c r="J239" s="124" t="n">
        <f aca="false">IF(MONTH($A239)=MONTH($A238),SUM(I239-I238),I239)</f>
        <v>0</v>
      </c>
      <c r="K239" s="124" t="n">
        <f aca="false">IF(WEEKDAY(A239,3)&gt;4,0,(IF(A239&lt;K$2,0,IF(A239&lt;=K$3,1,0))))</f>
        <v>0</v>
      </c>
      <c r="L239" s="124" t="n">
        <f aca="false">J239*K239</f>
        <v>0</v>
      </c>
      <c r="M239" s="124" t="n">
        <f aca="false">SUM(J$97:J239)</f>
        <v>0</v>
      </c>
      <c r="N239" s="124" t="n">
        <f aca="false">SUM(J$6:J239)</f>
        <v>0</v>
      </c>
      <c r="P239" s="124" t="n">
        <f aca="false">D239/P$3</f>
        <v>0</v>
      </c>
      <c r="Q239" s="124" t="n">
        <f aca="false">E239/P$3</f>
        <v>4.35001387668058</v>
      </c>
      <c r="R239" s="124" t="n">
        <f aca="false">F239/R$3</f>
        <v>0</v>
      </c>
      <c r="S239" s="126" t="n">
        <f aca="false">J239/$R$3</f>
        <v>0</v>
      </c>
      <c r="T239" s="126" t="n">
        <f aca="false">L239/$R$3</f>
        <v>0</v>
      </c>
      <c r="U239" s="126" t="n">
        <f aca="false">I239/$R$3</f>
        <v>0</v>
      </c>
      <c r="V239" s="126" t="n">
        <f aca="false">M239/$R$3</f>
        <v>0</v>
      </c>
      <c r="W239" s="126" t="n">
        <f aca="false">N239/$R$3</f>
        <v>0</v>
      </c>
    </row>
    <row r="240" customFormat="false" ht="12.75" hidden="true" customHeight="false" outlineLevel="0" collapsed="false">
      <c r="A240" s="120" t="n">
        <f aca="false">A239+1</f>
        <v>37126</v>
      </c>
      <c r="B240" s="131" t="str">
        <f aca="false">INDEX('Master Data'!$A$2:$B$8,MATCH(WEEKDAY('SC Total Gas'!A240,3),'Master Data'!$A$2:$A$8,0),2)</f>
        <v>Th</v>
      </c>
      <c r="D240" s="124" t="n">
        <v>0</v>
      </c>
      <c r="E240" s="124" t="n">
        <v>4350682.03567646</v>
      </c>
      <c r="F240" s="124" t="n">
        <v>0</v>
      </c>
      <c r="G240" s="124" t="n">
        <v>0</v>
      </c>
      <c r="I240" s="124" t="n">
        <f aca="false">IF(MONTH($A240)=MONTH($A239),IF(G240=0,I239,G240),G240)</f>
        <v>0</v>
      </c>
      <c r="J240" s="124" t="n">
        <f aca="false">IF(MONTH($A240)=MONTH($A239),SUM(I240-I239),I240)</f>
        <v>0</v>
      </c>
      <c r="K240" s="124" t="n">
        <f aca="false">IF(WEEKDAY(A240,3)&gt;4,0,(IF(A240&lt;K$2,0,IF(A240&lt;=K$3,1,0))))</f>
        <v>0</v>
      </c>
      <c r="L240" s="124" t="n">
        <f aca="false">J240*K240</f>
        <v>0</v>
      </c>
      <c r="M240" s="124" t="n">
        <f aca="false">SUM(J$97:J240)</f>
        <v>0</v>
      </c>
      <c r="N240" s="124" t="n">
        <f aca="false">SUM(J$6:J240)</f>
        <v>0</v>
      </c>
      <c r="P240" s="124" t="n">
        <f aca="false">D240/P$3</f>
        <v>0</v>
      </c>
      <c r="Q240" s="124" t="n">
        <f aca="false">E240/P$3</f>
        <v>4.35068203567646</v>
      </c>
      <c r="R240" s="124" t="n">
        <f aca="false">F240/R$3</f>
        <v>0</v>
      </c>
      <c r="S240" s="126" t="n">
        <f aca="false">J240/$R$3</f>
        <v>0</v>
      </c>
      <c r="T240" s="126" t="n">
        <f aca="false">L240/$R$3</f>
        <v>0</v>
      </c>
      <c r="U240" s="126" t="n">
        <f aca="false">I240/$R$3</f>
        <v>0</v>
      </c>
      <c r="V240" s="126" t="n">
        <f aca="false">M240/$R$3</f>
        <v>0</v>
      </c>
      <c r="W240" s="126" t="n">
        <f aca="false">N240/$R$3</f>
        <v>0</v>
      </c>
    </row>
    <row r="241" customFormat="false" ht="12.75" hidden="true" customHeight="false" outlineLevel="0" collapsed="false">
      <c r="A241" s="120" t="n">
        <f aca="false">A240+1</f>
        <v>37127</v>
      </c>
      <c r="B241" s="131" t="str">
        <f aca="false">INDEX('Master Data'!$A$2:$B$8,MATCH(WEEKDAY('SC Total Gas'!A241,3),'Master Data'!$A$2:$A$8,0),2)</f>
        <v>F</v>
      </c>
      <c r="D241" s="124" t="n">
        <v>0</v>
      </c>
      <c r="E241" s="124" t="n">
        <v>4346085.63063961</v>
      </c>
      <c r="F241" s="124" t="n">
        <v>0</v>
      </c>
      <c r="G241" s="124" t="n">
        <v>0</v>
      </c>
      <c r="I241" s="124" t="n">
        <f aca="false">IF(MONTH($A241)=MONTH($A240),IF(G241=0,I240,G241),G241)</f>
        <v>0</v>
      </c>
      <c r="J241" s="124" t="n">
        <f aca="false">IF(MONTH($A241)=MONTH($A240),SUM(I241-I240),I241)</f>
        <v>0</v>
      </c>
      <c r="K241" s="124" t="n">
        <f aca="false">IF(WEEKDAY(A241,3)&gt;4,0,(IF(A241&lt;K$2,0,IF(A241&lt;=K$3,1,0))))</f>
        <v>0</v>
      </c>
      <c r="L241" s="124" t="n">
        <f aca="false">J241*K241</f>
        <v>0</v>
      </c>
      <c r="M241" s="124" t="n">
        <f aca="false">SUM(J$97:J241)</f>
        <v>0</v>
      </c>
      <c r="N241" s="124" t="n">
        <f aca="false">SUM(J$6:J241)</f>
        <v>0</v>
      </c>
      <c r="P241" s="124" t="n">
        <f aca="false">D241/P$3</f>
        <v>0</v>
      </c>
      <c r="Q241" s="124" t="n">
        <f aca="false">E241/P$3</f>
        <v>4.34608563063961</v>
      </c>
      <c r="R241" s="124" t="n">
        <f aca="false">F241/R$3</f>
        <v>0</v>
      </c>
      <c r="S241" s="126" t="n">
        <f aca="false">J241/$R$3</f>
        <v>0</v>
      </c>
      <c r="T241" s="126" t="n">
        <f aca="false">L241/$R$3</f>
        <v>0</v>
      </c>
      <c r="U241" s="126" t="n">
        <f aca="false">I241/$R$3</f>
        <v>0</v>
      </c>
      <c r="V241" s="126" t="n">
        <f aca="false">M241/$R$3</f>
        <v>0</v>
      </c>
      <c r="W241" s="126" t="n">
        <f aca="false">N241/$R$3</f>
        <v>0</v>
      </c>
    </row>
    <row r="242" customFormat="false" ht="12.75" hidden="true" customHeight="false" outlineLevel="0" collapsed="false">
      <c r="A242" s="120" t="n">
        <f aca="false">A241+1</f>
        <v>37128</v>
      </c>
      <c r="B242" s="131" t="str">
        <f aca="false">INDEX('Master Data'!$A$2:$B$8,MATCH(WEEKDAY('SC Total Gas'!A242,3),'Master Data'!$A$2:$A$8,0),2)</f>
        <v>Sa</v>
      </c>
      <c r="D242" s="124" t="n">
        <v>0</v>
      </c>
      <c r="E242" s="124" t="n">
        <v>0</v>
      </c>
      <c r="F242" s="124" t="n">
        <v>0</v>
      </c>
      <c r="G242" s="124" t="n">
        <v>0</v>
      </c>
      <c r="I242" s="124" t="n">
        <f aca="false">IF(MONTH($A242)=MONTH($A241),IF(G242=0,I241,G242),G242)</f>
        <v>0</v>
      </c>
      <c r="J242" s="124" t="n">
        <f aca="false">IF(MONTH($A242)=MONTH($A241),SUM(I242-I241),I242)</f>
        <v>0</v>
      </c>
      <c r="K242" s="124" t="n">
        <f aca="false">IF(WEEKDAY(A242,3)&gt;4,0,(IF(A242&lt;K$2,0,IF(A242&lt;=K$3,1,0))))</f>
        <v>0</v>
      </c>
      <c r="L242" s="124" t="n">
        <f aca="false">J242*K242</f>
        <v>0</v>
      </c>
      <c r="M242" s="124" t="n">
        <f aca="false">SUM(J$97:J242)</f>
        <v>0</v>
      </c>
      <c r="N242" s="124" t="n">
        <f aca="false">SUM(J$6:J242)</f>
        <v>0</v>
      </c>
      <c r="P242" s="124" t="n">
        <f aca="false">D242/P$3</f>
        <v>0</v>
      </c>
      <c r="Q242" s="124" t="n">
        <f aca="false">E242/P$3</f>
        <v>0</v>
      </c>
      <c r="R242" s="124" t="n">
        <f aca="false">F242/R$3</f>
        <v>0</v>
      </c>
      <c r="S242" s="126" t="n">
        <f aca="false">J242/$R$3</f>
        <v>0</v>
      </c>
      <c r="T242" s="126" t="n">
        <f aca="false">L242/$R$3</f>
        <v>0</v>
      </c>
      <c r="U242" s="126" t="n">
        <f aca="false">I242/$R$3</f>
        <v>0</v>
      </c>
      <c r="V242" s="126" t="n">
        <f aca="false">M242/$R$3</f>
        <v>0</v>
      </c>
      <c r="W242" s="126" t="n">
        <f aca="false">N242/$R$3</f>
        <v>0</v>
      </c>
    </row>
    <row r="243" customFormat="false" ht="12.75" hidden="true" customHeight="false" outlineLevel="0" collapsed="false">
      <c r="A243" s="120" t="n">
        <f aca="false">A242+1</f>
        <v>37129</v>
      </c>
      <c r="B243" s="131" t="str">
        <f aca="false">INDEX('Master Data'!$A$2:$B$8,MATCH(WEEKDAY('SC Total Gas'!A243,3),'Master Data'!$A$2:$A$8,0),2)</f>
        <v>Su</v>
      </c>
      <c r="D243" s="124" t="n">
        <v>0</v>
      </c>
      <c r="E243" s="124" t="n">
        <v>0</v>
      </c>
      <c r="F243" s="124" t="n">
        <v>0</v>
      </c>
      <c r="G243" s="124" t="n">
        <v>0</v>
      </c>
      <c r="I243" s="124" t="n">
        <f aca="false">IF(MONTH($A243)=MONTH($A242),IF(G243=0,I242,G243),G243)</f>
        <v>0</v>
      </c>
      <c r="J243" s="124" t="n">
        <f aca="false">IF(MONTH($A243)=MONTH($A242),SUM(I243-I242),I243)</f>
        <v>0</v>
      </c>
      <c r="K243" s="124" t="n">
        <f aca="false">IF(WEEKDAY(A243,3)&gt;4,0,(IF(A243&lt;K$2,0,IF(A243&lt;=K$3,1,0))))</f>
        <v>0</v>
      </c>
      <c r="L243" s="124" t="n">
        <f aca="false">J243*K243</f>
        <v>0</v>
      </c>
      <c r="M243" s="124" t="n">
        <f aca="false">SUM(J$97:J243)</f>
        <v>0</v>
      </c>
      <c r="N243" s="124" t="n">
        <f aca="false">SUM(J$6:J243)</f>
        <v>0</v>
      </c>
      <c r="P243" s="124" t="n">
        <f aca="false">D243/P$3</f>
        <v>0</v>
      </c>
      <c r="Q243" s="124" t="n">
        <f aca="false">E243/P$3</f>
        <v>0</v>
      </c>
      <c r="R243" s="124" t="n">
        <f aca="false">F243/R$3</f>
        <v>0</v>
      </c>
      <c r="S243" s="126" t="n">
        <f aca="false">J243/$R$3</f>
        <v>0</v>
      </c>
      <c r="T243" s="126" t="n">
        <f aca="false">L243/$R$3</f>
        <v>0</v>
      </c>
      <c r="U243" s="126" t="n">
        <f aca="false">I243/$R$3</f>
        <v>0</v>
      </c>
      <c r="V243" s="126" t="n">
        <f aca="false">M243/$R$3</f>
        <v>0</v>
      </c>
      <c r="W243" s="126" t="n">
        <f aca="false">N243/$R$3</f>
        <v>0</v>
      </c>
    </row>
    <row r="244" customFormat="false" ht="12.75" hidden="true" customHeight="false" outlineLevel="0" collapsed="false">
      <c r="A244" s="120" t="n">
        <f aca="false">A243+1</f>
        <v>37130</v>
      </c>
      <c r="B244" s="131" t="str">
        <f aca="false">INDEX('Master Data'!$A$2:$B$8,MATCH(WEEKDAY('SC Total Gas'!A244,3),'Master Data'!$A$2:$A$8,0),2)</f>
        <v>M</v>
      </c>
      <c r="D244" s="124" t="n">
        <v>0</v>
      </c>
      <c r="E244" s="124" t="n">
        <v>4347589.11307817</v>
      </c>
      <c r="F244" s="124" t="n">
        <v>0</v>
      </c>
      <c r="G244" s="124" t="n">
        <v>0</v>
      </c>
      <c r="I244" s="124" t="n">
        <f aca="false">IF(MONTH($A244)=MONTH($A243),IF(G244=0,I243,G244),G244)</f>
        <v>0</v>
      </c>
      <c r="J244" s="124" t="n">
        <f aca="false">IF(MONTH($A244)=MONTH($A243),SUM(I244-I243),I244)</f>
        <v>0</v>
      </c>
      <c r="K244" s="124" t="n">
        <f aca="false">IF(WEEKDAY(A244,3)&gt;4,0,(IF(A244&lt;K$2,0,IF(A244&lt;=K$3,1,0))))</f>
        <v>0</v>
      </c>
      <c r="L244" s="124" t="n">
        <f aca="false">J244*K244</f>
        <v>0</v>
      </c>
      <c r="M244" s="124" t="n">
        <f aca="false">SUM(J$97:J244)</f>
        <v>0</v>
      </c>
      <c r="N244" s="124" t="n">
        <f aca="false">SUM(J$6:J244)</f>
        <v>0</v>
      </c>
      <c r="P244" s="124" t="n">
        <f aca="false">D244/P$3</f>
        <v>0</v>
      </c>
      <c r="Q244" s="124" t="n">
        <f aca="false">E244/P$3</f>
        <v>4.34758911307817</v>
      </c>
      <c r="R244" s="124" t="n">
        <f aca="false">F244/R$3</f>
        <v>0</v>
      </c>
      <c r="S244" s="126" t="n">
        <f aca="false">J244/$R$3</f>
        <v>0</v>
      </c>
      <c r="T244" s="126" t="n">
        <f aca="false">L244/$R$3</f>
        <v>0</v>
      </c>
      <c r="U244" s="126" t="n">
        <f aca="false">I244/$R$3</f>
        <v>0</v>
      </c>
      <c r="V244" s="126" t="n">
        <f aca="false">M244/$R$3</f>
        <v>0</v>
      </c>
      <c r="W244" s="126" t="n">
        <f aca="false">N244/$R$3</f>
        <v>0</v>
      </c>
    </row>
    <row r="245" customFormat="false" ht="12.75" hidden="true" customHeight="false" outlineLevel="0" collapsed="false">
      <c r="A245" s="120" t="n">
        <f aca="false">A244+1</f>
        <v>37131</v>
      </c>
      <c r="B245" s="131" t="str">
        <f aca="false">INDEX('Master Data'!$A$2:$B$8,MATCH(WEEKDAY('SC Total Gas'!A245,3),'Master Data'!$A$2:$A$8,0),2)</f>
        <v>T</v>
      </c>
      <c r="D245" s="124" t="n">
        <v>0</v>
      </c>
      <c r="E245" s="124" t="n">
        <v>4361347.54060887</v>
      </c>
      <c r="F245" s="124" t="n">
        <v>0</v>
      </c>
      <c r="G245" s="124" t="n">
        <v>0</v>
      </c>
      <c r="I245" s="124" t="n">
        <f aca="false">IF(MONTH($A245)=MONTH($A244),IF(G245=0,I244,G245),G245)</f>
        <v>0</v>
      </c>
      <c r="J245" s="124" t="n">
        <f aca="false">IF(MONTH($A245)=MONTH($A244),SUM(I245-I244),I245)</f>
        <v>0</v>
      </c>
      <c r="K245" s="124" t="n">
        <f aca="false">IF(WEEKDAY(A245,3)&gt;4,0,(IF(A245&lt;K$2,0,IF(A245&lt;=K$3,1,0))))</f>
        <v>0</v>
      </c>
      <c r="L245" s="124" t="n">
        <f aca="false">J245*K245</f>
        <v>0</v>
      </c>
      <c r="M245" s="124" t="n">
        <f aca="false">SUM(J$97:J245)</f>
        <v>0</v>
      </c>
      <c r="N245" s="124" t="n">
        <f aca="false">SUM(J$6:J245)</f>
        <v>0</v>
      </c>
      <c r="P245" s="124" t="n">
        <f aca="false">D245/P$3</f>
        <v>0</v>
      </c>
      <c r="Q245" s="124" t="n">
        <f aca="false">E245/P$3</f>
        <v>4.36134754060887</v>
      </c>
      <c r="R245" s="124" t="n">
        <f aca="false">F245/R$3</f>
        <v>0</v>
      </c>
      <c r="S245" s="126" t="n">
        <f aca="false">J245/$R$3</f>
        <v>0</v>
      </c>
      <c r="T245" s="126" t="n">
        <f aca="false">L245/$R$3</f>
        <v>0</v>
      </c>
      <c r="U245" s="126" t="n">
        <f aca="false">I245/$R$3</f>
        <v>0</v>
      </c>
      <c r="V245" s="126" t="n">
        <f aca="false">M245/$R$3</f>
        <v>0</v>
      </c>
      <c r="W245" s="126" t="n">
        <f aca="false">N245/$R$3</f>
        <v>0</v>
      </c>
    </row>
    <row r="246" customFormat="false" ht="12.75" hidden="true" customHeight="false" outlineLevel="0" collapsed="false">
      <c r="A246" s="120" t="n">
        <f aca="false">A245+1</f>
        <v>37132</v>
      </c>
      <c r="B246" s="131" t="str">
        <f aca="false">INDEX('Master Data'!$A$2:$B$8,MATCH(WEEKDAY('SC Total Gas'!A246,3),'Master Data'!$A$2:$A$8,0),2)</f>
        <v>W</v>
      </c>
      <c r="D246" s="124" t="n">
        <v>0</v>
      </c>
      <c r="E246" s="124" t="n">
        <v>4368791.79102313</v>
      </c>
      <c r="F246" s="124" t="n">
        <v>0</v>
      </c>
      <c r="G246" s="124" t="n">
        <v>0</v>
      </c>
      <c r="I246" s="124" t="n">
        <f aca="false">IF(MONTH($A246)=MONTH($A245),IF(G246=0,I245,G246),G246)</f>
        <v>0</v>
      </c>
      <c r="J246" s="124" t="n">
        <f aca="false">IF(MONTH($A246)=MONTH($A245),SUM(I246-I245),I246)</f>
        <v>0</v>
      </c>
      <c r="K246" s="124" t="n">
        <f aca="false">IF(WEEKDAY(A246,3)&gt;4,0,(IF(A246&lt;K$2,0,IF(A246&lt;=K$3,1,0))))</f>
        <v>0</v>
      </c>
      <c r="L246" s="124" t="n">
        <f aca="false">J246*K246</f>
        <v>0</v>
      </c>
      <c r="M246" s="124" t="n">
        <f aca="false">SUM(J$97:J246)</f>
        <v>0</v>
      </c>
      <c r="N246" s="124" t="n">
        <f aca="false">SUM(J$6:J246)</f>
        <v>0</v>
      </c>
      <c r="P246" s="124" t="n">
        <f aca="false">D246/P$3</f>
        <v>0</v>
      </c>
      <c r="Q246" s="124" t="n">
        <f aca="false">E246/P$3</f>
        <v>4.36879179102313</v>
      </c>
      <c r="R246" s="124" t="n">
        <f aca="false">F246/R$3</f>
        <v>0</v>
      </c>
      <c r="S246" s="126" t="n">
        <f aca="false">J246/$R$3</f>
        <v>0</v>
      </c>
      <c r="T246" s="126" t="n">
        <f aca="false">L246/$R$3</f>
        <v>0</v>
      </c>
      <c r="U246" s="126" t="n">
        <f aca="false">I246/$R$3</f>
        <v>0</v>
      </c>
      <c r="V246" s="126" t="n">
        <f aca="false">M246/$R$3</f>
        <v>0</v>
      </c>
      <c r="W246" s="126" t="n">
        <f aca="false">N246/$R$3</f>
        <v>0</v>
      </c>
    </row>
    <row r="247" customFormat="false" ht="12.75" hidden="true" customHeight="false" outlineLevel="0" collapsed="false">
      <c r="A247" s="120" t="n">
        <f aca="false">A246+1</f>
        <v>37133</v>
      </c>
      <c r="B247" s="131" t="str">
        <f aca="false">INDEX('Master Data'!$A$2:$B$8,MATCH(WEEKDAY('SC Total Gas'!A247,3),'Master Data'!$A$2:$A$8,0),2)</f>
        <v>Th</v>
      </c>
      <c r="D247" s="124" t="n">
        <v>0</v>
      </c>
      <c r="E247" s="124" t="n">
        <v>4374911.14534826</v>
      </c>
      <c r="F247" s="124" t="n">
        <v>0</v>
      </c>
      <c r="G247" s="124" t="n">
        <v>0</v>
      </c>
      <c r="I247" s="124" t="n">
        <f aca="false">IF(MONTH($A247)=MONTH($A246),IF(G247=0,I246,G247),G247)</f>
        <v>0</v>
      </c>
      <c r="J247" s="124" t="n">
        <f aca="false">IF(MONTH($A247)=MONTH($A246),SUM(I247-I246),I247)</f>
        <v>0</v>
      </c>
      <c r="K247" s="124" t="n">
        <f aca="false">IF(WEEKDAY(A247,3)&gt;4,0,(IF(A247&lt;K$2,0,IF(A247&lt;=K$3,1,0))))</f>
        <v>0</v>
      </c>
      <c r="L247" s="124" t="n">
        <f aca="false">J247*K247</f>
        <v>0</v>
      </c>
      <c r="M247" s="124" t="n">
        <f aca="false">SUM(J$97:J247)</f>
        <v>0</v>
      </c>
      <c r="N247" s="124" t="n">
        <f aca="false">SUM(J$6:J247)</f>
        <v>0</v>
      </c>
      <c r="P247" s="124" t="n">
        <f aca="false">D247/P$3</f>
        <v>0</v>
      </c>
      <c r="Q247" s="124" t="n">
        <f aca="false">E247/P$3</f>
        <v>4.37491114534826</v>
      </c>
      <c r="R247" s="124" t="n">
        <f aca="false">F247/R$3</f>
        <v>0</v>
      </c>
      <c r="S247" s="126" t="n">
        <f aca="false">J247/$R$3</f>
        <v>0</v>
      </c>
      <c r="T247" s="126" t="n">
        <f aca="false">L247/$R$3</f>
        <v>0</v>
      </c>
      <c r="U247" s="126" t="n">
        <f aca="false">I247/$R$3</f>
        <v>0</v>
      </c>
      <c r="V247" s="126" t="n">
        <f aca="false">M247/$R$3</f>
        <v>0</v>
      </c>
      <c r="W247" s="126" t="n">
        <f aca="false">N247/$R$3</f>
        <v>0</v>
      </c>
    </row>
    <row r="248" customFormat="false" ht="12.75" hidden="false" customHeight="false" outlineLevel="0" collapsed="false">
      <c r="A248" s="120" t="n">
        <f aca="false">A247+1</f>
        <v>37134</v>
      </c>
      <c r="B248" s="131" t="str">
        <f aca="false">INDEX('Master Data'!$A$2:$B$8,MATCH(WEEKDAY('SC Total Gas'!A248,3),'Master Data'!$A$2:$A$8,0),2)</f>
        <v>F</v>
      </c>
      <c r="D248" s="124" t="n">
        <v>0</v>
      </c>
      <c r="E248" s="124" t="n">
        <v>4372195.17428579</v>
      </c>
      <c r="F248" s="124" t="n">
        <v>0</v>
      </c>
      <c r="G248" s="124" t="n">
        <v>0</v>
      </c>
      <c r="I248" s="124" t="n">
        <f aca="false">IF(MONTH($A248)=MONTH($A247),IF(G248=0,I247,G248),G248)</f>
        <v>0</v>
      </c>
      <c r="J248" s="124" t="n">
        <f aca="false">IF(MONTH($A248)=MONTH($A247),SUM(I248-I247),I248)</f>
        <v>0</v>
      </c>
      <c r="K248" s="124" t="n">
        <f aca="false">IF(WEEKDAY(A248,3)&gt;4,0,(IF(A248&lt;K$2,0,IF(A248&lt;=K$3,1,0))))</f>
        <v>0</v>
      </c>
      <c r="L248" s="124" t="n">
        <f aca="false">J248*K248</f>
        <v>0</v>
      </c>
      <c r="M248" s="124" t="n">
        <f aca="false">SUM(J$97:J248)</f>
        <v>0</v>
      </c>
      <c r="N248" s="124" t="n">
        <f aca="false">SUM(J$6:J248)</f>
        <v>0</v>
      </c>
      <c r="P248" s="124" t="n">
        <f aca="false">D248/P$3</f>
        <v>0</v>
      </c>
      <c r="Q248" s="124" t="n">
        <f aca="false">E248/P$3</f>
        <v>4.37219517428579</v>
      </c>
      <c r="R248" s="124" t="n">
        <f aca="false">F248/R$3</f>
        <v>0</v>
      </c>
      <c r="S248" s="126" t="n">
        <f aca="false">J248/$R$3</f>
        <v>0</v>
      </c>
      <c r="T248" s="126" t="n">
        <f aca="false">L248/$R$3</f>
        <v>0</v>
      </c>
      <c r="U248" s="126" t="n">
        <f aca="false">I248/$R$3</f>
        <v>0</v>
      </c>
      <c r="V248" s="126" t="n">
        <f aca="false">M248/$R$3</f>
        <v>0</v>
      </c>
      <c r="W248" s="126" t="n">
        <f aca="false">N248/$R$3</f>
        <v>0</v>
      </c>
    </row>
    <row r="249" customFormat="false" ht="12.75" hidden="true" customHeight="false" outlineLevel="0" collapsed="false">
      <c r="A249" s="120" t="n">
        <f aca="false">A248+1</f>
        <v>37135</v>
      </c>
      <c r="B249" s="131" t="str">
        <f aca="false">INDEX('Master Data'!$A$2:$B$8,MATCH(WEEKDAY('SC Total Gas'!A249,3),'Master Data'!$A$2:$A$8,0),2)</f>
        <v>Sa</v>
      </c>
      <c r="D249" s="124" t="n">
        <v>0</v>
      </c>
      <c r="E249" s="124" t="n">
        <v>0</v>
      </c>
      <c r="F249" s="124" t="n">
        <v>0</v>
      </c>
      <c r="G249" s="124" t="n">
        <v>0</v>
      </c>
      <c r="I249" s="124" t="n">
        <f aca="false">IF(MONTH($A249)=MONTH($A248),IF(G249=0,I248,G249),G249)</f>
        <v>0</v>
      </c>
      <c r="J249" s="124" t="n">
        <f aca="false">IF(MONTH($A249)=MONTH($A248),SUM(I249-I248),I249)</f>
        <v>0</v>
      </c>
      <c r="K249" s="124" t="n">
        <f aca="false">IF(WEEKDAY(A249,3)&gt;4,0,(IF(A249&lt;K$2,0,IF(A249&lt;=K$3,1,0))))</f>
        <v>0</v>
      </c>
      <c r="L249" s="124" t="n">
        <f aca="false">J249*K249</f>
        <v>0</v>
      </c>
      <c r="M249" s="124" t="n">
        <f aca="false">SUM(J$97:J249)</f>
        <v>0</v>
      </c>
      <c r="N249" s="124" t="n">
        <f aca="false">SUM(J$6:J249)</f>
        <v>0</v>
      </c>
      <c r="P249" s="124" t="n">
        <f aca="false">D249/P$3</f>
        <v>0</v>
      </c>
      <c r="Q249" s="124" t="n">
        <f aca="false">E249/P$3</f>
        <v>0</v>
      </c>
      <c r="R249" s="124" t="n">
        <f aca="false">F249/R$3</f>
        <v>0</v>
      </c>
      <c r="S249" s="126" t="n">
        <f aca="false">J249/$R$3</f>
        <v>0</v>
      </c>
      <c r="T249" s="126" t="n">
        <f aca="false">L249/$R$3</f>
        <v>0</v>
      </c>
      <c r="U249" s="126" t="n">
        <f aca="false">I249/$R$3</f>
        <v>0</v>
      </c>
      <c r="V249" s="126" t="n">
        <f aca="false">M249/$R$3</f>
        <v>0</v>
      </c>
      <c r="W249" s="126" t="n">
        <f aca="false">N249/$R$3</f>
        <v>0</v>
      </c>
    </row>
    <row r="250" customFormat="false" ht="12.75" hidden="true" customHeight="false" outlineLevel="0" collapsed="false">
      <c r="A250" s="120" t="n">
        <f aca="false">A249+1</f>
        <v>37136</v>
      </c>
      <c r="B250" s="131" t="str">
        <f aca="false">INDEX('Master Data'!$A$2:$B$8,MATCH(WEEKDAY('SC Total Gas'!A250,3),'Master Data'!$A$2:$A$8,0),2)</f>
        <v>Su</v>
      </c>
      <c r="D250" s="124" t="n">
        <v>0</v>
      </c>
      <c r="E250" s="124" t="n">
        <v>0</v>
      </c>
      <c r="F250" s="124" t="n">
        <v>0</v>
      </c>
      <c r="G250" s="124" t="n">
        <v>0</v>
      </c>
      <c r="I250" s="124" t="n">
        <f aca="false">IF(MONTH($A250)=MONTH($A249),IF(G250=0,I249,G250),G250)</f>
        <v>0</v>
      </c>
      <c r="J250" s="124" t="n">
        <f aca="false">IF(MONTH($A250)=MONTH($A249),SUM(I250-I249),I250)</f>
        <v>0</v>
      </c>
      <c r="K250" s="124" t="n">
        <f aca="false">IF(WEEKDAY(A250,3)&gt;4,0,(IF(A250&lt;K$2,0,IF(A250&lt;=K$3,1,0))))</f>
        <v>0</v>
      </c>
      <c r="L250" s="124" t="n">
        <f aca="false">J250*K250</f>
        <v>0</v>
      </c>
      <c r="M250" s="124" t="n">
        <f aca="false">SUM(J$97:J250)</f>
        <v>0</v>
      </c>
      <c r="N250" s="124" t="n">
        <f aca="false">SUM(J$6:J250)</f>
        <v>0</v>
      </c>
      <c r="P250" s="124" t="n">
        <f aca="false">D250/P$3</f>
        <v>0</v>
      </c>
      <c r="Q250" s="124" t="n">
        <f aca="false">E250/P$3</f>
        <v>0</v>
      </c>
      <c r="R250" s="124" t="n">
        <f aca="false">F250/R$3</f>
        <v>0</v>
      </c>
      <c r="S250" s="126" t="n">
        <f aca="false">J250/$R$3</f>
        <v>0</v>
      </c>
      <c r="T250" s="126" t="n">
        <f aca="false">L250/$R$3</f>
        <v>0</v>
      </c>
      <c r="U250" s="126" t="n">
        <f aca="false">I250/$R$3</f>
        <v>0</v>
      </c>
      <c r="V250" s="126" t="n">
        <f aca="false">M250/$R$3</f>
        <v>0</v>
      </c>
      <c r="W250" s="126" t="n">
        <f aca="false">N250/$R$3</f>
        <v>0</v>
      </c>
    </row>
    <row r="251" customFormat="false" ht="12.75" hidden="true" customHeight="false" outlineLevel="0" collapsed="false">
      <c r="A251" s="120" t="n">
        <f aca="false">A250+1</f>
        <v>37137</v>
      </c>
      <c r="B251" s="131" t="str">
        <f aca="false">INDEX('Master Data'!$A$2:$B$8,MATCH(WEEKDAY('SC Total Gas'!A251,3),'Master Data'!$A$2:$A$8,0),2)</f>
        <v>M</v>
      </c>
      <c r="D251" s="124" t="n">
        <v>0</v>
      </c>
      <c r="E251" s="124" t="n">
        <v>0</v>
      </c>
      <c r="F251" s="124" t="n">
        <v>0</v>
      </c>
      <c r="G251" s="124" t="n">
        <v>0</v>
      </c>
      <c r="I251" s="124" t="n">
        <f aca="false">IF(MONTH($A251)=MONTH($A250),IF(G251=0,I250,G251),G251)</f>
        <v>0</v>
      </c>
      <c r="J251" s="124" t="n">
        <f aca="false">IF(MONTH($A251)=MONTH($A250),SUM(I251-I250),I251)</f>
        <v>0</v>
      </c>
      <c r="K251" s="124" t="n">
        <f aca="false">IF(WEEKDAY(A251,3)&gt;4,0,(IF(A251&lt;K$2,0,IF(A251&lt;=K$3,1,0))))</f>
        <v>0</v>
      </c>
      <c r="L251" s="124" t="n">
        <f aca="false">J251*K251</f>
        <v>0</v>
      </c>
      <c r="M251" s="124" t="n">
        <f aca="false">SUM(J$97:J251)</f>
        <v>0</v>
      </c>
      <c r="N251" s="124" t="n">
        <f aca="false">SUM(J$6:J251)</f>
        <v>0</v>
      </c>
      <c r="P251" s="124" t="n">
        <f aca="false">D251/P$3</f>
        <v>0</v>
      </c>
      <c r="Q251" s="124" t="n">
        <f aca="false">E251/P$3</f>
        <v>0</v>
      </c>
      <c r="R251" s="124" t="n">
        <f aca="false">F251/R$3</f>
        <v>0</v>
      </c>
      <c r="S251" s="126" t="n">
        <f aca="false">J251/$R$3</f>
        <v>0</v>
      </c>
      <c r="T251" s="126" t="n">
        <f aca="false">L251/$R$3</f>
        <v>0</v>
      </c>
      <c r="U251" s="126" t="n">
        <f aca="false">I251/$R$3</f>
        <v>0</v>
      </c>
      <c r="V251" s="126" t="n">
        <f aca="false">M251/$R$3</f>
        <v>0</v>
      </c>
      <c r="W251" s="126" t="n">
        <f aca="false">N251/$R$3</f>
        <v>0</v>
      </c>
    </row>
    <row r="252" customFormat="false" ht="12.75" hidden="true" customHeight="false" outlineLevel="0" collapsed="false">
      <c r="A252" s="120" t="n">
        <f aca="false">A251+1</f>
        <v>37138</v>
      </c>
      <c r="B252" s="131" t="str">
        <f aca="false">INDEX('Master Data'!$A$2:$B$8,MATCH(WEEKDAY('SC Total Gas'!A252,3),'Master Data'!$A$2:$A$8,0),2)</f>
        <v>T</v>
      </c>
      <c r="D252" s="124" t="n">
        <v>0</v>
      </c>
      <c r="E252" s="124" t="n">
        <v>4345764.36418625</v>
      </c>
      <c r="F252" s="124" t="n">
        <v>0</v>
      </c>
      <c r="G252" s="124" t="n">
        <v>0</v>
      </c>
      <c r="I252" s="124" t="n">
        <f aca="false">IF(MONTH($A252)=MONTH($A251),IF(G252=0,I251,G252),G252)</f>
        <v>0</v>
      </c>
      <c r="J252" s="124" t="n">
        <f aca="false">IF(MONTH($A252)=MONTH($A251),SUM(I252-I251),I252)</f>
        <v>0</v>
      </c>
      <c r="K252" s="124" t="n">
        <f aca="false">IF(WEEKDAY(A252,3)&gt;4,0,(IF(A252&lt;K$2,0,IF(A252&lt;=K$3,1,0))))</f>
        <v>0</v>
      </c>
      <c r="L252" s="124" t="n">
        <f aca="false">J252*K252</f>
        <v>0</v>
      </c>
      <c r="M252" s="124" t="n">
        <f aca="false">SUM(J$97:J252)</f>
        <v>0</v>
      </c>
      <c r="N252" s="124" t="n">
        <f aca="false">SUM(J$6:J252)</f>
        <v>0</v>
      </c>
      <c r="P252" s="124" t="n">
        <f aca="false">D252/P$3</f>
        <v>0</v>
      </c>
      <c r="Q252" s="124" t="n">
        <f aca="false">E252/P$3</f>
        <v>4.34576436418625</v>
      </c>
      <c r="R252" s="124" t="n">
        <f aca="false">F252/R$3</f>
        <v>0</v>
      </c>
      <c r="S252" s="126" t="n">
        <f aca="false">J252/$R$3</f>
        <v>0</v>
      </c>
      <c r="T252" s="126" t="n">
        <f aca="false">L252/$R$3</f>
        <v>0</v>
      </c>
      <c r="U252" s="126" t="n">
        <f aca="false">I252/$R$3</f>
        <v>0</v>
      </c>
      <c r="V252" s="126" t="n">
        <f aca="false">M252/$R$3</f>
        <v>0</v>
      </c>
      <c r="W252" s="126" t="n">
        <f aca="false">N252/$R$3</f>
        <v>0</v>
      </c>
    </row>
    <row r="253" customFormat="false" ht="12.75" hidden="true" customHeight="false" outlineLevel="0" collapsed="false">
      <c r="A253" s="120" t="n">
        <f aca="false">A252+1</f>
        <v>37139</v>
      </c>
      <c r="B253" s="131" t="str">
        <f aca="false">INDEX('Master Data'!$A$2:$B$8,MATCH(WEEKDAY('SC Total Gas'!A253,3),'Master Data'!$A$2:$A$8,0),2)</f>
        <v>W</v>
      </c>
      <c r="D253" s="124" t="n">
        <v>0</v>
      </c>
      <c r="E253" s="124" t="n">
        <v>4354913.4994335</v>
      </c>
      <c r="F253" s="124" t="n">
        <v>0</v>
      </c>
      <c r="G253" s="124" t="n">
        <v>0</v>
      </c>
      <c r="I253" s="124" t="n">
        <f aca="false">IF(MONTH($A253)=MONTH($A252),IF(G253=0,I252,G253),G253)</f>
        <v>0</v>
      </c>
      <c r="J253" s="124" t="n">
        <f aca="false">IF(MONTH($A253)=MONTH($A252),SUM(I253-I252),I253)</f>
        <v>0</v>
      </c>
      <c r="K253" s="124" t="n">
        <f aca="false">IF(WEEKDAY(A253,3)&gt;4,0,(IF(A253&lt;K$2,0,IF(A253&lt;=K$3,1,0))))</f>
        <v>0</v>
      </c>
      <c r="L253" s="124" t="n">
        <f aca="false">J253*K253</f>
        <v>0</v>
      </c>
      <c r="M253" s="124" t="n">
        <f aca="false">SUM(J$97:J253)</f>
        <v>0</v>
      </c>
      <c r="N253" s="124" t="n">
        <f aca="false">SUM(J$6:J253)</f>
        <v>0</v>
      </c>
      <c r="P253" s="124" t="n">
        <f aca="false">D253/P$3</f>
        <v>0</v>
      </c>
      <c r="Q253" s="124" t="n">
        <f aca="false">E253/P$3</f>
        <v>4.3549134994335</v>
      </c>
      <c r="R253" s="124" t="n">
        <f aca="false">F253/R$3</f>
        <v>0</v>
      </c>
      <c r="S253" s="126" t="n">
        <f aca="false">J253/$R$3</f>
        <v>0</v>
      </c>
      <c r="T253" s="126" t="n">
        <f aca="false">L253/$R$3</f>
        <v>0</v>
      </c>
      <c r="U253" s="126" t="n">
        <f aca="false">I253/$R$3</f>
        <v>0</v>
      </c>
      <c r="V253" s="126" t="n">
        <f aca="false">M253/$R$3</f>
        <v>0</v>
      </c>
      <c r="W253" s="126" t="n">
        <f aca="false">N253/$R$3</f>
        <v>0</v>
      </c>
    </row>
    <row r="254" customFormat="false" ht="12.75" hidden="true" customHeight="false" outlineLevel="0" collapsed="false">
      <c r="A254" s="120" t="n">
        <f aca="false">A253+1</f>
        <v>37140</v>
      </c>
      <c r="B254" s="131" t="str">
        <f aca="false">INDEX('Master Data'!$A$2:$B$8,MATCH(WEEKDAY('SC Total Gas'!A254,3),'Master Data'!$A$2:$A$8,0),2)</f>
        <v>Th</v>
      </c>
      <c r="D254" s="124" t="n">
        <v>0</v>
      </c>
      <c r="E254" s="124" t="n">
        <v>4372902.01913176</v>
      </c>
      <c r="F254" s="124" t="n">
        <v>0</v>
      </c>
      <c r="G254" s="124" t="n">
        <v>0</v>
      </c>
      <c r="I254" s="124" t="n">
        <f aca="false">IF(MONTH($A254)=MONTH($A253),IF(G254=0,I253,G254),G254)</f>
        <v>0</v>
      </c>
      <c r="J254" s="124" t="n">
        <f aca="false">IF(MONTH($A254)=MONTH($A253),SUM(I254-I253),I254)</f>
        <v>0</v>
      </c>
      <c r="K254" s="124" t="n">
        <f aca="false">IF(WEEKDAY(A254,3)&gt;4,0,(IF(A254&lt;K$2,0,IF(A254&lt;=K$3,1,0))))</f>
        <v>0</v>
      </c>
      <c r="L254" s="124" t="n">
        <f aca="false">J254*K254</f>
        <v>0</v>
      </c>
      <c r="M254" s="124" t="n">
        <f aca="false">SUM(J$97:J254)</f>
        <v>0</v>
      </c>
      <c r="N254" s="124" t="n">
        <f aca="false">SUM(J$6:J254)</f>
        <v>0</v>
      </c>
      <c r="P254" s="124" t="n">
        <f aca="false">D254/P$3</f>
        <v>0</v>
      </c>
      <c r="Q254" s="124" t="n">
        <f aca="false">E254/P$3</f>
        <v>4.37290201913176</v>
      </c>
      <c r="R254" s="124" t="n">
        <f aca="false">F254/R$3</f>
        <v>0</v>
      </c>
      <c r="S254" s="126" t="n">
        <f aca="false">J254/$R$3</f>
        <v>0</v>
      </c>
      <c r="T254" s="126" t="n">
        <f aca="false">L254/$R$3</f>
        <v>0</v>
      </c>
      <c r="U254" s="126" t="n">
        <f aca="false">I254/$R$3</f>
        <v>0</v>
      </c>
      <c r="V254" s="126" t="n">
        <f aca="false">M254/$R$3</f>
        <v>0</v>
      </c>
      <c r="W254" s="126" t="n">
        <f aca="false">N254/$R$3</f>
        <v>0</v>
      </c>
    </row>
    <row r="255" customFormat="false" ht="12.75" hidden="true" customHeight="false" outlineLevel="0" collapsed="false">
      <c r="A255" s="120" t="n">
        <f aca="false">A254+1</f>
        <v>37141</v>
      </c>
      <c r="B255" s="131" t="str">
        <f aca="false">INDEX('Master Data'!$A$2:$B$8,MATCH(WEEKDAY('SC Total Gas'!A255,3),'Master Data'!$A$2:$A$8,0),2)</f>
        <v>F</v>
      </c>
      <c r="D255" s="124" t="n">
        <v>0</v>
      </c>
      <c r="E255" s="124" t="n">
        <v>4387038.94163779</v>
      </c>
      <c r="F255" s="124" t="n">
        <v>0</v>
      </c>
      <c r="G255" s="124" t="n">
        <v>0</v>
      </c>
      <c r="I255" s="124" t="n">
        <f aca="false">IF(MONTH($A255)=MONTH($A254),IF(G255=0,I254,G255),G255)</f>
        <v>0</v>
      </c>
      <c r="J255" s="124" t="n">
        <f aca="false">IF(MONTH($A255)=MONTH($A254),SUM(I255-I254),I255)</f>
        <v>0</v>
      </c>
      <c r="K255" s="124" t="n">
        <f aca="false">IF(WEEKDAY(A255,3)&gt;4,0,(IF(A255&lt;K$2,0,IF(A255&lt;=K$3,1,0))))</f>
        <v>0</v>
      </c>
      <c r="L255" s="124" t="n">
        <f aca="false">J255*K255</f>
        <v>0</v>
      </c>
      <c r="M255" s="124" t="n">
        <f aca="false">SUM(J$97:J255)</f>
        <v>0</v>
      </c>
      <c r="N255" s="124" t="n">
        <f aca="false">SUM(J$6:J255)</f>
        <v>0</v>
      </c>
      <c r="P255" s="124" t="n">
        <f aca="false">D255/P$3</f>
        <v>0</v>
      </c>
      <c r="Q255" s="124" t="n">
        <f aca="false">E255/P$3</f>
        <v>4.38703894163779</v>
      </c>
      <c r="R255" s="124" t="n">
        <f aca="false">F255/R$3</f>
        <v>0</v>
      </c>
      <c r="S255" s="126" t="n">
        <f aca="false">J255/$R$3</f>
        <v>0</v>
      </c>
      <c r="T255" s="126" t="n">
        <f aca="false">L255/$R$3</f>
        <v>0</v>
      </c>
      <c r="U255" s="126" t="n">
        <f aca="false">I255/$R$3</f>
        <v>0</v>
      </c>
      <c r="V255" s="126" t="n">
        <f aca="false">M255/$R$3</f>
        <v>0</v>
      </c>
      <c r="W255" s="126" t="n">
        <f aca="false">N255/$R$3</f>
        <v>0</v>
      </c>
    </row>
    <row r="256" customFormat="false" ht="12.75" hidden="true" customHeight="false" outlineLevel="0" collapsed="false">
      <c r="A256" s="120" t="n">
        <f aca="false">A255+1</f>
        <v>37142</v>
      </c>
      <c r="B256" s="131" t="str">
        <f aca="false">INDEX('Master Data'!$A$2:$B$8,MATCH(WEEKDAY('SC Total Gas'!A256,3),'Master Data'!$A$2:$A$8,0),2)</f>
        <v>Sa</v>
      </c>
      <c r="D256" s="124" t="n">
        <v>0</v>
      </c>
      <c r="E256" s="124" t="n">
        <v>0</v>
      </c>
      <c r="F256" s="124" t="n">
        <v>0</v>
      </c>
      <c r="G256" s="124" t="n">
        <v>0</v>
      </c>
      <c r="I256" s="124" t="n">
        <f aca="false">IF(MONTH($A256)=MONTH($A255),IF(G256=0,I255,G256),G256)</f>
        <v>0</v>
      </c>
      <c r="J256" s="124" t="n">
        <f aca="false">IF(MONTH($A256)=MONTH($A255),SUM(I256-I255),I256)</f>
        <v>0</v>
      </c>
      <c r="K256" s="124" t="n">
        <f aca="false">IF(WEEKDAY(A256,3)&gt;4,0,(IF(A256&lt;K$2,0,IF(A256&lt;=K$3,1,0))))</f>
        <v>0</v>
      </c>
      <c r="L256" s="124" t="n">
        <f aca="false">J256*K256</f>
        <v>0</v>
      </c>
      <c r="M256" s="124" t="n">
        <f aca="false">SUM(J$97:J256)</f>
        <v>0</v>
      </c>
      <c r="N256" s="124" t="n">
        <f aca="false">SUM(J$6:J256)</f>
        <v>0</v>
      </c>
      <c r="P256" s="124" t="n">
        <f aca="false">D256/P$3</f>
        <v>0</v>
      </c>
      <c r="Q256" s="124" t="n">
        <f aca="false">E256/P$3</f>
        <v>0</v>
      </c>
      <c r="R256" s="124" t="n">
        <f aca="false">F256/R$3</f>
        <v>0</v>
      </c>
      <c r="S256" s="126" t="n">
        <f aca="false">J256/$R$3</f>
        <v>0</v>
      </c>
      <c r="T256" s="126" t="n">
        <f aca="false">L256/$R$3</f>
        <v>0</v>
      </c>
      <c r="U256" s="126" t="n">
        <f aca="false">I256/$R$3</f>
        <v>0</v>
      </c>
      <c r="V256" s="126" t="n">
        <f aca="false">M256/$R$3</f>
        <v>0</v>
      </c>
      <c r="W256" s="126" t="n">
        <f aca="false">N256/$R$3</f>
        <v>0</v>
      </c>
    </row>
    <row r="257" customFormat="false" ht="12.75" hidden="true" customHeight="false" outlineLevel="0" collapsed="false">
      <c r="A257" s="120" t="n">
        <f aca="false">A256+1</f>
        <v>37143</v>
      </c>
      <c r="B257" s="131" t="str">
        <f aca="false">INDEX('Master Data'!$A$2:$B$8,MATCH(WEEKDAY('SC Total Gas'!A257,3),'Master Data'!$A$2:$A$8,0),2)</f>
        <v>Su</v>
      </c>
      <c r="D257" s="124" t="n">
        <v>0</v>
      </c>
      <c r="E257" s="124" t="n">
        <v>0</v>
      </c>
      <c r="F257" s="124" t="n">
        <v>0</v>
      </c>
      <c r="G257" s="124" t="n">
        <v>0</v>
      </c>
      <c r="I257" s="124" t="n">
        <f aca="false">IF(MONTH($A257)=MONTH($A256),IF(G257=0,I256,G257),G257)</f>
        <v>0</v>
      </c>
      <c r="J257" s="124" t="n">
        <f aca="false">IF(MONTH($A257)=MONTH($A256),SUM(I257-I256),I257)</f>
        <v>0</v>
      </c>
      <c r="K257" s="124" t="n">
        <f aca="false">IF(WEEKDAY(A257,3)&gt;4,0,(IF(A257&lt;K$2,0,IF(A257&lt;=K$3,1,0))))</f>
        <v>0</v>
      </c>
      <c r="L257" s="124" t="n">
        <f aca="false">J257*K257</f>
        <v>0</v>
      </c>
      <c r="M257" s="124" t="n">
        <f aca="false">SUM(J$97:J257)</f>
        <v>0</v>
      </c>
      <c r="N257" s="124" t="n">
        <f aca="false">SUM(J$6:J257)</f>
        <v>0</v>
      </c>
      <c r="P257" s="124" t="n">
        <f aca="false">D257/P$3</f>
        <v>0</v>
      </c>
      <c r="Q257" s="124" t="n">
        <f aca="false">E257/P$3</f>
        <v>0</v>
      </c>
      <c r="R257" s="124" t="n">
        <f aca="false">F257/R$3</f>
        <v>0</v>
      </c>
      <c r="S257" s="126" t="n">
        <f aca="false">J257/$R$3</f>
        <v>0</v>
      </c>
      <c r="T257" s="126" t="n">
        <f aca="false">L257/$R$3</f>
        <v>0</v>
      </c>
      <c r="U257" s="126" t="n">
        <f aca="false">I257/$R$3</f>
        <v>0</v>
      </c>
      <c r="V257" s="126" t="n">
        <f aca="false">M257/$R$3</f>
        <v>0</v>
      </c>
      <c r="W257" s="126" t="n">
        <f aca="false">N257/$R$3</f>
        <v>0</v>
      </c>
    </row>
    <row r="258" customFormat="false" ht="12.75" hidden="true" customHeight="false" outlineLevel="0" collapsed="false">
      <c r="A258" s="120" t="n">
        <f aca="false">A257+1</f>
        <v>37144</v>
      </c>
      <c r="B258" s="131" t="str">
        <f aca="false">INDEX('Master Data'!$A$2:$B$8,MATCH(WEEKDAY('SC Total Gas'!A258,3),'Master Data'!$A$2:$A$8,0),2)</f>
        <v>M</v>
      </c>
      <c r="D258" s="124" t="n">
        <v>0</v>
      </c>
      <c r="E258" s="124" t="n">
        <v>4386668.76631865</v>
      </c>
      <c r="F258" s="124" t="n">
        <v>0</v>
      </c>
      <c r="G258" s="124" t="n">
        <v>0</v>
      </c>
      <c r="I258" s="124" t="n">
        <f aca="false">IF(MONTH($A258)=MONTH($A257),IF(G258=0,I257,G258),G258)</f>
        <v>0</v>
      </c>
      <c r="J258" s="124" t="n">
        <f aca="false">IF(MONTH($A258)=MONTH($A257),SUM(I258-I257),I258)</f>
        <v>0</v>
      </c>
      <c r="K258" s="124" t="n">
        <f aca="false">IF(WEEKDAY(A258,3)&gt;4,0,(IF(A258&lt;K$2,0,IF(A258&lt;=K$3,1,0))))</f>
        <v>0</v>
      </c>
      <c r="L258" s="124" t="n">
        <f aca="false">J258*K258</f>
        <v>0</v>
      </c>
      <c r="M258" s="124" t="n">
        <f aca="false">SUM(J$97:J258)</f>
        <v>0</v>
      </c>
      <c r="N258" s="124" t="n">
        <f aca="false">SUM(J$6:J258)</f>
        <v>0</v>
      </c>
      <c r="P258" s="124" t="n">
        <f aca="false">D258/P$3</f>
        <v>0</v>
      </c>
      <c r="Q258" s="124" t="n">
        <f aca="false">E258/P$3</f>
        <v>4.38666876631865</v>
      </c>
      <c r="R258" s="124" t="n">
        <f aca="false">F258/R$3</f>
        <v>0</v>
      </c>
      <c r="S258" s="126" t="n">
        <f aca="false">J258/$R$3</f>
        <v>0</v>
      </c>
      <c r="T258" s="126" t="n">
        <f aca="false">L258/$R$3</f>
        <v>0</v>
      </c>
      <c r="U258" s="126" t="n">
        <f aca="false">I258/$R$3</f>
        <v>0</v>
      </c>
      <c r="V258" s="126" t="n">
        <f aca="false">M258/$R$3</f>
        <v>0</v>
      </c>
      <c r="W258" s="126" t="n">
        <f aca="false">N258/$R$3</f>
        <v>0</v>
      </c>
    </row>
    <row r="259" customFormat="false" ht="12.75" hidden="true" customHeight="false" outlineLevel="0" collapsed="false">
      <c r="A259" s="120" t="n">
        <f aca="false">A258+1</f>
        <v>37145</v>
      </c>
      <c r="B259" s="131" t="str">
        <f aca="false">INDEX('Master Data'!$A$2:$B$8,MATCH(WEEKDAY('SC Total Gas'!A259,3),'Master Data'!$A$2:$A$8,0),2)</f>
        <v>T</v>
      </c>
      <c r="D259" s="124" t="n">
        <v>0</v>
      </c>
      <c r="E259" s="124" t="n">
        <v>0</v>
      </c>
      <c r="F259" s="124" t="n">
        <v>0</v>
      </c>
      <c r="G259" s="124" t="n">
        <v>0</v>
      </c>
      <c r="I259" s="124" t="n">
        <f aca="false">IF(MONTH($A259)=MONTH($A258),IF(G259=0,I258,G259),G259)</f>
        <v>0</v>
      </c>
      <c r="J259" s="124" t="n">
        <f aca="false">IF(MONTH($A259)=MONTH($A258),SUM(I259-I258),I259)</f>
        <v>0</v>
      </c>
      <c r="K259" s="124" t="n">
        <f aca="false">IF(WEEKDAY(A259,3)&gt;4,0,(IF(A259&lt;K$2,0,IF(A259&lt;=K$3,1,0))))</f>
        <v>0</v>
      </c>
      <c r="L259" s="124" t="n">
        <f aca="false">J259*K259</f>
        <v>0</v>
      </c>
      <c r="M259" s="124" t="n">
        <f aca="false">SUM(J$97:J259)</f>
        <v>0</v>
      </c>
      <c r="N259" s="124" t="n">
        <f aca="false">SUM(J$6:J259)</f>
        <v>0</v>
      </c>
      <c r="P259" s="124" t="n">
        <f aca="false">D259/P$3</f>
        <v>0</v>
      </c>
      <c r="Q259" s="124" t="n">
        <f aca="false">E259/P$3</f>
        <v>0</v>
      </c>
      <c r="R259" s="124" t="n">
        <f aca="false">F259/R$3</f>
        <v>0</v>
      </c>
      <c r="S259" s="126" t="n">
        <f aca="false">J259/$R$3</f>
        <v>0</v>
      </c>
      <c r="T259" s="126" t="n">
        <f aca="false">L259/$R$3</f>
        <v>0</v>
      </c>
      <c r="U259" s="126" t="n">
        <f aca="false">I259/$R$3</f>
        <v>0</v>
      </c>
      <c r="V259" s="126" t="n">
        <f aca="false">M259/$R$3</f>
        <v>0</v>
      </c>
      <c r="W259" s="126" t="n">
        <f aca="false">N259/$R$3</f>
        <v>0</v>
      </c>
    </row>
    <row r="260" customFormat="false" ht="12.75" hidden="true" customHeight="false" outlineLevel="0" collapsed="false">
      <c r="A260" s="120" t="n">
        <f aca="false">A259+1</f>
        <v>37146</v>
      </c>
      <c r="B260" s="131" t="str">
        <f aca="false">INDEX('Master Data'!$A$2:$B$8,MATCH(WEEKDAY('SC Total Gas'!A260,3),'Master Data'!$A$2:$A$8,0),2)</f>
        <v>W</v>
      </c>
      <c r="D260" s="124" t="n">
        <v>0</v>
      </c>
      <c r="E260" s="124" t="n">
        <v>4404081.03782066</v>
      </c>
      <c r="F260" s="124" t="n">
        <v>0</v>
      </c>
      <c r="G260" s="124" t="n">
        <v>0</v>
      </c>
      <c r="I260" s="124" t="n">
        <f aca="false">IF(MONTH($A260)=MONTH($A259),IF(G260=0,I259,G260),G260)</f>
        <v>0</v>
      </c>
      <c r="J260" s="124" t="n">
        <f aca="false">IF(MONTH($A260)=MONTH($A259),SUM(I260-I259),I260)</f>
        <v>0</v>
      </c>
      <c r="K260" s="124" t="n">
        <f aca="false">IF(WEEKDAY(A260,3)&gt;4,0,(IF(A260&lt;K$2,0,IF(A260&lt;=K$3,1,0))))</f>
        <v>0</v>
      </c>
      <c r="L260" s="124" t="n">
        <f aca="false">J260*K260</f>
        <v>0</v>
      </c>
      <c r="M260" s="124" t="n">
        <f aca="false">SUM(J$97:J260)</f>
        <v>0</v>
      </c>
      <c r="N260" s="124" t="n">
        <f aca="false">SUM(J$6:J260)</f>
        <v>0</v>
      </c>
      <c r="P260" s="124" t="n">
        <f aca="false">D260/P$3</f>
        <v>0</v>
      </c>
      <c r="Q260" s="124" t="n">
        <f aca="false">E260/P$3</f>
        <v>4.40408103782066</v>
      </c>
      <c r="R260" s="124" t="n">
        <f aca="false">F260/R$3</f>
        <v>0</v>
      </c>
      <c r="S260" s="126" t="n">
        <f aca="false">J260/$R$3</f>
        <v>0</v>
      </c>
      <c r="T260" s="126" t="n">
        <f aca="false">L260/$R$3</f>
        <v>0</v>
      </c>
      <c r="U260" s="126" t="n">
        <f aca="false">I260/$R$3</f>
        <v>0</v>
      </c>
      <c r="V260" s="126" t="n">
        <f aca="false">M260/$R$3</f>
        <v>0</v>
      </c>
      <c r="W260" s="126" t="n">
        <f aca="false">N260/$R$3</f>
        <v>0</v>
      </c>
    </row>
    <row r="261" customFormat="false" ht="12.75" hidden="true" customHeight="false" outlineLevel="0" collapsed="false">
      <c r="A261" s="120" t="n">
        <f aca="false">A260+1</f>
        <v>37147</v>
      </c>
      <c r="B261" s="131" t="str">
        <f aca="false">INDEX('Master Data'!$A$2:$B$8,MATCH(WEEKDAY('SC Total Gas'!A261,3),'Master Data'!$A$2:$A$8,0),2)</f>
        <v>Th</v>
      </c>
      <c r="D261" s="124" t="n">
        <v>0</v>
      </c>
      <c r="E261" s="124" t="n">
        <v>4427362.42527578</v>
      </c>
      <c r="F261" s="124" t="n">
        <v>0</v>
      </c>
      <c r="G261" s="124" t="n">
        <v>0</v>
      </c>
      <c r="I261" s="124" t="n">
        <f aca="false">IF(MONTH($A261)=MONTH($A260),IF(G261=0,I260,G261),G261)</f>
        <v>0</v>
      </c>
      <c r="J261" s="124" t="n">
        <f aca="false">IF(MONTH($A261)=MONTH($A260),SUM(I261-I260),I261)</f>
        <v>0</v>
      </c>
      <c r="K261" s="124" t="n">
        <f aca="false">IF(WEEKDAY(A261,3)&gt;4,0,(IF(A261&lt;K$2,0,IF(A261&lt;=K$3,1,0))))</f>
        <v>0</v>
      </c>
      <c r="L261" s="124" t="n">
        <f aca="false">J261*K261</f>
        <v>0</v>
      </c>
      <c r="M261" s="124" t="n">
        <f aca="false">SUM(J$97:J261)</f>
        <v>0</v>
      </c>
      <c r="N261" s="124" t="n">
        <f aca="false">SUM(J$6:J261)</f>
        <v>0</v>
      </c>
      <c r="P261" s="124" t="n">
        <f aca="false">D261/P$3</f>
        <v>0</v>
      </c>
      <c r="Q261" s="124" t="n">
        <f aca="false">E261/P$3</f>
        <v>4.42736242527578</v>
      </c>
      <c r="R261" s="124" t="n">
        <f aca="false">F261/R$3</f>
        <v>0</v>
      </c>
      <c r="S261" s="126" t="n">
        <f aca="false">J261/$R$3</f>
        <v>0</v>
      </c>
      <c r="T261" s="126" t="n">
        <f aca="false">L261/$R$3</f>
        <v>0</v>
      </c>
      <c r="U261" s="126" t="n">
        <f aca="false">I261/$R$3</f>
        <v>0</v>
      </c>
      <c r="V261" s="126" t="n">
        <f aca="false">M261/$R$3</f>
        <v>0</v>
      </c>
      <c r="W261" s="126" t="n">
        <f aca="false">N261/$R$3</f>
        <v>0</v>
      </c>
    </row>
    <row r="262" customFormat="false" ht="12.75" hidden="true" customHeight="false" outlineLevel="0" collapsed="false">
      <c r="A262" s="120" t="n">
        <f aca="false">A261+1</f>
        <v>37148</v>
      </c>
      <c r="B262" s="131" t="str">
        <f aca="false">INDEX('Master Data'!$A$2:$B$8,MATCH(WEEKDAY('SC Total Gas'!A262,3),'Master Data'!$A$2:$A$8,0),2)</f>
        <v>F</v>
      </c>
      <c r="D262" s="124" t="n">
        <v>0</v>
      </c>
      <c r="E262" s="124" t="n">
        <v>4442045.17998029</v>
      </c>
      <c r="F262" s="124" t="n">
        <v>0</v>
      </c>
      <c r="G262" s="124" t="n">
        <v>0</v>
      </c>
      <c r="I262" s="124" t="n">
        <f aca="false">IF(MONTH($A262)=MONTH($A261),IF(G262=0,I261,G262),G262)</f>
        <v>0</v>
      </c>
      <c r="J262" s="124" t="n">
        <f aca="false">IF(MONTH($A262)=MONTH($A261),SUM(I262-I261),I262)</f>
        <v>0</v>
      </c>
      <c r="K262" s="124" t="n">
        <f aca="false">IF(WEEKDAY(A262,3)&gt;4,0,(IF(A262&lt;K$2,0,IF(A262&lt;=K$3,1,0))))</f>
        <v>0</v>
      </c>
      <c r="L262" s="124" t="n">
        <f aca="false">J262*K262</f>
        <v>0</v>
      </c>
      <c r="M262" s="124" t="n">
        <f aca="false">SUM(J$97:J262)</f>
        <v>0</v>
      </c>
      <c r="N262" s="124" t="n">
        <f aca="false">SUM(J$6:J262)</f>
        <v>0</v>
      </c>
      <c r="P262" s="124" t="n">
        <f aca="false">D262/P$3</f>
        <v>0</v>
      </c>
      <c r="Q262" s="124" t="n">
        <f aca="false">E262/P$3</f>
        <v>4.44204517998029</v>
      </c>
      <c r="R262" s="124" t="n">
        <f aca="false">F262/R$3</f>
        <v>0</v>
      </c>
      <c r="S262" s="126" t="n">
        <f aca="false">J262/$R$3</f>
        <v>0</v>
      </c>
      <c r="T262" s="126" t="n">
        <f aca="false">L262/$R$3</f>
        <v>0</v>
      </c>
      <c r="U262" s="126" t="n">
        <f aca="false">I262/$R$3</f>
        <v>0</v>
      </c>
      <c r="V262" s="126" t="n">
        <f aca="false">M262/$R$3</f>
        <v>0</v>
      </c>
      <c r="W262" s="126" t="n">
        <f aca="false">N262/$R$3</f>
        <v>0</v>
      </c>
    </row>
    <row r="263" customFormat="false" ht="12.75" hidden="true" customHeight="false" outlineLevel="0" collapsed="false">
      <c r="A263" s="120" t="n">
        <f aca="false">A262+1</f>
        <v>37149</v>
      </c>
      <c r="B263" s="131" t="str">
        <f aca="false">INDEX('Master Data'!$A$2:$B$8,MATCH(WEEKDAY('SC Total Gas'!A263,3),'Master Data'!$A$2:$A$8,0),2)</f>
        <v>Sa</v>
      </c>
      <c r="D263" s="124" t="n">
        <v>0</v>
      </c>
      <c r="E263" s="124" t="n">
        <v>0</v>
      </c>
      <c r="F263" s="124" t="n">
        <v>0</v>
      </c>
      <c r="G263" s="124" t="n">
        <v>0</v>
      </c>
      <c r="I263" s="124" t="n">
        <f aca="false">IF(MONTH($A263)=MONTH($A262),IF(G263=0,I262,G263),G263)</f>
        <v>0</v>
      </c>
      <c r="J263" s="124" t="n">
        <f aca="false">IF(MONTH($A263)=MONTH($A262),SUM(I263-I262),I263)</f>
        <v>0</v>
      </c>
      <c r="K263" s="124" t="n">
        <f aca="false">IF(WEEKDAY(A263,3)&gt;4,0,(IF(A263&lt;K$2,0,IF(A263&lt;=K$3,1,0))))</f>
        <v>0</v>
      </c>
      <c r="L263" s="124" t="n">
        <f aca="false">J263*K263</f>
        <v>0</v>
      </c>
      <c r="M263" s="124" t="n">
        <f aca="false">SUM(J$97:J263)</f>
        <v>0</v>
      </c>
      <c r="N263" s="124" t="n">
        <f aca="false">SUM(J$6:J263)</f>
        <v>0</v>
      </c>
      <c r="P263" s="124" t="n">
        <f aca="false">D263/P$3</f>
        <v>0</v>
      </c>
      <c r="Q263" s="124" t="n">
        <f aca="false">E263/P$3</f>
        <v>0</v>
      </c>
      <c r="R263" s="124" t="n">
        <f aca="false">F263/R$3</f>
        <v>0</v>
      </c>
      <c r="S263" s="126" t="n">
        <f aca="false">J263/$R$3</f>
        <v>0</v>
      </c>
      <c r="T263" s="126" t="n">
        <f aca="false">L263/$R$3</f>
        <v>0</v>
      </c>
      <c r="U263" s="126" t="n">
        <f aca="false">I263/$R$3</f>
        <v>0</v>
      </c>
      <c r="V263" s="126" t="n">
        <f aca="false">M263/$R$3</f>
        <v>0</v>
      </c>
      <c r="W263" s="126" t="n">
        <f aca="false">N263/$R$3</f>
        <v>0</v>
      </c>
    </row>
    <row r="264" customFormat="false" ht="12.75" hidden="true" customHeight="false" outlineLevel="0" collapsed="false">
      <c r="A264" s="120" t="n">
        <f aca="false">A263+1</f>
        <v>37150</v>
      </c>
      <c r="B264" s="131" t="str">
        <f aca="false">INDEX('Master Data'!$A$2:$B$8,MATCH(WEEKDAY('SC Total Gas'!A264,3),'Master Data'!$A$2:$A$8,0),2)</f>
        <v>Su</v>
      </c>
      <c r="D264" s="124" t="n">
        <v>0</v>
      </c>
      <c r="E264" s="124" t="n">
        <v>0</v>
      </c>
      <c r="F264" s="124" t="n">
        <v>0</v>
      </c>
      <c r="G264" s="124" t="n">
        <v>0</v>
      </c>
      <c r="I264" s="124" t="n">
        <f aca="false">IF(MONTH($A264)=MONTH($A263),IF(G264=0,I263,G264),G264)</f>
        <v>0</v>
      </c>
      <c r="J264" s="124" t="n">
        <f aca="false">IF(MONTH($A264)=MONTH($A263),SUM(I264-I263),I264)</f>
        <v>0</v>
      </c>
      <c r="K264" s="124" t="n">
        <f aca="false">IF(WEEKDAY(A264,3)&gt;4,0,(IF(A264&lt;K$2,0,IF(A264&lt;=K$3,1,0))))</f>
        <v>0</v>
      </c>
      <c r="L264" s="124" t="n">
        <f aca="false">J264*K264</f>
        <v>0</v>
      </c>
      <c r="M264" s="124" t="n">
        <f aca="false">SUM(J$97:J264)</f>
        <v>0</v>
      </c>
      <c r="N264" s="124" t="n">
        <f aca="false">SUM(J$6:J264)</f>
        <v>0</v>
      </c>
      <c r="P264" s="124" t="n">
        <f aca="false">D264/P$3</f>
        <v>0</v>
      </c>
      <c r="Q264" s="124" t="n">
        <f aca="false">E264/P$3</f>
        <v>0</v>
      </c>
      <c r="R264" s="124" t="n">
        <f aca="false">F264/R$3</f>
        <v>0</v>
      </c>
      <c r="S264" s="126" t="n">
        <f aca="false">J264/$R$3</f>
        <v>0</v>
      </c>
      <c r="T264" s="126" t="n">
        <f aca="false">L264/$R$3</f>
        <v>0</v>
      </c>
      <c r="U264" s="126" t="n">
        <f aca="false">I264/$R$3</f>
        <v>0</v>
      </c>
      <c r="V264" s="126" t="n">
        <f aca="false">M264/$R$3</f>
        <v>0</v>
      </c>
      <c r="W264" s="126" t="n">
        <f aca="false">N264/$R$3</f>
        <v>0</v>
      </c>
    </row>
    <row r="265" customFormat="false" ht="12.75" hidden="true" customHeight="false" outlineLevel="0" collapsed="false">
      <c r="A265" s="120" t="n">
        <f aca="false">A264+1</f>
        <v>37151</v>
      </c>
      <c r="B265" s="131" t="str">
        <f aca="false">INDEX('Master Data'!$A$2:$B$8,MATCH(WEEKDAY('SC Total Gas'!A265,3),'Master Data'!$A$2:$A$8,0),2)</f>
        <v>M</v>
      </c>
      <c r="D265" s="124" t="n">
        <v>0</v>
      </c>
      <c r="E265" s="124" t="n">
        <v>4439848.78660186</v>
      </c>
      <c r="F265" s="124" t="n">
        <v>0</v>
      </c>
      <c r="G265" s="124" t="n">
        <v>0</v>
      </c>
      <c r="I265" s="124" t="n">
        <f aca="false">IF(MONTH($A265)=MONTH($A264),IF(G265=0,I264,G265),G265)</f>
        <v>0</v>
      </c>
      <c r="J265" s="124" t="n">
        <f aca="false">IF(MONTH($A265)=MONTH($A264),SUM(I265-I264),I265)</f>
        <v>0</v>
      </c>
      <c r="K265" s="124" t="n">
        <f aca="false">IF(WEEKDAY(A265,3)&gt;4,0,(IF(A265&lt;K$2,0,IF(A265&lt;=K$3,1,0))))</f>
        <v>0</v>
      </c>
      <c r="L265" s="124" t="n">
        <f aca="false">J265*K265</f>
        <v>0</v>
      </c>
      <c r="M265" s="124" t="n">
        <f aca="false">SUM(J$97:J265)</f>
        <v>0</v>
      </c>
      <c r="N265" s="124" t="n">
        <f aca="false">SUM(J$6:J265)</f>
        <v>0</v>
      </c>
      <c r="P265" s="124" t="n">
        <f aca="false">D265/P$3</f>
        <v>0</v>
      </c>
      <c r="Q265" s="124" t="n">
        <f aca="false">E265/P$3</f>
        <v>4.43984878660186</v>
      </c>
      <c r="R265" s="124" t="n">
        <f aca="false">F265/R$3</f>
        <v>0</v>
      </c>
      <c r="S265" s="126" t="n">
        <f aca="false">J265/$R$3</f>
        <v>0</v>
      </c>
      <c r="T265" s="126" t="n">
        <f aca="false">L265/$R$3</f>
        <v>0</v>
      </c>
      <c r="U265" s="126" t="n">
        <f aca="false">I265/$R$3</f>
        <v>0</v>
      </c>
      <c r="V265" s="126" t="n">
        <f aca="false">M265/$R$3</f>
        <v>0</v>
      </c>
      <c r="W265" s="126" t="n">
        <f aca="false">N265/$R$3</f>
        <v>0</v>
      </c>
    </row>
    <row r="266" customFormat="false" ht="12.75" hidden="true" customHeight="false" outlineLevel="0" collapsed="false">
      <c r="A266" s="120" t="n">
        <f aca="false">A265+1</f>
        <v>37152</v>
      </c>
      <c r="B266" s="131" t="str">
        <f aca="false">INDEX('Master Data'!$A$2:$B$8,MATCH(WEEKDAY('SC Total Gas'!A266,3),'Master Data'!$A$2:$A$8,0),2)</f>
        <v>T</v>
      </c>
      <c r="D266" s="124" t="n">
        <v>0</v>
      </c>
      <c r="E266" s="124" t="n">
        <v>4434430.73574621</v>
      </c>
      <c r="F266" s="124" t="n">
        <v>0</v>
      </c>
      <c r="G266" s="124" t="n">
        <v>0</v>
      </c>
      <c r="I266" s="124" t="n">
        <f aca="false">IF(MONTH($A266)=MONTH($A265),IF(G266=0,I265,G266),G266)</f>
        <v>0</v>
      </c>
      <c r="J266" s="124" t="n">
        <f aca="false">IF(MONTH($A266)=MONTH($A265),SUM(I266-I265),I266)</f>
        <v>0</v>
      </c>
      <c r="K266" s="124" t="n">
        <f aca="false">IF(WEEKDAY(A266,3)&gt;4,0,(IF(A266&lt;K$2,0,IF(A266&lt;=K$3,1,0))))</f>
        <v>0</v>
      </c>
      <c r="L266" s="124" t="n">
        <f aca="false">J266*K266</f>
        <v>0</v>
      </c>
      <c r="M266" s="124" t="n">
        <f aca="false">SUM(J$97:J266)</f>
        <v>0</v>
      </c>
      <c r="N266" s="124" t="n">
        <f aca="false">SUM(J$6:J266)</f>
        <v>0</v>
      </c>
      <c r="P266" s="124" t="n">
        <f aca="false">D266/P$3</f>
        <v>0</v>
      </c>
      <c r="Q266" s="124" t="n">
        <f aca="false">E266/P$3</f>
        <v>4.43443073574621</v>
      </c>
      <c r="R266" s="124" t="n">
        <f aca="false">F266/R$3</f>
        <v>0</v>
      </c>
      <c r="S266" s="126" t="n">
        <f aca="false">J266/$R$3</f>
        <v>0</v>
      </c>
      <c r="T266" s="126" t="n">
        <f aca="false">L266/$R$3</f>
        <v>0</v>
      </c>
      <c r="U266" s="126" t="n">
        <f aca="false">I266/$R$3</f>
        <v>0</v>
      </c>
      <c r="V266" s="126" t="n">
        <f aca="false">M266/$R$3</f>
        <v>0</v>
      </c>
      <c r="W266" s="126" t="n">
        <f aca="false">N266/$R$3</f>
        <v>0</v>
      </c>
    </row>
    <row r="267" customFormat="false" ht="12.75" hidden="true" customHeight="false" outlineLevel="0" collapsed="false">
      <c r="A267" s="120" t="n">
        <f aca="false">A266+1</f>
        <v>37153</v>
      </c>
      <c r="B267" s="131" t="str">
        <f aca="false">INDEX('Master Data'!$A$2:$B$8,MATCH(WEEKDAY('SC Total Gas'!A267,3),'Master Data'!$A$2:$A$8,0),2)</f>
        <v>W</v>
      </c>
      <c r="D267" s="124" t="n">
        <v>0</v>
      </c>
      <c r="E267" s="124" t="n">
        <v>4449983.67529146</v>
      </c>
      <c r="F267" s="124" t="n">
        <v>0</v>
      </c>
      <c r="G267" s="124" t="n">
        <v>0</v>
      </c>
      <c r="I267" s="124" t="n">
        <f aca="false">IF(MONTH($A267)=MONTH($A266),IF(G267=0,I266,G267),G267)</f>
        <v>0</v>
      </c>
      <c r="J267" s="124" t="n">
        <f aca="false">IF(MONTH($A267)=MONTH($A266),SUM(I267-I266),I267)</f>
        <v>0</v>
      </c>
      <c r="K267" s="124" t="n">
        <f aca="false">IF(WEEKDAY(A267,3)&gt;4,0,(IF(A267&lt;K$2,0,IF(A267&lt;=K$3,1,0))))</f>
        <v>0</v>
      </c>
      <c r="L267" s="124" t="n">
        <f aca="false">J267*K267</f>
        <v>0</v>
      </c>
      <c r="M267" s="124" t="n">
        <f aca="false">SUM(J$97:J267)</f>
        <v>0</v>
      </c>
      <c r="N267" s="124" t="n">
        <f aca="false">SUM(J$6:J267)</f>
        <v>0</v>
      </c>
      <c r="P267" s="124" t="n">
        <f aca="false">D267/P$3</f>
        <v>0</v>
      </c>
      <c r="Q267" s="124" t="n">
        <f aca="false">E267/P$3</f>
        <v>4.44998367529146</v>
      </c>
      <c r="R267" s="124" t="n">
        <f aca="false">F267/R$3</f>
        <v>0</v>
      </c>
      <c r="S267" s="126" t="n">
        <f aca="false">J267/$R$3</f>
        <v>0</v>
      </c>
      <c r="T267" s="126" t="n">
        <f aca="false">L267/$R$3</f>
        <v>0</v>
      </c>
      <c r="U267" s="126" t="n">
        <f aca="false">I267/$R$3</f>
        <v>0</v>
      </c>
      <c r="V267" s="126" t="n">
        <f aca="false">M267/$R$3</f>
        <v>0</v>
      </c>
      <c r="W267" s="126" t="n">
        <f aca="false">N267/$R$3</f>
        <v>0</v>
      </c>
    </row>
    <row r="268" customFormat="false" ht="12.75" hidden="true" customHeight="false" outlineLevel="0" collapsed="false">
      <c r="A268" s="120" t="n">
        <f aca="false">A267+1</f>
        <v>37154</v>
      </c>
      <c r="B268" s="131" t="str">
        <f aca="false">INDEX('Master Data'!$A$2:$B$8,MATCH(WEEKDAY('SC Total Gas'!A268,3),'Master Data'!$A$2:$A$8,0),2)</f>
        <v>Th</v>
      </c>
      <c r="D268" s="124" t="n">
        <v>0</v>
      </c>
      <c r="E268" s="124" t="n">
        <v>4456626.81138384</v>
      </c>
      <c r="F268" s="124" t="n">
        <v>0</v>
      </c>
      <c r="G268" s="124" t="n">
        <v>0</v>
      </c>
      <c r="I268" s="124" t="n">
        <f aca="false">IF(MONTH($A268)=MONTH($A267),IF(G268=0,I267,G268),G268)</f>
        <v>0</v>
      </c>
      <c r="J268" s="124" t="n">
        <f aca="false">IF(MONTH($A268)=MONTH($A267),SUM(I268-I267),I268)</f>
        <v>0</v>
      </c>
      <c r="K268" s="124" t="n">
        <f aca="false">IF(WEEKDAY(A268,3)&gt;4,0,(IF(A268&lt;K$2,0,IF(A268&lt;=K$3,1,0))))</f>
        <v>0</v>
      </c>
      <c r="L268" s="124" t="n">
        <f aca="false">J268*K268</f>
        <v>0</v>
      </c>
      <c r="M268" s="124" t="n">
        <f aca="false">SUM(J$97:J268)</f>
        <v>0</v>
      </c>
      <c r="N268" s="124" t="n">
        <f aca="false">SUM(J$6:J268)</f>
        <v>0</v>
      </c>
      <c r="P268" s="124" t="n">
        <f aca="false">D268/P$3</f>
        <v>0</v>
      </c>
      <c r="Q268" s="124" t="n">
        <f aca="false">E268/P$3</f>
        <v>4.45662681138384</v>
      </c>
      <c r="R268" s="124" t="n">
        <f aca="false">F268/R$3</f>
        <v>0</v>
      </c>
      <c r="S268" s="126" t="n">
        <f aca="false">J268/$R$3</f>
        <v>0</v>
      </c>
      <c r="T268" s="126" t="n">
        <f aca="false">L268/$R$3</f>
        <v>0</v>
      </c>
      <c r="U268" s="126" t="n">
        <f aca="false">I268/$R$3</f>
        <v>0</v>
      </c>
      <c r="V268" s="126" t="n">
        <f aca="false">M268/$R$3</f>
        <v>0</v>
      </c>
      <c r="W268" s="126" t="n">
        <f aca="false">N268/$R$3</f>
        <v>0</v>
      </c>
    </row>
    <row r="269" customFormat="false" ht="12.75" hidden="true" customHeight="false" outlineLevel="0" collapsed="false">
      <c r="A269" s="120" t="n">
        <f aca="false">A268+1</f>
        <v>37155</v>
      </c>
      <c r="B269" s="131" t="str">
        <f aca="false">INDEX('Master Data'!$A$2:$B$8,MATCH(WEEKDAY('SC Total Gas'!A269,3),'Master Data'!$A$2:$A$8,0),2)</f>
        <v>F</v>
      </c>
      <c r="D269" s="124" t="n">
        <v>0</v>
      </c>
      <c r="E269" s="124" t="n">
        <v>4462320.88235294</v>
      </c>
      <c r="F269" s="124" t="n">
        <v>0</v>
      </c>
      <c r="G269" s="124" t="n">
        <v>0</v>
      </c>
      <c r="I269" s="124" t="n">
        <f aca="false">IF(MONTH($A269)=MONTH($A268),IF(G269=0,I268,G269),G269)</f>
        <v>0</v>
      </c>
      <c r="J269" s="124" t="n">
        <f aca="false">IF(MONTH($A269)=MONTH($A268),SUM(I269-I268),I269)</f>
        <v>0</v>
      </c>
      <c r="K269" s="124" t="n">
        <f aca="false">IF(WEEKDAY(A269,3)&gt;4,0,(IF(A269&lt;K$2,0,IF(A269&lt;=K$3,1,0))))</f>
        <v>0</v>
      </c>
      <c r="L269" s="124" t="n">
        <f aca="false">J269*K269</f>
        <v>0</v>
      </c>
      <c r="M269" s="124" t="n">
        <f aca="false">SUM(J$97:J269)</f>
        <v>0</v>
      </c>
      <c r="N269" s="124" t="n">
        <f aca="false">SUM(J$6:J269)</f>
        <v>0</v>
      </c>
      <c r="P269" s="124" t="n">
        <f aca="false">D269/P$3</f>
        <v>0</v>
      </c>
      <c r="Q269" s="124" t="n">
        <f aca="false">E269/P$3</f>
        <v>4.46232088235294</v>
      </c>
      <c r="R269" s="124" t="n">
        <f aca="false">F269/R$3</f>
        <v>0</v>
      </c>
      <c r="S269" s="126" t="n">
        <f aca="false">J269/$R$3</f>
        <v>0</v>
      </c>
      <c r="T269" s="126" t="n">
        <f aca="false">L269/$R$3</f>
        <v>0</v>
      </c>
      <c r="U269" s="126" t="n">
        <f aca="false">I269/$R$3</f>
        <v>0</v>
      </c>
      <c r="V269" s="126" t="n">
        <f aca="false">M269/$R$3</f>
        <v>0</v>
      </c>
      <c r="W269" s="126" t="n">
        <f aca="false">N269/$R$3</f>
        <v>0</v>
      </c>
    </row>
    <row r="270" customFormat="false" ht="12.75" hidden="true" customHeight="false" outlineLevel="0" collapsed="false">
      <c r="A270" s="120" t="n">
        <f aca="false">A269+1</f>
        <v>37156</v>
      </c>
      <c r="B270" s="131" t="str">
        <f aca="false">INDEX('Master Data'!$A$2:$B$8,MATCH(WEEKDAY('SC Total Gas'!A270,3),'Master Data'!$A$2:$A$8,0),2)</f>
        <v>Sa</v>
      </c>
      <c r="D270" s="124" t="n">
        <v>0</v>
      </c>
      <c r="E270" s="124" t="n">
        <v>0</v>
      </c>
      <c r="F270" s="124" t="n">
        <v>0</v>
      </c>
      <c r="G270" s="124" t="n">
        <v>0</v>
      </c>
      <c r="I270" s="124" t="n">
        <f aca="false">IF(MONTH($A270)=MONTH($A269),IF(G270=0,I269,G270),G270)</f>
        <v>0</v>
      </c>
      <c r="J270" s="124" t="n">
        <f aca="false">IF(MONTH($A270)=MONTH($A269),SUM(I270-I269),I270)</f>
        <v>0</v>
      </c>
      <c r="K270" s="124" t="n">
        <f aca="false">IF(WEEKDAY(A270,3)&gt;4,0,(IF(A270&lt;K$2,0,IF(A270&lt;=K$3,1,0))))</f>
        <v>0</v>
      </c>
      <c r="L270" s="124" t="n">
        <f aca="false">J270*K270</f>
        <v>0</v>
      </c>
      <c r="M270" s="124" t="n">
        <f aca="false">SUM(J$97:J270)</f>
        <v>0</v>
      </c>
      <c r="N270" s="124" t="n">
        <f aca="false">SUM(J$6:J270)</f>
        <v>0</v>
      </c>
      <c r="P270" s="124" t="n">
        <f aca="false">D270/P$3</f>
        <v>0</v>
      </c>
      <c r="Q270" s="124" t="n">
        <f aca="false">E270/P$3</f>
        <v>0</v>
      </c>
      <c r="R270" s="124" t="n">
        <f aca="false">F270/R$3</f>
        <v>0</v>
      </c>
      <c r="S270" s="126" t="n">
        <f aca="false">J270/$R$3</f>
        <v>0</v>
      </c>
      <c r="T270" s="126" t="n">
        <f aca="false">L270/$R$3</f>
        <v>0</v>
      </c>
      <c r="U270" s="126" t="n">
        <f aca="false">I270/$R$3</f>
        <v>0</v>
      </c>
      <c r="V270" s="126" t="n">
        <f aca="false">M270/$R$3</f>
        <v>0</v>
      </c>
      <c r="W270" s="126" t="n">
        <f aca="false">N270/$R$3</f>
        <v>0</v>
      </c>
    </row>
    <row r="271" customFormat="false" ht="12.75" hidden="true" customHeight="false" outlineLevel="0" collapsed="false">
      <c r="A271" s="120" t="n">
        <f aca="false">A270+1</f>
        <v>37157</v>
      </c>
      <c r="B271" s="131" t="str">
        <f aca="false">INDEX('Master Data'!$A$2:$B$8,MATCH(WEEKDAY('SC Total Gas'!A271,3),'Master Data'!$A$2:$A$8,0),2)</f>
        <v>Su</v>
      </c>
      <c r="D271" s="124" t="n">
        <v>0</v>
      </c>
      <c r="E271" s="124" t="n">
        <v>0</v>
      </c>
      <c r="F271" s="124" t="n">
        <v>0</v>
      </c>
      <c r="G271" s="124" t="n">
        <v>0</v>
      </c>
      <c r="I271" s="124" t="n">
        <f aca="false">IF(MONTH($A271)=MONTH($A270),IF(G271=0,I270,G271),G271)</f>
        <v>0</v>
      </c>
      <c r="J271" s="124" t="n">
        <f aca="false">IF(MONTH($A271)=MONTH($A270),SUM(I271-I270),I271)</f>
        <v>0</v>
      </c>
      <c r="K271" s="124" t="n">
        <f aca="false">IF(WEEKDAY(A271,3)&gt;4,0,(IF(A271&lt;K$2,0,IF(A271&lt;=K$3,1,0))))</f>
        <v>0</v>
      </c>
      <c r="L271" s="124" t="n">
        <f aca="false">J271*K271</f>
        <v>0</v>
      </c>
      <c r="M271" s="124" t="n">
        <f aca="false">SUM(J$97:J271)</f>
        <v>0</v>
      </c>
      <c r="N271" s="124" t="n">
        <f aca="false">SUM(J$6:J271)</f>
        <v>0</v>
      </c>
      <c r="P271" s="124" t="n">
        <f aca="false">D271/P$3</f>
        <v>0</v>
      </c>
      <c r="Q271" s="124" t="n">
        <f aca="false">E271/P$3</f>
        <v>0</v>
      </c>
      <c r="R271" s="124" t="n">
        <f aca="false">F271/R$3</f>
        <v>0</v>
      </c>
      <c r="S271" s="126" t="n">
        <f aca="false">J271/$R$3</f>
        <v>0</v>
      </c>
      <c r="T271" s="126" t="n">
        <f aca="false">L271/$R$3</f>
        <v>0</v>
      </c>
      <c r="U271" s="126" t="n">
        <f aca="false">I271/$R$3</f>
        <v>0</v>
      </c>
      <c r="V271" s="126" t="n">
        <f aca="false">M271/$R$3</f>
        <v>0</v>
      </c>
      <c r="W271" s="126" t="n">
        <f aca="false">N271/$R$3</f>
        <v>0</v>
      </c>
    </row>
    <row r="272" customFormat="false" ht="12.75" hidden="true" customHeight="false" outlineLevel="0" collapsed="false">
      <c r="A272" s="120" t="n">
        <f aca="false">A271+1</f>
        <v>37158</v>
      </c>
      <c r="B272" s="131" t="str">
        <f aca="false">INDEX('Master Data'!$A$2:$B$8,MATCH(WEEKDAY('SC Total Gas'!A272,3),'Master Data'!$A$2:$A$8,0),2)</f>
        <v>M</v>
      </c>
      <c r="D272" s="124" t="n">
        <v>0</v>
      </c>
      <c r="E272" s="124" t="n">
        <v>4460817.42832416</v>
      </c>
      <c r="F272" s="124" t="n">
        <v>0</v>
      </c>
      <c r="G272" s="124" t="n">
        <v>0</v>
      </c>
      <c r="I272" s="124" t="n">
        <f aca="false">IF(MONTH($A272)=MONTH($A271),IF(G272=0,I271,G272),G272)</f>
        <v>0</v>
      </c>
      <c r="J272" s="124" t="n">
        <f aca="false">IF(MONTH($A272)=MONTH($A271),SUM(I272-I271),I272)</f>
        <v>0</v>
      </c>
      <c r="K272" s="124" t="n">
        <f aca="false">IF(WEEKDAY(A272,3)&gt;4,0,(IF(A272&lt;K$2,0,IF(A272&lt;=K$3,1,0))))</f>
        <v>0</v>
      </c>
      <c r="L272" s="124" t="n">
        <f aca="false">J272*K272</f>
        <v>0</v>
      </c>
      <c r="M272" s="124" t="n">
        <f aca="false">SUM(J$97:J272)</f>
        <v>0</v>
      </c>
      <c r="N272" s="124" t="n">
        <f aca="false">SUM(J$6:J272)</f>
        <v>0</v>
      </c>
      <c r="P272" s="124" t="n">
        <f aca="false">D272/P$3</f>
        <v>0</v>
      </c>
      <c r="Q272" s="124" t="n">
        <f aca="false">E272/P$3</f>
        <v>4.46081742832416</v>
      </c>
      <c r="R272" s="124" t="n">
        <f aca="false">F272/R$3</f>
        <v>0</v>
      </c>
      <c r="S272" s="126" t="n">
        <f aca="false">J272/$R$3</f>
        <v>0</v>
      </c>
      <c r="T272" s="126" t="n">
        <f aca="false">L272/$R$3</f>
        <v>0</v>
      </c>
      <c r="U272" s="126" t="n">
        <f aca="false">I272/$R$3</f>
        <v>0</v>
      </c>
      <c r="V272" s="126" t="n">
        <f aca="false">M272/$R$3</f>
        <v>0</v>
      </c>
      <c r="W272" s="126" t="n">
        <f aca="false">N272/$R$3</f>
        <v>0</v>
      </c>
    </row>
    <row r="273" customFormat="false" ht="12.75" hidden="true" customHeight="false" outlineLevel="0" collapsed="false">
      <c r="A273" s="120" t="n">
        <f aca="false">A272+1</f>
        <v>37159</v>
      </c>
      <c r="B273" s="131" t="str">
        <f aca="false">INDEX('Master Data'!$A$2:$B$8,MATCH(WEEKDAY('SC Total Gas'!A273,3),'Master Data'!$A$2:$A$8,0),2)</f>
        <v>T</v>
      </c>
      <c r="D273" s="124" t="n">
        <v>0</v>
      </c>
      <c r="E273" s="124" t="n">
        <v>4469877.83849086</v>
      </c>
      <c r="F273" s="124" t="n">
        <v>0</v>
      </c>
      <c r="G273" s="124" t="n">
        <v>0</v>
      </c>
      <c r="I273" s="124" t="n">
        <f aca="false">IF(MONTH($A273)=MONTH($A272),IF(G273=0,I272,G273),G273)</f>
        <v>0</v>
      </c>
      <c r="J273" s="124" t="n">
        <f aca="false">IF(MONTH($A273)=MONTH($A272),SUM(I273-I272),I273)</f>
        <v>0</v>
      </c>
      <c r="K273" s="124" t="n">
        <f aca="false">IF(WEEKDAY(A273,3)&gt;4,0,(IF(A273&lt;K$2,0,IF(A273&lt;=K$3,1,0))))</f>
        <v>0</v>
      </c>
      <c r="L273" s="124" t="n">
        <f aca="false">J273*K273</f>
        <v>0</v>
      </c>
      <c r="M273" s="124" t="n">
        <f aca="false">SUM(J$97:J273)</f>
        <v>0</v>
      </c>
      <c r="N273" s="124" t="n">
        <f aca="false">SUM(J$6:J273)</f>
        <v>0</v>
      </c>
      <c r="P273" s="124" t="n">
        <f aca="false">D273/P$3</f>
        <v>0</v>
      </c>
      <c r="Q273" s="124" t="n">
        <f aca="false">E273/P$3</f>
        <v>4.46987783849087</v>
      </c>
      <c r="R273" s="124" t="n">
        <f aca="false">F273/R$3</f>
        <v>0</v>
      </c>
      <c r="S273" s="126" t="n">
        <f aca="false">J273/$R$3</f>
        <v>0</v>
      </c>
      <c r="T273" s="126" t="n">
        <f aca="false">L273/$R$3</f>
        <v>0</v>
      </c>
      <c r="U273" s="126" t="n">
        <f aca="false">I273/$R$3</f>
        <v>0</v>
      </c>
      <c r="V273" s="126" t="n">
        <f aca="false">M273/$R$3</f>
        <v>0</v>
      </c>
      <c r="W273" s="126" t="n">
        <f aca="false">N273/$R$3</f>
        <v>0</v>
      </c>
    </row>
    <row r="274" customFormat="false" ht="12.75" hidden="true" customHeight="false" outlineLevel="0" collapsed="false">
      <c r="A274" s="120" t="n">
        <f aca="false">A273+1</f>
        <v>37160</v>
      </c>
      <c r="B274" s="131" t="str">
        <f aca="false">INDEX('Master Data'!$A$2:$B$8,MATCH(WEEKDAY('SC Total Gas'!A274,3),'Master Data'!$A$2:$A$8,0),2)</f>
        <v>W</v>
      </c>
      <c r="D274" s="124" t="n">
        <v>0</v>
      </c>
      <c r="E274" s="124" t="n">
        <v>4476892.29882309</v>
      </c>
      <c r="F274" s="124" t="n">
        <v>0</v>
      </c>
      <c r="G274" s="124" t="n">
        <v>0</v>
      </c>
      <c r="I274" s="124" t="n">
        <f aca="false">IF(MONTH($A274)=MONTH($A273),IF(G274=0,I273,G274),G274)</f>
        <v>0</v>
      </c>
      <c r="J274" s="124" t="n">
        <f aca="false">IF(MONTH($A274)=MONTH($A273),SUM(I274-I273),I274)</f>
        <v>0</v>
      </c>
      <c r="K274" s="124" t="n">
        <f aca="false">IF(WEEKDAY(A274,3)&gt;4,0,(IF(A274&lt;K$2,0,IF(A274&lt;=K$3,1,0))))</f>
        <v>0</v>
      </c>
      <c r="L274" s="124" t="n">
        <f aca="false">J274*K274</f>
        <v>0</v>
      </c>
      <c r="M274" s="124" t="n">
        <f aca="false">SUM(J$97:J274)</f>
        <v>0</v>
      </c>
      <c r="N274" s="124" t="n">
        <f aca="false">SUM(J$6:J274)</f>
        <v>0</v>
      </c>
      <c r="P274" s="124" t="n">
        <f aca="false">D274/P$3</f>
        <v>0</v>
      </c>
      <c r="Q274" s="124" t="n">
        <f aca="false">E274/P$3</f>
        <v>4.47689229882309</v>
      </c>
      <c r="R274" s="124" t="n">
        <f aca="false">F274/R$3</f>
        <v>0</v>
      </c>
      <c r="S274" s="126" t="n">
        <f aca="false">J274/$R$3</f>
        <v>0</v>
      </c>
      <c r="T274" s="126" t="n">
        <f aca="false">L274/$R$3</f>
        <v>0</v>
      </c>
      <c r="U274" s="126" t="n">
        <f aca="false">I274/$R$3</f>
        <v>0</v>
      </c>
      <c r="V274" s="126" t="n">
        <f aca="false">M274/$R$3</f>
        <v>0</v>
      </c>
      <c r="W274" s="126" t="n">
        <f aca="false">N274/$R$3</f>
        <v>0</v>
      </c>
    </row>
    <row r="275" customFormat="false" ht="12.75" hidden="true" customHeight="false" outlineLevel="0" collapsed="false">
      <c r="A275" s="120" t="n">
        <f aca="false">A274+1</f>
        <v>37161</v>
      </c>
      <c r="B275" s="131" t="str">
        <f aca="false">INDEX('Master Data'!$A$2:$B$8,MATCH(WEEKDAY('SC Total Gas'!A275,3),'Master Data'!$A$2:$A$8,0),2)</f>
        <v>Th</v>
      </c>
      <c r="D275" s="124" t="n">
        <v>0</v>
      </c>
      <c r="E275" s="124" t="n">
        <v>4485403.27025092</v>
      </c>
      <c r="F275" s="124" t="n">
        <v>0</v>
      </c>
      <c r="G275" s="124" t="n">
        <v>0</v>
      </c>
      <c r="I275" s="124" t="n">
        <f aca="false">IF(MONTH($A275)=MONTH($A274),IF(G275=0,I274,G275),G275)</f>
        <v>0</v>
      </c>
      <c r="J275" s="124" t="n">
        <f aca="false">IF(MONTH($A275)=MONTH($A274),SUM(I275-I274),I275)</f>
        <v>0</v>
      </c>
      <c r="K275" s="124" t="n">
        <f aca="false">IF(WEEKDAY(A275,3)&gt;4,0,(IF(A275&lt;K$2,0,IF(A275&lt;=K$3,1,0))))</f>
        <v>0</v>
      </c>
      <c r="L275" s="124" t="n">
        <f aca="false">J275*K275</f>
        <v>0</v>
      </c>
      <c r="M275" s="124" t="n">
        <f aca="false">SUM(J$97:J275)</f>
        <v>0</v>
      </c>
      <c r="N275" s="124" t="n">
        <f aca="false">SUM(J$6:J275)</f>
        <v>0</v>
      </c>
      <c r="P275" s="124" t="n">
        <f aca="false">D275/P$3</f>
        <v>0</v>
      </c>
      <c r="Q275" s="124" t="n">
        <f aca="false">E275/P$3</f>
        <v>4.48540327025092</v>
      </c>
      <c r="R275" s="124" t="n">
        <f aca="false">F275/R$3</f>
        <v>0</v>
      </c>
      <c r="S275" s="126" t="n">
        <f aca="false">J275/$R$3</f>
        <v>0</v>
      </c>
      <c r="T275" s="126" t="n">
        <f aca="false">L275/$R$3</f>
        <v>0</v>
      </c>
      <c r="U275" s="126" t="n">
        <f aca="false">I275/$R$3</f>
        <v>0</v>
      </c>
      <c r="V275" s="126" t="n">
        <f aca="false">M275/$R$3</f>
        <v>0</v>
      </c>
      <c r="W275" s="126" t="n">
        <f aca="false">N275/$R$3</f>
        <v>0</v>
      </c>
    </row>
    <row r="276" customFormat="false" ht="12.75" hidden="false" customHeight="false" outlineLevel="0" collapsed="false">
      <c r="A276" s="120" t="n">
        <f aca="false">A275+1</f>
        <v>37162</v>
      </c>
      <c r="B276" s="131" t="str">
        <f aca="false">INDEX('Master Data'!$A$2:$B$8,MATCH(WEEKDAY('SC Total Gas'!A276,3),'Master Data'!$A$2:$A$8,0),2)</f>
        <v>F</v>
      </c>
      <c r="D276" s="124" t="n">
        <v>0</v>
      </c>
      <c r="E276" s="124" t="n">
        <v>4477734.23116809</v>
      </c>
      <c r="F276" s="124" t="n">
        <v>0</v>
      </c>
      <c r="G276" s="124" t="n">
        <v>0</v>
      </c>
      <c r="I276" s="124" t="n">
        <f aca="false">IF(MONTH($A276)=MONTH($A275),IF(G276=0,I275,G276),G276)</f>
        <v>0</v>
      </c>
      <c r="J276" s="124" t="n">
        <f aca="false">IF(MONTH($A276)=MONTH($A275),SUM(I276-I275),I276)</f>
        <v>0</v>
      </c>
      <c r="K276" s="124" t="n">
        <f aca="false">IF(WEEKDAY(A276,3)&gt;4,0,(IF(A276&lt;K$2,0,IF(A276&lt;=K$3,1,0))))</f>
        <v>0</v>
      </c>
      <c r="L276" s="124" t="n">
        <f aca="false">J276*K276</f>
        <v>0</v>
      </c>
      <c r="M276" s="124" t="n">
        <f aca="false">SUM(J$97:J276)</f>
        <v>0</v>
      </c>
      <c r="N276" s="124" t="n">
        <f aca="false">SUM(J$6:J276)</f>
        <v>0</v>
      </c>
      <c r="P276" s="124" t="n">
        <f aca="false">D276/P$3</f>
        <v>0</v>
      </c>
      <c r="Q276" s="124" t="n">
        <f aca="false">E276/P$3</f>
        <v>4.47773423116809</v>
      </c>
      <c r="R276" s="124" t="n">
        <f aca="false">F276/R$3</f>
        <v>0</v>
      </c>
      <c r="S276" s="126" t="n">
        <f aca="false">J276/$R$3</f>
        <v>0</v>
      </c>
      <c r="T276" s="126" t="n">
        <f aca="false">L276/$R$3</f>
        <v>0</v>
      </c>
      <c r="U276" s="126" t="n">
        <f aca="false">I276/$R$3</f>
        <v>0</v>
      </c>
      <c r="V276" s="126" t="n">
        <f aca="false">M276/$R$3</f>
        <v>0</v>
      </c>
      <c r="W276" s="126" t="n">
        <f aca="false">N276/$R$3</f>
        <v>0</v>
      </c>
    </row>
    <row r="277" customFormat="false" ht="12.75" hidden="false" customHeight="false" outlineLevel="0" collapsed="false">
      <c r="A277" s="120" t="n">
        <f aca="false">A276+1</f>
        <v>37163</v>
      </c>
      <c r="B277" s="131" t="str">
        <f aca="false">INDEX('Master Data'!$A$2:$B$8,MATCH(WEEKDAY('SC Total Gas'!A277,3),'Master Data'!$A$2:$A$8,0),2)</f>
        <v>Sa</v>
      </c>
      <c r="D277" s="124" t="n">
        <v>0</v>
      </c>
      <c r="E277" s="124" t="n">
        <v>0</v>
      </c>
      <c r="F277" s="124" t="n">
        <v>0</v>
      </c>
      <c r="G277" s="124" t="n">
        <v>0</v>
      </c>
      <c r="I277" s="124" t="n">
        <f aca="false">IF(MONTH($A277)=MONTH($A276),IF(G277=0,I276,G277),G277)</f>
        <v>0</v>
      </c>
      <c r="J277" s="124" t="n">
        <f aca="false">IF(MONTH($A277)=MONTH($A276),SUM(I277-I276),I277)</f>
        <v>0</v>
      </c>
      <c r="K277" s="124" t="n">
        <f aca="false">IF(WEEKDAY(A277,3)&gt;4,0,(IF(A277&lt;K$2,0,IF(A277&lt;=K$3,1,0))))</f>
        <v>0</v>
      </c>
      <c r="L277" s="124" t="n">
        <f aca="false">J277*K277</f>
        <v>0</v>
      </c>
      <c r="M277" s="124" t="n">
        <f aca="false">SUM(J$97:J277)</f>
        <v>0</v>
      </c>
      <c r="N277" s="124" t="n">
        <f aca="false">SUM(J$6:J277)</f>
        <v>0</v>
      </c>
      <c r="P277" s="124" t="n">
        <f aca="false">D277/P$3</f>
        <v>0</v>
      </c>
      <c r="Q277" s="124" t="n">
        <f aca="false">E277/P$3</f>
        <v>0</v>
      </c>
      <c r="R277" s="124" t="n">
        <f aca="false">F277/R$3</f>
        <v>0</v>
      </c>
      <c r="S277" s="126" t="n">
        <f aca="false">J277/$R$3</f>
        <v>0</v>
      </c>
      <c r="T277" s="126" t="n">
        <f aca="false">L277/$R$3</f>
        <v>0</v>
      </c>
      <c r="U277" s="126" t="n">
        <f aca="false">I277/$R$3</f>
        <v>0</v>
      </c>
      <c r="V277" s="126" t="n">
        <f aca="false">M277/$R$3</f>
        <v>0</v>
      </c>
      <c r="W277" s="126" t="n">
        <f aca="false">N277/$R$3</f>
        <v>0</v>
      </c>
    </row>
    <row r="278" customFormat="false" ht="12.75" hidden="false" customHeight="false" outlineLevel="0" collapsed="false">
      <c r="A278" s="120" t="n">
        <f aca="false">A277+1</f>
        <v>37164</v>
      </c>
      <c r="B278" s="131" t="str">
        <f aca="false">INDEX('Master Data'!$A$2:$B$8,MATCH(WEEKDAY('SC Total Gas'!A278,3),'Master Data'!$A$2:$A$8,0),2)</f>
        <v>Su</v>
      </c>
      <c r="D278" s="124" t="n">
        <v>0</v>
      </c>
      <c r="E278" s="124" t="n">
        <v>0</v>
      </c>
      <c r="F278" s="124" t="n">
        <v>0</v>
      </c>
      <c r="G278" s="124" t="n">
        <v>0</v>
      </c>
      <c r="I278" s="124" t="n">
        <f aca="false">IF(MONTH($A278)=MONTH($A277),IF(G278=0,I277,G278),G278)</f>
        <v>0</v>
      </c>
      <c r="J278" s="124" t="n">
        <f aca="false">IF(MONTH($A278)=MONTH($A277),SUM(I278-I277),I278)</f>
        <v>0</v>
      </c>
      <c r="K278" s="124" t="n">
        <f aca="false">IF(WEEKDAY(A278,3)&gt;4,0,(IF(A278&lt;K$2,0,IF(A278&lt;=K$3,1,0))))</f>
        <v>0</v>
      </c>
      <c r="L278" s="124" t="n">
        <f aca="false">J278*K278</f>
        <v>0</v>
      </c>
      <c r="M278" s="124" t="n">
        <f aca="false">SUM(J$97:J278)</f>
        <v>0</v>
      </c>
      <c r="N278" s="124" t="n">
        <f aca="false">SUM(J$6:J278)</f>
        <v>0</v>
      </c>
      <c r="P278" s="124" t="n">
        <f aca="false">D278/P$3</f>
        <v>0</v>
      </c>
      <c r="Q278" s="124" t="n">
        <f aca="false">E278/P$3</f>
        <v>0</v>
      </c>
      <c r="R278" s="124" t="n">
        <f aca="false">F278/R$3</f>
        <v>0</v>
      </c>
      <c r="S278" s="126" t="n">
        <f aca="false">J278/$R$3</f>
        <v>0</v>
      </c>
      <c r="T278" s="126" t="n">
        <f aca="false">L278/$R$3</f>
        <v>0</v>
      </c>
      <c r="U278" s="126" t="n">
        <f aca="false">I278/$R$3</f>
        <v>0</v>
      </c>
      <c r="V278" s="126" t="n">
        <f aca="false">M278/$R$3</f>
        <v>0</v>
      </c>
      <c r="W278" s="126" t="n">
        <f aca="false">N278/$R$3</f>
        <v>0</v>
      </c>
    </row>
    <row r="279" customFormat="false" ht="12.75" hidden="true" customHeight="false" outlineLevel="0" collapsed="false">
      <c r="A279" s="120" t="n">
        <f aca="false">A278+1</f>
        <v>37165</v>
      </c>
      <c r="B279" s="131" t="str">
        <f aca="false">INDEX('Master Data'!$A$2:$B$8,MATCH(WEEKDAY('SC Total Gas'!A279,3),'Master Data'!$A$2:$A$8,0),2)</f>
        <v>M</v>
      </c>
      <c r="D279" s="124" t="n">
        <v>0</v>
      </c>
      <c r="E279" s="124" t="n">
        <v>4480175.36262885</v>
      </c>
      <c r="F279" s="124" t="n">
        <v>0</v>
      </c>
      <c r="G279" s="124" t="n">
        <v>0</v>
      </c>
      <c r="I279" s="124" t="n">
        <f aca="false">IF(MONTH($A279)=MONTH($A278),IF(G279=0,I278,G279),G279)</f>
        <v>0</v>
      </c>
      <c r="J279" s="124" t="n">
        <f aca="false">IF(MONTH($A279)=MONTH($A278),SUM(I279-I278),I279)</f>
        <v>0</v>
      </c>
      <c r="K279" s="124" t="n">
        <f aca="false">IF(WEEKDAY(A279,3)&gt;4,0,(IF(A279&lt;K$2,0,IF(A279&lt;=K$3,1,0))))</f>
        <v>0</v>
      </c>
      <c r="L279" s="124" t="n">
        <f aca="false">J279*K279</f>
        <v>0</v>
      </c>
      <c r="M279" s="124" t="n">
        <f aca="false">SUM(J$188:J279)</f>
        <v>0</v>
      </c>
      <c r="N279" s="124" t="n">
        <f aca="false">SUM(J$6:J279)</f>
        <v>0</v>
      </c>
      <c r="P279" s="124" t="n">
        <f aca="false">D279/P$3</f>
        <v>0</v>
      </c>
      <c r="Q279" s="124" t="n">
        <f aca="false">E279/P$3</f>
        <v>4.48017536262885</v>
      </c>
      <c r="R279" s="124" t="n">
        <f aca="false">F279/R$3</f>
        <v>0</v>
      </c>
      <c r="S279" s="126" t="n">
        <f aca="false">J279/$R$3</f>
        <v>0</v>
      </c>
      <c r="T279" s="126" t="n">
        <f aca="false">L279/$R$3</f>
        <v>0</v>
      </c>
      <c r="U279" s="126" t="n">
        <f aca="false">I279/$R$3</f>
        <v>0</v>
      </c>
      <c r="V279" s="126" t="n">
        <f aca="false">M279/$R$3</f>
        <v>0</v>
      </c>
      <c r="W279" s="126" t="n">
        <f aca="false">N279/$R$3</f>
        <v>0</v>
      </c>
    </row>
    <row r="280" customFormat="false" ht="12.75" hidden="true" customHeight="false" outlineLevel="0" collapsed="false">
      <c r="A280" s="120" t="n">
        <f aca="false">A279+1</f>
        <v>37166</v>
      </c>
      <c r="B280" s="131" t="str">
        <f aca="false">INDEX('Master Data'!$A$2:$B$8,MATCH(WEEKDAY('SC Total Gas'!A280,3),'Master Data'!$A$2:$A$8,0),2)</f>
        <v>T</v>
      </c>
      <c r="D280" s="124" t="n">
        <v>0</v>
      </c>
      <c r="E280" s="124" t="n">
        <v>4490398.31214594</v>
      </c>
      <c r="F280" s="124" t="n">
        <v>0</v>
      </c>
      <c r="G280" s="124" t="n">
        <v>0</v>
      </c>
      <c r="I280" s="124" t="n">
        <f aca="false">IF(MONTH($A280)=MONTH($A279),IF(G280=0,I279,G280),G280)</f>
        <v>0</v>
      </c>
      <c r="J280" s="124" t="n">
        <f aca="false">IF(MONTH($A280)=MONTH($A279),SUM(I280-I279),I280)</f>
        <v>0</v>
      </c>
      <c r="K280" s="124" t="n">
        <f aca="false">IF(WEEKDAY(A280,3)&gt;4,0,(IF(A280&lt;K$2,0,IF(A280&lt;=K$3,1,0))))</f>
        <v>0</v>
      </c>
      <c r="L280" s="124" t="n">
        <f aca="false">J280*K280</f>
        <v>0</v>
      </c>
      <c r="M280" s="124" t="n">
        <f aca="false">SUM(J$280:J280)</f>
        <v>0</v>
      </c>
      <c r="N280" s="124" t="n">
        <f aca="false">SUM(J$6:J280)</f>
        <v>0</v>
      </c>
      <c r="P280" s="124" t="n">
        <f aca="false">D280/P$3</f>
        <v>0</v>
      </c>
      <c r="Q280" s="124" t="n">
        <f aca="false">E280/P$3</f>
        <v>4.49039831214594</v>
      </c>
      <c r="R280" s="124" t="n">
        <f aca="false">F280/R$3</f>
        <v>0</v>
      </c>
      <c r="S280" s="126" t="n">
        <f aca="false">J280/$R$3</f>
        <v>0</v>
      </c>
      <c r="T280" s="126" t="n">
        <f aca="false">L280/$R$3</f>
        <v>0</v>
      </c>
      <c r="U280" s="126" t="n">
        <f aca="false">I280/$R$3</f>
        <v>0</v>
      </c>
      <c r="V280" s="126" t="n">
        <f aca="false">M280/$R$3</f>
        <v>0</v>
      </c>
      <c r="W280" s="126" t="n">
        <f aca="false">N280/$R$3</f>
        <v>0</v>
      </c>
    </row>
    <row r="281" customFormat="false" ht="12.75" hidden="true" customHeight="false" outlineLevel="0" collapsed="false">
      <c r="A281" s="120" t="n">
        <f aca="false">A280+1</f>
        <v>37167</v>
      </c>
      <c r="B281" s="131" t="str">
        <f aca="false">INDEX('Master Data'!$A$2:$B$8,MATCH(WEEKDAY('SC Total Gas'!A281,3),'Master Data'!$A$2:$A$8,0),2)</f>
        <v>W</v>
      </c>
      <c r="D281" s="124" t="n">
        <v>0</v>
      </c>
      <c r="E281" s="124" t="n">
        <v>4491585.10473386</v>
      </c>
      <c r="F281" s="124" t="n">
        <v>0</v>
      </c>
      <c r="G281" s="124" t="n">
        <v>0</v>
      </c>
      <c r="I281" s="124" t="n">
        <f aca="false">IF(MONTH($A281)=MONTH($A280),IF(G281=0,I280,G281),G281)</f>
        <v>0</v>
      </c>
      <c r="J281" s="124" t="n">
        <f aca="false">IF(MONTH($A281)=MONTH($A280),SUM(I281-I280),I281)</f>
        <v>0</v>
      </c>
      <c r="K281" s="124" t="n">
        <f aca="false">IF(WEEKDAY(A281,3)&gt;4,0,(IF(A281&lt;K$2,0,IF(A281&lt;=K$3,1,0))))</f>
        <v>0</v>
      </c>
      <c r="L281" s="124" t="n">
        <f aca="false">J281*K281</f>
        <v>0</v>
      </c>
      <c r="M281" s="124" t="n">
        <f aca="false">SUM(J$280:J281)</f>
        <v>0</v>
      </c>
      <c r="N281" s="124" t="n">
        <f aca="false">SUM(J$6:J281)</f>
        <v>0</v>
      </c>
      <c r="P281" s="124" t="n">
        <f aca="false">D281/P$3</f>
        <v>0</v>
      </c>
      <c r="Q281" s="124" t="n">
        <f aca="false">E281/P$3</f>
        <v>4.49158510473386</v>
      </c>
      <c r="R281" s="124" t="n">
        <f aca="false">F281/R$3</f>
        <v>0</v>
      </c>
      <c r="S281" s="126" t="n">
        <f aca="false">J281/$R$3</f>
        <v>0</v>
      </c>
      <c r="T281" s="126" t="n">
        <f aca="false">L281/$R$3</f>
        <v>0</v>
      </c>
      <c r="U281" s="126" t="n">
        <f aca="false">I281/$R$3</f>
        <v>0</v>
      </c>
      <c r="V281" s="126" t="n">
        <f aca="false">M281/$R$3</f>
        <v>0</v>
      </c>
      <c r="W281" s="126" t="n">
        <f aca="false">N281/$R$3</f>
        <v>0</v>
      </c>
    </row>
    <row r="282" customFormat="false" ht="12.75" hidden="true" customHeight="false" outlineLevel="0" collapsed="false">
      <c r="A282" s="120" t="n">
        <f aca="false">A281+1</f>
        <v>37168</v>
      </c>
      <c r="B282" s="131" t="str">
        <f aca="false">INDEX('Master Data'!$A$2:$B$8,MATCH(WEEKDAY('SC Total Gas'!A282,3),'Master Data'!$A$2:$A$8,0),2)</f>
        <v>Th</v>
      </c>
      <c r="D282" s="124" t="n">
        <v>0</v>
      </c>
      <c r="E282" s="124" t="n">
        <v>4494388.43805981</v>
      </c>
      <c r="F282" s="124" t="n">
        <v>0</v>
      </c>
      <c r="G282" s="124" t="n">
        <v>0</v>
      </c>
      <c r="I282" s="124" t="n">
        <f aca="false">IF(MONTH($A282)=MONTH($A281),IF(G282=0,I281,G282),G282)</f>
        <v>0</v>
      </c>
      <c r="J282" s="124" t="n">
        <f aca="false">IF(MONTH($A282)=MONTH($A281),SUM(I282-I281),I282)</f>
        <v>0</v>
      </c>
      <c r="K282" s="124" t="n">
        <f aca="false">IF(WEEKDAY(A282,3)&gt;4,0,(IF(A282&lt;K$2,0,IF(A282&lt;=K$3,1,0))))</f>
        <v>0</v>
      </c>
      <c r="L282" s="124" t="n">
        <f aca="false">J282*K282</f>
        <v>0</v>
      </c>
      <c r="M282" s="124" t="n">
        <f aca="false">SUM(J$280:J282)</f>
        <v>0</v>
      </c>
      <c r="N282" s="124" t="n">
        <f aca="false">SUM(J$6:J282)</f>
        <v>0</v>
      </c>
      <c r="P282" s="124" t="n">
        <f aca="false">D282/P$3</f>
        <v>0</v>
      </c>
      <c r="Q282" s="124" t="n">
        <f aca="false">E282/P$3</f>
        <v>4.49438843805981</v>
      </c>
      <c r="R282" s="124" t="n">
        <f aca="false">F282/R$3</f>
        <v>0</v>
      </c>
      <c r="S282" s="126" t="n">
        <f aca="false">J282/$R$3</f>
        <v>0</v>
      </c>
      <c r="T282" s="126" t="n">
        <f aca="false">L282/$R$3</f>
        <v>0</v>
      </c>
      <c r="U282" s="126" t="n">
        <f aca="false">I282/$R$3</f>
        <v>0</v>
      </c>
      <c r="V282" s="126" t="n">
        <f aca="false">M282/$R$3</f>
        <v>0</v>
      </c>
      <c r="W282" s="126" t="n">
        <f aca="false">N282/$R$3</f>
        <v>0</v>
      </c>
    </row>
    <row r="283" customFormat="false" ht="12.75" hidden="true" customHeight="false" outlineLevel="0" collapsed="false">
      <c r="A283" s="120" t="n">
        <f aca="false">A282+1</f>
        <v>37169</v>
      </c>
      <c r="B283" s="131" t="str">
        <f aca="false">INDEX('Master Data'!$A$2:$B$8,MATCH(WEEKDAY('SC Total Gas'!A283,3),'Master Data'!$A$2:$A$8,0),2)</f>
        <v>F</v>
      </c>
      <c r="D283" s="124" t="n">
        <v>0</v>
      </c>
      <c r="E283" s="124" t="n">
        <v>4500936.51112883</v>
      </c>
      <c r="F283" s="124" t="n">
        <v>0</v>
      </c>
      <c r="G283" s="124" t="n">
        <v>0</v>
      </c>
      <c r="I283" s="124" t="n">
        <f aca="false">IF(MONTH($A283)=MONTH($A282),IF(G283=0,I282,G283),G283)</f>
        <v>0</v>
      </c>
      <c r="J283" s="124" t="n">
        <f aca="false">IF(MONTH($A283)=MONTH($A282),SUM(I283-I282),I283)</f>
        <v>0</v>
      </c>
      <c r="K283" s="124" t="n">
        <f aca="false">IF(WEEKDAY(A283,3)&gt;4,0,(IF(A283&lt;K$2,0,IF(A283&lt;=K$3,1,0))))</f>
        <v>0</v>
      </c>
      <c r="L283" s="124" t="n">
        <f aca="false">J283*K283</f>
        <v>0</v>
      </c>
      <c r="M283" s="124" t="n">
        <f aca="false">SUM(J$280:J283)</f>
        <v>0</v>
      </c>
      <c r="N283" s="124" t="n">
        <f aca="false">SUM(J$6:J283)</f>
        <v>0</v>
      </c>
      <c r="P283" s="124" t="n">
        <f aca="false">D283/P$3</f>
        <v>0</v>
      </c>
      <c r="Q283" s="124" t="n">
        <f aca="false">E283/P$3</f>
        <v>4.50093651112883</v>
      </c>
      <c r="R283" s="124" t="n">
        <f aca="false">F283/R$3</f>
        <v>0</v>
      </c>
      <c r="S283" s="126" t="n">
        <f aca="false">J283/$R$3</f>
        <v>0</v>
      </c>
      <c r="T283" s="126" t="n">
        <f aca="false">L283/$R$3</f>
        <v>0</v>
      </c>
      <c r="U283" s="126" t="n">
        <f aca="false">I283/$R$3</f>
        <v>0</v>
      </c>
      <c r="V283" s="126" t="n">
        <f aca="false">M283/$R$3</f>
        <v>0</v>
      </c>
      <c r="W283" s="126" t="n">
        <f aca="false">N283/$R$3</f>
        <v>0</v>
      </c>
    </row>
    <row r="284" customFormat="false" ht="12.75" hidden="true" customHeight="false" outlineLevel="0" collapsed="false">
      <c r="A284" s="120" t="n">
        <f aca="false">A283+1</f>
        <v>37170</v>
      </c>
      <c r="B284" s="131" t="str">
        <f aca="false">INDEX('Master Data'!$A$2:$B$8,MATCH(WEEKDAY('SC Total Gas'!A284,3),'Master Data'!$A$2:$A$8,0),2)</f>
        <v>Sa</v>
      </c>
      <c r="D284" s="124" t="n">
        <v>0</v>
      </c>
      <c r="E284" s="124" t="n">
        <v>0</v>
      </c>
      <c r="F284" s="124" t="n">
        <v>0</v>
      </c>
      <c r="G284" s="124" t="n">
        <v>0</v>
      </c>
      <c r="I284" s="124" t="n">
        <f aca="false">IF(MONTH($A284)=MONTH($A283),IF(G284=0,I283,G284),G284)</f>
        <v>0</v>
      </c>
      <c r="J284" s="124" t="n">
        <f aca="false">IF(MONTH($A284)=MONTH($A283),SUM(I284-I283),I284)</f>
        <v>0</v>
      </c>
      <c r="K284" s="124" t="n">
        <f aca="false">IF(WEEKDAY(A284,3)&gt;4,0,(IF(A284&lt;K$2,0,IF(A284&lt;=K$3,1,0))))</f>
        <v>0</v>
      </c>
      <c r="L284" s="124" t="n">
        <f aca="false">J284*K284</f>
        <v>0</v>
      </c>
      <c r="M284" s="124" t="n">
        <f aca="false">SUM(J$280:J284)</f>
        <v>0</v>
      </c>
      <c r="N284" s="124" t="n">
        <f aca="false">SUM(J$6:J284)</f>
        <v>0</v>
      </c>
      <c r="P284" s="124" t="n">
        <f aca="false">D284/P$3</f>
        <v>0</v>
      </c>
      <c r="Q284" s="124" t="n">
        <f aca="false">E284/P$3</f>
        <v>0</v>
      </c>
      <c r="R284" s="124" t="n">
        <f aca="false">F284/R$3</f>
        <v>0</v>
      </c>
      <c r="S284" s="126" t="n">
        <f aca="false">J284/$R$3</f>
        <v>0</v>
      </c>
      <c r="T284" s="126" t="n">
        <f aca="false">L284/$R$3</f>
        <v>0</v>
      </c>
      <c r="U284" s="126" t="n">
        <f aca="false">I284/$R$3</f>
        <v>0</v>
      </c>
      <c r="V284" s="126" t="n">
        <f aca="false">M284/$R$3</f>
        <v>0</v>
      </c>
      <c r="W284" s="126" t="n">
        <f aca="false">N284/$R$3</f>
        <v>0</v>
      </c>
    </row>
    <row r="285" customFormat="false" ht="12.75" hidden="true" customHeight="false" outlineLevel="0" collapsed="false">
      <c r="A285" s="120" t="n">
        <f aca="false">A284+1</f>
        <v>37171</v>
      </c>
      <c r="B285" s="131" t="str">
        <f aca="false">INDEX('Master Data'!$A$2:$B$8,MATCH(WEEKDAY('SC Total Gas'!A285,3),'Master Data'!$A$2:$A$8,0),2)</f>
        <v>Su</v>
      </c>
      <c r="D285" s="124" t="n">
        <v>0</v>
      </c>
      <c r="E285" s="124" t="n">
        <v>0</v>
      </c>
      <c r="F285" s="124" t="n">
        <v>0</v>
      </c>
      <c r="G285" s="124" t="n">
        <v>0</v>
      </c>
      <c r="I285" s="124" t="n">
        <f aca="false">IF(MONTH($A285)=MONTH($A284),IF(G285=0,I284,G285),G285)</f>
        <v>0</v>
      </c>
      <c r="J285" s="124" t="n">
        <f aca="false">IF(MONTH($A285)=MONTH($A284),SUM(I285-I284),I285)</f>
        <v>0</v>
      </c>
      <c r="K285" s="124" t="n">
        <f aca="false">IF(WEEKDAY(A285,3)&gt;4,0,(IF(A285&lt;K$2,0,IF(A285&lt;=K$3,1,0))))</f>
        <v>0</v>
      </c>
      <c r="L285" s="124" t="n">
        <f aca="false">J285*K285</f>
        <v>0</v>
      </c>
      <c r="M285" s="124" t="n">
        <f aca="false">SUM(J$280:J285)</f>
        <v>0</v>
      </c>
      <c r="N285" s="124" t="n">
        <f aca="false">SUM(J$6:J285)</f>
        <v>0</v>
      </c>
      <c r="P285" s="124" t="n">
        <f aca="false">D285/P$3</f>
        <v>0</v>
      </c>
      <c r="Q285" s="124" t="n">
        <f aca="false">E285/P$3</f>
        <v>0</v>
      </c>
      <c r="R285" s="124" t="n">
        <f aca="false">F285/R$3</f>
        <v>0</v>
      </c>
      <c r="S285" s="126" t="n">
        <f aca="false">J285/$R$3</f>
        <v>0</v>
      </c>
      <c r="T285" s="126" t="n">
        <f aca="false">L285/$R$3</f>
        <v>0</v>
      </c>
      <c r="U285" s="126" t="n">
        <f aca="false">I285/$R$3</f>
        <v>0</v>
      </c>
      <c r="V285" s="126" t="n">
        <f aca="false">M285/$R$3</f>
        <v>0</v>
      </c>
      <c r="W285" s="126" t="n">
        <f aca="false">N285/$R$3</f>
        <v>0</v>
      </c>
    </row>
    <row r="286" customFormat="false" ht="12.75" hidden="true" customHeight="false" outlineLevel="0" collapsed="false">
      <c r="A286" s="120" t="n">
        <f aca="false">A285+1</f>
        <v>37172</v>
      </c>
      <c r="B286" s="131" t="str">
        <f aca="false">INDEX('Master Data'!$A$2:$B$8,MATCH(WEEKDAY('SC Total Gas'!A286,3),'Master Data'!$A$2:$A$8,0),2)</f>
        <v>M</v>
      </c>
      <c r="D286" s="124" t="n">
        <v>0</v>
      </c>
      <c r="E286" s="124" t="n">
        <v>4501870.21822168</v>
      </c>
      <c r="F286" s="124" t="n">
        <v>0</v>
      </c>
      <c r="G286" s="124" t="n">
        <v>0</v>
      </c>
      <c r="I286" s="124" t="n">
        <f aca="false">IF(MONTH($A286)=MONTH($A285),IF(G286=0,I285,G286),G286)</f>
        <v>0</v>
      </c>
      <c r="J286" s="124" t="n">
        <f aca="false">IF(MONTH($A286)=MONTH($A285),SUM(I286-I285),I286)</f>
        <v>0</v>
      </c>
      <c r="K286" s="124" t="n">
        <f aca="false">IF(WEEKDAY(A286,3)&gt;4,0,(IF(A286&lt;K$2,0,IF(A286&lt;=K$3,1,0))))</f>
        <v>0</v>
      </c>
      <c r="L286" s="124" t="n">
        <f aca="false">J286*K286</f>
        <v>0</v>
      </c>
      <c r="M286" s="124" t="n">
        <f aca="false">SUM(J$280:J286)</f>
        <v>0</v>
      </c>
      <c r="N286" s="124" t="n">
        <f aca="false">SUM(J$6:J286)</f>
        <v>0</v>
      </c>
      <c r="P286" s="124" t="n">
        <f aca="false">D286/P$3</f>
        <v>0</v>
      </c>
      <c r="Q286" s="124" t="n">
        <f aca="false">E286/P$3</f>
        <v>4.50187021822168</v>
      </c>
      <c r="R286" s="124" t="n">
        <f aca="false">F286/R$3</f>
        <v>0</v>
      </c>
      <c r="S286" s="126" t="n">
        <f aca="false">J286/$R$3</f>
        <v>0</v>
      </c>
      <c r="T286" s="126" t="n">
        <f aca="false">L286/$R$3</f>
        <v>0</v>
      </c>
      <c r="U286" s="126" t="n">
        <f aca="false">I286/$R$3</f>
        <v>0</v>
      </c>
      <c r="V286" s="126" t="n">
        <f aca="false">M286/$R$3</f>
        <v>0</v>
      </c>
      <c r="W286" s="126" t="n">
        <f aca="false">N286/$R$3</f>
        <v>0</v>
      </c>
    </row>
    <row r="287" customFormat="false" ht="12.75" hidden="true" customHeight="false" outlineLevel="0" collapsed="false">
      <c r="A287" s="120" t="n">
        <f aca="false">A286+1</f>
        <v>37173</v>
      </c>
      <c r="B287" s="131" t="str">
        <f aca="false">INDEX('Master Data'!$A$2:$B$8,MATCH(WEEKDAY('SC Total Gas'!A287,3),'Master Data'!$A$2:$A$8,0),2)</f>
        <v>T</v>
      </c>
      <c r="D287" s="124" t="n">
        <v>0</v>
      </c>
      <c r="E287" s="124" t="n">
        <v>4497811.90156959</v>
      </c>
      <c r="F287" s="124" t="n">
        <v>0</v>
      </c>
      <c r="G287" s="124" t="n">
        <v>0</v>
      </c>
      <c r="I287" s="124" t="n">
        <f aca="false">IF(MONTH($A287)=MONTH($A286),IF(G287=0,I286,G287),G287)</f>
        <v>0</v>
      </c>
      <c r="J287" s="124" t="n">
        <f aca="false">IF(MONTH($A287)=MONTH($A286),SUM(I287-I286),I287)</f>
        <v>0</v>
      </c>
      <c r="K287" s="124" t="n">
        <f aca="false">IF(WEEKDAY(A287,3)&gt;4,0,(IF(A287&lt;K$2,0,IF(A287&lt;=K$3,1,0))))</f>
        <v>0</v>
      </c>
      <c r="L287" s="124" t="n">
        <f aca="false">J287*K287</f>
        <v>0</v>
      </c>
      <c r="M287" s="124" t="n">
        <f aca="false">SUM(J$280:J287)</f>
        <v>0</v>
      </c>
      <c r="N287" s="124" t="n">
        <f aca="false">SUM(J$6:J287)</f>
        <v>0</v>
      </c>
      <c r="P287" s="124" t="n">
        <f aca="false">D287/P$3</f>
        <v>0</v>
      </c>
      <c r="Q287" s="124" t="n">
        <f aca="false">E287/P$3</f>
        <v>4.49781190156959</v>
      </c>
      <c r="R287" s="124" t="n">
        <f aca="false">F287/R$3</f>
        <v>0</v>
      </c>
      <c r="S287" s="126" t="n">
        <f aca="false">J287/$R$3</f>
        <v>0</v>
      </c>
      <c r="T287" s="126" t="n">
        <f aca="false">L287/$R$3</f>
        <v>0</v>
      </c>
      <c r="U287" s="126" t="n">
        <f aca="false">I287/$R$3</f>
        <v>0</v>
      </c>
      <c r="V287" s="126" t="n">
        <f aca="false">M287/$R$3</f>
        <v>0</v>
      </c>
      <c r="W287" s="126" t="n">
        <f aca="false">N287/$R$3</f>
        <v>0</v>
      </c>
    </row>
    <row r="288" customFormat="false" ht="12.75" hidden="true" customHeight="false" outlineLevel="0" collapsed="false">
      <c r="A288" s="120" t="n">
        <f aca="false">A287+1</f>
        <v>37174</v>
      </c>
      <c r="B288" s="131" t="str">
        <f aca="false">INDEX('Master Data'!$A$2:$B$8,MATCH(WEEKDAY('SC Total Gas'!A288,3),'Master Data'!$A$2:$A$8,0),2)</f>
        <v>W</v>
      </c>
      <c r="D288" s="124" t="n">
        <v>0</v>
      </c>
      <c r="E288" s="124" t="n">
        <v>4495948.92656931</v>
      </c>
      <c r="F288" s="124" t="n">
        <v>0</v>
      </c>
      <c r="G288" s="124" t="n">
        <v>0</v>
      </c>
      <c r="I288" s="124" t="n">
        <f aca="false">IF(MONTH($A288)=MONTH($A287),IF(G288=0,I287,G288),G288)</f>
        <v>0</v>
      </c>
      <c r="J288" s="124" t="n">
        <f aca="false">IF(MONTH($A288)=MONTH($A287),SUM(I288-I287),I288)</f>
        <v>0</v>
      </c>
      <c r="K288" s="124" t="n">
        <f aca="false">IF(WEEKDAY(A288,3)&gt;4,0,(IF(A288&lt;K$2,0,IF(A288&lt;=K$3,1,0))))</f>
        <v>0</v>
      </c>
      <c r="L288" s="124" t="n">
        <f aca="false">J288*K288</f>
        <v>0</v>
      </c>
      <c r="M288" s="124" t="n">
        <f aca="false">SUM(J$280:J288)</f>
        <v>0</v>
      </c>
      <c r="N288" s="124" t="n">
        <f aca="false">SUM(J$6:J288)</f>
        <v>0</v>
      </c>
      <c r="P288" s="124" t="n">
        <f aca="false">D288/P$3</f>
        <v>0</v>
      </c>
      <c r="Q288" s="124" t="n">
        <f aca="false">E288/P$3</f>
        <v>4.49594892656931</v>
      </c>
      <c r="R288" s="124" t="n">
        <f aca="false">F288/R$3</f>
        <v>0</v>
      </c>
      <c r="S288" s="126" t="n">
        <f aca="false">J288/$R$3</f>
        <v>0</v>
      </c>
      <c r="T288" s="126" t="n">
        <f aca="false">L288/$R$3</f>
        <v>0</v>
      </c>
      <c r="U288" s="126" t="n">
        <f aca="false">I288/$R$3</f>
        <v>0</v>
      </c>
      <c r="V288" s="126" t="n">
        <f aca="false">M288/$R$3</f>
        <v>0</v>
      </c>
      <c r="W288" s="126" t="n">
        <f aca="false">N288/$R$3</f>
        <v>0</v>
      </c>
    </row>
    <row r="289" customFormat="false" ht="12.75" hidden="true" customHeight="false" outlineLevel="0" collapsed="false">
      <c r="A289" s="120" t="n">
        <f aca="false">A288+1</f>
        <v>37175</v>
      </c>
      <c r="B289" s="131" t="str">
        <f aca="false">INDEX('Master Data'!$A$2:$B$8,MATCH(WEEKDAY('SC Total Gas'!A289,3),'Master Data'!$A$2:$A$8,0),2)</f>
        <v>Th</v>
      </c>
      <c r="D289" s="124" t="n">
        <v>0</v>
      </c>
      <c r="E289" s="124" t="n">
        <v>4481868.26824696</v>
      </c>
      <c r="F289" s="124" t="n">
        <v>0</v>
      </c>
      <c r="G289" s="124" t="n">
        <v>0</v>
      </c>
      <c r="I289" s="124" t="n">
        <f aca="false">IF(MONTH($A289)=MONTH($A288),IF(G289=0,I288,G289),G289)</f>
        <v>0</v>
      </c>
      <c r="J289" s="124" t="n">
        <f aca="false">IF(MONTH($A289)=MONTH($A288),SUM(I289-I288),I289)</f>
        <v>0</v>
      </c>
      <c r="K289" s="124" t="n">
        <f aca="false">IF(WEEKDAY(A289,3)&gt;4,0,(IF(A289&lt;K$2,0,IF(A289&lt;=K$3,1,0))))</f>
        <v>0</v>
      </c>
      <c r="L289" s="124" t="n">
        <f aca="false">J289*K289</f>
        <v>0</v>
      </c>
      <c r="M289" s="124" t="n">
        <f aca="false">SUM(J$280:J289)</f>
        <v>0</v>
      </c>
      <c r="N289" s="124" t="n">
        <f aca="false">SUM(J$6:J289)</f>
        <v>0</v>
      </c>
      <c r="P289" s="124" t="n">
        <f aca="false">D289/P$3</f>
        <v>0</v>
      </c>
      <c r="Q289" s="124" t="n">
        <f aca="false">E289/P$3</f>
        <v>4.48186826824696</v>
      </c>
      <c r="R289" s="124" t="n">
        <f aca="false">F289/R$3</f>
        <v>0</v>
      </c>
      <c r="S289" s="126" t="n">
        <f aca="false">J289/$R$3</f>
        <v>0</v>
      </c>
      <c r="T289" s="126" t="n">
        <f aca="false">L289/$R$3</f>
        <v>0</v>
      </c>
      <c r="U289" s="126" t="n">
        <f aca="false">I289/$R$3</f>
        <v>0</v>
      </c>
      <c r="V289" s="126" t="n">
        <f aca="false">M289/$R$3</f>
        <v>0</v>
      </c>
      <c r="W289" s="126" t="n">
        <f aca="false">N289/$R$3</f>
        <v>0</v>
      </c>
    </row>
    <row r="290" customFormat="false" ht="12.75" hidden="true" customHeight="false" outlineLevel="0" collapsed="false">
      <c r="A290" s="120" t="n">
        <f aca="false">A289+1</f>
        <v>37176</v>
      </c>
      <c r="B290" s="131" t="str">
        <f aca="false">INDEX('Master Data'!$A$2:$B$8,MATCH(WEEKDAY('SC Total Gas'!A290,3),'Master Data'!$A$2:$A$8,0),2)</f>
        <v>F</v>
      </c>
      <c r="D290" s="124" t="n">
        <v>0</v>
      </c>
      <c r="E290" s="124" t="n">
        <v>4486421.9337511</v>
      </c>
      <c r="F290" s="124" t="n">
        <v>0</v>
      </c>
      <c r="G290" s="124" t="n">
        <v>0</v>
      </c>
      <c r="I290" s="124" t="n">
        <f aca="false">IF(MONTH($A290)=MONTH($A289),IF(G290=0,I289,G290),G290)</f>
        <v>0</v>
      </c>
      <c r="J290" s="124" t="n">
        <f aca="false">IF(MONTH($A290)=MONTH($A289),SUM(I290-I289),I290)</f>
        <v>0</v>
      </c>
      <c r="K290" s="124" t="n">
        <f aca="false">IF(WEEKDAY(A290,3)&gt;4,0,(IF(A290&lt;K$2,0,IF(A290&lt;=K$3,1,0))))</f>
        <v>0</v>
      </c>
      <c r="L290" s="124" t="n">
        <f aca="false">J290*K290</f>
        <v>0</v>
      </c>
      <c r="M290" s="124" t="n">
        <f aca="false">SUM(J$280:J290)</f>
        <v>0</v>
      </c>
      <c r="N290" s="124" t="n">
        <f aca="false">SUM(J$6:J290)</f>
        <v>0</v>
      </c>
      <c r="P290" s="124" t="n">
        <f aca="false">D290/P$3</f>
        <v>0</v>
      </c>
      <c r="Q290" s="124" t="n">
        <f aca="false">E290/P$3</f>
        <v>4.4864219337511</v>
      </c>
      <c r="R290" s="124" t="n">
        <f aca="false">F290/R$3</f>
        <v>0</v>
      </c>
      <c r="S290" s="126" t="n">
        <f aca="false">J290/$R$3</f>
        <v>0</v>
      </c>
      <c r="T290" s="126" t="n">
        <f aca="false">L290/$R$3</f>
        <v>0</v>
      </c>
      <c r="U290" s="126" t="n">
        <f aca="false">I290/$R$3</f>
        <v>0</v>
      </c>
      <c r="V290" s="126" t="n">
        <f aca="false">M290/$R$3</f>
        <v>0</v>
      </c>
      <c r="W290" s="126" t="n">
        <f aca="false">N290/$R$3</f>
        <v>0</v>
      </c>
    </row>
    <row r="291" customFormat="false" ht="12.75" hidden="true" customHeight="false" outlineLevel="0" collapsed="false">
      <c r="A291" s="120" t="n">
        <f aca="false">A290+1</f>
        <v>37177</v>
      </c>
      <c r="B291" s="131" t="str">
        <f aca="false">INDEX('Master Data'!$A$2:$B$8,MATCH(WEEKDAY('SC Total Gas'!A291,3),'Master Data'!$A$2:$A$8,0),2)</f>
        <v>Sa</v>
      </c>
      <c r="D291" s="124" t="n">
        <v>0</v>
      </c>
      <c r="E291" s="124" t="n">
        <v>0</v>
      </c>
      <c r="F291" s="124" t="n">
        <v>0</v>
      </c>
      <c r="G291" s="124" t="n">
        <v>0</v>
      </c>
      <c r="I291" s="124" t="n">
        <f aca="false">IF(MONTH($A291)=MONTH($A290),IF(G291=0,I290,G291),G291)</f>
        <v>0</v>
      </c>
      <c r="J291" s="124" t="n">
        <f aca="false">IF(MONTH($A291)=MONTH($A290),SUM(I291-I290),I291)</f>
        <v>0</v>
      </c>
      <c r="K291" s="124" t="n">
        <f aca="false">IF(WEEKDAY(A291,3)&gt;4,0,(IF(A291&lt;K$2,0,IF(A291&lt;=K$3,1,0))))</f>
        <v>0</v>
      </c>
      <c r="L291" s="124" t="n">
        <f aca="false">J291*K291</f>
        <v>0</v>
      </c>
      <c r="M291" s="124" t="n">
        <f aca="false">SUM(J$280:J291)</f>
        <v>0</v>
      </c>
      <c r="N291" s="124" t="n">
        <f aca="false">SUM(J$6:J291)</f>
        <v>0</v>
      </c>
      <c r="P291" s="124" t="n">
        <f aca="false">D291/P$3</f>
        <v>0</v>
      </c>
      <c r="Q291" s="124" t="n">
        <f aca="false">E291/P$3</f>
        <v>0</v>
      </c>
      <c r="R291" s="124" t="n">
        <f aca="false">F291/R$3</f>
        <v>0</v>
      </c>
      <c r="S291" s="126" t="n">
        <f aca="false">J291/$R$3</f>
        <v>0</v>
      </c>
      <c r="T291" s="126" t="n">
        <f aca="false">L291/$R$3</f>
        <v>0</v>
      </c>
      <c r="U291" s="126" t="n">
        <f aca="false">I291/$R$3</f>
        <v>0</v>
      </c>
      <c r="V291" s="126" t="n">
        <f aca="false">M291/$R$3</f>
        <v>0</v>
      </c>
      <c r="W291" s="126" t="n">
        <f aca="false">N291/$R$3</f>
        <v>0</v>
      </c>
    </row>
    <row r="292" customFormat="false" ht="12.75" hidden="true" customHeight="false" outlineLevel="0" collapsed="false">
      <c r="A292" s="120" t="n">
        <f aca="false">A291+1</f>
        <v>37178</v>
      </c>
      <c r="B292" s="131" t="str">
        <f aca="false">INDEX('Master Data'!$A$2:$B$8,MATCH(WEEKDAY('SC Total Gas'!A292,3),'Master Data'!$A$2:$A$8,0),2)</f>
        <v>Su</v>
      </c>
      <c r="D292" s="124" t="n">
        <v>0</v>
      </c>
      <c r="E292" s="124" t="n">
        <v>0</v>
      </c>
      <c r="F292" s="124" t="n">
        <v>0</v>
      </c>
      <c r="G292" s="124" t="n">
        <v>0</v>
      </c>
      <c r="I292" s="124" t="n">
        <f aca="false">IF(MONTH($A292)=MONTH($A291),IF(G292=0,I291,G292),G292)</f>
        <v>0</v>
      </c>
      <c r="J292" s="124" t="n">
        <f aca="false">IF(MONTH($A292)=MONTH($A291),SUM(I292-I291),I292)</f>
        <v>0</v>
      </c>
      <c r="K292" s="124" t="n">
        <f aca="false">IF(WEEKDAY(A292,3)&gt;4,0,(IF(A292&lt;K$2,0,IF(A292&lt;=K$3,1,0))))</f>
        <v>0</v>
      </c>
      <c r="L292" s="124" t="n">
        <f aca="false">J292*K292</f>
        <v>0</v>
      </c>
      <c r="M292" s="124" t="n">
        <f aca="false">SUM(J$280:J292)</f>
        <v>0</v>
      </c>
      <c r="N292" s="124" t="n">
        <f aca="false">SUM(J$6:J292)</f>
        <v>0</v>
      </c>
      <c r="P292" s="124" t="n">
        <f aca="false">D292/P$3</f>
        <v>0</v>
      </c>
      <c r="Q292" s="124" t="n">
        <f aca="false">E292/P$3</f>
        <v>0</v>
      </c>
      <c r="R292" s="124" t="n">
        <f aca="false">F292/R$3</f>
        <v>0</v>
      </c>
      <c r="S292" s="126" t="n">
        <f aca="false">J292/$R$3</f>
        <v>0</v>
      </c>
      <c r="T292" s="126" t="n">
        <f aca="false">L292/$R$3</f>
        <v>0</v>
      </c>
      <c r="U292" s="126" t="n">
        <f aca="false">I292/$R$3</f>
        <v>0</v>
      </c>
      <c r="V292" s="126" t="n">
        <f aca="false">M292/$R$3</f>
        <v>0</v>
      </c>
      <c r="W292" s="126" t="n">
        <f aca="false">N292/$R$3</f>
        <v>0</v>
      </c>
    </row>
    <row r="293" customFormat="false" ht="12.75" hidden="true" customHeight="false" outlineLevel="0" collapsed="false">
      <c r="A293" s="120" t="n">
        <f aca="false">A292+1</f>
        <v>37179</v>
      </c>
      <c r="B293" s="131" t="str">
        <f aca="false">INDEX('Master Data'!$A$2:$B$8,MATCH(WEEKDAY('SC Total Gas'!A293,3),'Master Data'!$A$2:$A$8,0),2)</f>
        <v>M</v>
      </c>
      <c r="D293" s="124" t="n">
        <v>0</v>
      </c>
      <c r="E293" s="124" t="n">
        <v>4494851.40500364</v>
      </c>
      <c r="F293" s="124" t="n">
        <v>0</v>
      </c>
      <c r="G293" s="124" t="n">
        <v>0</v>
      </c>
      <c r="I293" s="124" t="n">
        <f aca="false">IF(MONTH($A293)=MONTH($A292),IF(G293=0,I292,G293),G293)</f>
        <v>0</v>
      </c>
      <c r="J293" s="124" t="n">
        <f aca="false">IF(MONTH($A293)=MONTH($A292),SUM(I293-I292),I293)</f>
        <v>0</v>
      </c>
      <c r="K293" s="124" t="n">
        <f aca="false">IF(WEEKDAY(A293,3)&gt;4,0,(IF(A293&lt;K$2,0,IF(A293&lt;=K$3,1,0))))</f>
        <v>0</v>
      </c>
      <c r="L293" s="124" t="n">
        <f aca="false">J293*K293</f>
        <v>0</v>
      </c>
      <c r="M293" s="124" t="n">
        <f aca="false">SUM(J$280:J293)</f>
        <v>0</v>
      </c>
      <c r="N293" s="124" t="n">
        <f aca="false">SUM(J$6:J293)</f>
        <v>0</v>
      </c>
      <c r="P293" s="124" t="n">
        <f aca="false">D293/P$3</f>
        <v>0</v>
      </c>
      <c r="Q293" s="124" t="n">
        <f aca="false">E293/P$3</f>
        <v>4.49485140500364</v>
      </c>
      <c r="R293" s="124" t="n">
        <f aca="false">F293/R$3</f>
        <v>0</v>
      </c>
      <c r="S293" s="126" t="n">
        <f aca="false">J293/$R$3</f>
        <v>0</v>
      </c>
      <c r="T293" s="126" t="n">
        <f aca="false">L293/$R$3</f>
        <v>0</v>
      </c>
      <c r="U293" s="126" t="n">
        <f aca="false">I293/$R$3</f>
        <v>0</v>
      </c>
      <c r="V293" s="126" t="n">
        <f aca="false">M293/$R$3</f>
        <v>0</v>
      </c>
      <c r="W293" s="126" t="n">
        <f aca="false">N293/$R$3</f>
        <v>0</v>
      </c>
    </row>
    <row r="294" customFormat="false" ht="12.75" hidden="true" customHeight="false" outlineLevel="0" collapsed="false">
      <c r="A294" s="120" t="n">
        <f aca="false">A293+1</f>
        <v>37180</v>
      </c>
      <c r="B294" s="131" t="str">
        <f aca="false">INDEX('Master Data'!$A$2:$B$8,MATCH(WEEKDAY('SC Total Gas'!A294,3),'Master Data'!$A$2:$A$8,0),2)</f>
        <v>T</v>
      </c>
      <c r="D294" s="124" t="n">
        <v>0</v>
      </c>
      <c r="E294" s="124" t="n">
        <v>4497265.84158723</v>
      </c>
      <c r="F294" s="124" t="n">
        <v>0</v>
      </c>
      <c r="G294" s="124" t="n">
        <v>0</v>
      </c>
      <c r="I294" s="124" t="n">
        <f aca="false">IF(MONTH($A294)=MONTH($A293),IF(G294=0,I293,G294),G294)</f>
        <v>0</v>
      </c>
      <c r="J294" s="124" t="n">
        <f aca="false">IF(MONTH($A294)=MONTH($A293),SUM(I294-I293),I294)</f>
        <v>0</v>
      </c>
      <c r="K294" s="124" t="n">
        <f aca="false">IF(WEEKDAY(A294,3)&gt;4,0,(IF(A294&lt;K$2,0,IF(A294&lt;=K$3,1,0))))</f>
        <v>0</v>
      </c>
      <c r="L294" s="124" t="n">
        <f aca="false">J294*K294</f>
        <v>0</v>
      </c>
      <c r="M294" s="124" t="n">
        <f aca="false">SUM(J$280:J294)</f>
        <v>0</v>
      </c>
      <c r="N294" s="124" t="n">
        <f aca="false">SUM(J$6:J294)</f>
        <v>0</v>
      </c>
      <c r="P294" s="124" t="n">
        <f aca="false">D294/P$3</f>
        <v>0</v>
      </c>
      <c r="Q294" s="124" t="n">
        <f aca="false">E294/P$3</f>
        <v>4.49726584158723</v>
      </c>
      <c r="R294" s="124" t="n">
        <f aca="false">F294/R$3</f>
        <v>0</v>
      </c>
      <c r="S294" s="126" t="n">
        <f aca="false">J294/$R$3</f>
        <v>0</v>
      </c>
      <c r="T294" s="126" t="n">
        <f aca="false">L294/$R$3</f>
        <v>0</v>
      </c>
      <c r="U294" s="126" t="n">
        <f aca="false">I294/$R$3</f>
        <v>0</v>
      </c>
      <c r="V294" s="126" t="n">
        <f aca="false">M294/$R$3</f>
        <v>0</v>
      </c>
      <c r="W294" s="126" t="n">
        <f aca="false">N294/$R$3</f>
        <v>0</v>
      </c>
    </row>
    <row r="295" customFormat="false" ht="12.75" hidden="true" customHeight="false" outlineLevel="0" collapsed="false">
      <c r="A295" s="120" t="n">
        <f aca="false">A294+1</f>
        <v>37181</v>
      </c>
      <c r="B295" s="131" t="str">
        <f aca="false">INDEX('Master Data'!$A$2:$B$8,MATCH(WEEKDAY('SC Total Gas'!A295,3),'Master Data'!$A$2:$A$8,0),2)</f>
        <v>W</v>
      </c>
      <c r="D295" s="124" t="n">
        <v>0</v>
      </c>
      <c r="E295" s="124" t="n">
        <v>4496320.08037998</v>
      </c>
      <c r="F295" s="124" t="n">
        <v>0</v>
      </c>
      <c r="G295" s="124" t="n">
        <v>0</v>
      </c>
      <c r="I295" s="124" t="n">
        <f aca="false">IF(MONTH($A295)=MONTH($A294),IF(G295=0,I294,G295),G295)</f>
        <v>0</v>
      </c>
      <c r="J295" s="124" t="n">
        <f aca="false">IF(MONTH($A295)=MONTH($A294),SUM(I295-I294),I295)</f>
        <v>0</v>
      </c>
      <c r="K295" s="124" t="n">
        <f aca="false">IF(WEEKDAY(A295,3)&gt;4,0,(IF(A295&lt;K$2,0,IF(A295&lt;=K$3,1,0))))</f>
        <v>0</v>
      </c>
      <c r="L295" s="124" t="n">
        <f aca="false">J295*K295</f>
        <v>0</v>
      </c>
      <c r="M295" s="124" t="n">
        <f aca="false">SUM(J$280:J295)</f>
        <v>0</v>
      </c>
      <c r="N295" s="124" t="n">
        <f aca="false">SUM(J$6:J295)</f>
        <v>0</v>
      </c>
      <c r="P295" s="124" t="n">
        <f aca="false">D295/P$3</f>
        <v>0</v>
      </c>
      <c r="Q295" s="124" t="n">
        <f aca="false">E295/P$3</f>
        <v>4.49632008037998</v>
      </c>
      <c r="R295" s="124" t="n">
        <f aca="false">F295/R$3</f>
        <v>0</v>
      </c>
      <c r="S295" s="126" t="n">
        <f aca="false">J295/$R$3</f>
        <v>0</v>
      </c>
      <c r="T295" s="126" t="n">
        <f aca="false">L295/$R$3</f>
        <v>0</v>
      </c>
      <c r="U295" s="126" t="n">
        <f aca="false">I295/$R$3</f>
        <v>0</v>
      </c>
      <c r="V295" s="126" t="n">
        <f aca="false">M295/$R$3</f>
        <v>0</v>
      </c>
      <c r="W295" s="126" t="n">
        <f aca="false">N295/$R$3</f>
        <v>0</v>
      </c>
    </row>
    <row r="296" customFormat="false" ht="12.75" hidden="true" customHeight="false" outlineLevel="0" collapsed="false">
      <c r="A296" s="120" t="n">
        <f aca="false">A295+1</f>
        <v>37182</v>
      </c>
      <c r="B296" s="131" t="str">
        <f aca="false">INDEX('Master Data'!$A$2:$B$8,MATCH(WEEKDAY('SC Total Gas'!A296,3),'Master Data'!$A$2:$A$8,0),2)</f>
        <v>Th</v>
      </c>
      <c r="D296" s="124" t="n">
        <v>0</v>
      </c>
      <c r="E296" s="124" t="n">
        <v>4503511.26998889</v>
      </c>
      <c r="F296" s="124" t="n">
        <v>0</v>
      </c>
      <c r="G296" s="124" t="n">
        <v>0</v>
      </c>
      <c r="I296" s="124" t="n">
        <f aca="false">IF(MONTH($A296)=MONTH($A295),IF(G296=0,I295,G296),G296)</f>
        <v>0</v>
      </c>
      <c r="J296" s="124" t="n">
        <f aca="false">IF(MONTH($A296)=MONTH($A295),SUM(I296-I295),I296)</f>
        <v>0</v>
      </c>
      <c r="K296" s="124" t="n">
        <f aca="false">IF(WEEKDAY(A296,3)&gt;4,0,(IF(A296&lt;K$2,0,IF(A296&lt;=K$3,1,0))))</f>
        <v>0</v>
      </c>
      <c r="L296" s="124" t="n">
        <f aca="false">J296*K296</f>
        <v>0</v>
      </c>
      <c r="M296" s="124" t="n">
        <f aca="false">SUM(J$280:J296)</f>
        <v>0</v>
      </c>
      <c r="N296" s="124" t="n">
        <f aca="false">SUM(J$6:J296)</f>
        <v>0</v>
      </c>
      <c r="P296" s="124" t="n">
        <f aca="false">D296/P$3</f>
        <v>0</v>
      </c>
      <c r="Q296" s="124" t="n">
        <f aca="false">E296/P$3</f>
        <v>4.50351126998889</v>
      </c>
      <c r="R296" s="124" t="n">
        <f aca="false">F296/R$3</f>
        <v>0</v>
      </c>
      <c r="S296" s="126" t="n">
        <f aca="false">J296/$R$3</f>
        <v>0</v>
      </c>
      <c r="T296" s="126" t="n">
        <f aca="false">L296/$R$3</f>
        <v>0</v>
      </c>
      <c r="U296" s="126" t="n">
        <f aca="false">I296/$R$3</f>
        <v>0</v>
      </c>
      <c r="V296" s="126" t="n">
        <f aca="false">M296/$R$3</f>
        <v>0</v>
      </c>
      <c r="W296" s="126" t="n">
        <f aca="false">N296/$R$3</f>
        <v>0</v>
      </c>
    </row>
    <row r="297" customFormat="false" ht="12.75" hidden="true" customHeight="false" outlineLevel="0" collapsed="false">
      <c r="A297" s="120" t="n">
        <f aca="false">A296+1</f>
        <v>37183</v>
      </c>
      <c r="B297" s="131" t="str">
        <f aca="false">INDEX('Master Data'!$A$2:$B$8,MATCH(WEEKDAY('SC Total Gas'!A297,3),'Master Data'!$A$2:$A$8,0),2)</f>
        <v>F</v>
      </c>
      <c r="D297" s="124" t="n">
        <v>0</v>
      </c>
      <c r="E297" s="124" t="n">
        <v>4503068.28979233</v>
      </c>
      <c r="F297" s="124" t="n">
        <v>0</v>
      </c>
      <c r="G297" s="124" t="n">
        <v>0</v>
      </c>
      <c r="I297" s="124" t="n">
        <f aca="false">IF(MONTH($A297)=MONTH($A296),IF(G297=0,I296,G297),G297)</f>
        <v>0</v>
      </c>
      <c r="J297" s="124" t="n">
        <f aca="false">IF(MONTH($A297)=MONTH($A296),SUM(I297-I296),I297)</f>
        <v>0</v>
      </c>
      <c r="K297" s="124" t="n">
        <f aca="false">IF(WEEKDAY(A297,3)&gt;4,0,(IF(A297&lt;K$2,0,IF(A297&lt;=K$3,1,0))))</f>
        <v>0</v>
      </c>
      <c r="L297" s="124" t="n">
        <f aca="false">J297*K297</f>
        <v>0</v>
      </c>
      <c r="M297" s="124" t="n">
        <f aca="false">SUM(J$280:J297)</f>
        <v>0</v>
      </c>
      <c r="N297" s="124" t="n">
        <f aca="false">SUM(J$6:J297)</f>
        <v>0</v>
      </c>
      <c r="P297" s="124" t="n">
        <f aca="false">D297/P$3</f>
        <v>0</v>
      </c>
      <c r="Q297" s="124" t="n">
        <f aca="false">E297/P$3</f>
        <v>4.50306828979233</v>
      </c>
      <c r="R297" s="124" t="n">
        <f aca="false">F297/R$3</f>
        <v>0</v>
      </c>
      <c r="S297" s="126" t="n">
        <f aca="false">J297/$R$3</f>
        <v>0</v>
      </c>
      <c r="T297" s="126" t="n">
        <f aca="false">L297/$R$3</f>
        <v>0</v>
      </c>
      <c r="U297" s="126" t="n">
        <f aca="false">I297/$R$3</f>
        <v>0</v>
      </c>
      <c r="V297" s="126" t="n">
        <f aca="false">M297/$R$3</f>
        <v>0</v>
      </c>
      <c r="W297" s="126" t="n">
        <f aca="false">N297/$R$3</f>
        <v>0</v>
      </c>
    </row>
    <row r="298" customFormat="false" ht="12.75" hidden="true" customHeight="false" outlineLevel="0" collapsed="false">
      <c r="A298" s="120" t="n">
        <f aca="false">A297+1</f>
        <v>37184</v>
      </c>
      <c r="B298" s="131" t="str">
        <f aca="false">INDEX('Master Data'!$A$2:$B$8,MATCH(WEEKDAY('SC Total Gas'!A298,3),'Master Data'!$A$2:$A$8,0),2)</f>
        <v>Sa</v>
      </c>
      <c r="D298" s="124" t="n">
        <v>0</v>
      </c>
      <c r="E298" s="124" t="n">
        <v>0</v>
      </c>
      <c r="F298" s="124" t="n">
        <v>0</v>
      </c>
      <c r="G298" s="124" t="n">
        <v>0</v>
      </c>
      <c r="I298" s="124" t="n">
        <f aca="false">IF(MONTH($A298)=MONTH($A297),IF(G298=0,I297,G298),G298)</f>
        <v>0</v>
      </c>
      <c r="J298" s="124" t="n">
        <f aca="false">IF(MONTH($A298)=MONTH($A297),SUM(I298-I297),I298)</f>
        <v>0</v>
      </c>
      <c r="K298" s="124" t="n">
        <f aca="false">IF(WEEKDAY(A298,3)&gt;4,0,(IF(A298&lt;K$2,0,IF(A298&lt;=K$3,1,0))))</f>
        <v>0</v>
      </c>
      <c r="L298" s="124" t="n">
        <f aca="false">J298*K298</f>
        <v>0</v>
      </c>
      <c r="M298" s="124" t="n">
        <f aca="false">SUM(J$280:J298)</f>
        <v>0</v>
      </c>
      <c r="N298" s="124" t="n">
        <f aca="false">SUM(J$6:J298)</f>
        <v>0</v>
      </c>
      <c r="P298" s="124" t="n">
        <f aca="false">D298/P$3</f>
        <v>0</v>
      </c>
      <c r="Q298" s="124" t="n">
        <f aca="false">E298/P$3</f>
        <v>0</v>
      </c>
      <c r="R298" s="124" t="n">
        <f aca="false">F298/R$3</f>
        <v>0</v>
      </c>
      <c r="S298" s="126" t="n">
        <f aca="false">J298/$R$3</f>
        <v>0</v>
      </c>
      <c r="T298" s="126" t="n">
        <f aca="false">L298/$R$3</f>
        <v>0</v>
      </c>
      <c r="U298" s="126" t="n">
        <f aca="false">I298/$R$3</f>
        <v>0</v>
      </c>
      <c r="V298" s="126" t="n">
        <f aca="false">M298/$R$3</f>
        <v>0</v>
      </c>
      <c r="W298" s="126" t="n">
        <f aca="false">N298/$R$3</f>
        <v>0</v>
      </c>
    </row>
    <row r="299" customFormat="false" ht="12.75" hidden="true" customHeight="false" outlineLevel="0" collapsed="false">
      <c r="A299" s="120" t="n">
        <f aca="false">A298+1</f>
        <v>37185</v>
      </c>
      <c r="B299" s="131" t="str">
        <f aca="false">INDEX('Master Data'!$A$2:$B$8,MATCH(WEEKDAY('SC Total Gas'!A299,3),'Master Data'!$A$2:$A$8,0),2)</f>
        <v>Su</v>
      </c>
      <c r="D299" s="124" t="n">
        <v>0</v>
      </c>
      <c r="E299" s="124" t="n">
        <v>0</v>
      </c>
      <c r="F299" s="124" t="n">
        <v>0</v>
      </c>
      <c r="G299" s="124" t="n">
        <v>0</v>
      </c>
      <c r="I299" s="124" t="n">
        <f aca="false">IF(MONTH($A299)=MONTH($A298),IF(G299=0,I298,G299),G299)</f>
        <v>0</v>
      </c>
      <c r="J299" s="124" t="n">
        <f aca="false">IF(MONTH($A299)=MONTH($A298),SUM(I299-I298),I299)</f>
        <v>0</v>
      </c>
      <c r="K299" s="124" t="n">
        <f aca="false">IF(WEEKDAY(A299,3)&gt;4,0,(IF(A299&lt;K$2,0,IF(A299&lt;=K$3,1,0))))</f>
        <v>0</v>
      </c>
      <c r="L299" s="124" t="n">
        <f aca="false">J299*K299</f>
        <v>0</v>
      </c>
      <c r="M299" s="124" t="n">
        <f aca="false">SUM(J$280:J299)</f>
        <v>0</v>
      </c>
      <c r="N299" s="124" t="n">
        <f aca="false">SUM(J$6:J299)</f>
        <v>0</v>
      </c>
      <c r="P299" s="124" t="n">
        <f aca="false">D299/P$3</f>
        <v>0</v>
      </c>
      <c r="Q299" s="124" t="n">
        <f aca="false">E299/P$3</f>
        <v>0</v>
      </c>
      <c r="R299" s="124" t="n">
        <f aca="false">F299/R$3</f>
        <v>0</v>
      </c>
      <c r="S299" s="126" t="n">
        <f aca="false">J299/$R$3</f>
        <v>0</v>
      </c>
      <c r="T299" s="126" t="n">
        <f aca="false">L299/$R$3</f>
        <v>0</v>
      </c>
      <c r="U299" s="126" t="n">
        <f aca="false">I299/$R$3</f>
        <v>0</v>
      </c>
      <c r="V299" s="126" t="n">
        <f aca="false">M299/$R$3</f>
        <v>0</v>
      </c>
      <c r="W299" s="126" t="n">
        <f aca="false">N299/$R$3</f>
        <v>0</v>
      </c>
    </row>
    <row r="300" customFormat="false" ht="12.75" hidden="true" customHeight="false" outlineLevel="0" collapsed="false">
      <c r="A300" s="120" t="n">
        <f aca="false">A299+1</f>
        <v>37186</v>
      </c>
      <c r="B300" s="131" t="str">
        <f aca="false">INDEX('Master Data'!$A$2:$B$8,MATCH(WEEKDAY('SC Total Gas'!A300,3),'Master Data'!$A$2:$A$8,0),2)</f>
        <v>M</v>
      </c>
      <c r="D300" s="124" t="n">
        <v>0</v>
      </c>
      <c r="E300" s="124" t="n">
        <v>4502636.15339733</v>
      </c>
      <c r="F300" s="124" t="n">
        <v>0</v>
      </c>
      <c r="G300" s="124" t="n">
        <v>0</v>
      </c>
      <c r="I300" s="124" t="n">
        <f aca="false">IF(MONTH($A300)=MONTH($A299),IF(G300=0,I299,G300),G300)</f>
        <v>0</v>
      </c>
      <c r="J300" s="124" t="n">
        <f aca="false">IF(MONTH($A300)=MONTH($A299),SUM(I300-I299),I300)</f>
        <v>0</v>
      </c>
      <c r="K300" s="124" t="n">
        <f aca="false">IF(WEEKDAY(A300,3)&gt;4,0,(IF(A300&lt;K$2,0,IF(A300&lt;=K$3,1,0))))</f>
        <v>0</v>
      </c>
      <c r="L300" s="124" t="n">
        <f aca="false">J300*K300</f>
        <v>0</v>
      </c>
      <c r="M300" s="124" t="n">
        <f aca="false">SUM(J$280:J300)</f>
        <v>0</v>
      </c>
      <c r="N300" s="124" t="n">
        <f aca="false">SUM(J$6:J300)</f>
        <v>0</v>
      </c>
      <c r="P300" s="124" t="n">
        <f aca="false">D300/P$3</f>
        <v>0</v>
      </c>
      <c r="Q300" s="124" t="n">
        <f aca="false">E300/P$3</f>
        <v>4.50263615339733</v>
      </c>
      <c r="R300" s="124" t="n">
        <f aca="false">F300/R$3</f>
        <v>0</v>
      </c>
      <c r="S300" s="126" t="n">
        <f aca="false">J300/$R$3</f>
        <v>0</v>
      </c>
      <c r="T300" s="126" t="n">
        <f aca="false">L300/$R$3</f>
        <v>0</v>
      </c>
      <c r="U300" s="126" t="n">
        <f aca="false">I300/$R$3</f>
        <v>0</v>
      </c>
      <c r="V300" s="126" t="n">
        <f aca="false">M300/$R$3</f>
        <v>0</v>
      </c>
      <c r="W300" s="126" t="n">
        <f aca="false">N300/$R$3</f>
        <v>0</v>
      </c>
    </row>
    <row r="301" customFormat="false" ht="12.75" hidden="true" customHeight="false" outlineLevel="0" collapsed="false">
      <c r="A301" s="120" t="n">
        <f aca="false">A300+1</f>
        <v>37187</v>
      </c>
      <c r="B301" s="131" t="str">
        <f aca="false">INDEX('Master Data'!$A$2:$B$8,MATCH(WEEKDAY('SC Total Gas'!A301,3),'Master Data'!$A$2:$A$8,0),2)</f>
        <v>T</v>
      </c>
      <c r="D301" s="124" t="n">
        <v>0</v>
      </c>
      <c r="E301" s="124" t="n">
        <v>4501863.47622738</v>
      </c>
      <c r="F301" s="124" t="n">
        <v>0</v>
      </c>
      <c r="G301" s="124" t="n">
        <v>0</v>
      </c>
      <c r="I301" s="124" t="n">
        <f aca="false">IF(MONTH($A301)=MONTH($A300),IF(G301=0,I300,G301),G301)</f>
        <v>0</v>
      </c>
      <c r="J301" s="124" t="n">
        <f aca="false">IF(MONTH($A301)=MONTH($A300),SUM(I301-I300),I301)</f>
        <v>0</v>
      </c>
      <c r="K301" s="124" t="n">
        <f aca="false">IF(WEEKDAY(A301,3)&gt;4,0,(IF(A301&lt;K$2,0,IF(A301&lt;=K$3,1,0))))</f>
        <v>0</v>
      </c>
      <c r="L301" s="124" t="n">
        <f aca="false">J301*K301</f>
        <v>0</v>
      </c>
      <c r="M301" s="124" t="n">
        <f aca="false">SUM(J$280:J301)</f>
        <v>0</v>
      </c>
      <c r="N301" s="124" t="n">
        <f aca="false">SUM(J$6:J301)</f>
        <v>0</v>
      </c>
      <c r="P301" s="124" t="n">
        <f aca="false">D301/P$3</f>
        <v>0</v>
      </c>
      <c r="Q301" s="124" t="n">
        <f aca="false">E301/P$3</f>
        <v>4.50186347622738</v>
      </c>
      <c r="R301" s="124" t="n">
        <f aca="false">F301/R$3</f>
        <v>0</v>
      </c>
      <c r="S301" s="126" t="n">
        <f aca="false">J301/$R$3</f>
        <v>0</v>
      </c>
      <c r="T301" s="126" t="n">
        <f aca="false">L301/$R$3</f>
        <v>0</v>
      </c>
      <c r="U301" s="126" t="n">
        <f aca="false">I301/$R$3</f>
        <v>0</v>
      </c>
      <c r="V301" s="126" t="n">
        <f aca="false">M301/$R$3</f>
        <v>0</v>
      </c>
      <c r="W301" s="126" t="n">
        <f aca="false">N301/$R$3</f>
        <v>0</v>
      </c>
    </row>
    <row r="302" customFormat="false" ht="12.75" hidden="true" customHeight="false" outlineLevel="0" collapsed="false">
      <c r="A302" s="120" t="n">
        <f aca="false">A301+1</f>
        <v>37188</v>
      </c>
      <c r="B302" s="131" t="str">
        <f aca="false">INDEX('Master Data'!$A$2:$B$8,MATCH(WEEKDAY('SC Total Gas'!A302,3),'Master Data'!$A$2:$A$8,0),2)</f>
        <v>W</v>
      </c>
      <c r="D302" s="124" t="n">
        <v>0</v>
      </c>
      <c r="E302" s="124" t="n">
        <v>4501863.47622738</v>
      </c>
      <c r="F302" s="124" t="n">
        <v>0</v>
      </c>
      <c r="G302" s="124" t="n">
        <v>0</v>
      </c>
      <c r="I302" s="124" t="n">
        <f aca="false">IF(MONTH($A302)=MONTH($A301),IF(G302=0,I301,G302),G302)</f>
        <v>0</v>
      </c>
      <c r="J302" s="124" t="n">
        <f aca="false">IF(MONTH($A302)=MONTH($A301),SUM(I302-I301),I302)</f>
        <v>0</v>
      </c>
      <c r="K302" s="124" t="n">
        <f aca="false">IF(WEEKDAY(A302,3)&gt;4,0,(IF(A302&lt;K$2,0,IF(A302&lt;=K$3,1,0))))</f>
        <v>0</v>
      </c>
      <c r="L302" s="124" t="n">
        <f aca="false">J302*K302</f>
        <v>0</v>
      </c>
      <c r="M302" s="124" t="n">
        <f aca="false">SUM(J$280:J302)</f>
        <v>0</v>
      </c>
      <c r="N302" s="124" t="n">
        <f aca="false">SUM(J$6:J302)</f>
        <v>0</v>
      </c>
      <c r="P302" s="124" t="n">
        <f aca="false">D302/P$3</f>
        <v>0</v>
      </c>
      <c r="Q302" s="124" t="n">
        <f aca="false">E302/P$3</f>
        <v>4.50186347622738</v>
      </c>
      <c r="R302" s="124" t="n">
        <f aca="false">F302/R$3</f>
        <v>0</v>
      </c>
      <c r="S302" s="126" t="n">
        <f aca="false">J302/$R$3</f>
        <v>0</v>
      </c>
      <c r="T302" s="126" t="n">
        <f aca="false">L302/$R$3</f>
        <v>0</v>
      </c>
      <c r="U302" s="126" t="n">
        <f aca="false">I302/$R$3</f>
        <v>0</v>
      </c>
      <c r="V302" s="126" t="n">
        <f aca="false">M302/$R$3</f>
        <v>0</v>
      </c>
      <c r="W302" s="126" t="n">
        <f aca="false">N302/$R$3</f>
        <v>0</v>
      </c>
    </row>
    <row r="303" customFormat="false" ht="12.75" hidden="true" customHeight="false" outlineLevel="0" collapsed="false">
      <c r="A303" s="120" t="n">
        <f aca="false">A302+1</f>
        <v>37189</v>
      </c>
      <c r="B303" s="131" t="str">
        <f aca="false">INDEX('Master Data'!$A$2:$B$8,MATCH(WEEKDAY('SC Total Gas'!A303,3),'Master Data'!$A$2:$A$8,0),2)</f>
        <v>Th</v>
      </c>
      <c r="D303" s="124" t="n">
        <v>0</v>
      </c>
      <c r="E303" s="124" t="n">
        <v>4522235.33606433</v>
      </c>
      <c r="F303" s="124" t="n">
        <v>0</v>
      </c>
      <c r="G303" s="124" t="n">
        <v>0</v>
      </c>
      <c r="I303" s="124" t="n">
        <f aca="false">IF(MONTH($A303)=MONTH($A302),IF(G303=0,I302,G303),G303)</f>
        <v>0</v>
      </c>
      <c r="J303" s="124" t="n">
        <f aca="false">IF(MONTH($A303)=MONTH($A302),SUM(I303-I302),I303)</f>
        <v>0</v>
      </c>
      <c r="K303" s="124" t="n">
        <f aca="false">IF(WEEKDAY(A303,3)&gt;4,0,(IF(A303&lt;K$2,0,IF(A303&lt;=K$3,1,0))))</f>
        <v>0</v>
      </c>
      <c r="L303" s="124" t="n">
        <f aca="false">J303*K303</f>
        <v>0</v>
      </c>
      <c r="M303" s="124" t="n">
        <f aca="false">SUM(J$280:J303)</f>
        <v>0</v>
      </c>
      <c r="N303" s="124" t="n">
        <f aca="false">SUM(J$6:J303)</f>
        <v>0</v>
      </c>
      <c r="P303" s="124" t="n">
        <f aca="false">D303/P$3</f>
        <v>0</v>
      </c>
      <c r="Q303" s="124" t="n">
        <f aca="false">E303/P$3</f>
        <v>4.52223533606433</v>
      </c>
      <c r="R303" s="124" t="n">
        <f aca="false">F303/R$3</f>
        <v>0</v>
      </c>
      <c r="S303" s="126" t="n">
        <f aca="false">J303/$R$3</f>
        <v>0</v>
      </c>
      <c r="T303" s="126" t="n">
        <f aca="false">L303/$R$3</f>
        <v>0</v>
      </c>
      <c r="U303" s="126" t="n">
        <f aca="false">I303/$R$3</f>
        <v>0</v>
      </c>
      <c r="V303" s="126" t="n">
        <f aca="false">M303/$R$3</f>
        <v>0</v>
      </c>
      <c r="W303" s="126" t="n">
        <f aca="false">N303/$R$3</f>
        <v>0</v>
      </c>
    </row>
    <row r="304" customFormat="false" ht="12.75" hidden="false" customHeight="false" outlineLevel="0" collapsed="false">
      <c r="A304" s="120" t="n">
        <f aca="false">A303+1</f>
        <v>37190</v>
      </c>
      <c r="B304" s="131" t="str">
        <f aca="false">INDEX('Master Data'!$A$2:$B$8,MATCH(WEEKDAY('SC Total Gas'!A304,3),'Master Data'!$A$2:$A$8,0),2)</f>
        <v>F</v>
      </c>
      <c r="D304" s="124" t="n">
        <v>0</v>
      </c>
      <c r="E304" s="124" t="n">
        <v>4522655.00359828</v>
      </c>
      <c r="F304" s="124" t="n">
        <v>0</v>
      </c>
      <c r="G304" s="124" t="n">
        <v>0</v>
      </c>
      <c r="I304" s="124" t="n">
        <f aca="false">IF(MONTH($A304)=MONTH($A303),IF(G304=0,I303,G304),G304)</f>
        <v>0</v>
      </c>
      <c r="J304" s="124" t="n">
        <f aca="false">IF(MONTH($A304)=MONTH($A303),SUM(I304-I303),I304)</f>
        <v>0</v>
      </c>
      <c r="K304" s="124" t="n">
        <f aca="false">IF(WEEKDAY(A304,3)&gt;4,0,(IF(A304&lt;K$2,0,IF(A304&lt;=K$3,1,0))))</f>
        <v>1</v>
      </c>
      <c r="L304" s="124" t="n">
        <f aca="false">J304*K304</f>
        <v>0</v>
      </c>
      <c r="M304" s="124" t="n">
        <f aca="false">SUM(J$280:J304)</f>
        <v>0</v>
      </c>
      <c r="N304" s="124" t="n">
        <f aca="false">SUM(J$6:J304)</f>
        <v>0</v>
      </c>
      <c r="P304" s="124" t="n">
        <f aca="false">D304/P$3</f>
        <v>0</v>
      </c>
      <c r="Q304" s="124" t="n">
        <f aca="false">E304/P$3</f>
        <v>4.52265500359828</v>
      </c>
      <c r="R304" s="124" t="n">
        <f aca="false">F304/R$3</f>
        <v>0</v>
      </c>
      <c r="S304" s="126" t="n">
        <f aca="false">J304/$R$3</f>
        <v>0</v>
      </c>
      <c r="T304" s="126" t="n">
        <f aca="false">L304/$R$3</f>
        <v>0</v>
      </c>
      <c r="U304" s="126" t="n">
        <f aca="false">I304/$R$3</f>
        <v>0</v>
      </c>
      <c r="V304" s="126" t="n">
        <f aca="false">M304/$R$3</f>
        <v>0</v>
      </c>
      <c r="W304" s="126" t="n">
        <f aca="false">N304/$R$3</f>
        <v>0</v>
      </c>
    </row>
    <row r="305" customFormat="false" ht="12.75" hidden="false" customHeight="false" outlineLevel="0" collapsed="false">
      <c r="A305" s="120" t="n">
        <f aca="false">A304+1</f>
        <v>37191</v>
      </c>
      <c r="B305" s="131" t="str">
        <f aca="false">INDEX('Master Data'!$A$2:$B$8,MATCH(WEEKDAY('SC Total Gas'!A305,3),'Master Data'!$A$2:$A$8,0),2)</f>
        <v>Sa</v>
      </c>
      <c r="D305" s="124" t="n">
        <v>0</v>
      </c>
      <c r="E305" s="124" t="n">
        <v>0</v>
      </c>
      <c r="F305" s="124" t="n">
        <v>0</v>
      </c>
      <c r="G305" s="124" t="n">
        <v>0</v>
      </c>
      <c r="I305" s="124" t="n">
        <f aca="false">IF(MONTH($A305)=MONTH($A304),IF(G305=0,I304,G305),G305)</f>
        <v>0</v>
      </c>
      <c r="J305" s="124" t="n">
        <f aca="false">IF(MONTH($A305)=MONTH($A304),SUM(I305-I304),I305)</f>
        <v>0</v>
      </c>
      <c r="K305" s="124" t="n">
        <f aca="false">IF(WEEKDAY(A305,3)&gt;4,0,(IF(A305&lt;K$2,0,IF(A305&lt;=K$3,1,0))))</f>
        <v>0</v>
      </c>
      <c r="L305" s="124" t="n">
        <f aca="false">J305*K305</f>
        <v>0</v>
      </c>
      <c r="M305" s="124" t="n">
        <f aca="false">SUM(J$280:J305)</f>
        <v>0</v>
      </c>
      <c r="N305" s="124" t="n">
        <f aca="false">SUM(J$6:J305)</f>
        <v>0</v>
      </c>
      <c r="P305" s="124" t="n">
        <f aca="false">D305/P$3</f>
        <v>0</v>
      </c>
      <c r="Q305" s="124" t="n">
        <f aca="false">E305/P$3</f>
        <v>0</v>
      </c>
      <c r="R305" s="124" t="n">
        <f aca="false">F305/R$3</f>
        <v>0</v>
      </c>
      <c r="S305" s="126" t="n">
        <f aca="false">J305/$R$3</f>
        <v>0</v>
      </c>
      <c r="T305" s="126" t="n">
        <f aca="false">L305/$R$3</f>
        <v>0</v>
      </c>
      <c r="U305" s="126" t="n">
        <f aca="false">I305/$R$3</f>
        <v>0</v>
      </c>
      <c r="V305" s="126" t="n">
        <f aca="false">M305/$R$3</f>
        <v>0</v>
      </c>
      <c r="W305" s="126" t="n">
        <f aca="false">N305/$R$3</f>
        <v>0</v>
      </c>
    </row>
    <row r="306" customFormat="false" ht="12.75" hidden="false" customHeight="false" outlineLevel="0" collapsed="false">
      <c r="A306" s="120" t="n">
        <f aca="false">A305+1</f>
        <v>37192</v>
      </c>
      <c r="B306" s="131" t="str">
        <f aca="false">INDEX('Master Data'!$A$2:$B$8,MATCH(WEEKDAY('SC Total Gas'!A306,3),'Master Data'!$A$2:$A$8,0),2)</f>
        <v>Su</v>
      </c>
      <c r="D306" s="124" t="n">
        <v>0</v>
      </c>
      <c r="E306" s="124" t="n">
        <v>0</v>
      </c>
      <c r="F306" s="124" t="n">
        <v>0</v>
      </c>
      <c r="G306" s="124" t="n">
        <v>0</v>
      </c>
      <c r="I306" s="124" t="n">
        <f aca="false">IF(MONTH($A306)=MONTH($A305),IF(G306=0,I305,G306),G306)</f>
        <v>0</v>
      </c>
      <c r="J306" s="124" t="n">
        <f aca="false">IF(MONTH($A306)=MONTH($A305),SUM(I306-I305),I306)</f>
        <v>0</v>
      </c>
      <c r="K306" s="124" t="n">
        <f aca="false">IF(WEEKDAY(A306,3)&gt;4,0,(IF(A306&lt;K$2,0,IF(A306&lt;=K$3,1,0))))</f>
        <v>0</v>
      </c>
      <c r="L306" s="124" t="n">
        <f aca="false">J306*K306</f>
        <v>0</v>
      </c>
      <c r="M306" s="124" t="n">
        <f aca="false">SUM(J$280:J306)</f>
        <v>0</v>
      </c>
      <c r="N306" s="124" t="n">
        <f aca="false">SUM(J$6:J306)</f>
        <v>0</v>
      </c>
      <c r="P306" s="124" t="n">
        <f aca="false">D306/P$3</f>
        <v>0</v>
      </c>
      <c r="Q306" s="124" t="n">
        <f aca="false">E306/P$3</f>
        <v>0</v>
      </c>
      <c r="R306" s="124" t="n">
        <f aca="false">F306/R$3</f>
        <v>0</v>
      </c>
      <c r="S306" s="126" t="n">
        <f aca="false">J306/$R$3</f>
        <v>0</v>
      </c>
      <c r="T306" s="126" t="n">
        <f aca="false">L306/$R$3</f>
        <v>0</v>
      </c>
      <c r="U306" s="126" t="n">
        <f aca="false">I306/$R$3</f>
        <v>0</v>
      </c>
      <c r="V306" s="126" t="n">
        <f aca="false">M306/$R$3</f>
        <v>0</v>
      </c>
      <c r="W306" s="126" t="n">
        <f aca="false">N306/$R$3</f>
        <v>0</v>
      </c>
    </row>
    <row r="307" customFormat="false" ht="12.75" hidden="false" customHeight="false" outlineLevel="0" collapsed="false">
      <c r="A307" s="120" t="n">
        <f aca="false">A306+1</f>
        <v>37193</v>
      </c>
      <c r="B307" s="131" t="str">
        <f aca="false">INDEX('Master Data'!$A$2:$B$8,MATCH(WEEKDAY('SC Total Gas'!A307,3),'Master Data'!$A$2:$A$8,0),2)</f>
        <v>M</v>
      </c>
      <c r="D307" s="124" t="n">
        <v>0</v>
      </c>
      <c r="E307" s="124" t="n">
        <v>4532751.14837819</v>
      </c>
      <c r="F307" s="124" t="n">
        <v>0</v>
      </c>
      <c r="G307" s="124" t="n">
        <v>0</v>
      </c>
      <c r="I307" s="124" t="n">
        <f aca="false">IF(MONTH($A307)=MONTH($A306),IF(G307=0,I306,G307),G307)</f>
        <v>0</v>
      </c>
      <c r="J307" s="124" t="n">
        <f aca="false">IF(MONTH($A307)=MONTH($A306),SUM(I307-I306),I307)</f>
        <v>0</v>
      </c>
      <c r="K307" s="124" t="n">
        <f aca="false">IF(WEEKDAY(A307,3)&gt;4,0,(IF(A307&lt;K$2,0,IF(A307&lt;=K$3,1,0))))</f>
        <v>1</v>
      </c>
      <c r="L307" s="124" t="n">
        <f aca="false">J307*K307</f>
        <v>0</v>
      </c>
      <c r="M307" s="124" t="n">
        <f aca="false">SUM(J$280:J307)</f>
        <v>0</v>
      </c>
      <c r="N307" s="124" t="n">
        <f aca="false">SUM(J$6:J307)</f>
        <v>0</v>
      </c>
      <c r="P307" s="124" t="n">
        <f aca="false">D307/P$3</f>
        <v>0</v>
      </c>
      <c r="Q307" s="124" t="n">
        <f aca="false">E307/P$3</f>
        <v>4.53275114837819</v>
      </c>
      <c r="R307" s="124" t="n">
        <f aca="false">F307/R$3</f>
        <v>0</v>
      </c>
      <c r="S307" s="126" t="n">
        <f aca="false">J307/$R$3</f>
        <v>0</v>
      </c>
      <c r="T307" s="126" t="n">
        <f aca="false">L307/$R$3</f>
        <v>0</v>
      </c>
      <c r="U307" s="126" t="n">
        <f aca="false">I307/$R$3</f>
        <v>0</v>
      </c>
      <c r="V307" s="126" t="n">
        <f aca="false">M307/$R$3</f>
        <v>0</v>
      </c>
      <c r="W307" s="126" t="n">
        <f aca="false">N307/$R$3</f>
        <v>0</v>
      </c>
    </row>
    <row r="308" customFormat="false" ht="12.75" hidden="false" customHeight="false" outlineLevel="0" collapsed="false">
      <c r="A308" s="120" t="n">
        <f aca="false">A307+1</f>
        <v>37194</v>
      </c>
      <c r="B308" s="131" t="str">
        <f aca="false">INDEX('Master Data'!$A$2:$B$8,MATCH(WEEKDAY('SC Total Gas'!A308,3),'Master Data'!$A$2:$A$8,0),2)</f>
        <v>T</v>
      </c>
      <c r="D308" s="124" t="n">
        <v>0</v>
      </c>
      <c r="E308" s="124" t="n">
        <v>4545097.93378432</v>
      </c>
      <c r="F308" s="124" t="n">
        <v>0</v>
      </c>
      <c r="G308" s="124" t="n">
        <v>0</v>
      </c>
      <c r="I308" s="124" t="n">
        <f aca="false">IF(MONTH($A308)=MONTH($A307),IF(G308=0,I307,G308),G308)</f>
        <v>0</v>
      </c>
      <c r="J308" s="124" t="n">
        <f aca="false">IF(MONTH($A308)=MONTH($A307),SUM(I308-I307),I308)</f>
        <v>0</v>
      </c>
      <c r="K308" s="124" t="n">
        <f aca="false">IF(WEEKDAY(A308,3)&gt;4,0,(IF(A308&lt;K$2,0,IF(A308&lt;=K$3,1,0))))</f>
        <v>1</v>
      </c>
      <c r="L308" s="124" t="n">
        <f aca="false">J308*K308</f>
        <v>0</v>
      </c>
      <c r="M308" s="124" t="n">
        <f aca="false">SUM(J$280:J308)</f>
        <v>0</v>
      </c>
      <c r="N308" s="124" t="n">
        <f aca="false">SUM(J$6:J308)</f>
        <v>0</v>
      </c>
      <c r="P308" s="124" t="n">
        <f aca="false">D308/P$3</f>
        <v>0</v>
      </c>
      <c r="Q308" s="124" t="n">
        <f aca="false">E308/P$3</f>
        <v>4.54509793378432</v>
      </c>
      <c r="R308" s="124" t="n">
        <f aca="false">F308/R$3</f>
        <v>0</v>
      </c>
      <c r="S308" s="126" t="n">
        <f aca="false">J308/$R$3</f>
        <v>0</v>
      </c>
      <c r="T308" s="126" t="n">
        <f aca="false">L308/$R$3</f>
        <v>0</v>
      </c>
      <c r="U308" s="126" t="n">
        <f aca="false">I308/$R$3</f>
        <v>0</v>
      </c>
      <c r="V308" s="126" t="n">
        <f aca="false">M308/$R$3</f>
        <v>0</v>
      </c>
      <c r="W308" s="126" t="n">
        <f aca="false">N308/$R$3</f>
        <v>0</v>
      </c>
    </row>
    <row r="309" customFormat="false" ht="12.75" hidden="false" customHeight="false" outlineLevel="0" collapsed="false">
      <c r="A309" s="120" t="n">
        <f aca="false">A308+1</f>
        <v>37195</v>
      </c>
      <c r="B309" s="131" t="str">
        <f aca="false">INDEX('Master Data'!$A$2:$B$8,MATCH(WEEKDAY('SC Total Gas'!A309,3),'Master Data'!$A$2:$A$8,0),2)</f>
        <v>W</v>
      </c>
      <c r="D309" s="124" t="n">
        <v>0</v>
      </c>
      <c r="E309" s="124" t="n">
        <v>4554414.59070058</v>
      </c>
      <c r="F309" s="124" t="n">
        <v>0</v>
      </c>
      <c r="G309" s="124" t="n">
        <v>0</v>
      </c>
      <c r="I309" s="124" t="n">
        <f aca="false">IF(MONTH($A309)=MONTH($A308),IF(G309=0,I308,G309),G309)</f>
        <v>0</v>
      </c>
      <c r="J309" s="124" t="n">
        <f aca="false">IF(MONTH($A309)=MONTH($A308),SUM(I309-I308),I309)</f>
        <v>0</v>
      </c>
      <c r="K309" s="124" t="n">
        <f aca="false">IF(WEEKDAY(A309,3)&gt;4,0,(IF(A309&lt;K$2,0,IF(A309&lt;=K$3,1,0))))</f>
        <v>1</v>
      </c>
      <c r="L309" s="124" t="n">
        <f aca="false">J309*K309</f>
        <v>0</v>
      </c>
      <c r="M309" s="124" t="n">
        <f aca="false">SUM(J$280:J309)</f>
        <v>0</v>
      </c>
      <c r="N309" s="124" t="n">
        <f aca="false">SUM(J$6:J309)</f>
        <v>0</v>
      </c>
      <c r="P309" s="124" t="n">
        <f aca="false">D309/P$3</f>
        <v>0</v>
      </c>
      <c r="Q309" s="124" t="n">
        <f aca="false">E309/P$3</f>
        <v>4.55441459070058</v>
      </c>
      <c r="R309" s="124" t="n">
        <f aca="false">F309/R$3</f>
        <v>0</v>
      </c>
      <c r="S309" s="126" t="n">
        <f aca="false">J309/$R$3</f>
        <v>0</v>
      </c>
      <c r="T309" s="126" t="n">
        <f aca="false">L309/$R$3</f>
        <v>0</v>
      </c>
      <c r="U309" s="126" t="n">
        <f aca="false">I309/$R$3</f>
        <v>0</v>
      </c>
      <c r="V309" s="126" t="n">
        <f aca="false">M309/$R$3</f>
        <v>0</v>
      </c>
      <c r="W309" s="126" t="n">
        <f aca="false">N309/$R$3</f>
        <v>0</v>
      </c>
    </row>
    <row r="310" customFormat="false" ht="12.75" hidden="false" customHeight="false" outlineLevel="0" collapsed="false">
      <c r="A310" s="120" t="n">
        <f aca="false">A309+1</f>
        <v>37196</v>
      </c>
      <c r="B310" s="131" t="str">
        <f aca="false">INDEX('Master Data'!$A$2:$B$8,MATCH(WEEKDAY('SC Total Gas'!A310,3),'Master Data'!$A$2:$A$8,0),2)</f>
        <v>Th</v>
      </c>
      <c r="D310" s="124" t="n">
        <v>0</v>
      </c>
      <c r="E310" s="124" t="n">
        <v>4552352.98136646</v>
      </c>
      <c r="F310" s="124" t="n">
        <v>0</v>
      </c>
      <c r="G310" s="124" t="n">
        <v>0</v>
      </c>
      <c r="I310" s="124" t="n">
        <f aca="false">IF(MONTH($A310)=MONTH($A309),IF(G310=0,I309,G310),G310)</f>
        <v>0</v>
      </c>
      <c r="J310" s="124" t="n">
        <f aca="false">IF(MONTH($A310)=MONTH($A309),SUM(I310-I309),I310)</f>
        <v>0</v>
      </c>
      <c r="K310" s="124" t="n">
        <f aca="false">IF(WEEKDAY(A310,3)&gt;4,0,(IF(A310&lt;K$2,0,IF(A310&lt;=K$3,1,0))))</f>
        <v>1</v>
      </c>
      <c r="L310" s="124" t="n">
        <f aca="false">J310*K310</f>
        <v>0</v>
      </c>
      <c r="M310" s="124" t="n">
        <f aca="false">SUM(J$280:J310)</f>
        <v>0</v>
      </c>
      <c r="N310" s="124" t="n">
        <f aca="false">SUM(J$6:J310)</f>
        <v>0</v>
      </c>
      <c r="P310" s="124" t="n">
        <f aca="false">D310/P$3</f>
        <v>0</v>
      </c>
      <c r="Q310" s="124" t="n">
        <f aca="false">E310/P$3</f>
        <v>4.55235298136646</v>
      </c>
      <c r="R310" s="124" t="n">
        <f aca="false">F310/R$3</f>
        <v>0</v>
      </c>
      <c r="S310" s="126" t="n">
        <f aca="false">J310/$R$3</f>
        <v>0</v>
      </c>
      <c r="T310" s="126" t="n">
        <f aca="false">L310/$R$3</f>
        <v>0</v>
      </c>
      <c r="U310" s="126" t="n">
        <f aca="false">I310/$R$3</f>
        <v>0</v>
      </c>
      <c r="V310" s="126" t="n">
        <f aca="false">M310/$R$3</f>
        <v>0</v>
      </c>
      <c r="W310" s="126" t="n">
        <f aca="false">N310/$R$3</f>
        <v>0</v>
      </c>
    </row>
    <row r="311" customFormat="false" ht="12.75" hidden="false" customHeight="false" outlineLevel="0" collapsed="false">
      <c r="A311" s="120" t="n">
        <f aca="false">A310+1</f>
        <v>37197</v>
      </c>
      <c r="B311" s="131" t="str">
        <f aca="false">INDEX('Master Data'!$A$2:$B$8,MATCH(WEEKDAY('SC Total Gas'!A311,3),'Master Data'!$A$2:$A$8,0),2)</f>
        <v>F</v>
      </c>
      <c r="D311" s="124" t="n">
        <v>0</v>
      </c>
      <c r="E311" s="124" t="n">
        <v>0</v>
      </c>
      <c r="F311" s="124" t="n">
        <v>0</v>
      </c>
      <c r="G311" s="124" t="n">
        <v>0</v>
      </c>
      <c r="I311" s="124" t="n">
        <f aca="false">IF(MONTH($A311)=MONTH($A310),IF(G311=0,I310,G311),G311)</f>
        <v>0</v>
      </c>
      <c r="J311" s="124" t="n">
        <f aca="false">IF(MONTH($A311)=MONTH($A310),SUM(I311-I310),I311)</f>
        <v>0</v>
      </c>
      <c r="K311" s="124" t="n">
        <f aca="false">IF(WEEKDAY(A311,3)&gt;4,0,(IF(A311&lt;K$2,0,IF(A311&lt;=K$3,1,0))))</f>
        <v>0</v>
      </c>
      <c r="L311" s="124" t="n">
        <f aca="false">J311*K311</f>
        <v>0</v>
      </c>
      <c r="M311" s="124" t="n">
        <f aca="false">SUM(J$280:J311)</f>
        <v>0</v>
      </c>
      <c r="N311" s="124" t="n">
        <f aca="false">SUM(J$6:J311)</f>
        <v>0</v>
      </c>
      <c r="P311" s="124" t="n">
        <f aca="false">D311/P$3</f>
        <v>0</v>
      </c>
      <c r="Q311" s="124" t="n">
        <f aca="false">E311/P$3</f>
        <v>0</v>
      </c>
      <c r="R311" s="124" t="n">
        <f aca="false">F311/R$3</f>
        <v>0</v>
      </c>
      <c r="S311" s="126" t="n">
        <f aca="false">J311/$R$3</f>
        <v>0</v>
      </c>
      <c r="T311" s="126" t="n">
        <f aca="false">L311/$R$3</f>
        <v>0</v>
      </c>
      <c r="U311" s="126" t="n">
        <f aca="false">I311/$R$3</f>
        <v>0</v>
      </c>
      <c r="V311" s="126" t="n">
        <f aca="false">M311/$R$3</f>
        <v>0</v>
      </c>
      <c r="W311" s="126" t="n">
        <f aca="false">N311/$R$3</f>
        <v>0</v>
      </c>
    </row>
    <row r="312" customFormat="false" ht="12.75" hidden="false" customHeight="false" outlineLevel="0" collapsed="false">
      <c r="A312" s="120" t="n">
        <f aca="false">A311+1</f>
        <v>37198</v>
      </c>
      <c r="B312" s="131" t="str">
        <f aca="false">INDEX('Master Data'!$A$2:$B$8,MATCH(WEEKDAY('SC Total Gas'!A312,3),'Master Data'!$A$2:$A$8,0),2)</f>
        <v>Sa</v>
      </c>
      <c r="D312" s="124" t="n">
        <v>0</v>
      </c>
      <c r="E312" s="124" t="n">
        <v>0</v>
      </c>
      <c r="F312" s="124" t="n">
        <v>0</v>
      </c>
      <c r="G312" s="124" t="n">
        <v>0</v>
      </c>
      <c r="I312" s="124" t="n">
        <f aca="false">IF(MONTH($A312)=MONTH($A311),IF(G312=0,I311,G312),G312)</f>
        <v>0</v>
      </c>
      <c r="J312" s="124" t="n">
        <f aca="false">IF(MONTH($A312)=MONTH($A311),SUM(I312-I311),I312)</f>
        <v>0</v>
      </c>
      <c r="K312" s="124" t="n">
        <f aca="false">IF(WEEKDAY(A312,3)&gt;4,0,(IF(A312&lt;K$2,0,IF(A312&lt;=K$3,1,0))))</f>
        <v>0</v>
      </c>
      <c r="L312" s="124" t="n">
        <f aca="false">J312*K312</f>
        <v>0</v>
      </c>
      <c r="M312" s="124" t="n">
        <f aca="false">SUM(J$280:J312)</f>
        <v>0</v>
      </c>
      <c r="N312" s="124" t="n">
        <f aca="false">SUM(J$6:J312)</f>
        <v>0</v>
      </c>
      <c r="P312" s="124" t="n">
        <f aca="false">D312/P$3</f>
        <v>0</v>
      </c>
      <c r="Q312" s="124" t="n">
        <f aca="false">E312/P$3</f>
        <v>0</v>
      </c>
      <c r="R312" s="124" t="n">
        <f aca="false">F312/R$3</f>
        <v>0</v>
      </c>
      <c r="S312" s="126" t="n">
        <f aca="false">J312/$R$3</f>
        <v>0</v>
      </c>
      <c r="T312" s="126" t="n">
        <f aca="false">L312/$R$3</f>
        <v>0</v>
      </c>
      <c r="U312" s="126" t="n">
        <f aca="false">I312/$R$3</f>
        <v>0</v>
      </c>
      <c r="V312" s="126" t="n">
        <f aca="false">M312/$R$3</f>
        <v>0</v>
      </c>
      <c r="W312" s="126" t="n">
        <f aca="false">N312/$R$3</f>
        <v>0</v>
      </c>
    </row>
    <row r="313" customFormat="false" ht="12.75" hidden="false" customHeight="false" outlineLevel="0" collapsed="false">
      <c r="A313" s="120" t="n">
        <f aca="false">A312+1</f>
        <v>37199</v>
      </c>
      <c r="B313" s="131" t="str">
        <f aca="false">INDEX('Master Data'!$A$2:$B$8,MATCH(WEEKDAY('SC Total Gas'!A313,3),'Master Data'!$A$2:$A$8,0),2)</f>
        <v>Su</v>
      </c>
      <c r="D313" s="124" t="n">
        <v>0</v>
      </c>
      <c r="E313" s="124" t="n">
        <v>0</v>
      </c>
      <c r="F313" s="124" t="n">
        <v>0</v>
      </c>
      <c r="G313" s="124" t="n">
        <v>0</v>
      </c>
      <c r="I313" s="124" t="n">
        <f aca="false">IF(MONTH($A313)=MONTH($A312),IF(G313=0,I312,G313),G313)</f>
        <v>0</v>
      </c>
      <c r="J313" s="124" t="n">
        <f aca="false">IF(MONTH($A313)=MONTH($A312),SUM(I313-I312),I313)</f>
        <v>0</v>
      </c>
      <c r="K313" s="124" t="n">
        <f aca="false">IF(WEEKDAY(A313,3)&gt;4,0,(IF(A313&lt;K$2,0,IF(A313&lt;=K$3,1,0))))</f>
        <v>0</v>
      </c>
      <c r="L313" s="124" t="n">
        <f aca="false">J313*K313</f>
        <v>0</v>
      </c>
      <c r="M313" s="124" t="n">
        <f aca="false">SUM(J$280:J313)</f>
        <v>0</v>
      </c>
      <c r="N313" s="124" t="n">
        <f aca="false">SUM(J$6:J313)</f>
        <v>0</v>
      </c>
      <c r="P313" s="124" t="n">
        <f aca="false">D313/P$3</f>
        <v>0</v>
      </c>
      <c r="Q313" s="124" t="n">
        <f aca="false">E313/P$3</f>
        <v>0</v>
      </c>
      <c r="R313" s="124" t="n">
        <f aca="false">F313/R$3</f>
        <v>0</v>
      </c>
      <c r="S313" s="126" t="n">
        <f aca="false">J313/$R$3</f>
        <v>0</v>
      </c>
      <c r="T313" s="126" t="n">
        <f aca="false">L313/$R$3</f>
        <v>0</v>
      </c>
      <c r="U313" s="126" t="n">
        <f aca="false">I313/$R$3</f>
        <v>0</v>
      </c>
      <c r="V313" s="126" t="n">
        <f aca="false">M313/$R$3</f>
        <v>0</v>
      </c>
      <c r="W313" s="126" t="n">
        <f aca="false">N313/$R$3</f>
        <v>0</v>
      </c>
    </row>
    <row r="314" customFormat="false" ht="12.75" hidden="false" customHeight="false" outlineLevel="0" collapsed="false">
      <c r="A314" s="120" t="n">
        <f aca="false">A313+1</f>
        <v>37200</v>
      </c>
      <c r="B314" s="131" t="str">
        <f aca="false">INDEX('Master Data'!$A$2:$B$8,MATCH(WEEKDAY('SC Total Gas'!A314,3),'Master Data'!$A$2:$A$8,0),2)</f>
        <v>M</v>
      </c>
      <c r="D314" s="124" t="n">
        <v>0</v>
      </c>
      <c r="E314" s="124" t="n">
        <v>0</v>
      </c>
      <c r="F314" s="124" t="n">
        <v>0</v>
      </c>
      <c r="G314" s="124" t="n">
        <v>0</v>
      </c>
      <c r="I314" s="124" t="n">
        <f aca="false">IF(MONTH($A314)=MONTH($A313),IF(G314=0,I313,G314),G314)</f>
        <v>0</v>
      </c>
      <c r="J314" s="124" t="n">
        <f aca="false">IF(MONTH($A314)=MONTH($A313),SUM(I314-I313),I314)</f>
        <v>0</v>
      </c>
      <c r="K314" s="124" t="n">
        <f aca="false">IF(WEEKDAY(A314,3)&gt;4,0,(IF(A314&lt;K$2,0,IF(A314&lt;=K$3,1,0))))</f>
        <v>0</v>
      </c>
      <c r="L314" s="124" t="n">
        <f aca="false">J314*K314</f>
        <v>0</v>
      </c>
      <c r="M314" s="124" t="n">
        <f aca="false">SUM(J$280:J314)</f>
        <v>0</v>
      </c>
      <c r="N314" s="124" t="n">
        <f aca="false">SUM(J$6:J314)</f>
        <v>0</v>
      </c>
      <c r="P314" s="124" t="n">
        <f aca="false">D314/P$3</f>
        <v>0</v>
      </c>
      <c r="Q314" s="124" t="n">
        <f aca="false">E314/P$3</f>
        <v>0</v>
      </c>
      <c r="R314" s="124" t="n">
        <f aca="false">F314/R$3</f>
        <v>0</v>
      </c>
      <c r="S314" s="126" t="n">
        <f aca="false">J314/$R$3</f>
        <v>0</v>
      </c>
      <c r="T314" s="126" t="n">
        <f aca="false">L314/$R$3</f>
        <v>0</v>
      </c>
      <c r="U314" s="126" t="n">
        <f aca="false">I314/$R$3</f>
        <v>0</v>
      </c>
      <c r="V314" s="126" t="n">
        <f aca="false">M314/$R$3</f>
        <v>0</v>
      </c>
      <c r="W314" s="126" t="n">
        <f aca="false">N314/$R$3</f>
        <v>0</v>
      </c>
    </row>
    <row r="315" customFormat="false" ht="12.75" hidden="false" customHeight="false" outlineLevel="0" collapsed="false">
      <c r="A315" s="120" t="n">
        <f aca="false">A314+1</f>
        <v>37201</v>
      </c>
      <c r="B315" s="131" t="str">
        <f aca="false">INDEX('Master Data'!$A$2:$B$8,MATCH(WEEKDAY('SC Total Gas'!A315,3),'Master Data'!$A$2:$A$8,0),2)</f>
        <v>T</v>
      </c>
      <c r="D315" s="124" t="n">
        <v>0</v>
      </c>
      <c r="E315" s="124" t="n">
        <v>0</v>
      </c>
      <c r="F315" s="124" t="n">
        <v>0</v>
      </c>
      <c r="G315" s="124" t="n">
        <v>0</v>
      </c>
      <c r="I315" s="124" t="n">
        <f aca="false">IF(MONTH($A315)=MONTH($A314),IF(G315=0,I314,G315),G315)</f>
        <v>0</v>
      </c>
      <c r="J315" s="124" t="n">
        <f aca="false">IF(MONTH($A315)=MONTH($A314),SUM(I315-I314),I315)</f>
        <v>0</v>
      </c>
      <c r="K315" s="124" t="n">
        <f aca="false">IF(WEEKDAY(A315,3)&gt;4,0,(IF(A315&lt;K$2,0,IF(A315&lt;=K$3,1,0))))</f>
        <v>0</v>
      </c>
      <c r="L315" s="124" t="n">
        <f aca="false">J315*K315</f>
        <v>0</v>
      </c>
      <c r="M315" s="124" t="n">
        <f aca="false">SUM(J$280:J315)</f>
        <v>0</v>
      </c>
      <c r="N315" s="124" t="n">
        <f aca="false">SUM(J$6:J315)</f>
        <v>0</v>
      </c>
      <c r="P315" s="124" t="n">
        <f aca="false">D315/P$3</f>
        <v>0</v>
      </c>
      <c r="Q315" s="124" t="n">
        <f aca="false">E315/P$3</f>
        <v>0</v>
      </c>
      <c r="R315" s="124" t="n">
        <f aca="false">F315/R$3</f>
        <v>0</v>
      </c>
      <c r="S315" s="126" t="n">
        <f aca="false">J315/$R$3</f>
        <v>0</v>
      </c>
      <c r="T315" s="126" t="n">
        <f aca="false">L315/$R$3</f>
        <v>0</v>
      </c>
      <c r="U315" s="126" t="n">
        <f aca="false">I315/$R$3</f>
        <v>0</v>
      </c>
      <c r="V315" s="126" t="n">
        <f aca="false">M315/$R$3</f>
        <v>0</v>
      </c>
      <c r="W315" s="126" t="n">
        <f aca="false">N315/$R$3</f>
        <v>0</v>
      </c>
    </row>
    <row r="316" customFormat="false" ht="12.75" hidden="false" customHeight="false" outlineLevel="0" collapsed="false">
      <c r="A316" s="120" t="n">
        <f aca="false">A315+1</f>
        <v>37202</v>
      </c>
      <c r="B316" s="131" t="str">
        <f aca="false">INDEX('Master Data'!$A$2:$B$8,MATCH(WEEKDAY('SC Total Gas'!A316,3),'Master Data'!$A$2:$A$8,0),2)</f>
        <v>W</v>
      </c>
      <c r="D316" s="124" t="n">
        <v>0</v>
      </c>
      <c r="E316" s="124" t="n">
        <v>0</v>
      </c>
      <c r="F316" s="124" t="n">
        <v>0</v>
      </c>
      <c r="G316" s="124" t="n">
        <v>0</v>
      </c>
      <c r="I316" s="124" t="n">
        <f aca="false">IF(MONTH($A316)=MONTH($A315),IF(G316=0,I315,G316),G316)</f>
        <v>0</v>
      </c>
      <c r="J316" s="124" t="n">
        <f aca="false">IF(MONTH($A316)=MONTH($A315),SUM(I316-I315),I316)</f>
        <v>0</v>
      </c>
      <c r="K316" s="124" t="n">
        <f aca="false">IF(WEEKDAY(A316,3)&gt;4,0,(IF(A316&lt;K$2,0,IF(A316&lt;=K$3,1,0))))</f>
        <v>0</v>
      </c>
      <c r="L316" s="124" t="n">
        <f aca="false">J316*K316</f>
        <v>0</v>
      </c>
      <c r="M316" s="124" t="n">
        <f aca="false">SUM(J$280:J316)</f>
        <v>0</v>
      </c>
      <c r="N316" s="124" t="n">
        <f aca="false">SUM(J$6:J316)</f>
        <v>0</v>
      </c>
      <c r="P316" s="124" t="n">
        <f aca="false">D316/P$3</f>
        <v>0</v>
      </c>
      <c r="Q316" s="124" t="n">
        <f aca="false">E316/P$3</f>
        <v>0</v>
      </c>
      <c r="R316" s="124" t="n">
        <f aca="false">F316/R$3</f>
        <v>0</v>
      </c>
      <c r="S316" s="126" t="n">
        <f aca="false">J316/$R$3</f>
        <v>0</v>
      </c>
      <c r="T316" s="126" t="n">
        <f aca="false">L316/$R$3</f>
        <v>0</v>
      </c>
      <c r="U316" s="126" t="n">
        <f aca="false">I316/$R$3</f>
        <v>0</v>
      </c>
      <c r="V316" s="126" t="n">
        <f aca="false">M316/$R$3</f>
        <v>0</v>
      </c>
      <c r="W316" s="126" t="n">
        <f aca="false">N316/$R$3</f>
        <v>0</v>
      </c>
    </row>
    <row r="317" customFormat="false" ht="12.75" hidden="false" customHeight="false" outlineLevel="0" collapsed="false">
      <c r="A317" s="120" t="n">
        <f aca="false">A316+1</f>
        <v>37203</v>
      </c>
      <c r="B317" s="131" t="str">
        <f aca="false">INDEX('Master Data'!$A$2:$B$8,MATCH(WEEKDAY('SC Total Gas'!A317,3),'Master Data'!$A$2:$A$8,0),2)</f>
        <v>Th</v>
      </c>
      <c r="D317" s="124" t="n">
        <v>0</v>
      </c>
      <c r="E317" s="124" t="n">
        <v>0</v>
      </c>
      <c r="F317" s="124" t="n">
        <v>0</v>
      </c>
      <c r="G317" s="124" t="n">
        <v>0</v>
      </c>
      <c r="I317" s="124" t="n">
        <f aca="false">IF(MONTH($A317)=MONTH($A316),IF(G317=0,I316,G317),G317)</f>
        <v>0</v>
      </c>
      <c r="J317" s="124" t="n">
        <f aca="false">IF(MONTH($A317)=MONTH($A316),SUM(I317-I316),I317)</f>
        <v>0</v>
      </c>
      <c r="K317" s="124" t="n">
        <f aca="false">IF(WEEKDAY(A317,3)&gt;4,0,(IF(A317&lt;K$2,0,IF(A317&lt;=K$3,1,0))))</f>
        <v>0</v>
      </c>
      <c r="L317" s="124" t="n">
        <f aca="false">J317*K317</f>
        <v>0</v>
      </c>
      <c r="M317" s="124" t="n">
        <f aca="false">SUM(J$280:J317)</f>
        <v>0</v>
      </c>
      <c r="N317" s="124" t="n">
        <f aca="false">SUM(J$6:J317)</f>
        <v>0</v>
      </c>
      <c r="P317" s="124" t="n">
        <f aca="false">D317/P$3</f>
        <v>0</v>
      </c>
      <c r="Q317" s="124" t="n">
        <f aca="false">E317/P$3</f>
        <v>0</v>
      </c>
      <c r="R317" s="124" t="n">
        <f aca="false">F317/R$3</f>
        <v>0</v>
      </c>
      <c r="S317" s="126" t="n">
        <f aca="false">J317/$R$3</f>
        <v>0</v>
      </c>
      <c r="T317" s="126" t="n">
        <f aca="false">L317/$R$3</f>
        <v>0</v>
      </c>
      <c r="U317" s="126" t="n">
        <f aca="false">I317/$R$3</f>
        <v>0</v>
      </c>
      <c r="V317" s="126" t="n">
        <f aca="false">M317/$R$3</f>
        <v>0</v>
      </c>
      <c r="W317" s="126" t="n">
        <f aca="false">N317/$R$3</f>
        <v>0</v>
      </c>
    </row>
    <row r="318" customFormat="false" ht="12.75" hidden="false" customHeight="false" outlineLevel="0" collapsed="false">
      <c r="A318" s="120" t="n">
        <f aca="false">A317+1</f>
        <v>37204</v>
      </c>
      <c r="B318" s="131" t="str">
        <f aca="false">INDEX('Master Data'!$A$2:$B$8,MATCH(WEEKDAY('SC Total Gas'!A318,3),'Master Data'!$A$2:$A$8,0),2)</f>
        <v>F</v>
      </c>
      <c r="D318" s="124" t="n">
        <v>0</v>
      </c>
      <c r="E318" s="124" t="n">
        <v>0</v>
      </c>
      <c r="F318" s="124" t="n">
        <v>0</v>
      </c>
      <c r="G318" s="124" t="n">
        <v>0</v>
      </c>
      <c r="I318" s="124" t="n">
        <f aca="false">IF(MONTH($A318)=MONTH($A317),IF(G318=0,I317,G318),G318)</f>
        <v>0</v>
      </c>
      <c r="J318" s="124" t="n">
        <f aca="false">IF(MONTH($A318)=MONTH($A317),SUM(I318-I317),I318)</f>
        <v>0</v>
      </c>
      <c r="K318" s="124" t="n">
        <f aca="false">IF(WEEKDAY(A318,3)&gt;4,0,(IF(A318&lt;K$2,0,IF(A318&lt;=K$3,1,0))))</f>
        <v>0</v>
      </c>
      <c r="L318" s="124" t="n">
        <f aca="false">J318*K318</f>
        <v>0</v>
      </c>
      <c r="M318" s="124" t="n">
        <f aca="false">SUM(J$280:J318)</f>
        <v>0</v>
      </c>
      <c r="N318" s="124" t="n">
        <f aca="false">SUM(J$6:J318)</f>
        <v>0</v>
      </c>
      <c r="P318" s="124" t="n">
        <f aca="false">D318/P$3</f>
        <v>0</v>
      </c>
      <c r="Q318" s="124" t="n">
        <f aca="false">E318/P$3</f>
        <v>0</v>
      </c>
      <c r="R318" s="124" t="n">
        <f aca="false">F318/R$3</f>
        <v>0</v>
      </c>
      <c r="S318" s="126" t="n">
        <f aca="false">J318/$R$3</f>
        <v>0</v>
      </c>
      <c r="T318" s="126" t="n">
        <f aca="false">L318/$R$3</f>
        <v>0</v>
      </c>
      <c r="U318" s="126" t="n">
        <f aca="false">I318/$R$3</f>
        <v>0</v>
      </c>
      <c r="V318" s="126" t="n">
        <f aca="false">M318/$R$3</f>
        <v>0</v>
      </c>
      <c r="W318" s="126" t="n">
        <f aca="false">N318/$R$3</f>
        <v>0</v>
      </c>
    </row>
    <row r="319" customFormat="false" ht="12.75" hidden="false" customHeight="false" outlineLevel="0" collapsed="false">
      <c r="A319" s="120" t="n">
        <f aca="false">A318+1</f>
        <v>37205</v>
      </c>
      <c r="B319" s="131" t="str">
        <f aca="false">INDEX('Master Data'!$A$2:$B$8,MATCH(WEEKDAY('SC Total Gas'!A319,3),'Master Data'!$A$2:$A$8,0),2)</f>
        <v>Sa</v>
      </c>
      <c r="D319" s="124" t="n">
        <v>0</v>
      </c>
      <c r="E319" s="124" t="n">
        <v>0</v>
      </c>
      <c r="F319" s="124" t="n">
        <v>0</v>
      </c>
      <c r="G319" s="124" t="n">
        <v>0</v>
      </c>
      <c r="I319" s="124" t="n">
        <f aca="false">IF(MONTH($A319)=MONTH($A318),IF(G319=0,I318,G319),G319)</f>
        <v>0</v>
      </c>
      <c r="J319" s="124" t="n">
        <f aca="false">IF(MONTH($A319)=MONTH($A318),SUM(I319-I318),I319)</f>
        <v>0</v>
      </c>
      <c r="K319" s="124" t="n">
        <f aca="false">IF(WEEKDAY(A319,3)&gt;4,0,(IF(A319&lt;K$2,0,IF(A319&lt;=K$3,1,0))))</f>
        <v>0</v>
      </c>
      <c r="L319" s="124" t="n">
        <f aca="false">J319*K319</f>
        <v>0</v>
      </c>
      <c r="M319" s="124" t="n">
        <f aca="false">SUM(J$280:J319)</f>
        <v>0</v>
      </c>
      <c r="N319" s="124" t="n">
        <f aca="false">SUM(J$6:J319)</f>
        <v>0</v>
      </c>
      <c r="P319" s="124" t="n">
        <f aca="false">D319/P$3</f>
        <v>0</v>
      </c>
      <c r="Q319" s="124" t="n">
        <f aca="false">E319/P$3</f>
        <v>0</v>
      </c>
      <c r="R319" s="124" t="n">
        <f aca="false">F319/R$3</f>
        <v>0</v>
      </c>
      <c r="S319" s="126" t="n">
        <f aca="false">J319/$R$3</f>
        <v>0</v>
      </c>
      <c r="T319" s="126" t="n">
        <f aca="false">L319/$R$3</f>
        <v>0</v>
      </c>
      <c r="U319" s="126" t="n">
        <f aca="false">I319/$R$3</f>
        <v>0</v>
      </c>
      <c r="V319" s="126" t="n">
        <f aca="false">M319/$R$3</f>
        <v>0</v>
      </c>
      <c r="W319" s="126" t="n">
        <f aca="false">N319/$R$3</f>
        <v>0</v>
      </c>
    </row>
    <row r="320" customFormat="false" ht="12.75" hidden="false" customHeight="false" outlineLevel="0" collapsed="false">
      <c r="A320" s="120" t="n">
        <f aca="false">A319+1</f>
        <v>37206</v>
      </c>
      <c r="B320" s="131" t="str">
        <f aca="false">INDEX('Master Data'!$A$2:$B$8,MATCH(WEEKDAY('SC Total Gas'!A320,3),'Master Data'!$A$2:$A$8,0),2)</f>
        <v>Su</v>
      </c>
      <c r="D320" s="124" t="n">
        <v>0</v>
      </c>
      <c r="E320" s="124" t="n">
        <v>0</v>
      </c>
      <c r="F320" s="124" t="n">
        <v>0</v>
      </c>
      <c r="G320" s="124" t="n">
        <v>0</v>
      </c>
      <c r="I320" s="124" t="n">
        <f aca="false">IF(MONTH($A320)=MONTH($A319),IF(G320=0,I319,G320),G320)</f>
        <v>0</v>
      </c>
      <c r="J320" s="124" t="n">
        <f aca="false">IF(MONTH($A320)=MONTH($A319),SUM(I320-I319),I320)</f>
        <v>0</v>
      </c>
      <c r="K320" s="124" t="n">
        <f aca="false">IF(WEEKDAY(A320,3)&gt;4,0,(IF(A320&lt;K$2,0,IF(A320&lt;=K$3,1,0))))</f>
        <v>0</v>
      </c>
      <c r="L320" s="124" t="n">
        <f aca="false">J320*K320</f>
        <v>0</v>
      </c>
      <c r="M320" s="124" t="n">
        <f aca="false">SUM(J$280:J320)</f>
        <v>0</v>
      </c>
      <c r="N320" s="124" t="n">
        <f aca="false">SUM(J$6:J320)</f>
        <v>0</v>
      </c>
      <c r="P320" s="124" t="n">
        <f aca="false">D320/P$3</f>
        <v>0</v>
      </c>
      <c r="Q320" s="124" t="n">
        <f aca="false">E320/P$3</f>
        <v>0</v>
      </c>
      <c r="R320" s="124" t="n">
        <f aca="false">F320/R$3</f>
        <v>0</v>
      </c>
      <c r="S320" s="126" t="n">
        <f aca="false">J320/$R$3</f>
        <v>0</v>
      </c>
      <c r="T320" s="126" t="n">
        <f aca="false">L320/$R$3</f>
        <v>0</v>
      </c>
      <c r="U320" s="126" t="n">
        <f aca="false">I320/$R$3</f>
        <v>0</v>
      </c>
      <c r="V320" s="126" t="n">
        <f aca="false">M320/$R$3</f>
        <v>0</v>
      </c>
      <c r="W320" s="126" t="n">
        <f aca="false">N320/$R$3</f>
        <v>0</v>
      </c>
    </row>
    <row r="321" customFormat="false" ht="12.75" hidden="false" customHeight="false" outlineLevel="0" collapsed="false">
      <c r="A321" s="120" t="n">
        <f aca="false">A320+1</f>
        <v>37207</v>
      </c>
      <c r="B321" s="131" t="str">
        <f aca="false">INDEX('Master Data'!$A$2:$B$8,MATCH(WEEKDAY('SC Total Gas'!A321,3),'Master Data'!$A$2:$A$8,0),2)</f>
        <v>M</v>
      </c>
      <c r="D321" s="124" t="n">
        <v>0</v>
      </c>
      <c r="E321" s="124" t="n">
        <v>0</v>
      </c>
      <c r="F321" s="124" t="n">
        <v>0</v>
      </c>
      <c r="G321" s="124" t="n">
        <v>0</v>
      </c>
      <c r="I321" s="124" t="n">
        <f aca="false">IF(MONTH($A321)=MONTH($A320),IF(G321=0,I320,G321),G321)</f>
        <v>0</v>
      </c>
      <c r="J321" s="124" t="n">
        <f aca="false">IF(MONTH($A321)=MONTH($A320),SUM(I321-I320),I321)</f>
        <v>0</v>
      </c>
      <c r="K321" s="124" t="n">
        <f aca="false">IF(WEEKDAY(A321,3)&gt;4,0,(IF(A321&lt;K$2,0,IF(A321&lt;=K$3,1,0))))</f>
        <v>0</v>
      </c>
      <c r="L321" s="124" t="n">
        <f aca="false">J321*K321</f>
        <v>0</v>
      </c>
      <c r="M321" s="124" t="n">
        <f aca="false">SUM(J$280:J321)</f>
        <v>0</v>
      </c>
      <c r="N321" s="124" t="n">
        <f aca="false">SUM(J$6:J321)</f>
        <v>0</v>
      </c>
      <c r="P321" s="124" t="n">
        <f aca="false">D321/P$3</f>
        <v>0</v>
      </c>
      <c r="Q321" s="124" t="n">
        <f aca="false">E321/P$3</f>
        <v>0</v>
      </c>
      <c r="R321" s="124" t="n">
        <f aca="false">F321/R$3</f>
        <v>0</v>
      </c>
      <c r="S321" s="126" t="n">
        <f aca="false">J321/$R$3</f>
        <v>0</v>
      </c>
      <c r="T321" s="126" t="n">
        <f aca="false">L321/$R$3</f>
        <v>0</v>
      </c>
      <c r="U321" s="126" t="n">
        <f aca="false">I321/$R$3</f>
        <v>0</v>
      </c>
      <c r="V321" s="126" t="n">
        <f aca="false">M321/$R$3</f>
        <v>0</v>
      </c>
      <c r="W321" s="126" t="n">
        <f aca="false">N321/$R$3</f>
        <v>0</v>
      </c>
    </row>
    <row r="322" customFormat="false" ht="12.75" hidden="false" customHeight="false" outlineLevel="0" collapsed="false">
      <c r="A322" s="120" t="n">
        <f aca="false">A321+1</f>
        <v>37208</v>
      </c>
      <c r="B322" s="131" t="str">
        <f aca="false">INDEX('Master Data'!$A$2:$B$8,MATCH(WEEKDAY('SC Total Gas'!A322,3),'Master Data'!$A$2:$A$8,0),2)</f>
        <v>T</v>
      </c>
      <c r="D322" s="124" t="n">
        <v>0</v>
      </c>
      <c r="E322" s="124" t="n">
        <v>0</v>
      </c>
      <c r="F322" s="124" t="n">
        <v>0</v>
      </c>
      <c r="G322" s="124" t="n">
        <v>0</v>
      </c>
      <c r="I322" s="124" t="n">
        <f aca="false">IF(MONTH($A322)=MONTH($A321),IF(G322=0,I321,G322),G322)</f>
        <v>0</v>
      </c>
      <c r="J322" s="124" t="n">
        <f aca="false">IF(MONTH($A322)=MONTH($A321),SUM(I322-I321),I322)</f>
        <v>0</v>
      </c>
      <c r="K322" s="124" t="n">
        <f aca="false">IF(WEEKDAY(A322,3)&gt;4,0,(IF(A322&lt;K$2,0,IF(A322&lt;=K$3,1,0))))</f>
        <v>0</v>
      </c>
      <c r="L322" s="124" t="n">
        <f aca="false">J322*K322</f>
        <v>0</v>
      </c>
      <c r="M322" s="124" t="n">
        <f aca="false">SUM(J$280:J322)</f>
        <v>0</v>
      </c>
      <c r="N322" s="124" t="n">
        <f aca="false">SUM(J$6:J322)</f>
        <v>0</v>
      </c>
      <c r="P322" s="124" t="n">
        <f aca="false">D322/P$3</f>
        <v>0</v>
      </c>
      <c r="Q322" s="124" t="n">
        <f aca="false">E322/P$3</f>
        <v>0</v>
      </c>
      <c r="R322" s="124" t="n">
        <f aca="false">F322/R$3</f>
        <v>0</v>
      </c>
      <c r="S322" s="126" t="n">
        <f aca="false">J322/$R$3</f>
        <v>0</v>
      </c>
      <c r="T322" s="126" t="n">
        <f aca="false">L322/$R$3</f>
        <v>0</v>
      </c>
      <c r="U322" s="126" t="n">
        <f aca="false">I322/$R$3</f>
        <v>0</v>
      </c>
      <c r="V322" s="126" t="n">
        <f aca="false">M322/$R$3</f>
        <v>0</v>
      </c>
      <c r="W322" s="126" t="n">
        <f aca="false">N322/$R$3</f>
        <v>0</v>
      </c>
    </row>
    <row r="323" customFormat="false" ht="12.75" hidden="false" customHeight="false" outlineLevel="0" collapsed="false">
      <c r="A323" s="120" t="n">
        <f aca="false">A322+1</f>
        <v>37209</v>
      </c>
      <c r="B323" s="131" t="str">
        <f aca="false">INDEX('Master Data'!$A$2:$B$8,MATCH(WEEKDAY('SC Total Gas'!A323,3),'Master Data'!$A$2:$A$8,0),2)</f>
        <v>W</v>
      </c>
      <c r="D323" s="124" t="n">
        <v>0</v>
      </c>
      <c r="E323" s="124" t="n">
        <v>0</v>
      </c>
      <c r="F323" s="124" t="n">
        <v>0</v>
      </c>
      <c r="G323" s="124" t="n">
        <v>0</v>
      </c>
      <c r="I323" s="124" t="n">
        <f aca="false">IF(MONTH($A323)=MONTH($A322),IF(G323=0,I322,G323),G323)</f>
        <v>0</v>
      </c>
      <c r="J323" s="124" t="n">
        <f aca="false">IF(MONTH($A323)=MONTH($A322),SUM(I323-I322),I323)</f>
        <v>0</v>
      </c>
      <c r="K323" s="124" t="n">
        <f aca="false">IF(WEEKDAY(A323,3)&gt;4,0,(IF(A323&lt;K$2,0,IF(A323&lt;=K$3,1,0))))</f>
        <v>0</v>
      </c>
      <c r="L323" s="124" t="n">
        <f aca="false">J323*K323</f>
        <v>0</v>
      </c>
      <c r="M323" s="124" t="n">
        <f aca="false">SUM(J$280:J323)</f>
        <v>0</v>
      </c>
      <c r="N323" s="124" t="n">
        <f aca="false">SUM(J$6:J323)</f>
        <v>0</v>
      </c>
      <c r="P323" s="124" t="n">
        <f aca="false">D323/P$3</f>
        <v>0</v>
      </c>
      <c r="Q323" s="124" t="n">
        <f aca="false">E323/P$3</f>
        <v>0</v>
      </c>
      <c r="R323" s="124" t="n">
        <f aca="false">F323/R$3</f>
        <v>0</v>
      </c>
      <c r="S323" s="126" t="n">
        <f aca="false">J323/$R$3</f>
        <v>0</v>
      </c>
      <c r="T323" s="126" t="n">
        <f aca="false">L323/$R$3</f>
        <v>0</v>
      </c>
      <c r="U323" s="126" t="n">
        <f aca="false">I323/$R$3</f>
        <v>0</v>
      </c>
      <c r="V323" s="126" t="n">
        <f aca="false">M323/$R$3</f>
        <v>0</v>
      </c>
      <c r="W323" s="126" t="n">
        <f aca="false">N323/$R$3</f>
        <v>0</v>
      </c>
    </row>
    <row r="324" customFormat="false" ht="12.75" hidden="false" customHeight="false" outlineLevel="0" collapsed="false">
      <c r="A324" s="120" t="n">
        <f aca="false">A323+1</f>
        <v>37210</v>
      </c>
      <c r="B324" s="131" t="str">
        <f aca="false">INDEX('Master Data'!$A$2:$B$8,MATCH(WEEKDAY('SC Total Gas'!A324,3),'Master Data'!$A$2:$A$8,0),2)</f>
        <v>Th</v>
      </c>
      <c r="D324" s="124" t="n">
        <v>0</v>
      </c>
      <c r="E324" s="124" t="n">
        <v>0</v>
      </c>
      <c r="F324" s="124" t="n">
        <v>0</v>
      </c>
      <c r="G324" s="124" t="n">
        <v>0</v>
      </c>
      <c r="I324" s="124" t="n">
        <f aca="false">IF(MONTH($A324)=MONTH($A323),IF(G324=0,I323,G324),G324)</f>
        <v>0</v>
      </c>
      <c r="J324" s="124" t="n">
        <f aca="false">IF(MONTH($A324)=MONTH($A323),SUM(I324-I323),I324)</f>
        <v>0</v>
      </c>
      <c r="K324" s="124" t="n">
        <f aca="false">IF(WEEKDAY(A324,3)&gt;4,0,(IF(A324&lt;K$2,0,IF(A324&lt;=K$3,1,0))))</f>
        <v>0</v>
      </c>
      <c r="L324" s="124" t="n">
        <f aca="false">J324*K324</f>
        <v>0</v>
      </c>
      <c r="M324" s="124" t="n">
        <f aca="false">SUM(J$280:J324)</f>
        <v>0</v>
      </c>
      <c r="N324" s="124" t="n">
        <f aca="false">SUM(J$6:J324)</f>
        <v>0</v>
      </c>
      <c r="P324" s="124" t="n">
        <f aca="false">D324/P$3</f>
        <v>0</v>
      </c>
      <c r="Q324" s="124" t="n">
        <f aca="false">E324/P$3</f>
        <v>0</v>
      </c>
      <c r="R324" s="124" t="n">
        <f aca="false">F324/R$3</f>
        <v>0</v>
      </c>
      <c r="S324" s="126" t="n">
        <f aca="false">J324/$R$3</f>
        <v>0</v>
      </c>
      <c r="T324" s="126" t="n">
        <f aca="false">L324/$R$3</f>
        <v>0</v>
      </c>
      <c r="U324" s="126" t="n">
        <f aca="false">I324/$R$3</f>
        <v>0</v>
      </c>
      <c r="V324" s="126" t="n">
        <f aca="false">M324/$R$3</f>
        <v>0</v>
      </c>
      <c r="W324" s="126" t="n">
        <f aca="false">N324/$R$3</f>
        <v>0</v>
      </c>
    </row>
    <row r="325" customFormat="false" ht="12.75" hidden="false" customHeight="false" outlineLevel="0" collapsed="false">
      <c r="A325" s="120" t="n">
        <f aca="false">A324+1</f>
        <v>37211</v>
      </c>
      <c r="B325" s="131" t="str">
        <f aca="false">INDEX('Master Data'!$A$2:$B$8,MATCH(WEEKDAY('SC Total Gas'!A325,3),'Master Data'!$A$2:$A$8,0),2)</f>
        <v>F</v>
      </c>
      <c r="D325" s="124" t="n">
        <v>0</v>
      </c>
      <c r="E325" s="124" t="n">
        <v>0</v>
      </c>
      <c r="F325" s="124" t="n">
        <v>0</v>
      </c>
      <c r="G325" s="124" t="n">
        <v>0</v>
      </c>
      <c r="I325" s="124" t="n">
        <f aca="false">IF(MONTH($A325)=MONTH($A324),IF(G325=0,I324,G325),G325)</f>
        <v>0</v>
      </c>
      <c r="J325" s="124" t="n">
        <f aca="false">IF(MONTH($A325)=MONTH($A324),SUM(I325-I324),I325)</f>
        <v>0</v>
      </c>
      <c r="K325" s="124" t="n">
        <f aca="false">IF(WEEKDAY(A325,3)&gt;4,0,(IF(A325&lt;K$2,0,IF(A325&lt;=K$3,1,0))))</f>
        <v>0</v>
      </c>
      <c r="L325" s="124" t="n">
        <f aca="false">J325*K325</f>
        <v>0</v>
      </c>
      <c r="M325" s="124" t="n">
        <f aca="false">SUM(J$280:J325)</f>
        <v>0</v>
      </c>
      <c r="N325" s="124" t="n">
        <f aca="false">SUM(J$6:J325)</f>
        <v>0</v>
      </c>
      <c r="P325" s="124" t="n">
        <f aca="false">D325/P$3</f>
        <v>0</v>
      </c>
      <c r="Q325" s="124" t="n">
        <f aca="false">E325/P$3</f>
        <v>0</v>
      </c>
      <c r="R325" s="124" t="n">
        <f aca="false">F325/R$3</f>
        <v>0</v>
      </c>
      <c r="S325" s="126" t="n">
        <f aca="false">J325/$R$3</f>
        <v>0</v>
      </c>
      <c r="T325" s="126" t="n">
        <f aca="false">L325/$R$3</f>
        <v>0</v>
      </c>
      <c r="U325" s="126" t="n">
        <f aca="false">I325/$R$3</f>
        <v>0</v>
      </c>
      <c r="V325" s="126" t="n">
        <f aca="false">M325/$R$3</f>
        <v>0</v>
      </c>
      <c r="W325" s="126" t="n">
        <f aca="false">N325/$R$3</f>
        <v>0</v>
      </c>
    </row>
    <row r="326" customFormat="false" ht="12.75" hidden="false" customHeight="false" outlineLevel="0" collapsed="false">
      <c r="A326" s="120" t="n">
        <f aca="false">A325+1</f>
        <v>37212</v>
      </c>
      <c r="B326" s="131" t="str">
        <f aca="false">INDEX('Master Data'!$A$2:$B$8,MATCH(WEEKDAY('SC Total Gas'!A326,3),'Master Data'!$A$2:$A$8,0),2)</f>
        <v>Sa</v>
      </c>
      <c r="D326" s="124" t="n">
        <v>0</v>
      </c>
      <c r="E326" s="124" t="n">
        <v>0</v>
      </c>
      <c r="F326" s="124" t="n">
        <v>0</v>
      </c>
      <c r="G326" s="124" t="n">
        <v>0</v>
      </c>
      <c r="I326" s="124" t="n">
        <f aca="false">IF(MONTH($A326)=MONTH($A325),IF(G326=0,I325,G326),G326)</f>
        <v>0</v>
      </c>
      <c r="J326" s="124" t="n">
        <f aca="false">IF(MONTH($A326)=MONTH($A325),SUM(I326-I325),I326)</f>
        <v>0</v>
      </c>
      <c r="K326" s="124" t="n">
        <f aca="false">IF(WEEKDAY(A326,3)&gt;4,0,(IF(A326&lt;K$2,0,IF(A326&lt;=K$3,1,0))))</f>
        <v>0</v>
      </c>
      <c r="L326" s="124" t="n">
        <f aca="false">J326*K326</f>
        <v>0</v>
      </c>
      <c r="M326" s="124" t="n">
        <f aca="false">SUM(J$280:J326)</f>
        <v>0</v>
      </c>
      <c r="N326" s="124" t="n">
        <f aca="false">SUM(J$6:J326)</f>
        <v>0</v>
      </c>
      <c r="P326" s="124" t="n">
        <f aca="false">D326/P$3</f>
        <v>0</v>
      </c>
      <c r="Q326" s="124" t="n">
        <f aca="false">E326/P$3</f>
        <v>0</v>
      </c>
      <c r="R326" s="124" t="n">
        <f aca="false">F326/R$3</f>
        <v>0</v>
      </c>
      <c r="S326" s="126" t="n">
        <f aca="false">J326/$R$3</f>
        <v>0</v>
      </c>
      <c r="T326" s="126" t="n">
        <f aca="false">L326/$R$3</f>
        <v>0</v>
      </c>
      <c r="U326" s="126" t="n">
        <f aca="false">I326/$R$3</f>
        <v>0</v>
      </c>
      <c r="V326" s="126" t="n">
        <f aca="false">M326/$R$3</f>
        <v>0</v>
      </c>
      <c r="W326" s="126" t="n">
        <f aca="false">N326/$R$3</f>
        <v>0</v>
      </c>
    </row>
    <row r="327" customFormat="false" ht="12.75" hidden="false" customHeight="false" outlineLevel="0" collapsed="false">
      <c r="A327" s="120" t="n">
        <f aca="false">A326+1</f>
        <v>37213</v>
      </c>
      <c r="B327" s="131" t="str">
        <f aca="false">INDEX('Master Data'!$A$2:$B$8,MATCH(WEEKDAY('SC Total Gas'!A327,3),'Master Data'!$A$2:$A$8,0),2)</f>
        <v>Su</v>
      </c>
      <c r="D327" s="124" t="n">
        <v>0</v>
      </c>
      <c r="E327" s="124" t="n">
        <v>0</v>
      </c>
      <c r="F327" s="124" t="n">
        <v>0</v>
      </c>
      <c r="G327" s="124" t="n">
        <v>0</v>
      </c>
      <c r="I327" s="124" t="n">
        <f aca="false">IF(MONTH($A327)=MONTH($A326),IF(G327=0,I326,G327),G327)</f>
        <v>0</v>
      </c>
      <c r="J327" s="124" t="n">
        <f aca="false">IF(MONTH($A327)=MONTH($A326),SUM(I327-I326),I327)</f>
        <v>0</v>
      </c>
      <c r="K327" s="124" t="n">
        <f aca="false">IF(WEEKDAY(A327,3)&gt;4,0,(IF(A327&lt;K$2,0,IF(A327&lt;=K$3,1,0))))</f>
        <v>0</v>
      </c>
      <c r="L327" s="124" t="n">
        <f aca="false">J327*K327</f>
        <v>0</v>
      </c>
      <c r="M327" s="124" t="n">
        <f aca="false">SUM(J$280:J327)</f>
        <v>0</v>
      </c>
      <c r="N327" s="124" t="n">
        <f aca="false">SUM(J$6:J327)</f>
        <v>0</v>
      </c>
      <c r="P327" s="124" t="n">
        <f aca="false">D327/P$3</f>
        <v>0</v>
      </c>
      <c r="Q327" s="124" t="n">
        <f aca="false">E327/P$3</f>
        <v>0</v>
      </c>
      <c r="R327" s="124" t="n">
        <f aca="false">F327/R$3</f>
        <v>0</v>
      </c>
      <c r="S327" s="126" t="n">
        <f aca="false">J327/$R$3</f>
        <v>0</v>
      </c>
      <c r="T327" s="126" t="n">
        <f aca="false">L327/$R$3</f>
        <v>0</v>
      </c>
      <c r="U327" s="126" t="n">
        <f aca="false">I327/$R$3</f>
        <v>0</v>
      </c>
      <c r="V327" s="126" t="n">
        <f aca="false">M327/$R$3</f>
        <v>0</v>
      </c>
      <c r="W327" s="126" t="n">
        <f aca="false">N327/$R$3</f>
        <v>0</v>
      </c>
    </row>
    <row r="328" customFormat="false" ht="12.75" hidden="false" customHeight="false" outlineLevel="0" collapsed="false">
      <c r="A328" s="120" t="n">
        <f aca="false">A327+1</f>
        <v>37214</v>
      </c>
      <c r="B328" s="131" t="str">
        <f aca="false">INDEX('Master Data'!$A$2:$B$8,MATCH(WEEKDAY('SC Total Gas'!A328,3),'Master Data'!$A$2:$A$8,0),2)</f>
        <v>M</v>
      </c>
      <c r="D328" s="124" t="n">
        <v>0</v>
      </c>
      <c r="E328" s="124" t="n">
        <v>0</v>
      </c>
      <c r="F328" s="124" t="n">
        <v>0</v>
      </c>
      <c r="G328" s="124" t="n">
        <v>0</v>
      </c>
      <c r="I328" s="124" t="n">
        <f aca="false">IF(MONTH($A328)=MONTH($A327),IF(G328=0,I327,G328),G328)</f>
        <v>0</v>
      </c>
      <c r="J328" s="124" t="n">
        <f aca="false">IF(MONTH($A328)=MONTH($A327),SUM(I328-I327),I328)</f>
        <v>0</v>
      </c>
      <c r="K328" s="124" t="n">
        <f aca="false">IF(WEEKDAY(A328,3)&gt;4,0,(IF(A328&lt;K$2,0,IF(A328&lt;=K$3,1,0))))</f>
        <v>0</v>
      </c>
      <c r="L328" s="124" t="n">
        <f aca="false">J328*K328</f>
        <v>0</v>
      </c>
      <c r="M328" s="124" t="n">
        <f aca="false">SUM(J$280:J328)</f>
        <v>0</v>
      </c>
      <c r="N328" s="124" t="n">
        <f aca="false">SUM(J$6:J328)</f>
        <v>0</v>
      </c>
      <c r="P328" s="124" t="n">
        <f aca="false">D328/P$3</f>
        <v>0</v>
      </c>
      <c r="Q328" s="124" t="n">
        <f aca="false">E328/P$3</f>
        <v>0</v>
      </c>
      <c r="R328" s="124" t="n">
        <f aca="false">F328/R$3</f>
        <v>0</v>
      </c>
      <c r="S328" s="126" t="n">
        <f aca="false">J328/$R$3</f>
        <v>0</v>
      </c>
      <c r="T328" s="126" t="n">
        <f aca="false">L328/$R$3</f>
        <v>0</v>
      </c>
      <c r="U328" s="126" t="n">
        <f aca="false">I328/$R$3</f>
        <v>0</v>
      </c>
      <c r="V328" s="126" t="n">
        <f aca="false">M328/$R$3</f>
        <v>0</v>
      </c>
      <c r="W328" s="126" t="n">
        <f aca="false">N328/$R$3</f>
        <v>0</v>
      </c>
    </row>
    <row r="329" customFormat="false" ht="12.75" hidden="false" customHeight="false" outlineLevel="0" collapsed="false">
      <c r="A329" s="120" t="n">
        <f aca="false">A328+1</f>
        <v>37215</v>
      </c>
      <c r="B329" s="131" t="str">
        <f aca="false">INDEX('Master Data'!$A$2:$B$8,MATCH(WEEKDAY('SC Total Gas'!A329,3),'Master Data'!$A$2:$A$8,0),2)</f>
        <v>T</v>
      </c>
      <c r="D329" s="124" t="n">
        <v>0</v>
      </c>
      <c r="E329" s="124" t="n">
        <v>0</v>
      </c>
      <c r="F329" s="124" t="n">
        <v>0</v>
      </c>
      <c r="G329" s="124" t="n">
        <v>0</v>
      </c>
      <c r="I329" s="124" t="n">
        <f aca="false">IF(MONTH($A329)=MONTH($A328),IF(G329=0,I328,G329),G329)</f>
        <v>0</v>
      </c>
      <c r="J329" s="124" t="n">
        <f aca="false">IF(MONTH($A329)=MONTH($A328),SUM(I329-I328),I329)</f>
        <v>0</v>
      </c>
      <c r="K329" s="124" t="n">
        <f aca="false">IF(WEEKDAY(A329,3)&gt;4,0,(IF(A329&lt;K$2,0,IF(A329&lt;=K$3,1,0))))</f>
        <v>0</v>
      </c>
      <c r="L329" s="124" t="n">
        <f aca="false">J329*K329</f>
        <v>0</v>
      </c>
      <c r="M329" s="124" t="n">
        <f aca="false">SUM(J$280:J329)</f>
        <v>0</v>
      </c>
      <c r="N329" s="124" t="n">
        <f aca="false">SUM(J$6:J329)</f>
        <v>0</v>
      </c>
      <c r="P329" s="124" t="n">
        <f aca="false">D329/P$3</f>
        <v>0</v>
      </c>
      <c r="Q329" s="124" t="n">
        <f aca="false">E329/P$3</f>
        <v>0</v>
      </c>
      <c r="R329" s="124" t="n">
        <f aca="false">F329/R$3</f>
        <v>0</v>
      </c>
      <c r="S329" s="126" t="n">
        <f aca="false">J329/$R$3</f>
        <v>0</v>
      </c>
      <c r="T329" s="126" t="n">
        <f aca="false">L329/$R$3</f>
        <v>0</v>
      </c>
      <c r="U329" s="126" t="n">
        <f aca="false">I329/$R$3</f>
        <v>0</v>
      </c>
      <c r="V329" s="126" t="n">
        <f aca="false">M329/$R$3</f>
        <v>0</v>
      </c>
      <c r="W329" s="126" t="n">
        <f aca="false">N329/$R$3</f>
        <v>0</v>
      </c>
    </row>
    <row r="330" customFormat="false" ht="12.75" hidden="false" customHeight="false" outlineLevel="0" collapsed="false">
      <c r="A330" s="120" t="n">
        <f aca="false">A329+1</f>
        <v>37216</v>
      </c>
      <c r="B330" s="131" t="str">
        <f aca="false">INDEX('Master Data'!$A$2:$B$8,MATCH(WEEKDAY('SC Total Gas'!A330,3),'Master Data'!$A$2:$A$8,0),2)</f>
        <v>W</v>
      </c>
      <c r="D330" s="124" t="n">
        <v>0</v>
      </c>
      <c r="E330" s="124" t="n">
        <v>0</v>
      </c>
      <c r="F330" s="124" t="n">
        <v>0</v>
      </c>
      <c r="G330" s="124" t="n">
        <v>0</v>
      </c>
      <c r="I330" s="124" t="n">
        <f aca="false">IF(MONTH($A330)=MONTH($A329),IF(G330=0,I329,G330),G330)</f>
        <v>0</v>
      </c>
      <c r="J330" s="124" t="n">
        <f aca="false">IF(MONTH($A330)=MONTH($A329),SUM(I330-I329),I330)</f>
        <v>0</v>
      </c>
      <c r="K330" s="124" t="n">
        <f aca="false">IF(WEEKDAY(A330,3)&gt;4,0,(IF(A330&lt;K$2,0,IF(A330&lt;=K$3,1,0))))</f>
        <v>0</v>
      </c>
      <c r="L330" s="124" t="n">
        <f aca="false">J330*K330</f>
        <v>0</v>
      </c>
      <c r="M330" s="124" t="n">
        <f aca="false">SUM(J$280:J330)</f>
        <v>0</v>
      </c>
      <c r="N330" s="124" t="n">
        <f aca="false">SUM(J$6:J330)</f>
        <v>0</v>
      </c>
      <c r="P330" s="124" t="n">
        <f aca="false">D330/P$3</f>
        <v>0</v>
      </c>
      <c r="Q330" s="124" t="n">
        <f aca="false">E330/P$3</f>
        <v>0</v>
      </c>
      <c r="R330" s="124" t="n">
        <f aca="false">F330/R$3</f>
        <v>0</v>
      </c>
      <c r="S330" s="126" t="n">
        <f aca="false">J330/$R$3</f>
        <v>0</v>
      </c>
      <c r="T330" s="126" t="n">
        <f aca="false">L330/$R$3</f>
        <v>0</v>
      </c>
      <c r="U330" s="126" t="n">
        <f aca="false">I330/$R$3</f>
        <v>0</v>
      </c>
      <c r="V330" s="126" t="n">
        <f aca="false">M330/$R$3</f>
        <v>0</v>
      </c>
      <c r="W330" s="126" t="n">
        <f aca="false">N330/$R$3</f>
        <v>0</v>
      </c>
    </row>
    <row r="331" customFormat="false" ht="12.75" hidden="false" customHeight="false" outlineLevel="0" collapsed="false">
      <c r="A331" s="120" t="n">
        <f aca="false">A330+1</f>
        <v>37217</v>
      </c>
      <c r="B331" s="131" t="str">
        <f aca="false">INDEX('Master Data'!$A$2:$B$8,MATCH(WEEKDAY('SC Total Gas'!A331,3),'Master Data'!$A$2:$A$8,0),2)</f>
        <v>Th</v>
      </c>
      <c r="D331" s="124" t="n">
        <v>0</v>
      </c>
      <c r="E331" s="124" t="n">
        <v>0</v>
      </c>
      <c r="F331" s="124" t="n">
        <v>0</v>
      </c>
      <c r="G331" s="124" t="n">
        <v>0</v>
      </c>
      <c r="I331" s="124" t="n">
        <f aca="false">IF(MONTH($A331)=MONTH($A330),IF(G331=0,I330,G331),G331)</f>
        <v>0</v>
      </c>
      <c r="J331" s="124" t="n">
        <f aca="false">IF(MONTH($A331)=MONTH($A330),SUM(I331-I330),I331)</f>
        <v>0</v>
      </c>
      <c r="K331" s="124" t="n">
        <f aca="false">IF(WEEKDAY(A331,3)&gt;4,0,(IF(A331&lt;K$2,0,IF(A331&lt;=K$3,1,0))))</f>
        <v>0</v>
      </c>
      <c r="L331" s="124" t="n">
        <f aca="false">J331*K331</f>
        <v>0</v>
      </c>
      <c r="M331" s="124" t="n">
        <f aca="false">SUM(J$280:J331)</f>
        <v>0</v>
      </c>
      <c r="N331" s="124" t="n">
        <f aca="false">SUM(J$6:J331)</f>
        <v>0</v>
      </c>
      <c r="P331" s="124" t="n">
        <f aca="false">D331/P$3</f>
        <v>0</v>
      </c>
      <c r="Q331" s="124" t="n">
        <f aca="false">E331/P$3</f>
        <v>0</v>
      </c>
      <c r="R331" s="124" t="n">
        <f aca="false">F331/R$3</f>
        <v>0</v>
      </c>
      <c r="S331" s="126" t="n">
        <f aca="false">J331/$R$3</f>
        <v>0</v>
      </c>
      <c r="T331" s="126" t="n">
        <f aca="false">L331/$R$3</f>
        <v>0</v>
      </c>
      <c r="U331" s="126" t="n">
        <f aca="false">I331/$R$3</f>
        <v>0</v>
      </c>
      <c r="V331" s="126" t="n">
        <f aca="false">M331/$R$3</f>
        <v>0</v>
      </c>
      <c r="W331" s="126" t="n">
        <f aca="false">N331/$R$3</f>
        <v>0</v>
      </c>
    </row>
    <row r="332" customFormat="false" ht="12.75" hidden="false" customHeight="false" outlineLevel="0" collapsed="false">
      <c r="A332" s="120" t="n">
        <f aca="false">A331+1</f>
        <v>37218</v>
      </c>
      <c r="B332" s="131" t="str">
        <f aca="false">INDEX('Master Data'!$A$2:$B$8,MATCH(WEEKDAY('SC Total Gas'!A332,3),'Master Data'!$A$2:$A$8,0),2)</f>
        <v>F</v>
      </c>
      <c r="D332" s="124" t="n">
        <v>0</v>
      </c>
      <c r="E332" s="124" t="n">
        <v>0</v>
      </c>
      <c r="F332" s="124" t="n">
        <v>0</v>
      </c>
      <c r="G332" s="124" t="n">
        <v>0</v>
      </c>
      <c r="I332" s="124" t="n">
        <f aca="false">IF(MONTH($A332)=MONTH($A331),IF(G332=0,I331,G332),G332)</f>
        <v>0</v>
      </c>
      <c r="J332" s="124" t="n">
        <f aca="false">IF(MONTH($A332)=MONTH($A331),SUM(I332-I331),I332)</f>
        <v>0</v>
      </c>
      <c r="K332" s="124" t="n">
        <f aca="false">IF(WEEKDAY(A332,3)&gt;4,0,(IF(A332&lt;K$2,0,IF(A332&lt;=K$3,1,0))))</f>
        <v>0</v>
      </c>
      <c r="L332" s="124" t="n">
        <f aca="false">J332*K332</f>
        <v>0</v>
      </c>
      <c r="M332" s="124" t="n">
        <f aca="false">SUM(J$280:J332)</f>
        <v>0</v>
      </c>
      <c r="N332" s="124" t="n">
        <f aca="false">SUM(J$6:J332)</f>
        <v>0</v>
      </c>
      <c r="P332" s="124" t="n">
        <f aca="false">D332/P$3</f>
        <v>0</v>
      </c>
      <c r="Q332" s="124" t="n">
        <f aca="false">E332/P$3</f>
        <v>0</v>
      </c>
      <c r="R332" s="124" t="n">
        <f aca="false">F332/R$3</f>
        <v>0</v>
      </c>
      <c r="S332" s="126" t="n">
        <f aca="false">J332/$R$3</f>
        <v>0</v>
      </c>
      <c r="T332" s="126" t="n">
        <f aca="false">L332/$R$3</f>
        <v>0</v>
      </c>
      <c r="U332" s="126" t="n">
        <f aca="false">I332/$R$3</f>
        <v>0</v>
      </c>
      <c r="V332" s="126" t="n">
        <f aca="false">M332/$R$3</f>
        <v>0</v>
      </c>
      <c r="W332" s="126" t="n">
        <f aca="false">N332/$R$3</f>
        <v>0</v>
      </c>
    </row>
    <row r="333" customFormat="false" ht="12.75" hidden="false" customHeight="false" outlineLevel="0" collapsed="false">
      <c r="A333" s="120" t="n">
        <f aca="false">A332+1</f>
        <v>37219</v>
      </c>
      <c r="B333" s="131" t="str">
        <f aca="false">INDEX('Master Data'!$A$2:$B$8,MATCH(WEEKDAY('SC Total Gas'!A333,3),'Master Data'!$A$2:$A$8,0),2)</f>
        <v>Sa</v>
      </c>
      <c r="D333" s="124" t="n">
        <v>0</v>
      </c>
      <c r="E333" s="124" t="n">
        <v>0</v>
      </c>
      <c r="F333" s="124" t="n">
        <v>0</v>
      </c>
      <c r="G333" s="124" t="n">
        <v>0</v>
      </c>
      <c r="I333" s="124" t="n">
        <f aca="false">IF(MONTH($A333)=MONTH($A332),IF(G333=0,I332,G333),G333)</f>
        <v>0</v>
      </c>
      <c r="J333" s="124" t="n">
        <f aca="false">IF(MONTH($A333)=MONTH($A332),SUM(I333-I332),I333)</f>
        <v>0</v>
      </c>
      <c r="K333" s="124" t="n">
        <f aca="false">IF(WEEKDAY(A333,3)&gt;4,0,(IF(A333&lt;K$2,0,IF(A333&lt;=K$3,1,0))))</f>
        <v>0</v>
      </c>
      <c r="L333" s="124" t="n">
        <f aca="false">J333*K333</f>
        <v>0</v>
      </c>
      <c r="M333" s="124" t="n">
        <f aca="false">SUM(J$280:J333)</f>
        <v>0</v>
      </c>
      <c r="N333" s="124" t="n">
        <f aca="false">SUM(J$6:J333)</f>
        <v>0</v>
      </c>
      <c r="P333" s="124" t="n">
        <f aca="false">D333/P$3</f>
        <v>0</v>
      </c>
      <c r="Q333" s="124" t="n">
        <f aca="false">E337/P$3</f>
        <v>0</v>
      </c>
      <c r="R333" s="124" t="n">
        <f aca="false">F333/R$3</f>
        <v>0</v>
      </c>
      <c r="S333" s="126" t="n">
        <f aca="false">J333/$R$3</f>
        <v>0</v>
      </c>
      <c r="T333" s="126" t="n">
        <f aca="false">L333/$R$3</f>
        <v>0</v>
      </c>
      <c r="U333" s="126" t="n">
        <f aca="false">I333/$R$3</f>
        <v>0</v>
      </c>
      <c r="V333" s="126" t="n">
        <f aca="false">M333/$R$3</f>
        <v>0</v>
      </c>
      <c r="W333" s="126" t="n">
        <f aca="false">N333/$R$3</f>
        <v>0</v>
      </c>
    </row>
    <row r="334" customFormat="false" ht="12.75" hidden="false" customHeight="true" outlineLevel="0" collapsed="false">
      <c r="A334" s="120" t="n">
        <f aca="false">A333+1</f>
        <v>37220</v>
      </c>
      <c r="B334" s="131" t="str">
        <f aca="false">INDEX('Master Data'!$A$2:$B$8,MATCH(WEEKDAY('SC Total Gas'!A334,3),'Master Data'!$A$2:$A$8,0),2)</f>
        <v>Su</v>
      </c>
      <c r="D334" s="124" t="n">
        <v>0</v>
      </c>
      <c r="E334" s="124" t="n">
        <v>0</v>
      </c>
      <c r="F334" s="124" t="n">
        <v>0</v>
      </c>
      <c r="G334" s="124" t="n">
        <v>0</v>
      </c>
      <c r="I334" s="124" t="n">
        <f aca="false">IF(MONTH($A334)=MONTH($A333),IF(G334=0,I333,G334),G334)</f>
        <v>0</v>
      </c>
      <c r="J334" s="124" t="n">
        <f aca="false">IF(MONTH($A334)=MONTH($A333),SUM(I334-I333),I334)</f>
        <v>0</v>
      </c>
      <c r="K334" s="124" t="n">
        <f aca="false">IF(WEEKDAY(A334,3)&gt;4,0,(IF(A334&lt;K$2,0,IF(A334&lt;=K$3,1,0))))</f>
        <v>0</v>
      </c>
      <c r="L334" s="124" t="n">
        <f aca="false">J334*K334</f>
        <v>0</v>
      </c>
      <c r="M334" s="124" t="n">
        <f aca="false">SUM(J$280:J334)</f>
        <v>0</v>
      </c>
      <c r="N334" s="124" t="n">
        <f aca="false">SUM(J$6:J334)</f>
        <v>0</v>
      </c>
      <c r="P334" s="124" t="n">
        <f aca="false">D334/P$3</f>
        <v>0</v>
      </c>
      <c r="Q334" s="124" t="n">
        <f aca="false">E334/P$3</f>
        <v>0</v>
      </c>
      <c r="R334" s="124" t="n">
        <f aca="false">F334/R$3</f>
        <v>0</v>
      </c>
      <c r="S334" s="126" t="n">
        <f aca="false">J334/$R$3</f>
        <v>0</v>
      </c>
      <c r="T334" s="126" t="n">
        <f aca="false">L334/$R$3</f>
        <v>0</v>
      </c>
      <c r="U334" s="126" t="n">
        <f aca="false">I334/$R$3</f>
        <v>0</v>
      </c>
      <c r="V334" s="126" t="n">
        <f aca="false">M334/$R$3</f>
        <v>0</v>
      </c>
      <c r="W334" s="126" t="n">
        <f aca="false">N334/$R$3</f>
        <v>0</v>
      </c>
    </row>
    <row r="335" customFormat="false" ht="12.75" hidden="false" customHeight="false" outlineLevel="0" collapsed="false">
      <c r="A335" s="120" t="n">
        <f aca="false">A334+1</f>
        <v>37221</v>
      </c>
      <c r="B335" s="131" t="str">
        <f aca="false">INDEX('Master Data'!$A$2:$B$8,MATCH(WEEKDAY('SC Total Gas'!A335,3),'Master Data'!$A$2:$A$8,0),2)</f>
        <v>M</v>
      </c>
      <c r="D335" s="124" t="n">
        <v>0</v>
      </c>
      <c r="E335" s="124" t="n">
        <v>0</v>
      </c>
      <c r="F335" s="124" t="n">
        <v>0</v>
      </c>
      <c r="G335" s="124" t="n">
        <v>0</v>
      </c>
      <c r="I335" s="124" t="n">
        <f aca="false">IF(MONTH($A335)=MONTH($A334),IF(G335=0,I334,G335),G335)</f>
        <v>0</v>
      </c>
      <c r="J335" s="124" t="n">
        <f aca="false">IF(MONTH($A335)=MONTH($A334),SUM(I335-I334),I335)</f>
        <v>0</v>
      </c>
      <c r="K335" s="124" t="n">
        <f aca="false">IF(WEEKDAY(A335,3)&gt;4,0,(IF(A335&lt;K$2,0,IF(A335&lt;=K$3,1,0))))</f>
        <v>0</v>
      </c>
      <c r="L335" s="124" t="n">
        <f aca="false">J335*K335</f>
        <v>0</v>
      </c>
      <c r="M335" s="124" t="n">
        <f aca="false">SUM(J$280:J335)</f>
        <v>0</v>
      </c>
      <c r="N335" s="124" t="n">
        <f aca="false">SUM(J$6:J335)</f>
        <v>0</v>
      </c>
      <c r="P335" s="124" t="n">
        <f aca="false">D335/P$3</f>
        <v>0</v>
      </c>
      <c r="Q335" s="124" t="n">
        <f aca="false">E335/P$3</f>
        <v>0</v>
      </c>
      <c r="R335" s="124" t="n">
        <f aca="false">F335/R$3</f>
        <v>0</v>
      </c>
      <c r="S335" s="126" t="n">
        <f aca="false">J335/$R$3</f>
        <v>0</v>
      </c>
      <c r="T335" s="126" t="n">
        <f aca="false">L335/$R$3</f>
        <v>0</v>
      </c>
      <c r="U335" s="126" t="n">
        <f aca="false">I335/$R$3</f>
        <v>0</v>
      </c>
      <c r="V335" s="126" t="n">
        <f aca="false">M335/$R$3</f>
        <v>0</v>
      </c>
      <c r="W335" s="126" t="n">
        <f aca="false">N335/$R$3</f>
        <v>0</v>
      </c>
    </row>
    <row r="336" customFormat="false" ht="12.75" hidden="false" customHeight="false" outlineLevel="0" collapsed="false">
      <c r="A336" s="120" t="n">
        <f aca="false">A335+1</f>
        <v>37222</v>
      </c>
      <c r="B336" s="131" t="str">
        <f aca="false">INDEX('Master Data'!$A$2:$B$8,MATCH(WEEKDAY('SC Total Gas'!A336,3),'Master Data'!$A$2:$A$8,0),2)</f>
        <v>T</v>
      </c>
      <c r="D336" s="124" t="n">
        <v>0</v>
      </c>
      <c r="E336" s="124" t="n">
        <v>0</v>
      </c>
      <c r="F336" s="124" t="n">
        <v>0</v>
      </c>
      <c r="G336" s="124" t="n">
        <v>0</v>
      </c>
      <c r="I336" s="124" t="n">
        <f aca="false">IF(MONTH($A336)=MONTH($A335),IF(G336=0,I335,G336),G336)</f>
        <v>0</v>
      </c>
      <c r="J336" s="124" t="n">
        <f aca="false">IF(MONTH($A336)=MONTH($A335),SUM(I336-I335),I336)</f>
        <v>0</v>
      </c>
      <c r="K336" s="124" t="n">
        <f aca="false">IF(WEEKDAY(A336,3)&gt;4,0,(IF(A336&lt;K$2,0,IF(A336&lt;=K$3,1,0))))</f>
        <v>0</v>
      </c>
      <c r="L336" s="124" t="n">
        <f aca="false">J336*K336</f>
        <v>0</v>
      </c>
      <c r="M336" s="124" t="n">
        <f aca="false">SUM(J$280:J336)</f>
        <v>0</v>
      </c>
      <c r="N336" s="124" t="n">
        <f aca="false">SUM(J$6:J336)</f>
        <v>0</v>
      </c>
      <c r="P336" s="124" t="n">
        <f aca="false">D336/P$3</f>
        <v>0</v>
      </c>
      <c r="Q336" s="124" t="n">
        <f aca="false">E336/P$3</f>
        <v>0</v>
      </c>
      <c r="R336" s="124" t="n">
        <f aca="false">F336/R$3</f>
        <v>0</v>
      </c>
      <c r="S336" s="126" t="n">
        <f aca="false">J336/$R$3</f>
        <v>0</v>
      </c>
      <c r="T336" s="126" t="n">
        <f aca="false">L336/$R$3</f>
        <v>0</v>
      </c>
      <c r="U336" s="126" t="n">
        <f aca="false">I336/$R$3</f>
        <v>0</v>
      </c>
      <c r="V336" s="126" t="n">
        <f aca="false">M336/$R$3</f>
        <v>0</v>
      </c>
      <c r="W336" s="126" t="n">
        <f aca="false">N336/$R$3</f>
        <v>0</v>
      </c>
    </row>
    <row r="337" customFormat="false" ht="12.75" hidden="false" customHeight="false" outlineLevel="0" collapsed="false">
      <c r="A337" s="120" t="n">
        <f aca="false">A336+1</f>
        <v>37223</v>
      </c>
      <c r="B337" s="131" t="str">
        <f aca="false">INDEX('Master Data'!$A$2:$B$8,MATCH(WEEKDAY('SC Total Gas'!A337,3),'Master Data'!$A$2:$A$8,0),2)</f>
        <v>W</v>
      </c>
      <c r="D337" s="124" t="n">
        <v>0</v>
      </c>
      <c r="E337" s="124" t="n">
        <v>0</v>
      </c>
      <c r="F337" s="124" t="n">
        <v>0</v>
      </c>
      <c r="G337" s="124" t="n">
        <v>0</v>
      </c>
      <c r="I337" s="124" t="n">
        <f aca="false">IF(MONTH($A337)=MONTH($A336),IF(G337=0,I336,G337),G337)</f>
        <v>0</v>
      </c>
      <c r="J337" s="124" t="n">
        <f aca="false">IF(MONTH($A337)=MONTH($A336),SUM(I337-I336),I337)</f>
        <v>0</v>
      </c>
      <c r="K337" s="124" t="n">
        <f aca="false">IF(WEEKDAY(A337,3)&gt;4,0,(IF(A337&lt;K$2,0,IF(A337&lt;=K$3,1,0))))</f>
        <v>0</v>
      </c>
      <c r="L337" s="124" t="n">
        <f aca="false">J337*K337</f>
        <v>0</v>
      </c>
      <c r="M337" s="124" t="n">
        <f aca="false">SUM(J$280:J337)</f>
        <v>0</v>
      </c>
      <c r="N337" s="124" t="n">
        <f aca="false">SUM(J$6:J337)</f>
        <v>0</v>
      </c>
      <c r="P337" s="124" t="n">
        <f aca="false">D337/P$3</f>
        <v>0</v>
      </c>
      <c r="Q337" s="124" t="n">
        <f aca="false">E337/P$3</f>
        <v>0</v>
      </c>
      <c r="R337" s="124" t="n">
        <f aca="false">F337/R$3</f>
        <v>0</v>
      </c>
      <c r="S337" s="126" t="n">
        <f aca="false">J337/$R$3</f>
        <v>0</v>
      </c>
      <c r="T337" s="126" t="n">
        <f aca="false">L337/$R$3</f>
        <v>0</v>
      </c>
      <c r="U337" s="126" t="n">
        <f aca="false">I337/$R$3</f>
        <v>0</v>
      </c>
      <c r="V337" s="126" t="n">
        <f aca="false">M337/$R$3</f>
        <v>0</v>
      </c>
      <c r="W337" s="126" t="n">
        <f aca="false">N337/$R$3</f>
        <v>0</v>
      </c>
    </row>
    <row r="338" customFormat="false" ht="12.75" hidden="false" customHeight="false" outlineLevel="0" collapsed="false">
      <c r="A338" s="120" t="n">
        <f aca="false">A337+1</f>
        <v>37224</v>
      </c>
      <c r="B338" s="131" t="str">
        <f aca="false">INDEX('Master Data'!$A$2:$B$8,MATCH(WEEKDAY('SC Total Gas'!A338,3),'Master Data'!$A$2:$A$8,0),2)</f>
        <v>Th</v>
      </c>
      <c r="D338" s="124" t="n">
        <v>0</v>
      </c>
      <c r="E338" s="124" t="n">
        <v>0</v>
      </c>
      <c r="F338" s="124" t="n">
        <v>0</v>
      </c>
      <c r="G338" s="124" t="n">
        <v>0</v>
      </c>
      <c r="I338" s="124" t="n">
        <f aca="false">IF(MONTH($A338)=MONTH($A337),IF(G338=0,I337,G338),G338)</f>
        <v>0</v>
      </c>
      <c r="J338" s="124" t="n">
        <f aca="false">IF(MONTH($A338)=MONTH($A337),SUM(I338-I337),I338)</f>
        <v>0</v>
      </c>
      <c r="K338" s="124" t="n">
        <f aca="false">IF(WEEKDAY(A338,3)&gt;4,0,(IF(A338&lt;K$2,0,IF(A338&lt;=K$3,1,0))))</f>
        <v>0</v>
      </c>
      <c r="L338" s="124" t="n">
        <f aca="false">J338*K338</f>
        <v>0</v>
      </c>
      <c r="M338" s="124" t="n">
        <f aca="false">SUM(J$280:J338)</f>
        <v>0</v>
      </c>
      <c r="N338" s="124" t="n">
        <f aca="false">SUM(J$6:J338)</f>
        <v>0</v>
      </c>
      <c r="P338" s="124" t="n">
        <f aca="false">D338/P$3</f>
        <v>0</v>
      </c>
      <c r="Q338" s="124" t="n">
        <f aca="false">E338/P$3</f>
        <v>0</v>
      </c>
      <c r="R338" s="124" t="n">
        <f aca="false">F338/R$3</f>
        <v>0</v>
      </c>
      <c r="S338" s="126" t="n">
        <f aca="false">J338/$R$3</f>
        <v>0</v>
      </c>
      <c r="T338" s="126" t="n">
        <f aca="false">L338/$R$3</f>
        <v>0</v>
      </c>
      <c r="U338" s="126" t="n">
        <f aca="false">I338/$R$3</f>
        <v>0</v>
      </c>
      <c r="V338" s="126" t="n">
        <f aca="false">M338/$R$3</f>
        <v>0</v>
      </c>
      <c r="W338" s="126" t="n">
        <f aca="false">N338/$R$3</f>
        <v>0</v>
      </c>
    </row>
    <row r="339" customFormat="false" ht="12.75" hidden="false" customHeight="false" outlineLevel="0" collapsed="false">
      <c r="A339" s="120" t="n">
        <f aca="false">A338+1</f>
        <v>37225</v>
      </c>
      <c r="B339" s="131" t="str">
        <f aca="false">INDEX('Master Data'!$A$2:$B$8,MATCH(WEEKDAY('SC Total Gas'!A339,3),'Master Data'!$A$2:$A$8,0),2)</f>
        <v>F</v>
      </c>
      <c r="D339" s="124" t="n">
        <v>0</v>
      </c>
      <c r="E339" s="124" t="n">
        <v>0</v>
      </c>
      <c r="F339" s="124" t="n">
        <v>0</v>
      </c>
      <c r="G339" s="124" t="n">
        <v>0</v>
      </c>
      <c r="I339" s="124" t="n">
        <f aca="false">IF(MONTH($A339)=MONTH($A338),IF(G339=0,I338,G339),G339)</f>
        <v>0</v>
      </c>
      <c r="J339" s="124" t="n">
        <f aca="false">IF(MONTH($A339)=MONTH($A338),SUM(I339-I338),I339)</f>
        <v>0</v>
      </c>
      <c r="K339" s="124" t="n">
        <f aca="false">IF(WEEKDAY(A339,3)&gt;4,0,(IF(A339&lt;K$2,0,IF(A339&lt;=K$3,1,0))))</f>
        <v>0</v>
      </c>
      <c r="L339" s="124" t="n">
        <f aca="false">J339*K339</f>
        <v>0</v>
      </c>
      <c r="M339" s="124" t="n">
        <f aca="false">SUM(J$280:J339)</f>
        <v>0</v>
      </c>
      <c r="N339" s="124" t="n">
        <f aca="false">SUM(J$6:J339)</f>
        <v>0</v>
      </c>
      <c r="P339" s="124" t="n">
        <f aca="false">D339/P$3</f>
        <v>0</v>
      </c>
      <c r="Q339" s="124" t="n">
        <f aca="false">E339/P$3</f>
        <v>0</v>
      </c>
      <c r="R339" s="124" t="n">
        <f aca="false">F339/R$3</f>
        <v>0</v>
      </c>
      <c r="S339" s="126" t="n">
        <f aca="false">J339/$R$3</f>
        <v>0</v>
      </c>
      <c r="T339" s="126" t="n">
        <f aca="false">L339/$R$3</f>
        <v>0</v>
      </c>
      <c r="U339" s="126" t="n">
        <f aca="false">I339/$R$3</f>
        <v>0</v>
      </c>
      <c r="V339" s="126" t="n">
        <f aca="false">M339/$R$3</f>
        <v>0</v>
      </c>
      <c r="W339" s="126" t="n">
        <f aca="false">N339/$R$3</f>
        <v>0</v>
      </c>
    </row>
    <row r="340" customFormat="false" ht="12.75" hidden="false" customHeight="false" outlineLevel="0" collapsed="false">
      <c r="A340" s="120" t="n">
        <f aca="false">A339+1</f>
        <v>37226</v>
      </c>
      <c r="B340" s="131" t="str">
        <f aca="false">INDEX('Master Data'!$A$2:$B$8,MATCH(WEEKDAY('SC Total Gas'!A340,3),'Master Data'!$A$2:$A$8,0),2)</f>
        <v>Sa</v>
      </c>
      <c r="D340" s="124" t="n">
        <v>0</v>
      </c>
      <c r="E340" s="124" t="n">
        <v>0</v>
      </c>
      <c r="F340" s="124" t="n">
        <v>0</v>
      </c>
      <c r="G340" s="124" t="n">
        <v>0</v>
      </c>
      <c r="I340" s="124" t="n">
        <f aca="false">IF(MONTH($A340)=MONTH($A339),IF(G340=0,I339,G340),G340)</f>
        <v>0</v>
      </c>
      <c r="J340" s="124" t="n">
        <f aca="false">IF(MONTH($A340)=MONTH($A339),SUM(I340-I339),I340)</f>
        <v>0</v>
      </c>
      <c r="K340" s="124" t="n">
        <f aca="false">IF(WEEKDAY(A340,3)&gt;4,0,(IF(A340&lt;K$2,0,IF(A340&lt;=K$3,1,0))))</f>
        <v>0</v>
      </c>
      <c r="L340" s="124" t="n">
        <f aca="false">J340*K340</f>
        <v>0</v>
      </c>
      <c r="M340" s="124" t="n">
        <f aca="false">SUM(J$280:J340)</f>
        <v>0</v>
      </c>
      <c r="N340" s="124" t="n">
        <f aca="false">SUM(J$6:J340)</f>
        <v>0</v>
      </c>
      <c r="P340" s="124" t="n">
        <f aca="false">D340/P$3</f>
        <v>0</v>
      </c>
      <c r="Q340" s="124" t="n">
        <f aca="false">E340/P$3</f>
        <v>0</v>
      </c>
      <c r="R340" s="124" t="n">
        <f aca="false">F340/R$3</f>
        <v>0</v>
      </c>
      <c r="S340" s="126" t="n">
        <f aca="false">J340/$R$3</f>
        <v>0</v>
      </c>
      <c r="T340" s="126" t="n">
        <f aca="false">L340/$R$3</f>
        <v>0</v>
      </c>
      <c r="U340" s="126" t="n">
        <f aca="false">I340/$R$3</f>
        <v>0</v>
      </c>
      <c r="V340" s="126" t="n">
        <f aca="false">M340/$R$3</f>
        <v>0</v>
      </c>
      <c r="W340" s="126" t="n">
        <f aca="false">N340/$R$3</f>
        <v>0</v>
      </c>
    </row>
    <row r="341" customFormat="false" ht="12.75" hidden="false" customHeight="false" outlineLevel="0" collapsed="false">
      <c r="A341" s="120" t="n">
        <f aca="false">A340+1</f>
        <v>37227</v>
      </c>
      <c r="B341" s="131" t="str">
        <f aca="false">INDEX('Master Data'!$A$2:$B$8,MATCH(WEEKDAY('SC Total Gas'!A341,3),'Master Data'!$A$2:$A$8,0),2)</f>
        <v>Su</v>
      </c>
      <c r="D341" s="124" t="n">
        <v>0</v>
      </c>
      <c r="E341" s="124" t="n">
        <v>0</v>
      </c>
      <c r="F341" s="124" t="n">
        <v>0</v>
      </c>
      <c r="G341" s="124" t="n">
        <v>0</v>
      </c>
      <c r="I341" s="124" t="n">
        <f aca="false">IF(MONTH($A341)=MONTH($A340),IF(G341=0,I340,G341),G341)</f>
        <v>0</v>
      </c>
      <c r="J341" s="124" t="n">
        <f aca="false">IF(MONTH($A341)=MONTH($A340),SUM(I341-I340),I341)</f>
        <v>0</v>
      </c>
      <c r="K341" s="124" t="n">
        <f aca="false">IF(WEEKDAY(A341,3)&gt;4,0,(IF(A341&lt;K$2,0,IF(A341&lt;=K$3,1,0))))</f>
        <v>0</v>
      </c>
      <c r="L341" s="124" t="n">
        <f aca="false">J341*K341</f>
        <v>0</v>
      </c>
      <c r="M341" s="124" t="n">
        <f aca="false">SUM(J$280:J341)</f>
        <v>0</v>
      </c>
      <c r="N341" s="124" t="n">
        <f aca="false">SUM(J$6:J341)</f>
        <v>0</v>
      </c>
      <c r="P341" s="124" t="n">
        <f aca="false">D341/P$3</f>
        <v>0</v>
      </c>
      <c r="Q341" s="124" t="n">
        <f aca="false">E341/P$3</f>
        <v>0</v>
      </c>
      <c r="R341" s="124" t="n">
        <f aca="false">F341/R$3</f>
        <v>0</v>
      </c>
      <c r="S341" s="126" t="n">
        <f aca="false">J341/$R$3</f>
        <v>0</v>
      </c>
      <c r="T341" s="126" t="n">
        <f aca="false">L341/$R$3</f>
        <v>0</v>
      </c>
      <c r="U341" s="126" t="n">
        <f aca="false">I341/$R$3</f>
        <v>0</v>
      </c>
      <c r="V341" s="126" t="n">
        <f aca="false">M341/$R$3</f>
        <v>0</v>
      </c>
      <c r="W341" s="126" t="n">
        <f aca="false">N341/$R$3</f>
        <v>0</v>
      </c>
    </row>
    <row r="342" customFormat="false" ht="12.75" hidden="false" customHeight="false" outlineLevel="0" collapsed="false">
      <c r="A342" s="120" t="n">
        <f aca="false">A341+1</f>
        <v>37228</v>
      </c>
      <c r="B342" s="131" t="str">
        <f aca="false">INDEX('Master Data'!$A$2:$B$8,MATCH(WEEKDAY('SC Total Gas'!A342,3),'Master Data'!$A$2:$A$8,0),2)</f>
        <v>M</v>
      </c>
      <c r="D342" s="124" t="n">
        <v>0</v>
      </c>
      <c r="E342" s="124" t="n">
        <v>0</v>
      </c>
      <c r="F342" s="124" t="n">
        <v>0</v>
      </c>
      <c r="G342" s="124" t="n">
        <v>0</v>
      </c>
      <c r="I342" s="124" t="n">
        <f aca="false">IF(MONTH($A342)=MONTH($A341),IF(G342=0,I341,G342),G342)</f>
        <v>0</v>
      </c>
      <c r="J342" s="124" t="n">
        <f aca="false">IF(MONTH($A342)=MONTH($A341),SUM(I342-I341),I342)</f>
        <v>0</v>
      </c>
      <c r="K342" s="124" t="n">
        <f aca="false">IF(WEEKDAY(A342,3)&gt;4,0,(IF(A342&lt;K$2,0,IF(A342&lt;=K$3,1,0))))</f>
        <v>0</v>
      </c>
      <c r="L342" s="124" t="n">
        <f aca="false">J342*K342</f>
        <v>0</v>
      </c>
      <c r="M342" s="124" t="n">
        <f aca="false">SUM(J$280:J342)</f>
        <v>0</v>
      </c>
      <c r="N342" s="124" t="n">
        <f aca="false">SUM(J$6:J342)</f>
        <v>0</v>
      </c>
      <c r="P342" s="124" t="n">
        <f aca="false">D342/P$3</f>
        <v>0</v>
      </c>
      <c r="Q342" s="124" t="n">
        <f aca="false">E342/P$3</f>
        <v>0</v>
      </c>
      <c r="R342" s="124" t="n">
        <f aca="false">F342/R$3</f>
        <v>0</v>
      </c>
      <c r="S342" s="126" t="n">
        <f aca="false">J342/$R$3</f>
        <v>0</v>
      </c>
      <c r="T342" s="126" t="n">
        <f aca="false">L342/$R$3</f>
        <v>0</v>
      </c>
      <c r="U342" s="126" t="n">
        <f aca="false">I342/$R$3</f>
        <v>0</v>
      </c>
      <c r="V342" s="126" t="n">
        <f aca="false">M342/$R$3</f>
        <v>0</v>
      </c>
      <c r="W342" s="126" t="n">
        <f aca="false">N342/$R$3</f>
        <v>0</v>
      </c>
    </row>
    <row r="343" customFormat="false" ht="12.75" hidden="false" customHeight="false" outlineLevel="0" collapsed="false">
      <c r="A343" s="120" t="n">
        <f aca="false">A342+1</f>
        <v>37229</v>
      </c>
      <c r="B343" s="131" t="str">
        <f aca="false">INDEX('Master Data'!$A$2:$B$8,MATCH(WEEKDAY('SC Total Gas'!A343,3),'Master Data'!$A$2:$A$8,0),2)</f>
        <v>T</v>
      </c>
      <c r="D343" s="124" t="n">
        <v>0</v>
      </c>
      <c r="E343" s="124" t="n">
        <v>0</v>
      </c>
      <c r="F343" s="124" t="n">
        <v>0</v>
      </c>
      <c r="G343" s="124" t="n">
        <v>0</v>
      </c>
      <c r="I343" s="124" t="n">
        <f aca="false">IF(MONTH($A343)=MONTH($A342),IF(G343=0,I342,G343),G343)</f>
        <v>0</v>
      </c>
      <c r="J343" s="124" t="n">
        <f aca="false">IF(MONTH($A343)=MONTH($A342),SUM(I343-I342),I343)</f>
        <v>0</v>
      </c>
      <c r="K343" s="124" t="n">
        <f aca="false">IF(WEEKDAY(A343,3)&gt;4,0,(IF(A343&lt;K$2,0,IF(A343&lt;=K$3,1,0))))</f>
        <v>0</v>
      </c>
      <c r="L343" s="124" t="n">
        <f aca="false">J343*K343</f>
        <v>0</v>
      </c>
      <c r="M343" s="124" t="n">
        <f aca="false">SUM(J$280:J343)</f>
        <v>0</v>
      </c>
      <c r="N343" s="124" t="n">
        <f aca="false">SUM(J$6:J343)</f>
        <v>0</v>
      </c>
      <c r="P343" s="124" t="n">
        <f aca="false">D343/P$3</f>
        <v>0</v>
      </c>
      <c r="Q343" s="124" t="n">
        <f aca="false">E343/P$3</f>
        <v>0</v>
      </c>
      <c r="R343" s="124" t="n">
        <f aca="false">F343/R$3</f>
        <v>0</v>
      </c>
      <c r="S343" s="126" t="n">
        <f aca="false">J343/$R$3</f>
        <v>0</v>
      </c>
      <c r="T343" s="126" t="n">
        <f aca="false">L343/$R$3</f>
        <v>0</v>
      </c>
      <c r="U343" s="126" t="n">
        <f aca="false">I343/$R$3</f>
        <v>0</v>
      </c>
      <c r="V343" s="126" t="n">
        <f aca="false">M343/$R$3</f>
        <v>0</v>
      </c>
      <c r="W343" s="126" t="n">
        <f aca="false">N343/$R$3</f>
        <v>0</v>
      </c>
    </row>
    <row r="344" customFormat="false" ht="12.75" hidden="false" customHeight="false" outlineLevel="0" collapsed="false">
      <c r="A344" s="120" t="n">
        <f aca="false">A343+1</f>
        <v>37230</v>
      </c>
      <c r="B344" s="131" t="str">
        <f aca="false">INDEX('Master Data'!$A$2:$B$8,MATCH(WEEKDAY('SC Total Gas'!A344,3),'Master Data'!$A$2:$A$8,0),2)</f>
        <v>W</v>
      </c>
      <c r="D344" s="124" t="n">
        <v>0</v>
      </c>
      <c r="E344" s="124" t="n">
        <v>0</v>
      </c>
      <c r="F344" s="124" t="n">
        <v>0</v>
      </c>
      <c r="G344" s="124" t="n">
        <v>0</v>
      </c>
      <c r="I344" s="124" t="n">
        <f aca="false">IF(MONTH($A344)=MONTH($A343),IF(G344=0,I343,G344),G344)</f>
        <v>0</v>
      </c>
      <c r="J344" s="124" t="n">
        <f aca="false">IF(MONTH($A344)=MONTH($A343),SUM(I344-I343),I344)</f>
        <v>0</v>
      </c>
      <c r="K344" s="124" t="n">
        <f aca="false">IF(WEEKDAY(A344,3)&gt;4,0,(IF(A344&lt;K$2,0,IF(A344&lt;=K$3,1,0))))</f>
        <v>0</v>
      </c>
      <c r="L344" s="124" t="n">
        <f aca="false">J344*K344</f>
        <v>0</v>
      </c>
      <c r="M344" s="124" t="n">
        <f aca="false">SUM(J$280:J344)</f>
        <v>0</v>
      </c>
      <c r="N344" s="124" t="n">
        <f aca="false">SUM(J$6:J344)</f>
        <v>0</v>
      </c>
      <c r="P344" s="124" t="n">
        <f aca="false">D344/P$3</f>
        <v>0</v>
      </c>
      <c r="Q344" s="124" t="n">
        <f aca="false">E344/P$3</f>
        <v>0</v>
      </c>
      <c r="R344" s="124" t="n">
        <f aca="false">F344/R$3</f>
        <v>0</v>
      </c>
      <c r="S344" s="126" t="n">
        <f aca="false">J344/$R$3</f>
        <v>0</v>
      </c>
      <c r="T344" s="126" t="n">
        <f aca="false">L344/$R$3</f>
        <v>0</v>
      </c>
      <c r="U344" s="126" t="n">
        <f aca="false">I344/$R$3</f>
        <v>0</v>
      </c>
      <c r="V344" s="126" t="n">
        <f aca="false">M344/$R$3</f>
        <v>0</v>
      </c>
      <c r="W344" s="126" t="n">
        <f aca="false">N344/$R$3</f>
        <v>0</v>
      </c>
    </row>
    <row r="345" customFormat="false" ht="12.75" hidden="false" customHeight="false" outlineLevel="0" collapsed="false">
      <c r="A345" s="120" t="n">
        <f aca="false">A344+1</f>
        <v>37231</v>
      </c>
      <c r="B345" s="131" t="str">
        <f aca="false">INDEX('Master Data'!$A$2:$B$8,MATCH(WEEKDAY('SC Total Gas'!A345,3),'Master Data'!$A$2:$A$8,0),2)</f>
        <v>Th</v>
      </c>
      <c r="D345" s="124" t="n">
        <v>0</v>
      </c>
      <c r="E345" s="124" t="n">
        <v>0</v>
      </c>
      <c r="F345" s="124" t="n">
        <v>0</v>
      </c>
      <c r="G345" s="124" t="n">
        <v>0</v>
      </c>
      <c r="I345" s="124" t="n">
        <f aca="false">IF(MONTH($A345)=MONTH($A344),IF(G345=0,I344,G345),G345)</f>
        <v>0</v>
      </c>
      <c r="J345" s="124" t="n">
        <f aca="false">IF(MONTH($A345)=MONTH($A344),SUM(I345-I344),I345)</f>
        <v>0</v>
      </c>
      <c r="K345" s="124" t="n">
        <f aca="false">IF(WEEKDAY(A345,3)&gt;4,0,(IF(A345&lt;K$2,0,IF(A345&lt;=K$3,1,0))))</f>
        <v>0</v>
      </c>
      <c r="L345" s="124" t="n">
        <f aca="false">J345*K345</f>
        <v>0</v>
      </c>
      <c r="M345" s="124" t="n">
        <f aca="false">SUM(J$280:J345)</f>
        <v>0</v>
      </c>
      <c r="N345" s="124" t="n">
        <f aca="false">SUM(J$6:J345)</f>
        <v>0</v>
      </c>
      <c r="P345" s="124" t="n">
        <f aca="false">D345/P$3</f>
        <v>0</v>
      </c>
      <c r="Q345" s="124" t="n">
        <f aca="false">E345/P$3</f>
        <v>0</v>
      </c>
      <c r="R345" s="124" t="n">
        <f aca="false">F345/R$3</f>
        <v>0</v>
      </c>
      <c r="S345" s="126" t="n">
        <f aca="false">J345/$R$3</f>
        <v>0</v>
      </c>
      <c r="T345" s="126" t="n">
        <f aca="false">L345/$R$3</f>
        <v>0</v>
      </c>
      <c r="U345" s="126" t="n">
        <f aca="false">I345/$R$3</f>
        <v>0</v>
      </c>
      <c r="V345" s="126" t="n">
        <f aca="false">M345/$R$3</f>
        <v>0</v>
      </c>
      <c r="W345" s="126" t="n">
        <f aca="false">N345/$R$3</f>
        <v>0</v>
      </c>
    </row>
    <row r="346" customFormat="false" ht="12.75" hidden="false" customHeight="false" outlineLevel="0" collapsed="false">
      <c r="A346" s="120" t="n">
        <f aca="false">A345+1</f>
        <v>37232</v>
      </c>
      <c r="B346" s="131" t="str">
        <f aca="false">INDEX('Master Data'!$A$2:$B$8,MATCH(WEEKDAY('SC Total Gas'!A346,3),'Master Data'!$A$2:$A$8,0),2)</f>
        <v>F</v>
      </c>
      <c r="D346" s="124" t="n">
        <v>0</v>
      </c>
      <c r="E346" s="124" t="n">
        <v>0</v>
      </c>
      <c r="F346" s="124" t="n">
        <v>0</v>
      </c>
      <c r="G346" s="124" t="n">
        <v>0</v>
      </c>
      <c r="I346" s="124" t="n">
        <f aca="false">IF(MONTH($A346)=MONTH($A345),IF(G346=0,I345,G346),G346)</f>
        <v>0</v>
      </c>
      <c r="J346" s="124" t="n">
        <f aca="false">IF(MONTH($A346)=MONTH($A345),SUM(I346-I345),I346)</f>
        <v>0</v>
      </c>
      <c r="K346" s="124" t="n">
        <f aca="false">IF(WEEKDAY(A346,3)&gt;4,0,(IF(A346&lt;K$2,0,IF(A346&lt;=K$3,1,0))))</f>
        <v>0</v>
      </c>
      <c r="L346" s="124" t="n">
        <f aca="false">J346*K346</f>
        <v>0</v>
      </c>
      <c r="M346" s="124" t="n">
        <f aca="false">SUM(J$280:J346)</f>
        <v>0</v>
      </c>
      <c r="N346" s="124" t="n">
        <f aca="false">SUM(J$6:J346)</f>
        <v>0</v>
      </c>
      <c r="P346" s="124" t="n">
        <f aca="false">D346/P$3</f>
        <v>0</v>
      </c>
      <c r="Q346" s="124" t="n">
        <f aca="false">E346/P$3</f>
        <v>0</v>
      </c>
      <c r="R346" s="124" t="n">
        <f aca="false">F346/R$3</f>
        <v>0</v>
      </c>
      <c r="S346" s="126" t="n">
        <f aca="false">J346/$R$3</f>
        <v>0</v>
      </c>
      <c r="T346" s="126" t="n">
        <f aca="false">L346/$R$3</f>
        <v>0</v>
      </c>
      <c r="U346" s="126" t="n">
        <f aca="false">I346/$R$3</f>
        <v>0</v>
      </c>
      <c r="V346" s="126" t="n">
        <f aca="false">M346/$R$3</f>
        <v>0</v>
      </c>
      <c r="W346" s="126" t="n">
        <f aca="false">N346/$R$3</f>
        <v>0</v>
      </c>
    </row>
    <row r="347" customFormat="false" ht="12.75" hidden="false" customHeight="false" outlineLevel="0" collapsed="false">
      <c r="A347" s="120" t="n">
        <f aca="false">A346+1</f>
        <v>37233</v>
      </c>
      <c r="B347" s="131" t="str">
        <f aca="false">INDEX('Master Data'!$A$2:$B$8,MATCH(WEEKDAY('SC Total Gas'!A347,3),'Master Data'!$A$2:$A$8,0),2)</f>
        <v>Sa</v>
      </c>
      <c r="D347" s="124" t="n">
        <v>0</v>
      </c>
      <c r="E347" s="124" t="n">
        <v>0</v>
      </c>
      <c r="F347" s="124" t="n">
        <v>0</v>
      </c>
      <c r="G347" s="124" t="n">
        <v>0</v>
      </c>
      <c r="I347" s="124" t="n">
        <f aca="false">IF(MONTH($A347)=MONTH($A346),IF(G347=0,I346,G347),G347)</f>
        <v>0</v>
      </c>
      <c r="J347" s="124" t="n">
        <f aca="false">IF(MONTH($A347)=MONTH($A346),SUM(I347-I346),I347)</f>
        <v>0</v>
      </c>
      <c r="K347" s="124" t="n">
        <f aca="false">IF(WEEKDAY(A347,3)&gt;4,0,(IF(A347&lt;K$2,0,IF(A347&lt;=K$3,1,0))))</f>
        <v>0</v>
      </c>
      <c r="L347" s="124" t="n">
        <f aca="false">J347*K347</f>
        <v>0</v>
      </c>
      <c r="M347" s="124" t="n">
        <f aca="false">SUM(J$280:J347)</f>
        <v>0</v>
      </c>
      <c r="N347" s="124" t="n">
        <f aca="false">SUM(J$6:J347)</f>
        <v>0</v>
      </c>
      <c r="P347" s="124" t="n">
        <f aca="false">D347/P$3</f>
        <v>0</v>
      </c>
      <c r="Q347" s="124" t="n">
        <f aca="false">E347/P$3</f>
        <v>0</v>
      </c>
      <c r="R347" s="124" t="n">
        <f aca="false">F347/R$3</f>
        <v>0</v>
      </c>
      <c r="S347" s="126" t="n">
        <f aca="false">J347/$R$3</f>
        <v>0</v>
      </c>
      <c r="T347" s="126" t="n">
        <f aca="false">L347/$R$3</f>
        <v>0</v>
      </c>
      <c r="U347" s="126" t="n">
        <f aca="false">I347/$R$3</f>
        <v>0</v>
      </c>
      <c r="V347" s="126" t="n">
        <f aca="false">M347/$R$3</f>
        <v>0</v>
      </c>
      <c r="W347" s="126" t="n">
        <f aca="false">N347/$R$3</f>
        <v>0</v>
      </c>
    </row>
    <row r="348" customFormat="false" ht="12.75" hidden="false" customHeight="false" outlineLevel="0" collapsed="false">
      <c r="A348" s="120" t="n">
        <f aca="false">A347+1</f>
        <v>37234</v>
      </c>
      <c r="B348" s="131" t="str">
        <f aca="false">INDEX('Master Data'!$A$2:$B$8,MATCH(WEEKDAY('SC Total Gas'!A348,3),'Master Data'!$A$2:$A$8,0),2)</f>
        <v>Su</v>
      </c>
      <c r="D348" s="124" t="n">
        <v>0</v>
      </c>
      <c r="E348" s="124" t="n">
        <v>0</v>
      </c>
      <c r="F348" s="124" t="n">
        <v>0</v>
      </c>
      <c r="G348" s="124" t="n">
        <v>0</v>
      </c>
      <c r="I348" s="124" t="n">
        <f aca="false">IF(MONTH($A348)=MONTH($A347),IF(G348=0,I347,G348),G348)</f>
        <v>0</v>
      </c>
      <c r="J348" s="124" t="n">
        <f aca="false">IF(MONTH($A348)=MONTH($A347),SUM(I348-I347),I348)</f>
        <v>0</v>
      </c>
      <c r="K348" s="124" t="n">
        <f aca="false">IF(WEEKDAY(A348,3)&gt;4,0,(IF(A348&lt;K$2,0,IF(A348&lt;=K$3,1,0))))</f>
        <v>0</v>
      </c>
      <c r="L348" s="124" t="n">
        <f aca="false">J348*K348</f>
        <v>0</v>
      </c>
      <c r="M348" s="124" t="n">
        <f aca="false">SUM(J$280:J348)</f>
        <v>0</v>
      </c>
      <c r="N348" s="124" t="n">
        <f aca="false">SUM(J$6:J348)</f>
        <v>0</v>
      </c>
      <c r="P348" s="124" t="n">
        <f aca="false">D348/P$3</f>
        <v>0</v>
      </c>
      <c r="Q348" s="124" t="n">
        <f aca="false">E348/P$3</f>
        <v>0</v>
      </c>
      <c r="R348" s="124" t="n">
        <f aca="false">F348/R$3</f>
        <v>0</v>
      </c>
      <c r="S348" s="126" t="n">
        <f aca="false">J348/$R$3</f>
        <v>0</v>
      </c>
      <c r="T348" s="126" t="n">
        <f aca="false">L348/$R$3</f>
        <v>0</v>
      </c>
      <c r="U348" s="126" t="n">
        <f aca="false">I348/$R$3</f>
        <v>0</v>
      </c>
      <c r="V348" s="126" t="n">
        <f aca="false">M348/$R$3</f>
        <v>0</v>
      </c>
      <c r="W348" s="126" t="n">
        <f aca="false">N348/$R$3</f>
        <v>0</v>
      </c>
    </row>
    <row r="349" customFormat="false" ht="12.75" hidden="false" customHeight="false" outlineLevel="0" collapsed="false">
      <c r="A349" s="120" t="n">
        <f aca="false">A348+1</f>
        <v>37235</v>
      </c>
      <c r="B349" s="131" t="str">
        <f aca="false">INDEX('Master Data'!$A$2:$B$8,MATCH(WEEKDAY('SC Total Gas'!A349,3),'Master Data'!$A$2:$A$8,0),2)</f>
        <v>M</v>
      </c>
      <c r="D349" s="124" t="n">
        <v>0</v>
      </c>
      <c r="E349" s="124" t="n">
        <v>0</v>
      </c>
      <c r="F349" s="124" t="n">
        <v>0</v>
      </c>
      <c r="G349" s="124" t="n">
        <v>0</v>
      </c>
      <c r="I349" s="124" t="n">
        <f aca="false">IF(MONTH($A349)=MONTH($A348),IF(G349=0,I348,G349),G349)</f>
        <v>0</v>
      </c>
      <c r="J349" s="124" t="n">
        <f aca="false">IF(MONTH($A349)=MONTH($A348),SUM(I349-I348),I349)</f>
        <v>0</v>
      </c>
      <c r="K349" s="124" t="n">
        <f aca="false">IF(WEEKDAY(A349,3)&gt;4,0,(IF(A349&lt;K$2,0,IF(A349&lt;=K$3,1,0))))</f>
        <v>0</v>
      </c>
      <c r="L349" s="124" t="n">
        <f aca="false">J349*K349</f>
        <v>0</v>
      </c>
      <c r="M349" s="124" t="n">
        <f aca="false">SUM(J$280:J349)</f>
        <v>0</v>
      </c>
      <c r="N349" s="124" t="n">
        <f aca="false">SUM(J$6:J349)</f>
        <v>0</v>
      </c>
      <c r="P349" s="124" t="n">
        <f aca="false">D349/P$3</f>
        <v>0</v>
      </c>
      <c r="Q349" s="124" t="n">
        <f aca="false">E349/P$3</f>
        <v>0</v>
      </c>
      <c r="R349" s="124" t="n">
        <f aca="false">F349/R$3</f>
        <v>0</v>
      </c>
      <c r="S349" s="126" t="n">
        <f aca="false">J349/$R$3</f>
        <v>0</v>
      </c>
      <c r="T349" s="126" t="n">
        <f aca="false">L349/$R$3</f>
        <v>0</v>
      </c>
      <c r="U349" s="126" t="n">
        <f aca="false">I349/$R$3</f>
        <v>0</v>
      </c>
      <c r="V349" s="126" t="n">
        <f aca="false">M349/$R$3</f>
        <v>0</v>
      </c>
      <c r="W349" s="126" t="n">
        <f aca="false">N349/$R$3</f>
        <v>0</v>
      </c>
    </row>
    <row r="350" customFormat="false" ht="12.75" hidden="false" customHeight="false" outlineLevel="0" collapsed="false">
      <c r="A350" s="120" t="n">
        <f aca="false">A349+1</f>
        <v>37236</v>
      </c>
      <c r="B350" s="131" t="str">
        <f aca="false">INDEX('Master Data'!$A$2:$B$8,MATCH(WEEKDAY('SC Total Gas'!A350,3),'Master Data'!$A$2:$A$8,0),2)</f>
        <v>T</v>
      </c>
      <c r="D350" s="124" t="n">
        <v>0</v>
      </c>
      <c r="E350" s="124" t="n">
        <v>0</v>
      </c>
      <c r="F350" s="124" t="n">
        <v>0</v>
      </c>
      <c r="G350" s="124" t="n">
        <v>0</v>
      </c>
      <c r="I350" s="124" t="n">
        <f aca="false">IF(MONTH($A350)=MONTH($A349),IF(G350=0,I349,G350),G350)</f>
        <v>0</v>
      </c>
      <c r="J350" s="124" t="n">
        <f aca="false">IF(MONTH($A350)=MONTH($A349),SUM(I350-I349),I350)</f>
        <v>0</v>
      </c>
      <c r="K350" s="124" t="n">
        <f aca="false">IF(WEEKDAY(A350,3)&gt;4,0,(IF(A350&lt;K$2,0,IF(A350&lt;=K$3,1,0))))</f>
        <v>0</v>
      </c>
      <c r="L350" s="124" t="n">
        <f aca="false">J350*K350</f>
        <v>0</v>
      </c>
      <c r="M350" s="124" t="n">
        <f aca="false">SUM(J$280:J350)</f>
        <v>0</v>
      </c>
      <c r="N350" s="124" t="n">
        <f aca="false">SUM(J$6:J350)</f>
        <v>0</v>
      </c>
      <c r="P350" s="124" t="n">
        <f aca="false">D350/P$3</f>
        <v>0</v>
      </c>
      <c r="Q350" s="124" t="n">
        <f aca="false">E350/P$3</f>
        <v>0</v>
      </c>
      <c r="R350" s="124" t="n">
        <f aca="false">F350/R$3</f>
        <v>0</v>
      </c>
      <c r="S350" s="126" t="n">
        <f aca="false">J350/$R$3</f>
        <v>0</v>
      </c>
      <c r="T350" s="126" t="n">
        <f aca="false">L350/$R$3</f>
        <v>0</v>
      </c>
      <c r="U350" s="126" t="n">
        <f aca="false">I350/$R$3</f>
        <v>0</v>
      </c>
      <c r="V350" s="126" t="n">
        <f aca="false">M350/$R$3</f>
        <v>0</v>
      </c>
      <c r="W350" s="126" t="n">
        <f aca="false">N350/$R$3</f>
        <v>0</v>
      </c>
    </row>
    <row r="351" customFormat="false" ht="12.75" hidden="false" customHeight="false" outlineLevel="0" collapsed="false">
      <c r="A351" s="120" t="n">
        <f aca="false">A350+1</f>
        <v>37237</v>
      </c>
      <c r="B351" s="131" t="str">
        <f aca="false">INDEX('Master Data'!$A$2:$B$8,MATCH(WEEKDAY('SC Total Gas'!A351,3),'Master Data'!$A$2:$A$8,0),2)</f>
        <v>W</v>
      </c>
      <c r="D351" s="124" t="n">
        <v>0</v>
      </c>
      <c r="E351" s="124" t="n">
        <v>0</v>
      </c>
      <c r="F351" s="124" t="n">
        <v>0</v>
      </c>
      <c r="G351" s="124" t="n">
        <v>0</v>
      </c>
      <c r="I351" s="124" t="n">
        <f aca="false">IF(MONTH($A351)=MONTH($A350),IF(G351=0,I350,G351),G351)</f>
        <v>0</v>
      </c>
      <c r="J351" s="124" t="n">
        <f aca="false">IF(MONTH($A351)=MONTH($A350),SUM(I351-I350),I351)</f>
        <v>0</v>
      </c>
      <c r="K351" s="124" t="n">
        <f aca="false">IF(WEEKDAY(A351,3)&gt;4,0,(IF(A351&lt;K$2,0,IF(A351&lt;=K$3,1,0))))</f>
        <v>0</v>
      </c>
      <c r="L351" s="124" t="n">
        <f aca="false">J351*K351</f>
        <v>0</v>
      </c>
      <c r="M351" s="124" t="n">
        <f aca="false">SUM(J$280:J351)</f>
        <v>0</v>
      </c>
      <c r="N351" s="124" t="n">
        <f aca="false">SUM(J$6:J351)</f>
        <v>0</v>
      </c>
      <c r="P351" s="124" t="n">
        <f aca="false">D351/P$3</f>
        <v>0</v>
      </c>
      <c r="Q351" s="124" t="n">
        <f aca="false">E351/P$3</f>
        <v>0</v>
      </c>
      <c r="R351" s="124" t="n">
        <f aca="false">F351/R$3</f>
        <v>0</v>
      </c>
      <c r="S351" s="126" t="n">
        <f aca="false">J351/$R$3</f>
        <v>0</v>
      </c>
      <c r="T351" s="126" t="n">
        <f aca="false">L351/$R$3</f>
        <v>0</v>
      </c>
      <c r="U351" s="126" t="n">
        <f aca="false">I351/$R$3</f>
        <v>0</v>
      </c>
      <c r="V351" s="126" t="n">
        <f aca="false">M351/$R$3</f>
        <v>0</v>
      </c>
      <c r="W351" s="126" t="n">
        <f aca="false">N351/$R$3</f>
        <v>0</v>
      </c>
    </row>
    <row r="352" customFormat="false" ht="12.75" hidden="false" customHeight="false" outlineLevel="0" collapsed="false">
      <c r="A352" s="120" t="n">
        <f aca="false">A351+1</f>
        <v>37238</v>
      </c>
      <c r="B352" s="131" t="str">
        <f aca="false">INDEX('Master Data'!$A$2:$B$8,MATCH(WEEKDAY('SC Total Gas'!A352,3),'Master Data'!$A$2:$A$8,0),2)</f>
        <v>Th</v>
      </c>
      <c r="D352" s="124" t="n">
        <v>0</v>
      </c>
      <c r="E352" s="124" t="n">
        <v>0</v>
      </c>
      <c r="F352" s="124" t="n">
        <v>0</v>
      </c>
      <c r="G352" s="124" t="n">
        <v>0</v>
      </c>
      <c r="I352" s="124" t="n">
        <f aca="false">IF(MONTH($A352)=MONTH($A351),IF(G352=0,I351,G352),G352)</f>
        <v>0</v>
      </c>
      <c r="J352" s="124" t="n">
        <f aca="false">IF(MONTH($A352)=MONTH($A351),SUM(I352-I351),I352)</f>
        <v>0</v>
      </c>
      <c r="K352" s="124" t="n">
        <f aca="false">IF(WEEKDAY(A352,3)&gt;4,0,(IF(A352&lt;K$2,0,IF(A352&lt;=K$3,1,0))))</f>
        <v>0</v>
      </c>
      <c r="L352" s="124" t="n">
        <f aca="false">J352*K352</f>
        <v>0</v>
      </c>
      <c r="M352" s="124" t="n">
        <f aca="false">SUM(J$280:J352)</f>
        <v>0</v>
      </c>
      <c r="N352" s="124" t="n">
        <f aca="false">SUM(J$6:J352)</f>
        <v>0</v>
      </c>
      <c r="P352" s="124" t="n">
        <f aca="false">D352/P$3</f>
        <v>0</v>
      </c>
      <c r="Q352" s="124" t="n">
        <f aca="false">E352/P$3</f>
        <v>0</v>
      </c>
      <c r="R352" s="124" t="n">
        <f aca="false">F352/R$3</f>
        <v>0</v>
      </c>
      <c r="S352" s="126" t="n">
        <f aca="false">J352/$R$3</f>
        <v>0</v>
      </c>
      <c r="T352" s="126" t="n">
        <f aca="false">L352/$R$3</f>
        <v>0</v>
      </c>
      <c r="U352" s="126" t="n">
        <f aca="false">I352/$R$3</f>
        <v>0</v>
      </c>
      <c r="V352" s="126" t="n">
        <f aca="false">M352/$R$3</f>
        <v>0</v>
      </c>
      <c r="W352" s="126" t="n">
        <f aca="false">N352/$R$3</f>
        <v>0</v>
      </c>
    </row>
    <row r="353" customFormat="false" ht="12.75" hidden="false" customHeight="false" outlineLevel="0" collapsed="false">
      <c r="A353" s="120" t="n">
        <f aca="false">A352+1</f>
        <v>37239</v>
      </c>
      <c r="B353" s="131" t="str">
        <f aca="false">INDEX('Master Data'!$A$2:$B$8,MATCH(WEEKDAY('SC Total Gas'!A353,3),'Master Data'!$A$2:$A$8,0),2)</f>
        <v>F</v>
      </c>
      <c r="D353" s="124" t="n">
        <v>0</v>
      </c>
      <c r="E353" s="124" t="n">
        <v>0</v>
      </c>
      <c r="F353" s="124" t="n">
        <v>0</v>
      </c>
      <c r="G353" s="124" t="n">
        <v>0</v>
      </c>
      <c r="I353" s="124" t="n">
        <f aca="false">IF(MONTH($A353)=MONTH($A352),IF(G353=0,I352,G353),G353)</f>
        <v>0</v>
      </c>
      <c r="J353" s="124" t="n">
        <f aca="false">IF(MONTH($A353)=MONTH($A352),SUM(I353-I352),I353)</f>
        <v>0</v>
      </c>
      <c r="K353" s="124" t="n">
        <f aca="false">IF(WEEKDAY(A353,3)&gt;4,0,(IF(A353&lt;K$2,0,IF(A353&lt;=K$3,1,0))))</f>
        <v>0</v>
      </c>
      <c r="L353" s="124" t="n">
        <f aca="false">J353*K353</f>
        <v>0</v>
      </c>
      <c r="M353" s="124" t="n">
        <f aca="false">SUM(J$280:J353)</f>
        <v>0</v>
      </c>
      <c r="N353" s="124" t="n">
        <f aca="false">SUM(J$6:J353)</f>
        <v>0</v>
      </c>
      <c r="P353" s="124" t="n">
        <f aca="false">D353/P$3</f>
        <v>0</v>
      </c>
      <c r="Q353" s="124" t="n">
        <f aca="false">E353/P$3</f>
        <v>0</v>
      </c>
      <c r="R353" s="124" t="n">
        <f aca="false">F353/R$3</f>
        <v>0</v>
      </c>
      <c r="S353" s="126" t="n">
        <f aca="false">J353/$R$3</f>
        <v>0</v>
      </c>
      <c r="T353" s="126" t="n">
        <f aca="false">L353/$R$3</f>
        <v>0</v>
      </c>
      <c r="U353" s="126" t="n">
        <f aca="false">I353/$R$3</f>
        <v>0</v>
      </c>
      <c r="V353" s="126" t="n">
        <f aca="false">M353/$R$3</f>
        <v>0</v>
      </c>
      <c r="W353" s="126" t="n">
        <f aca="false">N353/$R$3</f>
        <v>0</v>
      </c>
    </row>
    <row r="354" customFormat="false" ht="12.75" hidden="false" customHeight="false" outlineLevel="0" collapsed="false">
      <c r="A354" s="120" t="n">
        <f aca="false">A353+1</f>
        <v>37240</v>
      </c>
      <c r="B354" s="131" t="str">
        <f aca="false">INDEX('Master Data'!$A$2:$B$8,MATCH(WEEKDAY('SC Total Gas'!A354,3),'Master Data'!$A$2:$A$8,0),2)</f>
        <v>Sa</v>
      </c>
      <c r="D354" s="124" t="n">
        <v>0</v>
      </c>
      <c r="E354" s="124" t="n">
        <v>0</v>
      </c>
      <c r="F354" s="124" t="n">
        <v>0</v>
      </c>
      <c r="G354" s="124" t="n">
        <v>0</v>
      </c>
      <c r="I354" s="124" t="n">
        <f aca="false">IF(MONTH($A354)=MONTH($A353),IF(G354=0,I353,G354),G354)</f>
        <v>0</v>
      </c>
      <c r="J354" s="124" t="n">
        <f aca="false">IF(MONTH($A354)=MONTH($A353),SUM(I354-I353),I354)</f>
        <v>0</v>
      </c>
      <c r="K354" s="124" t="n">
        <f aca="false">IF(WEEKDAY(A354,3)&gt;4,0,(IF(A354&lt;K$2,0,IF(A354&lt;=K$3,1,0))))</f>
        <v>0</v>
      </c>
      <c r="L354" s="124" t="n">
        <f aca="false">J354*K354</f>
        <v>0</v>
      </c>
      <c r="M354" s="124" t="n">
        <f aca="false">SUM(J$280:J354)</f>
        <v>0</v>
      </c>
      <c r="N354" s="124" t="n">
        <f aca="false">SUM(J$6:J354)</f>
        <v>0</v>
      </c>
      <c r="P354" s="124" t="n">
        <f aca="false">D354/P$3</f>
        <v>0</v>
      </c>
      <c r="Q354" s="124" t="n">
        <f aca="false">E354/P$3</f>
        <v>0</v>
      </c>
      <c r="R354" s="124" t="n">
        <f aca="false">F354/R$3</f>
        <v>0</v>
      </c>
      <c r="S354" s="126" t="n">
        <f aca="false">J354/$R$3</f>
        <v>0</v>
      </c>
      <c r="T354" s="126" t="n">
        <f aca="false">L354/$R$3</f>
        <v>0</v>
      </c>
      <c r="U354" s="126" t="n">
        <f aca="false">I354/$R$3</f>
        <v>0</v>
      </c>
      <c r="V354" s="126" t="n">
        <f aca="false">M354/$R$3</f>
        <v>0</v>
      </c>
      <c r="W354" s="126" t="n">
        <f aca="false">N354/$R$3</f>
        <v>0</v>
      </c>
    </row>
    <row r="355" customFormat="false" ht="12.75" hidden="false" customHeight="false" outlineLevel="0" collapsed="false">
      <c r="A355" s="120" t="n">
        <f aca="false">A354+1</f>
        <v>37241</v>
      </c>
      <c r="B355" s="131" t="str">
        <f aca="false">INDEX('Master Data'!$A$2:$B$8,MATCH(WEEKDAY('SC Total Gas'!A355,3),'Master Data'!$A$2:$A$8,0),2)</f>
        <v>Su</v>
      </c>
      <c r="D355" s="124" t="n">
        <v>0</v>
      </c>
      <c r="E355" s="124" t="n">
        <v>0</v>
      </c>
      <c r="F355" s="124" t="n">
        <v>0</v>
      </c>
      <c r="G355" s="124" t="n">
        <v>0</v>
      </c>
      <c r="I355" s="124" t="n">
        <f aca="false">IF(MONTH($A355)=MONTH($A354),IF(G355=0,I354,G355),G355)</f>
        <v>0</v>
      </c>
      <c r="J355" s="124" t="n">
        <f aca="false">IF(MONTH($A355)=MONTH($A354),SUM(I355-I354),I355)</f>
        <v>0</v>
      </c>
      <c r="K355" s="124" t="n">
        <f aca="false">IF(WEEKDAY(A355,3)&gt;4,0,(IF(A355&lt;K$2,0,IF(A355&lt;=K$3,1,0))))</f>
        <v>0</v>
      </c>
      <c r="L355" s="124" t="n">
        <f aca="false">J355*K355</f>
        <v>0</v>
      </c>
      <c r="M355" s="124" t="n">
        <f aca="false">SUM(J$280:J355)</f>
        <v>0</v>
      </c>
      <c r="N355" s="124" t="n">
        <f aca="false">SUM(J$6:J355)</f>
        <v>0</v>
      </c>
      <c r="P355" s="124" t="n">
        <f aca="false">D355/P$3</f>
        <v>0</v>
      </c>
      <c r="Q355" s="124" t="n">
        <f aca="false">E355/P$3</f>
        <v>0</v>
      </c>
      <c r="R355" s="124" t="n">
        <f aca="false">F355/R$3</f>
        <v>0</v>
      </c>
      <c r="S355" s="126" t="n">
        <f aca="false">J355/$R$3</f>
        <v>0</v>
      </c>
      <c r="T355" s="126" t="n">
        <f aca="false">L355/$R$3</f>
        <v>0</v>
      </c>
      <c r="U355" s="126" t="n">
        <f aca="false">I355/$R$3</f>
        <v>0</v>
      </c>
      <c r="V355" s="126" t="n">
        <f aca="false">M355/$R$3</f>
        <v>0</v>
      </c>
      <c r="W355" s="126" t="n">
        <f aca="false">N355/$R$3</f>
        <v>0</v>
      </c>
    </row>
    <row r="356" customFormat="false" ht="12.75" hidden="false" customHeight="false" outlineLevel="0" collapsed="false">
      <c r="A356" s="120" t="n">
        <f aca="false">A355+1</f>
        <v>37242</v>
      </c>
      <c r="B356" s="131" t="str">
        <f aca="false">INDEX('Master Data'!$A$2:$B$8,MATCH(WEEKDAY('SC Total Gas'!A356,3),'Master Data'!$A$2:$A$8,0),2)</f>
        <v>M</v>
      </c>
      <c r="D356" s="124" t="n">
        <v>0</v>
      </c>
      <c r="E356" s="124" t="n">
        <v>0</v>
      </c>
      <c r="F356" s="124" t="n">
        <v>0</v>
      </c>
      <c r="G356" s="124" t="n">
        <v>0</v>
      </c>
      <c r="I356" s="124" t="n">
        <f aca="false">IF(MONTH($A356)=MONTH($A355),IF(G356=0,I355,G356),G356)</f>
        <v>0</v>
      </c>
      <c r="J356" s="124" t="n">
        <f aca="false">IF(MONTH($A356)=MONTH($A355),SUM(I356-I355),I356)</f>
        <v>0</v>
      </c>
      <c r="K356" s="124" t="n">
        <f aca="false">IF(WEEKDAY(A356,3)&gt;4,0,(IF(A356&lt;K$2,0,IF(A356&lt;=K$3,1,0))))</f>
        <v>0</v>
      </c>
      <c r="L356" s="124" t="n">
        <f aca="false">J356*K356</f>
        <v>0</v>
      </c>
      <c r="M356" s="124" t="n">
        <f aca="false">SUM(J$280:J356)</f>
        <v>0</v>
      </c>
      <c r="N356" s="124" t="n">
        <f aca="false">SUM(J$6:J356)</f>
        <v>0</v>
      </c>
      <c r="P356" s="124" t="n">
        <f aca="false">D356/P$3</f>
        <v>0</v>
      </c>
      <c r="Q356" s="124" t="n">
        <f aca="false">E356/P$3</f>
        <v>0</v>
      </c>
      <c r="R356" s="124" t="n">
        <f aca="false">F356/R$3</f>
        <v>0</v>
      </c>
      <c r="S356" s="126" t="n">
        <f aca="false">J356/$R$3</f>
        <v>0</v>
      </c>
      <c r="T356" s="126" t="n">
        <f aca="false">L356/$R$3</f>
        <v>0</v>
      </c>
      <c r="U356" s="126" t="n">
        <f aca="false">I356/$R$3</f>
        <v>0</v>
      </c>
      <c r="V356" s="126" t="n">
        <f aca="false">M356/$R$3</f>
        <v>0</v>
      </c>
      <c r="W356" s="126" t="n">
        <f aca="false">N356/$R$3</f>
        <v>0</v>
      </c>
    </row>
    <row r="357" customFormat="false" ht="12.75" hidden="false" customHeight="false" outlineLevel="0" collapsed="false">
      <c r="A357" s="120" t="n">
        <f aca="false">A356+1</f>
        <v>37243</v>
      </c>
      <c r="B357" s="131" t="str">
        <f aca="false">INDEX('Master Data'!$A$2:$B$8,MATCH(WEEKDAY('SC Total Gas'!A357,3),'Master Data'!$A$2:$A$8,0),2)</f>
        <v>T</v>
      </c>
      <c r="D357" s="124" t="n">
        <v>0</v>
      </c>
      <c r="E357" s="124" t="n">
        <v>0</v>
      </c>
      <c r="F357" s="124" t="n">
        <v>0</v>
      </c>
      <c r="G357" s="124" t="n">
        <v>0</v>
      </c>
      <c r="I357" s="124" t="n">
        <f aca="false">IF(MONTH($A357)=MONTH($A356),IF(G357=0,I356,G357),G357)</f>
        <v>0</v>
      </c>
      <c r="J357" s="124" t="n">
        <f aca="false">IF(MONTH($A357)=MONTH($A356),SUM(I357-I356),I357)</f>
        <v>0</v>
      </c>
      <c r="K357" s="124" t="n">
        <f aca="false">IF(WEEKDAY(A357,3)&gt;4,0,(IF(A357&lt;K$2,0,IF(A357&lt;=K$3,1,0))))</f>
        <v>0</v>
      </c>
      <c r="L357" s="124" t="n">
        <f aca="false">J357*K357</f>
        <v>0</v>
      </c>
      <c r="M357" s="124" t="n">
        <f aca="false">SUM(J$280:J357)</f>
        <v>0</v>
      </c>
      <c r="N357" s="124" t="n">
        <f aca="false">SUM(J$6:J357)</f>
        <v>0</v>
      </c>
      <c r="P357" s="124" t="n">
        <f aca="false">D357/P$3</f>
        <v>0</v>
      </c>
      <c r="Q357" s="124" t="n">
        <f aca="false">E357/P$3</f>
        <v>0</v>
      </c>
      <c r="R357" s="124" t="n">
        <f aca="false">F357/R$3</f>
        <v>0</v>
      </c>
      <c r="S357" s="126" t="n">
        <f aca="false">J357/$R$3</f>
        <v>0</v>
      </c>
      <c r="T357" s="126" t="n">
        <f aca="false">L357/$R$3</f>
        <v>0</v>
      </c>
      <c r="U357" s="126" t="n">
        <f aca="false">I357/$R$3</f>
        <v>0</v>
      </c>
      <c r="V357" s="126" t="n">
        <f aca="false">M357/$R$3</f>
        <v>0</v>
      </c>
      <c r="W357" s="126" t="n">
        <f aca="false">N357/$R$3</f>
        <v>0</v>
      </c>
    </row>
    <row r="358" customFormat="false" ht="12.75" hidden="false" customHeight="false" outlineLevel="0" collapsed="false">
      <c r="A358" s="120" t="n">
        <f aca="false">A357+1</f>
        <v>37244</v>
      </c>
      <c r="B358" s="131" t="str">
        <f aca="false">INDEX('Master Data'!$A$2:$B$8,MATCH(WEEKDAY('SC Total Gas'!A358,3),'Master Data'!$A$2:$A$8,0),2)</f>
        <v>W</v>
      </c>
      <c r="D358" s="124" t="n">
        <v>0</v>
      </c>
      <c r="E358" s="124" t="n">
        <v>0</v>
      </c>
      <c r="F358" s="124" t="n">
        <v>0</v>
      </c>
      <c r="G358" s="124" t="n">
        <v>0</v>
      </c>
      <c r="I358" s="124" t="n">
        <f aca="false">IF(MONTH($A358)=MONTH($A357),IF(G358=0,I357,G358),G358)</f>
        <v>0</v>
      </c>
      <c r="J358" s="124" t="n">
        <f aca="false">IF(MONTH($A358)=MONTH($A357),SUM(I358-I357),I358)</f>
        <v>0</v>
      </c>
      <c r="K358" s="124" t="n">
        <f aca="false">IF(WEEKDAY(A358,3)&gt;4,0,(IF(A358&lt;K$2,0,IF(A358&lt;=K$3,1,0))))</f>
        <v>0</v>
      </c>
      <c r="L358" s="124" t="n">
        <f aca="false">J358*K358</f>
        <v>0</v>
      </c>
      <c r="M358" s="124" t="n">
        <f aca="false">SUM(J$280:J358)</f>
        <v>0</v>
      </c>
      <c r="N358" s="124" t="n">
        <f aca="false">SUM(J$6:J358)</f>
        <v>0</v>
      </c>
      <c r="P358" s="124" t="n">
        <f aca="false">D358/P$3</f>
        <v>0</v>
      </c>
      <c r="Q358" s="124" t="n">
        <f aca="false">E358/P$3</f>
        <v>0</v>
      </c>
      <c r="R358" s="124" t="n">
        <f aca="false">F358/R$3</f>
        <v>0</v>
      </c>
      <c r="S358" s="126" t="n">
        <f aca="false">J358/$R$3</f>
        <v>0</v>
      </c>
      <c r="T358" s="126" t="n">
        <f aca="false">L358/$R$3</f>
        <v>0</v>
      </c>
      <c r="U358" s="126" t="n">
        <f aca="false">I358/$R$3</f>
        <v>0</v>
      </c>
      <c r="V358" s="126" t="n">
        <f aca="false">M358/$R$3</f>
        <v>0</v>
      </c>
      <c r="W358" s="126" t="n">
        <f aca="false">N358/$R$3</f>
        <v>0</v>
      </c>
    </row>
    <row r="359" customFormat="false" ht="12.75" hidden="false" customHeight="false" outlineLevel="0" collapsed="false">
      <c r="A359" s="120" t="n">
        <f aca="false">A358+1</f>
        <v>37245</v>
      </c>
      <c r="B359" s="131" t="str">
        <f aca="false">INDEX('Master Data'!$A$2:$B$8,MATCH(WEEKDAY('SC Total Gas'!A359,3),'Master Data'!$A$2:$A$8,0),2)</f>
        <v>Th</v>
      </c>
      <c r="D359" s="124" t="n">
        <v>0</v>
      </c>
      <c r="E359" s="124" t="n">
        <v>0</v>
      </c>
      <c r="F359" s="124" t="n">
        <v>0</v>
      </c>
      <c r="G359" s="124" t="n">
        <v>0</v>
      </c>
      <c r="I359" s="124" t="n">
        <f aca="false">IF(MONTH($A359)=MONTH($A358),IF(G359=0,I358,G359),G359)</f>
        <v>0</v>
      </c>
      <c r="J359" s="124" t="n">
        <f aca="false">IF(MONTH($A359)=MONTH($A358),SUM(I359-I358),I359)</f>
        <v>0</v>
      </c>
      <c r="K359" s="124" t="n">
        <f aca="false">IF(WEEKDAY(A359,3)&gt;4,0,(IF(A359&lt;K$2,0,IF(A359&lt;=K$3,1,0))))</f>
        <v>0</v>
      </c>
      <c r="L359" s="124" t="n">
        <f aca="false">J359*K359</f>
        <v>0</v>
      </c>
      <c r="M359" s="124" t="n">
        <f aca="false">SUM(J$280:J359)</f>
        <v>0</v>
      </c>
      <c r="N359" s="124" t="n">
        <f aca="false">SUM(J$6:J359)</f>
        <v>0</v>
      </c>
      <c r="P359" s="124" t="n">
        <f aca="false">D359/P$3</f>
        <v>0</v>
      </c>
      <c r="Q359" s="124" t="n">
        <f aca="false">E359/P$3</f>
        <v>0</v>
      </c>
      <c r="R359" s="124" t="n">
        <f aca="false">F359/R$3</f>
        <v>0</v>
      </c>
      <c r="S359" s="126" t="n">
        <f aca="false">J359/$R$3</f>
        <v>0</v>
      </c>
      <c r="T359" s="126" t="n">
        <f aca="false">L359/$R$3</f>
        <v>0</v>
      </c>
      <c r="U359" s="126" t="n">
        <f aca="false">I359/$R$3</f>
        <v>0</v>
      </c>
      <c r="V359" s="126" t="n">
        <f aca="false">M359/$R$3</f>
        <v>0</v>
      </c>
      <c r="W359" s="126" t="n">
        <f aca="false">N359/$R$3</f>
        <v>0</v>
      </c>
    </row>
    <row r="360" customFormat="false" ht="12.75" hidden="false" customHeight="false" outlineLevel="0" collapsed="false">
      <c r="A360" s="120" t="n">
        <f aca="false">A359+1</f>
        <v>37246</v>
      </c>
      <c r="B360" s="131" t="str">
        <f aca="false">INDEX('Master Data'!$A$2:$B$8,MATCH(WEEKDAY('SC Total Gas'!A360,3),'Master Data'!$A$2:$A$8,0),2)</f>
        <v>F</v>
      </c>
      <c r="D360" s="124" t="n">
        <v>0</v>
      </c>
      <c r="E360" s="124" t="n">
        <v>0</v>
      </c>
      <c r="F360" s="124" t="n">
        <v>0</v>
      </c>
      <c r="G360" s="124" t="n">
        <v>0</v>
      </c>
      <c r="I360" s="124" t="n">
        <f aca="false">IF(MONTH($A360)=MONTH($A359),IF(G360=0,I359,G360),G360)</f>
        <v>0</v>
      </c>
      <c r="J360" s="124" t="n">
        <f aca="false">IF(MONTH($A360)=MONTH($A359),SUM(I360-I359),I360)</f>
        <v>0</v>
      </c>
      <c r="K360" s="124" t="n">
        <f aca="false">IF(WEEKDAY(A360,3)&gt;4,0,(IF(A360&lt;K$2,0,IF(A360&lt;=K$3,1,0))))</f>
        <v>0</v>
      </c>
      <c r="L360" s="124" t="n">
        <f aca="false">J360*K360</f>
        <v>0</v>
      </c>
      <c r="M360" s="124" t="n">
        <f aca="false">SUM(J$280:J360)</f>
        <v>0</v>
      </c>
      <c r="N360" s="124" t="n">
        <f aca="false">SUM(J$6:J360)</f>
        <v>0</v>
      </c>
      <c r="P360" s="124" t="n">
        <f aca="false">D360/P$3</f>
        <v>0</v>
      </c>
      <c r="Q360" s="124" t="n">
        <f aca="false">E360/P$3</f>
        <v>0</v>
      </c>
      <c r="R360" s="124" t="n">
        <f aca="false">F360/R$3</f>
        <v>0</v>
      </c>
      <c r="S360" s="126" t="n">
        <f aca="false">J360/$R$3</f>
        <v>0</v>
      </c>
      <c r="T360" s="126" t="n">
        <f aca="false">L360/$R$3</f>
        <v>0</v>
      </c>
      <c r="U360" s="126" t="n">
        <f aca="false">I360/$R$3</f>
        <v>0</v>
      </c>
      <c r="V360" s="126" t="n">
        <f aca="false">M360/$R$3</f>
        <v>0</v>
      </c>
      <c r="W360" s="126" t="n">
        <f aca="false">N360/$R$3</f>
        <v>0</v>
      </c>
    </row>
    <row r="361" customFormat="false" ht="12.75" hidden="false" customHeight="false" outlineLevel="0" collapsed="false">
      <c r="A361" s="120" t="n">
        <f aca="false">A360+1</f>
        <v>37247</v>
      </c>
      <c r="B361" s="131" t="str">
        <f aca="false">INDEX('Master Data'!$A$2:$B$8,MATCH(WEEKDAY('SC Total Gas'!A361,3),'Master Data'!$A$2:$A$8,0),2)</f>
        <v>Sa</v>
      </c>
      <c r="D361" s="124" t="n">
        <v>0</v>
      </c>
      <c r="E361" s="124" t="n">
        <v>0</v>
      </c>
      <c r="F361" s="124" t="n">
        <v>0</v>
      </c>
      <c r="G361" s="124" t="n">
        <v>0</v>
      </c>
      <c r="I361" s="124" t="n">
        <f aca="false">IF(MONTH($A361)=MONTH($A360),IF(G361=0,I360,G361),G361)</f>
        <v>0</v>
      </c>
      <c r="J361" s="124" t="n">
        <f aca="false">IF(MONTH($A361)=MONTH($A360),SUM(I361-I360),I361)</f>
        <v>0</v>
      </c>
      <c r="K361" s="124" t="n">
        <f aca="false">IF(WEEKDAY(A361,3)&gt;4,0,(IF(A361&lt;K$2,0,IF(A361&lt;=K$3,1,0))))</f>
        <v>0</v>
      </c>
      <c r="L361" s="124" t="n">
        <f aca="false">J361*K361</f>
        <v>0</v>
      </c>
      <c r="M361" s="124" t="n">
        <f aca="false">SUM(J$280:J361)</f>
        <v>0</v>
      </c>
      <c r="N361" s="124" t="n">
        <f aca="false">SUM(J$6:J361)</f>
        <v>0</v>
      </c>
      <c r="P361" s="124" t="n">
        <f aca="false">D361/P$3</f>
        <v>0</v>
      </c>
      <c r="Q361" s="124" t="n">
        <f aca="false">E361/P$3</f>
        <v>0</v>
      </c>
      <c r="R361" s="124" t="n">
        <f aca="false">F361/R$3</f>
        <v>0</v>
      </c>
      <c r="S361" s="126" t="n">
        <f aca="false">J361/$R$3</f>
        <v>0</v>
      </c>
      <c r="T361" s="126" t="n">
        <f aca="false">L361/$R$3</f>
        <v>0</v>
      </c>
      <c r="U361" s="126" t="n">
        <f aca="false">I361/$R$3</f>
        <v>0</v>
      </c>
      <c r="V361" s="126" t="n">
        <f aca="false">M361/$R$3</f>
        <v>0</v>
      </c>
      <c r="W361" s="126" t="n">
        <f aca="false">N361/$R$3</f>
        <v>0</v>
      </c>
    </row>
    <row r="362" customFormat="false" ht="12.75" hidden="false" customHeight="false" outlineLevel="0" collapsed="false">
      <c r="A362" s="120" t="n">
        <f aca="false">A361+1</f>
        <v>37248</v>
      </c>
      <c r="B362" s="131" t="str">
        <f aca="false">INDEX('Master Data'!$A$2:$B$8,MATCH(WEEKDAY('SC Total Gas'!A362,3),'Master Data'!$A$2:$A$8,0),2)</f>
        <v>Su</v>
      </c>
      <c r="D362" s="124" t="n">
        <v>0</v>
      </c>
      <c r="E362" s="124" t="n">
        <v>0</v>
      </c>
      <c r="F362" s="124" t="n">
        <v>0</v>
      </c>
      <c r="G362" s="124" t="n">
        <v>0</v>
      </c>
      <c r="I362" s="124" t="n">
        <f aca="false">IF(MONTH($A362)=MONTH($A361),IF(G362=0,I361,G362),G362)</f>
        <v>0</v>
      </c>
      <c r="J362" s="124" t="n">
        <f aca="false">IF(MONTH($A362)=MONTH($A361),SUM(I362-I361),I362)</f>
        <v>0</v>
      </c>
      <c r="K362" s="124" t="n">
        <f aca="false">IF(WEEKDAY(A362,3)&gt;4,0,(IF(A362&lt;K$2,0,IF(A362&lt;=K$3,1,0))))</f>
        <v>0</v>
      </c>
      <c r="L362" s="124" t="n">
        <f aca="false">J362*K362</f>
        <v>0</v>
      </c>
      <c r="M362" s="124" t="n">
        <f aca="false">SUM(J$280:J362)</f>
        <v>0</v>
      </c>
      <c r="N362" s="124" t="n">
        <f aca="false">SUM(J$6:J362)</f>
        <v>0</v>
      </c>
      <c r="P362" s="124" t="n">
        <f aca="false">D362/P$3</f>
        <v>0</v>
      </c>
      <c r="Q362" s="124" t="n">
        <f aca="false">E362/P$3</f>
        <v>0</v>
      </c>
      <c r="R362" s="124" t="n">
        <f aca="false">F362/R$3</f>
        <v>0</v>
      </c>
      <c r="S362" s="126" t="n">
        <f aca="false">J362/$R$3</f>
        <v>0</v>
      </c>
      <c r="T362" s="126" t="n">
        <f aca="false">L362/$R$3</f>
        <v>0</v>
      </c>
      <c r="U362" s="126" t="n">
        <f aca="false">I362/$R$3</f>
        <v>0</v>
      </c>
      <c r="V362" s="126" t="n">
        <f aca="false">M362/$R$3</f>
        <v>0</v>
      </c>
      <c r="W362" s="126" t="n">
        <f aca="false">N362/$R$3</f>
        <v>0</v>
      </c>
    </row>
    <row r="363" customFormat="false" ht="12.75" hidden="false" customHeight="false" outlineLevel="0" collapsed="false">
      <c r="A363" s="120" t="n">
        <f aca="false">A362+1</f>
        <v>37249</v>
      </c>
      <c r="B363" s="131" t="str">
        <f aca="false">INDEX('Master Data'!$A$2:$B$8,MATCH(WEEKDAY('SC Total Gas'!A363,3),'Master Data'!$A$2:$A$8,0),2)</f>
        <v>M</v>
      </c>
      <c r="D363" s="124" t="n">
        <v>0</v>
      </c>
      <c r="E363" s="124" t="n">
        <v>0</v>
      </c>
      <c r="F363" s="124" t="n">
        <v>0</v>
      </c>
      <c r="G363" s="124" t="n">
        <v>0</v>
      </c>
      <c r="I363" s="124" t="n">
        <f aca="false">IF(MONTH($A363)=MONTH($A362),IF(G363=0,I362,G363),G363)</f>
        <v>0</v>
      </c>
      <c r="J363" s="124" t="n">
        <f aca="false">IF(MONTH($A363)=MONTH($A362),SUM(I363-I362),I363)</f>
        <v>0</v>
      </c>
      <c r="K363" s="124" t="n">
        <f aca="false">IF(WEEKDAY(A363,3)&gt;4,0,(IF(A363&lt;K$2,0,IF(A363&lt;=K$3,1,0))))</f>
        <v>0</v>
      </c>
      <c r="L363" s="124" t="n">
        <f aca="false">J363*K363</f>
        <v>0</v>
      </c>
      <c r="M363" s="124" t="n">
        <f aca="false">SUM(J$280:J363)</f>
        <v>0</v>
      </c>
      <c r="N363" s="124" t="n">
        <f aca="false">SUM(J$6:J363)</f>
        <v>0</v>
      </c>
      <c r="P363" s="124" t="n">
        <f aca="false">D363/P$3</f>
        <v>0</v>
      </c>
      <c r="Q363" s="124" t="n">
        <f aca="false">E363/P$3</f>
        <v>0</v>
      </c>
      <c r="R363" s="124" t="n">
        <f aca="false">F363/R$3</f>
        <v>0</v>
      </c>
      <c r="S363" s="126" t="n">
        <f aca="false">J363/$R$3</f>
        <v>0</v>
      </c>
      <c r="T363" s="126" t="n">
        <f aca="false">L363/$R$3</f>
        <v>0</v>
      </c>
      <c r="U363" s="126" t="n">
        <f aca="false">I363/$R$3</f>
        <v>0</v>
      </c>
      <c r="V363" s="126" t="n">
        <f aca="false">M363/$R$3</f>
        <v>0</v>
      </c>
      <c r="W363" s="126" t="n">
        <f aca="false">N363/$R$3</f>
        <v>0</v>
      </c>
    </row>
    <row r="364" customFormat="false" ht="12.75" hidden="false" customHeight="false" outlineLevel="0" collapsed="false">
      <c r="A364" s="120" t="n">
        <f aca="false">A363+1</f>
        <v>37250</v>
      </c>
      <c r="B364" s="131" t="str">
        <f aca="false">INDEX('Master Data'!$A$2:$B$8,MATCH(WEEKDAY('SC Total Gas'!A364,3),'Master Data'!$A$2:$A$8,0),2)</f>
        <v>T</v>
      </c>
      <c r="D364" s="124" t="n">
        <v>0</v>
      </c>
      <c r="E364" s="124" t="n">
        <v>0</v>
      </c>
      <c r="F364" s="124" t="n">
        <v>0</v>
      </c>
      <c r="G364" s="124" t="n">
        <v>0</v>
      </c>
      <c r="I364" s="124" t="n">
        <f aca="false">IF(MONTH($A364)=MONTH($A363),IF(G364=0,I363,G364),G364)</f>
        <v>0</v>
      </c>
      <c r="J364" s="124" t="n">
        <f aca="false">IF(MONTH($A364)=MONTH($A363),SUM(I364-I363),I364)</f>
        <v>0</v>
      </c>
      <c r="K364" s="124" t="n">
        <f aca="false">IF(WEEKDAY(A364,3)&gt;4,0,(IF(A364&lt;K$2,0,IF(A364&lt;=K$3,1,0))))</f>
        <v>0</v>
      </c>
      <c r="L364" s="124" t="n">
        <f aca="false">J364*K364</f>
        <v>0</v>
      </c>
      <c r="M364" s="124" t="n">
        <f aca="false">SUM(J$280:J364)</f>
        <v>0</v>
      </c>
      <c r="N364" s="124" t="n">
        <f aca="false">SUM(J$6:J364)</f>
        <v>0</v>
      </c>
      <c r="P364" s="124" t="n">
        <f aca="false">D364/P$3</f>
        <v>0</v>
      </c>
      <c r="Q364" s="124" t="n">
        <f aca="false">E364/P$3</f>
        <v>0</v>
      </c>
      <c r="R364" s="124" t="n">
        <f aca="false">F364/R$3</f>
        <v>0</v>
      </c>
      <c r="S364" s="126" t="n">
        <f aca="false">J364/$R$3</f>
        <v>0</v>
      </c>
      <c r="T364" s="126" t="n">
        <f aca="false">L364/$R$3</f>
        <v>0</v>
      </c>
      <c r="U364" s="126" t="n">
        <f aca="false">I364/$R$3</f>
        <v>0</v>
      </c>
      <c r="V364" s="126" t="n">
        <f aca="false">M364/$R$3</f>
        <v>0</v>
      </c>
      <c r="W364" s="126" t="n">
        <f aca="false">N364/$R$3</f>
        <v>0</v>
      </c>
    </row>
    <row r="365" customFormat="false" ht="12.75" hidden="false" customHeight="false" outlineLevel="0" collapsed="false">
      <c r="A365" s="120" t="n">
        <f aca="false">A364+1</f>
        <v>37251</v>
      </c>
      <c r="B365" s="131" t="str">
        <f aca="false">INDEX('Master Data'!$A$2:$B$8,MATCH(WEEKDAY('SC Total Gas'!A365,3),'Master Data'!$A$2:$A$8,0),2)</f>
        <v>W</v>
      </c>
      <c r="D365" s="124" t="n">
        <v>0</v>
      </c>
      <c r="E365" s="124" t="n">
        <v>0</v>
      </c>
      <c r="F365" s="124" t="n">
        <v>0</v>
      </c>
      <c r="G365" s="124" t="n">
        <v>0</v>
      </c>
      <c r="I365" s="124" t="n">
        <f aca="false">IF(MONTH($A365)=MONTH($A364),IF(G365=0,I364,G365),G365)</f>
        <v>0</v>
      </c>
      <c r="J365" s="124" t="n">
        <f aca="false">IF(MONTH($A365)=MONTH($A364),SUM(I365-I364),I365)</f>
        <v>0</v>
      </c>
      <c r="K365" s="124" t="n">
        <f aca="false">IF(WEEKDAY(A365,3)&gt;4,0,(IF(A365&lt;K$2,0,IF(A365&lt;=K$3,1,0))))</f>
        <v>0</v>
      </c>
      <c r="L365" s="124" t="n">
        <f aca="false">J365*K365</f>
        <v>0</v>
      </c>
      <c r="M365" s="124" t="n">
        <f aca="false">SUM(J$280:J365)</f>
        <v>0</v>
      </c>
      <c r="N365" s="124" t="n">
        <f aca="false">SUM(J$6:J365)</f>
        <v>0</v>
      </c>
      <c r="P365" s="124" t="n">
        <f aca="false">D365/P$3</f>
        <v>0</v>
      </c>
      <c r="Q365" s="124" t="n">
        <f aca="false">E365/P$3</f>
        <v>0</v>
      </c>
      <c r="R365" s="124" t="n">
        <f aca="false">F365/R$3</f>
        <v>0</v>
      </c>
      <c r="S365" s="126" t="n">
        <f aca="false">J365/$R$3</f>
        <v>0</v>
      </c>
      <c r="T365" s="126" t="n">
        <f aca="false">L365/$R$3</f>
        <v>0</v>
      </c>
      <c r="U365" s="126" t="n">
        <f aca="false">I365/$R$3</f>
        <v>0</v>
      </c>
      <c r="V365" s="126" t="n">
        <f aca="false">M365/$R$3</f>
        <v>0</v>
      </c>
      <c r="W365" s="126" t="n">
        <f aca="false">N365/$R$3</f>
        <v>0</v>
      </c>
    </row>
    <row r="366" customFormat="false" ht="12.75" hidden="false" customHeight="false" outlineLevel="0" collapsed="false">
      <c r="A366" s="120" t="n">
        <f aca="false">A365+1</f>
        <v>37252</v>
      </c>
      <c r="B366" s="131" t="str">
        <f aca="false">INDEX('Master Data'!$A$2:$B$8,MATCH(WEEKDAY('SC Total Gas'!A366,3),'Master Data'!$A$2:$A$8,0),2)</f>
        <v>Th</v>
      </c>
      <c r="D366" s="124" t="n">
        <v>0</v>
      </c>
      <c r="E366" s="124" t="n">
        <v>0</v>
      </c>
      <c r="F366" s="124" t="n">
        <v>0</v>
      </c>
      <c r="G366" s="124" t="n">
        <v>0</v>
      </c>
      <c r="I366" s="124" t="n">
        <f aca="false">IF(MONTH($A366)=MONTH($A365),IF(G366=0,I365,G366),G366)</f>
        <v>0</v>
      </c>
      <c r="J366" s="124" t="n">
        <f aca="false">IF(MONTH($A366)=MONTH($A365),SUM(I366-I365),I366)</f>
        <v>0</v>
      </c>
      <c r="K366" s="124" t="n">
        <f aca="false">IF(WEEKDAY(A366,3)&gt;4,0,(IF(A366&lt;K$2,0,IF(A366&lt;=K$3,1,0))))</f>
        <v>0</v>
      </c>
      <c r="L366" s="124" t="n">
        <f aca="false">J366*K366</f>
        <v>0</v>
      </c>
      <c r="M366" s="124" t="n">
        <f aca="false">SUM(J$280:J366)</f>
        <v>0</v>
      </c>
      <c r="N366" s="124" t="n">
        <f aca="false">SUM(J$6:J366)</f>
        <v>0</v>
      </c>
      <c r="P366" s="124" t="n">
        <f aca="false">D366/P$3</f>
        <v>0</v>
      </c>
      <c r="Q366" s="124" t="n">
        <f aca="false">E366/P$3</f>
        <v>0</v>
      </c>
      <c r="R366" s="124" t="n">
        <f aca="false">F366/R$3</f>
        <v>0</v>
      </c>
      <c r="S366" s="126" t="n">
        <f aca="false">J366/$R$3</f>
        <v>0</v>
      </c>
      <c r="T366" s="126" t="n">
        <f aca="false">L366/$R$3</f>
        <v>0</v>
      </c>
      <c r="U366" s="126" t="n">
        <f aca="false">I366/$R$3</f>
        <v>0</v>
      </c>
      <c r="V366" s="126" t="n">
        <f aca="false">M366/$R$3</f>
        <v>0</v>
      </c>
      <c r="W366" s="126" t="n">
        <f aca="false">N366/$R$3</f>
        <v>0</v>
      </c>
    </row>
    <row r="367" customFormat="false" ht="12.75" hidden="false" customHeight="false" outlineLevel="0" collapsed="false">
      <c r="A367" s="120" t="n">
        <f aca="false">A366+1</f>
        <v>37253</v>
      </c>
      <c r="B367" s="131" t="str">
        <f aca="false">INDEX('Master Data'!$A$2:$B$8,MATCH(WEEKDAY('SC Total Gas'!A367,3),'Master Data'!$A$2:$A$8,0),2)</f>
        <v>F</v>
      </c>
      <c r="D367" s="124" t="n">
        <v>0</v>
      </c>
      <c r="E367" s="124" t="n">
        <v>0</v>
      </c>
      <c r="F367" s="124" t="n">
        <v>0</v>
      </c>
      <c r="G367" s="124" t="n">
        <v>0</v>
      </c>
      <c r="I367" s="124" t="n">
        <f aca="false">IF(MONTH($A367)=MONTH($A366),IF(G367=0,I366,G367),G367)</f>
        <v>0</v>
      </c>
      <c r="J367" s="124" t="n">
        <f aca="false">IF(MONTH($A367)=MONTH($A366),SUM(I367-I366),I367)</f>
        <v>0</v>
      </c>
      <c r="K367" s="124" t="n">
        <f aca="false">IF(WEEKDAY(A367,3)&gt;4,0,(IF(A367&lt;K$2,0,IF(A367&lt;=K$3,1,0))))</f>
        <v>0</v>
      </c>
      <c r="L367" s="124" t="n">
        <f aca="false">J367*K367</f>
        <v>0</v>
      </c>
      <c r="M367" s="124" t="n">
        <f aca="false">SUM(J$280:J367)</f>
        <v>0</v>
      </c>
      <c r="N367" s="124" t="n">
        <f aca="false">SUM(J$6:J367)</f>
        <v>0</v>
      </c>
      <c r="P367" s="124" t="n">
        <f aca="false">D367/P$3</f>
        <v>0</v>
      </c>
      <c r="Q367" s="124" t="n">
        <f aca="false">E367/P$3</f>
        <v>0</v>
      </c>
      <c r="R367" s="124" t="n">
        <f aca="false">F367/R$3</f>
        <v>0</v>
      </c>
      <c r="S367" s="126" t="n">
        <f aca="false">J367/$R$3</f>
        <v>0</v>
      </c>
      <c r="T367" s="126" t="n">
        <f aca="false">L367/$R$3</f>
        <v>0</v>
      </c>
      <c r="U367" s="126" t="n">
        <f aca="false">I367/$R$3</f>
        <v>0</v>
      </c>
      <c r="V367" s="126" t="n">
        <f aca="false">M367/$R$3</f>
        <v>0</v>
      </c>
      <c r="W367" s="126" t="n">
        <f aca="false">N367/$R$3</f>
        <v>0</v>
      </c>
    </row>
    <row r="368" customFormat="false" ht="12.75" hidden="false" customHeight="false" outlineLevel="0" collapsed="false">
      <c r="A368" s="120" t="n">
        <f aca="false">A367+1</f>
        <v>37254</v>
      </c>
      <c r="B368" s="131" t="str">
        <f aca="false">INDEX('Master Data'!$A$2:$B$8,MATCH(WEEKDAY('SC Total Gas'!A368,3),'Master Data'!$A$2:$A$8,0),2)</f>
        <v>Sa</v>
      </c>
      <c r="D368" s="124" t="n">
        <v>0</v>
      </c>
      <c r="E368" s="124" t="n">
        <v>0</v>
      </c>
      <c r="F368" s="124" t="n">
        <v>0</v>
      </c>
      <c r="G368" s="124" t="n">
        <v>0</v>
      </c>
      <c r="I368" s="124" t="n">
        <f aca="false">IF(MONTH($A368)=MONTH($A367),IF(G368=0,I367,G368),G368)</f>
        <v>0</v>
      </c>
      <c r="J368" s="124" t="n">
        <f aca="false">IF(MONTH($A368)=MONTH($A367),SUM(I368-I367),I368)</f>
        <v>0</v>
      </c>
      <c r="K368" s="124" t="n">
        <f aca="false">IF(WEEKDAY(A368,3)&gt;4,0,(IF(A368&lt;K$2,0,IF(A368&lt;=K$3,1,0))))</f>
        <v>0</v>
      </c>
      <c r="L368" s="124" t="n">
        <f aca="false">J368*K368</f>
        <v>0</v>
      </c>
      <c r="M368" s="124" t="n">
        <f aca="false">SUM(J$280:J368)</f>
        <v>0</v>
      </c>
      <c r="N368" s="124" t="n">
        <f aca="false">SUM(J$6:J368)</f>
        <v>0</v>
      </c>
      <c r="P368" s="124" t="n">
        <f aca="false">D368/P$3</f>
        <v>0</v>
      </c>
      <c r="Q368" s="124" t="n">
        <f aca="false">E368/P$3</f>
        <v>0</v>
      </c>
      <c r="R368" s="124" t="n">
        <f aca="false">F368/R$3</f>
        <v>0</v>
      </c>
      <c r="S368" s="126" t="n">
        <f aca="false">J368/$R$3</f>
        <v>0</v>
      </c>
      <c r="T368" s="126" t="n">
        <f aca="false">L368/$R$3</f>
        <v>0</v>
      </c>
      <c r="U368" s="126" t="n">
        <f aca="false">I368/$R$3</f>
        <v>0</v>
      </c>
      <c r="V368" s="126" t="n">
        <f aca="false">M368/$R$3</f>
        <v>0</v>
      </c>
      <c r="W368" s="126" t="n">
        <f aca="false">N368/$R$3</f>
        <v>0</v>
      </c>
    </row>
    <row r="369" customFormat="false" ht="12.75" hidden="false" customHeight="false" outlineLevel="0" collapsed="false">
      <c r="A369" s="120" t="n">
        <f aca="false">A368+1</f>
        <v>37255</v>
      </c>
      <c r="B369" s="131" t="str">
        <f aca="false">INDEX('Master Data'!$A$2:$B$8,MATCH(WEEKDAY('SC Total Gas'!A369,3),'Master Data'!$A$2:$A$8,0),2)</f>
        <v>Su</v>
      </c>
      <c r="D369" s="124" t="n">
        <v>0</v>
      </c>
      <c r="E369" s="124" t="n">
        <v>0</v>
      </c>
      <c r="F369" s="124" t="n">
        <v>0</v>
      </c>
      <c r="G369" s="124" t="n">
        <v>0</v>
      </c>
      <c r="I369" s="124" t="n">
        <f aca="false">IF(MONTH($A369)=MONTH($A368),IF(G369=0,I368,G369),G369)</f>
        <v>0</v>
      </c>
      <c r="J369" s="124" t="n">
        <f aca="false">IF(MONTH($A369)=MONTH($A368),SUM(I369-I368),I369)</f>
        <v>0</v>
      </c>
      <c r="K369" s="124" t="n">
        <f aca="false">IF(WEEKDAY(A369,3)&gt;4,0,(IF(A369&lt;K$2,0,IF(A369&lt;=K$3,1,0))))</f>
        <v>0</v>
      </c>
      <c r="L369" s="124" t="n">
        <f aca="false">J369*K369</f>
        <v>0</v>
      </c>
      <c r="M369" s="124" t="n">
        <f aca="false">SUM(J$280:J369)</f>
        <v>0</v>
      </c>
      <c r="N369" s="124" t="n">
        <f aca="false">SUM(J$6:J369)</f>
        <v>0</v>
      </c>
      <c r="P369" s="124" t="n">
        <f aca="false">D369/P$3</f>
        <v>0</v>
      </c>
      <c r="Q369" s="124" t="n">
        <f aca="false">E369/P$3</f>
        <v>0</v>
      </c>
      <c r="R369" s="124" t="n">
        <f aca="false">F369/R$3</f>
        <v>0</v>
      </c>
      <c r="S369" s="126" t="n">
        <f aca="false">J369/$R$3</f>
        <v>0</v>
      </c>
      <c r="T369" s="126" t="n">
        <f aca="false">L369/$R$3</f>
        <v>0</v>
      </c>
      <c r="U369" s="126" t="n">
        <f aca="false">I369/$R$3</f>
        <v>0</v>
      </c>
      <c r="V369" s="126" t="n">
        <f aca="false">M369/$R$3</f>
        <v>0</v>
      </c>
      <c r="W369" s="126" t="n">
        <f aca="false">N369/$R$3</f>
        <v>0</v>
      </c>
    </row>
    <row r="370" customFormat="false" ht="12.75" hidden="false" customHeight="false" outlineLevel="0" collapsed="false">
      <c r="A370" s="120" t="n">
        <f aca="false">A369+1</f>
        <v>37256</v>
      </c>
      <c r="B370" s="131" t="str">
        <f aca="false">INDEX('Master Data'!$A$2:$B$8,MATCH(WEEKDAY('SC Total Gas'!A370,3),'Master Data'!$A$2:$A$8,0),2)</f>
        <v>M</v>
      </c>
      <c r="D370" s="124" t="n">
        <v>0</v>
      </c>
      <c r="E370" s="124" t="n">
        <v>0</v>
      </c>
      <c r="F370" s="124" t="n">
        <v>0</v>
      </c>
      <c r="G370" s="124" t="n">
        <v>0</v>
      </c>
      <c r="I370" s="124" t="n">
        <f aca="false">IF(MONTH($A370)=MONTH($A369),IF(G370=0,I369,G370),G370)</f>
        <v>0</v>
      </c>
      <c r="J370" s="124" t="n">
        <f aca="false">IF(MONTH($A370)=MONTH($A369),SUM(I370-I369),I370)</f>
        <v>0</v>
      </c>
      <c r="K370" s="124" t="n">
        <f aca="false">IF(WEEKDAY(A370,3)&gt;4,0,(IF(A370&lt;K$2,0,IF(A370&lt;=K$3,1,0))))</f>
        <v>0</v>
      </c>
      <c r="L370" s="124" t="n">
        <f aca="false">J370*K370</f>
        <v>0</v>
      </c>
      <c r="M370" s="124" t="n">
        <f aca="false">SUM(J$280:J370)</f>
        <v>0</v>
      </c>
      <c r="N370" s="124" t="n">
        <f aca="false">SUM(J$6:J370)</f>
        <v>0</v>
      </c>
      <c r="P370" s="124" t="n">
        <f aca="false">D370/P$3</f>
        <v>0</v>
      </c>
      <c r="Q370" s="124" t="n">
        <f aca="false">E370/P$3</f>
        <v>0</v>
      </c>
      <c r="R370" s="124" t="n">
        <f aca="false">F370/R$3</f>
        <v>0</v>
      </c>
      <c r="S370" s="126" t="n">
        <f aca="false">J370/$R$3</f>
        <v>0</v>
      </c>
      <c r="T370" s="126" t="n">
        <f aca="false">L370/$R$3</f>
        <v>0</v>
      </c>
      <c r="U370" s="126" t="n">
        <f aca="false">I370/$R$3</f>
        <v>0</v>
      </c>
      <c r="V370" s="126" t="n">
        <f aca="false">M370/$R$3</f>
        <v>0</v>
      </c>
      <c r="W370" s="126" t="n">
        <f aca="false">N370/$R$3</f>
        <v>0</v>
      </c>
    </row>
    <row r="371" customFormat="false" ht="12.75" hidden="false" customHeight="false" outlineLevel="0" collapsed="false">
      <c r="A371" s="120" t="n">
        <f aca="false">A370+1</f>
        <v>37257</v>
      </c>
      <c r="B371" s="131" t="str">
        <f aca="false">INDEX('Master Data'!$A$2:$B$8,MATCH(WEEKDAY('SC Total Gas'!A371,3),'Master Data'!$A$2:$A$8,0),2)</f>
        <v>T</v>
      </c>
      <c r="D371" s="124" t="n">
        <v>0</v>
      </c>
      <c r="E371" s="124" t="n">
        <v>0</v>
      </c>
      <c r="F371" s="124" t="n">
        <v>0</v>
      </c>
      <c r="G371" s="124" t="n">
        <v>0</v>
      </c>
      <c r="I371" s="124" t="n">
        <f aca="false">IF(MONTH($A371)=MONTH($A370),IF(G371=0,I370,G371),G371)</f>
        <v>0</v>
      </c>
      <c r="J371" s="124" t="n">
        <f aca="false">IF(MONTH($A371)=MONTH($A370),SUM(I371-I370),I371)</f>
        <v>0</v>
      </c>
      <c r="K371" s="124" t="n">
        <f aca="false">IF(WEEKDAY(A371,3)&gt;4,0,(IF(A371&lt;K$2,0,IF(A371&lt;=K$3,1,0))))</f>
        <v>0</v>
      </c>
      <c r="L371" s="124" t="n">
        <f aca="false">J371*K371</f>
        <v>0</v>
      </c>
      <c r="M371" s="124" t="n">
        <f aca="false">SUM(J$280:J371)</f>
        <v>0</v>
      </c>
      <c r="N371" s="124" t="n">
        <f aca="false">SUM(J$6:J371)</f>
        <v>0</v>
      </c>
      <c r="P371" s="124" t="n">
        <f aca="false">D371/P$3</f>
        <v>0</v>
      </c>
      <c r="Q371" s="124" t="n">
        <f aca="false">E371/P$3</f>
        <v>0</v>
      </c>
      <c r="R371" s="124" t="n">
        <f aca="false">F371/R$3</f>
        <v>0</v>
      </c>
      <c r="S371" s="126" t="n">
        <f aca="false">J371/$R$3</f>
        <v>0</v>
      </c>
      <c r="T371" s="126" t="n">
        <f aca="false">L371/$R$3</f>
        <v>0</v>
      </c>
      <c r="U371" s="126" t="n">
        <f aca="false">I371/$R$3</f>
        <v>0</v>
      </c>
      <c r="V371" s="126" t="n">
        <f aca="false">M371/$R$3</f>
        <v>0</v>
      </c>
      <c r="W371" s="126" t="n">
        <f aca="false">N371/$R$3</f>
        <v>0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514"/>
  <sheetViews>
    <sheetView showFormulas="false" showGridLines="true" showRowColHeaders="true" showZeros="true" rightToLeft="false" tabSelected="false" showOutlineSymbols="true" defaultGridColor="true" view="normal" topLeftCell="A248" colorId="64" zoomScale="100" zoomScaleNormal="100" zoomScalePageLayoutView="100" workbookViewId="0">
      <selection pane="topLeft" activeCell="B310" activeCellId="0" sqref="B310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20" width="7.28"/>
    <col collapsed="false" customWidth="true" hidden="false" outlineLevel="0" max="2" min="2" style="121" width="4.14"/>
    <col collapsed="false" customWidth="true" hidden="false" outlineLevel="0" max="3" min="3" style="122" width="2.7"/>
    <col collapsed="false" customWidth="true" hidden="false" outlineLevel="0" max="7" min="4" style="121" width="14.99"/>
    <col collapsed="false" customWidth="true" hidden="false" outlineLevel="0" max="8" min="8" style="122" width="2.7"/>
    <col collapsed="false" customWidth="true" hidden="false" outlineLevel="0" max="9" min="9" style="123" width="13.14"/>
    <col collapsed="false" customWidth="true" hidden="false" outlineLevel="0" max="10" min="10" style="124" width="13.14"/>
    <col collapsed="false" customWidth="true" hidden="false" outlineLevel="0" max="11" min="11" style="124" width="10.99"/>
    <col collapsed="false" customWidth="true" hidden="false" outlineLevel="0" max="14" min="12" style="124" width="13.14"/>
    <col collapsed="false" customWidth="true" hidden="false" outlineLevel="0" max="15" min="15" style="125" width="2.7"/>
    <col collapsed="false" customWidth="true" hidden="false" outlineLevel="0" max="18" min="16" style="121" width="16.13"/>
    <col collapsed="false" customWidth="true" hidden="false" outlineLevel="0" max="23" min="19" style="126" width="12.7"/>
    <col collapsed="false" customWidth="false" hidden="false" outlineLevel="0" max="257" min="24" style="121" width="9.14"/>
  </cols>
  <sheetData>
    <row r="1" customFormat="false" ht="12.75" hidden="false" customHeight="false" outlineLevel="0" collapsed="false">
      <c r="A1" s="127" t="n">
        <v>1</v>
      </c>
      <c r="B1" s="121" t="n">
        <f aca="false">+A1+1</f>
        <v>2</v>
      </c>
      <c r="C1" s="122" t="n">
        <f aca="false">+B1+1</f>
        <v>3</v>
      </c>
      <c r="D1" s="121" t="n">
        <f aca="false">+C1+1</f>
        <v>4</v>
      </c>
      <c r="E1" s="121" t="n">
        <f aca="false">+D1+1</f>
        <v>5</v>
      </c>
      <c r="F1" s="121" t="n">
        <f aca="false">+E1+1</f>
        <v>6</v>
      </c>
      <c r="G1" s="121" t="n">
        <f aca="false">+F1+1</f>
        <v>7</v>
      </c>
      <c r="H1" s="122" t="n">
        <f aca="false">+G1+1</f>
        <v>8</v>
      </c>
      <c r="I1" s="123" t="n">
        <f aca="false">+H1+1</f>
        <v>9</v>
      </c>
      <c r="J1" s="124" t="n">
        <f aca="false">+I1+1</f>
        <v>10</v>
      </c>
      <c r="K1" s="124" t="n">
        <f aca="false">+J1+1</f>
        <v>11</v>
      </c>
      <c r="L1" s="124" t="n">
        <f aca="false">+K1+1</f>
        <v>12</v>
      </c>
      <c r="M1" s="124" t="n">
        <f aca="false">+L1+1</f>
        <v>13</v>
      </c>
      <c r="N1" s="124" t="n">
        <f aca="false">+M1+1</f>
        <v>14</v>
      </c>
      <c r="O1" s="125" t="n">
        <f aca="false">+N1+1</f>
        <v>15</v>
      </c>
      <c r="P1" s="121" t="n">
        <f aca="false">+O1+1</f>
        <v>16</v>
      </c>
      <c r="Q1" s="121" t="n">
        <f aca="false">+P1+1</f>
        <v>17</v>
      </c>
      <c r="R1" s="121" t="n">
        <f aca="false">+Q1+1</f>
        <v>18</v>
      </c>
      <c r="S1" s="121" t="n">
        <f aca="false">+R1+1</f>
        <v>19</v>
      </c>
      <c r="T1" s="121" t="n">
        <f aca="false">+S1+1</f>
        <v>20</v>
      </c>
      <c r="U1" s="121" t="n">
        <f aca="false">+T1+1</f>
        <v>21</v>
      </c>
      <c r="V1" s="121" t="n">
        <f aca="false">+U1+1</f>
        <v>22</v>
      </c>
      <c r="W1" s="121" t="n">
        <f aca="false">+V1+1</f>
        <v>23</v>
      </c>
    </row>
    <row r="2" customFormat="false" ht="12.75" hidden="false" customHeight="false" outlineLevel="0" collapsed="false">
      <c r="K2" s="128" t="n">
        <f aca="false">WORKDAY(K3,-4)</f>
        <v>37190</v>
      </c>
    </row>
    <row r="3" customFormat="false" ht="12.75" hidden="false" customHeight="false" outlineLevel="0" collapsed="false">
      <c r="K3" s="128" t="n">
        <f aca="false">Summary!B8</f>
        <v>37196</v>
      </c>
      <c r="L3" s="129" t="n">
        <f aca="false">SUM(L6:L371)</f>
        <v>-4</v>
      </c>
      <c r="P3" s="124" t="n">
        <v>1000000</v>
      </c>
      <c r="Q3" s="124"/>
      <c r="R3" s="124" t="n">
        <v>1000</v>
      </c>
      <c r="S3" s="121"/>
      <c r="T3" s="130" t="n">
        <f aca="false">SUM(T6:T371)</f>
        <v>-0.004</v>
      </c>
    </row>
    <row r="4" customFormat="false" ht="12.75" hidden="false" customHeight="false" outlineLevel="0" collapsed="false">
      <c r="D4" s="131" t="s">
        <v>84</v>
      </c>
      <c r="E4" s="131" t="s">
        <v>84</v>
      </c>
      <c r="F4" s="131" t="s">
        <v>58</v>
      </c>
      <c r="G4" s="131" t="s">
        <v>58</v>
      </c>
      <c r="I4" s="132" t="s">
        <v>58</v>
      </c>
      <c r="J4" s="132"/>
      <c r="K4" s="132"/>
      <c r="L4" s="132"/>
      <c r="M4" s="132"/>
      <c r="N4" s="132"/>
      <c r="O4" s="133"/>
      <c r="P4" s="134" t="s">
        <v>85</v>
      </c>
      <c r="Q4" s="134"/>
      <c r="R4" s="135" t="s">
        <v>60</v>
      </c>
      <c r="S4" s="135"/>
      <c r="T4" s="135"/>
      <c r="U4" s="135"/>
      <c r="V4" s="135"/>
      <c r="W4" s="135"/>
    </row>
    <row r="5" customFormat="false" ht="12.75" hidden="false" customHeight="false" outlineLevel="0" collapsed="false">
      <c r="A5" s="136" t="s">
        <v>61</v>
      </c>
      <c r="B5" s="131" t="s">
        <v>62</v>
      </c>
      <c r="C5" s="137"/>
      <c r="D5" s="138" t="s">
        <v>63</v>
      </c>
      <c r="E5" s="138" t="s">
        <v>64</v>
      </c>
      <c r="F5" s="138" t="s">
        <v>65</v>
      </c>
      <c r="G5" s="138" t="s">
        <v>66</v>
      </c>
      <c r="H5" s="139"/>
      <c r="I5" s="138" t="s">
        <v>67</v>
      </c>
      <c r="J5" s="140" t="s">
        <v>68</v>
      </c>
      <c r="K5" s="140" t="s">
        <v>69</v>
      </c>
      <c r="L5" s="140" t="s">
        <v>70</v>
      </c>
      <c r="M5" s="140" t="s">
        <v>71</v>
      </c>
      <c r="N5" s="140" t="s">
        <v>72</v>
      </c>
      <c r="O5" s="141"/>
      <c r="P5" s="138" t="s">
        <v>63</v>
      </c>
      <c r="Q5" s="138" t="s">
        <v>64</v>
      </c>
      <c r="R5" s="138" t="s">
        <v>65</v>
      </c>
      <c r="S5" s="142" t="s">
        <v>68</v>
      </c>
      <c r="T5" s="140" t="s">
        <v>70</v>
      </c>
      <c r="U5" s="142" t="s">
        <v>66</v>
      </c>
      <c r="V5" s="142" t="s">
        <v>71</v>
      </c>
      <c r="W5" s="142" t="s">
        <v>72</v>
      </c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1"/>
      <c r="AW5" s="131"/>
      <c r="AX5" s="131"/>
      <c r="AY5" s="131"/>
      <c r="AZ5" s="131"/>
      <c r="BA5" s="131"/>
      <c r="BB5" s="131"/>
      <c r="BC5" s="131"/>
      <c r="BD5" s="131"/>
      <c r="BE5" s="131"/>
      <c r="BF5" s="131"/>
      <c r="BG5" s="131"/>
      <c r="BH5" s="131"/>
      <c r="BI5" s="131"/>
      <c r="BJ5" s="131"/>
      <c r="BK5" s="131"/>
      <c r="BL5" s="131"/>
      <c r="BM5" s="131"/>
      <c r="BN5" s="131"/>
      <c r="BO5" s="131"/>
      <c r="BP5" s="131"/>
      <c r="BQ5" s="131"/>
      <c r="BR5" s="131"/>
      <c r="BS5" s="131"/>
      <c r="BT5" s="131"/>
      <c r="BU5" s="131"/>
      <c r="BV5" s="131"/>
      <c r="BW5" s="131"/>
      <c r="BX5" s="131"/>
      <c r="BY5" s="131"/>
      <c r="BZ5" s="131"/>
      <c r="CA5" s="131"/>
      <c r="CB5" s="131"/>
      <c r="CC5" s="131"/>
      <c r="CD5" s="131"/>
      <c r="CE5" s="131"/>
      <c r="CF5" s="131"/>
      <c r="CG5" s="131"/>
      <c r="CH5" s="131"/>
      <c r="CI5" s="131"/>
      <c r="CJ5" s="131"/>
      <c r="CK5" s="131"/>
      <c r="CL5" s="131"/>
      <c r="CM5" s="131"/>
      <c r="CN5" s="131"/>
      <c r="CO5" s="131"/>
      <c r="CP5" s="131"/>
      <c r="CQ5" s="131"/>
      <c r="CR5" s="131"/>
      <c r="CS5" s="131"/>
      <c r="CT5" s="131"/>
      <c r="CU5" s="131"/>
      <c r="CV5" s="131"/>
      <c r="CW5" s="131"/>
      <c r="CX5" s="131"/>
      <c r="CY5" s="131"/>
      <c r="CZ5" s="131"/>
      <c r="DA5" s="131"/>
      <c r="DB5" s="131"/>
      <c r="DC5" s="131"/>
      <c r="DD5" s="131"/>
      <c r="DE5" s="131"/>
      <c r="DF5" s="131"/>
      <c r="DG5" s="131"/>
      <c r="DH5" s="131"/>
      <c r="DI5" s="131"/>
      <c r="DJ5" s="131"/>
      <c r="DK5" s="131"/>
      <c r="DL5" s="131"/>
      <c r="DM5" s="131"/>
      <c r="DN5" s="131"/>
      <c r="DO5" s="131"/>
      <c r="DP5" s="131"/>
      <c r="DQ5" s="131"/>
      <c r="DR5" s="131"/>
      <c r="DS5" s="131"/>
      <c r="DT5" s="131"/>
      <c r="DU5" s="131"/>
      <c r="DV5" s="131"/>
      <c r="DW5" s="131"/>
      <c r="DX5" s="131"/>
      <c r="DY5" s="131"/>
      <c r="DZ5" s="131"/>
      <c r="EA5" s="131"/>
      <c r="EB5" s="131"/>
      <c r="EC5" s="131"/>
      <c r="ED5" s="131"/>
      <c r="EE5" s="131"/>
      <c r="EF5" s="131"/>
      <c r="EG5" s="131"/>
      <c r="EH5" s="131"/>
      <c r="EI5" s="131"/>
      <c r="EJ5" s="131"/>
      <c r="EK5" s="131"/>
      <c r="EL5" s="131"/>
      <c r="EM5" s="131"/>
      <c r="EN5" s="131"/>
      <c r="EO5" s="131"/>
      <c r="EP5" s="131"/>
      <c r="EQ5" s="131"/>
      <c r="ER5" s="131"/>
      <c r="ES5" s="131"/>
      <c r="ET5" s="131"/>
      <c r="EU5" s="131"/>
      <c r="EV5" s="131"/>
      <c r="EW5" s="131"/>
      <c r="EX5" s="131"/>
      <c r="EY5" s="131"/>
      <c r="EZ5" s="131"/>
      <c r="FA5" s="131"/>
      <c r="FB5" s="131"/>
      <c r="FC5" s="131"/>
      <c r="FD5" s="131"/>
      <c r="FE5" s="131"/>
      <c r="FF5" s="131"/>
      <c r="FG5" s="131"/>
      <c r="FH5" s="131"/>
      <c r="FI5" s="131"/>
      <c r="FJ5" s="131"/>
      <c r="FK5" s="131"/>
      <c r="FL5" s="131"/>
      <c r="FM5" s="131"/>
      <c r="FN5" s="131"/>
      <c r="FO5" s="131"/>
      <c r="FP5" s="131"/>
      <c r="FQ5" s="131"/>
      <c r="FR5" s="131"/>
      <c r="FS5" s="131"/>
      <c r="FT5" s="131"/>
      <c r="FU5" s="131"/>
      <c r="FV5" s="131"/>
      <c r="FW5" s="131"/>
      <c r="FX5" s="131"/>
      <c r="FY5" s="131"/>
      <c r="FZ5" s="131"/>
      <c r="GA5" s="131"/>
      <c r="GB5" s="131"/>
      <c r="GC5" s="131"/>
      <c r="GD5" s="131"/>
      <c r="GE5" s="131"/>
      <c r="GF5" s="131"/>
      <c r="GG5" s="131"/>
      <c r="GH5" s="131"/>
      <c r="GI5" s="131"/>
      <c r="GJ5" s="131"/>
      <c r="GK5" s="131"/>
      <c r="GL5" s="131"/>
      <c r="GM5" s="131"/>
      <c r="GN5" s="131"/>
      <c r="GO5" s="131"/>
      <c r="GP5" s="131"/>
      <c r="GQ5" s="131"/>
      <c r="GR5" s="131"/>
      <c r="GS5" s="131"/>
      <c r="GT5" s="131"/>
      <c r="GU5" s="131"/>
      <c r="GV5" s="131"/>
      <c r="GW5" s="131"/>
      <c r="GX5" s="131"/>
      <c r="GY5" s="131"/>
      <c r="GZ5" s="131"/>
      <c r="HA5" s="131"/>
      <c r="HB5" s="131"/>
      <c r="HC5" s="131"/>
      <c r="HD5" s="131"/>
      <c r="HE5" s="131"/>
      <c r="HF5" s="131"/>
      <c r="HG5" s="131"/>
      <c r="HH5" s="131"/>
      <c r="HI5" s="131"/>
      <c r="HJ5" s="131"/>
      <c r="HK5" s="131"/>
      <c r="HL5" s="131"/>
      <c r="HM5" s="131"/>
      <c r="HN5" s="131"/>
      <c r="HO5" s="131"/>
      <c r="HP5" s="131"/>
      <c r="HQ5" s="131"/>
      <c r="HR5" s="131"/>
      <c r="HS5" s="131"/>
      <c r="HT5" s="131"/>
      <c r="HU5" s="131"/>
      <c r="HV5" s="131"/>
      <c r="HW5" s="131"/>
      <c r="HX5" s="131"/>
      <c r="HY5" s="131"/>
      <c r="HZ5" s="131"/>
      <c r="IA5" s="131"/>
      <c r="IB5" s="131"/>
      <c r="IC5" s="131"/>
      <c r="ID5" s="131"/>
      <c r="IE5" s="131"/>
      <c r="IF5" s="131"/>
      <c r="IG5" s="131"/>
      <c r="IH5" s="131"/>
      <c r="II5" s="131"/>
      <c r="IJ5" s="131"/>
      <c r="IK5" s="131"/>
      <c r="IL5" s="131"/>
      <c r="IM5" s="131"/>
      <c r="IN5" s="131"/>
      <c r="IO5" s="131"/>
      <c r="IP5" s="131"/>
      <c r="IQ5" s="131"/>
      <c r="IR5" s="131"/>
      <c r="IS5" s="131"/>
      <c r="IT5" s="131"/>
      <c r="IU5" s="131"/>
      <c r="IV5" s="131"/>
      <c r="IW5" s="131"/>
    </row>
    <row r="6" customFormat="false" ht="12.75" hidden="true" customHeight="false" outlineLevel="0" collapsed="false">
      <c r="A6" s="120" t="n">
        <v>36892</v>
      </c>
      <c r="B6" s="131" t="str">
        <f aca="false">INDEX('Master Data'!$A$2:$B$8,MATCH(WEEKDAY('ARG Gas Firm'!A6,3),'Master Data'!$A$2:$A$8,0),2)</f>
        <v>M</v>
      </c>
      <c r="D6" s="124" t="n">
        <v>0</v>
      </c>
      <c r="E6" s="124" t="n">
        <v>0</v>
      </c>
      <c r="F6" s="124" t="n">
        <v>0</v>
      </c>
      <c r="G6" s="124" t="n">
        <v>0</v>
      </c>
      <c r="I6" s="124" t="n">
        <f aca="false">G6</f>
        <v>0</v>
      </c>
      <c r="J6" s="124" t="n">
        <f aca="false">I6</f>
        <v>0</v>
      </c>
      <c r="K6" s="124" t="n">
        <f aca="false">IF(WEEKDAY(A6,3)&gt;4,0,(IF(A6&lt;K$2,0,IF(A6&lt;=K$3,1,0))))</f>
        <v>0</v>
      </c>
      <c r="L6" s="124" t="n">
        <f aca="false">J6*K6</f>
        <v>0</v>
      </c>
      <c r="M6" s="124" t="n">
        <f aca="false">SUM(J$6:J6)</f>
        <v>0</v>
      </c>
      <c r="N6" s="124" t="n">
        <f aca="false">SUM(J$6:J6)</f>
        <v>0</v>
      </c>
      <c r="P6" s="124" t="n">
        <f aca="false">D6/P$3</f>
        <v>0</v>
      </c>
      <c r="Q6" s="124" t="n">
        <f aca="false">E6/P$3</f>
        <v>0</v>
      </c>
      <c r="R6" s="124" t="n">
        <f aca="false">F6/R$3</f>
        <v>0</v>
      </c>
      <c r="S6" s="126" t="n">
        <f aca="false">J6/$R$3</f>
        <v>0</v>
      </c>
      <c r="T6" s="126" t="n">
        <f aca="false">L6/$R$3</f>
        <v>0</v>
      </c>
      <c r="U6" s="126" t="n">
        <f aca="false">I6/$R$3</f>
        <v>0</v>
      </c>
      <c r="V6" s="126" t="n">
        <f aca="false">M6/$R$3</f>
        <v>0</v>
      </c>
      <c r="W6" s="126" t="n">
        <f aca="false">N6/$R$3</f>
        <v>0</v>
      </c>
    </row>
    <row r="7" customFormat="false" ht="12.75" hidden="true" customHeight="false" outlineLevel="0" collapsed="false">
      <c r="A7" s="120" t="n">
        <f aca="false">A6+1</f>
        <v>36893</v>
      </c>
      <c r="B7" s="131" t="str">
        <f aca="false">INDEX('Master Data'!$A$2:$B$8,MATCH(WEEKDAY('ARG Gas Firm'!A7,3),'Master Data'!$A$2:$A$8,0),2)</f>
        <v>T</v>
      </c>
      <c r="D7" s="124" t="n">
        <v>-3552485.18619147</v>
      </c>
      <c r="E7" s="124" t="n">
        <v>788724.411196363</v>
      </c>
      <c r="F7" s="124" t="n">
        <v>0</v>
      </c>
      <c r="G7" s="124" t="n">
        <v>9</v>
      </c>
      <c r="I7" s="124" t="n">
        <f aca="false">IF(MONTH($A7)=MONTH($A6),IF(G7=0,I6,G7),0)</f>
        <v>9</v>
      </c>
      <c r="J7" s="124" t="n">
        <f aca="false">IF(MONTH($A7)=MONTH($A6),SUM(I7-I6),I7)</f>
        <v>9</v>
      </c>
      <c r="K7" s="124" t="n">
        <f aca="false">IF(WEEKDAY(A7,3)&gt;4,0,(IF(A7&lt;K$2,0,IF(A7&lt;=K$3,1,0))))</f>
        <v>0</v>
      </c>
      <c r="L7" s="124" t="n">
        <f aca="false">J7*K7</f>
        <v>0</v>
      </c>
      <c r="M7" s="124" t="n">
        <f aca="false">SUM(J$6:J7)</f>
        <v>9</v>
      </c>
      <c r="N7" s="124" t="n">
        <f aca="false">SUM(J$6:J7)</f>
        <v>9</v>
      </c>
      <c r="P7" s="124" t="n">
        <f aca="false">D7/P$3</f>
        <v>-3.55248518619147</v>
      </c>
      <c r="Q7" s="124" t="n">
        <f aca="false">E7/P$3</f>
        <v>0.788724411196363</v>
      </c>
      <c r="R7" s="124" t="n">
        <f aca="false">F7/R$3</f>
        <v>0</v>
      </c>
      <c r="S7" s="126" t="n">
        <f aca="false">J7/$R$3</f>
        <v>0.009</v>
      </c>
      <c r="T7" s="126" t="n">
        <f aca="false">L7/$R$3</f>
        <v>0</v>
      </c>
      <c r="U7" s="126" t="n">
        <f aca="false">I7/$R$3</f>
        <v>0.009</v>
      </c>
      <c r="V7" s="126" t="n">
        <f aca="false">M7/$R$3</f>
        <v>0.009</v>
      </c>
      <c r="W7" s="126" t="n">
        <f aca="false">N7/$R$3</f>
        <v>0.009</v>
      </c>
    </row>
    <row r="8" customFormat="false" ht="12.75" hidden="true" customHeight="false" outlineLevel="0" collapsed="false">
      <c r="A8" s="120" t="n">
        <f aca="false">A7+1</f>
        <v>36894</v>
      </c>
      <c r="B8" s="131" t="str">
        <f aca="false">INDEX('Master Data'!$A$2:$B$8,MATCH(WEEKDAY('ARG Gas Firm'!A8,3),'Master Data'!$A$2:$A$8,0),2)</f>
        <v>W</v>
      </c>
      <c r="D8" s="124" t="n">
        <v>-3511840.73281223</v>
      </c>
      <c r="E8" s="124" t="n">
        <v>752295.604761536</v>
      </c>
      <c r="F8" s="124" t="n">
        <v>0</v>
      </c>
      <c r="G8" s="124" t="n">
        <v>9</v>
      </c>
      <c r="I8" s="124" t="n">
        <f aca="false">IF(MONTH($A8)=MONTH($A7),IF(G8=0,I7,G8),0)</f>
        <v>9</v>
      </c>
      <c r="J8" s="124" t="n">
        <f aca="false">IF(MONTH($A8)=MONTH($A7),SUM(I8-I7),I8)</f>
        <v>0</v>
      </c>
      <c r="K8" s="124" t="n">
        <f aca="false">IF(WEEKDAY(A8,3)&gt;4,0,(IF(A8&lt;K$2,0,IF(A8&lt;=K$3,1,0))))</f>
        <v>0</v>
      </c>
      <c r="L8" s="124" t="n">
        <f aca="false">J8*K8</f>
        <v>0</v>
      </c>
      <c r="M8" s="124" t="n">
        <f aca="false">SUM(J$6:J8)</f>
        <v>9</v>
      </c>
      <c r="N8" s="124" t="n">
        <f aca="false">SUM(J$6:J8)</f>
        <v>9</v>
      </c>
      <c r="P8" s="124" t="n">
        <f aca="false">D8/P$3</f>
        <v>-3.51184073281223</v>
      </c>
      <c r="Q8" s="124" t="n">
        <f aca="false">E8/P$3</f>
        <v>0.752295604761536</v>
      </c>
      <c r="R8" s="124" t="n">
        <f aca="false">F8/R$3</f>
        <v>0</v>
      </c>
      <c r="S8" s="126" t="n">
        <f aca="false">J8/$R$3</f>
        <v>0</v>
      </c>
      <c r="T8" s="126" t="n">
        <f aca="false">L8/$R$3</f>
        <v>0</v>
      </c>
      <c r="U8" s="126" t="n">
        <f aca="false">I8/$R$3</f>
        <v>0.009</v>
      </c>
      <c r="V8" s="126" t="n">
        <f aca="false">M8/$R$3</f>
        <v>0.009</v>
      </c>
      <c r="W8" s="126" t="n">
        <f aca="false">N8/$R$3</f>
        <v>0.009</v>
      </c>
    </row>
    <row r="9" customFormat="false" ht="12.75" hidden="true" customHeight="false" outlineLevel="0" collapsed="false">
      <c r="A9" s="120" t="n">
        <f aca="false">A8+1</f>
        <v>36895</v>
      </c>
      <c r="B9" s="131" t="str">
        <f aca="false">INDEX('Master Data'!$A$2:$B$8,MATCH(WEEKDAY('ARG Gas Firm'!A9,3),'Master Data'!$A$2:$A$8,0),2)</f>
        <v>Th</v>
      </c>
      <c r="D9" s="124" t="n">
        <v>-3545070.66126372</v>
      </c>
      <c r="E9" s="124" t="n">
        <v>753177.03255426</v>
      </c>
      <c r="F9" s="124" t="n">
        <v>0</v>
      </c>
      <c r="G9" s="124" t="n">
        <v>9</v>
      </c>
      <c r="I9" s="124" t="n">
        <f aca="false">IF(MONTH($A9)=MONTH($A8),IF(G9=0,I8,G9),0)</f>
        <v>9</v>
      </c>
      <c r="J9" s="124" t="n">
        <f aca="false">IF(MONTH($A9)=MONTH($A8),SUM(I9-I8),I9)</f>
        <v>0</v>
      </c>
      <c r="K9" s="124" t="n">
        <f aca="false">IF(WEEKDAY(A9,3)&gt;4,0,(IF(A9&lt;K$2,0,IF(A9&lt;=K$3,1,0))))</f>
        <v>0</v>
      </c>
      <c r="L9" s="124" t="n">
        <f aca="false">J9*K9</f>
        <v>0</v>
      </c>
      <c r="M9" s="124" t="n">
        <f aca="false">SUM(J$6:J9)</f>
        <v>9</v>
      </c>
      <c r="N9" s="124" t="n">
        <f aca="false">SUM(J$6:J9)</f>
        <v>9</v>
      </c>
      <c r="P9" s="124" t="n">
        <f aca="false">D9/P$3</f>
        <v>-3.54507066126372</v>
      </c>
      <c r="Q9" s="124" t="n">
        <f aca="false">E9/P$3</f>
        <v>0.75317703255426</v>
      </c>
      <c r="R9" s="124" t="n">
        <f aca="false">F9/R$3</f>
        <v>0</v>
      </c>
      <c r="S9" s="126" t="n">
        <f aca="false">J9/$R$3</f>
        <v>0</v>
      </c>
      <c r="T9" s="126" t="n">
        <f aca="false">L9/$R$3</f>
        <v>0</v>
      </c>
      <c r="U9" s="126" t="n">
        <f aca="false">I9/$R$3</f>
        <v>0.009</v>
      </c>
      <c r="V9" s="126" t="n">
        <f aca="false">M9/$R$3</f>
        <v>0.009</v>
      </c>
      <c r="W9" s="126" t="n">
        <f aca="false">N9/$R$3</f>
        <v>0.009</v>
      </c>
    </row>
    <row r="10" customFormat="false" ht="12.75" hidden="true" customHeight="false" outlineLevel="0" collapsed="false">
      <c r="A10" s="120" t="n">
        <f aca="false">A9+1</f>
        <v>36896</v>
      </c>
      <c r="B10" s="131" t="str">
        <f aca="false">INDEX('Master Data'!$A$2:$B$8,MATCH(WEEKDAY('ARG Gas Firm'!A10,3),'Master Data'!$A$2:$A$8,0),2)</f>
        <v>F</v>
      </c>
      <c r="D10" s="124" t="n">
        <v>-3581492.68735584</v>
      </c>
      <c r="E10" s="124" t="n">
        <v>753596.556120208</v>
      </c>
      <c r="F10" s="124" t="n">
        <v>0</v>
      </c>
      <c r="G10" s="124" t="n">
        <v>10</v>
      </c>
      <c r="I10" s="124" t="n">
        <f aca="false">IF(MONTH($A10)=MONTH($A9),IF(G10=0,I9,G10),0)</f>
        <v>10</v>
      </c>
      <c r="J10" s="124" t="n">
        <f aca="false">IF(MONTH($A10)=MONTH($A9),SUM(I10-I9),I10)</f>
        <v>1</v>
      </c>
      <c r="K10" s="124" t="n">
        <f aca="false">IF(WEEKDAY(A10,3)&gt;4,0,(IF(A10&lt;K$2,0,IF(A10&lt;=K$3,1,0))))</f>
        <v>0</v>
      </c>
      <c r="L10" s="124" t="n">
        <f aca="false">J10*K10</f>
        <v>0</v>
      </c>
      <c r="M10" s="124" t="n">
        <f aca="false">SUM(J$6:J10)</f>
        <v>10</v>
      </c>
      <c r="N10" s="124" t="n">
        <f aca="false">SUM(J$6:J10)</f>
        <v>10</v>
      </c>
      <c r="P10" s="124" t="n">
        <f aca="false">D10/P$3</f>
        <v>-3.58149268735584</v>
      </c>
      <c r="Q10" s="124" t="n">
        <f aca="false">E10/P$3</f>
        <v>0.753596556120208</v>
      </c>
      <c r="R10" s="124" t="n">
        <f aca="false">F10/R$3</f>
        <v>0</v>
      </c>
      <c r="S10" s="126" t="n">
        <f aca="false">J10/$R$3</f>
        <v>0.001</v>
      </c>
      <c r="T10" s="126" t="n">
        <f aca="false">L10/$R$3</f>
        <v>0</v>
      </c>
      <c r="U10" s="126" t="n">
        <f aca="false">I10/$R$3</f>
        <v>0.01</v>
      </c>
      <c r="V10" s="126" t="n">
        <f aca="false">M10/$R$3</f>
        <v>0.01</v>
      </c>
      <c r="W10" s="126" t="n">
        <f aca="false">N10/$R$3</f>
        <v>0.01</v>
      </c>
    </row>
    <row r="11" customFormat="false" ht="12.75" hidden="true" customHeight="false" outlineLevel="0" collapsed="false">
      <c r="A11" s="120" t="n">
        <f aca="false">A10+1</f>
        <v>36897</v>
      </c>
      <c r="B11" s="131" t="str">
        <f aca="false">INDEX('Master Data'!$A$2:$B$8,MATCH(WEEKDAY('ARG Gas Firm'!A11,3),'Master Data'!$A$2:$A$8,0),2)</f>
        <v>Sa</v>
      </c>
      <c r="D11" s="124" t="n">
        <v>0</v>
      </c>
      <c r="E11" s="124" t="n">
        <v>0</v>
      </c>
      <c r="F11" s="124" t="n">
        <v>0</v>
      </c>
      <c r="G11" s="124" t="n">
        <v>0</v>
      </c>
      <c r="I11" s="124" t="n">
        <f aca="false">IF(MONTH($A11)=MONTH($A10),IF(G11=0,I10,G11),0)</f>
        <v>10</v>
      </c>
      <c r="J11" s="124" t="n">
        <f aca="false">IF(MONTH($A11)=MONTH($A10),SUM(I11-I10),I11)</f>
        <v>0</v>
      </c>
      <c r="K11" s="124" t="n">
        <f aca="false">IF(WEEKDAY(A11,3)&gt;4,0,(IF(A11&lt;K$2,0,IF(A11&lt;=K$3,1,0))))</f>
        <v>0</v>
      </c>
      <c r="L11" s="124" t="n">
        <f aca="false">J11*K11</f>
        <v>0</v>
      </c>
      <c r="M11" s="124" t="n">
        <f aca="false">SUM(J$6:J11)</f>
        <v>10</v>
      </c>
      <c r="N11" s="124" t="n">
        <f aca="false">SUM(J$6:J11)</f>
        <v>10</v>
      </c>
      <c r="P11" s="124" t="n">
        <f aca="false">D11/P$3</f>
        <v>0</v>
      </c>
      <c r="Q11" s="124" t="n">
        <f aca="false">E11/P$3</f>
        <v>0</v>
      </c>
      <c r="R11" s="124" t="n">
        <f aca="false">F11/R$3</f>
        <v>0</v>
      </c>
      <c r="S11" s="126" t="n">
        <f aca="false">J11/$R$3</f>
        <v>0</v>
      </c>
      <c r="T11" s="126" t="n">
        <f aca="false">L11/$R$3</f>
        <v>0</v>
      </c>
      <c r="U11" s="126" t="n">
        <f aca="false">I11/$R$3</f>
        <v>0.01</v>
      </c>
      <c r="V11" s="126" t="n">
        <f aca="false">M11/$R$3</f>
        <v>0.01</v>
      </c>
      <c r="W11" s="126" t="n">
        <f aca="false">N11/$R$3</f>
        <v>0.01</v>
      </c>
    </row>
    <row r="12" customFormat="false" ht="12.75" hidden="true" customHeight="false" outlineLevel="0" collapsed="false">
      <c r="A12" s="120" t="n">
        <f aca="false">A11+1</f>
        <v>36898</v>
      </c>
      <c r="B12" s="131" t="str">
        <f aca="false">INDEX('Master Data'!$A$2:$B$8,MATCH(WEEKDAY('ARG Gas Firm'!A12,3),'Master Data'!$A$2:$A$8,0),2)</f>
        <v>Su</v>
      </c>
      <c r="D12" s="124" t="n">
        <v>0</v>
      </c>
      <c r="E12" s="124" t="n">
        <v>0</v>
      </c>
      <c r="F12" s="124" t="n">
        <v>0</v>
      </c>
      <c r="G12" s="124" t="n">
        <v>0</v>
      </c>
      <c r="I12" s="124" t="n">
        <f aca="false">IF(MONTH($A12)=MONTH($A11),IF(G12=0,I11,G12),0)</f>
        <v>10</v>
      </c>
      <c r="J12" s="124" t="n">
        <f aca="false">IF(MONTH($A12)=MONTH($A11),SUM(I12-I11),I12)</f>
        <v>0</v>
      </c>
      <c r="K12" s="124" t="n">
        <f aca="false">IF(WEEKDAY(A12,3)&gt;4,0,(IF(A12&lt;K$2,0,IF(A12&lt;=K$3,1,0))))</f>
        <v>0</v>
      </c>
      <c r="L12" s="124" t="n">
        <f aca="false">J12*K12</f>
        <v>0</v>
      </c>
      <c r="M12" s="124" t="n">
        <f aca="false">SUM(J$6:J12)</f>
        <v>10</v>
      </c>
      <c r="N12" s="124" t="n">
        <f aca="false">SUM(J$6:J12)</f>
        <v>10</v>
      </c>
      <c r="P12" s="124" t="n">
        <f aca="false">D12/P$3</f>
        <v>0</v>
      </c>
      <c r="Q12" s="124" t="n">
        <f aca="false">E12/P$3</f>
        <v>0</v>
      </c>
      <c r="R12" s="124" t="n">
        <f aca="false">F12/R$3</f>
        <v>0</v>
      </c>
      <c r="S12" s="126" t="n">
        <f aca="false">J12/$R$3</f>
        <v>0</v>
      </c>
      <c r="T12" s="126" t="n">
        <f aca="false">L12/$R$3</f>
        <v>0</v>
      </c>
      <c r="U12" s="126" t="n">
        <f aca="false">I12/$R$3</f>
        <v>0.01</v>
      </c>
      <c r="V12" s="126" t="n">
        <f aca="false">M12/$R$3</f>
        <v>0.01</v>
      </c>
      <c r="W12" s="126" t="n">
        <f aca="false">N12/$R$3</f>
        <v>0.01</v>
      </c>
    </row>
    <row r="13" customFormat="false" ht="12.75" hidden="true" customHeight="false" outlineLevel="0" collapsed="false">
      <c r="A13" s="120" t="n">
        <f aca="false">A12+1</f>
        <v>36899</v>
      </c>
      <c r="B13" s="131" t="str">
        <f aca="false">INDEX('Master Data'!$A$2:$B$8,MATCH(WEEKDAY('ARG Gas Firm'!A13,3),'Master Data'!$A$2:$A$8,0),2)</f>
        <v>M</v>
      </c>
      <c r="D13" s="124" t="n">
        <v>-3597592.8025819</v>
      </c>
      <c r="E13" s="124" t="n">
        <v>754057.973553585</v>
      </c>
      <c r="F13" s="124" t="n">
        <v>0</v>
      </c>
      <c r="G13" s="124" t="n">
        <v>11</v>
      </c>
      <c r="I13" s="124" t="n">
        <f aca="false">IF(MONTH($A13)=MONTH($A12),IF(G13=0,I12,G13),0)</f>
        <v>11</v>
      </c>
      <c r="J13" s="124" t="n">
        <f aca="false">IF(MONTH($A13)=MONTH($A12),SUM(I13-I12),I13)</f>
        <v>1</v>
      </c>
      <c r="K13" s="124" t="n">
        <f aca="false">IF(WEEKDAY(A13,3)&gt;4,0,(IF(A13&lt;K$2,0,IF(A13&lt;=K$3,1,0))))</f>
        <v>0</v>
      </c>
      <c r="L13" s="124" t="n">
        <f aca="false">J13*K13</f>
        <v>0</v>
      </c>
      <c r="M13" s="124" t="n">
        <f aca="false">SUM(J$6:J13)</f>
        <v>11</v>
      </c>
      <c r="N13" s="124" t="n">
        <f aca="false">SUM(J$6:J13)</f>
        <v>11</v>
      </c>
      <c r="P13" s="124" t="n">
        <f aca="false">D13/P$3</f>
        <v>-3.5975928025819</v>
      </c>
      <c r="Q13" s="124" t="n">
        <f aca="false">E13/P$3</f>
        <v>0.754057973553585</v>
      </c>
      <c r="R13" s="124" t="n">
        <f aca="false">F13/R$3</f>
        <v>0</v>
      </c>
      <c r="S13" s="126" t="n">
        <f aca="false">J13/$R$3</f>
        <v>0.001</v>
      </c>
      <c r="T13" s="126" t="n">
        <f aca="false">L13/$R$3</f>
        <v>0</v>
      </c>
      <c r="U13" s="126" t="n">
        <f aca="false">I13/$R$3</f>
        <v>0.011</v>
      </c>
      <c r="V13" s="126" t="n">
        <f aca="false">M13/$R$3</f>
        <v>0.011</v>
      </c>
      <c r="W13" s="126" t="n">
        <f aca="false">N13/$R$3</f>
        <v>0.011</v>
      </c>
    </row>
    <row r="14" customFormat="false" ht="12.75" hidden="true" customHeight="false" outlineLevel="0" collapsed="false">
      <c r="A14" s="120" t="n">
        <f aca="false">A13+1</f>
        <v>36900</v>
      </c>
      <c r="B14" s="131" t="str">
        <f aca="false">INDEX('Master Data'!$A$2:$B$8,MATCH(WEEKDAY('ARG Gas Firm'!A14,3),'Master Data'!$A$2:$A$8,0),2)</f>
        <v>T</v>
      </c>
      <c r="D14" s="124" t="n">
        <v>-3578448.29156749</v>
      </c>
      <c r="E14" s="124" t="n">
        <v>754138.426611752</v>
      </c>
      <c r="F14" s="124" t="n">
        <v>0</v>
      </c>
      <c r="G14" s="124" t="n">
        <v>10</v>
      </c>
      <c r="I14" s="124" t="n">
        <f aca="false">IF(MONTH($A14)=MONTH($A13),IF(G14=0,I13,G14),0)</f>
        <v>10</v>
      </c>
      <c r="J14" s="124" t="n">
        <f aca="false">IF(MONTH($A14)=MONTH($A13),SUM(I14-I13),I14)</f>
        <v>-1</v>
      </c>
      <c r="K14" s="124" t="n">
        <f aca="false">IF(WEEKDAY(A14,3)&gt;4,0,(IF(A14&lt;K$2,0,IF(A14&lt;=K$3,1,0))))</f>
        <v>0</v>
      </c>
      <c r="L14" s="124" t="n">
        <f aca="false">J14*K14</f>
        <v>-0</v>
      </c>
      <c r="M14" s="124" t="n">
        <f aca="false">SUM(J$6:J14)</f>
        <v>10</v>
      </c>
      <c r="N14" s="124" t="n">
        <f aca="false">SUM(J$6:J14)</f>
        <v>10</v>
      </c>
      <c r="P14" s="124" t="n">
        <f aca="false">D14/P$3</f>
        <v>-3.57844829156749</v>
      </c>
      <c r="Q14" s="124" t="n">
        <f aca="false">E14/P$3</f>
        <v>0.754138426611752</v>
      </c>
      <c r="R14" s="124" t="n">
        <f aca="false">F14/R$3</f>
        <v>0</v>
      </c>
      <c r="S14" s="126" t="n">
        <f aca="false">J14/$R$3</f>
        <v>-0.001</v>
      </c>
      <c r="T14" s="126" t="n">
        <f aca="false">L14/$R$3</f>
        <v>-0</v>
      </c>
      <c r="U14" s="126" t="n">
        <f aca="false">I14/$R$3</f>
        <v>0.01</v>
      </c>
      <c r="V14" s="126" t="n">
        <f aca="false">M14/$R$3</f>
        <v>0.01</v>
      </c>
      <c r="W14" s="126" t="n">
        <f aca="false">N14/$R$3</f>
        <v>0.01</v>
      </c>
    </row>
    <row r="15" customFormat="false" ht="12.75" hidden="true" customHeight="false" outlineLevel="0" collapsed="false">
      <c r="A15" s="120" t="n">
        <f aca="false">A14+1</f>
        <v>36901</v>
      </c>
      <c r="B15" s="131" t="str">
        <f aca="false">INDEX('Master Data'!$A$2:$B$8,MATCH(WEEKDAY('ARG Gas Firm'!A15,3),'Master Data'!$A$2:$A$8,0),2)</f>
        <v>W</v>
      </c>
      <c r="D15" s="124" t="n">
        <v>-3546012.5257692</v>
      </c>
      <c r="E15" s="124" t="n">
        <v>754191.521469721</v>
      </c>
      <c r="F15" s="124" t="n">
        <v>0</v>
      </c>
      <c r="G15" s="124" t="n">
        <v>9</v>
      </c>
      <c r="I15" s="124" t="n">
        <f aca="false">IF(MONTH($A15)=MONTH($A14),IF(G15=0,I14,G15),0)</f>
        <v>9</v>
      </c>
      <c r="J15" s="124" t="n">
        <f aca="false">IF(MONTH($A15)=MONTH($A14),SUM(I15-I14),I15)</f>
        <v>-1</v>
      </c>
      <c r="K15" s="124" t="n">
        <f aca="false">IF(WEEKDAY(A15,3)&gt;4,0,(IF(A15&lt;K$2,0,IF(A15&lt;=K$3,1,0))))</f>
        <v>0</v>
      </c>
      <c r="L15" s="124" t="n">
        <f aca="false">J15*K15</f>
        <v>-0</v>
      </c>
      <c r="M15" s="124" t="n">
        <f aca="false">SUM(J$6:J15)</f>
        <v>9</v>
      </c>
      <c r="N15" s="124" t="n">
        <f aca="false">SUM(J$6:J15)</f>
        <v>9</v>
      </c>
      <c r="P15" s="124" t="n">
        <f aca="false">D15/P$3</f>
        <v>-3.5460125257692</v>
      </c>
      <c r="Q15" s="124" t="n">
        <f aca="false">E15/P$3</f>
        <v>0.754191521469721</v>
      </c>
      <c r="R15" s="124" t="n">
        <f aca="false">F15/R$3</f>
        <v>0</v>
      </c>
      <c r="S15" s="126" t="n">
        <f aca="false">J15/$R$3</f>
        <v>-0.001</v>
      </c>
      <c r="T15" s="126" t="n">
        <f aca="false">L15/$R$3</f>
        <v>-0</v>
      </c>
      <c r="U15" s="126" t="n">
        <f aca="false">I15/$R$3</f>
        <v>0.009</v>
      </c>
      <c r="V15" s="126" t="n">
        <f aca="false">M15/$R$3</f>
        <v>0.009</v>
      </c>
      <c r="W15" s="126" t="n">
        <f aca="false">N15/$R$3</f>
        <v>0.009</v>
      </c>
    </row>
    <row r="16" customFormat="false" ht="12.75" hidden="true" customHeight="false" outlineLevel="0" collapsed="false">
      <c r="A16" s="120" t="n">
        <f aca="false">A15+1</f>
        <v>36902</v>
      </c>
      <c r="B16" s="131" t="str">
        <f aca="false">INDEX('Master Data'!$A$2:$B$8,MATCH(WEEKDAY('ARG Gas Firm'!A16,3),'Master Data'!$A$2:$A$8,0),2)</f>
        <v>Th</v>
      </c>
      <c r="D16" s="124" t="n">
        <v>-3536648.88393249</v>
      </c>
      <c r="E16" s="124" t="n">
        <v>754278.722762887</v>
      </c>
      <c r="F16" s="124" t="n">
        <v>0</v>
      </c>
      <c r="G16" s="124" t="n">
        <v>8</v>
      </c>
      <c r="I16" s="124" t="n">
        <f aca="false">IF(MONTH($A16)=MONTH($A15),IF(G16=0,I15,G16),0)</f>
        <v>8</v>
      </c>
      <c r="J16" s="124" t="n">
        <f aca="false">IF(MONTH($A16)=MONTH($A15),SUM(I16-I15),I16)</f>
        <v>-1</v>
      </c>
      <c r="K16" s="124" t="n">
        <f aca="false">IF(WEEKDAY(A16,3)&gt;4,0,(IF(A16&lt;K$2,0,IF(A16&lt;=K$3,1,0))))</f>
        <v>0</v>
      </c>
      <c r="L16" s="124" t="n">
        <f aca="false">J16*K16</f>
        <v>-0</v>
      </c>
      <c r="M16" s="124" t="n">
        <f aca="false">SUM(J$6:J16)</f>
        <v>8</v>
      </c>
      <c r="N16" s="124" t="n">
        <f aca="false">SUM(J$6:J16)</f>
        <v>8</v>
      </c>
      <c r="P16" s="124" t="n">
        <f aca="false">D16/P$3</f>
        <v>-3.53664888393249</v>
      </c>
      <c r="Q16" s="124" t="n">
        <f aca="false">E16/P$3</f>
        <v>0.754278722762887</v>
      </c>
      <c r="R16" s="124" t="n">
        <f aca="false">F16/R$3</f>
        <v>0</v>
      </c>
      <c r="S16" s="126" t="n">
        <f aca="false">J16/$R$3</f>
        <v>-0.001</v>
      </c>
      <c r="T16" s="126" t="n">
        <f aca="false">L16/$R$3</f>
        <v>-0</v>
      </c>
      <c r="U16" s="126" t="n">
        <f aca="false">I16/$R$3</f>
        <v>0.008</v>
      </c>
      <c r="V16" s="126" t="n">
        <f aca="false">M16/$R$3</f>
        <v>0.008</v>
      </c>
      <c r="W16" s="126" t="n">
        <f aca="false">N16/$R$3</f>
        <v>0.008</v>
      </c>
    </row>
    <row r="17" customFormat="false" ht="12.75" hidden="true" customHeight="false" outlineLevel="0" collapsed="false">
      <c r="A17" s="120" t="n">
        <f aca="false">A16+1</f>
        <v>36903</v>
      </c>
      <c r="B17" s="131" t="str">
        <f aca="false">INDEX('Master Data'!$A$2:$B$8,MATCH(WEEKDAY('ARG Gas Firm'!A17,3),'Master Data'!$A$2:$A$8,0),2)</f>
        <v>F</v>
      </c>
      <c r="D17" s="124" t="n">
        <v>-3506001.99084377</v>
      </c>
      <c r="E17" s="124" t="n">
        <v>754344.834224599</v>
      </c>
      <c r="F17" s="124" t="n">
        <v>0</v>
      </c>
      <c r="G17" s="124" t="n">
        <v>7</v>
      </c>
      <c r="I17" s="124" t="n">
        <f aca="false">IF(MONTH($A17)=MONTH($A16),IF(G17=0,I16,G17),0)</f>
        <v>7</v>
      </c>
      <c r="J17" s="124" t="n">
        <f aca="false">IF(MONTH($A17)=MONTH($A16),SUM(I17-I16),I17)</f>
        <v>-1</v>
      </c>
      <c r="K17" s="124" t="n">
        <f aca="false">IF(WEEKDAY(A17,3)&gt;4,0,(IF(A17&lt;K$2,0,IF(A17&lt;=K$3,1,0))))</f>
        <v>0</v>
      </c>
      <c r="L17" s="124" t="n">
        <f aca="false">J17*K17</f>
        <v>-0</v>
      </c>
      <c r="M17" s="124" t="n">
        <f aca="false">SUM(J$6:J17)</f>
        <v>7</v>
      </c>
      <c r="N17" s="124" t="n">
        <f aca="false">SUM(J$6:J17)</f>
        <v>7</v>
      </c>
      <c r="P17" s="124" t="n">
        <f aca="false">D17/P$3</f>
        <v>-3.50600199084377</v>
      </c>
      <c r="Q17" s="124" t="n">
        <f aca="false">E17/P$3</f>
        <v>0.754344834224599</v>
      </c>
      <c r="R17" s="124" t="n">
        <f aca="false">F17/R$3</f>
        <v>0</v>
      </c>
      <c r="S17" s="126" t="n">
        <f aca="false">J17/$R$3</f>
        <v>-0.001</v>
      </c>
      <c r="T17" s="126" t="n">
        <f aca="false">L17/$R$3</f>
        <v>-0</v>
      </c>
      <c r="U17" s="126" t="n">
        <f aca="false">I17/$R$3</f>
        <v>0.007</v>
      </c>
      <c r="V17" s="126" t="n">
        <f aca="false">M17/$R$3</f>
        <v>0.007</v>
      </c>
      <c r="W17" s="126" t="n">
        <f aca="false">N17/$R$3</f>
        <v>0.007</v>
      </c>
    </row>
    <row r="18" customFormat="false" ht="12.75" hidden="true" customHeight="false" outlineLevel="0" collapsed="false">
      <c r="A18" s="120" t="n">
        <f aca="false">A17+1</f>
        <v>36904</v>
      </c>
      <c r="B18" s="131" t="str">
        <f aca="false">INDEX('Master Data'!$A$2:$B$8,MATCH(WEEKDAY('ARG Gas Firm'!A18,3),'Master Data'!$A$2:$A$8,0),2)</f>
        <v>Sa</v>
      </c>
      <c r="D18" s="124" t="n">
        <v>0</v>
      </c>
      <c r="E18" s="124" t="n">
        <v>0</v>
      </c>
      <c r="F18" s="124" t="n">
        <v>0</v>
      </c>
      <c r="G18" s="124" t="n">
        <v>0</v>
      </c>
      <c r="I18" s="124" t="n">
        <f aca="false">IF(MONTH($A18)=MONTH($A17),IF(G18=0,I17,G18),0)</f>
        <v>7</v>
      </c>
      <c r="J18" s="124" t="n">
        <f aca="false">IF(MONTH($A18)=MONTH($A17),SUM(I18-I17),I18)</f>
        <v>0</v>
      </c>
      <c r="K18" s="124" t="n">
        <f aca="false">IF(WEEKDAY(A18,3)&gt;4,0,(IF(A18&lt;K$2,0,IF(A18&lt;=K$3,1,0))))</f>
        <v>0</v>
      </c>
      <c r="L18" s="124" t="n">
        <f aca="false">J18*K18</f>
        <v>0</v>
      </c>
      <c r="M18" s="124" t="n">
        <f aca="false">SUM(J$6:J18)</f>
        <v>7</v>
      </c>
      <c r="N18" s="124" t="n">
        <f aca="false">SUM(J$6:J18)</f>
        <v>7</v>
      </c>
      <c r="P18" s="124" t="n">
        <f aca="false">D18/P$3</f>
        <v>0</v>
      </c>
      <c r="Q18" s="124" t="n">
        <f aca="false">E18/P$3</f>
        <v>0</v>
      </c>
      <c r="R18" s="124" t="n">
        <f aca="false">F18/R$3</f>
        <v>0</v>
      </c>
      <c r="S18" s="126" t="n">
        <f aca="false">J18/$R$3</f>
        <v>0</v>
      </c>
      <c r="T18" s="126" t="n">
        <f aca="false">L18/$R$3</f>
        <v>0</v>
      </c>
      <c r="U18" s="126" t="n">
        <f aca="false">I18/$R$3</f>
        <v>0.007</v>
      </c>
      <c r="V18" s="126" t="n">
        <f aca="false">M18/$R$3</f>
        <v>0.007</v>
      </c>
      <c r="W18" s="126" t="n">
        <f aca="false">N18/$R$3</f>
        <v>0.007</v>
      </c>
    </row>
    <row r="19" customFormat="false" ht="12.75" hidden="true" customHeight="false" outlineLevel="0" collapsed="false">
      <c r="A19" s="120" t="n">
        <f aca="false">A18+1</f>
        <v>36905</v>
      </c>
      <c r="B19" s="131" t="str">
        <f aca="false">INDEX('Master Data'!$A$2:$B$8,MATCH(WEEKDAY('ARG Gas Firm'!A19,3),'Master Data'!$A$2:$A$8,0),2)</f>
        <v>Su</v>
      </c>
      <c r="D19" s="124" t="n">
        <v>0</v>
      </c>
      <c r="E19" s="124" t="n">
        <v>0</v>
      </c>
      <c r="F19" s="124" t="n">
        <v>0</v>
      </c>
      <c r="G19" s="124" t="n">
        <v>0</v>
      </c>
      <c r="I19" s="124" t="n">
        <f aca="false">IF(MONTH($A19)=MONTH($A18),IF(G19=0,I18,G19),0)</f>
        <v>7</v>
      </c>
      <c r="J19" s="124" t="n">
        <f aca="false">IF(MONTH($A19)=MONTH($A18),SUM(I19-I18),I19)</f>
        <v>0</v>
      </c>
      <c r="K19" s="124" t="n">
        <f aca="false">IF(WEEKDAY(A19,3)&gt;4,0,(IF(A19&lt;K$2,0,IF(A19&lt;=K$3,1,0))))</f>
        <v>0</v>
      </c>
      <c r="L19" s="124" t="n">
        <f aca="false">J19*K19</f>
        <v>0</v>
      </c>
      <c r="M19" s="124" t="n">
        <f aca="false">SUM(J$6:J19)</f>
        <v>7</v>
      </c>
      <c r="N19" s="124" t="n">
        <f aca="false">SUM(J$6:J19)</f>
        <v>7</v>
      </c>
      <c r="P19" s="124" t="n">
        <f aca="false">D19/P$3</f>
        <v>0</v>
      </c>
      <c r="Q19" s="124" t="n">
        <f aca="false">E19/P$3</f>
        <v>0</v>
      </c>
      <c r="R19" s="124" t="n">
        <f aca="false">F19/R$3</f>
        <v>0</v>
      </c>
      <c r="S19" s="126" t="n">
        <f aca="false">J19/$R$3</f>
        <v>0</v>
      </c>
      <c r="T19" s="126" t="n">
        <f aca="false">L19/$R$3</f>
        <v>0</v>
      </c>
      <c r="U19" s="126" t="n">
        <f aca="false">I19/$R$3</f>
        <v>0.007</v>
      </c>
      <c r="V19" s="126" t="n">
        <f aca="false">M19/$R$3</f>
        <v>0.007</v>
      </c>
      <c r="W19" s="126" t="n">
        <f aca="false">N19/$R$3</f>
        <v>0.007</v>
      </c>
    </row>
    <row r="20" customFormat="false" ht="12.75" hidden="true" customHeight="false" outlineLevel="0" collapsed="false">
      <c r="A20" s="120" t="n">
        <f aca="false">A19+1</f>
        <v>36906</v>
      </c>
      <c r="B20" s="131" t="str">
        <f aca="false">INDEX('Master Data'!$A$2:$B$8,MATCH(WEEKDAY('ARG Gas Firm'!A20,3),'Master Data'!$A$2:$A$8,0),2)</f>
        <v>M</v>
      </c>
      <c r="D20" s="124" t="n">
        <v>0</v>
      </c>
      <c r="E20" s="124" t="n">
        <v>0</v>
      </c>
      <c r="F20" s="124" t="n">
        <v>0</v>
      </c>
      <c r="G20" s="124" t="n">
        <v>0</v>
      </c>
      <c r="I20" s="124" t="n">
        <f aca="false">IF(MONTH($A20)=MONTH($A19),IF(G20=0,I19,G20),0)</f>
        <v>7</v>
      </c>
      <c r="J20" s="124" t="n">
        <f aca="false">IF(MONTH($A20)=MONTH($A19),SUM(I20-I19),I20)</f>
        <v>0</v>
      </c>
      <c r="K20" s="124" t="n">
        <f aca="false">IF(WEEKDAY(A20,3)&gt;4,0,(IF(A20&lt;K$2,0,IF(A20&lt;=K$3,1,0))))</f>
        <v>0</v>
      </c>
      <c r="L20" s="124" t="n">
        <f aca="false">J20*K20</f>
        <v>0</v>
      </c>
      <c r="M20" s="124" t="n">
        <f aca="false">SUM(J$6:J20)</f>
        <v>7</v>
      </c>
      <c r="N20" s="124" t="n">
        <f aca="false">SUM(J$6:J20)</f>
        <v>7</v>
      </c>
      <c r="P20" s="124" t="n">
        <f aca="false">D20/P$3</f>
        <v>0</v>
      </c>
      <c r="Q20" s="124" t="n">
        <f aca="false">E20/P$3</f>
        <v>0</v>
      </c>
      <c r="R20" s="124" t="n">
        <f aca="false">F20/R$3</f>
        <v>0</v>
      </c>
      <c r="S20" s="126" t="n">
        <f aca="false">J20/$R$3</f>
        <v>0</v>
      </c>
      <c r="T20" s="126" t="n">
        <f aca="false">L20/$R$3</f>
        <v>0</v>
      </c>
      <c r="U20" s="126" t="n">
        <f aca="false">I20/$R$3</f>
        <v>0.007</v>
      </c>
      <c r="V20" s="126" t="n">
        <f aca="false">M20/$R$3</f>
        <v>0.007</v>
      </c>
      <c r="W20" s="126" t="n">
        <f aca="false">N20/$R$3</f>
        <v>0.007</v>
      </c>
    </row>
    <row r="21" customFormat="false" ht="12.75" hidden="true" customHeight="false" outlineLevel="0" collapsed="false">
      <c r="A21" s="120" t="n">
        <f aca="false">A20+1</f>
        <v>36907</v>
      </c>
      <c r="B21" s="131" t="str">
        <f aca="false">INDEX('Master Data'!$A$2:$B$8,MATCH(WEEKDAY('ARG Gas Firm'!A21,3),'Master Data'!$A$2:$A$8,0),2)</f>
        <v>T</v>
      </c>
      <c r="D21" s="124" t="n">
        <v>-3506163.17172455</v>
      </c>
      <c r="E21" s="124" t="n">
        <v>754800.74025605</v>
      </c>
      <c r="F21" s="124" t="n">
        <v>0</v>
      </c>
      <c r="G21" s="124" t="n">
        <v>8</v>
      </c>
      <c r="I21" s="124" t="n">
        <f aca="false">IF(MONTH($A21)=MONTH($A20),IF(G21=0,I20,G21),0)</f>
        <v>8</v>
      </c>
      <c r="J21" s="124" t="n">
        <f aca="false">IF(MONTH($A21)=MONTH($A20),SUM(I21-I20),I21)</f>
        <v>1</v>
      </c>
      <c r="K21" s="124" t="n">
        <f aca="false">IF(WEEKDAY(A21,3)&gt;4,0,(IF(A21&lt;K$2,0,IF(A21&lt;=K$3,1,0))))</f>
        <v>0</v>
      </c>
      <c r="L21" s="124" t="n">
        <f aca="false">J21*K21</f>
        <v>0</v>
      </c>
      <c r="M21" s="124" t="n">
        <f aca="false">SUM(J$6:J21)</f>
        <v>8</v>
      </c>
      <c r="N21" s="124" t="n">
        <f aca="false">SUM(J$6:J21)</f>
        <v>8</v>
      </c>
      <c r="P21" s="124" t="n">
        <f aca="false">D21/P$3</f>
        <v>-3.50616317172455</v>
      </c>
      <c r="Q21" s="124" t="n">
        <f aca="false">E21/P$3</f>
        <v>0.75480074025605</v>
      </c>
      <c r="R21" s="124" t="n">
        <f aca="false">F21/R$3</f>
        <v>0</v>
      </c>
      <c r="S21" s="126" t="n">
        <f aca="false">J21/$R$3</f>
        <v>0.001</v>
      </c>
      <c r="T21" s="126" t="n">
        <f aca="false">L21/$R$3</f>
        <v>0</v>
      </c>
      <c r="U21" s="126" t="n">
        <f aca="false">I21/$R$3</f>
        <v>0.008</v>
      </c>
      <c r="V21" s="126" t="n">
        <f aca="false">M21/$R$3</f>
        <v>0.008</v>
      </c>
      <c r="W21" s="126" t="n">
        <f aca="false">N21/$R$3</f>
        <v>0.008</v>
      </c>
    </row>
    <row r="22" customFormat="false" ht="12.75" hidden="true" customHeight="false" outlineLevel="0" collapsed="false">
      <c r="A22" s="120" t="n">
        <f aca="false">A21+1</f>
        <v>36908</v>
      </c>
      <c r="B22" s="131" t="str">
        <f aca="false">INDEX('Master Data'!$A$2:$B$8,MATCH(WEEKDAY('ARG Gas Firm'!A22,3),'Master Data'!$A$2:$A$8,0),2)</f>
        <v>W</v>
      </c>
      <c r="D22" s="124" t="n">
        <v>-3526255.35989047</v>
      </c>
      <c r="E22" s="124" t="n">
        <v>754919.67535789</v>
      </c>
      <c r="F22" s="124" t="n">
        <v>0</v>
      </c>
      <c r="G22" s="124" t="n">
        <v>9</v>
      </c>
      <c r="I22" s="124" t="n">
        <f aca="false">IF(MONTH($A22)=MONTH($A21),IF(G22=0,I21,G22),0)</f>
        <v>9</v>
      </c>
      <c r="J22" s="124" t="n">
        <f aca="false">IF(MONTH($A22)=MONTH($A21),SUM(I22-I21),I22)</f>
        <v>1</v>
      </c>
      <c r="K22" s="124" t="n">
        <f aca="false">IF(WEEKDAY(A22,3)&gt;4,0,(IF(A22&lt;K$2,0,IF(A22&lt;=K$3,1,0))))</f>
        <v>0</v>
      </c>
      <c r="L22" s="124" t="n">
        <f aca="false">J22*K22</f>
        <v>0</v>
      </c>
      <c r="M22" s="124" t="n">
        <f aca="false">SUM(J$6:J22)</f>
        <v>9</v>
      </c>
      <c r="N22" s="124" t="n">
        <f aca="false">SUM(J$6:J22)</f>
        <v>9</v>
      </c>
      <c r="P22" s="124" t="n">
        <f aca="false">D22/P$3</f>
        <v>-3.52625535989047</v>
      </c>
      <c r="Q22" s="124" t="n">
        <f aca="false">E22/P$3</f>
        <v>0.75491967535789</v>
      </c>
      <c r="R22" s="124" t="n">
        <f aca="false">F22/R$3</f>
        <v>0</v>
      </c>
      <c r="S22" s="126" t="n">
        <f aca="false">J22/$R$3</f>
        <v>0.001</v>
      </c>
      <c r="T22" s="126" t="n">
        <f aca="false">L22/$R$3</f>
        <v>0</v>
      </c>
      <c r="U22" s="126" t="n">
        <f aca="false">I22/$R$3</f>
        <v>0.009</v>
      </c>
      <c r="V22" s="126" t="n">
        <f aca="false">M22/$R$3</f>
        <v>0.009</v>
      </c>
      <c r="W22" s="126" t="n">
        <f aca="false">N22/$R$3</f>
        <v>0.009</v>
      </c>
    </row>
    <row r="23" customFormat="false" ht="12.75" hidden="true" customHeight="false" outlineLevel="0" collapsed="false">
      <c r="A23" s="120" t="n">
        <f aca="false">A22+1</f>
        <v>36909</v>
      </c>
      <c r="B23" s="131" t="str">
        <f aca="false">INDEX('Master Data'!$A$2:$B$8,MATCH(WEEKDAY('ARG Gas Firm'!A23,3),'Master Data'!$A$2:$A$8,0),2)</f>
        <v>Th</v>
      </c>
      <c r="D23" s="124" t="n">
        <v>-3526870.07585169</v>
      </c>
      <c r="E23" s="124" t="n">
        <v>755128.333813104</v>
      </c>
      <c r="F23" s="124" t="n">
        <v>0</v>
      </c>
      <c r="G23" s="124" t="n">
        <v>9</v>
      </c>
      <c r="I23" s="124" t="n">
        <f aca="false">IF(MONTH($A23)=MONTH($A22),IF(G23=0,I22,G23),0)</f>
        <v>9</v>
      </c>
      <c r="J23" s="124" t="n">
        <f aca="false">IF(MONTH($A23)=MONTH($A22),SUM(I23-I22),I23)</f>
        <v>0</v>
      </c>
      <c r="K23" s="124" t="n">
        <f aca="false">IF(WEEKDAY(A23,3)&gt;4,0,(IF(A23&lt;K$2,0,IF(A23&lt;=K$3,1,0))))</f>
        <v>0</v>
      </c>
      <c r="L23" s="124" t="n">
        <f aca="false">J23*K23</f>
        <v>0</v>
      </c>
      <c r="M23" s="124" t="n">
        <f aca="false">SUM(J$6:J23)</f>
        <v>9</v>
      </c>
      <c r="N23" s="124" t="n">
        <f aca="false">SUM(J$6:J23)</f>
        <v>9</v>
      </c>
      <c r="P23" s="124" t="n">
        <f aca="false">D23/P$3</f>
        <v>-3.52687007585169</v>
      </c>
      <c r="Q23" s="124" t="n">
        <f aca="false">E23/P$3</f>
        <v>0.755128333813104</v>
      </c>
      <c r="R23" s="124" t="n">
        <f aca="false">F23/R$3</f>
        <v>0</v>
      </c>
      <c r="S23" s="126" t="n">
        <f aca="false">J23/$R$3</f>
        <v>0</v>
      </c>
      <c r="T23" s="126" t="n">
        <f aca="false">L23/$R$3</f>
        <v>0</v>
      </c>
      <c r="U23" s="126" t="n">
        <f aca="false">I23/$R$3</f>
        <v>0.009</v>
      </c>
      <c r="V23" s="126" t="n">
        <f aca="false">M23/$R$3</f>
        <v>0.009</v>
      </c>
      <c r="W23" s="126" t="n">
        <f aca="false">N23/$R$3</f>
        <v>0.009</v>
      </c>
    </row>
    <row r="24" customFormat="false" ht="12.75" hidden="true" customHeight="false" outlineLevel="0" collapsed="false">
      <c r="A24" s="120" t="n">
        <f aca="false">A23+1</f>
        <v>36910</v>
      </c>
      <c r="B24" s="131" t="str">
        <f aca="false">INDEX('Master Data'!$A$2:$B$8,MATCH(WEEKDAY('ARG Gas Firm'!A24,3),'Master Data'!$A$2:$A$8,0),2)</f>
        <v>F</v>
      </c>
      <c r="D24" s="124" t="n">
        <v>-3527452.13505165</v>
      </c>
      <c r="E24" s="124" t="n">
        <v>755322.108154988</v>
      </c>
      <c r="F24" s="124" t="n">
        <v>0</v>
      </c>
      <c r="G24" s="124" t="n">
        <v>9</v>
      </c>
      <c r="I24" s="124" t="n">
        <f aca="false">IF(MONTH($A24)=MONTH($A23),IF(G24=0,I23,G24),0)</f>
        <v>9</v>
      </c>
      <c r="J24" s="124" t="n">
        <f aca="false">IF(MONTH($A24)=MONTH($A23),SUM(I24-I23),I24)</f>
        <v>0</v>
      </c>
      <c r="K24" s="124" t="n">
        <f aca="false">IF(WEEKDAY(A24,3)&gt;4,0,(IF(A24&lt;K$2,0,IF(A24&lt;=K$3,1,0))))</f>
        <v>0</v>
      </c>
      <c r="L24" s="124" t="n">
        <f aca="false">J24*K24</f>
        <v>0</v>
      </c>
      <c r="M24" s="124" t="n">
        <f aca="false">SUM(J$6:J24)</f>
        <v>9</v>
      </c>
      <c r="N24" s="124" t="n">
        <f aca="false">SUM(J$6:J24)</f>
        <v>9</v>
      </c>
      <c r="P24" s="124" t="n">
        <f aca="false">D24/P$3</f>
        <v>-3.52745213505165</v>
      </c>
      <c r="Q24" s="124" t="n">
        <f aca="false">E24/P$3</f>
        <v>0.755322108154988</v>
      </c>
      <c r="R24" s="124" t="n">
        <f aca="false">F24/R$3</f>
        <v>0</v>
      </c>
      <c r="S24" s="126" t="n">
        <f aca="false">J24/$R$3</f>
        <v>0</v>
      </c>
      <c r="T24" s="126" t="n">
        <f aca="false">L24/$R$3</f>
        <v>0</v>
      </c>
      <c r="U24" s="126" t="n">
        <f aca="false">I24/$R$3</f>
        <v>0.009</v>
      </c>
      <c r="V24" s="126" t="n">
        <f aca="false">M24/$R$3</f>
        <v>0.009</v>
      </c>
      <c r="W24" s="126" t="n">
        <f aca="false">N24/$R$3</f>
        <v>0.009</v>
      </c>
    </row>
    <row r="25" customFormat="false" ht="12.75" hidden="true" customHeight="false" outlineLevel="0" collapsed="false">
      <c r="A25" s="120" t="n">
        <f aca="false">A24+1</f>
        <v>36911</v>
      </c>
      <c r="B25" s="131" t="str">
        <f aca="false">INDEX('Master Data'!$A$2:$B$8,MATCH(WEEKDAY('ARG Gas Firm'!A25,3),'Master Data'!$A$2:$A$8,0),2)</f>
        <v>Sa</v>
      </c>
      <c r="D25" s="124" t="n">
        <v>0</v>
      </c>
      <c r="E25" s="124" t="n">
        <v>0</v>
      </c>
      <c r="F25" s="124" t="n">
        <v>0</v>
      </c>
      <c r="G25" s="124" t="n">
        <v>0</v>
      </c>
      <c r="I25" s="124" t="n">
        <f aca="false">IF(MONTH($A25)=MONTH($A24),IF(G25=0,I24,G25),0)</f>
        <v>9</v>
      </c>
      <c r="J25" s="124" t="n">
        <f aca="false">IF(MONTH($A25)=MONTH($A24),SUM(I25-I24),I25)</f>
        <v>0</v>
      </c>
      <c r="K25" s="124" t="n">
        <f aca="false">IF(WEEKDAY(A25,3)&gt;4,0,(IF(A25&lt;K$2,0,IF(A25&lt;=K$3,1,0))))</f>
        <v>0</v>
      </c>
      <c r="L25" s="124" t="n">
        <f aca="false">J25*K25</f>
        <v>0</v>
      </c>
      <c r="M25" s="124" t="n">
        <f aca="false">SUM(J$6:J25)</f>
        <v>9</v>
      </c>
      <c r="N25" s="124" t="n">
        <f aca="false">SUM(J$6:J25)</f>
        <v>9</v>
      </c>
      <c r="P25" s="124" t="n">
        <f aca="false">D25/P$3</f>
        <v>0</v>
      </c>
      <c r="Q25" s="124" t="n">
        <f aca="false">E25/P$3</f>
        <v>0</v>
      </c>
      <c r="R25" s="124" t="n">
        <f aca="false">F25/R$3</f>
        <v>0</v>
      </c>
      <c r="S25" s="126" t="n">
        <f aca="false">J25/$R$3</f>
        <v>0</v>
      </c>
      <c r="T25" s="126" t="n">
        <f aca="false">L25/$R$3</f>
        <v>0</v>
      </c>
      <c r="U25" s="126" t="n">
        <f aca="false">I25/$R$3</f>
        <v>0.009</v>
      </c>
      <c r="V25" s="126" t="n">
        <f aca="false">M25/$R$3</f>
        <v>0.009</v>
      </c>
      <c r="W25" s="126" t="n">
        <f aca="false">N25/$R$3</f>
        <v>0.009</v>
      </c>
    </row>
    <row r="26" customFormat="false" ht="12.75" hidden="true" customHeight="false" outlineLevel="0" collapsed="false">
      <c r="A26" s="120" t="n">
        <f aca="false">A25+1</f>
        <v>36912</v>
      </c>
      <c r="B26" s="131" t="str">
        <f aca="false">INDEX('Master Data'!$A$2:$B$8,MATCH(WEEKDAY('ARG Gas Firm'!A26,3),'Master Data'!$A$2:$A$8,0),2)</f>
        <v>Su</v>
      </c>
      <c r="D26" s="124" t="n">
        <v>0</v>
      </c>
      <c r="E26" s="124" t="n">
        <v>0</v>
      </c>
      <c r="F26" s="124" t="n">
        <v>0</v>
      </c>
      <c r="G26" s="124" t="n">
        <v>0</v>
      </c>
      <c r="I26" s="124" t="n">
        <f aca="false">IF(MONTH($A26)=MONTH($A25),IF(G26=0,I25,G26),0)</f>
        <v>9</v>
      </c>
      <c r="J26" s="124" t="n">
        <f aca="false">IF(MONTH($A26)=MONTH($A25),SUM(I26-I25),I26)</f>
        <v>0</v>
      </c>
      <c r="K26" s="124" t="n">
        <f aca="false">IF(WEEKDAY(A26,3)&gt;4,0,(IF(A26&lt;K$2,0,IF(A26&lt;=K$3,1,0))))</f>
        <v>0</v>
      </c>
      <c r="L26" s="124" t="n">
        <f aca="false">J26*K26</f>
        <v>0</v>
      </c>
      <c r="M26" s="124" t="n">
        <f aca="false">SUM(J$6:J26)</f>
        <v>9</v>
      </c>
      <c r="N26" s="124" t="n">
        <f aca="false">SUM(J$6:J26)</f>
        <v>9</v>
      </c>
      <c r="P26" s="124" t="n">
        <f aca="false">D26/P$3</f>
        <v>0</v>
      </c>
      <c r="Q26" s="124" t="n">
        <f aca="false">E26/P$3</f>
        <v>0</v>
      </c>
      <c r="R26" s="124" t="n">
        <f aca="false">F26/R$3</f>
        <v>0</v>
      </c>
      <c r="S26" s="126" t="n">
        <f aca="false">J26/$R$3</f>
        <v>0</v>
      </c>
      <c r="T26" s="126" t="n">
        <f aca="false">L26/$R$3</f>
        <v>0</v>
      </c>
      <c r="U26" s="126" t="n">
        <f aca="false">I26/$R$3</f>
        <v>0.009</v>
      </c>
      <c r="V26" s="126" t="n">
        <f aca="false">M26/$R$3</f>
        <v>0.009</v>
      </c>
      <c r="W26" s="126" t="n">
        <f aca="false">N26/$R$3</f>
        <v>0.009</v>
      </c>
    </row>
    <row r="27" customFormat="false" ht="12.75" hidden="true" customHeight="false" outlineLevel="0" collapsed="false">
      <c r="A27" s="120" t="n">
        <f aca="false">A26+1</f>
        <v>36913</v>
      </c>
      <c r="B27" s="131" t="str">
        <f aca="false">INDEX('Master Data'!$A$2:$B$8,MATCH(WEEKDAY('ARG Gas Firm'!A27,3),'Master Data'!$A$2:$A$8,0),2)</f>
        <v>M</v>
      </c>
      <c r="D27" s="124" t="n">
        <v>-3517269.95083831</v>
      </c>
      <c r="E27" s="124" t="n">
        <v>755727.500282326</v>
      </c>
      <c r="F27" s="124" t="n">
        <v>0</v>
      </c>
      <c r="G27" s="124" t="n">
        <v>10</v>
      </c>
      <c r="I27" s="124" t="n">
        <f aca="false">IF(MONTH($A27)=MONTH($A26),IF(G27=0,I26,G27),0)</f>
        <v>10</v>
      </c>
      <c r="J27" s="124" t="n">
        <f aca="false">IF(MONTH($A27)=MONTH($A26),SUM(I27-I26),I27)</f>
        <v>1</v>
      </c>
      <c r="K27" s="124" t="n">
        <f aca="false">IF(WEEKDAY(A27,3)&gt;4,0,(IF(A27&lt;K$2,0,IF(A27&lt;=K$3,1,0))))</f>
        <v>0</v>
      </c>
      <c r="L27" s="124" t="n">
        <f aca="false">J27*K27</f>
        <v>0</v>
      </c>
      <c r="M27" s="124" t="n">
        <f aca="false">SUM(J$6:J27)</f>
        <v>10</v>
      </c>
      <c r="N27" s="124" t="n">
        <f aca="false">SUM(J$6:J27)</f>
        <v>10</v>
      </c>
      <c r="P27" s="124" t="n">
        <f aca="false">D27/P$3</f>
        <v>-3.51726995083831</v>
      </c>
      <c r="Q27" s="124" t="n">
        <f aca="false">E27/P$3</f>
        <v>0.755727500282326</v>
      </c>
      <c r="R27" s="124" t="n">
        <f aca="false">F27/R$3</f>
        <v>0</v>
      </c>
      <c r="S27" s="126" t="n">
        <f aca="false">J27/$R$3</f>
        <v>0.001</v>
      </c>
      <c r="T27" s="126" t="n">
        <f aca="false">L27/$R$3</f>
        <v>0</v>
      </c>
      <c r="U27" s="126" t="n">
        <f aca="false">I27/$R$3</f>
        <v>0.01</v>
      </c>
      <c r="V27" s="126" t="n">
        <f aca="false">M27/$R$3</f>
        <v>0.01</v>
      </c>
      <c r="W27" s="126" t="n">
        <f aca="false">N27/$R$3</f>
        <v>0.01</v>
      </c>
    </row>
    <row r="28" customFormat="false" ht="12.75" hidden="true" customHeight="false" outlineLevel="0" collapsed="false">
      <c r="A28" s="120" t="n">
        <f aca="false">A27+1</f>
        <v>36914</v>
      </c>
      <c r="B28" s="131" t="str">
        <f aca="false">INDEX('Master Data'!$A$2:$B$8,MATCH(WEEKDAY('ARG Gas Firm'!A28,3),'Master Data'!$A$2:$A$8,0),2)</f>
        <v>T</v>
      </c>
      <c r="D28" s="124" t="n">
        <v>-3502166.9047656</v>
      </c>
      <c r="E28" s="124" t="n">
        <v>755830.521824013</v>
      </c>
      <c r="F28" s="124" t="n">
        <v>0</v>
      </c>
      <c r="G28" s="124" t="n">
        <v>9</v>
      </c>
      <c r="I28" s="124" t="n">
        <f aca="false">IF(MONTH($A28)=MONTH($A27),IF(G28=0,I27,G28),0)</f>
        <v>9</v>
      </c>
      <c r="J28" s="124" t="n">
        <f aca="false">IF(MONTH($A28)=MONTH($A27),SUM(I28-I27),I28)</f>
        <v>-1</v>
      </c>
      <c r="K28" s="124" t="n">
        <f aca="false">IF(WEEKDAY(A28,3)&gt;4,0,(IF(A28&lt;K$2,0,IF(A28&lt;=K$3,1,0))))</f>
        <v>0</v>
      </c>
      <c r="L28" s="124" t="n">
        <f aca="false">J28*K28</f>
        <v>-0</v>
      </c>
      <c r="M28" s="124" t="n">
        <f aca="false">SUM(J$6:J28)</f>
        <v>9</v>
      </c>
      <c r="N28" s="124" t="n">
        <f aca="false">SUM(J$6:J28)</f>
        <v>9</v>
      </c>
      <c r="P28" s="124" t="n">
        <f aca="false">D28/P$3</f>
        <v>-3.5021669047656</v>
      </c>
      <c r="Q28" s="124" t="n">
        <f aca="false">E28/P$3</f>
        <v>0.755830521824013</v>
      </c>
      <c r="R28" s="124" t="n">
        <f aca="false">F28/R$3</f>
        <v>0</v>
      </c>
      <c r="S28" s="126" t="n">
        <f aca="false">J28/$R$3</f>
        <v>-0.001</v>
      </c>
      <c r="T28" s="126" t="n">
        <f aca="false">L28/$R$3</f>
        <v>-0</v>
      </c>
      <c r="U28" s="126" t="n">
        <f aca="false">I28/$R$3</f>
        <v>0.009</v>
      </c>
      <c r="V28" s="126" t="n">
        <f aca="false">M28/$R$3</f>
        <v>0.009</v>
      </c>
      <c r="W28" s="126" t="n">
        <f aca="false">N28/$R$3</f>
        <v>0.009</v>
      </c>
    </row>
    <row r="29" customFormat="false" ht="12.75" hidden="true" customHeight="false" outlineLevel="0" collapsed="false">
      <c r="A29" s="120" t="n">
        <f aca="false">A28+1</f>
        <v>36915</v>
      </c>
      <c r="B29" s="131" t="str">
        <f aca="false">INDEX('Master Data'!$A$2:$B$8,MATCH(WEEKDAY('ARG Gas Firm'!A29,3),'Master Data'!$A$2:$A$8,0),2)</f>
        <v>W</v>
      </c>
      <c r="D29" s="124" t="n">
        <v>-3502030.88820983</v>
      </c>
      <c r="E29" s="124" t="n">
        <v>755920.447994745</v>
      </c>
      <c r="F29" s="124" t="n">
        <v>0</v>
      </c>
      <c r="G29" s="124" t="n">
        <v>9</v>
      </c>
      <c r="I29" s="124" t="n">
        <f aca="false">IF(MONTH($A29)=MONTH($A28),IF(G29=0,I28,G29),0)</f>
        <v>9</v>
      </c>
      <c r="J29" s="124" t="n">
        <f aca="false">IF(MONTH($A29)=MONTH($A28),SUM(I29-I28),I29)</f>
        <v>0</v>
      </c>
      <c r="K29" s="124" t="n">
        <f aca="false">IF(WEEKDAY(A29,3)&gt;4,0,(IF(A29&lt;K$2,0,IF(A29&lt;=K$3,1,0))))</f>
        <v>0</v>
      </c>
      <c r="L29" s="124" t="n">
        <f aca="false">J29*K29</f>
        <v>0</v>
      </c>
      <c r="M29" s="124" t="n">
        <f aca="false">SUM(J$6:J29)</f>
        <v>9</v>
      </c>
      <c r="N29" s="124" t="n">
        <f aca="false">SUM(J$6:J29)</f>
        <v>9</v>
      </c>
      <c r="P29" s="124" t="n">
        <f aca="false">D29/P$3</f>
        <v>-3.50203088820983</v>
      </c>
      <c r="Q29" s="124" t="n">
        <f aca="false">E29/P$3</f>
        <v>0.755920447994745</v>
      </c>
      <c r="R29" s="124" t="n">
        <f aca="false">F29/R$3</f>
        <v>0</v>
      </c>
      <c r="S29" s="126" t="n">
        <f aca="false">J29/$R$3</f>
        <v>0</v>
      </c>
      <c r="T29" s="126" t="n">
        <f aca="false">L29/$R$3</f>
        <v>0</v>
      </c>
      <c r="U29" s="126" t="n">
        <f aca="false">I29/$R$3</f>
        <v>0.009</v>
      </c>
      <c r="V29" s="126" t="n">
        <f aca="false">M29/$R$3</f>
        <v>0.009</v>
      </c>
      <c r="W29" s="126" t="n">
        <f aca="false">N29/$R$3</f>
        <v>0.009</v>
      </c>
    </row>
    <row r="30" customFormat="false" ht="12.75" hidden="true" customHeight="false" outlineLevel="0" collapsed="false">
      <c r="A30" s="120" t="n">
        <f aca="false">A29+1</f>
        <v>36916</v>
      </c>
      <c r="B30" s="131" t="str">
        <f aca="false">INDEX('Master Data'!$A$2:$B$8,MATCH(WEEKDAY('ARG Gas Firm'!A30,3),'Master Data'!$A$2:$A$8,0),2)</f>
        <v>Th</v>
      </c>
      <c r="D30" s="124" t="n">
        <v>-3514935.86757602</v>
      </c>
      <c r="E30" s="124" t="n">
        <v>756046.123666331</v>
      </c>
      <c r="F30" s="124" t="n">
        <v>0</v>
      </c>
      <c r="G30" s="124" t="n">
        <v>8</v>
      </c>
      <c r="I30" s="124" t="n">
        <f aca="false">IF(MONTH($A30)=MONTH($A29),IF(G30=0,I29,G30),0)</f>
        <v>8</v>
      </c>
      <c r="J30" s="124" t="n">
        <f aca="false">IF(MONTH($A30)=MONTH($A29),SUM(I30-I29),I30)</f>
        <v>-1</v>
      </c>
      <c r="K30" s="124" t="n">
        <f aca="false">IF(WEEKDAY(A30,3)&gt;4,0,(IF(A30&lt;K$2,0,IF(A30&lt;=K$3,1,0))))</f>
        <v>0</v>
      </c>
      <c r="L30" s="124" t="n">
        <f aca="false">J30*K30</f>
        <v>-0</v>
      </c>
      <c r="M30" s="124" t="n">
        <f aca="false">SUM(J$6:J30)</f>
        <v>8</v>
      </c>
      <c r="N30" s="124" t="n">
        <f aca="false">SUM(J$6:J30)</f>
        <v>8</v>
      </c>
      <c r="P30" s="124" t="n">
        <f aca="false">D30/P$3</f>
        <v>-3.51493586757602</v>
      </c>
      <c r="Q30" s="124" t="n">
        <f aca="false">E30/P$3</f>
        <v>0.756046123666331</v>
      </c>
      <c r="R30" s="124" t="n">
        <f aca="false">F30/R$3</f>
        <v>0</v>
      </c>
      <c r="S30" s="126" t="n">
        <f aca="false">J30/$R$3</f>
        <v>-0.001</v>
      </c>
      <c r="T30" s="126" t="n">
        <f aca="false">L30/$R$3</f>
        <v>-0</v>
      </c>
      <c r="U30" s="126" t="n">
        <f aca="false">I30/$R$3</f>
        <v>0.008</v>
      </c>
      <c r="V30" s="126" t="n">
        <f aca="false">M30/$R$3</f>
        <v>0.008</v>
      </c>
      <c r="W30" s="126" t="n">
        <f aca="false">N30/$R$3</f>
        <v>0.008</v>
      </c>
    </row>
    <row r="31" customFormat="false" ht="12.75" hidden="true" customHeight="false" outlineLevel="0" collapsed="false">
      <c r="A31" s="120" t="n">
        <f aca="false">A30+1</f>
        <v>36917</v>
      </c>
      <c r="B31" s="131" t="str">
        <f aca="false">INDEX('Master Data'!$A$2:$B$8,MATCH(WEEKDAY('ARG Gas Firm'!A31,3),'Master Data'!$A$2:$A$8,0),2)</f>
        <v>F</v>
      </c>
      <c r="D31" s="124" t="n">
        <v>-3514077.19683868</v>
      </c>
      <c r="E31" s="124" t="n">
        <v>756207.569494728</v>
      </c>
      <c r="F31" s="124" t="n">
        <v>0</v>
      </c>
      <c r="G31" s="124" t="n">
        <v>8</v>
      </c>
      <c r="I31" s="124" t="n">
        <f aca="false">IF(MONTH($A31)=MONTH($A30),IF(G31=0,I30,G31),0)</f>
        <v>8</v>
      </c>
      <c r="J31" s="124" t="n">
        <f aca="false">IF(MONTH($A31)=MONTH($A30),SUM(I31-I30),I31)</f>
        <v>0</v>
      </c>
      <c r="K31" s="124" t="n">
        <f aca="false">IF(WEEKDAY(A31,3)&gt;4,0,(IF(A31&lt;K$2,0,IF(A31&lt;=K$3,1,0))))</f>
        <v>0</v>
      </c>
      <c r="L31" s="124" t="n">
        <f aca="false">J31*K31</f>
        <v>0</v>
      </c>
      <c r="M31" s="124" t="n">
        <f aca="false">SUM(J$6:J31)</f>
        <v>8</v>
      </c>
      <c r="N31" s="124" t="n">
        <f aca="false">SUM(J$6:J31)</f>
        <v>8</v>
      </c>
      <c r="P31" s="124" t="n">
        <f aca="false">D31/P$3</f>
        <v>-3.51407719683868</v>
      </c>
      <c r="Q31" s="124" t="n">
        <f aca="false">E31/P$3</f>
        <v>0.756207569494728</v>
      </c>
      <c r="R31" s="124" t="n">
        <f aca="false">F31/R$3</f>
        <v>0</v>
      </c>
      <c r="S31" s="126" t="n">
        <f aca="false">J31/$R$3</f>
        <v>0</v>
      </c>
      <c r="T31" s="126" t="n">
        <f aca="false">L31/$R$3</f>
        <v>0</v>
      </c>
      <c r="U31" s="126" t="n">
        <f aca="false">I31/$R$3</f>
        <v>0.008</v>
      </c>
      <c r="V31" s="126" t="n">
        <f aca="false">M31/$R$3</f>
        <v>0.008</v>
      </c>
      <c r="W31" s="126" t="n">
        <f aca="false">N31/$R$3</f>
        <v>0.008</v>
      </c>
    </row>
    <row r="32" customFormat="false" ht="12.75" hidden="true" customHeight="false" outlineLevel="0" collapsed="false">
      <c r="A32" s="120" t="n">
        <f aca="false">A31+1</f>
        <v>36918</v>
      </c>
      <c r="B32" s="131" t="str">
        <f aca="false">INDEX('Master Data'!$A$2:$B$8,MATCH(WEEKDAY('ARG Gas Firm'!A32,3),'Master Data'!$A$2:$A$8,0),2)</f>
        <v>Sa</v>
      </c>
      <c r="D32" s="124" t="n">
        <v>0</v>
      </c>
      <c r="E32" s="124" t="n">
        <v>0</v>
      </c>
      <c r="F32" s="124" t="n">
        <v>0</v>
      </c>
      <c r="G32" s="124" t="n">
        <v>0</v>
      </c>
      <c r="I32" s="124" t="n">
        <f aca="false">IF(MONTH($A32)=MONTH($A31),IF(G32=0,I31,G32),0)</f>
        <v>8</v>
      </c>
      <c r="J32" s="124" t="n">
        <f aca="false">IF(MONTH($A32)=MONTH($A31),SUM(I32-I31),I32)</f>
        <v>0</v>
      </c>
      <c r="K32" s="124" t="n">
        <f aca="false">IF(WEEKDAY(A32,3)&gt;4,0,(IF(A32&lt;K$2,0,IF(A32&lt;=K$3,1,0))))</f>
        <v>0</v>
      </c>
      <c r="L32" s="124" t="n">
        <f aca="false">J32*K32</f>
        <v>0</v>
      </c>
      <c r="M32" s="124" t="n">
        <f aca="false">SUM(J$6:J32)</f>
        <v>8</v>
      </c>
      <c r="N32" s="124" t="n">
        <f aca="false">SUM(J$6:J32)</f>
        <v>8</v>
      </c>
      <c r="P32" s="124" t="n">
        <f aca="false">D32/P$3</f>
        <v>0</v>
      </c>
      <c r="Q32" s="124" t="n">
        <f aca="false">E32/P$3</f>
        <v>0</v>
      </c>
      <c r="R32" s="124" t="n">
        <f aca="false">F32/R$3</f>
        <v>0</v>
      </c>
      <c r="S32" s="126" t="n">
        <f aca="false">J32/$R$3</f>
        <v>0</v>
      </c>
      <c r="T32" s="126" t="n">
        <f aca="false">L32/$R$3</f>
        <v>0</v>
      </c>
      <c r="U32" s="126" t="n">
        <f aca="false">I32/$R$3</f>
        <v>0.008</v>
      </c>
      <c r="V32" s="126" t="n">
        <f aca="false">M32/$R$3</f>
        <v>0.008</v>
      </c>
      <c r="W32" s="126" t="n">
        <f aca="false">N32/$R$3</f>
        <v>0.008</v>
      </c>
    </row>
    <row r="33" customFormat="false" ht="12.75" hidden="true" customHeight="false" outlineLevel="0" collapsed="false">
      <c r="A33" s="120" t="n">
        <f aca="false">A32+1</f>
        <v>36919</v>
      </c>
      <c r="B33" s="131" t="str">
        <f aca="false">INDEX('Master Data'!$A$2:$B$8,MATCH(WEEKDAY('ARG Gas Firm'!A33,3),'Master Data'!$A$2:$A$8,0),2)</f>
        <v>Su</v>
      </c>
      <c r="D33" s="124" t="n">
        <v>0</v>
      </c>
      <c r="E33" s="124" t="n">
        <v>0</v>
      </c>
      <c r="F33" s="124" t="n">
        <v>0</v>
      </c>
      <c r="G33" s="124" t="n">
        <v>0</v>
      </c>
      <c r="I33" s="124" t="n">
        <f aca="false">IF(MONTH($A33)=MONTH($A32),IF(G33=0,I32,G33),0)</f>
        <v>8</v>
      </c>
      <c r="J33" s="124" t="n">
        <f aca="false">IF(MONTH($A33)=MONTH($A32),SUM(I33-I32),I33)</f>
        <v>0</v>
      </c>
      <c r="K33" s="124" t="n">
        <f aca="false">IF(WEEKDAY(A33,3)&gt;4,0,(IF(A33&lt;K$2,0,IF(A33&lt;=K$3,1,0))))</f>
        <v>0</v>
      </c>
      <c r="L33" s="124" t="n">
        <f aca="false">J33*K33</f>
        <v>0</v>
      </c>
      <c r="M33" s="124" t="n">
        <f aca="false">SUM(J$6:J33)</f>
        <v>8</v>
      </c>
      <c r="N33" s="124" t="n">
        <f aca="false">SUM(J$6:J33)</f>
        <v>8</v>
      </c>
      <c r="P33" s="124" t="n">
        <f aca="false">D33/P$3</f>
        <v>0</v>
      </c>
      <c r="Q33" s="124" t="n">
        <f aca="false">E33/P$3</f>
        <v>0</v>
      </c>
      <c r="R33" s="124" t="n">
        <f aca="false">F33/R$3</f>
        <v>0</v>
      </c>
      <c r="S33" s="126" t="n">
        <f aca="false">J33/$R$3</f>
        <v>0</v>
      </c>
      <c r="T33" s="126" t="n">
        <f aca="false">L33/$R$3</f>
        <v>0</v>
      </c>
      <c r="U33" s="126" t="n">
        <f aca="false">I33/$R$3</f>
        <v>0.008</v>
      </c>
      <c r="V33" s="126" t="n">
        <f aca="false">M33/$R$3</f>
        <v>0.008</v>
      </c>
      <c r="W33" s="126" t="n">
        <f aca="false">N33/$R$3</f>
        <v>0.008</v>
      </c>
    </row>
    <row r="34" customFormat="false" ht="12.75" hidden="true" customHeight="false" outlineLevel="0" collapsed="false">
      <c r="A34" s="120" t="n">
        <f aca="false">A33+1</f>
        <v>36920</v>
      </c>
      <c r="B34" s="131" t="str">
        <f aca="false">INDEX('Master Data'!$A$2:$B$8,MATCH(WEEKDAY('ARG Gas Firm'!A34,3),'Master Data'!$A$2:$A$8,0),2)</f>
        <v>M</v>
      </c>
      <c r="D34" s="124" t="n">
        <v>-3511311.55995468</v>
      </c>
      <c r="E34" s="124" t="n">
        <v>756611.500544355</v>
      </c>
      <c r="F34" s="124" t="n">
        <v>0</v>
      </c>
      <c r="G34" s="124" t="n">
        <v>9</v>
      </c>
      <c r="I34" s="124" t="n">
        <f aca="false">IF(MONTH($A34)=MONTH($A33),IF(G34=0,I33,G34),0)</f>
        <v>9</v>
      </c>
      <c r="J34" s="124" t="n">
        <f aca="false">IF(MONTH($A34)=MONTH($A33),SUM(I34-I33),I34)</f>
        <v>1</v>
      </c>
      <c r="K34" s="124" t="n">
        <f aca="false">IF(WEEKDAY(A34,3)&gt;4,0,(IF(A34&lt;K$2,0,IF(A34&lt;=K$3,1,0))))</f>
        <v>0</v>
      </c>
      <c r="L34" s="124" t="n">
        <f aca="false">J34*K34</f>
        <v>0</v>
      </c>
      <c r="M34" s="124" t="n">
        <f aca="false">SUM(J$6:J34)</f>
        <v>9</v>
      </c>
      <c r="N34" s="124" t="n">
        <f aca="false">SUM(J$6:J34)</f>
        <v>9</v>
      </c>
      <c r="P34" s="124" t="n">
        <f aca="false">D34/P$3</f>
        <v>-3.51131155995468</v>
      </c>
      <c r="Q34" s="124" t="n">
        <f aca="false">E34/P$3</f>
        <v>0.756611500544355</v>
      </c>
      <c r="R34" s="124" t="n">
        <f aca="false">F34/R$3</f>
        <v>0</v>
      </c>
      <c r="S34" s="126" t="n">
        <f aca="false">J34/$R$3</f>
        <v>0.001</v>
      </c>
      <c r="T34" s="126" t="n">
        <f aca="false">L34/$R$3</f>
        <v>0</v>
      </c>
      <c r="U34" s="126" t="n">
        <f aca="false">I34/$R$3</f>
        <v>0.009</v>
      </c>
      <c r="V34" s="126" t="n">
        <f aca="false">M34/$R$3</f>
        <v>0.009</v>
      </c>
      <c r="W34" s="126" t="n">
        <f aca="false">N34/$R$3</f>
        <v>0.009</v>
      </c>
    </row>
    <row r="35" customFormat="false" ht="12.75" hidden="true" customHeight="false" outlineLevel="0" collapsed="false">
      <c r="A35" s="120" t="n">
        <f aca="false">A34+1</f>
        <v>36921</v>
      </c>
      <c r="B35" s="131" t="str">
        <f aca="false">INDEX('Master Data'!$A$2:$B$8,MATCH(WEEKDAY('ARG Gas Firm'!A35,3),'Master Data'!$A$2:$A$8,0),2)</f>
        <v>T</v>
      </c>
      <c r="D35" s="124" t="n">
        <v>-3534118.27078236</v>
      </c>
      <c r="E35" s="124" t="n">
        <v>756756.118887081</v>
      </c>
      <c r="F35" s="124" t="n">
        <v>0</v>
      </c>
      <c r="G35" s="124" t="n">
        <v>10</v>
      </c>
      <c r="I35" s="124" t="n">
        <f aca="false">IF(MONTH($A35)=MONTH($A34),IF(G35=0,I34,G35),0)</f>
        <v>10</v>
      </c>
      <c r="J35" s="124" t="n">
        <f aca="false">IF(MONTH($A35)=MONTH($A34),SUM(I35-I34),I35)</f>
        <v>1</v>
      </c>
      <c r="K35" s="124" t="n">
        <f aca="false">IF(WEEKDAY(A35,3)&gt;4,0,(IF(A35&lt;K$2,0,IF(A35&lt;=K$3,1,0))))</f>
        <v>0</v>
      </c>
      <c r="L35" s="124" t="n">
        <f aca="false">J35*K35</f>
        <v>0</v>
      </c>
      <c r="M35" s="124" t="n">
        <f aca="false">SUM(J$6:J35)</f>
        <v>10</v>
      </c>
      <c r="N35" s="124" t="n">
        <f aca="false">SUM(J$6:J35)</f>
        <v>10</v>
      </c>
      <c r="P35" s="124" t="n">
        <f aca="false">D35/P$3</f>
        <v>-3.53411827078236</v>
      </c>
      <c r="Q35" s="124" t="n">
        <f aca="false">E35/P$3</f>
        <v>0.756756118887081</v>
      </c>
      <c r="R35" s="124" t="n">
        <f aca="false">F35/R$3</f>
        <v>0</v>
      </c>
      <c r="S35" s="126" t="n">
        <f aca="false">J35/$R$3</f>
        <v>0.001</v>
      </c>
      <c r="T35" s="126" t="n">
        <f aca="false">L35/$R$3</f>
        <v>0</v>
      </c>
      <c r="U35" s="126" t="n">
        <f aca="false">I35/$R$3</f>
        <v>0.01</v>
      </c>
      <c r="V35" s="126" t="n">
        <f aca="false">M35/$R$3</f>
        <v>0.01</v>
      </c>
      <c r="W35" s="126" t="n">
        <f aca="false">N35/$R$3</f>
        <v>0.01</v>
      </c>
    </row>
    <row r="36" customFormat="false" ht="12.75" hidden="false" customHeight="false" outlineLevel="0" collapsed="false">
      <c r="A36" s="120" t="n">
        <f aca="false">A35+1</f>
        <v>36922</v>
      </c>
      <c r="B36" s="131" t="str">
        <f aca="false">INDEX('Master Data'!$A$2:$B$8,MATCH(WEEKDAY('ARG Gas Firm'!A36,3),'Master Data'!$A$2:$A$8,0),2)</f>
        <v>W</v>
      </c>
      <c r="D36" s="124" t="n">
        <v>-3465128.41663622</v>
      </c>
      <c r="E36" s="124" t="n">
        <v>656932.526902197</v>
      </c>
      <c r="F36" s="124" t="n">
        <v>0</v>
      </c>
      <c r="G36" s="124" t="n">
        <v>10</v>
      </c>
      <c r="I36" s="124" t="n">
        <f aca="false">IF(MONTH($A36)=MONTH($A35),IF(G36=0,I35,G36),0)</f>
        <v>10</v>
      </c>
      <c r="J36" s="124" t="n">
        <f aca="false">IF(MONTH($A36)=MONTH($A35),SUM(I36-I35),I36)</f>
        <v>0</v>
      </c>
      <c r="K36" s="124" t="n">
        <f aca="false">IF(WEEKDAY(A36,3)&gt;4,0,(IF(A36&lt;K$2,0,IF(A36&lt;=K$3,1,0))))</f>
        <v>0</v>
      </c>
      <c r="L36" s="124" t="n">
        <f aca="false">J36*K36</f>
        <v>0</v>
      </c>
      <c r="M36" s="124" t="n">
        <f aca="false">SUM(J$6:J36)</f>
        <v>10</v>
      </c>
      <c r="N36" s="124" t="n">
        <f aca="false">SUM(J$6:J36)</f>
        <v>10</v>
      </c>
      <c r="P36" s="124" t="n">
        <f aca="false">D36/P$3</f>
        <v>-3.46512841663622</v>
      </c>
      <c r="Q36" s="124" t="n">
        <f aca="false">E36/P$3</f>
        <v>0.656932526902197</v>
      </c>
      <c r="R36" s="124" t="n">
        <f aca="false">F36/R$3</f>
        <v>0</v>
      </c>
      <c r="S36" s="126" t="n">
        <f aca="false">J36/$R$3</f>
        <v>0</v>
      </c>
      <c r="T36" s="126" t="n">
        <f aca="false">L36/$R$3</f>
        <v>0</v>
      </c>
      <c r="U36" s="126" t="n">
        <f aca="false">I36/$R$3</f>
        <v>0.01</v>
      </c>
      <c r="V36" s="126" t="n">
        <f aca="false">M36/$R$3</f>
        <v>0.01</v>
      </c>
      <c r="W36" s="126" t="n">
        <f aca="false">N36/$R$3</f>
        <v>0.01</v>
      </c>
    </row>
    <row r="37" customFormat="false" ht="12.75" hidden="true" customHeight="false" outlineLevel="0" collapsed="false">
      <c r="A37" s="120" t="n">
        <f aca="false">A36+1</f>
        <v>36923</v>
      </c>
      <c r="B37" s="131" t="str">
        <f aca="false">INDEX('Master Data'!$A$2:$B$8,MATCH(WEEKDAY('ARG Gas Firm'!A37,3),'Master Data'!$A$2:$A$8,0),2)</f>
        <v>Th</v>
      </c>
      <c r="D37" s="124" t="n">
        <v>-3577691.00586771</v>
      </c>
      <c r="E37" s="124" t="n">
        <v>757112.71289438</v>
      </c>
      <c r="F37" s="124" t="n">
        <v>0</v>
      </c>
      <c r="G37" s="124" t="n">
        <v>-46</v>
      </c>
      <c r="I37" s="124" t="n">
        <f aca="false">IF(MONTH($A37)=MONTH($A36),IF(G37=0,I36,G37),G37)</f>
        <v>-46</v>
      </c>
      <c r="J37" s="124" t="n">
        <f aca="false">IF(MONTH($A37)=MONTH($A36),SUM(I37-I36),I37)</f>
        <v>-46</v>
      </c>
      <c r="K37" s="124" t="n">
        <f aca="false">IF(WEEKDAY(A37,3)&gt;4,0,(IF(A37&lt;K$2,0,IF(A37&lt;=K$3,1,0))))</f>
        <v>0</v>
      </c>
      <c r="L37" s="124" t="n">
        <f aca="false">J37*K37</f>
        <v>-0</v>
      </c>
      <c r="M37" s="124" t="n">
        <f aca="false">SUM(J$6:J37)</f>
        <v>-36</v>
      </c>
      <c r="N37" s="124" t="n">
        <f aca="false">SUM(J$6:J37)</f>
        <v>-36</v>
      </c>
      <c r="P37" s="124" t="n">
        <f aca="false">D37/P$3</f>
        <v>-3.57769100586771</v>
      </c>
      <c r="Q37" s="124" t="n">
        <f aca="false">E37/P$3</f>
        <v>0.75711271289438</v>
      </c>
      <c r="R37" s="124" t="n">
        <f aca="false">F37/R$3</f>
        <v>0</v>
      </c>
      <c r="S37" s="126" t="n">
        <f aca="false">J37/$R$3</f>
        <v>-0.046</v>
      </c>
      <c r="T37" s="126" t="n">
        <f aca="false">L37/$R$3</f>
        <v>-0</v>
      </c>
      <c r="U37" s="126" t="n">
        <f aca="false">I37/$R$3</f>
        <v>-0.046</v>
      </c>
      <c r="V37" s="126" t="n">
        <f aca="false">M37/$R$3</f>
        <v>-0.036</v>
      </c>
      <c r="W37" s="126" t="n">
        <f aca="false">N37/$R$3</f>
        <v>-0.036</v>
      </c>
    </row>
    <row r="38" customFormat="false" ht="12.75" hidden="true" customHeight="false" outlineLevel="0" collapsed="false">
      <c r="A38" s="120" t="n">
        <f aca="false">A37+1</f>
        <v>36924</v>
      </c>
      <c r="B38" s="131" t="str">
        <f aca="false">INDEX('Master Data'!$A$2:$B$8,MATCH(WEEKDAY('ARG Gas Firm'!A38,3),'Master Data'!$A$2:$A$8,0),2)</f>
        <v>F</v>
      </c>
      <c r="D38" s="124" t="n">
        <v>-3554265.30154302</v>
      </c>
      <c r="E38" s="124" t="n">
        <v>757210.040367135</v>
      </c>
      <c r="F38" s="124" t="n">
        <v>0</v>
      </c>
      <c r="G38" s="124" t="n">
        <v>-47</v>
      </c>
      <c r="I38" s="124" t="n">
        <f aca="false">IF(MONTH($A38)=MONTH($A37),IF(G38=0,I37,G38),G38)</f>
        <v>-47</v>
      </c>
      <c r="J38" s="124" t="n">
        <f aca="false">IF(MONTH($A38)=MONTH($A37),SUM(I38-I37),I38)</f>
        <v>-1</v>
      </c>
      <c r="K38" s="124" t="n">
        <f aca="false">IF(WEEKDAY(A38,3)&gt;4,0,(IF(A38&lt;K$2,0,IF(A38&lt;=K$3,1,0))))</f>
        <v>0</v>
      </c>
      <c r="L38" s="124" t="n">
        <f aca="false">J38*K38</f>
        <v>-0</v>
      </c>
      <c r="M38" s="124" t="n">
        <f aca="false">SUM(J$6:J38)</f>
        <v>-37</v>
      </c>
      <c r="N38" s="124" t="n">
        <f aca="false">SUM(J$6:J38)</f>
        <v>-37</v>
      </c>
      <c r="P38" s="124" t="n">
        <f aca="false">D38/P$3</f>
        <v>-3.55426530154302</v>
      </c>
      <c r="Q38" s="124" t="n">
        <f aca="false">E38/P$3</f>
        <v>0.757210040367135</v>
      </c>
      <c r="R38" s="124" t="n">
        <f aca="false">F38/R$3</f>
        <v>0</v>
      </c>
      <c r="S38" s="126" t="n">
        <f aca="false">J38/$R$3</f>
        <v>-0.001</v>
      </c>
      <c r="T38" s="126" t="n">
        <f aca="false">L38/$R$3</f>
        <v>-0</v>
      </c>
      <c r="U38" s="126" t="n">
        <f aca="false">I38/$R$3</f>
        <v>-0.047</v>
      </c>
      <c r="V38" s="126" t="n">
        <f aca="false">M38/$R$3</f>
        <v>-0.037</v>
      </c>
      <c r="W38" s="126" t="n">
        <f aca="false">N38/$R$3</f>
        <v>-0.037</v>
      </c>
    </row>
    <row r="39" customFormat="false" ht="12.75" hidden="true" customHeight="false" outlineLevel="0" collapsed="false">
      <c r="A39" s="120" t="n">
        <f aca="false">A38+1</f>
        <v>36925</v>
      </c>
      <c r="B39" s="131" t="str">
        <f aca="false">INDEX('Master Data'!$A$2:$B$8,MATCH(WEEKDAY('ARG Gas Firm'!A39,3),'Master Data'!$A$2:$A$8,0),2)</f>
        <v>Sa</v>
      </c>
      <c r="D39" s="124" t="n">
        <v>0</v>
      </c>
      <c r="E39" s="124" t="n">
        <v>0</v>
      </c>
      <c r="F39" s="124" t="n">
        <v>0</v>
      </c>
      <c r="G39" s="124" t="n">
        <v>0</v>
      </c>
      <c r="I39" s="124" t="n">
        <f aca="false">IF(MONTH($A39)=MONTH($A38),IF(G39=0,I38,G39),G39)</f>
        <v>-47</v>
      </c>
      <c r="J39" s="124" t="n">
        <f aca="false">IF(MONTH($A39)=MONTH($A38),SUM(I39-I38),I39)</f>
        <v>0</v>
      </c>
      <c r="K39" s="124" t="n">
        <f aca="false">IF(WEEKDAY(A39,3)&gt;4,0,(IF(A39&lt;K$2,0,IF(A39&lt;=K$3,1,0))))</f>
        <v>0</v>
      </c>
      <c r="L39" s="124" t="n">
        <f aca="false">J39*K39</f>
        <v>0</v>
      </c>
      <c r="M39" s="124" t="n">
        <f aca="false">SUM(J$6:J39)</f>
        <v>-37</v>
      </c>
      <c r="N39" s="124" t="n">
        <f aca="false">SUM(J$6:J39)</f>
        <v>-37</v>
      </c>
      <c r="P39" s="124" t="n">
        <f aca="false">D39/P$3</f>
        <v>0</v>
      </c>
      <c r="Q39" s="124" t="n">
        <f aca="false">E39/P$3</f>
        <v>0</v>
      </c>
      <c r="R39" s="124" t="n">
        <f aca="false">F39/R$3</f>
        <v>0</v>
      </c>
      <c r="S39" s="126" t="n">
        <f aca="false">J39/$R$3</f>
        <v>0</v>
      </c>
      <c r="T39" s="126" t="n">
        <f aca="false">L39/$R$3</f>
        <v>0</v>
      </c>
      <c r="U39" s="126" t="n">
        <f aca="false">I39/$R$3</f>
        <v>-0.047</v>
      </c>
      <c r="V39" s="126" t="n">
        <f aca="false">M39/$R$3</f>
        <v>-0.037</v>
      </c>
      <c r="W39" s="126" t="n">
        <f aca="false">N39/$R$3</f>
        <v>-0.037</v>
      </c>
    </row>
    <row r="40" customFormat="false" ht="12.75" hidden="true" customHeight="false" outlineLevel="0" collapsed="false">
      <c r="A40" s="120" t="n">
        <f aca="false">A39+1</f>
        <v>36926</v>
      </c>
      <c r="B40" s="131" t="str">
        <f aca="false">INDEX('Master Data'!$A$2:$B$8,MATCH(WEEKDAY('ARG Gas Firm'!A40,3),'Master Data'!$A$2:$A$8,0),2)</f>
        <v>Su</v>
      </c>
      <c r="D40" s="124" t="n">
        <v>0</v>
      </c>
      <c r="E40" s="124" t="n">
        <v>0</v>
      </c>
      <c r="F40" s="124" t="n">
        <v>0</v>
      </c>
      <c r="G40" s="124" t="n">
        <v>0</v>
      </c>
      <c r="I40" s="124" t="n">
        <f aca="false">IF(MONTH($A40)=MONTH($A39),IF(G40=0,I39,G40),G40)</f>
        <v>-47</v>
      </c>
      <c r="J40" s="124" t="n">
        <f aca="false">IF(MONTH($A40)=MONTH($A39),SUM(I40-I39),I40)</f>
        <v>0</v>
      </c>
      <c r="K40" s="124" t="n">
        <f aca="false">IF(WEEKDAY(A40,3)&gt;4,0,(IF(A40&lt;K$2,0,IF(A40&lt;=K$3,1,0))))</f>
        <v>0</v>
      </c>
      <c r="L40" s="124" t="n">
        <f aca="false">J40*K40</f>
        <v>0</v>
      </c>
      <c r="M40" s="124" t="n">
        <f aca="false">SUM(J$6:J40)</f>
        <v>-37</v>
      </c>
      <c r="N40" s="124" t="n">
        <f aca="false">SUM(J$6:J40)</f>
        <v>-37</v>
      </c>
      <c r="P40" s="124" t="n">
        <f aca="false">D40/P$3</f>
        <v>0</v>
      </c>
      <c r="Q40" s="124" t="n">
        <f aca="false">E40/P$3</f>
        <v>0</v>
      </c>
      <c r="R40" s="124" t="n">
        <f aca="false">F40/R$3</f>
        <v>0</v>
      </c>
      <c r="S40" s="126" t="n">
        <f aca="false">J40/$R$3</f>
        <v>0</v>
      </c>
      <c r="T40" s="126" t="n">
        <f aca="false">L40/$R$3</f>
        <v>0</v>
      </c>
      <c r="U40" s="126" t="n">
        <f aca="false">I40/$R$3</f>
        <v>-0.047</v>
      </c>
      <c r="V40" s="126" t="n">
        <f aca="false">M40/$R$3</f>
        <v>-0.037</v>
      </c>
      <c r="W40" s="126" t="n">
        <f aca="false">N40/$R$3</f>
        <v>-0.037</v>
      </c>
    </row>
    <row r="41" customFormat="false" ht="12.75" hidden="true" customHeight="false" outlineLevel="0" collapsed="false">
      <c r="A41" s="120" t="n">
        <f aca="false">A40+1</f>
        <v>36927</v>
      </c>
      <c r="B41" s="131" t="str">
        <f aca="false">INDEX('Master Data'!$A$2:$B$8,MATCH(WEEKDAY('ARG Gas Firm'!A41,3),'Master Data'!$A$2:$A$8,0),2)</f>
        <v>M</v>
      </c>
      <c r="D41" s="124" t="n">
        <v>-3549874.30704561</v>
      </c>
      <c r="E41" s="124" t="n">
        <v>757489.617933076</v>
      </c>
      <c r="F41" s="124" t="n">
        <v>0</v>
      </c>
      <c r="G41" s="124" t="n">
        <v>33680</v>
      </c>
      <c r="I41" s="124" t="n">
        <f aca="false">IF(MONTH($A41)=MONTH($A40),IF(G41=0,I40,G41),G41)</f>
        <v>33680</v>
      </c>
      <c r="J41" s="124" t="n">
        <f aca="false">IF(MONTH($A41)=MONTH($A40),SUM(I41-I40),I41)</f>
        <v>33727</v>
      </c>
      <c r="K41" s="124" t="n">
        <f aca="false">IF(WEEKDAY(A41,3)&gt;4,0,(IF(A41&lt;K$2,0,IF(A41&lt;=K$3,1,0))))</f>
        <v>0</v>
      </c>
      <c r="L41" s="124" t="n">
        <f aca="false">J41*K41</f>
        <v>0</v>
      </c>
      <c r="M41" s="124" t="n">
        <f aca="false">SUM(J$6:J41)</f>
        <v>33690</v>
      </c>
      <c r="N41" s="124" t="n">
        <f aca="false">SUM(J$6:J41)</f>
        <v>33690</v>
      </c>
      <c r="P41" s="124" t="n">
        <f aca="false">D41/P$3</f>
        <v>-3.54987430704561</v>
      </c>
      <c r="Q41" s="124" t="n">
        <f aca="false">E41/P$3</f>
        <v>0.757489617933076</v>
      </c>
      <c r="R41" s="124" t="n">
        <f aca="false">F41/R$3</f>
        <v>0</v>
      </c>
      <c r="S41" s="126" t="n">
        <f aca="false">J41/$R$3</f>
        <v>33.727</v>
      </c>
      <c r="T41" s="126" t="n">
        <f aca="false">L41/$R$3</f>
        <v>0</v>
      </c>
      <c r="U41" s="126" t="n">
        <f aca="false">I41/$R$3</f>
        <v>33.68</v>
      </c>
      <c r="V41" s="126" t="n">
        <f aca="false">M41/$R$3</f>
        <v>33.69</v>
      </c>
      <c r="W41" s="126" t="n">
        <f aca="false">N41/$R$3</f>
        <v>33.69</v>
      </c>
    </row>
    <row r="42" customFormat="false" ht="12.75" hidden="true" customHeight="false" outlineLevel="0" collapsed="false">
      <c r="A42" s="120" t="n">
        <f aca="false">A41+1</f>
        <v>36928</v>
      </c>
      <c r="B42" s="131" t="str">
        <f aca="false">INDEX('Master Data'!$A$2:$B$8,MATCH(WEEKDAY('ARG Gas Firm'!A42,3),'Master Data'!$A$2:$A$8,0),2)</f>
        <v>T</v>
      </c>
      <c r="D42" s="124" t="n">
        <v>-3538450.03699029</v>
      </c>
      <c r="E42" s="124" t="n">
        <v>757594.574890299</v>
      </c>
      <c r="F42" s="124" t="n">
        <v>0</v>
      </c>
      <c r="G42" s="124" t="n">
        <v>33680</v>
      </c>
      <c r="I42" s="124" t="n">
        <f aca="false">IF(MONTH($A42)=MONTH($A41),IF(G42=0,I41,G42),G42)</f>
        <v>33680</v>
      </c>
      <c r="J42" s="124" t="n">
        <f aca="false">IF(MONTH($A42)=MONTH($A41),SUM(I42-I41),I42)</f>
        <v>0</v>
      </c>
      <c r="K42" s="124" t="n">
        <f aca="false">IF(WEEKDAY(A42,3)&gt;4,0,(IF(A42&lt;K$2,0,IF(A42&lt;=K$3,1,0))))</f>
        <v>0</v>
      </c>
      <c r="L42" s="124" t="n">
        <f aca="false">J42*K42</f>
        <v>0</v>
      </c>
      <c r="M42" s="124" t="n">
        <f aca="false">SUM(J$6:J42)</f>
        <v>33690</v>
      </c>
      <c r="N42" s="124" t="n">
        <f aca="false">SUM(J$6:J42)</f>
        <v>33690</v>
      </c>
      <c r="P42" s="124" t="n">
        <f aca="false">D42/P$3</f>
        <v>-3.53845003699029</v>
      </c>
      <c r="Q42" s="124" t="n">
        <f aca="false">E42/P$3</f>
        <v>0.757594574890299</v>
      </c>
      <c r="R42" s="124" t="n">
        <f aca="false">F42/R$3</f>
        <v>0</v>
      </c>
      <c r="S42" s="126" t="n">
        <f aca="false">J42/$R$3</f>
        <v>0</v>
      </c>
      <c r="T42" s="126" t="n">
        <f aca="false">L42/$R$3</f>
        <v>0</v>
      </c>
      <c r="U42" s="126" t="n">
        <f aca="false">I42/$R$3</f>
        <v>33.68</v>
      </c>
      <c r="V42" s="126" t="n">
        <f aca="false">M42/$R$3</f>
        <v>33.69</v>
      </c>
      <c r="W42" s="126" t="n">
        <f aca="false">N42/$R$3</f>
        <v>33.69</v>
      </c>
    </row>
    <row r="43" customFormat="false" ht="12.75" hidden="true" customHeight="false" outlineLevel="0" collapsed="false">
      <c r="A43" s="120" t="n">
        <f aca="false">A42+1</f>
        <v>36929</v>
      </c>
      <c r="B43" s="131" t="str">
        <f aca="false">INDEX('Master Data'!$A$2:$B$8,MATCH(WEEKDAY('ARG Gas Firm'!A43,3),'Master Data'!$A$2:$A$8,0),2)</f>
        <v>W</v>
      </c>
      <c r="D43" s="124" t="n">
        <v>-3547895.77824648</v>
      </c>
      <c r="E43" s="124" t="n">
        <v>757693.342943502</v>
      </c>
      <c r="F43" s="124" t="n">
        <v>0</v>
      </c>
      <c r="G43" s="124" t="n">
        <v>33680</v>
      </c>
      <c r="I43" s="124" t="n">
        <f aca="false">IF(MONTH($A43)=MONTH($A42),IF(G43=0,I42,G43),G43)</f>
        <v>33680</v>
      </c>
      <c r="J43" s="124" t="n">
        <f aca="false">IF(MONTH($A43)=MONTH($A42),SUM(I43-I42),I43)</f>
        <v>0</v>
      </c>
      <c r="K43" s="124" t="n">
        <f aca="false">IF(WEEKDAY(A43,3)&gt;4,0,(IF(A43&lt;K$2,0,IF(A43&lt;=K$3,1,0))))</f>
        <v>0</v>
      </c>
      <c r="L43" s="124" t="n">
        <f aca="false">J43*K43</f>
        <v>0</v>
      </c>
      <c r="M43" s="124" t="n">
        <f aca="false">SUM(J$6:J43)</f>
        <v>33690</v>
      </c>
      <c r="N43" s="124" t="n">
        <f aca="false">SUM(J$6:J43)</f>
        <v>33690</v>
      </c>
      <c r="P43" s="124" t="n">
        <f aca="false">D43/P$3</f>
        <v>-3.54789577824648</v>
      </c>
      <c r="Q43" s="124" t="n">
        <f aca="false">E43/P$3</f>
        <v>0.757693342943502</v>
      </c>
      <c r="R43" s="124" t="n">
        <f aca="false">F43/R$3</f>
        <v>0</v>
      </c>
      <c r="S43" s="126" t="n">
        <f aca="false">J43/$R$3</f>
        <v>0</v>
      </c>
      <c r="T43" s="126" t="n">
        <f aca="false">L43/$R$3</f>
        <v>0</v>
      </c>
      <c r="U43" s="126" t="n">
        <f aca="false">I43/$R$3</f>
        <v>33.68</v>
      </c>
      <c r="V43" s="126" t="n">
        <f aca="false">M43/$R$3</f>
        <v>33.69</v>
      </c>
      <c r="W43" s="126" t="n">
        <f aca="false">N43/$R$3</f>
        <v>33.69</v>
      </c>
    </row>
    <row r="44" customFormat="false" ht="12.75" hidden="true" customHeight="false" outlineLevel="0" collapsed="false">
      <c r="A44" s="120" t="n">
        <f aca="false">A43+1</f>
        <v>36930</v>
      </c>
      <c r="B44" s="131" t="str">
        <f aca="false">INDEX('Master Data'!$A$2:$B$8,MATCH(WEEKDAY('ARG Gas Firm'!A44,3),'Master Data'!$A$2:$A$8,0),2)</f>
        <v>Th</v>
      </c>
      <c r="D44" s="124" t="n">
        <v>-3548105.90814613</v>
      </c>
      <c r="E44" s="124" t="n">
        <v>757785.137162639</v>
      </c>
      <c r="F44" s="124" t="n">
        <v>0</v>
      </c>
      <c r="G44" s="124" t="n">
        <v>33680</v>
      </c>
      <c r="I44" s="124" t="n">
        <f aca="false">IF(MONTH($A44)=MONTH($A43),IF(G44=0,I43,G44),G44)</f>
        <v>33680</v>
      </c>
      <c r="J44" s="124" t="n">
        <f aca="false">IF(MONTH($A44)=MONTH($A43),SUM(I44-I43),I44)</f>
        <v>0</v>
      </c>
      <c r="K44" s="124" t="n">
        <f aca="false">IF(WEEKDAY(A44,3)&gt;4,0,(IF(A44&lt;K$2,0,IF(A44&lt;=K$3,1,0))))</f>
        <v>0</v>
      </c>
      <c r="L44" s="124" t="n">
        <f aca="false">J44*K44</f>
        <v>0</v>
      </c>
      <c r="M44" s="124" t="n">
        <f aca="false">SUM(J$6:J44)</f>
        <v>33690</v>
      </c>
      <c r="N44" s="124" t="n">
        <f aca="false">SUM(J$6:J44)</f>
        <v>33690</v>
      </c>
      <c r="P44" s="124" t="n">
        <f aca="false">D44/P$3</f>
        <v>-3.54810590814613</v>
      </c>
      <c r="Q44" s="124" t="n">
        <f aca="false">E44/P$3</f>
        <v>0.757785137162639</v>
      </c>
      <c r="R44" s="124" t="n">
        <f aca="false">F44/R$3</f>
        <v>0</v>
      </c>
      <c r="S44" s="126" t="n">
        <f aca="false">J44/$R$3</f>
        <v>0</v>
      </c>
      <c r="T44" s="126" t="n">
        <f aca="false">L44/$R$3</f>
        <v>0</v>
      </c>
      <c r="U44" s="126" t="n">
        <f aca="false">I44/$R$3</f>
        <v>33.68</v>
      </c>
      <c r="V44" s="126" t="n">
        <f aca="false">M44/$R$3</f>
        <v>33.69</v>
      </c>
      <c r="W44" s="126" t="n">
        <f aca="false">N44/$R$3</f>
        <v>33.69</v>
      </c>
    </row>
    <row r="45" customFormat="false" ht="12.75" hidden="true" customHeight="false" outlineLevel="0" collapsed="false">
      <c r="A45" s="120" t="n">
        <f aca="false">A44+1</f>
        <v>36931</v>
      </c>
      <c r="B45" s="131" t="str">
        <f aca="false">INDEX('Master Data'!$A$2:$B$8,MATCH(WEEKDAY('ARG Gas Firm'!A45,3),'Master Data'!$A$2:$A$8,0),2)</f>
        <v>F</v>
      </c>
      <c r="D45" s="124" t="n">
        <v>-3562848.64520617</v>
      </c>
      <c r="E45" s="124" t="n">
        <v>757875.535969856</v>
      </c>
      <c r="F45" s="124" t="n">
        <v>0</v>
      </c>
      <c r="G45" s="124" t="n">
        <v>33682</v>
      </c>
      <c r="I45" s="124" t="n">
        <f aca="false">IF(MONTH($A45)=MONTH($A44),IF(G45=0,I44,G45),G45)</f>
        <v>33682</v>
      </c>
      <c r="J45" s="124" t="n">
        <f aca="false">IF(MONTH($A45)=MONTH($A44),SUM(I45-I44),I45)</f>
        <v>2</v>
      </c>
      <c r="K45" s="124" t="n">
        <f aca="false">IF(WEEKDAY(A45,3)&gt;4,0,(IF(A45&lt;K$2,0,IF(A45&lt;=K$3,1,0))))</f>
        <v>0</v>
      </c>
      <c r="L45" s="124" t="n">
        <f aca="false">J45*K45</f>
        <v>0</v>
      </c>
      <c r="M45" s="124" t="n">
        <f aca="false">SUM(J$6:J45)</f>
        <v>33692</v>
      </c>
      <c r="N45" s="124" t="n">
        <f aca="false">SUM(J$6:J45)</f>
        <v>33692</v>
      </c>
      <c r="P45" s="124" t="n">
        <f aca="false">D45/P$3</f>
        <v>-3.56284864520617</v>
      </c>
      <c r="Q45" s="124" t="n">
        <f aca="false">E45/P$3</f>
        <v>0.757875535969856</v>
      </c>
      <c r="R45" s="124" t="n">
        <f aca="false">F45/R$3</f>
        <v>0</v>
      </c>
      <c r="S45" s="126" t="n">
        <f aca="false">J45/$R$3</f>
        <v>0.002</v>
      </c>
      <c r="T45" s="126" t="n">
        <f aca="false">L45/$R$3</f>
        <v>0</v>
      </c>
      <c r="U45" s="126" t="n">
        <f aca="false">I45/$R$3</f>
        <v>33.682</v>
      </c>
      <c r="V45" s="126" t="n">
        <f aca="false">M45/$R$3</f>
        <v>33.692</v>
      </c>
      <c r="W45" s="126" t="n">
        <f aca="false">N45/$R$3</f>
        <v>33.692</v>
      </c>
    </row>
    <row r="46" customFormat="false" ht="12.75" hidden="true" customHeight="false" outlineLevel="0" collapsed="false">
      <c r="A46" s="120" t="n">
        <f aca="false">A45+1</f>
        <v>36932</v>
      </c>
      <c r="B46" s="131" t="str">
        <f aca="false">INDEX('Master Data'!$A$2:$B$8,MATCH(WEEKDAY('ARG Gas Firm'!A46,3),'Master Data'!$A$2:$A$8,0),2)</f>
        <v>Sa</v>
      </c>
      <c r="D46" s="124" t="n">
        <v>0</v>
      </c>
      <c r="E46" s="124" t="n">
        <v>0</v>
      </c>
      <c r="F46" s="124" t="n">
        <v>0</v>
      </c>
      <c r="G46" s="124" t="n">
        <v>0</v>
      </c>
      <c r="I46" s="124" t="n">
        <f aca="false">IF(MONTH($A46)=MONTH($A45),IF(G46=0,I45,G46),G46)</f>
        <v>33682</v>
      </c>
      <c r="J46" s="124" t="n">
        <f aca="false">IF(MONTH($A46)=MONTH($A45),SUM(I46-I45),I46)</f>
        <v>0</v>
      </c>
      <c r="K46" s="124" t="n">
        <f aca="false">IF(WEEKDAY(A46,3)&gt;4,0,(IF(A46&lt;K$2,0,IF(A46&lt;=K$3,1,0))))</f>
        <v>0</v>
      </c>
      <c r="L46" s="124" t="n">
        <f aca="false">J46*K46</f>
        <v>0</v>
      </c>
      <c r="M46" s="124" t="n">
        <f aca="false">SUM(J$6:J46)</f>
        <v>33692</v>
      </c>
      <c r="N46" s="124" t="n">
        <f aca="false">SUM(J$6:J46)</f>
        <v>33692</v>
      </c>
      <c r="P46" s="124" t="n">
        <f aca="false">D46/P$3</f>
        <v>0</v>
      </c>
      <c r="Q46" s="124" t="n">
        <f aca="false">E46/P$3</f>
        <v>0</v>
      </c>
      <c r="R46" s="124" t="n">
        <f aca="false">F46/R$3</f>
        <v>0</v>
      </c>
      <c r="S46" s="126" t="n">
        <f aca="false">J46/$R$3</f>
        <v>0</v>
      </c>
      <c r="T46" s="126" t="n">
        <f aca="false">L46/$R$3</f>
        <v>0</v>
      </c>
      <c r="U46" s="126" t="n">
        <f aca="false">I46/$R$3</f>
        <v>33.682</v>
      </c>
      <c r="V46" s="126" t="n">
        <f aca="false">M46/$R$3</f>
        <v>33.692</v>
      </c>
      <c r="W46" s="126" t="n">
        <f aca="false">N46/$R$3</f>
        <v>33.692</v>
      </c>
    </row>
    <row r="47" customFormat="false" ht="12.75" hidden="true" customHeight="false" outlineLevel="0" collapsed="false">
      <c r="A47" s="120" t="n">
        <f aca="false">A46+1</f>
        <v>36933</v>
      </c>
      <c r="B47" s="131" t="str">
        <f aca="false">INDEX('Master Data'!$A$2:$B$8,MATCH(WEEKDAY('ARG Gas Firm'!A47,3),'Master Data'!$A$2:$A$8,0),2)</f>
        <v>Su</v>
      </c>
      <c r="D47" s="124" t="n">
        <v>0</v>
      </c>
      <c r="E47" s="124" t="n">
        <v>0</v>
      </c>
      <c r="F47" s="124" t="n">
        <v>0</v>
      </c>
      <c r="G47" s="124" t="n">
        <v>0</v>
      </c>
      <c r="I47" s="124" t="n">
        <f aca="false">IF(MONTH($A47)=MONTH($A46),IF(G47=0,I46,G47),G47)</f>
        <v>33682</v>
      </c>
      <c r="J47" s="124" t="n">
        <f aca="false">IF(MONTH($A47)=MONTH($A46),SUM(I47-I46),I47)</f>
        <v>0</v>
      </c>
      <c r="K47" s="124" t="n">
        <f aca="false">IF(WEEKDAY(A47,3)&gt;4,0,(IF(A47&lt;K$2,0,IF(A47&lt;=K$3,1,0))))</f>
        <v>0</v>
      </c>
      <c r="L47" s="124" t="n">
        <f aca="false">J47*K47</f>
        <v>0</v>
      </c>
      <c r="M47" s="124" t="n">
        <f aca="false">SUM(J$6:J47)</f>
        <v>33692</v>
      </c>
      <c r="N47" s="124" t="n">
        <f aca="false">SUM(J$6:J47)</f>
        <v>33692</v>
      </c>
      <c r="P47" s="124" t="n">
        <f aca="false">D47/P$3</f>
        <v>0</v>
      </c>
      <c r="Q47" s="124" t="n">
        <f aca="false">E47/P$3</f>
        <v>0</v>
      </c>
      <c r="R47" s="124" t="n">
        <f aca="false">F47/R$3</f>
        <v>0</v>
      </c>
      <c r="S47" s="126" t="n">
        <f aca="false">J47/$R$3</f>
        <v>0</v>
      </c>
      <c r="T47" s="126" t="n">
        <f aca="false">L47/$R$3</f>
        <v>0</v>
      </c>
      <c r="U47" s="126" t="n">
        <f aca="false">I47/$R$3</f>
        <v>33.682</v>
      </c>
      <c r="V47" s="126" t="n">
        <f aca="false">M47/$R$3</f>
        <v>33.692</v>
      </c>
      <c r="W47" s="126" t="n">
        <f aca="false">N47/$R$3</f>
        <v>33.692</v>
      </c>
    </row>
    <row r="48" customFormat="false" ht="12.75" hidden="true" customHeight="false" outlineLevel="0" collapsed="false">
      <c r="A48" s="120" t="n">
        <f aca="false">A47+1</f>
        <v>36934</v>
      </c>
      <c r="B48" s="131" t="str">
        <f aca="false">INDEX('Master Data'!$A$2:$B$8,MATCH(WEEKDAY('ARG Gas Firm'!A48,3),'Master Data'!$A$2:$A$8,0),2)</f>
        <v>M</v>
      </c>
      <c r="D48" s="124" t="n">
        <v>-3562022.95143617</v>
      </c>
      <c r="E48" s="124" t="n">
        <v>758192.987153228</v>
      </c>
      <c r="F48" s="124" t="n">
        <v>0</v>
      </c>
      <c r="G48" s="124" t="n">
        <v>33634</v>
      </c>
      <c r="I48" s="124" t="n">
        <f aca="false">IF(MONTH($A48)=MONTH($A47),IF(G48=0,I47,G48),G48)</f>
        <v>33634</v>
      </c>
      <c r="J48" s="124" t="n">
        <f aca="false">IF(MONTH($A48)=MONTH($A47),SUM(I48-I47),I48)</f>
        <v>-48</v>
      </c>
      <c r="K48" s="124" t="n">
        <f aca="false">IF(WEEKDAY(A48,3)&gt;4,0,(IF(A48&lt;K$2,0,IF(A48&lt;=K$3,1,0))))</f>
        <v>0</v>
      </c>
      <c r="L48" s="124" t="n">
        <f aca="false">J48*K48</f>
        <v>-0</v>
      </c>
      <c r="M48" s="124" t="n">
        <f aca="false">SUM(J$6:J48)</f>
        <v>33644</v>
      </c>
      <c r="N48" s="124" t="n">
        <f aca="false">SUM(J$6:J48)</f>
        <v>33644</v>
      </c>
      <c r="P48" s="124" t="n">
        <f aca="false">D48/P$3</f>
        <v>-3.56202295143617</v>
      </c>
      <c r="Q48" s="124" t="n">
        <f aca="false">E48/P$3</f>
        <v>0.758192987153228</v>
      </c>
      <c r="R48" s="124" t="n">
        <f aca="false">F48/R$3</f>
        <v>0</v>
      </c>
      <c r="S48" s="126" t="n">
        <f aca="false">J48/$R$3</f>
        <v>-0.048</v>
      </c>
      <c r="T48" s="126" t="n">
        <f aca="false">L48/$R$3</f>
        <v>-0</v>
      </c>
      <c r="U48" s="126" t="n">
        <f aca="false">I48/$R$3</f>
        <v>33.634</v>
      </c>
      <c r="V48" s="126" t="n">
        <f aca="false">M48/$R$3</f>
        <v>33.644</v>
      </c>
      <c r="W48" s="126" t="n">
        <f aca="false">N48/$R$3</f>
        <v>33.644</v>
      </c>
    </row>
    <row r="49" customFormat="false" ht="12.75" hidden="true" customHeight="false" outlineLevel="0" collapsed="false">
      <c r="A49" s="120" t="n">
        <f aca="false">A48+1</f>
        <v>36935</v>
      </c>
      <c r="B49" s="131" t="str">
        <f aca="false">INDEX('Master Data'!$A$2:$B$8,MATCH(WEEKDAY('ARG Gas Firm'!A49,3),'Master Data'!$A$2:$A$8,0),2)</f>
        <v>T</v>
      </c>
      <c r="D49" s="124" t="n">
        <v>-3557126.73429952</v>
      </c>
      <c r="E49" s="124" t="n">
        <v>758290.660282031</v>
      </c>
      <c r="F49" s="124" t="n">
        <v>0</v>
      </c>
      <c r="G49" s="124" t="n">
        <v>57222</v>
      </c>
      <c r="I49" s="124" t="n">
        <f aca="false">IF(MONTH($A49)=MONTH($A48),IF(G49=0,I48,G49),G49)</f>
        <v>57222</v>
      </c>
      <c r="J49" s="124" t="n">
        <f aca="false">IF(MONTH($A49)=MONTH($A48),SUM(I49-I48),I49)</f>
        <v>23588</v>
      </c>
      <c r="K49" s="124" t="n">
        <f aca="false">IF(WEEKDAY(A49,3)&gt;4,0,(IF(A49&lt;K$2,0,IF(A49&lt;=K$3,1,0))))</f>
        <v>0</v>
      </c>
      <c r="L49" s="124" t="n">
        <f aca="false">J49*K49</f>
        <v>0</v>
      </c>
      <c r="M49" s="124" t="n">
        <f aca="false">SUM(J$6:J49)</f>
        <v>57232</v>
      </c>
      <c r="N49" s="124" t="n">
        <f aca="false">SUM(J$6:J49)</f>
        <v>57232</v>
      </c>
      <c r="P49" s="124" t="n">
        <f aca="false">D49/P$3</f>
        <v>-3.55712673429952</v>
      </c>
      <c r="Q49" s="124" t="n">
        <f aca="false">E49/P$3</f>
        <v>0.758290660282031</v>
      </c>
      <c r="R49" s="124" t="n">
        <f aca="false">F49/R$3</f>
        <v>0</v>
      </c>
      <c r="S49" s="126" t="n">
        <f aca="false">J49/$R$3</f>
        <v>23.588</v>
      </c>
      <c r="T49" s="126" t="n">
        <f aca="false">L49/$R$3</f>
        <v>0</v>
      </c>
      <c r="U49" s="126" t="n">
        <f aca="false">I49/$R$3</f>
        <v>57.222</v>
      </c>
      <c r="V49" s="126" t="n">
        <f aca="false">M49/$R$3</f>
        <v>57.232</v>
      </c>
      <c r="W49" s="126" t="n">
        <f aca="false">N49/$R$3</f>
        <v>57.232</v>
      </c>
    </row>
    <row r="50" customFormat="false" ht="12.75" hidden="true" customHeight="false" outlineLevel="0" collapsed="false">
      <c r="A50" s="120" t="n">
        <f aca="false">A49+1</f>
        <v>36936</v>
      </c>
      <c r="B50" s="131" t="str">
        <f aca="false">INDEX('Master Data'!$A$2:$B$8,MATCH(WEEKDAY('ARG Gas Firm'!A50,3),'Master Data'!$A$2:$A$8,0),2)</f>
        <v>W</v>
      </c>
      <c r="D50" s="124" t="n">
        <v>-3534482.1137683</v>
      </c>
      <c r="E50" s="124" t="n">
        <v>758390.889586401</v>
      </c>
      <c r="F50" s="124" t="n">
        <v>0</v>
      </c>
      <c r="G50" s="124" t="n">
        <v>56866</v>
      </c>
      <c r="I50" s="124" t="n">
        <f aca="false">IF(MONTH($A50)=MONTH($A49),IF(G50=0,I49,G50),G50)</f>
        <v>56866</v>
      </c>
      <c r="J50" s="124" t="n">
        <f aca="false">IF(MONTH($A50)=MONTH($A49),SUM(I50-I49),I50)</f>
        <v>-356</v>
      </c>
      <c r="K50" s="124" t="n">
        <f aca="false">IF(WEEKDAY(A50,3)&gt;4,0,(IF(A50&lt;K$2,0,IF(A50&lt;=K$3,1,0))))</f>
        <v>0</v>
      </c>
      <c r="L50" s="124" t="n">
        <f aca="false">J50*K50</f>
        <v>-0</v>
      </c>
      <c r="M50" s="124" t="n">
        <f aca="false">SUM(J$6:J50)</f>
        <v>56876</v>
      </c>
      <c r="N50" s="124" t="n">
        <f aca="false">SUM(J$6:J50)</f>
        <v>56876</v>
      </c>
      <c r="P50" s="124" t="n">
        <f aca="false">D50/P$3</f>
        <v>-3.5344821137683</v>
      </c>
      <c r="Q50" s="124" t="n">
        <f aca="false">E50/P$3</f>
        <v>0.758390889586401</v>
      </c>
      <c r="R50" s="124" t="n">
        <f aca="false">F50/R$3</f>
        <v>0</v>
      </c>
      <c r="S50" s="126" t="n">
        <f aca="false">J50/$R$3</f>
        <v>-0.356</v>
      </c>
      <c r="T50" s="126" t="n">
        <f aca="false">L50/$R$3</f>
        <v>-0</v>
      </c>
      <c r="U50" s="126" t="n">
        <f aca="false">I50/$R$3</f>
        <v>56.866</v>
      </c>
      <c r="V50" s="126" t="n">
        <f aca="false">M50/$R$3</f>
        <v>56.876</v>
      </c>
      <c r="W50" s="126" t="n">
        <f aca="false">N50/$R$3</f>
        <v>56.876</v>
      </c>
    </row>
    <row r="51" customFormat="false" ht="12.75" hidden="true" customHeight="false" outlineLevel="0" collapsed="false">
      <c r="A51" s="120" t="n">
        <f aca="false">A50+1</f>
        <v>36937</v>
      </c>
      <c r="B51" s="131" t="str">
        <f aca="false">INDEX('Master Data'!$A$2:$B$8,MATCH(WEEKDAY('ARG Gas Firm'!A51,3),'Master Data'!$A$2:$A$8,0),2)</f>
        <v>Th</v>
      </c>
      <c r="D51" s="124" t="n">
        <v>-3965283.76935966</v>
      </c>
      <c r="E51" s="124" t="n">
        <v>1115935.12721663</v>
      </c>
      <c r="F51" s="124" t="n">
        <v>0</v>
      </c>
      <c r="G51" s="124" t="n">
        <v>145651</v>
      </c>
      <c r="I51" s="124" t="n">
        <f aca="false">IF(MONTH($A51)=MONTH($A50),IF(G51=0,I50,G51),G51)</f>
        <v>145651</v>
      </c>
      <c r="J51" s="124" t="n">
        <f aca="false">IF(MONTH($A51)=MONTH($A50),SUM(I51-I50),I51)</f>
        <v>88785</v>
      </c>
      <c r="K51" s="124" t="n">
        <f aca="false">IF(WEEKDAY(A51,3)&gt;4,0,(IF(A51&lt;K$2,0,IF(A51&lt;=K$3,1,0))))</f>
        <v>0</v>
      </c>
      <c r="L51" s="124" t="n">
        <f aca="false">J51*K51</f>
        <v>0</v>
      </c>
      <c r="M51" s="124" t="n">
        <f aca="false">SUM(J$6:J51)</f>
        <v>145661</v>
      </c>
      <c r="N51" s="124" t="n">
        <f aca="false">SUM(J$6:J51)</f>
        <v>145661</v>
      </c>
      <c r="P51" s="124" t="n">
        <f aca="false">D51/P$3</f>
        <v>-3.96528376935966</v>
      </c>
      <c r="Q51" s="124" t="n">
        <f aca="false">E51/P$3</f>
        <v>1.11593512721663</v>
      </c>
      <c r="R51" s="124" t="n">
        <f aca="false">F51/R$3</f>
        <v>0</v>
      </c>
      <c r="S51" s="126" t="n">
        <f aca="false">J51/$R$3</f>
        <v>88.785</v>
      </c>
      <c r="T51" s="126" t="n">
        <f aca="false">L51/$R$3</f>
        <v>0</v>
      </c>
      <c r="U51" s="126" t="n">
        <f aca="false">I51/$R$3</f>
        <v>145.651</v>
      </c>
      <c r="V51" s="126" t="n">
        <f aca="false">M51/$R$3</f>
        <v>145.661</v>
      </c>
      <c r="W51" s="126" t="n">
        <f aca="false">N51/$R$3</f>
        <v>145.661</v>
      </c>
    </row>
    <row r="52" customFormat="false" ht="12.75" hidden="true" customHeight="false" outlineLevel="0" collapsed="false">
      <c r="A52" s="120" t="n">
        <f aca="false">A51+1</f>
        <v>36938</v>
      </c>
      <c r="B52" s="131" t="str">
        <f aca="false">INDEX('Master Data'!$A$2:$B$8,MATCH(WEEKDAY('ARG Gas Firm'!A52,3),'Master Data'!$A$2:$A$8,0),2)</f>
        <v>F</v>
      </c>
      <c r="D52" s="124" t="n">
        <v>-3991169.18252677</v>
      </c>
      <c r="E52" s="124" t="n">
        <v>1116222.52708303</v>
      </c>
      <c r="F52" s="124" t="n">
        <v>0</v>
      </c>
      <c r="G52" s="124" t="n">
        <v>145652</v>
      </c>
      <c r="I52" s="124" t="n">
        <f aca="false">IF(MONTH($A52)=MONTH($A51),IF(G52=0,I51,G52),G52)</f>
        <v>145652</v>
      </c>
      <c r="J52" s="124" t="n">
        <f aca="false">IF(MONTH($A52)=MONTH($A51),SUM(I52-I51),I52)</f>
        <v>1</v>
      </c>
      <c r="K52" s="124" t="n">
        <f aca="false">IF(WEEKDAY(A52,3)&gt;4,0,(IF(A52&lt;K$2,0,IF(A52&lt;=K$3,1,0))))</f>
        <v>0</v>
      </c>
      <c r="L52" s="124" t="n">
        <f aca="false">J52*K52</f>
        <v>0</v>
      </c>
      <c r="M52" s="124" t="n">
        <f aca="false">SUM(J$6:J52)</f>
        <v>145662</v>
      </c>
      <c r="N52" s="124" t="n">
        <f aca="false">SUM(J$6:J52)</f>
        <v>145662</v>
      </c>
      <c r="P52" s="124" t="n">
        <f aca="false">D52/P$3</f>
        <v>-3.99116918252677</v>
      </c>
      <c r="Q52" s="124" t="n">
        <f aca="false">E52/P$3</f>
        <v>1.11622252708303</v>
      </c>
      <c r="R52" s="124" t="n">
        <f aca="false">F52/R$3</f>
        <v>0</v>
      </c>
      <c r="S52" s="126" t="n">
        <f aca="false">J52/$R$3</f>
        <v>0.001</v>
      </c>
      <c r="T52" s="126" t="n">
        <f aca="false">L52/$R$3</f>
        <v>0</v>
      </c>
      <c r="U52" s="126" t="n">
        <f aca="false">I52/$R$3</f>
        <v>145.652</v>
      </c>
      <c r="V52" s="126" t="n">
        <f aca="false">M52/$R$3</f>
        <v>145.662</v>
      </c>
      <c r="W52" s="126" t="n">
        <f aca="false">N52/$R$3</f>
        <v>145.662</v>
      </c>
    </row>
    <row r="53" customFormat="false" ht="12.75" hidden="true" customHeight="false" outlineLevel="0" collapsed="false">
      <c r="A53" s="120" t="n">
        <f aca="false">A52+1</f>
        <v>36939</v>
      </c>
      <c r="B53" s="131" t="str">
        <f aca="false">INDEX('Master Data'!$A$2:$B$8,MATCH(WEEKDAY('ARG Gas Firm'!A53,3),'Master Data'!$A$2:$A$8,0),2)</f>
        <v>Sa</v>
      </c>
      <c r="D53" s="124" t="n">
        <v>0</v>
      </c>
      <c r="E53" s="124" t="n">
        <v>0</v>
      </c>
      <c r="F53" s="124" t="n">
        <v>0</v>
      </c>
      <c r="G53" s="124" t="n">
        <v>0</v>
      </c>
      <c r="I53" s="124" t="n">
        <f aca="false">IF(MONTH($A53)=MONTH($A52),IF(G53=0,I52,G53),G53)</f>
        <v>145652</v>
      </c>
      <c r="J53" s="124" t="n">
        <f aca="false">IF(MONTH($A53)=MONTH($A52),SUM(I53-I52),I53)</f>
        <v>0</v>
      </c>
      <c r="K53" s="124" t="n">
        <f aca="false">IF(WEEKDAY(A53,3)&gt;4,0,(IF(A53&lt;K$2,0,IF(A53&lt;=K$3,1,0))))</f>
        <v>0</v>
      </c>
      <c r="L53" s="124" t="n">
        <f aca="false">J53*K53</f>
        <v>0</v>
      </c>
      <c r="M53" s="124" t="n">
        <f aca="false">SUM(J$6:J53)</f>
        <v>145662</v>
      </c>
      <c r="N53" s="124" t="n">
        <f aca="false">SUM(J$6:J53)</f>
        <v>145662</v>
      </c>
      <c r="P53" s="124" t="n">
        <f aca="false">D53/P$3</f>
        <v>0</v>
      </c>
      <c r="Q53" s="124" t="n">
        <f aca="false">E53/P$3</f>
        <v>0</v>
      </c>
      <c r="R53" s="124" t="n">
        <f aca="false">F53/R$3</f>
        <v>0</v>
      </c>
      <c r="S53" s="126" t="n">
        <f aca="false">J53/$R$3</f>
        <v>0</v>
      </c>
      <c r="T53" s="126" t="n">
        <f aca="false">L53/$R$3</f>
        <v>0</v>
      </c>
      <c r="U53" s="126" t="n">
        <f aca="false">I53/$R$3</f>
        <v>145.652</v>
      </c>
      <c r="V53" s="126" t="n">
        <f aca="false">M53/$R$3</f>
        <v>145.662</v>
      </c>
      <c r="W53" s="126" t="n">
        <f aca="false">N53/$R$3</f>
        <v>145.662</v>
      </c>
    </row>
    <row r="54" customFormat="false" ht="12.75" hidden="true" customHeight="false" outlineLevel="0" collapsed="false">
      <c r="A54" s="120" t="n">
        <f aca="false">A53+1</f>
        <v>36940</v>
      </c>
      <c r="B54" s="131" t="str">
        <f aca="false">INDEX('Master Data'!$A$2:$B$8,MATCH(WEEKDAY('ARG Gas Firm'!A54,3),'Master Data'!$A$2:$A$8,0),2)</f>
        <v>Su</v>
      </c>
      <c r="D54" s="124" t="n">
        <v>0</v>
      </c>
      <c r="E54" s="124" t="n">
        <v>0</v>
      </c>
      <c r="F54" s="124" t="n">
        <v>0</v>
      </c>
      <c r="G54" s="124" t="n">
        <v>0</v>
      </c>
      <c r="I54" s="124" t="n">
        <f aca="false">IF(MONTH($A54)=MONTH($A53),IF(G54=0,I53,G54),G54)</f>
        <v>145652</v>
      </c>
      <c r="J54" s="124" t="n">
        <f aca="false">IF(MONTH($A54)=MONTH($A53),SUM(I54-I53),I54)</f>
        <v>0</v>
      </c>
      <c r="K54" s="124" t="n">
        <f aca="false">IF(WEEKDAY(A54,3)&gt;4,0,(IF(A54&lt;K$2,0,IF(A54&lt;=K$3,1,0))))</f>
        <v>0</v>
      </c>
      <c r="L54" s="124" t="n">
        <f aca="false">J54*K54</f>
        <v>0</v>
      </c>
      <c r="M54" s="124" t="n">
        <f aca="false">SUM(J$6:J54)</f>
        <v>145662</v>
      </c>
      <c r="N54" s="124" t="n">
        <f aca="false">SUM(J$6:J54)</f>
        <v>145662</v>
      </c>
      <c r="P54" s="124" t="n">
        <f aca="false">D54/P$3</f>
        <v>0</v>
      </c>
      <c r="Q54" s="124" t="n">
        <f aca="false">E54/P$3</f>
        <v>0</v>
      </c>
      <c r="R54" s="124" t="n">
        <f aca="false">F54/R$3</f>
        <v>0</v>
      </c>
      <c r="S54" s="126" t="n">
        <f aca="false">J54/$R$3</f>
        <v>0</v>
      </c>
      <c r="T54" s="126" t="n">
        <f aca="false">L54/$R$3</f>
        <v>0</v>
      </c>
      <c r="U54" s="126" t="n">
        <f aca="false">I54/$R$3</f>
        <v>145.652</v>
      </c>
      <c r="V54" s="126" t="n">
        <f aca="false">M54/$R$3</f>
        <v>145.662</v>
      </c>
      <c r="W54" s="126" t="n">
        <f aca="false">N54/$R$3</f>
        <v>145.662</v>
      </c>
    </row>
    <row r="55" customFormat="false" ht="12.75" hidden="true" customHeight="false" outlineLevel="0" collapsed="false">
      <c r="A55" s="120" t="n">
        <f aca="false">A54+1</f>
        <v>36941</v>
      </c>
      <c r="B55" s="131" t="str">
        <f aca="false">INDEX('Master Data'!$A$2:$B$8,MATCH(WEEKDAY('ARG Gas Firm'!A55,3),'Master Data'!$A$2:$A$8,0),2)</f>
        <v>M</v>
      </c>
      <c r="D55" s="124" t="n">
        <v>0</v>
      </c>
      <c r="E55" s="124" t="n">
        <v>0</v>
      </c>
      <c r="F55" s="124" t="n">
        <v>0</v>
      </c>
      <c r="G55" s="124" t="n">
        <v>0</v>
      </c>
      <c r="I55" s="124" t="n">
        <f aca="false">IF(MONTH($A55)=MONTH($A54),IF(G55=0,I54,G55),G55)</f>
        <v>145652</v>
      </c>
      <c r="J55" s="124" t="n">
        <f aca="false">IF(MONTH($A55)=MONTH($A54),SUM(I55-I54),I55)</f>
        <v>0</v>
      </c>
      <c r="K55" s="124" t="n">
        <f aca="false">IF(WEEKDAY(A55,3)&gt;4,0,(IF(A55&lt;K$2,0,IF(A55&lt;=K$3,1,0))))</f>
        <v>0</v>
      </c>
      <c r="L55" s="124" t="n">
        <f aca="false">J55*K55</f>
        <v>0</v>
      </c>
      <c r="M55" s="124" t="n">
        <f aca="false">SUM(J$6:J55)</f>
        <v>145662</v>
      </c>
      <c r="N55" s="124" t="n">
        <f aca="false">SUM(J$6:J55)</f>
        <v>145662</v>
      </c>
      <c r="P55" s="124" t="n">
        <f aca="false">D55/P$3</f>
        <v>0</v>
      </c>
      <c r="Q55" s="124" t="n">
        <f aca="false">E55/P$3</f>
        <v>0</v>
      </c>
      <c r="R55" s="124" t="n">
        <f aca="false">F55/R$3</f>
        <v>0</v>
      </c>
      <c r="S55" s="126" t="n">
        <f aca="false">J55/$R$3</f>
        <v>0</v>
      </c>
      <c r="T55" s="126" t="n">
        <f aca="false">L55/$R$3</f>
        <v>0</v>
      </c>
      <c r="U55" s="126" t="n">
        <f aca="false">I55/$R$3</f>
        <v>145.652</v>
      </c>
      <c r="V55" s="126" t="n">
        <f aca="false">M55/$R$3</f>
        <v>145.662</v>
      </c>
      <c r="W55" s="126" t="n">
        <f aca="false">N55/$R$3</f>
        <v>145.662</v>
      </c>
    </row>
    <row r="56" customFormat="false" ht="12.75" hidden="true" customHeight="false" outlineLevel="0" collapsed="false">
      <c r="A56" s="120" t="n">
        <f aca="false">A55+1</f>
        <v>36942</v>
      </c>
      <c r="B56" s="131" t="str">
        <f aca="false">INDEX('Master Data'!$A$2:$B$8,MATCH(WEEKDAY('ARG Gas Firm'!A56,3),'Master Data'!$A$2:$A$8,0),2)</f>
        <v>T</v>
      </c>
      <c r="D56" s="124" t="n">
        <v>-3995213.7808889</v>
      </c>
      <c r="E56" s="124" t="n">
        <v>1116881.63937881</v>
      </c>
      <c r="F56" s="124" t="n">
        <v>0</v>
      </c>
      <c r="G56" s="124" t="n">
        <v>145653</v>
      </c>
      <c r="I56" s="124" t="n">
        <f aca="false">IF(MONTH($A56)=MONTH($A55),IF(G56=0,I55,G56),G56)</f>
        <v>145653</v>
      </c>
      <c r="J56" s="124" t="n">
        <f aca="false">IF(MONTH($A56)=MONTH($A55),SUM(I56-I55),I56)</f>
        <v>1</v>
      </c>
      <c r="K56" s="124" t="n">
        <f aca="false">IF(WEEKDAY(A56,3)&gt;4,0,(IF(A56&lt;K$2,0,IF(A56&lt;=K$3,1,0))))</f>
        <v>0</v>
      </c>
      <c r="L56" s="124" t="n">
        <f aca="false">J56*K56</f>
        <v>0</v>
      </c>
      <c r="M56" s="124" t="n">
        <f aca="false">SUM(J$6:J56)</f>
        <v>145663</v>
      </c>
      <c r="N56" s="124" t="n">
        <f aca="false">SUM(J$6:J56)</f>
        <v>145663</v>
      </c>
      <c r="P56" s="124" t="n">
        <f aca="false">D56/P$3</f>
        <v>-3.9952137808889</v>
      </c>
      <c r="Q56" s="124" t="n">
        <f aca="false">E56/P$3</f>
        <v>1.11688163937881</v>
      </c>
      <c r="R56" s="124" t="n">
        <f aca="false">F56/R$3</f>
        <v>0</v>
      </c>
      <c r="S56" s="126" t="n">
        <f aca="false">J56/$R$3</f>
        <v>0.001</v>
      </c>
      <c r="T56" s="126" t="n">
        <f aca="false">L56/$R$3</f>
        <v>0</v>
      </c>
      <c r="U56" s="126" t="n">
        <f aca="false">I56/$R$3</f>
        <v>145.653</v>
      </c>
      <c r="V56" s="126" t="n">
        <f aca="false">M56/$R$3</f>
        <v>145.663</v>
      </c>
      <c r="W56" s="126" t="n">
        <f aca="false">N56/$R$3</f>
        <v>145.663</v>
      </c>
    </row>
    <row r="57" customFormat="false" ht="12.75" hidden="true" customHeight="false" outlineLevel="0" collapsed="false">
      <c r="A57" s="120" t="n">
        <f aca="false">A56+1</f>
        <v>36943</v>
      </c>
      <c r="B57" s="131" t="str">
        <f aca="false">INDEX('Master Data'!$A$2:$B$8,MATCH(WEEKDAY('ARG Gas Firm'!A57,3),'Master Data'!$A$2:$A$8,0),2)</f>
        <v>W</v>
      </c>
      <c r="D57" s="124" t="n">
        <v>-3990984.59297026</v>
      </c>
      <c r="E57" s="124" t="n">
        <v>1117095.02639844</v>
      </c>
      <c r="F57" s="124" t="n">
        <v>0</v>
      </c>
      <c r="G57" s="124" t="n">
        <v>145653</v>
      </c>
      <c r="I57" s="124" t="n">
        <f aca="false">IF(MONTH($A57)=MONTH($A56),IF(G57=0,I56,G57),G57)</f>
        <v>145653</v>
      </c>
      <c r="J57" s="124" t="n">
        <f aca="false">IF(MONTH($A57)=MONTH($A56),SUM(I57-I56),I57)</f>
        <v>0</v>
      </c>
      <c r="K57" s="124" t="n">
        <f aca="false">IF(WEEKDAY(A57,3)&gt;4,0,(IF(A57&lt;K$2,0,IF(A57&lt;=K$3,1,0))))</f>
        <v>0</v>
      </c>
      <c r="L57" s="124" t="n">
        <f aca="false">J57*K57</f>
        <v>0</v>
      </c>
      <c r="M57" s="124" t="n">
        <f aca="false">SUM(J$6:J57)</f>
        <v>145663</v>
      </c>
      <c r="N57" s="124" t="n">
        <f aca="false">SUM(J$6:J57)</f>
        <v>145663</v>
      </c>
      <c r="P57" s="124" t="n">
        <f aca="false">D57/P$3</f>
        <v>-3.99098459297026</v>
      </c>
      <c r="Q57" s="124" t="n">
        <f aca="false">E57/P$3</f>
        <v>1.11709502639844</v>
      </c>
      <c r="R57" s="124" t="n">
        <f aca="false">F57/R$3</f>
        <v>0</v>
      </c>
      <c r="S57" s="126" t="n">
        <f aca="false">J57/$R$3</f>
        <v>0</v>
      </c>
      <c r="T57" s="126" t="n">
        <f aca="false">L57/$R$3</f>
        <v>0</v>
      </c>
      <c r="U57" s="126" t="n">
        <f aca="false">I57/$R$3</f>
        <v>145.653</v>
      </c>
      <c r="V57" s="126" t="n">
        <f aca="false">M57/$R$3</f>
        <v>145.663</v>
      </c>
      <c r="W57" s="126" t="n">
        <f aca="false">N57/$R$3</f>
        <v>145.663</v>
      </c>
    </row>
    <row r="58" customFormat="false" ht="12.75" hidden="true" customHeight="false" outlineLevel="0" collapsed="false">
      <c r="A58" s="120" t="n">
        <f aca="false">A57+1</f>
        <v>36944</v>
      </c>
      <c r="B58" s="131" t="str">
        <f aca="false">INDEX('Master Data'!$A$2:$B$8,MATCH(WEEKDAY('ARG Gas Firm'!A58,3),'Master Data'!$A$2:$A$8,0),2)</f>
        <v>Th</v>
      </c>
      <c r="D58" s="124" t="n">
        <v>-3982792.52195687</v>
      </c>
      <c r="E58" s="124" t="n">
        <v>1117317.89324373</v>
      </c>
      <c r="F58" s="124" t="n">
        <v>0</v>
      </c>
      <c r="G58" s="124" t="n">
        <v>145653</v>
      </c>
      <c r="I58" s="124" t="n">
        <f aca="false">IF(MONTH($A58)=MONTH($A57),IF(G58=0,I57,G58),G58)</f>
        <v>145653</v>
      </c>
      <c r="J58" s="124" t="n">
        <f aca="false">IF(MONTH($A58)=MONTH($A57),SUM(I58-I57),I58)</f>
        <v>0</v>
      </c>
      <c r="K58" s="124" t="n">
        <f aca="false">IF(WEEKDAY(A58,3)&gt;4,0,(IF(A58&lt;K$2,0,IF(A58&lt;=K$3,1,0))))</f>
        <v>0</v>
      </c>
      <c r="L58" s="124" t="n">
        <f aca="false">J58*K58</f>
        <v>0</v>
      </c>
      <c r="M58" s="124" t="n">
        <f aca="false">SUM(J$6:J58)</f>
        <v>145663</v>
      </c>
      <c r="N58" s="124" t="n">
        <f aca="false">SUM(J$6:J58)</f>
        <v>145663</v>
      </c>
      <c r="P58" s="124" t="n">
        <f aca="false">D58/P$3</f>
        <v>-3.98279252195687</v>
      </c>
      <c r="Q58" s="124" t="n">
        <f aca="false">E58/P$3</f>
        <v>1.11731789324373</v>
      </c>
      <c r="R58" s="124" t="n">
        <f aca="false">F58/R$3</f>
        <v>0</v>
      </c>
      <c r="S58" s="126" t="n">
        <f aca="false">J58/$R$3</f>
        <v>0</v>
      </c>
      <c r="T58" s="126" t="n">
        <f aca="false">L58/$R$3</f>
        <v>0</v>
      </c>
      <c r="U58" s="126" t="n">
        <f aca="false">I58/$R$3</f>
        <v>145.653</v>
      </c>
      <c r="V58" s="126" t="n">
        <f aca="false">M58/$R$3</f>
        <v>145.663</v>
      </c>
      <c r="W58" s="126" t="n">
        <f aca="false">N58/$R$3</f>
        <v>145.663</v>
      </c>
    </row>
    <row r="59" customFormat="false" ht="12.75" hidden="true" customHeight="false" outlineLevel="0" collapsed="false">
      <c r="A59" s="120" t="n">
        <f aca="false">A58+1</f>
        <v>36945</v>
      </c>
      <c r="B59" s="131" t="str">
        <f aca="false">INDEX('Master Data'!$A$2:$B$8,MATCH(WEEKDAY('ARG Gas Firm'!A59,3),'Master Data'!$A$2:$A$8,0),2)</f>
        <v>F</v>
      </c>
      <c r="D59" s="124" t="n">
        <v>-3994771.85900289</v>
      </c>
      <c r="E59" s="124" t="n">
        <v>1117650.9010197</v>
      </c>
      <c r="F59" s="124" t="n">
        <v>0</v>
      </c>
      <c r="G59" s="124" t="n">
        <v>145654</v>
      </c>
      <c r="I59" s="124" t="n">
        <f aca="false">IF(MONTH($A59)=MONTH($A58),IF(G59=0,I58,G59),G59)</f>
        <v>145654</v>
      </c>
      <c r="J59" s="124" t="n">
        <f aca="false">IF(MONTH($A59)=MONTH($A58),SUM(I59-I58),I59)</f>
        <v>1</v>
      </c>
      <c r="K59" s="124" t="n">
        <f aca="false">IF(WEEKDAY(A59,3)&gt;4,0,(IF(A59&lt;K$2,0,IF(A59&lt;=K$3,1,0))))</f>
        <v>0</v>
      </c>
      <c r="L59" s="124" t="n">
        <f aca="false">J59*K59</f>
        <v>0</v>
      </c>
      <c r="M59" s="124" t="n">
        <f aca="false">SUM(J$6:J59)</f>
        <v>145664</v>
      </c>
      <c r="N59" s="124" t="n">
        <f aca="false">SUM(J$6:J59)</f>
        <v>145664</v>
      </c>
      <c r="P59" s="124" t="n">
        <f aca="false">D59/P$3</f>
        <v>-3.99477185900289</v>
      </c>
      <c r="Q59" s="124" t="n">
        <f aca="false">E59/P$3</f>
        <v>1.1176509010197</v>
      </c>
      <c r="R59" s="124" t="n">
        <f aca="false">F59/R$3</f>
        <v>0</v>
      </c>
      <c r="S59" s="126" t="n">
        <f aca="false">J59/$R$3</f>
        <v>0.001</v>
      </c>
      <c r="T59" s="126" t="n">
        <f aca="false">L59/$R$3</f>
        <v>0</v>
      </c>
      <c r="U59" s="126" t="n">
        <f aca="false">I59/$R$3</f>
        <v>145.654</v>
      </c>
      <c r="V59" s="126" t="n">
        <f aca="false">M59/$R$3</f>
        <v>145.664</v>
      </c>
      <c r="W59" s="126" t="n">
        <f aca="false">N59/$R$3</f>
        <v>145.664</v>
      </c>
    </row>
    <row r="60" customFormat="false" ht="12.75" hidden="true" customHeight="false" outlineLevel="0" collapsed="false">
      <c r="A60" s="120" t="n">
        <f aca="false">A59+1</f>
        <v>36946</v>
      </c>
      <c r="B60" s="131" t="str">
        <f aca="false">INDEX('Master Data'!$A$2:$B$8,MATCH(WEEKDAY('ARG Gas Firm'!A60,3),'Master Data'!$A$2:$A$8,0),2)</f>
        <v>Sa</v>
      </c>
      <c r="D60" s="124" t="n">
        <v>0</v>
      </c>
      <c r="E60" s="124" t="n">
        <v>0</v>
      </c>
      <c r="F60" s="124" t="n">
        <v>0</v>
      </c>
      <c r="G60" s="124" t="n">
        <v>0</v>
      </c>
      <c r="I60" s="124" t="n">
        <f aca="false">IF(MONTH($A60)=MONTH($A59),IF(G60=0,I59,G60),G60)</f>
        <v>145654</v>
      </c>
      <c r="J60" s="124" t="n">
        <f aca="false">IF(MONTH($A60)=MONTH($A59),SUM(I60-I59),I60)</f>
        <v>0</v>
      </c>
      <c r="K60" s="124" t="n">
        <f aca="false">IF(WEEKDAY(A60,3)&gt;4,0,(IF(A60&lt;K$2,0,IF(A60&lt;=K$3,1,0))))</f>
        <v>0</v>
      </c>
      <c r="L60" s="124" t="n">
        <f aca="false">J60*K60</f>
        <v>0</v>
      </c>
      <c r="M60" s="124" t="n">
        <f aca="false">SUM(J$6:J60)</f>
        <v>145664</v>
      </c>
      <c r="N60" s="124" t="n">
        <f aca="false">SUM(J$6:J60)</f>
        <v>145664</v>
      </c>
      <c r="P60" s="124" t="n">
        <f aca="false">D60/P$3</f>
        <v>0</v>
      </c>
      <c r="Q60" s="124" t="n">
        <f aca="false">E60/P$3</f>
        <v>0</v>
      </c>
      <c r="R60" s="124" t="n">
        <f aca="false">F60/R$3</f>
        <v>0</v>
      </c>
      <c r="S60" s="126" t="n">
        <f aca="false">J60/$R$3</f>
        <v>0</v>
      </c>
      <c r="T60" s="126" t="n">
        <f aca="false">L60/$R$3</f>
        <v>0</v>
      </c>
      <c r="U60" s="126" t="n">
        <f aca="false">I60/$R$3</f>
        <v>145.654</v>
      </c>
      <c r="V60" s="126" t="n">
        <f aca="false">M60/$R$3</f>
        <v>145.664</v>
      </c>
      <c r="W60" s="126" t="n">
        <f aca="false">N60/$R$3</f>
        <v>145.664</v>
      </c>
    </row>
    <row r="61" customFormat="false" ht="12.75" hidden="true" customHeight="false" outlineLevel="0" collapsed="false">
      <c r="A61" s="120" t="n">
        <f aca="false">A60+1</f>
        <v>36947</v>
      </c>
      <c r="B61" s="131" t="str">
        <f aca="false">INDEX('Master Data'!$A$2:$B$8,MATCH(WEEKDAY('ARG Gas Firm'!A61,3),'Master Data'!$A$2:$A$8,0),2)</f>
        <v>Su</v>
      </c>
      <c r="D61" s="124" t="n">
        <v>0</v>
      </c>
      <c r="E61" s="124" t="n">
        <v>0</v>
      </c>
      <c r="F61" s="124" t="n">
        <v>0</v>
      </c>
      <c r="G61" s="124" t="n">
        <v>0</v>
      </c>
      <c r="I61" s="124" t="n">
        <f aca="false">IF(MONTH($A61)=MONTH($A60),IF(G61=0,I60,G61),G61)</f>
        <v>145654</v>
      </c>
      <c r="J61" s="124" t="n">
        <f aca="false">IF(MONTH($A61)=MONTH($A60),SUM(I61-I60),I61)</f>
        <v>0</v>
      </c>
      <c r="K61" s="124" t="n">
        <f aca="false">IF(WEEKDAY(A61,3)&gt;4,0,(IF(A61&lt;K$2,0,IF(A61&lt;=K$3,1,0))))</f>
        <v>0</v>
      </c>
      <c r="L61" s="124" t="n">
        <f aca="false">J61*K61</f>
        <v>0</v>
      </c>
      <c r="M61" s="124" t="n">
        <f aca="false">SUM(J$6:J61)</f>
        <v>145664</v>
      </c>
      <c r="N61" s="124" t="n">
        <f aca="false">SUM(J$6:J61)</f>
        <v>145664</v>
      </c>
      <c r="P61" s="124" t="n">
        <f aca="false">D61/P$3</f>
        <v>0</v>
      </c>
      <c r="Q61" s="124" t="n">
        <f aca="false">E61/P$3</f>
        <v>0</v>
      </c>
      <c r="R61" s="124" t="n">
        <f aca="false">F61/R$3</f>
        <v>0</v>
      </c>
      <c r="S61" s="126" t="n">
        <f aca="false">J61/$R$3</f>
        <v>0</v>
      </c>
      <c r="T61" s="126" t="n">
        <f aca="false">L61/$R$3</f>
        <v>0</v>
      </c>
      <c r="U61" s="126" t="n">
        <f aca="false">I61/$R$3</f>
        <v>145.654</v>
      </c>
      <c r="V61" s="126" t="n">
        <f aca="false">M61/$R$3</f>
        <v>145.664</v>
      </c>
      <c r="W61" s="126" t="n">
        <f aca="false">N61/$R$3</f>
        <v>145.664</v>
      </c>
    </row>
    <row r="62" customFormat="false" ht="12.75" hidden="true" customHeight="false" outlineLevel="0" collapsed="false">
      <c r="A62" s="120" t="n">
        <f aca="false">A61+1</f>
        <v>36948</v>
      </c>
      <c r="B62" s="131" t="str">
        <f aca="false">INDEX('Master Data'!$A$2:$B$8,MATCH(WEEKDAY('ARG Gas Firm'!A62,3),'Master Data'!$A$2:$A$8,0),2)</f>
        <v>M</v>
      </c>
      <c r="D62" s="124" t="n">
        <v>-4008935.38107417</v>
      </c>
      <c r="E62" s="124" t="n">
        <v>1118299.76713426</v>
      </c>
      <c r="F62" s="124" t="n">
        <v>0</v>
      </c>
      <c r="G62" s="124" t="n">
        <v>145655</v>
      </c>
      <c r="I62" s="124" t="n">
        <f aca="false">IF(MONTH($A62)=MONTH($A61),IF(G62=0,I61,G62),G62)</f>
        <v>145655</v>
      </c>
      <c r="J62" s="124" t="n">
        <f aca="false">IF(MONTH($A62)=MONTH($A61),SUM(I62-I61),I62)</f>
        <v>1</v>
      </c>
      <c r="K62" s="124" t="n">
        <f aca="false">IF(WEEKDAY(A62,3)&gt;4,0,(IF(A62&lt;K$2,0,IF(A62&lt;=K$3,1,0))))</f>
        <v>0</v>
      </c>
      <c r="L62" s="124" t="n">
        <f aca="false">J62*K62</f>
        <v>0</v>
      </c>
      <c r="M62" s="124" t="n">
        <f aca="false">SUM(J$6:J62)</f>
        <v>145665</v>
      </c>
      <c r="N62" s="124" t="n">
        <f aca="false">SUM(J$6:J62)</f>
        <v>145665</v>
      </c>
      <c r="P62" s="124" t="n">
        <f aca="false">D62/P$3</f>
        <v>-4.00893538107417</v>
      </c>
      <c r="Q62" s="124" t="n">
        <f aca="false">E62/P$3</f>
        <v>1.11829976713426</v>
      </c>
      <c r="R62" s="124" t="n">
        <f aca="false">F62/R$3</f>
        <v>0</v>
      </c>
      <c r="S62" s="126" t="n">
        <f aca="false">J62/$R$3</f>
        <v>0.001</v>
      </c>
      <c r="T62" s="126" t="n">
        <f aca="false">L62/$R$3</f>
        <v>0</v>
      </c>
      <c r="U62" s="126" t="n">
        <f aca="false">I62/$R$3</f>
        <v>145.655</v>
      </c>
      <c r="V62" s="126" t="n">
        <f aca="false">M62/$R$3</f>
        <v>145.665</v>
      </c>
      <c r="W62" s="126" t="n">
        <f aca="false">N62/$R$3</f>
        <v>145.665</v>
      </c>
    </row>
    <row r="63" customFormat="false" ht="12.75" hidden="true" customHeight="false" outlineLevel="0" collapsed="false">
      <c r="A63" s="120" t="n">
        <f aca="false">A62+1</f>
        <v>36949</v>
      </c>
      <c r="B63" s="131" t="str">
        <f aca="false">INDEX('Master Data'!$A$2:$B$8,MATCH(WEEKDAY('ARG Gas Firm'!A63,3),'Master Data'!$A$2:$A$8,0),2)</f>
        <v>T</v>
      </c>
      <c r="D63" s="124" t="n">
        <v>-4033517.02125013</v>
      </c>
      <c r="E63" s="124" t="n">
        <v>1118551.85003119</v>
      </c>
      <c r="F63" s="124" t="n">
        <v>0</v>
      </c>
      <c r="G63" s="124" t="n">
        <v>145654</v>
      </c>
      <c r="I63" s="124" t="n">
        <f aca="false">IF(MONTH($A63)=MONTH($A62),IF(G63=0,I62,G63),G63)</f>
        <v>145654</v>
      </c>
      <c r="J63" s="124" t="n">
        <f aca="false">IF(MONTH($A63)=MONTH($A62),SUM(I63-I62),I63)</f>
        <v>-1</v>
      </c>
      <c r="K63" s="124" t="n">
        <f aca="false">IF(WEEKDAY(A63,3)&gt;4,0,(IF(A63&lt;K$2,0,IF(A63&lt;=K$3,1,0))))</f>
        <v>0</v>
      </c>
      <c r="L63" s="124" t="n">
        <f aca="false">J63*K63</f>
        <v>-0</v>
      </c>
      <c r="M63" s="124" t="n">
        <f aca="false">SUM(J$6:J63)</f>
        <v>145664</v>
      </c>
      <c r="N63" s="124" t="n">
        <f aca="false">SUM(J$6:J63)</f>
        <v>145664</v>
      </c>
      <c r="P63" s="124" t="n">
        <f aca="false">D63/P$3</f>
        <v>-4.03351702125013</v>
      </c>
      <c r="Q63" s="124" t="n">
        <f aca="false">E63/P$3</f>
        <v>1.11855185003119</v>
      </c>
      <c r="R63" s="124" t="n">
        <f aca="false">F63/R$3</f>
        <v>0</v>
      </c>
      <c r="S63" s="126" t="n">
        <f aca="false">J63/$R$3</f>
        <v>-0.001</v>
      </c>
      <c r="T63" s="126" t="n">
        <f aca="false">L63/$R$3</f>
        <v>-0</v>
      </c>
      <c r="U63" s="126" t="n">
        <f aca="false">I63/$R$3</f>
        <v>145.654</v>
      </c>
      <c r="V63" s="126" t="n">
        <f aca="false">M63/$R$3</f>
        <v>145.664</v>
      </c>
      <c r="W63" s="126" t="n">
        <f aca="false">N63/$R$3</f>
        <v>145.664</v>
      </c>
    </row>
    <row r="64" customFormat="false" ht="12.75" hidden="false" customHeight="false" outlineLevel="0" collapsed="false">
      <c r="A64" s="120" t="n">
        <f aca="false">A63+1</f>
        <v>36950</v>
      </c>
      <c r="B64" s="131" t="str">
        <f aca="false">INDEX('Master Data'!$A$2:$B$8,MATCH(WEEKDAY('ARG Gas Firm'!A64,3),'Master Data'!$A$2:$A$8,0),2)</f>
        <v>W</v>
      </c>
      <c r="D64" s="124" t="n">
        <v>-3953668.64783753</v>
      </c>
      <c r="E64" s="124" t="n">
        <v>1035490.73634777</v>
      </c>
      <c r="F64" s="124" t="n">
        <v>0</v>
      </c>
      <c r="G64" s="124" t="n">
        <v>145654</v>
      </c>
      <c r="I64" s="124" t="n">
        <f aca="false">IF(MONTH($A64)=MONTH($A63),IF(G64=0,I63,G64),G64)</f>
        <v>145654</v>
      </c>
      <c r="J64" s="124" t="n">
        <f aca="false">IF(MONTH($A64)=MONTH($A63),SUM(I64-I63),I64)</f>
        <v>0</v>
      </c>
      <c r="K64" s="124" t="n">
        <f aca="false">IF(WEEKDAY(A64,3)&gt;4,0,(IF(A64&lt;K$2,0,IF(A64&lt;=K$3,1,0))))</f>
        <v>0</v>
      </c>
      <c r="L64" s="124" t="n">
        <f aca="false">J64*K64</f>
        <v>0</v>
      </c>
      <c r="M64" s="124" t="n">
        <f aca="false">SUM(J$6:J64)</f>
        <v>145664</v>
      </c>
      <c r="N64" s="124" t="n">
        <f aca="false">SUM(J$6:J64)</f>
        <v>145664</v>
      </c>
      <c r="P64" s="124" t="n">
        <f aca="false">D64/P$3</f>
        <v>-3.95366864783753</v>
      </c>
      <c r="Q64" s="124" t="n">
        <f aca="false">E64/P$3</f>
        <v>1.03549073634777</v>
      </c>
      <c r="R64" s="124" t="n">
        <f aca="false">F64/R$3</f>
        <v>0</v>
      </c>
      <c r="S64" s="126" t="n">
        <f aca="false">J64/$R$3</f>
        <v>0</v>
      </c>
      <c r="T64" s="126" t="n">
        <f aca="false">L64/$R$3</f>
        <v>0</v>
      </c>
      <c r="U64" s="126" t="n">
        <f aca="false">I64/$R$3</f>
        <v>145.654</v>
      </c>
      <c r="V64" s="126" t="n">
        <f aca="false">M64/$R$3</f>
        <v>145.664</v>
      </c>
      <c r="W64" s="126" t="n">
        <f aca="false">N64/$R$3</f>
        <v>145.664</v>
      </c>
    </row>
    <row r="65" customFormat="false" ht="12.75" hidden="true" customHeight="false" outlineLevel="0" collapsed="false">
      <c r="A65" s="120" t="n">
        <f aca="false">A64+1</f>
        <v>36951</v>
      </c>
      <c r="B65" s="131" t="str">
        <f aca="false">INDEX('Master Data'!$A$2:$B$8,MATCH(WEEKDAY('ARG Gas Firm'!A65,3),'Master Data'!$A$2:$A$8,0),2)</f>
        <v>Th</v>
      </c>
      <c r="D65" s="124" t="n">
        <v>-3961512.24425475</v>
      </c>
      <c r="E65" s="124" t="n">
        <v>1035560.69089138</v>
      </c>
      <c r="F65" s="124" t="n">
        <v>0</v>
      </c>
      <c r="G65" s="124" t="n">
        <v>0</v>
      </c>
      <c r="I65" s="124" t="n">
        <f aca="false">IF(MONTH($A65)=MONTH($A64),IF(G65=0,I64,G65),G65)</f>
        <v>0</v>
      </c>
      <c r="J65" s="124" t="n">
        <f aca="false">IF(MONTH($A65)=MONTH($A64),SUM(I65-I64),I65)</f>
        <v>0</v>
      </c>
      <c r="K65" s="124" t="n">
        <f aca="false">IF(WEEKDAY(A65,3)&gt;4,0,(IF(A65&lt;K$2,0,IF(A65&lt;=K$3,1,0))))</f>
        <v>0</v>
      </c>
      <c r="L65" s="124" t="n">
        <f aca="false">J65*K65</f>
        <v>0</v>
      </c>
      <c r="M65" s="124" t="n">
        <f aca="false">SUM(J$6:J65)</f>
        <v>145664</v>
      </c>
      <c r="N65" s="124" t="n">
        <f aca="false">SUM(J$6:J65)</f>
        <v>145664</v>
      </c>
      <c r="P65" s="124" t="n">
        <f aca="false">D65/P$3</f>
        <v>-3.96151224425475</v>
      </c>
      <c r="Q65" s="124" t="n">
        <f aca="false">E65/P$3</f>
        <v>1.03556069089138</v>
      </c>
      <c r="R65" s="124" t="n">
        <f aca="false">F65/R$3</f>
        <v>0</v>
      </c>
      <c r="S65" s="126" t="n">
        <f aca="false">J65/$R$3</f>
        <v>0</v>
      </c>
      <c r="T65" s="126" t="n">
        <f aca="false">L65/$R$3</f>
        <v>0</v>
      </c>
      <c r="U65" s="126" t="n">
        <f aca="false">I65/$R$3</f>
        <v>0</v>
      </c>
      <c r="V65" s="126" t="n">
        <f aca="false">M65/$R$3</f>
        <v>145.664</v>
      </c>
      <c r="W65" s="126" t="n">
        <f aca="false">N65/$R$3</f>
        <v>145.664</v>
      </c>
    </row>
    <row r="66" customFormat="false" ht="12.75" hidden="true" customHeight="false" outlineLevel="0" collapsed="false">
      <c r="A66" s="120" t="n">
        <f aca="false">A65+1</f>
        <v>36952</v>
      </c>
      <c r="B66" s="131" t="str">
        <f aca="false">INDEX('Master Data'!$A$2:$B$8,MATCH(WEEKDAY('ARG Gas Firm'!A66,3),'Master Data'!$A$2:$A$8,0),2)</f>
        <v>F</v>
      </c>
      <c r="D66" s="124" t="n">
        <v>-3946828.80667102</v>
      </c>
      <c r="E66" s="124" t="n">
        <v>1035672.8604053</v>
      </c>
      <c r="F66" s="124" t="n">
        <v>0</v>
      </c>
      <c r="G66" s="124" t="n">
        <v>0</v>
      </c>
      <c r="I66" s="124" t="n">
        <f aca="false">IF(MONTH($A66)=MONTH($A65),IF(G66=0,I65,G66),G66)</f>
        <v>0</v>
      </c>
      <c r="J66" s="124" t="n">
        <f aca="false">IF(MONTH($A66)=MONTH($A65),SUM(I66-I65),I66)</f>
        <v>0</v>
      </c>
      <c r="K66" s="124" t="n">
        <f aca="false">IF(WEEKDAY(A66,3)&gt;4,0,(IF(A66&lt;K$2,0,IF(A66&lt;=K$3,1,0))))</f>
        <v>0</v>
      </c>
      <c r="L66" s="124" t="n">
        <f aca="false">J66*K66</f>
        <v>0</v>
      </c>
      <c r="M66" s="124" t="n">
        <f aca="false">SUM(J$6:J66)</f>
        <v>145664</v>
      </c>
      <c r="N66" s="124" t="n">
        <f aca="false">SUM(J$6:J66)</f>
        <v>145664</v>
      </c>
      <c r="P66" s="124" t="n">
        <f aca="false">D66/P$3</f>
        <v>-3.94682880667102</v>
      </c>
      <c r="Q66" s="124" t="n">
        <f aca="false">E66/P$3</f>
        <v>1.0356728604053</v>
      </c>
      <c r="R66" s="124" t="n">
        <f aca="false">F66/R$3</f>
        <v>0</v>
      </c>
      <c r="S66" s="126" t="n">
        <f aca="false">J66/$R$3</f>
        <v>0</v>
      </c>
      <c r="T66" s="126" t="n">
        <f aca="false">L66/$R$3</f>
        <v>0</v>
      </c>
      <c r="U66" s="126" t="n">
        <f aca="false">I66/$R$3</f>
        <v>0</v>
      </c>
      <c r="V66" s="126" t="n">
        <f aca="false">M66/$R$3</f>
        <v>145.664</v>
      </c>
      <c r="W66" s="126" t="n">
        <f aca="false">N66/$R$3</f>
        <v>145.664</v>
      </c>
    </row>
    <row r="67" customFormat="false" ht="12.75" hidden="true" customHeight="false" outlineLevel="0" collapsed="false">
      <c r="A67" s="120" t="n">
        <f aca="false">A66+1</f>
        <v>36953</v>
      </c>
      <c r="B67" s="131" t="str">
        <f aca="false">INDEX('Master Data'!$A$2:$B$8,MATCH(WEEKDAY('ARG Gas Firm'!A67,3),'Master Data'!$A$2:$A$8,0),2)</f>
        <v>Sa</v>
      </c>
      <c r="D67" s="124" t="n">
        <v>0</v>
      </c>
      <c r="E67" s="124" t="n">
        <v>0</v>
      </c>
      <c r="F67" s="124" t="n">
        <v>0</v>
      </c>
      <c r="G67" s="124" t="n">
        <v>0</v>
      </c>
      <c r="I67" s="124" t="n">
        <f aca="false">IF(MONTH($A67)=MONTH($A66),IF(G67=0,I66,G67),G67)</f>
        <v>0</v>
      </c>
      <c r="J67" s="124" t="n">
        <f aca="false">IF(MONTH($A67)=MONTH($A66),SUM(I67-I66),I67)</f>
        <v>0</v>
      </c>
      <c r="K67" s="124" t="n">
        <f aca="false">IF(WEEKDAY(A67,3)&gt;4,0,(IF(A67&lt;K$2,0,IF(A67&lt;=K$3,1,0))))</f>
        <v>0</v>
      </c>
      <c r="L67" s="124" t="n">
        <f aca="false">J67*K67</f>
        <v>0</v>
      </c>
      <c r="M67" s="124" t="n">
        <f aca="false">SUM(J$6:J67)</f>
        <v>145664</v>
      </c>
      <c r="N67" s="124" t="n">
        <f aca="false">SUM(J$6:J67)</f>
        <v>145664</v>
      </c>
      <c r="P67" s="124" t="n">
        <f aca="false">D67/P$3</f>
        <v>0</v>
      </c>
      <c r="Q67" s="124" t="n">
        <f aca="false">E67/P$3</f>
        <v>0</v>
      </c>
      <c r="R67" s="124" t="n">
        <f aca="false">F67/R$3</f>
        <v>0</v>
      </c>
      <c r="S67" s="126" t="n">
        <f aca="false">J67/$R$3</f>
        <v>0</v>
      </c>
      <c r="T67" s="126" t="n">
        <f aca="false">L67/$R$3</f>
        <v>0</v>
      </c>
      <c r="U67" s="126" t="n">
        <f aca="false">I67/$R$3</f>
        <v>0</v>
      </c>
      <c r="V67" s="126" t="n">
        <f aca="false">M67/$R$3</f>
        <v>145.664</v>
      </c>
      <c r="W67" s="126" t="n">
        <f aca="false">N67/$R$3</f>
        <v>145.664</v>
      </c>
    </row>
    <row r="68" customFormat="false" ht="12.75" hidden="true" customHeight="false" outlineLevel="0" collapsed="false">
      <c r="A68" s="120" t="n">
        <f aca="false">A67+1</f>
        <v>36954</v>
      </c>
      <c r="B68" s="131" t="str">
        <f aca="false">INDEX('Master Data'!$A$2:$B$8,MATCH(WEEKDAY('ARG Gas Firm'!A68,3),'Master Data'!$A$2:$A$8,0),2)</f>
        <v>Su</v>
      </c>
      <c r="D68" s="124" t="n">
        <v>0</v>
      </c>
      <c r="E68" s="124" t="n">
        <v>0</v>
      </c>
      <c r="F68" s="124" t="n">
        <v>0</v>
      </c>
      <c r="G68" s="124" t="n">
        <v>0</v>
      </c>
      <c r="I68" s="124" t="n">
        <f aca="false">IF(MONTH($A68)=MONTH($A67),IF(G68=0,I67,G68),G68)</f>
        <v>0</v>
      </c>
      <c r="J68" s="124" t="n">
        <f aca="false">IF(MONTH($A68)=MONTH($A67),SUM(I68-I67),I68)</f>
        <v>0</v>
      </c>
      <c r="K68" s="124" t="n">
        <f aca="false">IF(WEEKDAY(A68,3)&gt;4,0,(IF(A68&lt;K$2,0,IF(A68&lt;=K$3,1,0))))</f>
        <v>0</v>
      </c>
      <c r="L68" s="124" t="n">
        <f aca="false">J68*K68</f>
        <v>0</v>
      </c>
      <c r="M68" s="124" t="n">
        <f aca="false">SUM(J$6:J68)</f>
        <v>145664</v>
      </c>
      <c r="N68" s="124" t="n">
        <f aca="false">SUM(J$6:J68)</f>
        <v>145664</v>
      </c>
      <c r="P68" s="124" t="n">
        <f aca="false">D68/P$3</f>
        <v>0</v>
      </c>
      <c r="Q68" s="124" t="n">
        <f aca="false">E68/P$3</f>
        <v>0</v>
      </c>
      <c r="R68" s="124" t="n">
        <f aca="false">F68/R$3</f>
        <v>0</v>
      </c>
      <c r="S68" s="126" t="n">
        <f aca="false">J68/$R$3</f>
        <v>0</v>
      </c>
      <c r="T68" s="126" t="n">
        <f aca="false">L68/$R$3</f>
        <v>0</v>
      </c>
      <c r="U68" s="126" t="n">
        <f aca="false">I68/$R$3</f>
        <v>0</v>
      </c>
      <c r="V68" s="126" t="n">
        <f aca="false">M68/$R$3</f>
        <v>145.664</v>
      </c>
      <c r="W68" s="126" t="n">
        <f aca="false">N68/$R$3</f>
        <v>145.664</v>
      </c>
    </row>
    <row r="69" customFormat="false" ht="12.75" hidden="true" customHeight="false" outlineLevel="0" collapsed="false">
      <c r="A69" s="120" t="n">
        <f aca="false">A68+1</f>
        <v>36955</v>
      </c>
      <c r="B69" s="131" t="str">
        <f aca="false">INDEX('Master Data'!$A$2:$B$8,MATCH(WEEKDAY('ARG Gas Firm'!A69,3),'Master Data'!$A$2:$A$8,0),2)</f>
        <v>M</v>
      </c>
      <c r="D69" s="124" t="n">
        <v>-3501021.90544096</v>
      </c>
      <c r="E69" s="124" t="n">
        <v>588039.62430664</v>
      </c>
      <c r="F69" s="124" t="n">
        <v>0</v>
      </c>
      <c r="G69" s="124" t="n">
        <v>-158758</v>
      </c>
      <c r="I69" s="124" t="n">
        <f aca="false">IF(MONTH($A69)=MONTH($A68),IF(G69=0,I68,G69),G69)</f>
        <v>-158758</v>
      </c>
      <c r="J69" s="124" t="n">
        <f aca="false">IF(MONTH($A69)=MONTH($A68),SUM(I69-I68),I69)</f>
        <v>-158758</v>
      </c>
      <c r="K69" s="124" t="n">
        <f aca="false">IF(WEEKDAY(A69,3)&gt;4,0,(IF(A69&lt;K$2,0,IF(A69&lt;=K$3,1,0))))</f>
        <v>0</v>
      </c>
      <c r="L69" s="124" t="n">
        <f aca="false">J69*K69</f>
        <v>-0</v>
      </c>
      <c r="M69" s="124" t="n">
        <f aca="false">SUM(J$6:J69)</f>
        <v>-13094</v>
      </c>
      <c r="N69" s="124" t="n">
        <f aca="false">SUM(J$6:J69)</f>
        <v>-13094</v>
      </c>
      <c r="P69" s="124" t="n">
        <f aca="false">D69/P$3</f>
        <v>-3.50102190544096</v>
      </c>
      <c r="Q69" s="124" t="n">
        <f aca="false">E69/P$3</f>
        <v>0.58803962430664</v>
      </c>
      <c r="R69" s="124" t="n">
        <f aca="false">F69/R$3</f>
        <v>0</v>
      </c>
      <c r="S69" s="126" t="n">
        <f aca="false">J69/$R$3</f>
        <v>-158.758</v>
      </c>
      <c r="T69" s="126" t="n">
        <f aca="false">L69/$R$3</f>
        <v>-0</v>
      </c>
      <c r="U69" s="126" t="n">
        <f aca="false">I69/$R$3</f>
        <v>-158.758</v>
      </c>
      <c r="V69" s="126" t="n">
        <f aca="false">M69/$R$3</f>
        <v>-13.094</v>
      </c>
      <c r="W69" s="126" t="n">
        <f aca="false">N69/$R$3</f>
        <v>-13.094</v>
      </c>
    </row>
    <row r="70" customFormat="false" ht="12.75" hidden="true" customHeight="false" outlineLevel="0" collapsed="false">
      <c r="A70" s="120" t="n">
        <f aca="false">A69+1</f>
        <v>36956</v>
      </c>
      <c r="B70" s="131" t="str">
        <f aca="false">INDEX('Master Data'!$A$2:$B$8,MATCH(WEEKDAY('ARG Gas Firm'!A70,3),'Master Data'!$A$2:$A$8,0),2)</f>
        <v>T</v>
      </c>
      <c r="D70" s="124" t="n">
        <v>-3490544.99351203</v>
      </c>
      <c r="E70" s="124" t="n">
        <v>588133.912696568</v>
      </c>
      <c r="F70" s="124" t="n">
        <v>0</v>
      </c>
      <c r="G70" s="124" t="n">
        <v>-158815</v>
      </c>
      <c r="I70" s="124" t="n">
        <f aca="false">IF(MONTH($A70)=MONTH($A69),IF(G70=0,I69,G70),G70)</f>
        <v>-158815</v>
      </c>
      <c r="J70" s="124" t="n">
        <f aca="false">IF(MONTH($A70)=MONTH($A69),SUM(I70-I69),I70)</f>
        <v>-57</v>
      </c>
      <c r="K70" s="124" t="n">
        <f aca="false">IF(WEEKDAY(A70,3)&gt;4,0,(IF(A70&lt;K$2,0,IF(A70&lt;=K$3,1,0))))</f>
        <v>0</v>
      </c>
      <c r="L70" s="124" t="n">
        <f aca="false">J70*K70</f>
        <v>-0</v>
      </c>
      <c r="M70" s="124" t="n">
        <f aca="false">SUM(J$6:J70)</f>
        <v>-13151</v>
      </c>
      <c r="N70" s="124" t="n">
        <f aca="false">SUM(J$6:J70)</f>
        <v>-13151</v>
      </c>
      <c r="P70" s="124" t="n">
        <f aca="false">D70/P$3</f>
        <v>-3.49054499351203</v>
      </c>
      <c r="Q70" s="124" t="n">
        <f aca="false">E70/P$3</f>
        <v>0.588133912696568</v>
      </c>
      <c r="R70" s="124" t="n">
        <f aca="false">F70/R$3</f>
        <v>0</v>
      </c>
      <c r="S70" s="126" t="n">
        <f aca="false">J70/$R$3</f>
        <v>-0.057</v>
      </c>
      <c r="T70" s="126" t="n">
        <f aca="false">L70/$R$3</f>
        <v>-0</v>
      </c>
      <c r="U70" s="126" t="n">
        <f aca="false">I70/$R$3</f>
        <v>-158.815</v>
      </c>
      <c r="V70" s="126" t="n">
        <f aca="false">M70/$R$3</f>
        <v>-13.151</v>
      </c>
      <c r="W70" s="126" t="n">
        <f aca="false">N70/$R$3</f>
        <v>-13.151</v>
      </c>
    </row>
    <row r="71" customFormat="false" ht="12.75" hidden="true" customHeight="false" outlineLevel="0" collapsed="false">
      <c r="A71" s="120" t="n">
        <f aca="false">A70+1</f>
        <v>36957</v>
      </c>
      <c r="B71" s="131" t="str">
        <f aca="false">INDEX('Master Data'!$A$2:$B$8,MATCH(WEEKDAY('ARG Gas Firm'!A71,3),'Master Data'!$A$2:$A$8,0),2)</f>
        <v>W</v>
      </c>
      <c r="D71" s="124" t="n">
        <v>-3502555.44790617</v>
      </c>
      <c r="E71" s="124" t="n">
        <v>588252.179256947</v>
      </c>
      <c r="F71" s="124" t="n">
        <v>0</v>
      </c>
      <c r="G71" s="124" t="n">
        <v>-158815</v>
      </c>
      <c r="I71" s="124" t="n">
        <f aca="false">IF(MONTH($A71)=MONTH($A70),IF(G71=0,I70,G71),G71)</f>
        <v>-158815</v>
      </c>
      <c r="J71" s="124" t="n">
        <f aca="false">IF(MONTH($A71)=MONTH($A70),SUM(I71-I70),I71)</f>
        <v>0</v>
      </c>
      <c r="K71" s="124" t="n">
        <f aca="false">IF(WEEKDAY(A71,3)&gt;4,0,(IF(A71&lt;K$2,0,IF(A71&lt;=K$3,1,0))))</f>
        <v>0</v>
      </c>
      <c r="L71" s="124" t="n">
        <f aca="false">J71*K71</f>
        <v>0</v>
      </c>
      <c r="M71" s="124" t="n">
        <f aca="false">SUM(J$6:J71)</f>
        <v>-13151</v>
      </c>
      <c r="N71" s="124" t="n">
        <f aca="false">SUM(J$6:J71)</f>
        <v>-13151</v>
      </c>
      <c r="P71" s="124" t="n">
        <f aca="false">D71/P$3</f>
        <v>-3.50255544790617</v>
      </c>
      <c r="Q71" s="124" t="n">
        <f aca="false">E71/P$3</f>
        <v>0.588252179256947</v>
      </c>
      <c r="R71" s="124" t="n">
        <f aca="false">F71/R$3</f>
        <v>0</v>
      </c>
      <c r="S71" s="126" t="n">
        <f aca="false">J71/$R$3</f>
        <v>0</v>
      </c>
      <c r="T71" s="126" t="n">
        <f aca="false">L71/$R$3</f>
        <v>0</v>
      </c>
      <c r="U71" s="126" t="n">
        <f aca="false">I71/$R$3</f>
        <v>-158.815</v>
      </c>
      <c r="V71" s="126" t="n">
        <f aca="false">M71/$R$3</f>
        <v>-13.151</v>
      </c>
      <c r="W71" s="126" t="n">
        <f aca="false">N71/$R$3</f>
        <v>-13.151</v>
      </c>
    </row>
    <row r="72" customFormat="false" ht="12.75" hidden="true" customHeight="false" outlineLevel="0" collapsed="false">
      <c r="A72" s="120" t="n">
        <f aca="false">A71+1</f>
        <v>36958</v>
      </c>
      <c r="B72" s="131" t="str">
        <f aca="false">INDEX('Master Data'!$A$2:$B$8,MATCH(WEEKDAY('ARG Gas Firm'!A72,3),'Master Data'!$A$2:$A$8,0),2)</f>
        <v>Th</v>
      </c>
      <c r="D72" s="124" t="n">
        <v>-3505172.50809889</v>
      </c>
      <c r="E72" s="124" t="n">
        <v>588342.542406159</v>
      </c>
      <c r="F72" s="124" t="n">
        <v>0</v>
      </c>
      <c r="G72" s="124" t="n">
        <v>-158814</v>
      </c>
      <c r="I72" s="124" t="n">
        <f aca="false">IF(MONTH($A72)=MONTH($A71),IF(G72=0,I71,G72),G72)</f>
        <v>-158814</v>
      </c>
      <c r="J72" s="124" t="n">
        <f aca="false">IF(MONTH($A72)=MONTH($A71),SUM(I72-I71),I72)</f>
        <v>1</v>
      </c>
      <c r="K72" s="124" t="n">
        <f aca="false">IF(WEEKDAY(A72,3)&gt;4,0,(IF(A72&lt;K$2,0,IF(A72&lt;=K$3,1,0))))</f>
        <v>0</v>
      </c>
      <c r="L72" s="124" t="n">
        <f aca="false">J72*K72</f>
        <v>0</v>
      </c>
      <c r="M72" s="124" t="n">
        <f aca="false">SUM(J$6:J72)</f>
        <v>-13150</v>
      </c>
      <c r="N72" s="124" t="n">
        <f aca="false">SUM(J$6:J72)</f>
        <v>-13150</v>
      </c>
      <c r="P72" s="124" t="n">
        <f aca="false">D72/P$3</f>
        <v>-3.50517250809889</v>
      </c>
      <c r="Q72" s="124" t="n">
        <f aca="false">E72/P$3</f>
        <v>0.588342542406159</v>
      </c>
      <c r="R72" s="124" t="n">
        <f aca="false">F72/R$3</f>
        <v>0</v>
      </c>
      <c r="S72" s="126" t="n">
        <f aca="false">J72/$R$3</f>
        <v>0.001</v>
      </c>
      <c r="T72" s="126" t="n">
        <f aca="false">L72/$R$3</f>
        <v>0</v>
      </c>
      <c r="U72" s="126" t="n">
        <f aca="false">I72/$R$3</f>
        <v>-158.814</v>
      </c>
      <c r="V72" s="126" t="n">
        <f aca="false">M72/$R$3</f>
        <v>-13.15</v>
      </c>
      <c r="W72" s="126" t="n">
        <f aca="false">N72/$R$3</f>
        <v>-13.15</v>
      </c>
    </row>
    <row r="73" customFormat="false" ht="12.75" hidden="true" customHeight="false" outlineLevel="0" collapsed="false">
      <c r="A73" s="120" t="n">
        <f aca="false">A72+1</f>
        <v>36959</v>
      </c>
      <c r="B73" s="131" t="str">
        <f aca="false">INDEX('Master Data'!$A$2:$B$8,MATCH(WEEKDAY('ARG Gas Firm'!A73,3),'Master Data'!$A$2:$A$8,0),2)</f>
        <v>F</v>
      </c>
      <c r="D73" s="124" t="n">
        <v>-3494153.01277296</v>
      </c>
      <c r="E73" s="124" t="n">
        <v>588368.790369903</v>
      </c>
      <c r="F73" s="124" t="n">
        <v>0</v>
      </c>
      <c r="G73" s="124" t="n">
        <v>-158814</v>
      </c>
      <c r="I73" s="124" t="n">
        <f aca="false">IF(MONTH($A73)=MONTH($A72),IF(G73=0,I72,G73),G73)</f>
        <v>-158814</v>
      </c>
      <c r="J73" s="124" t="n">
        <f aca="false">IF(MONTH($A73)=MONTH($A72),SUM(I73-I72),I73)</f>
        <v>0</v>
      </c>
      <c r="K73" s="124" t="n">
        <f aca="false">IF(WEEKDAY(A73,3)&gt;4,0,(IF(A73&lt;K$2,0,IF(A73&lt;=K$3,1,0))))</f>
        <v>0</v>
      </c>
      <c r="L73" s="124" t="n">
        <f aca="false">J73*K73</f>
        <v>0</v>
      </c>
      <c r="M73" s="124" t="n">
        <f aca="false">SUM(J$6:J73)</f>
        <v>-13150</v>
      </c>
      <c r="N73" s="124" t="n">
        <f aca="false">SUM(J$6:J73)</f>
        <v>-13150</v>
      </c>
      <c r="P73" s="124" t="n">
        <f aca="false">D73/P$3</f>
        <v>-3.49415301277296</v>
      </c>
      <c r="Q73" s="124" t="n">
        <f aca="false">E73/P$3</f>
        <v>0.588368790369903</v>
      </c>
      <c r="R73" s="124" t="n">
        <f aca="false">F73/R$3</f>
        <v>0</v>
      </c>
      <c r="S73" s="126" t="n">
        <f aca="false">J73/$R$3</f>
        <v>0</v>
      </c>
      <c r="T73" s="126" t="n">
        <f aca="false">L73/$R$3</f>
        <v>0</v>
      </c>
      <c r="U73" s="126" t="n">
        <f aca="false">I73/$R$3</f>
        <v>-158.814</v>
      </c>
      <c r="V73" s="126" t="n">
        <f aca="false">M73/$R$3</f>
        <v>-13.15</v>
      </c>
      <c r="W73" s="126" t="n">
        <f aca="false">N73/$R$3</f>
        <v>-13.15</v>
      </c>
    </row>
    <row r="74" customFormat="false" ht="12.75" hidden="true" customHeight="false" outlineLevel="0" collapsed="false">
      <c r="A74" s="120" t="n">
        <f aca="false">A73+1</f>
        <v>36960</v>
      </c>
      <c r="B74" s="131" t="str">
        <f aca="false">INDEX('Master Data'!$A$2:$B$8,MATCH(WEEKDAY('ARG Gas Firm'!A74,3),'Master Data'!$A$2:$A$8,0),2)</f>
        <v>Sa</v>
      </c>
      <c r="D74" s="124" t="n">
        <v>0</v>
      </c>
      <c r="E74" s="124" t="n">
        <v>0</v>
      </c>
      <c r="F74" s="124" t="n">
        <v>0</v>
      </c>
      <c r="G74" s="124" t="n">
        <v>0</v>
      </c>
      <c r="I74" s="124" t="n">
        <f aca="false">IF(MONTH($A74)=MONTH($A73),IF(G74=0,I73,G74),G74)</f>
        <v>-158814</v>
      </c>
      <c r="J74" s="124" t="n">
        <f aca="false">IF(MONTH($A74)=MONTH($A73),SUM(I74-I73),I74)</f>
        <v>0</v>
      </c>
      <c r="K74" s="124" t="n">
        <f aca="false">IF(WEEKDAY(A74,3)&gt;4,0,(IF(A74&lt;K$2,0,IF(A74&lt;=K$3,1,0))))</f>
        <v>0</v>
      </c>
      <c r="L74" s="124" t="n">
        <f aca="false">J74*K74</f>
        <v>0</v>
      </c>
      <c r="M74" s="124" t="n">
        <f aca="false">SUM(J$6:J74)</f>
        <v>-13150</v>
      </c>
      <c r="N74" s="124" t="n">
        <f aca="false">SUM(J$6:J74)</f>
        <v>-13150</v>
      </c>
      <c r="P74" s="124" t="n">
        <f aca="false">D74/P$3</f>
        <v>0</v>
      </c>
      <c r="Q74" s="124" t="n">
        <f aca="false">E74/P$3</f>
        <v>0</v>
      </c>
      <c r="R74" s="124" t="n">
        <f aca="false">F74/R$3</f>
        <v>0</v>
      </c>
      <c r="S74" s="126" t="n">
        <f aca="false">J74/$R$3</f>
        <v>0</v>
      </c>
      <c r="T74" s="126" t="n">
        <f aca="false">L74/$R$3</f>
        <v>0</v>
      </c>
      <c r="U74" s="126" t="n">
        <f aca="false">I74/$R$3</f>
        <v>-158.814</v>
      </c>
      <c r="V74" s="126" t="n">
        <f aca="false">M74/$R$3</f>
        <v>-13.15</v>
      </c>
      <c r="W74" s="126" t="n">
        <f aca="false">N74/$R$3</f>
        <v>-13.15</v>
      </c>
    </row>
    <row r="75" customFormat="false" ht="12.75" hidden="true" customHeight="false" outlineLevel="0" collapsed="false">
      <c r="A75" s="120" t="n">
        <f aca="false">A74+1</f>
        <v>36961</v>
      </c>
      <c r="B75" s="131" t="str">
        <f aca="false">INDEX('Master Data'!$A$2:$B$8,MATCH(WEEKDAY('ARG Gas Firm'!A75,3),'Master Data'!$A$2:$A$8,0),2)</f>
        <v>Su</v>
      </c>
      <c r="D75" s="124" t="n">
        <v>0</v>
      </c>
      <c r="E75" s="124" t="n">
        <v>0</v>
      </c>
      <c r="F75" s="124" t="n">
        <v>0</v>
      </c>
      <c r="G75" s="124" t="n">
        <v>0</v>
      </c>
      <c r="I75" s="124" t="n">
        <f aca="false">IF(MONTH($A75)=MONTH($A74),IF(G75=0,I74,G75),G75)</f>
        <v>-158814</v>
      </c>
      <c r="J75" s="124" t="n">
        <f aca="false">IF(MONTH($A75)=MONTH($A74),SUM(I75-I74),I75)</f>
        <v>0</v>
      </c>
      <c r="K75" s="124" t="n">
        <f aca="false">IF(WEEKDAY(A75,3)&gt;4,0,(IF(A75&lt;K$2,0,IF(A75&lt;=K$3,1,0))))</f>
        <v>0</v>
      </c>
      <c r="L75" s="124" t="n">
        <f aca="false">J75*K75</f>
        <v>0</v>
      </c>
      <c r="M75" s="124" t="n">
        <f aca="false">SUM(J$6:J75)</f>
        <v>-13150</v>
      </c>
      <c r="N75" s="124" t="n">
        <f aca="false">SUM(J$6:J75)</f>
        <v>-13150</v>
      </c>
      <c r="P75" s="124" t="n">
        <f aca="false">D75/P$3</f>
        <v>0</v>
      </c>
      <c r="Q75" s="124" t="n">
        <f aca="false">E75/P$3</f>
        <v>0</v>
      </c>
      <c r="R75" s="124" t="n">
        <f aca="false">F75/R$3</f>
        <v>0</v>
      </c>
      <c r="S75" s="126" t="n">
        <f aca="false">J75/$R$3</f>
        <v>0</v>
      </c>
      <c r="T75" s="126" t="n">
        <f aca="false">L75/$R$3</f>
        <v>0</v>
      </c>
      <c r="U75" s="126" t="n">
        <f aca="false">I75/$R$3</f>
        <v>-158.814</v>
      </c>
      <c r="V75" s="126" t="n">
        <f aca="false">M75/$R$3</f>
        <v>-13.15</v>
      </c>
      <c r="W75" s="126" t="n">
        <f aca="false">N75/$R$3</f>
        <v>-13.15</v>
      </c>
    </row>
    <row r="76" customFormat="false" ht="12.75" hidden="true" customHeight="false" outlineLevel="0" collapsed="false">
      <c r="A76" s="120" t="n">
        <f aca="false">A75+1</f>
        <v>36962</v>
      </c>
      <c r="B76" s="131" t="str">
        <f aca="false">INDEX('Master Data'!$A$2:$B$8,MATCH(WEEKDAY('ARG Gas Firm'!A76,3),'Master Data'!$A$2:$A$8,0),2)</f>
        <v>M</v>
      </c>
      <c r="D76" s="124" t="n">
        <v>-3498470.80686662</v>
      </c>
      <c r="E76" s="124" t="n">
        <v>588642.644453302</v>
      </c>
      <c r="F76" s="124" t="n">
        <v>0</v>
      </c>
      <c r="G76" s="124" t="n">
        <v>-158814</v>
      </c>
      <c r="I76" s="124" t="n">
        <f aca="false">IF(MONTH($A76)=MONTH($A75),IF(G76=0,I75,G76),G76)</f>
        <v>-158814</v>
      </c>
      <c r="J76" s="124" t="n">
        <f aca="false">IF(MONTH($A76)=MONTH($A75),SUM(I76-I75),I76)</f>
        <v>0</v>
      </c>
      <c r="K76" s="124" t="n">
        <f aca="false">IF(WEEKDAY(A76,3)&gt;4,0,(IF(A76&lt;K$2,0,IF(A76&lt;=K$3,1,0))))</f>
        <v>0</v>
      </c>
      <c r="L76" s="124" t="n">
        <f aca="false">J76*K76</f>
        <v>0</v>
      </c>
      <c r="M76" s="124" t="n">
        <f aca="false">SUM(J$6:J76)</f>
        <v>-13150</v>
      </c>
      <c r="N76" s="124" t="n">
        <f aca="false">SUM(J$6:J76)</f>
        <v>-13150</v>
      </c>
      <c r="P76" s="124" t="n">
        <f aca="false">D76/P$3</f>
        <v>-3.49847080686662</v>
      </c>
      <c r="Q76" s="124" t="n">
        <f aca="false">E76/P$3</f>
        <v>0.588642644453302</v>
      </c>
      <c r="R76" s="124" t="n">
        <f aca="false">F76/R$3</f>
        <v>0</v>
      </c>
      <c r="S76" s="126" t="n">
        <f aca="false">J76/$R$3</f>
        <v>0</v>
      </c>
      <c r="T76" s="126" t="n">
        <f aca="false">L76/$R$3</f>
        <v>0</v>
      </c>
      <c r="U76" s="126" t="n">
        <f aca="false">I76/$R$3</f>
        <v>-158.814</v>
      </c>
      <c r="V76" s="126" t="n">
        <f aca="false">M76/$R$3</f>
        <v>-13.15</v>
      </c>
      <c r="W76" s="126" t="n">
        <f aca="false">N76/$R$3</f>
        <v>-13.15</v>
      </c>
    </row>
    <row r="77" customFormat="false" ht="12.75" hidden="true" customHeight="false" outlineLevel="0" collapsed="false">
      <c r="A77" s="120" t="n">
        <f aca="false">A76+1</f>
        <v>36963</v>
      </c>
      <c r="B77" s="131" t="str">
        <f aca="false">INDEX('Master Data'!$A$2:$B$8,MATCH(WEEKDAY('ARG Gas Firm'!A77,3),'Master Data'!$A$2:$A$8,0),2)</f>
        <v>T</v>
      </c>
      <c r="D77" s="124" t="n">
        <v>-3486940.63603149</v>
      </c>
      <c r="E77" s="124" t="n">
        <v>588742.040710356</v>
      </c>
      <c r="F77" s="124" t="n">
        <v>0</v>
      </c>
      <c r="G77" s="124" t="n">
        <v>-158815</v>
      </c>
      <c r="I77" s="124" t="n">
        <f aca="false">IF(MONTH($A77)=MONTH($A76),IF(G77=0,I76,G77),G77)</f>
        <v>-158815</v>
      </c>
      <c r="J77" s="124" t="n">
        <f aca="false">IF(MONTH($A77)=MONTH($A76),SUM(I77-I76),I77)</f>
        <v>-1</v>
      </c>
      <c r="K77" s="124" t="n">
        <f aca="false">IF(WEEKDAY(A77,3)&gt;4,0,(IF(A77&lt;K$2,0,IF(A77&lt;=K$3,1,0))))</f>
        <v>0</v>
      </c>
      <c r="L77" s="124" t="n">
        <f aca="false">J77*K77</f>
        <v>-0</v>
      </c>
      <c r="M77" s="124" t="n">
        <f aca="false">SUM(J$6:J77)</f>
        <v>-13151</v>
      </c>
      <c r="N77" s="124" t="n">
        <f aca="false">SUM(J$6:J77)</f>
        <v>-13151</v>
      </c>
      <c r="P77" s="124" t="n">
        <f aca="false">D77/P$3</f>
        <v>-3.48694063603149</v>
      </c>
      <c r="Q77" s="124" t="n">
        <f aca="false">E77/P$3</f>
        <v>0.588742040710356</v>
      </c>
      <c r="R77" s="124" t="n">
        <f aca="false">F77/R$3</f>
        <v>0</v>
      </c>
      <c r="S77" s="126" t="n">
        <f aca="false">J77/$R$3</f>
        <v>-0.001</v>
      </c>
      <c r="T77" s="126" t="n">
        <f aca="false">L77/$R$3</f>
        <v>-0</v>
      </c>
      <c r="U77" s="126" t="n">
        <f aca="false">I77/$R$3</f>
        <v>-158.815</v>
      </c>
      <c r="V77" s="126" t="n">
        <f aca="false">M77/$R$3</f>
        <v>-13.151</v>
      </c>
      <c r="W77" s="126" t="n">
        <f aca="false">N77/$R$3</f>
        <v>-13.151</v>
      </c>
    </row>
    <row r="78" customFormat="false" ht="12.75" hidden="true" customHeight="false" outlineLevel="0" collapsed="false">
      <c r="A78" s="120" t="n">
        <f aca="false">A77+1</f>
        <v>36964</v>
      </c>
      <c r="B78" s="131" t="str">
        <f aca="false">INDEX('Master Data'!$A$2:$B$8,MATCH(WEEKDAY('ARG Gas Firm'!A78,3),'Master Data'!$A$2:$A$8,0),2)</f>
        <v>W</v>
      </c>
      <c r="D78" s="124" t="n">
        <v>-3511399.62628108</v>
      </c>
      <c r="E78" s="124" t="n">
        <v>588952.231467027</v>
      </c>
      <c r="F78" s="124" t="n">
        <v>0</v>
      </c>
      <c r="G78" s="124" t="n">
        <v>-158814</v>
      </c>
      <c r="I78" s="124" t="n">
        <f aca="false">IF(MONTH($A78)=MONTH($A77),IF(G78=0,I77,G78),G78)</f>
        <v>-158814</v>
      </c>
      <c r="J78" s="124" t="n">
        <f aca="false">IF(MONTH($A78)=MONTH($A77),SUM(I78-I77),I78)</f>
        <v>1</v>
      </c>
      <c r="K78" s="124" t="n">
        <f aca="false">IF(WEEKDAY(A78,3)&gt;4,0,(IF(A78&lt;K$2,0,IF(A78&lt;=K$3,1,0))))</f>
        <v>0</v>
      </c>
      <c r="L78" s="124" t="n">
        <f aca="false">J78*K78</f>
        <v>0</v>
      </c>
      <c r="M78" s="124" t="n">
        <f aca="false">SUM(J$6:J78)</f>
        <v>-13150</v>
      </c>
      <c r="N78" s="124" t="n">
        <f aca="false">SUM(J$6:J78)</f>
        <v>-13150</v>
      </c>
      <c r="P78" s="124" t="n">
        <f aca="false">D78/P$3</f>
        <v>-3.51139962628108</v>
      </c>
      <c r="Q78" s="124" t="n">
        <f aca="false">E78/P$3</f>
        <v>0.588952231467027</v>
      </c>
      <c r="R78" s="124" t="n">
        <f aca="false">F78/R$3</f>
        <v>0</v>
      </c>
      <c r="S78" s="126" t="n">
        <f aca="false">J78/$R$3</f>
        <v>0.001</v>
      </c>
      <c r="T78" s="126" t="n">
        <f aca="false">L78/$R$3</f>
        <v>0</v>
      </c>
      <c r="U78" s="126" t="n">
        <f aca="false">I78/$R$3</f>
        <v>-158.814</v>
      </c>
      <c r="V78" s="126" t="n">
        <f aca="false">M78/$R$3</f>
        <v>-13.15</v>
      </c>
      <c r="W78" s="126" t="n">
        <f aca="false">N78/$R$3</f>
        <v>-13.15</v>
      </c>
    </row>
    <row r="79" customFormat="false" ht="12.75" hidden="true" customHeight="false" outlineLevel="0" collapsed="false">
      <c r="A79" s="120" t="n">
        <f aca="false">A78+1</f>
        <v>36965</v>
      </c>
      <c r="B79" s="131" t="str">
        <f aca="false">INDEX('Master Data'!$A$2:$B$8,MATCH(WEEKDAY('ARG Gas Firm'!A79,3),'Master Data'!$A$2:$A$8,0),2)</f>
        <v>Th</v>
      </c>
      <c r="D79" s="124" t="n">
        <v>-3527937.71072434</v>
      </c>
      <c r="E79" s="124" t="n">
        <v>589152.738270539</v>
      </c>
      <c r="F79" s="124" t="n">
        <v>0</v>
      </c>
      <c r="G79" s="124" t="n">
        <v>-158813</v>
      </c>
      <c r="I79" s="124" t="n">
        <f aca="false">IF(MONTH($A79)=MONTH($A78),IF(G79=0,I78,G79),G79)</f>
        <v>-158813</v>
      </c>
      <c r="J79" s="124" t="n">
        <f aca="false">IF(MONTH($A79)=MONTH($A78),SUM(I79-I78),I79)</f>
        <v>1</v>
      </c>
      <c r="K79" s="124" t="n">
        <f aca="false">IF(WEEKDAY(A79,3)&gt;4,0,(IF(A79&lt;K$2,0,IF(A79&lt;=K$3,1,0))))</f>
        <v>0</v>
      </c>
      <c r="L79" s="124" t="n">
        <f aca="false">J79*K79</f>
        <v>0</v>
      </c>
      <c r="M79" s="124" t="n">
        <f aca="false">SUM(J$6:J79)</f>
        <v>-13149</v>
      </c>
      <c r="N79" s="124" t="n">
        <f aca="false">SUM(J$6:J79)</f>
        <v>-13149</v>
      </c>
      <c r="P79" s="124" t="n">
        <f aca="false">D79/P$3</f>
        <v>-3.52793771072434</v>
      </c>
      <c r="Q79" s="124" t="n">
        <f aca="false">E79/P$3</f>
        <v>0.589152738270539</v>
      </c>
      <c r="R79" s="124" t="n">
        <f aca="false">F79/R$3</f>
        <v>0</v>
      </c>
      <c r="S79" s="126" t="n">
        <f aca="false">J79/$R$3</f>
        <v>0.001</v>
      </c>
      <c r="T79" s="126" t="n">
        <f aca="false">L79/$R$3</f>
        <v>0</v>
      </c>
      <c r="U79" s="126" t="n">
        <f aca="false">I79/$R$3</f>
        <v>-158.813</v>
      </c>
      <c r="V79" s="126" t="n">
        <f aca="false">M79/$R$3</f>
        <v>-13.149</v>
      </c>
      <c r="W79" s="126" t="n">
        <f aca="false">N79/$R$3</f>
        <v>-13.149</v>
      </c>
    </row>
    <row r="80" customFormat="false" ht="12.75" hidden="true" customHeight="false" outlineLevel="0" collapsed="false">
      <c r="A80" s="120" t="n">
        <f aca="false">A79+1</f>
        <v>36966</v>
      </c>
      <c r="B80" s="131" t="str">
        <f aca="false">INDEX('Master Data'!$A$2:$B$8,MATCH(WEEKDAY('ARG Gas Firm'!A80,3),'Master Data'!$A$2:$A$8,0),2)</f>
        <v>F</v>
      </c>
      <c r="D80" s="124" t="n">
        <v>-3535477.46055735</v>
      </c>
      <c r="E80" s="124" t="n">
        <v>589258.061916203</v>
      </c>
      <c r="F80" s="124" t="n">
        <v>0</v>
      </c>
      <c r="G80" s="124" t="n">
        <v>-158814</v>
      </c>
      <c r="I80" s="124" t="n">
        <f aca="false">IF(MONTH($A80)=MONTH($A79),IF(G80=0,I79,G80),G80)</f>
        <v>-158814</v>
      </c>
      <c r="J80" s="124" t="n">
        <f aca="false">IF(MONTH($A80)=MONTH($A79),SUM(I80-I79),I80)</f>
        <v>-1</v>
      </c>
      <c r="K80" s="124" t="n">
        <f aca="false">IF(WEEKDAY(A80,3)&gt;4,0,(IF(A80&lt;K$2,0,IF(A80&lt;=K$3,1,0))))</f>
        <v>0</v>
      </c>
      <c r="L80" s="124" t="n">
        <f aca="false">J80*K80</f>
        <v>-0</v>
      </c>
      <c r="M80" s="124" t="n">
        <f aca="false">SUM(J$6:J80)</f>
        <v>-13150</v>
      </c>
      <c r="N80" s="124" t="n">
        <f aca="false">SUM(J$6:J80)</f>
        <v>-13150</v>
      </c>
      <c r="P80" s="124" t="n">
        <f aca="false">D80/P$3</f>
        <v>-3.53547746055735</v>
      </c>
      <c r="Q80" s="124" t="n">
        <f aca="false">E80/P$3</f>
        <v>0.589258061916203</v>
      </c>
      <c r="R80" s="124" t="n">
        <f aca="false">F80/R$3</f>
        <v>0</v>
      </c>
      <c r="S80" s="126" t="n">
        <f aca="false">J80/$R$3</f>
        <v>-0.001</v>
      </c>
      <c r="T80" s="126" t="n">
        <f aca="false">L80/$R$3</f>
        <v>-0</v>
      </c>
      <c r="U80" s="126" t="n">
        <f aca="false">I80/$R$3</f>
        <v>-158.814</v>
      </c>
      <c r="V80" s="126" t="n">
        <f aca="false">M80/$R$3</f>
        <v>-13.15</v>
      </c>
      <c r="W80" s="126" t="n">
        <f aca="false">N80/$R$3</f>
        <v>-13.15</v>
      </c>
    </row>
    <row r="81" customFormat="false" ht="12.75" hidden="true" customHeight="false" outlineLevel="0" collapsed="false">
      <c r="A81" s="120" t="n">
        <f aca="false">A80+1</f>
        <v>36967</v>
      </c>
      <c r="B81" s="131" t="str">
        <f aca="false">INDEX('Master Data'!$A$2:$B$8,MATCH(WEEKDAY('ARG Gas Firm'!A81,3),'Master Data'!$A$2:$A$8,0),2)</f>
        <v>Sa</v>
      </c>
      <c r="D81" s="124" t="n">
        <v>0</v>
      </c>
      <c r="E81" s="124" t="n">
        <v>0</v>
      </c>
      <c r="F81" s="124" t="n">
        <v>0</v>
      </c>
      <c r="G81" s="124" t="n">
        <v>0</v>
      </c>
      <c r="I81" s="124" t="n">
        <f aca="false">IF(MONTH($A81)=MONTH($A80),IF(G81=0,I80,G81),G81)</f>
        <v>-158814</v>
      </c>
      <c r="J81" s="124" t="n">
        <f aca="false">IF(MONTH($A81)=MONTH($A80),SUM(I81-I80),I81)</f>
        <v>0</v>
      </c>
      <c r="K81" s="124" t="n">
        <f aca="false">IF(WEEKDAY(A81,3)&gt;4,0,(IF(A81&lt;K$2,0,IF(A81&lt;=K$3,1,0))))</f>
        <v>0</v>
      </c>
      <c r="L81" s="124" t="n">
        <f aca="false">J81*K81</f>
        <v>0</v>
      </c>
      <c r="M81" s="124" t="n">
        <f aca="false">SUM(J$6:J81)</f>
        <v>-13150</v>
      </c>
      <c r="N81" s="124" t="n">
        <f aca="false">SUM(J$6:J81)</f>
        <v>-13150</v>
      </c>
      <c r="P81" s="124" t="n">
        <f aca="false">D81/P$3</f>
        <v>0</v>
      </c>
      <c r="Q81" s="124" t="n">
        <f aca="false">E81/P$3</f>
        <v>0</v>
      </c>
      <c r="R81" s="124" t="n">
        <f aca="false">F81/R$3</f>
        <v>0</v>
      </c>
      <c r="S81" s="126" t="n">
        <f aca="false">J81/$R$3</f>
        <v>0</v>
      </c>
      <c r="T81" s="126" t="n">
        <f aca="false">L81/$R$3</f>
        <v>0</v>
      </c>
      <c r="U81" s="126" t="n">
        <f aca="false">I81/$R$3</f>
        <v>-158.814</v>
      </c>
      <c r="V81" s="126" t="n">
        <f aca="false">M81/$R$3</f>
        <v>-13.15</v>
      </c>
      <c r="W81" s="126" t="n">
        <f aca="false">N81/$R$3</f>
        <v>-13.15</v>
      </c>
    </row>
    <row r="82" customFormat="false" ht="12.75" hidden="true" customHeight="false" outlineLevel="0" collapsed="false">
      <c r="A82" s="120" t="n">
        <f aca="false">A81+1</f>
        <v>36968</v>
      </c>
      <c r="B82" s="131" t="str">
        <f aca="false">INDEX('Master Data'!$A$2:$B$8,MATCH(WEEKDAY('ARG Gas Firm'!A82,3),'Master Data'!$A$2:$A$8,0),2)</f>
        <v>Su</v>
      </c>
      <c r="D82" s="124" t="n">
        <v>0</v>
      </c>
      <c r="E82" s="124" t="n">
        <v>0</v>
      </c>
      <c r="F82" s="124" t="n">
        <v>0</v>
      </c>
      <c r="G82" s="124" t="n">
        <v>0</v>
      </c>
      <c r="I82" s="124" t="n">
        <f aca="false">IF(MONTH($A82)=MONTH($A81),IF(G82=0,I81,G82),G82)</f>
        <v>-158814</v>
      </c>
      <c r="J82" s="124" t="n">
        <f aca="false">IF(MONTH($A82)=MONTH($A81),SUM(I82-I81),I82)</f>
        <v>0</v>
      </c>
      <c r="K82" s="124" t="n">
        <f aca="false">IF(WEEKDAY(A82,3)&gt;4,0,(IF(A82&lt;K$2,0,IF(A82&lt;=K$3,1,0))))</f>
        <v>0</v>
      </c>
      <c r="L82" s="124" t="n">
        <f aca="false">J82*K82</f>
        <v>0</v>
      </c>
      <c r="M82" s="124" t="n">
        <f aca="false">SUM(J$6:J82)</f>
        <v>-13150</v>
      </c>
      <c r="N82" s="124" t="n">
        <f aca="false">SUM(J$6:J82)</f>
        <v>-13150</v>
      </c>
      <c r="P82" s="124" t="n">
        <f aca="false">D82/P$3</f>
        <v>0</v>
      </c>
      <c r="Q82" s="124" t="n">
        <f aca="false">E82/P$3</f>
        <v>0</v>
      </c>
      <c r="R82" s="124" t="n">
        <f aca="false">F82/R$3</f>
        <v>0</v>
      </c>
      <c r="S82" s="126" t="n">
        <f aca="false">J82/$R$3</f>
        <v>0</v>
      </c>
      <c r="T82" s="126" t="n">
        <f aca="false">L82/$R$3</f>
        <v>0</v>
      </c>
      <c r="U82" s="126" t="n">
        <f aca="false">I82/$R$3</f>
        <v>-158.814</v>
      </c>
      <c r="V82" s="126" t="n">
        <f aca="false">M82/$R$3</f>
        <v>-13.15</v>
      </c>
      <c r="W82" s="126" t="n">
        <f aca="false">N82/$R$3</f>
        <v>-13.15</v>
      </c>
    </row>
    <row r="83" customFormat="false" ht="12.75" hidden="true" customHeight="false" outlineLevel="0" collapsed="false">
      <c r="A83" s="120" t="n">
        <f aca="false">A82+1</f>
        <v>36969</v>
      </c>
      <c r="B83" s="131" t="str">
        <f aca="false">INDEX('Master Data'!$A$2:$B$8,MATCH(WEEKDAY('ARG Gas Firm'!A83,3),'Master Data'!$A$2:$A$8,0),2)</f>
        <v>M</v>
      </c>
      <c r="D83" s="124" t="n">
        <v>-3526888.22673206</v>
      </c>
      <c r="E83" s="124" t="n">
        <v>589479.239431214</v>
      </c>
      <c r="F83" s="124" t="n">
        <v>0</v>
      </c>
      <c r="G83" s="124" t="n">
        <v>-158817</v>
      </c>
      <c r="I83" s="124" t="n">
        <f aca="false">IF(MONTH($A83)=MONTH($A82),IF(G83=0,I82,G83),G83)</f>
        <v>-158817</v>
      </c>
      <c r="J83" s="124" t="n">
        <f aca="false">IF(MONTH($A83)=MONTH($A82),SUM(I83-I82),I83)</f>
        <v>-3</v>
      </c>
      <c r="K83" s="124" t="n">
        <f aca="false">IF(WEEKDAY(A83,3)&gt;4,0,(IF(A83&lt;K$2,0,IF(A83&lt;=K$3,1,0))))</f>
        <v>0</v>
      </c>
      <c r="L83" s="124" t="n">
        <f aca="false">J83*K83</f>
        <v>-0</v>
      </c>
      <c r="M83" s="124" t="n">
        <f aca="false">SUM(J$6:J83)</f>
        <v>-13153</v>
      </c>
      <c r="N83" s="124" t="n">
        <f aca="false">SUM(J$6:J83)</f>
        <v>-13153</v>
      </c>
      <c r="P83" s="124" t="n">
        <f aca="false">D83/P$3</f>
        <v>-3.52688822673206</v>
      </c>
      <c r="Q83" s="124" t="n">
        <f aca="false">E83/P$3</f>
        <v>0.589479239431214</v>
      </c>
      <c r="R83" s="124" t="n">
        <f aca="false">F83/R$3</f>
        <v>0</v>
      </c>
      <c r="S83" s="126" t="n">
        <f aca="false">J83/$R$3</f>
        <v>-0.003</v>
      </c>
      <c r="T83" s="126" t="n">
        <f aca="false">L83/$R$3</f>
        <v>-0</v>
      </c>
      <c r="U83" s="126" t="n">
        <f aca="false">I83/$R$3</f>
        <v>-158.817</v>
      </c>
      <c r="V83" s="126" t="n">
        <f aca="false">M83/$R$3</f>
        <v>-13.153</v>
      </c>
      <c r="W83" s="126" t="n">
        <f aca="false">N83/$R$3</f>
        <v>-13.153</v>
      </c>
    </row>
    <row r="84" customFormat="false" ht="12.75" hidden="true" customHeight="false" outlineLevel="0" collapsed="false">
      <c r="A84" s="120" t="n">
        <f aca="false">A83+1</f>
        <v>36970</v>
      </c>
      <c r="B84" s="131" t="str">
        <f aca="false">INDEX('Master Data'!$A$2:$B$8,MATCH(WEEKDAY('ARG Gas Firm'!A84,3),'Master Data'!$A$2:$A$8,0),2)</f>
        <v>T</v>
      </c>
      <c r="D84" s="124" t="n">
        <v>-3543282.71096792</v>
      </c>
      <c r="E84" s="124" t="n">
        <v>589606.187752571</v>
      </c>
      <c r="F84" s="124" t="n">
        <v>0</v>
      </c>
      <c r="G84" s="124" t="n">
        <v>-157367</v>
      </c>
      <c r="I84" s="124" t="n">
        <f aca="false">IF(MONTH($A84)=MONTH($A83),IF(G84=0,I83,G84),G84)</f>
        <v>-157367</v>
      </c>
      <c r="J84" s="124" t="n">
        <f aca="false">IF(MONTH($A84)=MONTH($A83),SUM(I84-I83),I84)</f>
        <v>1450</v>
      </c>
      <c r="K84" s="124" t="n">
        <f aca="false">IF(WEEKDAY(A84,3)&gt;4,0,(IF(A84&lt;K$2,0,IF(A84&lt;=K$3,1,0))))</f>
        <v>0</v>
      </c>
      <c r="L84" s="124" t="n">
        <f aca="false">J84*K84</f>
        <v>0</v>
      </c>
      <c r="M84" s="124" t="n">
        <f aca="false">SUM(J$6:J84)</f>
        <v>-11703</v>
      </c>
      <c r="N84" s="124" t="n">
        <f aca="false">SUM(J$6:J84)</f>
        <v>-11703</v>
      </c>
      <c r="P84" s="124" t="n">
        <f aca="false">D84/P$3</f>
        <v>-3.54328271096792</v>
      </c>
      <c r="Q84" s="124" t="n">
        <f aca="false">E84/P$3</f>
        <v>0.589606187752572</v>
      </c>
      <c r="R84" s="124" t="n">
        <f aca="false">F84/R$3</f>
        <v>0</v>
      </c>
      <c r="S84" s="126" t="n">
        <f aca="false">J84/$R$3</f>
        <v>1.45</v>
      </c>
      <c r="T84" s="126" t="n">
        <f aca="false">L84/$R$3</f>
        <v>0</v>
      </c>
      <c r="U84" s="126" t="n">
        <f aca="false">I84/$R$3</f>
        <v>-157.367</v>
      </c>
      <c r="V84" s="126" t="n">
        <f aca="false">M84/$R$3</f>
        <v>-11.703</v>
      </c>
      <c r="W84" s="126" t="n">
        <f aca="false">N84/$R$3</f>
        <v>-11.703</v>
      </c>
    </row>
    <row r="85" customFormat="false" ht="12.75" hidden="true" customHeight="false" outlineLevel="0" collapsed="false">
      <c r="A85" s="120" t="n">
        <f aca="false">A84+1</f>
        <v>36971</v>
      </c>
      <c r="B85" s="131" t="str">
        <f aca="false">INDEX('Master Data'!$A$2:$B$8,MATCH(WEEKDAY('ARG Gas Firm'!A85,3),'Master Data'!$A$2:$A$8,0),2)</f>
        <v>W</v>
      </c>
      <c r="D85" s="124" t="n">
        <v>-3553400.05592276</v>
      </c>
      <c r="E85" s="124" t="n">
        <v>589726.523890716</v>
      </c>
      <c r="F85" s="124" t="n">
        <v>0</v>
      </c>
      <c r="G85" s="124" t="n">
        <v>-157366</v>
      </c>
      <c r="I85" s="124" t="n">
        <f aca="false">IF(MONTH($A85)=MONTH($A84),IF(G85=0,I84,G85),G85)</f>
        <v>-157366</v>
      </c>
      <c r="J85" s="124" t="n">
        <f aca="false">IF(MONTH($A85)=MONTH($A84),SUM(I85-I84),I85)</f>
        <v>1</v>
      </c>
      <c r="K85" s="124" t="n">
        <f aca="false">IF(WEEKDAY(A85,3)&gt;4,0,(IF(A85&lt;K$2,0,IF(A85&lt;=K$3,1,0))))</f>
        <v>0</v>
      </c>
      <c r="L85" s="124" t="n">
        <f aca="false">J85*K85</f>
        <v>0</v>
      </c>
      <c r="M85" s="124" t="n">
        <f aca="false">SUM(J$6:J85)</f>
        <v>-11702</v>
      </c>
      <c r="N85" s="124" t="n">
        <f aca="false">SUM(J$6:J85)</f>
        <v>-11702</v>
      </c>
      <c r="P85" s="124" t="n">
        <f aca="false">D85/P$3</f>
        <v>-3.55340005592276</v>
      </c>
      <c r="Q85" s="124" t="n">
        <f aca="false">E85/P$3</f>
        <v>0.589726523890716</v>
      </c>
      <c r="R85" s="124" t="n">
        <f aca="false">F85/R$3</f>
        <v>0</v>
      </c>
      <c r="S85" s="126" t="n">
        <f aca="false">J85/$R$3</f>
        <v>0.001</v>
      </c>
      <c r="T85" s="126" t="n">
        <f aca="false">L85/$R$3</f>
        <v>0</v>
      </c>
      <c r="U85" s="126" t="n">
        <f aca="false">I85/$R$3</f>
        <v>-157.366</v>
      </c>
      <c r="V85" s="126" t="n">
        <f aca="false">M85/$R$3</f>
        <v>-11.702</v>
      </c>
      <c r="W85" s="126" t="n">
        <f aca="false">N85/$R$3</f>
        <v>-11.702</v>
      </c>
    </row>
    <row r="86" customFormat="false" ht="12.75" hidden="true" customHeight="false" outlineLevel="0" collapsed="false">
      <c r="A86" s="120" t="n">
        <f aca="false">A85+1</f>
        <v>36972</v>
      </c>
      <c r="B86" s="131" t="str">
        <f aca="false">INDEX('Master Data'!$A$2:$B$8,MATCH(WEEKDAY('ARG Gas Firm'!A86,3),'Master Data'!$A$2:$A$8,0),2)</f>
        <v>Th</v>
      </c>
      <c r="D86" s="124" t="n">
        <v>-3560924.31069187</v>
      </c>
      <c r="E86" s="124" t="n">
        <v>589811.207788517</v>
      </c>
      <c r="F86" s="124" t="n">
        <v>0</v>
      </c>
      <c r="G86" s="124" t="n">
        <v>-157365</v>
      </c>
      <c r="I86" s="124" t="n">
        <f aca="false">IF(MONTH($A86)=MONTH($A85),IF(G86=0,I85,G86),G86)</f>
        <v>-157365</v>
      </c>
      <c r="J86" s="124" t="n">
        <f aca="false">IF(MONTH($A86)=MONTH($A85),SUM(I86-I85),I86)</f>
        <v>1</v>
      </c>
      <c r="K86" s="124" t="n">
        <f aca="false">IF(WEEKDAY(A86,3)&gt;4,0,(IF(A86&lt;K$2,0,IF(A86&lt;=K$3,1,0))))</f>
        <v>0</v>
      </c>
      <c r="L86" s="124" t="n">
        <f aca="false">J86*K86</f>
        <v>0</v>
      </c>
      <c r="M86" s="124" t="n">
        <f aca="false">SUM(J$6:J86)</f>
        <v>-11701</v>
      </c>
      <c r="N86" s="124" t="n">
        <f aca="false">SUM(J$6:J86)</f>
        <v>-11701</v>
      </c>
      <c r="P86" s="124" t="n">
        <f aca="false">D86/P$3</f>
        <v>-3.56092431069187</v>
      </c>
      <c r="Q86" s="124" t="n">
        <f aca="false">E86/P$3</f>
        <v>0.589811207788517</v>
      </c>
      <c r="R86" s="124" t="n">
        <f aca="false">F86/R$3</f>
        <v>0</v>
      </c>
      <c r="S86" s="126" t="n">
        <f aca="false">J86/$R$3</f>
        <v>0.001</v>
      </c>
      <c r="T86" s="126" t="n">
        <f aca="false">L86/$R$3</f>
        <v>0</v>
      </c>
      <c r="U86" s="126" t="n">
        <f aca="false">I86/$R$3</f>
        <v>-157.365</v>
      </c>
      <c r="V86" s="126" t="n">
        <f aca="false">M86/$R$3</f>
        <v>-11.701</v>
      </c>
      <c r="W86" s="126" t="n">
        <f aca="false">N86/$R$3</f>
        <v>-11.701</v>
      </c>
    </row>
    <row r="87" customFormat="false" ht="12.75" hidden="true" customHeight="false" outlineLevel="0" collapsed="false">
      <c r="A87" s="120" t="n">
        <f aca="false">A86+1</f>
        <v>36973</v>
      </c>
      <c r="B87" s="131" t="str">
        <f aca="false">INDEX('Master Data'!$A$2:$B$8,MATCH(WEEKDAY('ARG Gas Firm'!A87,3),'Master Data'!$A$2:$A$8,0),2)</f>
        <v>F</v>
      </c>
      <c r="D87" s="124" t="n">
        <v>-3539546.36869241</v>
      </c>
      <c r="E87" s="124" t="n">
        <v>589863.254285641</v>
      </c>
      <c r="F87" s="124" t="n">
        <v>0</v>
      </c>
      <c r="G87" s="124" t="n">
        <v>-157366</v>
      </c>
      <c r="I87" s="124" t="n">
        <f aca="false">IF(MONTH($A87)=MONTH($A86),IF(G87=0,I86,G87),G87)</f>
        <v>-157366</v>
      </c>
      <c r="J87" s="124" t="n">
        <f aca="false">IF(MONTH($A87)=MONTH($A86),SUM(I87-I86),I87)</f>
        <v>-1</v>
      </c>
      <c r="K87" s="124" t="n">
        <f aca="false">IF(WEEKDAY(A87,3)&gt;4,0,(IF(A87&lt;K$2,0,IF(A87&lt;=K$3,1,0))))</f>
        <v>0</v>
      </c>
      <c r="L87" s="124" t="n">
        <f aca="false">J87*K87</f>
        <v>-0</v>
      </c>
      <c r="M87" s="124" t="n">
        <f aca="false">SUM(J$6:J87)</f>
        <v>-11702</v>
      </c>
      <c r="N87" s="124" t="n">
        <f aca="false">SUM(J$6:J87)</f>
        <v>-11702</v>
      </c>
      <c r="P87" s="124" t="n">
        <f aca="false">D87/P$3</f>
        <v>-3.53954636869241</v>
      </c>
      <c r="Q87" s="124" t="n">
        <f aca="false">E87/P$3</f>
        <v>0.589863254285641</v>
      </c>
      <c r="R87" s="124" t="n">
        <f aca="false">F87/R$3</f>
        <v>0</v>
      </c>
      <c r="S87" s="126" t="n">
        <f aca="false">J87/$R$3</f>
        <v>-0.001</v>
      </c>
      <c r="T87" s="126" t="n">
        <f aca="false">L87/$R$3</f>
        <v>-0</v>
      </c>
      <c r="U87" s="126" t="n">
        <f aca="false">I87/$R$3</f>
        <v>-157.366</v>
      </c>
      <c r="V87" s="126" t="n">
        <f aca="false">M87/$R$3</f>
        <v>-11.702</v>
      </c>
      <c r="W87" s="126" t="n">
        <f aca="false">N87/$R$3</f>
        <v>-11.702</v>
      </c>
    </row>
    <row r="88" customFormat="false" ht="12.75" hidden="true" customHeight="false" outlineLevel="0" collapsed="false">
      <c r="A88" s="120" t="n">
        <f aca="false">A87+1</f>
        <v>36974</v>
      </c>
      <c r="B88" s="131" t="str">
        <f aca="false">INDEX('Master Data'!$A$2:$B$8,MATCH(WEEKDAY('ARG Gas Firm'!A88,3),'Master Data'!$A$2:$A$8,0),2)</f>
        <v>Sa</v>
      </c>
      <c r="D88" s="124" t="n">
        <v>0</v>
      </c>
      <c r="E88" s="124" t="n">
        <v>0</v>
      </c>
      <c r="F88" s="124" t="n">
        <v>0</v>
      </c>
      <c r="G88" s="124" t="n">
        <v>0</v>
      </c>
      <c r="I88" s="124" t="n">
        <f aca="false">IF(MONTH($A88)=MONTH($A87),IF(G88=0,I87,G88),G88)</f>
        <v>-157366</v>
      </c>
      <c r="J88" s="124" t="n">
        <f aca="false">IF(MONTH($A88)=MONTH($A87),SUM(I88-I87),I88)</f>
        <v>0</v>
      </c>
      <c r="K88" s="124" t="n">
        <f aca="false">IF(WEEKDAY(A88,3)&gt;4,0,(IF(A88&lt;K$2,0,IF(A88&lt;=K$3,1,0))))</f>
        <v>0</v>
      </c>
      <c r="L88" s="124" t="n">
        <f aca="false">J88*K88</f>
        <v>0</v>
      </c>
      <c r="M88" s="124" t="n">
        <f aca="false">SUM(J$6:J88)</f>
        <v>-11702</v>
      </c>
      <c r="N88" s="124" t="n">
        <f aca="false">SUM(J$6:J88)</f>
        <v>-11702</v>
      </c>
      <c r="P88" s="124" t="n">
        <f aca="false">D88/P$3</f>
        <v>0</v>
      </c>
      <c r="Q88" s="124" t="n">
        <f aca="false">E88/P$3</f>
        <v>0</v>
      </c>
      <c r="R88" s="124" t="n">
        <f aca="false">F88/R$3</f>
        <v>0</v>
      </c>
      <c r="S88" s="126" t="n">
        <f aca="false">J88/$R$3</f>
        <v>0</v>
      </c>
      <c r="T88" s="126" t="n">
        <f aca="false">L88/$R$3</f>
        <v>0</v>
      </c>
      <c r="U88" s="126" t="n">
        <f aca="false">I88/$R$3</f>
        <v>-157.366</v>
      </c>
      <c r="V88" s="126" t="n">
        <f aca="false">M88/$R$3</f>
        <v>-11.702</v>
      </c>
      <c r="W88" s="126" t="n">
        <f aca="false">N88/$R$3</f>
        <v>-11.702</v>
      </c>
    </row>
    <row r="89" customFormat="false" ht="12.75" hidden="true" customHeight="false" outlineLevel="0" collapsed="false">
      <c r="A89" s="120" t="n">
        <f aca="false">A88+1</f>
        <v>36975</v>
      </c>
      <c r="B89" s="131" t="str">
        <f aca="false">INDEX('Master Data'!$A$2:$B$8,MATCH(WEEKDAY('ARG Gas Firm'!A89,3),'Master Data'!$A$2:$A$8,0),2)</f>
        <v>Su</v>
      </c>
      <c r="D89" s="124" t="n">
        <v>0</v>
      </c>
      <c r="E89" s="124" t="n">
        <v>0</v>
      </c>
      <c r="F89" s="124" t="n">
        <v>0</v>
      </c>
      <c r="G89" s="124" t="n">
        <v>0</v>
      </c>
      <c r="I89" s="124" t="n">
        <f aca="false">IF(MONTH($A89)=MONTH($A88),IF(G89=0,I88,G89),G89)</f>
        <v>-157366</v>
      </c>
      <c r="J89" s="124" t="n">
        <f aca="false">IF(MONTH($A89)=MONTH($A88),SUM(I89-I88),I89)</f>
        <v>0</v>
      </c>
      <c r="K89" s="124" t="n">
        <f aca="false">IF(WEEKDAY(A89,3)&gt;4,0,(IF(A89&lt;K$2,0,IF(A89&lt;=K$3,1,0))))</f>
        <v>0</v>
      </c>
      <c r="L89" s="124" t="n">
        <f aca="false">J89*K89</f>
        <v>0</v>
      </c>
      <c r="M89" s="124" t="n">
        <f aca="false">SUM(J$6:J89)</f>
        <v>-11702</v>
      </c>
      <c r="N89" s="124" t="n">
        <f aca="false">SUM(J$6:J89)</f>
        <v>-11702</v>
      </c>
      <c r="P89" s="124" t="n">
        <f aca="false">D89/P$3</f>
        <v>0</v>
      </c>
      <c r="Q89" s="124" t="n">
        <f aca="false">E89/P$3</f>
        <v>0</v>
      </c>
      <c r="R89" s="124" t="n">
        <f aca="false">F89/R$3</f>
        <v>0</v>
      </c>
      <c r="S89" s="126" t="n">
        <f aca="false">J89/$R$3</f>
        <v>0</v>
      </c>
      <c r="T89" s="126" t="n">
        <f aca="false">L89/$R$3</f>
        <v>0</v>
      </c>
      <c r="U89" s="126" t="n">
        <f aca="false">I89/$R$3</f>
        <v>-157.366</v>
      </c>
      <c r="V89" s="126" t="n">
        <f aca="false">M89/$R$3</f>
        <v>-11.702</v>
      </c>
      <c r="W89" s="126" t="n">
        <f aca="false">N89/$R$3</f>
        <v>-11.702</v>
      </c>
    </row>
    <row r="90" customFormat="false" ht="12.75" hidden="true" customHeight="false" outlineLevel="0" collapsed="false">
      <c r="A90" s="120" t="n">
        <f aca="false">A89+1</f>
        <v>36976</v>
      </c>
      <c r="B90" s="131" t="str">
        <f aca="false">INDEX('Master Data'!$A$2:$B$8,MATCH(WEEKDAY('ARG Gas Firm'!A90,3),'Master Data'!$A$2:$A$8,0),2)</f>
        <v>M</v>
      </c>
      <c r="D90" s="124" t="n">
        <v>-3528577.78954322</v>
      </c>
      <c r="E90" s="124" t="n">
        <v>590088.328613132</v>
      </c>
      <c r="F90" s="124" t="n">
        <v>0</v>
      </c>
      <c r="G90" s="124" t="n">
        <v>-157367</v>
      </c>
      <c r="I90" s="124" t="n">
        <f aca="false">IF(MONTH($A90)=MONTH($A89),IF(G90=0,I89,G90),G90)</f>
        <v>-157367</v>
      </c>
      <c r="J90" s="124" t="n">
        <f aca="false">IF(MONTH($A90)=MONTH($A89),SUM(I90-I89),I90)</f>
        <v>-1</v>
      </c>
      <c r="K90" s="124" t="n">
        <f aca="false">IF(WEEKDAY(A90,3)&gt;4,0,(IF(A90&lt;K$2,0,IF(A90&lt;=K$3,1,0))))</f>
        <v>0</v>
      </c>
      <c r="L90" s="124" t="n">
        <f aca="false">J90*K90</f>
        <v>-0</v>
      </c>
      <c r="M90" s="124" t="n">
        <f aca="false">SUM(J$6:J90)</f>
        <v>-11703</v>
      </c>
      <c r="N90" s="124" t="n">
        <f aca="false">SUM(J$6:J90)</f>
        <v>-11703</v>
      </c>
      <c r="P90" s="124" t="n">
        <f aca="false">D90/P$3</f>
        <v>-3.52857778954322</v>
      </c>
      <c r="Q90" s="124" t="n">
        <f aca="false">E90/P$3</f>
        <v>0.590088328613132</v>
      </c>
      <c r="R90" s="124" t="n">
        <f aca="false">F90/R$3</f>
        <v>0</v>
      </c>
      <c r="S90" s="126" t="n">
        <f aca="false">J90/$R$3</f>
        <v>-0.001</v>
      </c>
      <c r="T90" s="126" t="n">
        <f aca="false">L90/$R$3</f>
        <v>-0</v>
      </c>
      <c r="U90" s="126" t="n">
        <f aca="false">I90/$R$3</f>
        <v>-157.367</v>
      </c>
      <c r="V90" s="126" t="n">
        <f aca="false">M90/$R$3</f>
        <v>-11.703</v>
      </c>
      <c r="W90" s="126" t="n">
        <f aca="false">N90/$R$3</f>
        <v>-11.703</v>
      </c>
    </row>
    <row r="91" customFormat="false" ht="12.75" hidden="true" customHeight="false" outlineLevel="0" collapsed="false">
      <c r="A91" s="120" t="n">
        <f aca="false">A90+1</f>
        <v>36977</v>
      </c>
      <c r="B91" s="131" t="str">
        <f aca="false">INDEX('Master Data'!$A$2:$B$8,MATCH(WEEKDAY('ARG Gas Firm'!A91,3),'Master Data'!$A$2:$A$8,0),2)</f>
        <v>T</v>
      </c>
      <c r="D91" s="124" t="n">
        <v>-3490703.57436255</v>
      </c>
      <c r="E91" s="124" t="n">
        <v>590110.334012393</v>
      </c>
      <c r="F91" s="124" t="n">
        <v>0</v>
      </c>
      <c r="G91" s="124" t="n">
        <v>-157367</v>
      </c>
      <c r="I91" s="124" t="n">
        <f aca="false">IF(MONTH($A91)=MONTH($A90),IF(G91=0,I90,G91),G91)</f>
        <v>-157367</v>
      </c>
      <c r="J91" s="124" t="n">
        <f aca="false">IF(MONTH($A91)=MONTH($A90),SUM(I91-I90),I91)</f>
        <v>0</v>
      </c>
      <c r="K91" s="124" t="n">
        <f aca="false">IF(WEEKDAY(A91,3)&gt;4,0,(IF(A91&lt;K$2,0,IF(A91&lt;=K$3,1,0))))</f>
        <v>0</v>
      </c>
      <c r="L91" s="124" t="n">
        <f aca="false">J91*K91</f>
        <v>0</v>
      </c>
      <c r="M91" s="124" t="n">
        <f aca="false">SUM(J$6:J91)</f>
        <v>-11703</v>
      </c>
      <c r="N91" s="124" t="n">
        <f aca="false">SUM(J$6:J91)</f>
        <v>-11703</v>
      </c>
      <c r="P91" s="124" t="n">
        <f aca="false">D91/P$3</f>
        <v>-3.49070357436255</v>
      </c>
      <c r="Q91" s="124" t="n">
        <f aca="false">E91/P$3</f>
        <v>0.590110334012393</v>
      </c>
      <c r="R91" s="124" t="n">
        <f aca="false">F91/R$3</f>
        <v>0</v>
      </c>
      <c r="S91" s="126" t="n">
        <f aca="false">J91/$R$3</f>
        <v>0</v>
      </c>
      <c r="T91" s="126" t="n">
        <f aca="false">L91/$R$3</f>
        <v>0</v>
      </c>
      <c r="U91" s="126" t="n">
        <f aca="false">I91/$R$3</f>
        <v>-157.367</v>
      </c>
      <c r="V91" s="126" t="n">
        <f aca="false">M91/$R$3</f>
        <v>-11.703</v>
      </c>
      <c r="W91" s="126" t="n">
        <f aca="false">N91/$R$3</f>
        <v>-11.703</v>
      </c>
    </row>
    <row r="92" customFormat="false" ht="12.75" hidden="true" customHeight="false" outlineLevel="0" collapsed="false">
      <c r="A92" s="120" t="n">
        <f aca="false">A91+1</f>
        <v>36978</v>
      </c>
      <c r="B92" s="131" t="str">
        <f aca="false">INDEX('Master Data'!$A$2:$B$8,MATCH(WEEKDAY('ARG Gas Firm'!A92,3),'Master Data'!$A$2:$A$8,0),2)</f>
        <v>W</v>
      </c>
      <c r="D92" s="124" t="n">
        <v>-3493783.83988589</v>
      </c>
      <c r="E92" s="124" t="n">
        <v>590164.873532549</v>
      </c>
      <c r="F92" s="124" t="n">
        <v>0</v>
      </c>
      <c r="G92" s="124" t="n">
        <v>-157367</v>
      </c>
      <c r="I92" s="124" t="n">
        <f aca="false">IF(MONTH($A92)=MONTH($A91),IF(G92=0,I91,G92),G92)</f>
        <v>-157367</v>
      </c>
      <c r="J92" s="124" t="n">
        <f aca="false">IF(MONTH($A92)=MONTH($A91),SUM(I92-I91),I92)</f>
        <v>0</v>
      </c>
      <c r="K92" s="124" t="n">
        <f aca="false">IF(WEEKDAY(A92,3)&gt;4,0,(IF(A92&lt;K$2,0,IF(A92&lt;=K$3,1,0))))</f>
        <v>0</v>
      </c>
      <c r="L92" s="124" t="n">
        <f aca="false">J92*K92</f>
        <v>0</v>
      </c>
      <c r="M92" s="124" t="n">
        <f aca="false">SUM(J$6:J92)</f>
        <v>-11703</v>
      </c>
      <c r="N92" s="124" t="n">
        <f aca="false">SUM(J$6:J92)</f>
        <v>-11703</v>
      </c>
      <c r="P92" s="124" t="n">
        <f aca="false">D92/P$3</f>
        <v>-3.49378383988589</v>
      </c>
      <c r="Q92" s="124" t="n">
        <f aca="false">E92/P$3</f>
        <v>0.590164873532549</v>
      </c>
      <c r="R92" s="124" t="n">
        <f aca="false">F92/R$3</f>
        <v>0</v>
      </c>
      <c r="S92" s="126" t="n">
        <f aca="false">J92/$R$3</f>
        <v>0</v>
      </c>
      <c r="T92" s="126" t="n">
        <f aca="false">L92/$R$3</f>
        <v>0</v>
      </c>
      <c r="U92" s="126" t="n">
        <f aca="false">I92/$R$3</f>
        <v>-157.367</v>
      </c>
      <c r="V92" s="126" t="n">
        <f aca="false">M92/$R$3</f>
        <v>-11.703</v>
      </c>
      <c r="W92" s="126" t="n">
        <f aca="false">N92/$R$3</f>
        <v>-11.703</v>
      </c>
    </row>
    <row r="93" customFormat="false" ht="12.75" hidden="true" customHeight="false" outlineLevel="0" collapsed="false">
      <c r="A93" s="120" t="n">
        <f aca="false">A92+1</f>
        <v>36979</v>
      </c>
      <c r="B93" s="131" t="str">
        <f aca="false">INDEX('Master Data'!$A$2:$B$8,MATCH(WEEKDAY('ARG Gas Firm'!A93,3),'Master Data'!$A$2:$A$8,0),2)</f>
        <v>Th</v>
      </c>
      <c r="D93" s="124" t="n">
        <v>-3497912.38251717</v>
      </c>
      <c r="E93" s="124" t="n">
        <v>590271.866568498</v>
      </c>
      <c r="F93" s="124" t="n">
        <v>0</v>
      </c>
      <c r="G93" s="124" t="n">
        <v>-157367</v>
      </c>
      <c r="I93" s="124" t="n">
        <f aca="false">IF(MONTH($A93)=MONTH($A92),IF(G93=0,I92,G93),G93)</f>
        <v>-157367</v>
      </c>
      <c r="J93" s="124" t="n">
        <f aca="false">IF(MONTH($A93)=MONTH($A92),SUM(I93-I92),I93)</f>
        <v>0</v>
      </c>
      <c r="K93" s="124" t="n">
        <f aca="false">IF(WEEKDAY(A93,3)&gt;4,0,(IF(A93&lt;K$2,0,IF(A93&lt;=K$3,1,0))))</f>
        <v>0</v>
      </c>
      <c r="L93" s="124" t="n">
        <f aca="false">J93*K93</f>
        <v>0</v>
      </c>
      <c r="M93" s="124" t="n">
        <f aca="false">SUM(J$6:J93)</f>
        <v>-11703</v>
      </c>
      <c r="N93" s="124" t="n">
        <f aca="false">SUM(J$6:J93)</f>
        <v>-11703</v>
      </c>
      <c r="P93" s="124" t="n">
        <f aca="false">D93/P$3</f>
        <v>-3.49791238251717</v>
      </c>
      <c r="Q93" s="124" t="n">
        <f aca="false">E93/P$3</f>
        <v>0.590271866568498</v>
      </c>
      <c r="R93" s="124" t="n">
        <f aca="false">F93/R$3</f>
        <v>0</v>
      </c>
      <c r="S93" s="126" t="n">
        <f aca="false">J93/$R$3</f>
        <v>0</v>
      </c>
      <c r="T93" s="126" t="n">
        <f aca="false">L93/$R$3</f>
        <v>0</v>
      </c>
      <c r="U93" s="126" t="n">
        <f aca="false">I93/$R$3</f>
        <v>-157.367</v>
      </c>
      <c r="V93" s="126" t="n">
        <f aca="false">M93/$R$3</f>
        <v>-11.703</v>
      </c>
      <c r="W93" s="126" t="n">
        <f aca="false">N93/$R$3</f>
        <v>-11.703</v>
      </c>
    </row>
    <row r="94" customFormat="false" ht="12.75" hidden="false" customHeight="false" outlineLevel="0" collapsed="false">
      <c r="A94" s="120" t="n">
        <f aca="false">A93+1</f>
        <v>36980</v>
      </c>
      <c r="B94" s="131" t="str">
        <f aca="false">INDEX('Master Data'!$A$2:$B$8,MATCH(WEEKDAY('ARG Gas Firm'!A94,3),'Master Data'!$A$2:$A$8,0),2)</f>
        <v>F</v>
      </c>
      <c r="D94" s="124" t="n">
        <v>-3498270.38680189</v>
      </c>
      <c r="E94" s="124" t="n">
        <v>589807.616563885</v>
      </c>
      <c r="F94" s="124" t="n">
        <v>0</v>
      </c>
      <c r="G94" s="124" t="n">
        <v>-157367</v>
      </c>
      <c r="I94" s="124" t="n">
        <f aca="false">IF(MONTH($A94)=MONTH($A93),IF(G94=0,I93,G94),G94)</f>
        <v>-157367</v>
      </c>
      <c r="J94" s="124" t="n">
        <f aca="false">IF(MONTH($A94)=MONTH($A93),SUM(I94-I93),I94)</f>
        <v>0</v>
      </c>
      <c r="K94" s="124" t="n">
        <f aca="false">IF(WEEKDAY(A94,3)&gt;4,0,(IF(A94&lt;K$2,0,IF(A94&lt;=K$3,1,0))))</f>
        <v>0</v>
      </c>
      <c r="L94" s="124" t="n">
        <f aca="false">J94*K94</f>
        <v>0</v>
      </c>
      <c r="M94" s="124" t="n">
        <f aca="false">SUM(J$6:J94)</f>
        <v>-11703</v>
      </c>
      <c r="N94" s="124" t="n">
        <f aca="false">SUM(J$6:J94)</f>
        <v>-11703</v>
      </c>
      <c r="P94" s="124" t="n">
        <f aca="false">D94/P$3</f>
        <v>-3.49827038680189</v>
      </c>
      <c r="Q94" s="124" t="n">
        <f aca="false">E94/P$3</f>
        <v>0.589807616563885</v>
      </c>
      <c r="R94" s="124" t="n">
        <f aca="false">F94/R$3</f>
        <v>0</v>
      </c>
      <c r="S94" s="126" t="n">
        <f aca="false">J94/$R$3</f>
        <v>0</v>
      </c>
      <c r="T94" s="126" t="n">
        <f aca="false">L94/$R$3</f>
        <v>0</v>
      </c>
      <c r="U94" s="126" t="n">
        <f aca="false">I94/$R$3</f>
        <v>-157.367</v>
      </c>
      <c r="V94" s="126" t="n">
        <f aca="false">M94/$R$3</f>
        <v>-11.703</v>
      </c>
      <c r="W94" s="126" t="n">
        <f aca="false">N94/$R$3</f>
        <v>-11.703</v>
      </c>
    </row>
    <row r="95" customFormat="false" ht="12.75" hidden="true" customHeight="false" outlineLevel="0" collapsed="false">
      <c r="A95" s="120" t="n">
        <f aca="false">A94+1</f>
        <v>36981</v>
      </c>
      <c r="B95" s="131" t="str">
        <f aca="false">INDEX('Master Data'!$A$2:$B$8,MATCH(WEEKDAY('ARG Gas Firm'!A95,3),'Master Data'!$A$2:$A$8,0),2)</f>
        <v>Sa</v>
      </c>
      <c r="D95" s="124" t="n">
        <v>0</v>
      </c>
      <c r="E95" s="124" t="n">
        <v>0</v>
      </c>
      <c r="F95" s="124" t="n">
        <v>0</v>
      </c>
      <c r="G95" s="124" t="n">
        <v>0</v>
      </c>
      <c r="I95" s="124" t="n">
        <f aca="false">IF(MONTH($A95)=MONTH($A94),IF(G95=0,I94,G95),G95)</f>
        <v>-157367</v>
      </c>
      <c r="J95" s="124" t="n">
        <f aca="false">IF(MONTH($A95)=MONTH($A94),SUM(I95-I94),I95)</f>
        <v>0</v>
      </c>
      <c r="K95" s="124" t="n">
        <f aca="false">IF(WEEKDAY(A95,3)&gt;4,0,(IF(A95&lt;K$2,0,IF(A95&lt;=K$3,1,0))))</f>
        <v>0</v>
      </c>
      <c r="L95" s="124" t="n">
        <f aca="false">J95*K95</f>
        <v>0</v>
      </c>
      <c r="M95" s="124" t="n">
        <f aca="false">SUM(J$6:J95)</f>
        <v>-11703</v>
      </c>
      <c r="N95" s="124" t="n">
        <f aca="false">SUM(J$6:J95)</f>
        <v>-11703</v>
      </c>
      <c r="P95" s="124" t="n">
        <f aca="false">D95/P$3</f>
        <v>0</v>
      </c>
      <c r="Q95" s="124" t="n">
        <f aca="false">E95/P$3</f>
        <v>0</v>
      </c>
      <c r="R95" s="124" t="n">
        <f aca="false">F95/R$3</f>
        <v>0</v>
      </c>
      <c r="S95" s="126" t="n">
        <f aca="false">J95/$R$3</f>
        <v>0</v>
      </c>
      <c r="T95" s="126" t="n">
        <f aca="false">L95/$R$3</f>
        <v>0</v>
      </c>
      <c r="U95" s="126" t="n">
        <f aca="false">I95/$R$3</f>
        <v>-157.367</v>
      </c>
      <c r="V95" s="126" t="n">
        <f aca="false">M95/$R$3</f>
        <v>-11.703</v>
      </c>
      <c r="W95" s="126" t="n">
        <f aca="false">N95/$R$3</f>
        <v>-11.703</v>
      </c>
    </row>
    <row r="96" customFormat="false" ht="12.75" hidden="true" customHeight="false" outlineLevel="0" collapsed="false">
      <c r="A96" s="120" t="n">
        <f aca="false">A95+1</f>
        <v>36982</v>
      </c>
      <c r="B96" s="131" t="str">
        <f aca="false">INDEX('Master Data'!$A$2:$B$8,MATCH(WEEKDAY('ARG Gas Firm'!A96,3),'Master Data'!$A$2:$A$8,0),2)</f>
        <v>Su</v>
      </c>
      <c r="D96" s="124" t="n">
        <v>0</v>
      </c>
      <c r="E96" s="124" t="n">
        <v>0</v>
      </c>
      <c r="F96" s="124" t="n">
        <v>0</v>
      </c>
      <c r="G96" s="124" t="n">
        <v>0</v>
      </c>
      <c r="I96" s="124" t="n">
        <f aca="false">IF(MONTH($A96)=MONTH($A95),IF(G96=0,I95,G96),G96)</f>
        <v>0</v>
      </c>
      <c r="J96" s="124" t="n">
        <f aca="false">IF(MONTH($A96)=MONTH($A95),SUM(I96-I95),I96)</f>
        <v>0</v>
      </c>
      <c r="K96" s="124" t="n">
        <f aca="false">IF(WEEKDAY(A96,3)&gt;4,0,(IF(A96&lt;K$2,0,IF(A96&lt;=K$3,1,0))))</f>
        <v>0</v>
      </c>
      <c r="L96" s="124" t="n">
        <f aca="false">J96*K96</f>
        <v>0</v>
      </c>
      <c r="M96" s="124" t="n">
        <f aca="false">SUM(J$6:J96)</f>
        <v>-11703</v>
      </c>
      <c r="N96" s="124" t="n">
        <f aca="false">SUM(J$6:J96)</f>
        <v>-11703</v>
      </c>
      <c r="P96" s="124" t="n">
        <f aca="false">D96/P$3</f>
        <v>0</v>
      </c>
      <c r="Q96" s="124" t="n">
        <f aca="false">E96/P$3</f>
        <v>0</v>
      </c>
      <c r="R96" s="124" t="n">
        <f aca="false">F96/R$3</f>
        <v>0</v>
      </c>
      <c r="S96" s="126" t="n">
        <f aca="false">J96/$R$3</f>
        <v>0</v>
      </c>
      <c r="T96" s="126" t="n">
        <f aca="false">L96/$R$3</f>
        <v>0</v>
      </c>
      <c r="U96" s="126" t="n">
        <f aca="false">I96/$R$3</f>
        <v>0</v>
      </c>
      <c r="V96" s="126" t="n">
        <f aca="false">M96/$R$3</f>
        <v>-11.703</v>
      </c>
      <c r="W96" s="126" t="n">
        <f aca="false">N96/$R$3</f>
        <v>-11.703</v>
      </c>
    </row>
    <row r="97" customFormat="false" ht="12.75" hidden="true" customHeight="false" outlineLevel="0" collapsed="false">
      <c r="A97" s="120" t="n">
        <f aca="false">A96+1</f>
        <v>36983</v>
      </c>
      <c r="B97" s="131" t="str">
        <f aca="false">INDEX('Master Data'!$A$2:$B$8,MATCH(WEEKDAY('ARG Gas Firm'!A97,3),'Master Data'!$A$2:$A$8,0),2)</f>
        <v>M</v>
      </c>
      <c r="D97" s="124" t="n">
        <v>-3489871.45140112</v>
      </c>
      <c r="E97" s="124" t="n">
        <v>590065.057834465</v>
      </c>
      <c r="F97" s="124" t="n">
        <v>0</v>
      </c>
      <c r="G97" s="124" t="n">
        <v>0</v>
      </c>
      <c r="I97" s="124" t="n">
        <f aca="false">IF(MONTH($A97)=MONTH($A96),IF(G97=0,I96,G97),G97)</f>
        <v>0</v>
      </c>
      <c r="J97" s="124" t="n">
        <f aca="false">IF(MONTH($A97)=MONTH($A96),SUM(I97-I96),I97)</f>
        <v>0</v>
      </c>
      <c r="K97" s="124" t="n">
        <f aca="false">IF(WEEKDAY(A97,3)&gt;4,0,(IF(A97&lt;K$2,0,IF(A97&lt;=K$3,1,0))))</f>
        <v>0</v>
      </c>
      <c r="L97" s="124" t="n">
        <f aca="false">J97*K97</f>
        <v>0</v>
      </c>
      <c r="M97" s="124" t="n">
        <f aca="false">SUM(J$97:J97)</f>
        <v>0</v>
      </c>
      <c r="N97" s="124" t="n">
        <f aca="false">SUM(J$6:J97)</f>
        <v>-11703</v>
      </c>
      <c r="P97" s="124" t="n">
        <f aca="false">D97/P$3</f>
        <v>-3.48987145140112</v>
      </c>
      <c r="Q97" s="124" t="n">
        <f aca="false">E97/P$3</f>
        <v>0.590065057834465</v>
      </c>
      <c r="R97" s="124" t="n">
        <f aca="false">F97/R$3</f>
        <v>0</v>
      </c>
      <c r="S97" s="126" t="n">
        <f aca="false">J97/$R$3</f>
        <v>0</v>
      </c>
      <c r="T97" s="126" t="n">
        <f aca="false">L97/$R$3</f>
        <v>0</v>
      </c>
      <c r="U97" s="126" t="n">
        <f aca="false">I97/$R$3</f>
        <v>0</v>
      </c>
      <c r="V97" s="126" t="n">
        <f aca="false">M97/$R$3</f>
        <v>0</v>
      </c>
      <c r="W97" s="126" t="n">
        <f aca="false">N97/$R$3</f>
        <v>-11.703</v>
      </c>
    </row>
    <row r="98" customFormat="false" ht="12.75" hidden="true" customHeight="false" outlineLevel="0" collapsed="false">
      <c r="A98" s="120" t="n">
        <f aca="false">A97+1</f>
        <v>36984</v>
      </c>
      <c r="B98" s="131" t="str">
        <f aca="false">INDEX('Master Data'!$A$2:$B$8,MATCH(WEEKDAY('ARG Gas Firm'!A98,3),'Master Data'!$A$2:$A$8,0),2)</f>
        <v>T</v>
      </c>
      <c r="D98" s="124" t="n">
        <v>-2489661.14511206</v>
      </c>
      <c r="E98" s="124" t="n">
        <v>540691.332672727</v>
      </c>
      <c r="F98" s="124" t="n">
        <v>0</v>
      </c>
      <c r="G98" s="124" t="n">
        <v>339136</v>
      </c>
      <c r="I98" s="124" t="n">
        <f aca="false">IF(MONTH($A98)=MONTH($A97),IF(G98=0,I97,G98),G98)</f>
        <v>339136</v>
      </c>
      <c r="J98" s="124" t="n">
        <f aca="false">IF(MONTH($A98)=MONTH($A97),SUM(I98-I97),I98)</f>
        <v>339136</v>
      </c>
      <c r="K98" s="124" t="n">
        <f aca="false">IF(WEEKDAY(A98,3)&gt;4,0,(IF(A98&lt;K$2,0,IF(A98&lt;=K$3,1,0))))</f>
        <v>0</v>
      </c>
      <c r="L98" s="124" t="n">
        <f aca="false">J98*K98</f>
        <v>0</v>
      </c>
      <c r="M98" s="124" t="n">
        <f aca="false">SUM(J$97:J98)</f>
        <v>339136</v>
      </c>
      <c r="N98" s="124" t="n">
        <f aca="false">SUM(J$6:J98)</f>
        <v>327433</v>
      </c>
      <c r="P98" s="124" t="n">
        <f aca="false">D98/P$3</f>
        <v>-2.48966114511206</v>
      </c>
      <c r="Q98" s="124" t="n">
        <f aca="false">E98/P$3</f>
        <v>0.540691332672727</v>
      </c>
      <c r="R98" s="124" t="n">
        <f aca="false">F98/R$3</f>
        <v>0</v>
      </c>
      <c r="S98" s="126" t="n">
        <f aca="false">J98/$R$3</f>
        <v>339.136</v>
      </c>
      <c r="T98" s="126" t="n">
        <f aca="false">L98/$R$3</f>
        <v>0</v>
      </c>
      <c r="U98" s="126" t="n">
        <f aca="false">I98/$R$3</f>
        <v>339.136</v>
      </c>
      <c r="V98" s="126" t="n">
        <f aca="false">M98/$R$3</f>
        <v>339.136</v>
      </c>
      <c r="W98" s="126" t="n">
        <f aca="false">N98/$R$3</f>
        <v>327.433</v>
      </c>
    </row>
    <row r="99" customFormat="false" ht="12.75" hidden="true" customHeight="false" outlineLevel="0" collapsed="false">
      <c r="A99" s="120" t="n">
        <f aca="false">A98+1</f>
        <v>36985</v>
      </c>
      <c r="B99" s="131" t="str">
        <f aca="false">INDEX('Master Data'!$A$2:$B$8,MATCH(WEEKDAY('ARG Gas Firm'!A99,3),'Master Data'!$A$2:$A$8,0),2)</f>
        <v>W</v>
      </c>
      <c r="D99" s="124" t="n">
        <v>-2494248.48208427</v>
      </c>
      <c r="E99" s="124" t="n">
        <v>540954.426202101</v>
      </c>
      <c r="F99" s="124" t="n">
        <v>0</v>
      </c>
      <c r="G99" s="124" t="n">
        <v>339136</v>
      </c>
      <c r="I99" s="124" t="n">
        <f aca="false">IF(MONTH($A99)=MONTH($A98),IF(G99=0,I98,G99),G99)</f>
        <v>339136</v>
      </c>
      <c r="J99" s="124" t="n">
        <f aca="false">IF(MONTH($A99)=MONTH($A98),SUM(I99-I98),I99)</f>
        <v>0</v>
      </c>
      <c r="K99" s="124" t="n">
        <f aca="false">IF(WEEKDAY(A99,3)&gt;4,0,(IF(A99&lt;K$2,0,IF(A99&lt;=K$3,1,0))))</f>
        <v>0</v>
      </c>
      <c r="L99" s="124" t="n">
        <f aca="false">J99*K99</f>
        <v>0</v>
      </c>
      <c r="M99" s="124" t="n">
        <f aca="false">SUM(J$97:J99)</f>
        <v>339136</v>
      </c>
      <c r="N99" s="124" t="n">
        <f aca="false">SUM(J$6:J99)</f>
        <v>327433</v>
      </c>
      <c r="P99" s="124" t="n">
        <f aca="false">D99/P$3</f>
        <v>-2.49424848208427</v>
      </c>
      <c r="Q99" s="124" t="n">
        <f aca="false">E99/P$3</f>
        <v>0.540954426202101</v>
      </c>
      <c r="R99" s="124" t="n">
        <f aca="false">F99/R$3</f>
        <v>0</v>
      </c>
      <c r="S99" s="126" t="n">
        <f aca="false">J99/$R$3</f>
        <v>0</v>
      </c>
      <c r="T99" s="126" t="n">
        <f aca="false">L99/$R$3</f>
        <v>0</v>
      </c>
      <c r="U99" s="126" t="n">
        <f aca="false">I99/$R$3</f>
        <v>339.136</v>
      </c>
      <c r="V99" s="126" t="n">
        <f aca="false">M99/$R$3</f>
        <v>339.136</v>
      </c>
      <c r="W99" s="126" t="n">
        <f aca="false">N99/$R$3</f>
        <v>327.433</v>
      </c>
    </row>
    <row r="100" customFormat="false" ht="12.75" hidden="true" customHeight="false" outlineLevel="0" collapsed="false">
      <c r="A100" s="120" t="n">
        <f aca="false">A99+1</f>
        <v>36986</v>
      </c>
      <c r="B100" s="131" t="str">
        <f aca="false">INDEX('Master Data'!$A$2:$B$8,MATCH(WEEKDAY('ARG Gas Firm'!A100,3),'Master Data'!$A$2:$A$8,0),2)</f>
        <v>Th</v>
      </c>
      <c r="D100" s="124" t="n">
        <v>-2484119.18172592</v>
      </c>
      <c r="E100" s="124" t="n">
        <v>540856.750578492</v>
      </c>
      <c r="F100" s="124" t="n">
        <v>0</v>
      </c>
      <c r="G100" s="124" t="n">
        <v>339136</v>
      </c>
      <c r="I100" s="124" t="n">
        <f aca="false">IF(MONTH($A100)=MONTH($A99),IF(G100=0,I99,G100),G100)</f>
        <v>339136</v>
      </c>
      <c r="J100" s="124" t="n">
        <f aca="false">IF(MONTH($A100)=MONTH($A99),SUM(I100-I99),I100)</f>
        <v>0</v>
      </c>
      <c r="K100" s="124" t="n">
        <f aca="false">IF(WEEKDAY(A100,3)&gt;4,0,(IF(A100&lt;K$2,0,IF(A100&lt;=K$3,1,0))))</f>
        <v>0</v>
      </c>
      <c r="L100" s="124" t="n">
        <f aca="false">J100*K100</f>
        <v>0</v>
      </c>
      <c r="M100" s="124" t="n">
        <f aca="false">SUM(J$97:J100)</f>
        <v>339136</v>
      </c>
      <c r="N100" s="124" t="n">
        <f aca="false">SUM(J$6:J100)</f>
        <v>327433</v>
      </c>
      <c r="P100" s="124" t="n">
        <f aca="false">D100/P$3</f>
        <v>-2.48411918172592</v>
      </c>
      <c r="Q100" s="124" t="n">
        <f aca="false">E100/P$3</f>
        <v>0.540856750578492</v>
      </c>
      <c r="R100" s="124" t="n">
        <f aca="false">F100/R$3</f>
        <v>0</v>
      </c>
      <c r="S100" s="126" t="n">
        <f aca="false">J100/$R$3</f>
        <v>0</v>
      </c>
      <c r="T100" s="126" t="n">
        <f aca="false">L100/$R$3</f>
        <v>0</v>
      </c>
      <c r="U100" s="126" t="n">
        <f aca="false">I100/$R$3</f>
        <v>339.136</v>
      </c>
      <c r="V100" s="126" t="n">
        <f aca="false">M100/$R$3</f>
        <v>339.136</v>
      </c>
      <c r="W100" s="126" t="n">
        <f aca="false">N100/$R$3</f>
        <v>327.433</v>
      </c>
    </row>
    <row r="101" customFormat="false" ht="12.75" hidden="true" customHeight="false" outlineLevel="0" collapsed="false">
      <c r="A101" s="120" t="n">
        <f aca="false">A100+1</f>
        <v>36987</v>
      </c>
      <c r="B101" s="131" t="str">
        <f aca="false">INDEX('Master Data'!$A$2:$B$8,MATCH(WEEKDAY('ARG Gas Firm'!A101,3),'Master Data'!$A$2:$A$8,0),2)</f>
        <v>F</v>
      </c>
      <c r="D101" s="124" t="n">
        <v>-2507786.66306839</v>
      </c>
      <c r="E101" s="124" t="n">
        <v>541152.916136152</v>
      </c>
      <c r="F101" s="124" t="n">
        <v>0</v>
      </c>
      <c r="G101" s="124" t="n">
        <v>339135</v>
      </c>
      <c r="I101" s="124" t="n">
        <f aca="false">IF(MONTH($A101)=MONTH($A100),IF(G101=0,I100,G101),G101)</f>
        <v>339135</v>
      </c>
      <c r="J101" s="124" t="n">
        <f aca="false">IF(MONTH($A101)=MONTH($A100),SUM(I101-I100),I101)</f>
        <v>-1</v>
      </c>
      <c r="K101" s="124" t="n">
        <f aca="false">IF(WEEKDAY(A101,3)&gt;4,0,(IF(A101&lt;K$2,0,IF(A101&lt;=K$3,1,0))))</f>
        <v>0</v>
      </c>
      <c r="L101" s="124" t="n">
        <f aca="false">J101*K101</f>
        <v>-0</v>
      </c>
      <c r="M101" s="124" t="n">
        <f aca="false">SUM(J$97:J101)</f>
        <v>339135</v>
      </c>
      <c r="N101" s="124" t="n">
        <f aca="false">SUM(J$6:J101)</f>
        <v>327432</v>
      </c>
      <c r="P101" s="124" t="n">
        <f aca="false">D101/P$3</f>
        <v>-2.50778666306839</v>
      </c>
      <c r="Q101" s="124" t="n">
        <f aca="false">E101/P$3</f>
        <v>0.541152916136152</v>
      </c>
      <c r="R101" s="124" t="n">
        <f aca="false">F101/R$3</f>
        <v>0</v>
      </c>
      <c r="S101" s="126" t="n">
        <f aca="false">J101/$R$3</f>
        <v>-0.001</v>
      </c>
      <c r="T101" s="126" t="n">
        <f aca="false">L101/$R$3</f>
        <v>-0</v>
      </c>
      <c r="U101" s="126" t="n">
        <f aca="false">I101/$R$3</f>
        <v>339.135</v>
      </c>
      <c r="V101" s="126" t="n">
        <f aca="false">M101/$R$3</f>
        <v>339.135</v>
      </c>
      <c r="W101" s="126" t="n">
        <f aca="false">N101/$R$3</f>
        <v>327.432</v>
      </c>
    </row>
    <row r="102" customFormat="false" ht="12.75" hidden="true" customHeight="false" outlineLevel="0" collapsed="false">
      <c r="A102" s="120" t="n">
        <f aca="false">A101+1</f>
        <v>36988</v>
      </c>
      <c r="B102" s="131" t="str">
        <f aca="false">INDEX('Master Data'!$A$2:$B$8,MATCH(WEEKDAY('ARG Gas Firm'!A102,3),'Master Data'!$A$2:$A$8,0),2)</f>
        <v>Sa</v>
      </c>
      <c r="D102" s="124" t="n">
        <v>0</v>
      </c>
      <c r="E102" s="124" t="n">
        <v>0</v>
      </c>
      <c r="F102" s="124" t="n">
        <v>0</v>
      </c>
      <c r="G102" s="124" t="n">
        <v>0</v>
      </c>
      <c r="I102" s="124" t="n">
        <f aca="false">IF(MONTH($A102)=MONTH($A101),IF(G102=0,I101,G102),G102)</f>
        <v>339135</v>
      </c>
      <c r="J102" s="124" t="n">
        <f aca="false">IF(MONTH($A102)=MONTH($A101),SUM(I102-I101),I102)</f>
        <v>0</v>
      </c>
      <c r="K102" s="124" t="n">
        <f aca="false">IF(WEEKDAY(A102,3)&gt;4,0,(IF(A102&lt;K$2,0,IF(A102&lt;=K$3,1,0))))</f>
        <v>0</v>
      </c>
      <c r="L102" s="124" t="n">
        <f aca="false">J102*K102</f>
        <v>0</v>
      </c>
      <c r="M102" s="124" t="n">
        <f aca="false">SUM(J$97:J102)</f>
        <v>339135</v>
      </c>
      <c r="N102" s="124" t="n">
        <f aca="false">SUM(J$6:J102)</f>
        <v>327432</v>
      </c>
      <c r="P102" s="124" t="n">
        <f aca="false">D102/P$3</f>
        <v>0</v>
      </c>
      <c r="Q102" s="124" t="n">
        <f aca="false">E102/P$3</f>
        <v>0</v>
      </c>
      <c r="R102" s="124" t="n">
        <f aca="false">F102/R$3</f>
        <v>0</v>
      </c>
      <c r="S102" s="126" t="n">
        <f aca="false">J102/$R$3</f>
        <v>0</v>
      </c>
      <c r="T102" s="126" t="n">
        <f aca="false">L102/$R$3</f>
        <v>0</v>
      </c>
      <c r="U102" s="126" t="n">
        <f aca="false">I102/$R$3</f>
        <v>339.135</v>
      </c>
      <c r="V102" s="126" t="n">
        <f aca="false">M102/$R$3</f>
        <v>339.135</v>
      </c>
      <c r="W102" s="126" t="n">
        <f aca="false">N102/$R$3</f>
        <v>327.432</v>
      </c>
    </row>
    <row r="103" customFormat="false" ht="12.75" hidden="true" customHeight="false" outlineLevel="0" collapsed="false">
      <c r="A103" s="120" t="n">
        <f aca="false">A102+1</f>
        <v>36989</v>
      </c>
      <c r="B103" s="131" t="str">
        <f aca="false">INDEX('Master Data'!$A$2:$B$8,MATCH(WEEKDAY('ARG Gas Firm'!A103,3),'Master Data'!$A$2:$A$8,0),2)</f>
        <v>Su</v>
      </c>
      <c r="D103" s="124" t="n">
        <v>0</v>
      </c>
      <c r="E103" s="124" t="n">
        <v>0</v>
      </c>
      <c r="F103" s="124" t="n">
        <v>0</v>
      </c>
      <c r="G103" s="124" t="n">
        <v>0</v>
      </c>
      <c r="I103" s="124" t="n">
        <f aca="false">IF(MONTH($A103)=MONTH($A102),IF(G103=0,I102,G103),G103)</f>
        <v>339135</v>
      </c>
      <c r="J103" s="124" t="n">
        <f aca="false">IF(MONTH($A103)=MONTH($A102),SUM(I103-I102),I103)</f>
        <v>0</v>
      </c>
      <c r="K103" s="124" t="n">
        <f aca="false">IF(WEEKDAY(A103,3)&gt;4,0,(IF(A103&lt;K$2,0,IF(A103&lt;=K$3,1,0))))</f>
        <v>0</v>
      </c>
      <c r="L103" s="124" t="n">
        <f aca="false">J103*K103</f>
        <v>0</v>
      </c>
      <c r="M103" s="124" t="n">
        <f aca="false">SUM(J$97:J103)</f>
        <v>339135</v>
      </c>
      <c r="N103" s="124" t="n">
        <f aca="false">SUM(J$6:J103)</f>
        <v>327432</v>
      </c>
      <c r="P103" s="124" t="n">
        <f aca="false">D103/P$3</f>
        <v>0</v>
      </c>
      <c r="Q103" s="124" t="n">
        <f aca="false">E103/P$3</f>
        <v>0</v>
      </c>
      <c r="R103" s="124" t="n">
        <f aca="false">F103/R$3</f>
        <v>0</v>
      </c>
      <c r="S103" s="126" t="n">
        <f aca="false">J103/$R$3</f>
        <v>0</v>
      </c>
      <c r="T103" s="126" t="n">
        <f aca="false">L103/$R$3</f>
        <v>0</v>
      </c>
      <c r="U103" s="126" t="n">
        <f aca="false">I103/$R$3</f>
        <v>339.135</v>
      </c>
      <c r="V103" s="126" t="n">
        <f aca="false">M103/$R$3</f>
        <v>339.135</v>
      </c>
      <c r="W103" s="126" t="n">
        <f aca="false">N103/$R$3</f>
        <v>327.432</v>
      </c>
    </row>
    <row r="104" customFormat="false" ht="12.75" hidden="true" customHeight="false" outlineLevel="0" collapsed="false">
      <c r="A104" s="120" t="n">
        <f aca="false">A103+1</f>
        <v>36990</v>
      </c>
      <c r="B104" s="131" t="str">
        <f aca="false">INDEX('Master Data'!$A$2:$B$8,MATCH(WEEKDAY('ARG Gas Firm'!A104,3),'Master Data'!$A$2:$A$8,0),2)</f>
        <v>M</v>
      </c>
      <c r="D104" s="124" t="n">
        <v>-2503378.42041902</v>
      </c>
      <c r="E104" s="124" t="n">
        <v>541421.69193949</v>
      </c>
      <c r="F104" s="124" t="n">
        <v>0</v>
      </c>
      <c r="G104" s="124" t="n">
        <v>339136</v>
      </c>
      <c r="I104" s="124" t="n">
        <f aca="false">IF(MONTH($A104)=MONTH($A103),IF(G104=0,I103,G104),G104)</f>
        <v>339136</v>
      </c>
      <c r="J104" s="124" t="n">
        <f aca="false">IF(MONTH($A104)=MONTH($A103),SUM(I104-I103),I104)</f>
        <v>1</v>
      </c>
      <c r="K104" s="124" t="n">
        <f aca="false">IF(WEEKDAY(A104,3)&gt;4,0,(IF(A104&lt;K$2,0,IF(A104&lt;=K$3,1,0))))</f>
        <v>0</v>
      </c>
      <c r="L104" s="124" t="n">
        <f aca="false">J104*K104</f>
        <v>0</v>
      </c>
      <c r="M104" s="124" t="n">
        <f aca="false">SUM(J$97:J104)</f>
        <v>339136</v>
      </c>
      <c r="N104" s="124" t="n">
        <f aca="false">SUM(J$6:J104)</f>
        <v>327433</v>
      </c>
      <c r="P104" s="124" t="n">
        <f aca="false">D104/P$3</f>
        <v>-2.50337842041902</v>
      </c>
      <c r="Q104" s="124" t="n">
        <f aca="false">E104/P$3</f>
        <v>0.54142169193949</v>
      </c>
      <c r="R104" s="124" t="n">
        <f aca="false">F104/R$3</f>
        <v>0</v>
      </c>
      <c r="S104" s="126" t="n">
        <f aca="false">J104/$R$3</f>
        <v>0.001</v>
      </c>
      <c r="T104" s="126" t="n">
        <f aca="false">L104/$R$3</f>
        <v>0</v>
      </c>
      <c r="U104" s="126" t="n">
        <f aca="false">I104/$R$3</f>
        <v>339.136</v>
      </c>
      <c r="V104" s="126" t="n">
        <f aca="false">M104/$R$3</f>
        <v>339.136</v>
      </c>
      <c r="W104" s="126" t="n">
        <f aca="false">N104/$R$3</f>
        <v>327.433</v>
      </c>
    </row>
    <row r="105" customFormat="false" ht="12.75" hidden="true" customHeight="false" outlineLevel="0" collapsed="false">
      <c r="A105" s="120" t="n">
        <f aca="false">A104+1</f>
        <v>36991</v>
      </c>
      <c r="B105" s="131" t="str">
        <f aca="false">INDEX('Master Data'!$A$2:$B$8,MATCH(WEEKDAY('ARG Gas Firm'!A105,3),'Master Data'!$A$2:$A$8,0),2)</f>
        <v>T</v>
      </c>
      <c r="D105" s="124" t="n">
        <v>-2462321.84060923</v>
      </c>
      <c r="E105" s="124" t="n">
        <v>540935.356509929</v>
      </c>
      <c r="F105" s="124" t="n">
        <v>0</v>
      </c>
      <c r="G105" s="124" t="n">
        <v>339136</v>
      </c>
      <c r="I105" s="124" t="n">
        <f aca="false">IF(MONTH($A105)=MONTH($A104),IF(G105=0,I104,G105),G105)</f>
        <v>339136</v>
      </c>
      <c r="J105" s="124" t="n">
        <f aca="false">IF(MONTH($A105)=MONTH($A104),SUM(I105-I104),I105)</f>
        <v>0</v>
      </c>
      <c r="K105" s="124" t="n">
        <f aca="false">IF(WEEKDAY(A105,3)&gt;4,0,(IF(A105&lt;K$2,0,IF(A105&lt;=K$3,1,0))))</f>
        <v>0</v>
      </c>
      <c r="L105" s="124" t="n">
        <f aca="false">J105*K105</f>
        <v>0</v>
      </c>
      <c r="M105" s="124" t="n">
        <f aca="false">SUM(J$97:J105)</f>
        <v>339136</v>
      </c>
      <c r="N105" s="124" t="n">
        <f aca="false">SUM(J$6:J105)</f>
        <v>327433</v>
      </c>
      <c r="P105" s="124" t="n">
        <f aca="false">D105/P$3</f>
        <v>-2.46232184060924</v>
      </c>
      <c r="Q105" s="124" t="n">
        <f aca="false">E105/P$3</f>
        <v>0.540935356509929</v>
      </c>
      <c r="R105" s="124" t="n">
        <f aca="false">F105/R$3</f>
        <v>0</v>
      </c>
      <c r="S105" s="126" t="n">
        <f aca="false">J105/$R$3</f>
        <v>0</v>
      </c>
      <c r="T105" s="126" t="n">
        <f aca="false">L105/$R$3</f>
        <v>0</v>
      </c>
      <c r="U105" s="126" t="n">
        <f aca="false">I105/$R$3</f>
        <v>339.136</v>
      </c>
      <c r="V105" s="126" t="n">
        <f aca="false">M105/$R$3</f>
        <v>339.136</v>
      </c>
      <c r="W105" s="126" t="n">
        <f aca="false">N105/$R$3</f>
        <v>327.433</v>
      </c>
    </row>
    <row r="106" customFormat="false" ht="12.75" hidden="true" customHeight="false" outlineLevel="0" collapsed="false">
      <c r="A106" s="120" t="n">
        <f aca="false">A105+1</f>
        <v>36992</v>
      </c>
      <c r="B106" s="131" t="str">
        <f aca="false">INDEX('Master Data'!$A$2:$B$8,MATCH(WEEKDAY('ARG Gas Firm'!A106,3),'Master Data'!$A$2:$A$8,0),2)</f>
        <v>W</v>
      </c>
      <c r="D106" s="124" t="n">
        <v>-2464230.2338954</v>
      </c>
      <c r="E106" s="124" t="n">
        <v>541080.499367072</v>
      </c>
      <c r="F106" s="124" t="n">
        <v>0</v>
      </c>
      <c r="G106" s="124" t="n">
        <v>339137</v>
      </c>
      <c r="I106" s="124" t="n">
        <f aca="false">IF(MONTH($A106)=MONTH($A105),IF(G106=0,I105,G106),G106)</f>
        <v>339137</v>
      </c>
      <c r="J106" s="124" t="n">
        <f aca="false">IF(MONTH($A106)=MONTH($A105),SUM(I106-I105),I106)</f>
        <v>1</v>
      </c>
      <c r="K106" s="124" t="n">
        <f aca="false">IF(WEEKDAY(A106,3)&gt;4,0,(IF(A106&lt;K$2,0,IF(A106&lt;=K$3,1,0))))</f>
        <v>0</v>
      </c>
      <c r="L106" s="124" t="n">
        <f aca="false">J106*K106</f>
        <v>0</v>
      </c>
      <c r="M106" s="124" t="n">
        <f aca="false">SUM(J$97:J106)</f>
        <v>339137</v>
      </c>
      <c r="N106" s="124" t="n">
        <f aca="false">SUM(J$6:J106)</f>
        <v>327434</v>
      </c>
      <c r="P106" s="124" t="n">
        <f aca="false">D106/P$3</f>
        <v>-2.4642302338954</v>
      </c>
      <c r="Q106" s="124" t="n">
        <f aca="false">E106/P$3</f>
        <v>0.541080499367072</v>
      </c>
      <c r="R106" s="124" t="n">
        <f aca="false">F106/R$3</f>
        <v>0</v>
      </c>
      <c r="S106" s="126" t="n">
        <f aca="false">J106/$R$3</f>
        <v>0.001</v>
      </c>
      <c r="T106" s="126" t="n">
        <f aca="false">L106/$R$3</f>
        <v>0</v>
      </c>
      <c r="U106" s="126" t="n">
        <f aca="false">I106/$R$3</f>
        <v>339.137</v>
      </c>
      <c r="V106" s="126" t="n">
        <f aca="false">M106/$R$3</f>
        <v>339.137</v>
      </c>
      <c r="W106" s="126" t="n">
        <f aca="false">N106/$R$3</f>
        <v>327.434</v>
      </c>
    </row>
    <row r="107" customFormat="false" ht="12.75" hidden="true" customHeight="false" outlineLevel="0" collapsed="false">
      <c r="A107" s="120" t="n">
        <f aca="false">A106+1</f>
        <v>36993</v>
      </c>
      <c r="B107" s="131" t="str">
        <f aca="false">INDEX('Master Data'!$A$2:$B$8,MATCH(WEEKDAY('ARG Gas Firm'!A107,3),'Master Data'!$A$2:$A$8,0),2)</f>
        <v>Th</v>
      </c>
      <c r="D107" s="124" t="n">
        <v>-2452367.70994564</v>
      </c>
      <c r="E107" s="124" t="n">
        <v>541038.445891136</v>
      </c>
      <c r="F107" s="124" t="n">
        <v>0</v>
      </c>
      <c r="G107" s="124" t="n">
        <v>339137</v>
      </c>
      <c r="I107" s="124" t="n">
        <f aca="false">IF(MONTH($A107)=MONTH($A106),IF(G107=0,I106,G107),G107)</f>
        <v>339137</v>
      </c>
      <c r="J107" s="124" t="n">
        <f aca="false">IF(MONTH($A107)=MONTH($A106),SUM(I107-I106),I107)</f>
        <v>0</v>
      </c>
      <c r="K107" s="124" t="n">
        <f aca="false">IF(WEEKDAY(A107,3)&gt;4,0,(IF(A107&lt;K$2,0,IF(A107&lt;=K$3,1,0))))</f>
        <v>0</v>
      </c>
      <c r="L107" s="124" t="n">
        <f aca="false">J107*K107</f>
        <v>0</v>
      </c>
      <c r="M107" s="124" t="n">
        <f aca="false">SUM(J$97:J107)</f>
        <v>339137</v>
      </c>
      <c r="N107" s="124" t="n">
        <f aca="false">SUM(J$6:J107)</f>
        <v>327434</v>
      </c>
      <c r="P107" s="124" t="n">
        <f aca="false">D107/P$3</f>
        <v>-2.45236770994564</v>
      </c>
      <c r="Q107" s="124" t="n">
        <f aca="false">E107/P$3</f>
        <v>0.541038445891136</v>
      </c>
      <c r="R107" s="124" t="n">
        <f aca="false">F107/R$3</f>
        <v>0</v>
      </c>
      <c r="S107" s="126" t="n">
        <f aca="false">J107/$R$3</f>
        <v>0</v>
      </c>
      <c r="T107" s="126" t="n">
        <f aca="false">L107/$R$3</f>
        <v>0</v>
      </c>
      <c r="U107" s="126" t="n">
        <f aca="false">I107/$R$3</f>
        <v>339.137</v>
      </c>
      <c r="V107" s="126" t="n">
        <f aca="false">M107/$R$3</f>
        <v>339.137</v>
      </c>
      <c r="W107" s="126" t="n">
        <f aca="false">N107/$R$3</f>
        <v>327.434</v>
      </c>
    </row>
    <row r="108" customFormat="false" ht="12.75" hidden="true" customHeight="false" outlineLevel="0" collapsed="false">
      <c r="A108" s="120" t="n">
        <f aca="false">A107+1</f>
        <v>36994</v>
      </c>
      <c r="B108" s="131" t="str">
        <f aca="false">INDEX('Master Data'!$A$2:$B$8,MATCH(WEEKDAY('ARG Gas Firm'!A108,3),'Master Data'!$A$2:$A$8,0),2)</f>
        <v>F</v>
      </c>
      <c r="D108" s="124" t="n">
        <v>0</v>
      </c>
      <c r="E108" s="124" t="n">
        <v>0</v>
      </c>
      <c r="F108" s="124" t="n">
        <v>0</v>
      </c>
      <c r="G108" s="124" t="n">
        <v>0</v>
      </c>
      <c r="I108" s="124" t="n">
        <f aca="false">IF(MONTH($A108)=MONTH($A107),IF(G108=0,I107,G108),G108)</f>
        <v>339137</v>
      </c>
      <c r="J108" s="124" t="n">
        <f aca="false">IF(MONTH($A108)=MONTH($A107),SUM(I108-I107),I108)</f>
        <v>0</v>
      </c>
      <c r="K108" s="124" t="n">
        <f aca="false">IF(WEEKDAY(A108,3)&gt;4,0,(IF(A108&lt;K$2,0,IF(A108&lt;=K$3,1,0))))</f>
        <v>0</v>
      </c>
      <c r="L108" s="124" t="n">
        <f aca="false">J108*K108</f>
        <v>0</v>
      </c>
      <c r="M108" s="124" t="n">
        <f aca="false">SUM(J$97:J108)</f>
        <v>339137</v>
      </c>
      <c r="N108" s="124" t="n">
        <f aca="false">SUM(J$6:J108)</f>
        <v>327434</v>
      </c>
      <c r="P108" s="124" t="n">
        <f aca="false">D108/P$3</f>
        <v>0</v>
      </c>
      <c r="Q108" s="124" t="n">
        <f aca="false">E108/P$3</f>
        <v>0</v>
      </c>
      <c r="R108" s="124" t="n">
        <f aca="false">F108/R$3</f>
        <v>0</v>
      </c>
      <c r="S108" s="126" t="n">
        <f aca="false">J108/$R$3</f>
        <v>0</v>
      </c>
      <c r="T108" s="126" t="n">
        <f aca="false">L108/$R$3</f>
        <v>0</v>
      </c>
      <c r="U108" s="126" t="n">
        <f aca="false">I108/$R$3</f>
        <v>339.137</v>
      </c>
      <c r="V108" s="126" t="n">
        <f aca="false">M108/$R$3</f>
        <v>339.137</v>
      </c>
      <c r="W108" s="126" t="n">
        <f aca="false">N108/$R$3</f>
        <v>327.434</v>
      </c>
    </row>
    <row r="109" customFormat="false" ht="12.75" hidden="true" customHeight="false" outlineLevel="0" collapsed="false">
      <c r="A109" s="120" t="n">
        <f aca="false">A108+1</f>
        <v>36995</v>
      </c>
      <c r="B109" s="131" t="str">
        <f aca="false">INDEX('Master Data'!$A$2:$B$8,MATCH(WEEKDAY('ARG Gas Firm'!A109,3),'Master Data'!$A$2:$A$8,0),2)</f>
        <v>Sa</v>
      </c>
      <c r="D109" s="124" t="n">
        <v>0</v>
      </c>
      <c r="E109" s="124" t="n">
        <v>0</v>
      </c>
      <c r="F109" s="124" t="n">
        <v>0</v>
      </c>
      <c r="G109" s="124" t="n">
        <v>0</v>
      </c>
      <c r="I109" s="124" t="n">
        <f aca="false">IF(MONTH($A109)=MONTH($A108),IF(G109=0,I108,G109),G109)</f>
        <v>339137</v>
      </c>
      <c r="J109" s="124" t="n">
        <f aca="false">IF(MONTH($A109)=MONTH($A108),SUM(I109-I108),I109)</f>
        <v>0</v>
      </c>
      <c r="K109" s="124" t="n">
        <f aca="false">IF(WEEKDAY(A109,3)&gt;4,0,(IF(A109&lt;K$2,0,IF(A109&lt;=K$3,1,0))))</f>
        <v>0</v>
      </c>
      <c r="L109" s="124" t="n">
        <f aca="false">J109*K109</f>
        <v>0</v>
      </c>
      <c r="M109" s="124" t="n">
        <f aca="false">SUM(J$97:J109)</f>
        <v>339137</v>
      </c>
      <c r="N109" s="124" t="n">
        <f aca="false">SUM(J$6:J109)</f>
        <v>327434</v>
      </c>
      <c r="P109" s="124" t="n">
        <f aca="false">D109/P$3</f>
        <v>0</v>
      </c>
      <c r="Q109" s="124" t="n">
        <f aca="false">E109/P$3</f>
        <v>0</v>
      </c>
      <c r="R109" s="124" t="n">
        <f aca="false">F109/R$3</f>
        <v>0</v>
      </c>
      <c r="S109" s="126" t="n">
        <f aca="false">J109/$R$3</f>
        <v>0</v>
      </c>
      <c r="T109" s="126" t="n">
        <f aca="false">L109/$R$3</f>
        <v>0</v>
      </c>
      <c r="U109" s="126" t="n">
        <f aca="false">I109/$R$3</f>
        <v>339.137</v>
      </c>
      <c r="V109" s="126" t="n">
        <f aca="false">M109/$R$3</f>
        <v>339.137</v>
      </c>
      <c r="W109" s="126" t="n">
        <f aca="false">N109/$R$3</f>
        <v>327.434</v>
      </c>
    </row>
    <row r="110" customFormat="false" ht="12.75" hidden="true" customHeight="false" outlineLevel="0" collapsed="false">
      <c r="A110" s="120" t="n">
        <f aca="false">A109+1</f>
        <v>36996</v>
      </c>
      <c r="B110" s="131" t="str">
        <f aca="false">INDEX('Master Data'!$A$2:$B$8,MATCH(WEEKDAY('ARG Gas Firm'!A110,3),'Master Data'!$A$2:$A$8,0),2)</f>
        <v>Su</v>
      </c>
      <c r="D110" s="124" t="n">
        <v>0</v>
      </c>
      <c r="E110" s="124" t="n">
        <v>0</v>
      </c>
      <c r="F110" s="124" t="n">
        <v>0</v>
      </c>
      <c r="G110" s="124" t="n">
        <v>0</v>
      </c>
      <c r="I110" s="124" t="n">
        <f aca="false">IF(MONTH($A110)=MONTH($A109),IF(G110=0,I109,G110),G110)</f>
        <v>339137</v>
      </c>
      <c r="J110" s="124" t="n">
        <f aca="false">IF(MONTH($A110)=MONTH($A109),SUM(I110-I109),I110)</f>
        <v>0</v>
      </c>
      <c r="K110" s="124" t="n">
        <f aca="false">IF(WEEKDAY(A110,3)&gt;4,0,(IF(A110&lt;K$2,0,IF(A110&lt;=K$3,1,0))))</f>
        <v>0</v>
      </c>
      <c r="L110" s="124" t="n">
        <f aca="false">J110*K110</f>
        <v>0</v>
      </c>
      <c r="M110" s="124" t="n">
        <f aca="false">SUM(J$97:J110)</f>
        <v>339137</v>
      </c>
      <c r="N110" s="124" t="n">
        <f aca="false">SUM(J$6:J110)</f>
        <v>327434</v>
      </c>
      <c r="P110" s="124" t="n">
        <f aca="false">D110/P$3</f>
        <v>0</v>
      </c>
      <c r="Q110" s="124" t="n">
        <f aca="false">E110/P$3</f>
        <v>0</v>
      </c>
      <c r="R110" s="124" t="n">
        <f aca="false">F110/R$3</f>
        <v>0</v>
      </c>
      <c r="S110" s="126" t="n">
        <f aca="false">J110/$R$3</f>
        <v>0</v>
      </c>
      <c r="T110" s="126" t="n">
        <f aca="false">L110/$R$3</f>
        <v>0</v>
      </c>
      <c r="U110" s="126" t="n">
        <f aca="false">I110/$R$3</f>
        <v>339.137</v>
      </c>
      <c r="V110" s="126" t="n">
        <f aca="false">M110/$R$3</f>
        <v>339.137</v>
      </c>
      <c r="W110" s="126" t="n">
        <f aca="false">N110/$R$3</f>
        <v>327.434</v>
      </c>
    </row>
    <row r="111" customFormat="false" ht="12.75" hidden="true" customHeight="false" outlineLevel="0" collapsed="false">
      <c r="A111" s="120" t="n">
        <f aca="false">A110+1</f>
        <v>36997</v>
      </c>
      <c r="B111" s="131" t="str">
        <f aca="false">INDEX('Master Data'!$A$2:$B$8,MATCH(WEEKDAY('ARG Gas Firm'!A111,3),'Master Data'!$A$2:$A$8,0),2)</f>
        <v>M</v>
      </c>
      <c r="D111" s="124" t="n">
        <v>-2425360.70883479</v>
      </c>
      <c r="E111" s="124" t="n">
        <v>541019.963256976</v>
      </c>
      <c r="F111" s="124" t="n">
        <v>0</v>
      </c>
      <c r="G111" s="124" t="n">
        <v>339134</v>
      </c>
      <c r="I111" s="124" t="n">
        <f aca="false">IF(MONTH($A111)=MONTH($A110),IF(G111=0,I110,G111),G111)</f>
        <v>339134</v>
      </c>
      <c r="J111" s="124" t="n">
        <f aca="false">IF(MONTH($A111)=MONTH($A110),SUM(I111-I110),I111)</f>
        <v>-3</v>
      </c>
      <c r="K111" s="124" t="n">
        <f aca="false">IF(WEEKDAY(A111,3)&gt;4,0,(IF(A111&lt;K$2,0,IF(A111&lt;=K$3,1,0))))</f>
        <v>0</v>
      </c>
      <c r="L111" s="124" t="n">
        <f aca="false">J111*K111</f>
        <v>-0</v>
      </c>
      <c r="M111" s="124" t="n">
        <f aca="false">SUM(J$97:J111)</f>
        <v>339134</v>
      </c>
      <c r="N111" s="124" t="n">
        <f aca="false">SUM(J$6:J111)</f>
        <v>327431</v>
      </c>
      <c r="P111" s="124" t="n">
        <f aca="false">D111/P$3</f>
        <v>-2.42536070883479</v>
      </c>
      <c r="Q111" s="124" t="n">
        <f aca="false">E111/P$3</f>
        <v>0.541019963256976</v>
      </c>
      <c r="R111" s="124" t="n">
        <f aca="false">F111/R$3</f>
        <v>0</v>
      </c>
      <c r="S111" s="126" t="n">
        <f aca="false">J111/$R$3</f>
        <v>-0.003</v>
      </c>
      <c r="T111" s="126" t="n">
        <f aca="false">L111/$R$3</f>
        <v>-0</v>
      </c>
      <c r="U111" s="126" t="n">
        <f aca="false">I111/$R$3</f>
        <v>339.134</v>
      </c>
      <c r="V111" s="126" t="n">
        <f aca="false">M111/$R$3</f>
        <v>339.134</v>
      </c>
      <c r="W111" s="126" t="n">
        <f aca="false">N111/$R$3</f>
        <v>327.431</v>
      </c>
    </row>
    <row r="112" customFormat="false" ht="12.75" hidden="true" customHeight="false" outlineLevel="0" collapsed="false">
      <c r="A112" s="120" t="n">
        <f aca="false">A111+1</f>
        <v>36998</v>
      </c>
      <c r="B112" s="131" t="str">
        <f aca="false">INDEX('Master Data'!$A$2:$B$8,MATCH(WEEKDAY('ARG Gas Firm'!A112,3),'Master Data'!$A$2:$A$8,0),2)</f>
        <v>T</v>
      </c>
      <c r="D112" s="124" t="n">
        <v>-2444742.86993427</v>
      </c>
      <c r="E112" s="124" t="n">
        <v>541285.262231375</v>
      </c>
      <c r="F112" s="124" t="n">
        <v>0</v>
      </c>
      <c r="G112" s="124" t="n">
        <v>339135</v>
      </c>
      <c r="I112" s="124" t="n">
        <f aca="false">IF(MONTH($A112)=MONTH($A111),IF(G112=0,I111,G112),G112)</f>
        <v>339135</v>
      </c>
      <c r="J112" s="124" t="n">
        <f aca="false">IF(MONTH($A112)=MONTH($A111),SUM(I112-I111),I112)</f>
        <v>1</v>
      </c>
      <c r="K112" s="124" t="n">
        <f aca="false">IF(WEEKDAY(A112,3)&gt;4,0,(IF(A112&lt;K$2,0,IF(A112&lt;=K$3,1,0))))</f>
        <v>0</v>
      </c>
      <c r="L112" s="124" t="n">
        <f aca="false">J112*K112</f>
        <v>0</v>
      </c>
      <c r="M112" s="124" t="n">
        <f aca="false">SUM(J$97:J112)</f>
        <v>339135</v>
      </c>
      <c r="N112" s="124" t="n">
        <f aca="false">SUM(J$6:J112)</f>
        <v>327432</v>
      </c>
      <c r="P112" s="124" t="n">
        <f aca="false">D112/P$3</f>
        <v>-2.44474286993427</v>
      </c>
      <c r="Q112" s="124" t="n">
        <f aca="false">E112/P$3</f>
        <v>0.541285262231375</v>
      </c>
      <c r="R112" s="124" t="n">
        <f aca="false">F112/R$3</f>
        <v>0</v>
      </c>
      <c r="S112" s="126" t="n">
        <f aca="false">J112/$R$3</f>
        <v>0.001</v>
      </c>
      <c r="T112" s="126" t="n">
        <f aca="false">L112/$R$3</f>
        <v>0</v>
      </c>
      <c r="U112" s="126" t="n">
        <f aca="false">I112/$R$3</f>
        <v>339.135</v>
      </c>
      <c r="V112" s="126" t="n">
        <f aca="false">M112/$R$3</f>
        <v>339.135</v>
      </c>
      <c r="W112" s="126" t="n">
        <f aca="false">N112/$R$3</f>
        <v>327.432</v>
      </c>
    </row>
    <row r="113" customFormat="false" ht="12.75" hidden="true" customHeight="false" outlineLevel="0" collapsed="false">
      <c r="A113" s="120" t="n">
        <f aca="false">A112+1</f>
        <v>36999</v>
      </c>
      <c r="B113" s="131" t="str">
        <f aca="false">INDEX('Master Data'!$A$2:$B$8,MATCH(WEEKDAY('ARG Gas Firm'!A113,3),'Master Data'!$A$2:$A$8,0),2)</f>
        <v>W</v>
      </c>
      <c r="D113" s="124" t="n">
        <v>-2470909.08444695</v>
      </c>
      <c r="E113" s="124" t="n">
        <v>542004.675328366</v>
      </c>
      <c r="F113" s="124" t="n">
        <v>0</v>
      </c>
      <c r="G113" s="124" t="n">
        <v>339135</v>
      </c>
      <c r="I113" s="124" t="n">
        <f aca="false">IF(MONTH($A113)=MONTH($A112),IF(G113=0,I112,G113),G113)</f>
        <v>339135</v>
      </c>
      <c r="J113" s="124" t="n">
        <f aca="false">IF(MONTH($A113)=MONTH($A112),SUM(I113-I112),I113)</f>
        <v>0</v>
      </c>
      <c r="K113" s="124" t="n">
        <f aca="false">IF(WEEKDAY(A113,3)&gt;4,0,(IF(A113&lt;K$2,0,IF(A113&lt;=K$3,1,0))))</f>
        <v>0</v>
      </c>
      <c r="L113" s="124" t="n">
        <f aca="false">J113*K113</f>
        <v>0</v>
      </c>
      <c r="M113" s="124" t="n">
        <f aca="false">SUM(J$97:J113)</f>
        <v>339135</v>
      </c>
      <c r="N113" s="124" t="n">
        <f aca="false">SUM(J$6:J113)</f>
        <v>327432</v>
      </c>
      <c r="P113" s="124" t="n">
        <f aca="false">D113/P$3</f>
        <v>-2.47090908444695</v>
      </c>
      <c r="Q113" s="124" t="n">
        <f aca="false">E113/P$3</f>
        <v>0.542004675328366</v>
      </c>
      <c r="R113" s="124" t="n">
        <f aca="false">F113/R$3</f>
        <v>0</v>
      </c>
      <c r="S113" s="126" t="n">
        <f aca="false">J113/$R$3</f>
        <v>0</v>
      </c>
      <c r="T113" s="126" t="n">
        <f aca="false">L113/$R$3</f>
        <v>0</v>
      </c>
      <c r="U113" s="126" t="n">
        <f aca="false">I113/$R$3</f>
        <v>339.135</v>
      </c>
      <c r="V113" s="126" t="n">
        <f aca="false">M113/$R$3</f>
        <v>339.135</v>
      </c>
      <c r="W113" s="126" t="n">
        <f aca="false">N113/$R$3</f>
        <v>327.432</v>
      </c>
    </row>
    <row r="114" customFormat="false" ht="12.75" hidden="true" customHeight="false" outlineLevel="0" collapsed="false">
      <c r="A114" s="120" t="n">
        <f aca="false">A113+1</f>
        <v>37000</v>
      </c>
      <c r="B114" s="131" t="str">
        <f aca="false">INDEX('Master Data'!$A$2:$B$8,MATCH(WEEKDAY('ARG Gas Firm'!A114,3),'Master Data'!$A$2:$A$8,0),2)</f>
        <v>Th</v>
      </c>
      <c r="D114" s="124" t="n">
        <v>-2448162.07930234</v>
      </c>
      <c r="E114" s="124" t="n">
        <v>542471.178522529</v>
      </c>
      <c r="F114" s="124" t="n">
        <v>0</v>
      </c>
      <c r="G114" s="124" t="n">
        <v>339133</v>
      </c>
      <c r="I114" s="124" t="n">
        <f aca="false">IF(MONTH($A114)=MONTH($A113),IF(G114=0,I113,G114),G114)</f>
        <v>339133</v>
      </c>
      <c r="J114" s="124" t="n">
        <f aca="false">IF(MONTH($A114)=MONTH($A113),SUM(I114-I113),I114)</f>
        <v>-2</v>
      </c>
      <c r="K114" s="124" t="n">
        <f aca="false">IF(WEEKDAY(A114,3)&gt;4,0,(IF(A114&lt;K$2,0,IF(A114&lt;=K$3,1,0))))</f>
        <v>0</v>
      </c>
      <c r="L114" s="124" t="n">
        <f aca="false">J114*K114</f>
        <v>-0</v>
      </c>
      <c r="M114" s="124" t="n">
        <f aca="false">SUM(J$97:J114)</f>
        <v>339133</v>
      </c>
      <c r="N114" s="124" t="n">
        <f aca="false">SUM(J$6:J114)</f>
        <v>327430</v>
      </c>
      <c r="P114" s="124" t="n">
        <f aca="false">D114/P$3</f>
        <v>-2.44816207930234</v>
      </c>
      <c r="Q114" s="124" t="n">
        <f aca="false">E114/P$3</f>
        <v>0.542471178522529</v>
      </c>
      <c r="R114" s="124" t="n">
        <f aca="false">F114/R$3</f>
        <v>0</v>
      </c>
      <c r="S114" s="126" t="n">
        <f aca="false">J114/$R$3</f>
        <v>-0.002</v>
      </c>
      <c r="T114" s="126" t="n">
        <f aca="false">L114/$R$3</f>
        <v>-0</v>
      </c>
      <c r="U114" s="126" t="n">
        <f aca="false">I114/$R$3</f>
        <v>339.133</v>
      </c>
      <c r="V114" s="126" t="n">
        <f aca="false">M114/$R$3</f>
        <v>339.133</v>
      </c>
      <c r="W114" s="126" t="n">
        <f aca="false">N114/$R$3</f>
        <v>327.43</v>
      </c>
    </row>
    <row r="115" customFormat="false" ht="12.75" hidden="true" customHeight="false" outlineLevel="0" collapsed="false">
      <c r="A115" s="120" t="n">
        <f aca="false">A114+1</f>
        <v>37001</v>
      </c>
      <c r="B115" s="131" t="str">
        <f aca="false">INDEX('Master Data'!$A$2:$B$8,MATCH(WEEKDAY('ARG Gas Firm'!A115,3),'Master Data'!$A$2:$A$8,0),2)</f>
        <v>F</v>
      </c>
      <c r="D115" s="124" t="n">
        <v>-2443291.71891365</v>
      </c>
      <c r="E115" s="124" t="n">
        <v>542658.946313703</v>
      </c>
      <c r="F115" s="124" t="n">
        <v>0</v>
      </c>
      <c r="G115" s="124" t="n">
        <v>339132</v>
      </c>
      <c r="I115" s="124" t="n">
        <f aca="false">IF(MONTH($A115)=MONTH($A114),IF(G115=0,I114,G115),G115)</f>
        <v>339132</v>
      </c>
      <c r="J115" s="124" t="n">
        <f aca="false">IF(MONTH($A115)=MONTH($A114),SUM(I115-I114),I115)</f>
        <v>-1</v>
      </c>
      <c r="K115" s="124" t="n">
        <f aca="false">IF(WEEKDAY(A115,3)&gt;4,0,(IF(A115&lt;K$2,0,IF(A115&lt;=K$3,1,0))))</f>
        <v>0</v>
      </c>
      <c r="L115" s="124" t="n">
        <f aca="false">J115*K115</f>
        <v>-0</v>
      </c>
      <c r="M115" s="124" t="n">
        <f aca="false">SUM(J$97:J115)</f>
        <v>339132</v>
      </c>
      <c r="N115" s="124" t="n">
        <f aca="false">SUM(J$6:J115)</f>
        <v>327429</v>
      </c>
      <c r="P115" s="124" t="n">
        <f aca="false">D115/P$3</f>
        <v>-2.44329171891365</v>
      </c>
      <c r="Q115" s="124" t="n">
        <f aca="false">E115/P$3</f>
        <v>0.542658946313703</v>
      </c>
      <c r="R115" s="124" t="n">
        <f aca="false">F115/R$3</f>
        <v>0</v>
      </c>
      <c r="S115" s="126" t="n">
        <f aca="false">J115/$R$3</f>
        <v>-0.001</v>
      </c>
      <c r="T115" s="126" t="n">
        <f aca="false">L115/$R$3</f>
        <v>-0</v>
      </c>
      <c r="U115" s="126" t="n">
        <f aca="false">I115/$R$3</f>
        <v>339.132</v>
      </c>
      <c r="V115" s="126" t="n">
        <f aca="false">M115/$R$3</f>
        <v>339.132</v>
      </c>
      <c r="W115" s="126" t="n">
        <f aca="false">N115/$R$3</f>
        <v>327.429</v>
      </c>
    </row>
    <row r="116" customFormat="false" ht="12.75" hidden="true" customHeight="false" outlineLevel="0" collapsed="false">
      <c r="A116" s="120" t="n">
        <f aca="false">A115+1</f>
        <v>37002</v>
      </c>
      <c r="B116" s="131" t="str">
        <f aca="false">INDEX('Master Data'!$A$2:$B$8,MATCH(WEEKDAY('ARG Gas Firm'!A116,3),'Master Data'!$A$2:$A$8,0),2)</f>
        <v>Sa</v>
      </c>
      <c r="D116" s="124" t="n">
        <v>0</v>
      </c>
      <c r="E116" s="124" t="n">
        <v>0</v>
      </c>
      <c r="F116" s="124" t="n">
        <v>0</v>
      </c>
      <c r="G116" s="124" t="n">
        <v>0</v>
      </c>
      <c r="I116" s="124" t="n">
        <f aca="false">IF(MONTH($A116)=MONTH($A115),IF(G116=0,I115,G116),G116)</f>
        <v>339132</v>
      </c>
      <c r="J116" s="124" t="n">
        <f aca="false">IF(MONTH($A116)=MONTH($A115),SUM(I116-I115),I116)</f>
        <v>0</v>
      </c>
      <c r="K116" s="124" t="n">
        <f aca="false">IF(WEEKDAY(A116,3)&gt;4,0,(IF(A116&lt;K$2,0,IF(A116&lt;=K$3,1,0))))</f>
        <v>0</v>
      </c>
      <c r="L116" s="124" t="n">
        <f aca="false">J116*K116</f>
        <v>0</v>
      </c>
      <c r="M116" s="124" t="n">
        <f aca="false">SUM(J$97:J116)</f>
        <v>339132</v>
      </c>
      <c r="N116" s="124" t="n">
        <f aca="false">SUM(J$6:J116)</f>
        <v>327429</v>
      </c>
      <c r="P116" s="124" t="n">
        <f aca="false">D116/P$3</f>
        <v>0</v>
      </c>
      <c r="Q116" s="124" t="n">
        <f aca="false">E116/P$3</f>
        <v>0</v>
      </c>
      <c r="R116" s="124" t="n">
        <f aca="false">F116/R$3</f>
        <v>0</v>
      </c>
      <c r="S116" s="126" t="n">
        <f aca="false">J116/$R$3</f>
        <v>0</v>
      </c>
      <c r="T116" s="126" t="n">
        <f aca="false">L116/$R$3</f>
        <v>0</v>
      </c>
      <c r="U116" s="126" t="n">
        <f aca="false">I116/$R$3</f>
        <v>339.132</v>
      </c>
      <c r="V116" s="126" t="n">
        <f aca="false">M116/$R$3</f>
        <v>339.132</v>
      </c>
      <c r="W116" s="126" t="n">
        <f aca="false">N116/$R$3</f>
        <v>327.429</v>
      </c>
    </row>
    <row r="117" customFormat="false" ht="12.75" hidden="true" customHeight="false" outlineLevel="0" collapsed="false">
      <c r="A117" s="120" t="n">
        <f aca="false">A116+1</f>
        <v>37003</v>
      </c>
      <c r="B117" s="131" t="str">
        <f aca="false">INDEX('Master Data'!$A$2:$B$8,MATCH(WEEKDAY('ARG Gas Firm'!A117,3),'Master Data'!$A$2:$A$8,0),2)</f>
        <v>Su</v>
      </c>
      <c r="D117" s="124" t="n">
        <v>0</v>
      </c>
      <c r="E117" s="124" t="n">
        <v>0</v>
      </c>
      <c r="F117" s="124" t="n">
        <v>0</v>
      </c>
      <c r="G117" s="124" t="n">
        <v>0</v>
      </c>
      <c r="I117" s="124" t="n">
        <f aca="false">IF(MONTH($A117)=MONTH($A116),IF(G117=0,I116,G117),G117)</f>
        <v>339132</v>
      </c>
      <c r="J117" s="124" t="n">
        <f aca="false">IF(MONTH($A117)=MONTH($A116),SUM(I117-I116),I117)</f>
        <v>0</v>
      </c>
      <c r="K117" s="124" t="n">
        <f aca="false">IF(WEEKDAY(A117,3)&gt;4,0,(IF(A117&lt;K$2,0,IF(A117&lt;=K$3,1,0))))</f>
        <v>0</v>
      </c>
      <c r="L117" s="124" t="n">
        <f aca="false">J117*K117</f>
        <v>0</v>
      </c>
      <c r="M117" s="124" t="n">
        <f aca="false">SUM(J$97:J117)</f>
        <v>339132</v>
      </c>
      <c r="N117" s="124" t="n">
        <f aca="false">SUM(J$6:J117)</f>
        <v>327429</v>
      </c>
      <c r="P117" s="124" t="n">
        <f aca="false">D117/P$3</f>
        <v>0</v>
      </c>
      <c r="Q117" s="124" t="n">
        <f aca="false">E117/P$3</f>
        <v>0</v>
      </c>
      <c r="R117" s="124" t="n">
        <f aca="false">F117/R$3</f>
        <v>0</v>
      </c>
      <c r="S117" s="126" t="n">
        <f aca="false">J117/$R$3</f>
        <v>0</v>
      </c>
      <c r="T117" s="126" t="n">
        <f aca="false">L117/$R$3</f>
        <v>0</v>
      </c>
      <c r="U117" s="126" t="n">
        <f aca="false">I117/$R$3</f>
        <v>339.132</v>
      </c>
      <c r="V117" s="126" t="n">
        <f aca="false">M117/$R$3</f>
        <v>339.132</v>
      </c>
      <c r="W117" s="126" t="n">
        <f aca="false">N117/$R$3</f>
        <v>327.429</v>
      </c>
    </row>
    <row r="118" customFormat="false" ht="12.75" hidden="true" customHeight="false" outlineLevel="0" collapsed="false">
      <c r="A118" s="120" t="n">
        <f aca="false">A117+1</f>
        <v>37004</v>
      </c>
      <c r="B118" s="131" t="str">
        <f aca="false">INDEX('Master Data'!$A$2:$B$8,MATCH(WEEKDAY('ARG Gas Firm'!A118,3),'Master Data'!$A$2:$A$8,0),2)</f>
        <v>M</v>
      </c>
      <c r="D118" s="124" t="n">
        <v>-2468308.59719593</v>
      </c>
      <c r="E118" s="124" t="n">
        <v>543055.79894672</v>
      </c>
      <c r="F118" s="124" t="n">
        <v>0</v>
      </c>
      <c r="G118" s="124" t="n">
        <v>417246</v>
      </c>
      <c r="I118" s="124" t="n">
        <f aca="false">IF(MONTH($A118)=MONTH($A117),IF(G118=0,I117,G118),G118)</f>
        <v>417246</v>
      </c>
      <c r="J118" s="124" t="n">
        <f aca="false">IF(MONTH($A118)=MONTH($A117),SUM(I118-I117),I118)</f>
        <v>78114</v>
      </c>
      <c r="K118" s="124" t="n">
        <f aca="false">IF(WEEKDAY(A118,3)&gt;4,0,(IF(A118&lt;K$2,0,IF(A118&lt;=K$3,1,0))))</f>
        <v>0</v>
      </c>
      <c r="L118" s="124" t="n">
        <f aca="false">J118*K118</f>
        <v>0</v>
      </c>
      <c r="M118" s="124" t="n">
        <f aca="false">SUM(J$97:J118)</f>
        <v>417246</v>
      </c>
      <c r="N118" s="124" t="n">
        <f aca="false">SUM(J$6:J118)</f>
        <v>405543</v>
      </c>
      <c r="P118" s="124" t="n">
        <f aca="false">D118/P$3</f>
        <v>-2.46830859719593</v>
      </c>
      <c r="Q118" s="124" t="n">
        <f aca="false">E118/P$3</f>
        <v>0.54305579894672</v>
      </c>
      <c r="R118" s="124" t="n">
        <f aca="false">F118/R$3</f>
        <v>0</v>
      </c>
      <c r="S118" s="126" t="n">
        <f aca="false">J118/$R$3</f>
        <v>78.114</v>
      </c>
      <c r="T118" s="126" t="n">
        <f aca="false">L118/$R$3</f>
        <v>0</v>
      </c>
      <c r="U118" s="126" t="n">
        <f aca="false">I118/$R$3</f>
        <v>417.246</v>
      </c>
      <c r="V118" s="126" t="n">
        <f aca="false">M118/$R$3</f>
        <v>417.246</v>
      </c>
      <c r="W118" s="126" t="n">
        <f aca="false">N118/$R$3</f>
        <v>405.543</v>
      </c>
    </row>
    <row r="119" customFormat="false" ht="12.75" hidden="true" customHeight="false" outlineLevel="0" collapsed="false">
      <c r="A119" s="120" t="n">
        <f aca="false">A118+1</f>
        <v>37005</v>
      </c>
      <c r="B119" s="131" t="str">
        <f aca="false">INDEX('Master Data'!$A$2:$B$8,MATCH(WEEKDAY('ARG Gas Firm'!A119,3),'Master Data'!$A$2:$A$8,0),2)</f>
        <v>T</v>
      </c>
      <c r="D119" s="124" t="n">
        <v>-2459142.12032639</v>
      </c>
      <c r="E119" s="124" t="n">
        <v>543134.630145075</v>
      </c>
      <c r="F119" s="124" t="n">
        <v>0</v>
      </c>
      <c r="G119" s="124" t="n">
        <v>417248</v>
      </c>
      <c r="I119" s="124" t="n">
        <f aca="false">IF(MONTH($A119)=MONTH($A118),IF(G119=0,I118,G119),G119)</f>
        <v>417248</v>
      </c>
      <c r="J119" s="124" t="n">
        <f aca="false">IF(MONTH($A119)=MONTH($A118),SUM(I119-I118),I119)</f>
        <v>2</v>
      </c>
      <c r="K119" s="124" t="n">
        <f aca="false">IF(WEEKDAY(A119,3)&gt;4,0,(IF(A119&lt;K$2,0,IF(A119&lt;=K$3,1,0))))</f>
        <v>0</v>
      </c>
      <c r="L119" s="124" t="n">
        <f aca="false">J119*K119</f>
        <v>0</v>
      </c>
      <c r="M119" s="124" t="n">
        <f aca="false">SUM(J$97:J119)</f>
        <v>417248</v>
      </c>
      <c r="N119" s="124" t="n">
        <f aca="false">SUM(J$6:J119)</f>
        <v>405545</v>
      </c>
      <c r="P119" s="124" t="n">
        <f aca="false">D119/P$3</f>
        <v>-2.45914212032639</v>
      </c>
      <c r="Q119" s="124" t="n">
        <f aca="false">E119/P$3</f>
        <v>0.543134630145075</v>
      </c>
      <c r="R119" s="124" t="n">
        <f aca="false">F119/R$3</f>
        <v>0</v>
      </c>
      <c r="S119" s="126" t="n">
        <f aca="false">J119/$R$3</f>
        <v>0.002</v>
      </c>
      <c r="T119" s="126" t="n">
        <f aca="false">L119/$R$3</f>
        <v>0</v>
      </c>
      <c r="U119" s="126" t="n">
        <f aca="false">I119/$R$3</f>
        <v>417.248</v>
      </c>
      <c r="V119" s="126" t="n">
        <f aca="false">M119/$R$3</f>
        <v>417.248</v>
      </c>
      <c r="W119" s="126" t="n">
        <f aca="false">N119/$R$3</f>
        <v>405.545</v>
      </c>
    </row>
    <row r="120" customFormat="false" ht="12.75" hidden="true" customHeight="false" outlineLevel="0" collapsed="false">
      <c r="A120" s="120" t="n">
        <f aca="false">A119+1</f>
        <v>37006</v>
      </c>
      <c r="B120" s="131" t="str">
        <f aca="false">INDEX('Master Data'!$A$2:$B$8,MATCH(WEEKDAY('ARG Gas Firm'!A120,3),'Master Data'!$A$2:$A$8,0),2)</f>
        <v>W</v>
      </c>
      <c r="D120" s="124" t="n">
        <v>-2446887.12646007</v>
      </c>
      <c r="E120" s="124" t="n">
        <v>543068.981255744</v>
      </c>
      <c r="F120" s="124" t="n">
        <v>0</v>
      </c>
      <c r="G120" s="124" t="n">
        <v>417248</v>
      </c>
      <c r="I120" s="124" t="n">
        <f aca="false">IF(MONTH($A120)=MONTH($A119),IF(G120=0,I119,G120),G120)</f>
        <v>417248</v>
      </c>
      <c r="J120" s="124" t="n">
        <f aca="false">IF(MONTH($A120)=MONTH($A119),SUM(I120-I119),I120)</f>
        <v>0</v>
      </c>
      <c r="K120" s="124" t="n">
        <f aca="false">IF(WEEKDAY(A120,3)&gt;4,0,(IF(A120&lt;K$2,0,IF(A120&lt;=K$3,1,0))))</f>
        <v>0</v>
      </c>
      <c r="L120" s="124" t="n">
        <f aca="false">J120*K120</f>
        <v>0</v>
      </c>
      <c r="M120" s="124" t="n">
        <f aca="false">SUM(J$97:J120)</f>
        <v>417248</v>
      </c>
      <c r="N120" s="124" t="n">
        <f aca="false">SUM(J$6:J120)</f>
        <v>405545</v>
      </c>
      <c r="P120" s="124" t="n">
        <f aca="false">D120/P$3</f>
        <v>-2.44688712646007</v>
      </c>
      <c r="Q120" s="124" t="n">
        <f aca="false">E120/P$3</f>
        <v>0.543068981255744</v>
      </c>
      <c r="R120" s="124" t="n">
        <f aca="false">F120/R$3</f>
        <v>0</v>
      </c>
      <c r="S120" s="126" t="n">
        <f aca="false">J120/$R$3</f>
        <v>0</v>
      </c>
      <c r="T120" s="126" t="n">
        <f aca="false">L120/$R$3</f>
        <v>0</v>
      </c>
      <c r="U120" s="126" t="n">
        <f aca="false">I120/$R$3</f>
        <v>417.248</v>
      </c>
      <c r="V120" s="126" t="n">
        <f aca="false">M120/$R$3</f>
        <v>417.248</v>
      </c>
      <c r="W120" s="126" t="n">
        <f aca="false">N120/$R$3</f>
        <v>405.545</v>
      </c>
    </row>
    <row r="121" customFormat="false" ht="12.75" hidden="true" customHeight="false" outlineLevel="0" collapsed="false">
      <c r="A121" s="120" t="n">
        <f aca="false">A120+1</f>
        <v>37007</v>
      </c>
      <c r="B121" s="131" t="str">
        <f aca="false">INDEX('Master Data'!$A$2:$B$8,MATCH(WEEKDAY('ARG Gas Firm'!A121,3),'Master Data'!$A$2:$A$8,0),2)</f>
        <v>Th</v>
      </c>
      <c r="D121" s="124" t="n">
        <v>-2467385.60642597</v>
      </c>
      <c r="E121" s="124" t="n">
        <v>543222.313902636</v>
      </c>
      <c r="F121" s="124" t="n">
        <v>0</v>
      </c>
      <c r="G121" s="124" t="n">
        <v>417248</v>
      </c>
      <c r="I121" s="124" t="n">
        <f aca="false">IF(MONTH($A121)=MONTH($A120),IF(G121=0,I120,G121),G121)</f>
        <v>417248</v>
      </c>
      <c r="J121" s="124" t="n">
        <f aca="false">IF(MONTH($A121)=MONTH($A120),SUM(I121-I120),I121)</f>
        <v>0</v>
      </c>
      <c r="K121" s="124" t="n">
        <f aca="false">IF(WEEKDAY(A121,3)&gt;4,0,(IF(A121&lt;K$2,0,IF(A121&lt;=K$3,1,0))))</f>
        <v>0</v>
      </c>
      <c r="L121" s="124" t="n">
        <f aca="false">J121*K121</f>
        <v>0</v>
      </c>
      <c r="M121" s="124" t="n">
        <f aca="false">SUM(J$97:J121)</f>
        <v>417248</v>
      </c>
      <c r="N121" s="124" t="n">
        <f aca="false">SUM(J$6:J121)</f>
        <v>405545</v>
      </c>
      <c r="P121" s="124" t="n">
        <f aca="false">D121/P$3</f>
        <v>-2.46738560642597</v>
      </c>
      <c r="Q121" s="124" t="n">
        <f aca="false">E121/P$3</f>
        <v>0.543222313902636</v>
      </c>
      <c r="R121" s="124" t="n">
        <f aca="false">F121/R$3</f>
        <v>0</v>
      </c>
      <c r="S121" s="126" t="n">
        <f aca="false">J121/$R$3</f>
        <v>0</v>
      </c>
      <c r="T121" s="126" t="n">
        <f aca="false">L121/$R$3</f>
        <v>0</v>
      </c>
      <c r="U121" s="126" t="n">
        <f aca="false">I121/$R$3</f>
        <v>417.248</v>
      </c>
      <c r="V121" s="126" t="n">
        <f aca="false">M121/$R$3</f>
        <v>417.248</v>
      </c>
      <c r="W121" s="126" t="n">
        <f aca="false">N121/$R$3</f>
        <v>405.545</v>
      </c>
    </row>
    <row r="122" customFormat="false" ht="12.75" hidden="true" customHeight="false" outlineLevel="0" collapsed="false">
      <c r="A122" s="120" t="n">
        <f aca="false">A121+1</f>
        <v>37008</v>
      </c>
      <c r="B122" s="131" t="str">
        <f aca="false">INDEX('Master Data'!$A$2:$B$8,MATCH(WEEKDAY('ARG Gas Firm'!A122,3),'Master Data'!$A$2:$A$8,0),2)</f>
        <v>F</v>
      </c>
      <c r="D122" s="124" t="n">
        <v>-2439370.79597953</v>
      </c>
      <c r="E122" s="124" t="n">
        <v>543094.504076202</v>
      </c>
      <c r="F122" s="124" t="n">
        <v>0</v>
      </c>
      <c r="G122" s="124" t="n">
        <v>435248</v>
      </c>
      <c r="I122" s="124" t="n">
        <f aca="false">IF(MONTH($A122)=MONTH($A121),IF(G122=0,I121,G122),G122)</f>
        <v>435248</v>
      </c>
      <c r="J122" s="124" t="n">
        <f aca="false">IF(MONTH($A122)=MONTH($A121),SUM(I122-I121),I122)</f>
        <v>18000</v>
      </c>
      <c r="K122" s="124" t="n">
        <f aca="false">IF(WEEKDAY(A122,3)&gt;4,0,(IF(A122&lt;K$2,0,IF(A122&lt;=K$3,1,0))))</f>
        <v>0</v>
      </c>
      <c r="L122" s="124" t="n">
        <f aca="false">J122*K122</f>
        <v>0</v>
      </c>
      <c r="M122" s="124" t="n">
        <f aca="false">SUM(J$97:J122)</f>
        <v>435248</v>
      </c>
      <c r="N122" s="124" t="n">
        <f aca="false">SUM(J$6:J122)</f>
        <v>423545</v>
      </c>
      <c r="P122" s="124" t="n">
        <f aca="false">D122/P$3</f>
        <v>-2.43937079597953</v>
      </c>
      <c r="Q122" s="124" t="n">
        <f aca="false">E122/P$3</f>
        <v>0.543094504076202</v>
      </c>
      <c r="R122" s="124" t="n">
        <f aca="false">F122/R$3</f>
        <v>0</v>
      </c>
      <c r="S122" s="126" t="n">
        <f aca="false">J122/$R$3</f>
        <v>18</v>
      </c>
      <c r="T122" s="126" t="n">
        <f aca="false">L122/$R$3</f>
        <v>0</v>
      </c>
      <c r="U122" s="126" t="n">
        <f aca="false">I122/$R$3</f>
        <v>435.248</v>
      </c>
      <c r="V122" s="126" t="n">
        <f aca="false">M122/$R$3</f>
        <v>435.248</v>
      </c>
      <c r="W122" s="126" t="n">
        <f aca="false">N122/$R$3</f>
        <v>423.545</v>
      </c>
    </row>
    <row r="123" customFormat="false" ht="12.75" hidden="true" customHeight="false" outlineLevel="0" collapsed="false">
      <c r="A123" s="120" t="n">
        <f aca="false">A122+1</f>
        <v>37009</v>
      </c>
      <c r="B123" s="131" t="str">
        <f aca="false">INDEX('Master Data'!$A$2:$B$8,MATCH(WEEKDAY('ARG Gas Firm'!A123,3),'Master Data'!$A$2:$A$8,0),2)</f>
        <v>Sa</v>
      </c>
      <c r="D123" s="124" t="n">
        <v>0</v>
      </c>
      <c r="E123" s="124" t="n">
        <v>0</v>
      </c>
      <c r="F123" s="124" t="n">
        <v>0</v>
      </c>
      <c r="G123" s="124" t="n">
        <v>0</v>
      </c>
      <c r="I123" s="124" t="n">
        <f aca="false">IF(MONTH($A123)=MONTH($A122),IF(G123=0,I122,G123),G123)</f>
        <v>435248</v>
      </c>
      <c r="J123" s="124" t="n">
        <f aca="false">IF(MONTH($A123)=MONTH($A122),SUM(I123-I122),I123)</f>
        <v>0</v>
      </c>
      <c r="K123" s="124" t="n">
        <f aca="false">IF(WEEKDAY(A123,3)&gt;4,0,(IF(A123&lt;K$2,0,IF(A123&lt;=K$3,1,0))))</f>
        <v>0</v>
      </c>
      <c r="L123" s="124" t="n">
        <f aca="false">J123*K123</f>
        <v>0</v>
      </c>
      <c r="M123" s="124" t="n">
        <f aca="false">SUM(J$97:J123)</f>
        <v>435248</v>
      </c>
      <c r="N123" s="124" t="n">
        <f aca="false">SUM(J$6:J123)</f>
        <v>423545</v>
      </c>
      <c r="P123" s="124" t="n">
        <f aca="false">D123/P$3</f>
        <v>0</v>
      </c>
      <c r="Q123" s="124" t="n">
        <f aca="false">E123/P$3</f>
        <v>0</v>
      </c>
      <c r="R123" s="124" t="n">
        <f aca="false">F123/R$3</f>
        <v>0</v>
      </c>
      <c r="S123" s="126" t="n">
        <f aca="false">J123/$R$3</f>
        <v>0</v>
      </c>
      <c r="T123" s="126" t="n">
        <f aca="false">L123/$R$3</f>
        <v>0</v>
      </c>
      <c r="U123" s="126" t="n">
        <f aca="false">I123/$R$3</f>
        <v>435.248</v>
      </c>
      <c r="V123" s="126" t="n">
        <f aca="false">M123/$R$3</f>
        <v>435.248</v>
      </c>
      <c r="W123" s="126" t="n">
        <f aca="false">N123/$R$3</f>
        <v>423.545</v>
      </c>
    </row>
    <row r="124" customFormat="false" ht="12.75" hidden="true" customHeight="false" outlineLevel="0" collapsed="false">
      <c r="A124" s="120" t="n">
        <f aca="false">A123+1</f>
        <v>37010</v>
      </c>
      <c r="B124" s="131" t="str">
        <f aca="false">INDEX('Master Data'!$A$2:$B$8,MATCH(WEEKDAY('ARG Gas Firm'!A124,3),'Master Data'!$A$2:$A$8,0),2)</f>
        <v>Su</v>
      </c>
      <c r="D124" s="124" t="n">
        <v>0</v>
      </c>
      <c r="E124" s="124" t="n">
        <v>0</v>
      </c>
      <c r="F124" s="124" t="n">
        <v>0</v>
      </c>
      <c r="G124" s="124" t="n">
        <v>0</v>
      </c>
      <c r="I124" s="124" t="n">
        <f aca="false">IF(MONTH($A124)=MONTH($A123),IF(G124=0,I123,G124),G124)</f>
        <v>435248</v>
      </c>
      <c r="J124" s="124" t="n">
        <f aca="false">IF(MONTH($A124)=MONTH($A123),SUM(I124-I123),I124)</f>
        <v>0</v>
      </c>
      <c r="K124" s="124" t="n">
        <f aca="false">IF(WEEKDAY(A124,3)&gt;4,0,(IF(A124&lt;K$2,0,IF(A124&lt;=K$3,1,0))))</f>
        <v>0</v>
      </c>
      <c r="L124" s="124" t="n">
        <f aca="false">J124*K124</f>
        <v>0</v>
      </c>
      <c r="M124" s="124" t="n">
        <f aca="false">SUM(J$97:J124)</f>
        <v>435248</v>
      </c>
      <c r="N124" s="124" t="n">
        <f aca="false">SUM(J$6:J124)</f>
        <v>423545</v>
      </c>
      <c r="P124" s="124" t="n">
        <f aca="false">D124/P$3</f>
        <v>0</v>
      </c>
      <c r="Q124" s="124" t="n">
        <f aca="false">E124/P$3</f>
        <v>0</v>
      </c>
      <c r="R124" s="124" t="n">
        <f aca="false">F124/R$3</f>
        <v>0</v>
      </c>
      <c r="S124" s="126" t="n">
        <f aca="false">J124/$R$3</f>
        <v>0</v>
      </c>
      <c r="T124" s="126" t="n">
        <f aca="false">L124/$R$3</f>
        <v>0</v>
      </c>
      <c r="U124" s="126" t="n">
        <f aca="false">I124/$R$3</f>
        <v>435.248</v>
      </c>
      <c r="V124" s="126" t="n">
        <f aca="false">M124/$R$3</f>
        <v>435.248</v>
      </c>
      <c r="W124" s="126" t="n">
        <f aca="false">N124/$R$3</f>
        <v>423.545</v>
      </c>
    </row>
    <row r="125" customFormat="false" ht="12.75" hidden="false" customHeight="false" outlineLevel="0" collapsed="false">
      <c r="A125" s="120" t="n">
        <f aca="false">A124+1</f>
        <v>37011</v>
      </c>
      <c r="B125" s="131" t="str">
        <f aca="false">INDEX('Master Data'!$A$2:$B$8,MATCH(WEEKDAY('ARG Gas Firm'!A125,3),'Master Data'!$A$2:$A$8,0),2)</f>
        <v>M</v>
      </c>
      <c r="D125" s="124" t="n">
        <v>-2372513.52672874</v>
      </c>
      <c r="E125" s="124" t="n">
        <v>543264.454600813</v>
      </c>
      <c r="F125" s="124" t="n">
        <v>0</v>
      </c>
      <c r="G125" s="124" t="n">
        <v>435247</v>
      </c>
      <c r="I125" s="124" t="n">
        <f aca="false">IF(MONTH($A125)=MONTH($A124),IF(G125=0,I124,G125),G125)</f>
        <v>435247</v>
      </c>
      <c r="J125" s="124" t="n">
        <f aca="false">IF(MONTH($A125)=MONTH($A124),SUM(I125-I124),I125)</f>
        <v>-1</v>
      </c>
      <c r="K125" s="124" t="n">
        <f aca="false">IF(WEEKDAY(A125,3)&gt;4,0,(IF(A125&lt;K$2,0,IF(A125&lt;=K$3,1,0))))</f>
        <v>0</v>
      </c>
      <c r="L125" s="124" t="n">
        <f aca="false">J125*K125</f>
        <v>-0</v>
      </c>
      <c r="M125" s="124" t="n">
        <f aca="false">SUM(J$97:J125)</f>
        <v>435247</v>
      </c>
      <c r="N125" s="124" t="n">
        <f aca="false">SUM(J$6:J125)</f>
        <v>423544</v>
      </c>
      <c r="P125" s="124" t="n">
        <f aca="false">D125/P$3</f>
        <v>-2.37251352672874</v>
      </c>
      <c r="Q125" s="124" t="n">
        <f aca="false">E125/P$3</f>
        <v>0.543264454600813</v>
      </c>
      <c r="R125" s="124" t="n">
        <f aca="false">F125/R$3</f>
        <v>0</v>
      </c>
      <c r="S125" s="126" t="n">
        <f aca="false">J125/$R$3</f>
        <v>-0.001</v>
      </c>
      <c r="T125" s="126" t="n">
        <f aca="false">L125/$R$3</f>
        <v>-0</v>
      </c>
      <c r="U125" s="126" t="n">
        <f aca="false">I125/$R$3</f>
        <v>435.247</v>
      </c>
      <c r="V125" s="126" t="n">
        <f aca="false">M125/$R$3</f>
        <v>435.247</v>
      </c>
      <c r="W125" s="126" t="n">
        <f aca="false">N125/$R$3</f>
        <v>423.544</v>
      </c>
    </row>
    <row r="126" customFormat="false" ht="12.75" hidden="true" customHeight="false" outlineLevel="0" collapsed="false">
      <c r="A126" s="120" t="n">
        <f aca="false">A125+1</f>
        <v>37012</v>
      </c>
      <c r="B126" s="131" t="str">
        <f aca="false">INDEX('Master Data'!$A$2:$B$8,MATCH(WEEKDAY('ARG Gas Firm'!A126,3),'Master Data'!$A$2:$A$8,0),2)</f>
        <v>T</v>
      </c>
      <c r="D126" s="124" t="n">
        <v>-2383746.42629068</v>
      </c>
      <c r="E126" s="124" t="n">
        <v>543479.284422597</v>
      </c>
      <c r="F126" s="124" t="n">
        <v>0</v>
      </c>
      <c r="G126" s="124" t="n">
        <v>49</v>
      </c>
      <c r="I126" s="124" t="n">
        <f aca="false">IF(MONTH($A126)=MONTH($A125),IF(G126=0,I125,G126),G126)</f>
        <v>49</v>
      </c>
      <c r="J126" s="124" t="n">
        <f aca="false">IF(MONTH($A126)=MONTH($A125),SUM(I126-I125),I126)</f>
        <v>49</v>
      </c>
      <c r="K126" s="124" t="n">
        <f aca="false">IF(WEEKDAY(A126,3)&gt;4,0,(IF(A126&lt;K$2,0,IF(A126&lt;=K$3,1,0))))</f>
        <v>0</v>
      </c>
      <c r="L126" s="124" t="n">
        <f aca="false">J126*K126</f>
        <v>0</v>
      </c>
      <c r="M126" s="124" t="n">
        <f aca="false">SUM(J$97:J126)</f>
        <v>435296</v>
      </c>
      <c r="N126" s="124" t="n">
        <f aca="false">SUM(J$6:J126)</f>
        <v>423593</v>
      </c>
      <c r="P126" s="124" t="n">
        <f aca="false">D126/P$3</f>
        <v>-2.38374642629068</v>
      </c>
      <c r="Q126" s="124" t="n">
        <f aca="false">E126/P$3</f>
        <v>0.543479284422596</v>
      </c>
      <c r="R126" s="124" t="n">
        <f aca="false">F126/R$3</f>
        <v>0</v>
      </c>
      <c r="S126" s="126" t="n">
        <f aca="false">J126/$R$3</f>
        <v>0.049</v>
      </c>
      <c r="T126" s="126" t="n">
        <f aca="false">L126/$R$3</f>
        <v>0</v>
      </c>
      <c r="U126" s="126" t="n">
        <f aca="false">I126/$R$3</f>
        <v>0.049</v>
      </c>
      <c r="V126" s="126" t="n">
        <f aca="false">M126/$R$3</f>
        <v>435.296</v>
      </c>
      <c r="W126" s="126" t="n">
        <f aca="false">N126/$R$3</f>
        <v>423.593</v>
      </c>
    </row>
    <row r="127" customFormat="false" ht="12.75" hidden="true" customHeight="false" outlineLevel="0" collapsed="false">
      <c r="A127" s="120" t="n">
        <f aca="false">A126+1</f>
        <v>37013</v>
      </c>
      <c r="B127" s="131" t="str">
        <f aca="false">INDEX('Master Data'!$A$2:$B$8,MATCH(WEEKDAY('ARG Gas Firm'!A127,3),'Master Data'!$A$2:$A$8,0),2)</f>
        <v>W</v>
      </c>
      <c r="D127" s="124" t="n">
        <v>-2389679.8930998</v>
      </c>
      <c r="E127" s="124" t="n">
        <v>543480.706022594</v>
      </c>
      <c r="F127" s="124" t="n">
        <v>0</v>
      </c>
      <c r="G127" s="124" t="n">
        <v>-3341</v>
      </c>
      <c r="I127" s="124" t="n">
        <f aca="false">IF(MONTH($A127)=MONTH($A126),IF(G127=0,I126,G127),G127)</f>
        <v>-3341</v>
      </c>
      <c r="J127" s="124" t="n">
        <f aca="false">IF(MONTH($A127)=MONTH($A126),SUM(I127-I126),I127)</f>
        <v>-3390</v>
      </c>
      <c r="K127" s="124" t="n">
        <f aca="false">IF(WEEKDAY(A127,3)&gt;4,0,(IF(A127&lt;K$2,0,IF(A127&lt;=K$3,1,0))))</f>
        <v>0</v>
      </c>
      <c r="L127" s="124" t="n">
        <f aca="false">J127*K127</f>
        <v>-0</v>
      </c>
      <c r="M127" s="124" t="n">
        <f aca="false">SUM(J$97:J127)</f>
        <v>431906</v>
      </c>
      <c r="N127" s="124" t="n">
        <f aca="false">SUM(J$6:J127)</f>
        <v>420203</v>
      </c>
      <c r="P127" s="124" t="n">
        <f aca="false">D127/P$3</f>
        <v>-2.3896798930998</v>
      </c>
      <c r="Q127" s="124" t="n">
        <f aca="false">E127/P$3</f>
        <v>0.543480706022594</v>
      </c>
      <c r="R127" s="124" t="n">
        <f aca="false">F127/R$3</f>
        <v>0</v>
      </c>
      <c r="S127" s="126" t="n">
        <f aca="false">J127/$R$3</f>
        <v>-3.39</v>
      </c>
      <c r="T127" s="126" t="n">
        <f aca="false">L127/$R$3</f>
        <v>-0</v>
      </c>
      <c r="U127" s="126" t="n">
        <f aca="false">I127/$R$3</f>
        <v>-3.341</v>
      </c>
      <c r="V127" s="126" t="n">
        <f aca="false">M127/$R$3</f>
        <v>431.906</v>
      </c>
      <c r="W127" s="126" t="n">
        <f aca="false">N127/$R$3</f>
        <v>420.203</v>
      </c>
    </row>
    <row r="128" customFormat="false" ht="12" hidden="true" customHeight="true" outlineLevel="0" collapsed="false">
      <c r="A128" s="120" t="n">
        <f aca="false">A127+1</f>
        <v>37014</v>
      </c>
      <c r="B128" s="131" t="str">
        <f aca="false">INDEX('Master Data'!$A$2:$B$8,MATCH(WEEKDAY('ARG Gas Firm'!A128,3),'Master Data'!$A$2:$A$8,0),2)</f>
        <v>Th</v>
      </c>
      <c r="D128" s="124" t="n">
        <v>-2407167.90540406</v>
      </c>
      <c r="E128" s="124" t="n">
        <v>543643.278720711</v>
      </c>
      <c r="F128" s="124" t="n">
        <v>0</v>
      </c>
      <c r="G128" s="124" t="n">
        <v>-3341</v>
      </c>
      <c r="I128" s="124" t="n">
        <f aca="false">IF(MONTH($A128)=MONTH($A127),IF(G128=0,I127,G128),G128)</f>
        <v>-3341</v>
      </c>
      <c r="J128" s="124" t="n">
        <f aca="false">IF(MONTH($A128)=MONTH($A127),SUM(I128-I127),I128)</f>
        <v>0</v>
      </c>
      <c r="K128" s="124" t="n">
        <f aca="false">IF(WEEKDAY(A128,3)&gt;4,0,(IF(A128&lt;K$2,0,IF(A128&lt;=K$3,1,0))))</f>
        <v>0</v>
      </c>
      <c r="L128" s="124" t="n">
        <f aca="false">J128*K128</f>
        <v>0</v>
      </c>
      <c r="M128" s="124" t="n">
        <f aca="false">SUM(J$97:J128)</f>
        <v>431906</v>
      </c>
      <c r="N128" s="124" t="n">
        <f aca="false">SUM(J$6:J128)</f>
        <v>420203</v>
      </c>
      <c r="P128" s="124" t="n">
        <f aca="false">D128/P$3</f>
        <v>-2.40716790540406</v>
      </c>
      <c r="Q128" s="124" t="n">
        <f aca="false">E128/P$3</f>
        <v>0.543643278720711</v>
      </c>
      <c r="R128" s="124" t="n">
        <f aca="false">F128/R$3</f>
        <v>0</v>
      </c>
      <c r="S128" s="126" t="n">
        <f aca="false">J128/$R$3</f>
        <v>0</v>
      </c>
      <c r="T128" s="126" t="n">
        <f aca="false">L128/$R$3</f>
        <v>0</v>
      </c>
      <c r="U128" s="126" t="n">
        <f aca="false">I128/$R$3</f>
        <v>-3.341</v>
      </c>
      <c r="V128" s="126" t="n">
        <f aca="false">M128/$R$3</f>
        <v>431.906</v>
      </c>
      <c r="W128" s="126" t="n">
        <f aca="false">N128/$R$3</f>
        <v>420.203</v>
      </c>
    </row>
    <row r="129" customFormat="false" ht="12.75" hidden="true" customHeight="false" outlineLevel="0" collapsed="false">
      <c r="A129" s="120" t="n">
        <f aca="false">A128+1</f>
        <v>37015</v>
      </c>
      <c r="B129" s="131" t="str">
        <f aca="false">INDEX('Master Data'!$A$2:$B$8,MATCH(WEEKDAY('ARG Gas Firm'!A129,3),'Master Data'!$A$2:$A$8,0),2)</f>
        <v>F</v>
      </c>
      <c r="D129" s="124" t="n">
        <v>-11765928.0000406</v>
      </c>
      <c r="E129" s="124" t="n">
        <v>3282246.25513816</v>
      </c>
      <c r="F129" s="124" t="n">
        <v>0</v>
      </c>
      <c r="G129" s="124" t="n">
        <v>-3328</v>
      </c>
      <c r="I129" s="124" t="n">
        <f aca="false">IF(MONTH($A129)=MONTH($A128),IF(G129=0,I128,G129),G129)</f>
        <v>-3328</v>
      </c>
      <c r="J129" s="124" t="n">
        <f aca="false">IF(MONTH($A129)=MONTH($A128),SUM(I129-I128),I129)</f>
        <v>13</v>
      </c>
      <c r="K129" s="124" t="n">
        <f aca="false">IF(WEEKDAY(A129,3)&gt;4,0,(IF(A129&lt;K$2,0,IF(A129&lt;=K$3,1,0))))</f>
        <v>0</v>
      </c>
      <c r="L129" s="124" t="n">
        <f aca="false">J129*K129</f>
        <v>0</v>
      </c>
      <c r="M129" s="124" t="n">
        <f aca="false">SUM(J$97:J129)</f>
        <v>431919</v>
      </c>
      <c r="N129" s="124" t="n">
        <f aca="false">SUM(J$6:J129)</f>
        <v>420216</v>
      </c>
      <c r="P129" s="124" t="n">
        <f aca="false">D129/P$3</f>
        <v>-11.7659280000406</v>
      </c>
      <c r="Q129" s="124" t="n">
        <f aca="false">E129/P$3</f>
        <v>3.28224625513816</v>
      </c>
      <c r="R129" s="124" t="n">
        <f aca="false">F129/R$3</f>
        <v>0</v>
      </c>
      <c r="S129" s="126" t="n">
        <f aca="false">J129/$R$3</f>
        <v>0.013</v>
      </c>
      <c r="T129" s="126" t="n">
        <f aca="false">L129/$R$3</f>
        <v>0</v>
      </c>
      <c r="U129" s="126" t="n">
        <f aca="false">I129/$R$3</f>
        <v>-3.328</v>
      </c>
      <c r="V129" s="126" t="n">
        <f aca="false">M129/$R$3</f>
        <v>431.919</v>
      </c>
      <c r="W129" s="126" t="n">
        <f aca="false">N129/$R$3</f>
        <v>420.216</v>
      </c>
    </row>
    <row r="130" customFormat="false" ht="12.75" hidden="true" customHeight="false" outlineLevel="0" collapsed="false">
      <c r="A130" s="120" t="n">
        <f aca="false">A129+1</f>
        <v>37016</v>
      </c>
      <c r="B130" s="131" t="str">
        <f aca="false">INDEX('Master Data'!$A$2:$B$8,MATCH(WEEKDAY('ARG Gas Firm'!A130,3),'Master Data'!$A$2:$A$8,0),2)</f>
        <v>Sa</v>
      </c>
      <c r="D130" s="124" t="n">
        <v>0</v>
      </c>
      <c r="E130" s="124" t="n">
        <v>0</v>
      </c>
      <c r="F130" s="124" t="n">
        <v>0</v>
      </c>
      <c r="G130" s="124" t="n">
        <v>0</v>
      </c>
      <c r="I130" s="124" t="n">
        <f aca="false">IF(MONTH($A130)=MONTH($A129),IF(G130=0,I129,G130),G130)</f>
        <v>-3328</v>
      </c>
      <c r="J130" s="124" t="n">
        <f aca="false">IF(MONTH($A130)=MONTH($A129),SUM(I130-I129),I130)</f>
        <v>0</v>
      </c>
      <c r="K130" s="124" t="n">
        <f aca="false">IF(WEEKDAY(A130,3)&gt;4,0,(IF(A130&lt;K$2,0,IF(A130&lt;=K$3,1,0))))</f>
        <v>0</v>
      </c>
      <c r="L130" s="124" t="n">
        <f aca="false">J130*K130</f>
        <v>0</v>
      </c>
      <c r="M130" s="124" t="n">
        <f aca="false">SUM(J$97:J130)</f>
        <v>431919</v>
      </c>
      <c r="N130" s="124" t="n">
        <f aca="false">SUM(J$6:J130)</f>
        <v>420216</v>
      </c>
      <c r="P130" s="124" t="n">
        <f aca="false">D130/P$3</f>
        <v>0</v>
      </c>
      <c r="Q130" s="124" t="n">
        <f aca="false">E130/P$3</f>
        <v>0</v>
      </c>
      <c r="R130" s="124" t="n">
        <f aca="false">F130/R$3</f>
        <v>0</v>
      </c>
      <c r="S130" s="126" t="n">
        <f aca="false">J130/$R$3</f>
        <v>0</v>
      </c>
      <c r="T130" s="126" t="n">
        <f aca="false">L130/$R$3</f>
        <v>0</v>
      </c>
      <c r="U130" s="126" t="n">
        <f aca="false">I130/$R$3</f>
        <v>-3.328</v>
      </c>
      <c r="V130" s="126" t="n">
        <f aca="false">M130/$R$3</f>
        <v>431.919</v>
      </c>
      <c r="W130" s="126" t="n">
        <f aca="false">N130/$R$3</f>
        <v>420.216</v>
      </c>
    </row>
    <row r="131" customFormat="false" ht="12.75" hidden="true" customHeight="false" outlineLevel="0" collapsed="false">
      <c r="A131" s="120" t="n">
        <f aca="false">A130+1</f>
        <v>37017</v>
      </c>
      <c r="B131" s="131" t="str">
        <f aca="false">INDEX('Master Data'!$A$2:$B$8,MATCH(WEEKDAY('ARG Gas Firm'!A131,3),'Master Data'!$A$2:$A$8,0),2)</f>
        <v>Su</v>
      </c>
      <c r="D131" s="124" t="n">
        <v>0</v>
      </c>
      <c r="E131" s="124" t="n">
        <v>0</v>
      </c>
      <c r="F131" s="124" t="n">
        <v>0</v>
      </c>
      <c r="G131" s="124" t="n">
        <v>0</v>
      </c>
      <c r="I131" s="124" t="n">
        <f aca="false">IF(MONTH($A131)=MONTH($A130),IF(G131=0,I130,G131),G131)</f>
        <v>-3328</v>
      </c>
      <c r="J131" s="124" t="n">
        <f aca="false">IF(MONTH($A131)=MONTH($A130),SUM(I131-I130),I131)</f>
        <v>0</v>
      </c>
      <c r="K131" s="124" t="n">
        <f aca="false">IF(WEEKDAY(A131,3)&gt;4,0,(IF(A131&lt;K$2,0,IF(A131&lt;=K$3,1,0))))</f>
        <v>0</v>
      </c>
      <c r="L131" s="124" t="n">
        <f aca="false">J131*K131</f>
        <v>0</v>
      </c>
      <c r="M131" s="124" t="n">
        <f aca="false">SUM(J$97:J131)</f>
        <v>431919</v>
      </c>
      <c r="N131" s="124" t="n">
        <f aca="false">SUM(J$6:J131)</f>
        <v>420216</v>
      </c>
      <c r="P131" s="124" t="n">
        <f aca="false">D131/P$3</f>
        <v>0</v>
      </c>
      <c r="Q131" s="124" t="n">
        <f aca="false">E131/P$3</f>
        <v>0</v>
      </c>
      <c r="R131" s="124" t="n">
        <f aca="false">F131/R$3</f>
        <v>0</v>
      </c>
      <c r="S131" s="126" t="n">
        <f aca="false">J131/$R$3</f>
        <v>0</v>
      </c>
      <c r="T131" s="126" t="n">
        <f aca="false">L131/$R$3</f>
        <v>0</v>
      </c>
      <c r="U131" s="126" t="n">
        <f aca="false">I131/$R$3</f>
        <v>-3.328</v>
      </c>
      <c r="V131" s="126" t="n">
        <f aca="false">M131/$R$3</f>
        <v>431.919</v>
      </c>
      <c r="W131" s="126" t="n">
        <f aca="false">N131/$R$3</f>
        <v>420.216</v>
      </c>
    </row>
    <row r="132" customFormat="false" ht="12.75" hidden="true" customHeight="false" outlineLevel="0" collapsed="false">
      <c r="A132" s="120" t="n">
        <f aca="false">A131+1</f>
        <v>37018</v>
      </c>
      <c r="B132" s="131" t="str">
        <f aca="false">INDEX('Master Data'!$A$2:$B$8,MATCH(WEEKDAY('ARG Gas Firm'!A132,3),'Master Data'!$A$2:$A$8,0),2)</f>
        <v>M</v>
      </c>
      <c r="D132" s="124" t="n">
        <v>-11764427.4450091</v>
      </c>
      <c r="E132" s="124" t="n">
        <v>3282538.06603116</v>
      </c>
      <c r="F132" s="124" t="n">
        <v>0</v>
      </c>
      <c r="G132" s="124" t="n">
        <v>-3327</v>
      </c>
      <c r="I132" s="124" t="n">
        <f aca="false">IF(MONTH($A132)=MONTH($A131),IF(G132=0,I131,G132),G132)</f>
        <v>-3327</v>
      </c>
      <c r="J132" s="124" t="n">
        <f aca="false">IF(MONTH($A132)=MONTH($A131),SUM(I132-I131),I132)</f>
        <v>1</v>
      </c>
      <c r="K132" s="124" t="n">
        <f aca="false">IF(WEEKDAY(A132,3)&gt;4,0,(IF(A132&lt;K$2,0,IF(A132&lt;=K$3,1,0))))</f>
        <v>0</v>
      </c>
      <c r="L132" s="124" t="n">
        <f aca="false">J132*K132</f>
        <v>0</v>
      </c>
      <c r="M132" s="124" t="n">
        <f aca="false">SUM(J$97:J132)</f>
        <v>431920</v>
      </c>
      <c r="N132" s="124" t="n">
        <f aca="false">SUM(J$6:J132)</f>
        <v>420217</v>
      </c>
      <c r="P132" s="124" t="n">
        <f aca="false">D132/P$3</f>
        <v>-11.7644274450091</v>
      </c>
      <c r="Q132" s="124" t="n">
        <f aca="false">E132/P$3</f>
        <v>3.28253806603116</v>
      </c>
      <c r="R132" s="124" t="n">
        <f aca="false">F132/R$3</f>
        <v>0</v>
      </c>
      <c r="S132" s="126" t="n">
        <f aca="false">J132/$R$3</f>
        <v>0.001</v>
      </c>
      <c r="T132" s="126" t="n">
        <f aca="false">L132/$R$3</f>
        <v>0</v>
      </c>
      <c r="U132" s="126" t="n">
        <f aca="false">I132/$R$3</f>
        <v>-3.327</v>
      </c>
      <c r="V132" s="126" t="n">
        <f aca="false">M132/$R$3</f>
        <v>431.92</v>
      </c>
      <c r="W132" s="126" t="n">
        <f aca="false">N132/$R$3</f>
        <v>420.217</v>
      </c>
    </row>
    <row r="133" customFormat="false" ht="12.75" hidden="true" customHeight="false" outlineLevel="0" collapsed="false">
      <c r="A133" s="120" t="n">
        <f aca="false">A132+1</f>
        <v>37019</v>
      </c>
      <c r="B133" s="131" t="str">
        <f aca="false">INDEX('Master Data'!$A$2:$B$8,MATCH(WEEKDAY('ARG Gas Firm'!A133,3),'Master Data'!$A$2:$A$8,0),2)</f>
        <v>T</v>
      </c>
      <c r="D133" s="124" t="n">
        <v>-11773572.4998468</v>
      </c>
      <c r="E133" s="124" t="n">
        <v>3286091.84566158</v>
      </c>
      <c r="F133" s="124" t="n">
        <v>0</v>
      </c>
      <c r="G133" s="124" t="n">
        <v>-3327</v>
      </c>
      <c r="I133" s="124" t="n">
        <f aca="false">IF(MONTH($A133)=MONTH($A132),IF(G133=0,I132,G133),G133)</f>
        <v>-3327</v>
      </c>
      <c r="J133" s="124" t="n">
        <f aca="false">IF(MONTH($A133)=MONTH($A132),SUM(I133-I132),I133)</f>
        <v>0</v>
      </c>
      <c r="K133" s="124" t="n">
        <f aca="false">IF(WEEKDAY(A133,3)&gt;4,0,(IF(A133&lt;K$2,0,IF(A133&lt;=K$3,1,0))))</f>
        <v>0</v>
      </c>
      <c r="L133" s="124" t="n">
        <f aca="false">J133*K133</f>
        <v>0</v>
      </c>
      <c r="M133" s="124" t="n">
        <f aca="false">SUM(J$97:J133)</f>
        <v>431920</v>
      </c>
      <c r="N133" s="124" t="n">
        <f aca="false">SUM(J$6:J133)</f>
        <v>420217</v>
      </c>
      <c r="P133" s="124" t="n">
        <f aca="false">D133/P$3</f>
        <v>-11.7735724998468</v>
      </c>
      <c r="Q133" s="124" t="n">
        <f aca="false">E133/P$3</f>
        <v>3.28609184566158</v>
      </c>
      <c r="R133" s="124" t="n">
        <f aca="false">F133/R$3</f>
        <v>0</v>
      </c>
      <c r="S133" s="126" t="n">
        <f aca="false">J133/$R$3</f>
        <v>0</v>
      </c>
      <c r="T133" s="126" t="n">
        <f aca="false">L133/$R$3</f>
        <v>0</v>
      </c>
      <c r="U133" s="126" t="n">
        <f aca="false">I133/$R$3</f>
        <v>-3.327</v>
      </c>
      <c r="V133" s="126" t="n">
        <f aca="false">M133/$R$3</f>
        <v>431.92</v>
      </c>
      <c r="W133" s="126" t="n">
        <f aca="false">N133/$R$3</f>
        <v>420.217</v>
      </c>
    </row>
    <row r="134" customFormat="false" ht="12.75" hidden="true" customHeight="false" outlineLevel="0" collapsed="false">
      <c r="A134" s="120" t="n">
        <f aca="false">A133+1</f>
        <v>37020</v>
      </c>
      <c r="B134" s="131" t="str">
        <f aca="false">INDEX('Master Data'!$A$2:$B$8,MATCH(WEEKDAY('ARG Gas Firm'!A134,3),'Master Data'!$A$2:$A$8,0),2)</f>
        <v>W</v>
      </c>
      <c r="D134" s="124" t="n">
        <v>-11794792.3955928</v>
      </c>
      <c r="E134" s="124" t="n">
        <v>3289316.65594565</v>
      </c>
      <c r="F134" s="124" t="n">
        <v>0</v>
      </c>
      <c r="G134" s="124" t="n">
        <v>11673</v>
      </c>
      <c r="I134" s="124" t="n">
        <f aca="false">IF(MONTH($A134)=MONTH($A133),IF(G134=0,I133,G134),G134)</f>
        <v>11673</v>
      </c>
      <c r="J134" s="124" t="n">
        <f aca="false">IF(MONTH($A134)=MONTH($A133),SUM(I134-I133),I134)</f>
        <v>15000</v>
      </c>
      <c r="K134" s="124" t="n">
        <f aca="false">IF(WEEKDAY(A134,3)&gt;4,0,(IF(A134&lt;K$2,0,IF(A134&lt;=K$3,1,0))))</f>
        <v>0</v>
      </c>
      <c r="L134" s="124" t="n">
        <f aca="false">J134*K134</f>
        <v>0</v>
      </c>
      <c r="M134" s="124" t="n">
        <f aca="false">SUM(J$97:J134)</f>
        <v>446920</v>
      </c>
      <c r="N134" s="124" t="n">
        <f aca="false">SUM(J$6:J134)</f>
        <v>435217</v>
      </c>
      <c r="P134" s="124" t="n">
        <f aca="false">D134/P$3</f>
        <v>-11.7947923955928</v>
      </c>
      <c r="Q134" s="124" t="n">
        <f aca="false">E134/P$3</f>
        <v>3.28931665594565</v>
      </c>
      <c r="R134" s="124" t="n">
        <f aca="false">F134/R$3</f>
        <v>0</v>
      </c>
      <c r="S134" s="126" t="n">
        <f aca="false">J134/$R$3</f>
        <v>15</v>
      </c>
      <c r="T134" s="126" t="n">
        <f aca="false">L134/$R$3</f>
        <v>0</v>
      </c>
      <c r="U134" s="126" t="n">
        <f aca="false">I134/$R$3</f>
        <v>11.673</v>
      </c>
      <c r="V134" s="126" t="n">
        <f aca="false">M134/$R$3</f>
        <v>446.92</v>
      </c>
      <c r="W134" s="126" t="n">
        <f aca="false">N134/$R$3</f>
        <v>435.217</v>
      </c>
    </row>
    <row r="135" customFormat="false" ht="12.75" hidden="true" customHeight="false" outlineLevel="0" collapsed="false">
      <c r="A135" s="120" t="n">
        <f aca="false">A134+1</f>
        <v>37021</v>
      </c>
      <c r="B135" s="131" t="str">
        <f aca="false">INDEX('Master Data'!$A$2:$B$8,MATCH(WEEKDAY('ARG Gas Firm'!A135,3),'Master Data'!$A$2:$A$8,0),2)</f>
        <v>Th</v>
      </c>
      <c r="D135" s="124" t="n">
        <v>-11731559.136967</v>
      </c>
      <c r="E135" s="124" t="n">
        <v>3277884.79498308</v>
      </c>
      <c r="F135" s="124" t="n">
        <v>0</v>
      </c>
      <c r="G135" s="124" t="n">
        <v>11673</v>
      </c>
      <c r="I135" s="124" t="n">
        <f aca="false">IF(MONTH($A135)=MONTH($A134),IF(G135=0,I134,G135),G135)</f>
        <v>11673</v>
      </c>
      <c r="J135" s="124" t="n">
        <f aca="false">IF(MONTH($A135)=MONTH($A134),SUM(I135-I134),I135)</f>
        <v>0</v>
      </c>
      <c r="K135" s="124" t="n">
        <f aca="false">IF(WEEKDAY(A135,3)&gt;4,0,(IF(A135&lt;K$2,0,IF(A135&lt;=K$3,1,0))))</f>
        <v>0</v>
      </c>
      <c r="L135" s="124" t="n">
        <f aca="false">J135*K135</f>
        <v>0</v>
      </c>
      <c r="M135" s="124" t="n">
        <f aca="false">SUM(J$97:J135)</f>
        <v>446920</v>
      </c>
      <c r="N135" s="124" t="n">
        <f aca="false">SUM(J$6:J135)</f>
        <v>435217</v>
      </c>
      <c r="P135" s="124" t="n">
        <f aca="false">D135/P$3</f>
        <v>-11.731559136967</v>
      </c>
      <c r="Q135" s="124" t="n">
        <f aca="false">E135/P$3</f>
        <v>3.27788479498308</v>
      </c>
      <c r="R135" s="124" t="n">
        <f aca="false">F135/R$3</f>
        <v>0</v>
      </c>
      <c r="S135" s="126" t="n">
        <f aca="false">J135/$R$3</f>
        <v>0</v>
      </c>
      <c r="T135" s="126" t="n">
        <f aca="false">L135/$R$3</f>
        <v>0</v>
      </c>
      <c r="U135" s="126" t="n">
        <f aca="false">I135/$R$3</f>
        <v>11.673</v>
      </c>
      <c r="V135" s="126" t="n">
        <f aca="false">M135/$R$3</f>
        <v>446.92</v>
      </c>
      <c r="W135" s="126" t="n">
        <f aca="false">N135/$R$3</f>
        <v>435.217</v>
      </c>
    </row>
    <row r="136" customFormat="false" ht="12.75" hidden="true" customHeight="false" outlineLevel="0" collapsed="false">
      <c r="A136" s="120" t="n">
        <f aca="false">A135+1</f>
        <v>37022</v>
      </c>
      <c r="B136" s="131" t="str">
        <f aca="false">INDEX('Master Data'!$A$2:$B$8,MATCH(WEEKDAY('ARG Gas Firm'!A136,3),'Master Data'!$A$2:$A$8,0),2)</f>
        <v>F</v>
      </c>
      <c r="D136" s="124" t="n">
        <v>-11628088.6247753</v>
      </c>
      <c r="E136" s="124" t="n">
        <v>3254737.39485096</v>
      </c>
      <c r="F136" s="124" t="n">
        <v>0</v>
      </c>
      <c r="G136" s="124" t="n">
        <v>11672</v>
      </c>
      <c r="I136" s="124" t="n">
        <f aca="false">IF(MONTH($A136)=MONTH($A135),IF(G136=0,I135,G136),G136)</f>
        <v>11672</v>
      </c>
      <c r="J136" s="124" t="n">
        <f aca="false">IF(MONTH($A136)=MONTH($A135),SUM(I136-I135),I136)</f>
        <v>-1</v>
      </c>
      <c r="K136" s="124" t="n">
        <f aca="false">IF(WEEKDAY(A136,3)&gt;4,0,(IF(A136&lt;K$2,0,IF(A136&lt;=K$3,1,0))))</f>
        <v>0</v>
      </c>
      <c r="L136" s="124" t="n">
        <f aca="false">J136*K136</f>
        <v>-0</v>
      </c>
      <c r="M136" s="124" t="n">
        <f aca="false">SUM(J$97:J136)</f>
        <v>446919</v>
      </c>
      <c r="N136" s="124" t="n">
        <f aca="false">SUM(J$6:J136)</f>
        <v>435216</v>
      </c>
      <c r="P136" s="124" t="n">
        <f aca="false">D136/P$3</f>
        <v>-11.6280886247753</v>
      </c>
      <c r="Q136" s="124" t="n">
        <f aca="false">E136/P$3</f>
        <v>3.25473739485096</v>
      </c>
      <c r="R136" s="124" t="n">
        <f aca="false">F136/R$3</f>
        <v>0</v>
      </c>
      <c r="S136" s="126" t="n">
        <f aca="false">J136/$R$3</f>
        <v>-0.001</v>
      </c>
      <c r="T136" s="126" t="n">
        <f aca="false">L136/$R$3</f>
        <v>-0</v>
      </c>
      <c r="U136" s="126" t="n">
        <f aca="false">I136/$R$3</f>
        <v>11.672</v>
      </c>
      <c r="V136" s="126" t="n">
        <f aca="false">M136/$R$3</f>
        <v>446.919</v>
      </c>
      <c r="W136" s="126" t="n">
        <f aca="false">N136/$R$3</f>
        <v>435.216</v>
      </c>
    </row>
    <row r="137" customFormat="false" ht="12.75" hidden="true" customHeight="false" outlineLevel="0" collapsed="false">
      <c r="A137" s="120" t="n">
        <f aca="false">A136+1</f>
        <v>37023</v>
      </c>
      <c r="B137" s="131" t="str">
        <f aca="false">INDEX('Master Data'!$A$2:$B$8,MATCH(WEEKDAY('ARG Gas Firm'!A137,3),'Master Data'!$A$2:$A$8,0),2)</f>
        <v>Sa</v>
      </c>
      <c r="D137" s="124" t="n">
        <v>0</v>
      </c>
      <c r="E137" s="124" t="n">
        <v>0</v>
      </c>
      <c r="F137" s="124" t="n">
        <v>0</v>
      </c>
      <c r="G137" s="124" t="n">
        <v>0</v>
      </c>
      <c r="I137" s="124" t="n">
        <f aca="false">IF(MONTH($A137)=MONTH($A136),IF(G137=0,I136,G137),G137)</f>
        <v>11672</v>
      </c>
      <c r="J137" s="124" t="n">
        <f aca="false">IF(MONTH($A137)=MONTH($A136),SUM(I137-I136),I137)</f>
        <v>0</v>
      </c>
      <c r="K137" s="124" t="n">
        <f aca="false">IF(WEEKDAY(A137,3)&gt;4,0,(IF(A137&lt;K$2,0,IF(A137&lt;=K$3,1,0))))</f>
        <v>0</v>
      </c>
      <c r="L137" s="124" t="n">
        <f aca="false">J137*K137</f>
        <v>0</v>
      </c>
      <c r="M137" s="124" t="n">
        <f aca="false">SUM(J$97:J137)</f>
        <v>446919</v>
      </c>
      <c r="N137" s="124" t="n">
        <f aca="false">SUM(J$6:J137)</f>
        <v>435216</v>
      </c>
      <c r="P137" s="124" t="n">
        <f aca="false">D137/P$3</f>
        <v>0</v>
      </c>
      <c r="Q137" s="124" t="n">
        <f aca="false">E137/P$3</f>
        <v>0</v>
      </c>
      <c r="R137" s="124" t="n">
        <f aca="false">F137/R$3</f>
        <v>0</v>
      </c>
      <c r="S137" s="126" t="n">
        <f aca="false">J137/$R$3</f>
        <v>0</v>
      </c>
      <c r="T137" s="126" t="n">
        <f aca="false">L137/$R$3</f>
        <v>0</v>
      </c>
      <c r="U137" s="126" t="n">
        <f aca="false">I137/$R$3</f>
        <v>11.672</v>
      </c>
      <c r="V137" s="126" t="n">
        <f aca="false">M137/$R$3</f>
        <v>446.919</v>
      </c>
      <c r="W137" s="126" t="n">
        <f aca="false">N137/$R$3</f>
        <v>435.216</v>
      </c>
    </row>
    <row r="138" customFormat="false" ht="12.75" hidden="true" customHeight="false" outlineLevel="0" collapsed="false">
      <c r="A138" s="120" t="n">
        <f aca="false">A137+1</f>
        <v>37024</v>
      </c>
      <c r="B138" s="131" t="str">
        <f aca="false">INDEX('Master Data'!$A$2:$B$8,MATCH(WEEKDAY('ARG Gas Firm'!A138,3),'Master Data'!$A$2:$A$8,0),2)</f>
        <v>Su</v>
      </c>
      <c r="D138" s="124" t="n">
        <v>0</v>
      </c>
      <c r="E138" s="124" t="n">
        <v>0</v>
      </c>
      <c r="F138" s="124" t="n">
        <v>0</v>
      </c>
      <c r="G138" s="124" t="n">
        <v>0</v>
      </c>
      <c r="I138" s="124" t="n">
        <f aca="false">IF(MONTH($A138)=MONTH($A137),IF(G138=0,I137,G138),G138)</f>
        <v>11672</v>
      </c>
      <c r="J138" s="124" t="n">
        <f aca="false">IF(MONTH($A138)=MONTH($A137),SUM(I138-I137),I138)</f>
        <v>0</v>
      </c>
      <c r="K138" s="124" t="n">
        <f aca="false">IF(WEEKDAY(A138,3)&gt;4,0,(IF(A138&lt;K$2,0,IF(A138&lt;=K$3,1,0))))</f>
        <v>0</v>
      </c>
      <c r="L138" s="124" t="n">
        <f aca="false">J138*K138</f>
        <v>0</v>
      </c>
      <c r="M138" s="124" t="n">
        <f aca="false">SUM(J$97:J138)</f>
        <v>446919</v>
      </c>
      <c r="N138" s="124" t="n">
        <f aca="false">SUM(J$6:J138)</f>
        <v>435216</v>
      </c>
      <c r="P138" s="124" t="n">
        <f aca="false">D138/P$3</f>
        <v>0</v>
      </c>
      <c r="Q138" s="124" t="n">
        <f aca="false">E138/P$3</f>
        <v>0</v>
      </c>
      <c r="R138" s="124" t="n">
        <f aca="false">F138/R$3</f>
        <v>0</v>
      </c>
      <c r="S138" s="126" t="n">
        <f aca="false">J138/$R$3</f>
        <v>0</v>
      </c>
      <c r="T138" s="126" t="n">
        <f aca="false">L138/$R$3</f>
        <v>0</v>
      </c>
      <c r="U138" s="126" t="n">
        <f aca="false">I138/$R$3</f>
        <v>11.672</v>
      </c>
      <c r="V138" s="126" t="n">
        <f aca="false">M138/$R$3</f>
        <v>446.919</v>
      </c>
      <c r="W138" s="126" t="n">
        <f aca="false">N138/$R$3</f>
        <v>435.216</v>
      </c>
    </row>
    <row r="139" customFormat="false" ht="12.75" hidden="true" customHeight="false" outlineLevel="0" collapsed="false">
      <c r="A139" s="120" t="n">
        <f aca="false">A138+1</f>
        <v>37025</v>
      </c>
      <c r="B139" s="131" t="str">
        <f aca="false">INDEX('Master Data'!$A$2:$B$8,MATCH(WEEKDAY('ARG Gas Firm'!A139,3),'Master Data'!$A$2:$A$8,0),2)</f>
        <v>M</v>
      </c>
      <c r="D139" s="124" t="n">
        <v>-11658376.2265881</v>
      </c>
      <c r="E139" s="124" t="n">
        <v>3263649.69588099</v>
      </c>
      <c r="F139" s="124" t="n">
        <v>0</v>
      </c>
      <c r="G139" s="124" t="n">
        <v>11673</v>
      </c>
      <c r="I139" s="124" t="n">
        <f aca="false">IF(MONTH($A139)=MONTH($A138),IF(G139=0,I138,G139),G139)</f>
        <v>11673</v>
      </c>
      <c r="J139" s="124" t="n">
        <f aca="false">IF(MONTH($A139)=MONTH($A138),SUM(I139-I138),I139)</f>
        <v>1</v>
      </c>
      <c r="K139" s="124" t="n">
        <f aca="false">IF(WEEKDAY(A139,3)&gt;4,0,(IF(A139&lt;K$2,0,IF(A139&lt;=K$3,1,0))))</f>
        <v>0</v>
      </c>
      <c r="L139" s="124" t="n">
        <f aca="false">J139*K139</f>
        <v>0</v>
      </c>
      <c r="M139" s="124" t="n">
        <f aca="false">SUM(J$97:J139)</f>
        <v>446920</v>
      </c>
      <c r="N139" s="124" t="n">
        <f aca="false">SUM(J$6:J139)</f>
        <v>435217</v>
      </c>
      <c r="P139" s="124" t="n">
        <f aca="false">D139/P$3</f>
        <v>-11.6583762265881</v>
      </c>
      <c r="Q139" s="124" t="n">
        <f aca="false">E139/P$3</f>
        <v>3.26364969588099</v>
      </c>
      <c r="R139" s="124" t="n">
        <f aca="false">F139/R$3</f>
        <v>0</v>
      </c>
      <c r="S139" s="126" t="n">
        <f aca="false">J139/$R$3</f>
        <v>0.001</v>
      </c>
      <c r="T139" s="126" t="n">
        <f aca="false">L139/$R$3</f>
        <v>0</v>
      </c>
      <c r="U139" s="126" t="n">
        <f aca="false">I139/$R$3</f>
        <v>11.673</v>
      </c>
      <c r="V139" s="126" t="n">
        <f aca="false">M139/$R$3</f>
        <v>446.92</v>
      </c>
      <c r="W139" s="126" t="n">
        <f aca="false">N139/$R$3</f>
        <v>435.217</v>
      </c>
    </row>
    <row r="140" customFormat="false" ht="12.75" hidden="true" customHeight="false" outlineLevel="0" collapsed="false">
      <c r="A140" s="120" t="n">
        <f aca="false">A139+1</f>
        <v>37026</v>
      </c>
      <c r="B140" s="131" t="str">
        <f aca="false">INDEX('Master Data'!$A$2:$B$8,MATCH(WEEKDAY('ARG Gas Firm'!A140,3),'Master Data'!$A$2:$A$8,0),2)</f>
        <v>T</v>
      </c>
      <c r="D140" s="124" t="n">
        <v>-11647648.8118193</v>
      </c>
      <c r="E140" s="124" t="n">
        <v>3264815.59225798</v>
      </c>
      <c r="F140" s="124" t="n">
        <v>0</v>
      </c>
      <c r="G140" s="124" t="n">
        <v>11674</v>
      </c>
      <c r="I140" s="124" t="n">
        <f aca="false">IF(MONTH($A140)=MONTH($A139),IF(G140=0,I139,G140),G140)</f>
        <v>11674</v>
      </c>
      <c r="J140" s="124" t="n">
        <f aca="false">IF(MONTH($A140)=MONTH($A139),SUM(I140-I139),I140)</f>
        <v>1</v>
      </c>
      <c r="K140" s="124" t="n">
        <f aca="false">IF(WEEKDAY(A140,3)&gt;4,0,(IF(A140&lt;K$2,0,IF(A140&lt;=K$3,1,0))))</f>
        <v>0</v>
      </c>
      <c r="L140" s="124" t="n">
        <f aca="false">J140*K140</f>
        <v>0</v>
      </c>
      <c r="M140" s="124" t="n">
        <f aca="false">SUM(J$97:J140)</f>
        <v>446921</v>
      </c>
      <c r="N140" s="124" t="n">
        <f aca="false">SUM(J$6:J140)</f>
        <v>435218</v>
      </c>
      <c r="P140" s="124" t="n">
        <f aca="false">D140/P$3</f>
        <v>-11.6476488118193</v>
      </c>
      <c r="Q140" s="124" t="n">
        <f aca="false">E140/P$3</f>
        <v>3.26481559225798</v>
      </c>
      <c r="R140" s="124" t="n">
        <f aca="false">F140/R$3</f>
        <v>0</v>
      </c>
      <c r="S140" s="126" t="n">
        <f aca="false">J140/$R$3</f>
        <v>0.001</v>
      </c>
      <c r="T140" s="126" t="n">
        <f aca="false">L140/$R$3</f>
        <v>0</v>
      </c>
      <c r="U140" s="126" t="n">
        <f aca="false">I140/$R$3</f>
        <v>11.674</v>
      </c>
      <c r="V140" s="126" t="n">
        <f aca="false">M140/$R$3</f>
        <v>446.921</v>
      </c>
      <c r="W140" s="126" t="n">
        <f aca="false">N140/$R$3</f>
        <v>435.218</v>
      </c>
    </row>
    <row r="141" customFormat="false" ht="12.75" hidden="true" customHeight="false" outlineLevel="0" collapsed="false">
      <c r="A141" s="120" t="n">
        <f aca="false">A140+1</f>
        <v>37027</v>
      </c>
      <c r="B141" s="131" t="str">
        <f aca="false">INDEX('Master Data'!$A$2:$B$8,MATCH(WEEKDAY('ARG Gas Firm'!A141,3),'Master Data'!$A$2:$A$8,0),2)</f>
        <v>W</v>
      </c>
      <c r="D141" s="124" t="n">
        <v>-11671972.2177788</v>
      </c>
      <c r="E141" s="124" t="n">
        <v>3267487.60470618</v>
      </c>
      <c r="F141" s="124" t="n">
        <v>0</v>
      </c>
      <c r="G141" s="124" t="n">
        <v>5453</v>
      </c>
      <c r="I141" s="124" t="n">
        <f aca="false">IF(MONTH($A141)=MONTH($A140),IF(G141=0,I140,G141),G141)</f>
        <v>5453</v>
      </c>
      <c r="J141" s="124" t="n">
        <f aca="false">IF(MONTH($A141)=MONTH($A140),SUM(I141-I140),I141)</f>
        <v>-6221</v>
      </c>
      <c r="K141" s="124" t="n">
        <f aca="false">IF(WEEKDAY(A141,3)&gt;4,0,(IF(A141&lt;K$2,0,IF(A141&lt;=K$3,1,0))))</f>
        <v>0</v>
      </c>
      <c r="L141" s="124" t="n">
        <f aca="false">J141*K141</f>
        <v>-0</v>
      </c>
      <c r="M141" s="124" t="n">
        <f aca="false">SUM(J$97:J141)</f>
        <v>440700</v>
      </c>
      <c r="N141" s="124" t="n">
        <f aca="false">SUM(J$6:J141)</f>
        <v>428997</v>
      </c>
      <c r="P141" s="124" t="n">
        <f aca="false">D141/P$3</f>
        <v>-11.6719722177788</v>
      </c>
      <c r="Q141" s="124" t="n">
        <f aca="false">E141/P$3</f>
        <v>3.26748760470618</v>
      </c>
      <c r="R141" s="124" t="n">
        <f aca="false">F141/R$3</f>
        <v>0</v>
      </c>
      <c r="S141" s="126" t="n">
        <f aca="false">J141/$R$3</f>
        <v>-6.221</v>
      </c>
      <c r="T141" s="126" t="n">
        <f aca="false">L141/$R$3</f>
        <v>-0</v>
      </c>
      <c r="U141" s="126" t="n">
        <f aca="false">I141/$R$3</f>
        <v>5.453</v>
      </c>
      <c r="V141" s="126" t="n">
        <f aca="false">M141/$R$3</f>
        <v>440.7</v>
      </c>
      <c r="W141" s="126" t="n">
        <f aca="false">N141/$R$3</f>
        <v>428.997</v>
      </c>
    </row>
    <row r="142" customFormat="false" ht="12.75" hidden="true" customHeight="false" outlineLevel="0" collapsed="false">
      <c r="A142" s="120" t="n">
        <f aca="false">A141+1</f>
        <v>37028</v>
      </c>
      <c r="B142" s="131" t="str">
        <f aca="false">INDEX('Master Data'!$A$2:$B$8,MATCH(WEEKDAY('ARG Gas Firm'!A142,3),'Master Data'!$A$2:$A$8,0),2)</f>
        <v>Th</v>
      </c>
      <c r="D142" s="124" t="n">
        <v>-11671435.7128981</v>
      </c>
      <c r="E142" s="124" t="n">
        <v>3262081.56501441</v>
      </c>
      <c r="F142" s="124" t="n">
        <v>0</v>
      </c>
      <c r="G142" s="124" t="n">
        <v>5452</v>
      </c>
      <c r="I142" s="124" t="n">
        <f aca="false">IF(MONTH($A142)=MONTH($A141),IF(G142=0,I141,G142),G142)</f>
        <v>5452</v>
      </c>
      <c r="J142" s="124" t="n">
        <f aca="false">IF(MONTH($A142)=MONTH($A141),SUM(I142-I141),I142)</f>
        <v>-1</v>
      </c>
      <c r="K142" s="124" t="n">
        <f aca="false">IF(WEEKDAY(A142,3)&gt;4,0,(IF(A142&lt;K$2,0,IF(A142&lt;=K$3,1,0))))</f>
        <v>0</v>
      </c>
      <c r="L142" s="124" t="n">
        <f aca="false">J142*K142</f>
        <v>-0</v>
      </c>
      <c r="M142" s="124" t="n">
        <f aca="false">SUM(J$97:J142)</f>
        <v>440699</v>
      </c>
      <c r="N142" s="124" t="n">
        <f aca="false">SUM(J$6:J142)</f>
        <v>428996</v>
      </c>
      <c r="P142" s="124" t="n">
        <f aca="false">D142/P$3</f>
        <v>-11.6714357128981</v>
      </c>
      <c r="Q142" s="124" t="n">
        <f aca="false">E142/P$3</f>
        <v>3.26208156501441</v>
      </c>
      <c r="R142" s="124" t="n">
        <f aca="false">F142/R$3</f>
        <v>0</v>
      </c>
      <c r="S142" s="126" t="n">
        <f aca="false">J142/$R$3</f>
        <v>-0.001</v>
      </c>
      <c r="T142" s="126" t="n">
        <f aca="false">L142/$R$3</f>
        <v>-0</v>
      </c>
      <c r="U142" s="126" t="n">
        <f aca="false">I142/$R$3</f>
        <v>5.452</v>
      </c>
      <c r="V142" s="126" t="n">
        <f aca="false">M142/$R$3</f>
        <v>440.699</v>
      </c>
      <c r="W142" s="126" t="n">
        <f aca="false">N142/$R$3</f>
        <v>428.996</v>
      </c>
    </row>
    <row r="143" customFormat="false" ht="12.75" hidden="true" customHeight="false" outlineLevel="0" collapsed="false">
      <c r="A143" s="120" t="n">
        <f aca="false">A142+1</f>
        <v>37029</v>
      </c>
      <c r="B143" s="131" t="str">
        <f aca="false">INDEX('Master Data'!$A$2:$B$8,MATCH(WEEKDAY('ARG Gas Firm'!A143,3),'Master Data'!$A$2:$A$8,0),2)</f>
        <v>F</v>
      </c>
      <c r="D143" s="124" t="n">
        <v>-11668069.4452748</v>
      </c>
      <c r="E143" s="124" t="n">
        <v>3260006.21898931</v>
      </c>
      <c r="F143" s="124" t="n">
        <v>0</v>
      </c>
      <c r="G143" s="124" t="n">
        <v>5451</v>
      </c>
      <c r="I143" s="124" t="n">
        <f aca="false">IF(MONTH($A143)=MONTH($A142),IF(G143=0,I142,G143),G143)</f>
        <v>5451</v>
      </c>
      <c r="J143" s="124" t="n">
        <f aca="false">IF(MONTH($A143)=MONTH($A142),SUM(I143-I142),I143)</f>
        <v>-1</v>
      </c>
      <c r="K143" s="124" t="n">
        <f aca="false">IF(WEEKDAY(A143,3)&gt;4,0,(IF(A143&lt;K$2,0,IF(A143&lt;=K$3,1,0))))</f>
        <v>0</v>
      </c>
      <c r="L143" s="124" t="n">
        <f aca="false">J143*K143</f>
        <v>-0</v>
      </c>
      <c r="M143" s="124" t="n">
        <f aca="false">SUM(J$97:J143)</f>
        <v>440698</v>
      </c>
      <c r="N143" s="124" t="n">
        <f aca="false">SUM(J$6:J143)</f>
        <v>428995</v>
      </c>
      <c r="P143" s="124" t="n">
        <f aca="false">D143/P$3</f>
        <v>-11.6680694452748</v>
      </c>
      <c r="Q143" s="124" t="n">
        <f aca="false">E143/P$3</f>
        <v>3.26000621898931</v>
      </c>
      <c r="R143" s="124" t="n">
        <f aca="false">F143/R$3</f>
        <v>0</v>
      </c>
      <c r="S143" s="126" t="n">
        <f aca="false">J143/$R$3</f>
        <v>-0.001</v>
      </c>
      <c r="T143" s="126" t="n">
        <f aca="false">L143/$R$3</f>
        <v>-0</v>
      </c>
      <c r="U143" s="126" t="n">
        <f aca="false">I143/$R$3</f>
        <v>5.451</v>
      </c>
      <c r="V143" s="126" t="n">
        <f aca="false">M143/$R$3</f>
        <v>440.698</v>
      </c>
      <c r="W143" s="126" t="n">
        <f aca="false">N143/$R$3</f>
        <v>428.995</v>
      </c>
    </row>
    <row r="144" customFormat="false" ht="12.75" hidden="true" customHeight="false" outlineLevel="0" collapsed="false">
      <c r="A144" s="120" t="n">
        <f aca="false">A143+1</f>
        <v>37030</v>
      </c>
      <c r="B144" s="131" t="str">
        <f aca="false">INDEX('Master Data'!$A$2:$B$8,MATCH(WEEKDAY('ARG Gas Firm'!A144,3),'Master Data'!$A$2:$A$8,0),2)</f>
        <v>Sa</v>
      </c>
      <c r="D144" s="124" t="n">
        <v>0</v>
      </c>
      <c r="E144" s="124" t="n">
        <v>0</v>
      </c>
      <c r="F144" s="124" t="n">
        <v>0</v>
      </c>
      <c r="G144" s="124" t="n">
        <v>0</v>
      </c>
      <c r="I144" s="124" t="n">
        <f aca="false">IF(MONTH($A144)=MONTH($A143),IF(G144=0,I143,G144),G144)</f>
        <v>5451</v>
      </c>
      <c r="J144" s="124" t="n">
        <f aca="false">IF(MONTH($A144)=MONTH($A143),SUM(I144-I143),I144)</f>
        <v>0</v>
      </c>
      <c r="K144" s="124" t="n">
        <f aca="false">IF(WEEKDAY(A144,3)&gt;4,0,(IF(A144&lt;K$2,0,IF(A144&lt;=K$3,1,0))))</f>
        <v>0</v>
      </c>
      <c r="L144" s="124" t="n">
        <f aca="false">J144*K144</f>
        <v>0</v>
      </c>
      <c r="M144" s="124" t="n">
        <f aca="false">SUM(J$97:J144)</f>
        <v>440698</v>
      </c>
      <c r="N144" s="124" t="n">
        <f aca="false">SUM(J$6:J144)</f>
        <v>428995</v>
      </c>
      <c r="P144" s="124" t="n">
        <f aca="false">D144/P$3</f>
        <v>0</v>
      </c>
      <c r="Q144" s="124" t="n">
        <f aca="false">E144/P$3</f>
        <v>0</v>
      </c>
      <c r="R144" s="124" t="n">
        <f aca="false">F144/R$3</f>
        <v>0</v>
      </c>
      <c r="S144" s="126" t="n">
        <f aca="false">J144/$R$3</f>
        <v>0</v>
      </c>
      <c r="T144" s="126" t="n">
        <f aca="false">L144/$R$3</f>
        <v>0</v>
      </c>
      <c r="U144" s="126" t="n">
        <f aca="false">I144/$R$3</f>
        <v>5.451</v>
      </c>
      <c r="V144" s="126" t="n">
        <f aca="false">M144/$R$3</f>
        <v>440.698</v>
      </c>
      <c r="W144" s="126" t="n">
        <f aca="false">N144/$R$3</f>
        <v>428.995</v>
      </c>
    </row>
    <row r="145" customFormat="false" ht="12.75" hidden="true" customHeight="false" outlineLevel="0" collapsed="false">
      <c r="A145" s="120" t="n">
        <f aca="false">A144+1</f>
        <v>37031</v>
      </c>
      <c r="B145" s="131" t="str">
        <f aca="false">INDEX('Master Data'!$A$2:$B$8,MATCH(WEEKDAY('ARG Gas Firm'!A145,3),'Master Data'!$A$2:$A$8,0),2)</f>
        <v>Su</v>
      </c>
      <c r="D145" s="124" t="n">
        <v>0</v>
      </c>
      <c r="E145" s="124" t="n">
        <v>0</v>
      </c>
      <c r="F145" s="124" t="n">
        <v>0</v>
      </c>
      <c r="G145" s="124" t="n">
        <v>0</v>
      </c>
      <c r="I145" s="124" t="n">
        <f aca="false">IF(MONTH($A145)=MONTH($A144),IF(G145=0,I144,G145),G145)</f>
        <v>5451</v>
      </c>
      <c r="J145" s="124" t="n">
        <f aca="false">IF(MONTH($A145)=MONTH($A144),SUM(I145-I144),I145)</f>
        <v>0</v>
      </c>
      <c r="K145" s="124" t="n">
        <f aca="false">IF(WEEKDAY(A145,3)&gt;4,0,(IF(A145&lt;K$2,0,IF(A145&lt;=K$3,1,0))))</f>
        <v>0</v>
      </c>
      <c r="L145" s="124" t="n">
        <f aca="false">J145*K145</f>
        <v>0</v>
      </c>
      <c r="M145" s="124" t="n">
        <f aca="false">SUM(J$97:J145)</f>
        <v>440698</v>
      </c>
      <c r="N145" s="124" t="n">
        <f aca="false">SUM(J$6:J145)</f>
        <v>428995</v>
      </c>
      <c r="P145" s="124" t="n">
        <f aca="false">D145/P$3</f>
        <v>0</v>
      </c>
      <c r="Q145" s="124" t="n">
        <f aca="false">E145/P$3</f>
        <v>0</v>
      </c>
      <c r="R145" s="124" t="n">
        <f aca="false">F145/R$3</f>
        <v>0</v>
      </c>
      <c r="S145" s="126" t="n">
        <f aca="false">J145/$R$3</f>
        <v>0</v>
      </c>
      <c r="T145" s="126" t="n">
        <f aca="false">L145/$R$3</f>
        <v>0</v>
      </c>
      <c r="U145" s="126" t="n">
        <f aca="false">I145/$R$3</f>
        <v>5.451</v>
      </c>
      <c r="V145" s="126" t="n">
        <f aca="false">M145/$R$3</f>
        <v>440.698</v>
      </c>
      <c r="W145" s="126" t="n">
        <f aca="false">N145/$R$3</f>
        <v>428.995</v>
      </c>
    </row>
    <row r="146" customFormat="false" ht="12.75" hidden="true" customHeight="false" outlineLevel="0" collapsed="false">
      <c r="A146" s="120" t="n">
        <f aca="false">A145+1</f>
        <v>37032</v>
      </c>
      <c r="B146" s="131" t="str">
        <f aca="false">INDEX('Master Data'!$A$2:$B$8,MATCH(WEEKDAY('ARG Gas Firm'!A146,3),'Master Data'!$A$2:$A$8,0),2)</f>
        <v>M</v>
      </c>
      <c r="D146" s="124" t="n">
        <v>-11670331.3253913</v>
      </c>
      <c r="E146" s="124" t="n">
        <v>3260573.62090765</v>
      </c>
      <c r="F146" s="124" t="n">
        <v>0</v>
      </c>
      <c r="G146" s="124" t="n">
        <v>2068</v>
      </c>
      <c r="I146" s="124" t="n">
        <f aca="false">IF(MONTH($A146)=MONTH($A145),IF(G146=0,I145,G146),G146)</f>
        <v>2068</v>
      </c>
      <c r="J146" s="124" t="n">
        <f aca="false">IF(MONTH($A146)=MONTH($A145),SUM(I146-I145),I146)</f>
        <v>-3383</v>
      </c>
      <c r="K146" s="124" t="n">
        <f aca="false">IF(WEEKDAY(A146,3)&gt;4,0,(IF(A146&lt;K$2,0,IF(A146&lt;=K$3,1,0))))</f>
        <v>0</v>
      </c>
      <c r="L146" s="124" t="n">
        <f aca="false">J146*K146</f>
        <v>-0</v>
      </c>
      <c r="M146" s="124" t="n">
        <f aca="false">SUM(J$97:J146)</f>
        <v>437315</v>
      </c>
      <c r="N146" s="124" t="n">
        <f aca="false">SUM(J$6:J146)</f>
        <v>425612</v>
      </c>
      <c r="P146" s="124" t="n">
        <f aca="false">D146/P$3</f>
        <v>-11.6703313253913</v>
      </c>
      <c r="Q146" s="124" t="n">
        <f aca="false">E146/P$3</f>
        <v>3.26057362090765</v>
      </c>
      <c r="R146" s="124" t="n">
        <f aca="false">F146/R$3</f>
        <v>0</v>
      </c>
      <c r="S146" s="126" t="n">
        <f aca="false">J146/$R$3</f>
        <v>-3.383</v>
      </c>
      <c r="T146" s="126" t="n">
        <f aca="false">L146/$R$3</f>
        <v>-0</v>
      </c>
      <c r="U146" s="126" t="n">
        <f aca="false">I146/$R$3</f>
        <v>2.068</v>
      </c>
      <c r="V146" s="126" t="n">
        <f aca="false">M146/$R$3</f>
        <v>437.315</v>
      </c>
      <c r="W146" s="126" t="n">
        <f aca="false">N146/$R$3</f>
        <v>425.612</v>
      </c>
    </row>
    <row r="147" customFormat="false" ht="12.75" hidden="true" customHeight="false" outlineLevel="0" collapsed="false">
      <c r="A147" s="120" t="n">
        <f aca="false">A146+1</f>
        <v>37033</v>
      </c>
      <c r="B147" s="131" t="str">
        <f aca="false">INDEX('Master Data'!$A$2:$B$8,MATCH(WEEKDAY('ARG Gas Firm'!A147,3),'Master Data'!$A$2:$A$8,0),2)</f>
        <v>T</v>
      </c>
      <c r="D147" s="124" t="n">
        <v>-11681269.3689101</v>
      </c>
      <c r="E147" s="124" t="n">
        <v>3264021.990519</v>
      </c>
      <c r="F147" s="124" t="n">
        <v>0</v>
      </c>
      <c r="G147" s="124" t="n">
        <v>2068</v>
      </c>
      <c r="I147" s="124" t="n">
        <f aca="false">IF(MONTH($A147)=MONTH($A146),IF(G147=0,I146,G147),G147)</f>
        <v>2068</v>
      </c>
      <c r="J147" s="124" t="n">
        <f aca="false">IF(MONTH($A147)=MONTH($A146),SUM(I147-I146),I147)</f>
        <v>0</v>
      </c>
      <c r="K147" s="124" t="n">
        <f aca="false">IF(WEEKDAY(A147,3)&gt;4,0,(IF(A147&lt;K$2,0,IF(A147&lt;=K$3,1,0))))</f>
        <v>0</v>
      </c>
      <c r="L147" s="124" t="n">
        <f aca="false">J147*K147</f>
        <v>0</v>
      </c>
      <c r="M147" s="124" t="n">
        <f aca="false">SUM(J$97:J147)</f>
        <v>437315</v>
      </c>
      <c r="N147" s="124" t="n">
        <f aca="false">SUM(J$6:J147)</f>
        <v>425612</v>
      </c>
      <c r="P147" s="124" t="n">
        <f aca="false">D147/P$3</f>
        <v>-11.6812693689101</v>
      </c>
      <c r="Q147" s="124" t="n">
        <f aca="false">E147/P$3</f>
        <v>3.264021990519</v>
      </c>
      <c r="R147" s="124" t="n">
        <f aca="false">F147/R$3</f>
        <v>0</v>
      </c>
      <c r="S147" s="126" t="n">
        <f aca="false">J147/$R$3</f>
        <v>0</v>
      </c>
      <c r="T147" s="126" t="n">
        <f aca="false">L147/$R$3</f>
        <v>0</v>
      </c>
      <c r="U147" s="126" t="n">
        <f aca="false">I147/$R$3</f>
        <v>2.068</v>
      </c>
      <c r="V147" s="126" t="n">
        <f aca="false">M147/$R$3</f>
        <v>437.315</v>
      </c>
      <c r="W147" s="126" t="n">
        <f aca="false">N147/$R$3</f>
        <v>425.612</v>
      </c>
    </row>
    <row r="148" customFormat="false" ht="12.75" hidden="true" customHeight="false" outlineLevel="0" collapsed="false">
      <c r="A148" s="120" t="n">
        <f aca="false">A147+1</f>
        <v>37034</v>
      </c>
      <c r="B148" s="131" t="str">
        <f aca="false">INDEX('Master Data'!$A$2:$B$8,MATCH(WEEKDAY('ARG Gas Firm'!A148,3),'Master Data'!$A$2:$A$8,0),2)</f>
        <v>W</v>
      </c>
      <c r="D148" s="124" t="n">
        <v>-11694070.2447788</v>
      </c>
      <c r="E148" s="124" t="n">
        <v>3268310.17652595</v>
      </c>
      <c r="F148" s="124" t="n">
        <v>0</v>
      </c>
      <c r="G148" s="124" t="n">
        <v>2069</v>
      </c>
      <c r="I148" s="124" t="n">
        <f aca="false">IF(MONTH($A148)=MONTH($A147),IF(G148=0,I147,G148),G148)</f>
        <v>2069</v>
      </c>
      <c r="J148" s="124" t="n">
        <f aca="false">IF(MONTH($A148)=MONTH($A147),SUM(I148-I147),I148)</f>
        <v>1</v>
      </c>
      <c r="K148" s="124" t="n">
        <f aca="false">IF(WEEKDAY(A148,3)&gt;4,0,(IF(A148&lt;K$2,0,IF(A148&lt;=K$3,1,0))))</f>
        <v>0</v>
      </c>
      <c r="L148" s="124" t="n">
        <f aca="false">J148*K148</f>
        <v>0</v>
      </c>
      <c r="M148" s="124" t="n">
        <f aca="false">SUM(J$97:J148)</f>
        <v>437316</v>
      </c>
      <c r="N148" s="124" t="n">
        <f aca="false">SUM(J$6:J148)</f>
        <v>425613</v>
      </c>
      <c r="P148" s="124" t="n">
        <f aca="false">D148/P$3</f>
        <v>-11.6940702447788</v>
      </c>
      <c r="Q148" s="124" t="n">
        <f aca="false">E148/P$3</f>
        <v>3.26831017652595</v>
      </c>
      <c r="R148" s="124" t="n">
        <f aca="false">F148/R$3</f>
        <v>0</v>
      </c>
      <c r="S148" s="126" t="n">
        <f aca="false">J148/$R$3</f>
        <v>0.001</v>
      </c>
      <c r="T148" s="126" t="n">
        <f aca="false">L148/$R$3</f>
        <v>0</v>
      </c>
      <c r="U148" s="126" t="n">
        <f aca="false">I148/$R$3</f>
        <v>2.069</v>
      </c>
      <c r="V148" s="126" t="n">
        <f aca="false">M148/$R$3</f>
        <v>437.316</v>
      </c>
      <c r="W148" s="126" t="n">
        <f aca="false">N148/$R$3</f>
        <v>425.613</v>
      </c>
    </row>
    <row r="149" customFormat="false" ht="12.75" hidden="true" customHeight="false" outlineLevel="0" collapsed="false">
      <c r="A149" s="120" t="n">
        <f aca="false">A148+1</f>
        <v>37035</v>
      </c>
      <c r="B149" s="131" t="str">
        <f aca="false">INDEX('Master Data'!$A$2:$B$8,MATCH(WEEKDAY('ARG Gas Firm'!A149,3),'Master Data'!$A$2:$A$8,0),2)</f>
        <v>Th</v>
      </c>
      <c r="D149" s="124" t="n">
        <v>-11653611.9241151</v>
      </c>
      <c r="E149" s="124" t="n">
        <v>3262030.01195366</v>
      </c>
      <c r="F149" s="124" t="n">
        <v>0</v>
      </c>
      <c r="G149" s="124" t="n">
        <v>2069</v>
      </c>
      <c r="I149" s="124" t="n">
        <f aca="false">IF(MONTH($A149)=MONTH($A148),IF(G149=0,I148,G149),G149)</f>
        <v>2069</v>
      </c>
      <c r="J149" s="124" t="n">
        <f aca="false">IF(MONTH($A149)=MONTH($A148),SUM(I149-I148),I149)</f>
        <v>0</v>
      </c>
      <c r="K149" s="124" t="n">
        <f aca="false">IF(WEEKDAY(A149,3)&gt;4,0,(IF(A149&lt;K$2,0,IF(A149&lt;=K$3,1,0))))</f>
        <v>0</v>
      </c>
      <c r="L149" s="124" t="n">
        <f aca="false">J149*K149</f>
        <v>0</v>
      </c>
      <c r="M149" s="124" t="n">
        <f aca="false">SUM(J$97:J149)</f>
        <v>437316</v>
      </c>
      <c r="N149" s="124" t="n">
        <f aca="false">SUM(J$6:J149)</f>
        <v>425613</v>
      </c>
      <c r="P149" s="124" t="n">
        <f aca="false">D149/P$3</f>
        <v>-11.6536119241151</v>
      </c>
      <c r="Q149" s="124" t="n">
        <f aca="false">E149/P$3</f>
        <v>3.26203001195366</v>
      </c>
      <c r="R149" s="124" t="n">
        <f aca="false">F149/R$3</f>
        <v>0</v>
      </c>
      <c r="S149" s="126" t="n">
        <f aca="false">J149/$R$3</f>
        <v>0</v>
      </c>
      <c r="T149" s="126" t="n">
        <f aca="false">L149/$R$3</f>
        <v>0</v>
      </c>
      <c r="U149" s="126" t="n">
        <f aca="false">I149/$R$3</f>
        <v>2.069</v>
      </c>
      <c r="V149" s="126" t="n">
        <f aca="false">M149/$R$3</f>
        <v>437.316</v>
      </c>
      <c r="W149" s="126" t="n">
        <f aca="false">N149/$R$3</f>
        <v>425.613</v>
      </c>
    </row>
    <row r="150" customFormat="false" ht="12.75" hidden="true" customHeight="false" outlineLevel="0" collapsed="false">
      <c r="A150" s="120" t="n">
        <f aca="false">A149+1</f>
        <v>37036</v>
      </c>
      <c r="B150" s="131" t="str">
        <f aca="false">INDEX('Master Data'!$A$2:$B$8,MATCH(WEEKDAY('ARG Gas Firm'!A150,3),'Master Data'!$A$2:$A$8,0),2)</f>
        <v>F</v>
      </c>
      <c r="D150" s="124" t="n">
        <v>-11659656.0827936</v>
      </c>
      <c r="E150" s="124" t="n">
        <v>3263882.5847219</v>
      </c>
      <c r="F150" s="124" t="n">
        <v>0</v>
      </c>
      <c r="G150" s="124" t="n">
        <v>2070</v>
      </c>
      <c r="I150" s="124" t="n">
        <f aca="false">IF(MONTH($A150)=MONTH($A149),IF(G150=0,I149,G150),G150)</f>
        <v>2070</v>
      </c>
      <c r="J150" s="124" t="n">
        <f aca="false">IF(MONTH($A150)=MONTH($A149),SUM(I150-I149),I150)</f>
        <v>1</v>
      </c>
      <c r="K150" s="124" t="n">
        <f aca="false">IF(WEEKDAY(A150,3)&gt;4,0,(IF(A150&lt;K$2,0,IF(A150&lt;=K$3,1,0))))</f>
        <v>0</v>
      </c>
      <c r="L150" s="124" t="n">
        <f aca="false">J150*K150</f>
        <v>0</v>
      </c>
      <c r="M150" s="124" t="n">
        <f aca="false">SUM(J$97:J150)</f>
        <v>437317</v>
      </c>
      <c r="N150" s="124" t="n">
        <f aca="false">SUM(J$6:J150)</f>
        <v>425614</v>
      </c>
      <c r="P150" s="124" t="n">
        <f aca="false">D150/P$3</f>
        <v>-11.6596560827936</v>
      </c>
      <c r="Q150" s="124" t="n">
        <f aca="false">E150/P$3</f>
        <v>3.2638825847219</v>
      </c>
      <c r="R150" s="124" t="n">
        <f aca="false">F150/R$3</f>
        <v>0</v>
      </c>
      <c r="S150" s="126" t="n">
        <f aca="false">J150/$R$3</f>
        <v>0.001</v>
      </c>
      <c r="T150" s="126" t="n">
        <f aca="false">L150/$R$3</f>
        <v>0</v>
      </c>
      <c r="U150" s="126" t="n">
        <f aca="false">I150/$R$3</f>
        <v>2.07</v>
      </c>
      <c r="V150" s="126" t="n">
        <f aca="false">M150/$R$3</f>
        <v>437.317</v>
      </c>
      <c r="W150" s="126" t="n">
        <f aca="false">N150/$R$3</f>
        <v>425.614</v>
      </c>
    </row>
    <row r="151" customFormat="false" ht="12.75" hidden="true" customHeight="false" outlineLevel="0" collapsed="false">
      <c r="A151" s="120" t="n">
        <f aca="false">A150+1</f>
        <v>37037</v>
      </c>
      <c r="B151" s="131" t="str">
        <f aca="false">INDEX('Master Data'!$A$2:$B$8,MATCH(WEEKDAY('ARG Gas Firm'!A151,3),'Master Data'!$A$2:$A$8,0),2)</f>
        <v>Sa</v>
      </c>
      <c r="D151" s="124"/>
      <c r="E151" s="124"/>
      <c r="F151" s="124"/>
      <c r="G151" s="124"/>
      <c r="I151" s="124" t="n">
        <f aca="false">IF(MONTH($A151)=MONTH($A150),IF(G151=0,I150,G151),G151)</f>
        <v>2070</v>
      </c>
      <c r="J151" s="124" t="n">
        <f aca="false">IF(MONTH($A151)=MONTH($A150),SUM(I151-I150),I151)</f>
        <v>0</v>
      </c>
      <c r="K151" s="124" t="n">
        <f aca="false">IF(WEEKDAY(A151,3)&gt;4,0,(IF(A151&lt;K$2,0,IF(A151&lt;=K$3,1,0))))</f>
        <v>0</v>
      </c>
      <c r="L151" s="124" t="n">
        <f aca="false">J151*K151</f>
        <v>0</v>
      </c>
      <c r="M151" s="124" t="n">
        <f aca="false">SUM(J$97:J151)</f>
        <v>437317</v>
      </c>
      <c r="N151" s="124" t="n">
        <f aca="false">SUM(J$6:J151)</f>
        <v>425614</v>
      </c>
      <c r="P151" s="124" t="n">
        <f aca="false">D151/P$3</f>
        <v>0</v>
      </c>
      <c r="Q151" s="124" t="n">
        <f aca="false">E151/P$3</f>
        <v>0</v>
      </c>
      <c r="R151" s="124" t="n">
        <f aca="false">F151/R$3</f>
        <v>0</v>
      </c>
      <c r="S151" s="126" t="n">
        <f aca="false">J151/$R$3</f>
        <v>0</v>
      </c>
      <c r="T151" s="126" t="n">
        <f aca="false">L151/$R$3</f>
        <v>0</v>
      </c>
      <c r="U151" s="126" t="n">
        <f aca="false">I151/$R$3</f>
        <v>2.07</v>
      </c>
      <c r="V151" s="126" t="n">
        <f aca="false">M151/$R$3</f>
        <v>437.317</v>
      </c>
      <c r="W151" s="126" t="n">
        <f aca="false">N151/$R$3</f>
        <v>425.614</v>
      </c>
    </row>
    <row r="152" customFormat="false" ht="12.75" hidden="true" customHeight="false" outlineLevel="0" collapsed="false">
      <c r="A152" s="120" t="n">
        <f aca="false">A151+1</f>
        <v>37038</v>
      </c>
      <c r="B152" s="131" t="str">
        <f aca="false">INDEX('Master Data'!$A$2:$B$8,MATCH(WEEKDAY('ARG Gas Firm'!A152,3),'Master Data'!$A$2:$A$8,0),2)</f>
        <v>Su</v>
      </c>
      <c r="D152" s="124"/>
      <c r="E152" s="124"/>
      <c r="F152" s="124"/>
      <c r="G152" s="124"/>
      <c r="I152" s="124" t="n">
        <f aca="false">IF(MONTH($A152)=MONTH($A151),IF(G152=0,I151,G152),G152)</f>
        <v>2070</v>
      </c>
      <c r="J152" s="124" t="n">
        <f aca="false">IF(MONTH($A152)=MONTH($A151),SUM(I152-I151),I152)</f>
        <v>0</v>
      </c>
      <c r="K152" s="124" t="n">
        <f aca="false">IF(WEEKDAY(A152,3)&gt;4,0,(IF(A152&lt;K$2,0,IF(A152&lt;=K$3,1,0))))</f>
        <v>0</v>
      </c>
      <c r="L152" s="124" t="n">
        <f aca="false">J152*K152</f>
        <v>0</v>
      </c>
      <c r="M152" s="124" t="n">
        <f aca="false">SUM(J$97:J152)</f>
        <v>437317</v>
      </c>
      <c r="N152" s="124" t="n">
        <f aca="false">SUM(J$6:J152)</f>
        <v>425614</v>
      </c>
      <c r="P152" s="124" t="n">
        <f aca="false">D152/P$3</f>
        <v>0</v>
      </c>
      <c r="Q152" s="124" t="n">
        <f aca="false">E152/P$3</f>
        <v>0</v>
      </c>
      <c r="R152" s="124" t="n">
        <f aca="false">F152/R$3</f>
        <v>0</v>
      </c>
      <c r="S152" s="126" t="n">
        <f aca="false">J152/$R$3</f>
        <v>0</v>
      </c>
      <c r="T152" s="126" t="n">
        <f aca="false">L152/$R$3</f>
        <v>0</v>
      </c>
      <c r="U152" s="126" t="n">
        <f aca="false">I152/$R$3</f>
        <v>2.07</v>
      </c>
      <c r="V152" s="126" t="n">
        <f aca="false">M152/$R$3</f>
        <v>437.317</v>
      </c>
      <c r="W152" s="126" t="n">
        <f aca="false">N152/$R$3</f>
        <v>425.614</v>
      </c>
    </row>
    <row r="153" customFormat="false" ht="12.75" hidden="true" customHeight="false" outlineLevel="0" collapsed="false">
      <c r="A153" s="120" t="n">
        <f aca="false">A152+1</f>
        <v>37039</v>
      </c>
      <c r="B153" s="131" t="str">
        <f aca="false">INDEX('Master Data'!$A$2:$B$8,MATCH(WEEKDAY('ARG Gas Firm'!A153,3),'Master Data'!$A$2:$A$8,0),2)</f>
        <v>M</v>
      </c>
      <c r="D153" s="124"/>
      <c r="E153" s="124"/>
      <c r="F153" s="124"/>
      <c r="G153" s="124"/>
      <c r="I153" s="124" t="n">
        <f aca="false">IF(MONTH($A153)=MONTH($A152),IF(G153=0,I152,G153),G153)</f>
        <v>2070</v>
      </c>
      <c r="J153" s="124" t="n">
        <f aca="false">IF(MONTH($A153)=MONTH($A152),SUM(I153-I152),I153)</f>
        <v>0</v>
      </c>
      <c r="K153" s="124" t="n">
        <f aca="false">IF(WEEKDAY(A153,3)&gt;4,0,(IF(A153&lt;K$2,0,IF(A153&lt;=K$3,1,0))))</f>
        <v>0</v>
      </c>
      <c r="L153" s="124" t="n">
        <f aca="false">J153*K153</f>
        <v>0</v>
      </c>
      <c r="M153" s="124" t="n">
        <f aca="false">SUM(J$97:J153)</f>
        <v>437317</v>
      </c>
      <c r="N153" s="124" t="n">
        <f aca="false">SUM(J$6:J153)</f>
        <v>425614</v>
      </c>
      <c r="P153" s="124" t="n">
        <f aca="false">D153/P$3</f>
        <v>0</v>
      </c>
      <c r="Q153" s="124" t="n">
        <f aca="false">E153/P$3</f>
        <v>0</v>
      </c>
      <c r="R153" s="124" t="n">
        <f aca="false">F153/R$3</f>
        <v>0</v>
      </c>
      <c r="S153" s="126" t="n">
        <f aca="false">J153/$R$3</f>
        <v>0</v>
      </c>
      <c r="T153" s="126" t="n">
        <f aca="false">L153/$R$3</f>
        <v>0</v>
      </c>
      <c r="U153" s="126" t="n">
        <f aca="false">I153/$R$3</f>
        <v>2.07</v>
      </c>
      <c r="V153" s="126" t="n">
        <f aca="false">M153/$R$3</f>
        <v>437.317</v>
      </c>
      <c r="W153" s="126" t="n">
        <f aca="false">N153/$R$3</f>
        <v>425.614</v>
      </c>
    </row>
    <row r="154" customFormat="false" ht="12.75" hidden="true" customHeight="false" outlineLevel="0" collapsed="false">
      <c r="A154" s="120" t="n">
        <f aca="false">A153+1</f>
        <v>37040</v>
      </c>
      <c r="B154" s="131" t="str">
        <f aca="false">INDEX('Master Data'!$A$2:$B$8,MATCH(WEEKDAY('ARG Gas Firm'!A154,3),'Master Data'!$A$2:$A$8,0),2)</f>
        <v>T</v>
      </c>
      <c r="D154" s="124" t="n">
        <v>-11648924.2635452</v>
      </c>
      <c r="E154" s="124" t="n">
        <v>3263711.5784775</v>
      </c>
      <c r="F154" s="124"/>
      <c r="G154" s="124" t="n">
        <v>2071</v>
      </c>
      <c r="I154" s="124" t="n">
        <f aca="false">IF(MONTH($A154)=MONTH($A153),IF(G154=0,I153,G154),G154)</f>
        <v>2071</v>
      </c>
      <c r="J154" s="124" t="n">
        <f aca="false">IF(MONTH($A154)=MONTH($A153),SUM(I154-I153),I154)</f>
        <v>1</v>
      </c>
      <c r="K154" s="124" t="n">
        <f aca="false">IF(WEEKDAY(A154,3)&gt;4,0,(IF(A154&lt;K$2,0,IF(A154&lt;=K$3,1,0))))</f>
        <v>0</v>
      </c>
      <c r="L154" s="124" t="n">
        <f aca="false">J154*K154</f>
        <v>0</v>
      </c>
      <c r="M154" s="124" t="n">
        <f aca="false">SUM(J$97:J154)</f>
        <v>437318</v>
      </c>
      <c r="N154" s="124" t="n">
        <f aca="false">SUM(J$6:J154)</f>
        <v>425615</v>
      </c>
      <c r="P154" s="124" t="n">
        <f aca="false">D154/P$3</f>
        <v>-11.6489242635452</v>
      </c>
      <c r="Q154" s="124" t="n">
        <f aca="false">E154/P$3</f>
        <v>3.2637115784775</v>
      </c>
      <c r="R154" s="124" t="n">
        <f aca="false">F154/R$3</f>
        <v>0</v>
      </c>
      <c r="S154" s="126" t="n">
        <f aca="false">J154/$R$3</f>
        <v>0.001</v>
      </c>
      <c r="T154" s="126" t="n">
        <f aca="false">L154/$R$3</f>
        <v>0</v>
      </c>
      <c r="U154" s="126" t="n">
        <f aca="false">I154/$R$3</f>
        <v>2.071</v>
      </c>
      <c r="V154" s="126" t="n">
        <f aca="false">M154/$R$3</f>
        <v>437.318</v>
      </c>
      <c r="W154" s="126" t="n">
        <f aca="false">N154/$R$3</f>
        <v>425.615</v>
      </c>
    </row>
    <row r="155" customFormat="false" ht="12.75" hidden="true" customHeight="false" outlineLevel="0" collapsed="false">
      <c r="A155" s="120" t="n">
        <f aca="false">A154+1</f>
        <v>37041</v>
      </c>
      <c r="B155" s="131" t="str">
        <f aca="false">INDEX('Master Data'!$A$2:$B$8,MATCH(WEEKDAY('ARG Gas Firm'!A155,3),'Master Data'!$A$2:$A$8,0),2)</f>
        <v>W</v>
      </c>
      <c r="D155" s="124" t="n">
        <v>-11654121.64807</v>
      </c>
      <c r="E155" s="124" t="n">
        <v>3262796.91286264</v>
      </c>
      <c r="F155" s="124"/>
      <c r="G155" s="124" t="n">
        <v>2070</v>
      </c>
      <c r="I155" s="124" t="n">
        <f aca="false">IF(MONTH($A155)=MONTH($A154),IF(G155=0,I154,G155),G155)</f>
        <v>2070</v>
      </c>
      <c r="J155" s="124" t="n">
        <f aca="false">IF(MONTH($A155)=MONTH($A154),SUM(I155-I154),I155)</f>
        <v>-1</v>
      </c>
      <c r="K155" s="124" t="n">
        <f aca="false">IF(WEEKDAY(A155,3)&gt;4,0,(IF(A155&lt;K$2,0,IF(A155&lt;=K$3,1,0))))</f>
        <v>0</v>
      </c>
      <c r="L155" s="124" t="n">
        <f aca="false">J155*K155</f>
        <v>-0</v>
      </c>
      <c r="M155" s="124" t="n">
        <f aca="false">SUM(J$97:J155)</f>
        <v>437317</v>
      </c>
      <c r="N155" s="124" t="n">
        <f aca="false">SUM(J$6:J155)</f>
        <v>425614</v>
      </c>
      <c r="P155" s="124" t="n">
        <f aca="false">D155/P$3</f>
        <v>-11.65412164807</v>
      </c>
      <c r="Q155" s="124" t="n">
        <f aca="false">E155/P$3</f>
        <v>3.26279691286264</v>
      </c>
      <c r="R155" s="124" t="n">
        <f aca="false">F155/R$3</f>
        <v>0</v>
      </c>
      <c r="S155" s="126" t="n">
        <f aca="false">J155/$R$3</f>
        <v>-0.001</v>
      </c>
      <c r="T155" s="126" t="n">
        <f aca="false">L155/$R$3</f>
        <v>-0</v>
      </c>
      <c r="U155" s="126" t="n">
        <f aca="false">I155/$R$3</f>
        <v>2.07</v>
      </c>
      <c r="V155" s="126" t="n">
        <f aca="false">M155/$R$3</f>
        <v>437.317</v>
      </c>
      <c r="W155" s="126" t="n">
        <f aca="false">N155/$R$3</f>
        <v>425.614</v>
      </c>
    </row>
    <row r="156" customFormat="false" ht="12.75" hidden="false" customHeight="false" outlineLevel="0" collapsed="false">
      <c r="A156" s="120" t="n">
        <f aca="false">A155+1</f>
        <v>37042</v>
      </c>
      <c r="B156" s="131" t="str">
        <f aca="false">INDEX('Master Data'!$A$2:$B$8,MATCH(WEEKDAY('ARG Gas Firm'!A156,3),'Master Data'!$A$2:$A$8,0),2)</f>
        <v>Th</v>
      </c>
      <c r="D156" s="124" t="n">
        <v>-11680355.3878389</v>
      </c>
      <c r="E156" s="124" t="n">
        <v>3285095.71878079</v>
      </c>
      <c r="F156" s="124"/>
      <c r="G156" s="124" t="n">
        <v>17</v>
      </c>
      <c r="I156" s="124" t="n">
        <f aca="false">IF(MONTH($A156)=MONTH($A155),IF(G156=0,I155,G156),G156)</f>
        <v>17</v>
      </c>
      <c r="J156" s="124" t="n">
        <f aca="false">IF(MONTH($A156)=MONTH($A155),SUM(I156-I155),I156)</f>
        <v>-2053</v>
      </c>
      <c r="K156" s="124" t="n">
        <f aca="false">IF(WEEKDAY(A156,3)&gt;4,0,(IF(A156&lt;K$2,0,IF(A156&lt;=K$3,1,0))))</f>
        <v>0</v>
      </c>
      <c r="L156" s="124" t="n">
        <f aca="false">J156*K156</f>
        <v>-0</v>
      </c>
      <c r="M156" s="124" t="n">
        <f aca="false">SUM(J$97:J156)</f>
        <v>435264</v>
      </c>
      <c r="N156" s="124" t="n">
        <f aca="false">SUM(J$6:J156)</f>
        <v>423561</v>
      </c>
      <c r="P156" s="124" t="n">
        <f aca="false">D156/P$3</f>
        <v>-11.6803553878389</v>
      </c>
      <c r="Q156" s="124" t="n">
        <f aca="false">E156/P$3</f>
        <v>3.28509571878079</v>
      </c>
      <c r="R156" s="124" t="n">
        <f aca="false">F156/R$3</f>
        <v>0</v>
      </c>
      <c r="S156" s="126" t="n">
        <f aca="false">J156/$R$3</f>
        <v>-2.053</v>
      </c>
      <c r="T156" s="126" t="n">
        <f aca="false">L156/$R$3</f>
        <v>-0</v>
      </c>
      <c r="U156" s="126" t="n">
        <f aca="false">I156/$R$3</f>
        <v>0.017</v>
      </c>
      <c r="V156" s="126" t="n">
        <f aca="false">M156/$R$3</f>
        <v>435.264</v>
      </c>
      <c r="W156" s="126" t="n">
        <f aca="false">N156/$R$3</f>
        <v>423.561</v>
      </c>
    </row>
    <row r="157" customFormat="false" ht="12.75" hidden="true" customHeight="false" outlineLevel="0" collapsed="false">
      <c r="A157" s="120" t="n">
        <f aca="false">A156+1</f>
        <v>37043</v>
      </c>
      <c r="B157" s="131" t="str">
        <f aca="false">INDEX('Master Data'!$A$2:$B$8,MATCH(WEEKDAY('ARG Gas Firm'!A157,3),'Master Data'!$A$2:$A$8,0),2)</f>
        <v>F</v>
      </c>
      <c r="D157" s="124" t="n">
        <v>-11665874.4094987</v>
      </c>
      <c r="E157" s="124" t="n">
        <v>3278123.4982636</v>
      </c>
      <c r="F157" s="124"/>
      <c r="G157" s="124" t="n">
        <v>1</v>
      </c>
      <c r="I157" s="124" t="n">
        <f aca="false">IF(MONTH($A157)=MONTH($A156),IF(G157=0,I156,G157),G157)</f>
        <v>1</v>
      </c>
      <c r="J157" s="124" t="n">
        <f aca="false">IF(MONTH($A157)=MONTH($A156),SUM(I157-I156),I157)</f>
        <v>1</v>
      </c>
      <c r="K157" s="124" t="n">
        <f aca="false">IF(WEEKDAY(A157,3)&gt;4,0,(IF(A157&lt;K$2,0,IF(A157&lt;=K$3,1,0))))</f>
        <v>0</v>
      </c>
      <c r="L157" s="124" t="n">
        <f aca="false">J157*K157</f>
        <v>0</v>
      </c>
      <c r="M157" s="124" t="n">
        <f aca="false">SUM(J$97:J157)</f>
        <v>435265</v>
      </c>
      <c r="N157" s="124" t="n">
        <f aca="false">SUM(J$6:J157)</f>
        <v>423562</v>
      </c>
      <c r="P157" s="124" t="n">
        <f aca="false">D157/P$3</f>
        <v>-11.6658744094987</v>
      </c>
      <c r="Q157" s="124" t="n">
        <f aca="false">E157/P$3</f>
        <v>3.2781234982636</v>
      </c>
      <c r="R157" s="124" t="n">
        <f aca="false">F157/R$3</f>
        <v>0</v>
      </c>
      <c r="S157" s="126" t="n">
        <f aca="false">J157/$R$3</f>
        <v>0.001</v>
      </c>
      <c r="T157" s="126" t="n">
        <f aca="false">L157/$R$3</f>
        <v>0</v>
      </c>
      <c r="U157" s="126" t="n">
        <f aca="false">I157/$R$3</f>
        <v>0.001</v>
      </c>
      <c r="V157" s="126" t="n">
        <f aca="false">M157/$R$3</f>
        <v>435.265</v>
      </c>
      <c r="W157" s="126" t="n">
        <f aca="false">N157/$R$3</f>
        <v>423.562</v>
      </c>
    </row>
    <row r="158" customFormat="false" ht="12.75" hidden="true" customHeight="false" outlineLevel="0" collapsed="false">
      <c r="A158" s="120" t="n">
        <f aca="false">A157+1</f>
        <v>37044</v>
      </c>
      <c r="B158" s="131" t="str">
        <f aca="false">INDEX('Master Data'!$A$2:$B$8,MATCH(WEEKDAY('ARG Gas Firm'!A158,3),'Master Data'!$A$2:$A$8,0),2)</f>
        <v>Sa</v>
      </c>
      <c r="D158" s="124"/>
      <c r="E158" s="124"/>
      <c r="F158" s="124"/>
      <c r="G158" s="124"/>
      <c r="I158" s="124" t="n">
        <f aca="false">IF(MONTH($A158)=MONTH($A157),IF(G158=0,I157,G158),G158)</f>
        <v>1</v>
      </c>
      <c r="J158" s="124" t="n">
        <f aca="false">IF(MONTH($A158)=MONTH($A157),SUM(I158-I157),I158)</f>
        <v>0</v>
      </c>
      <c r="K158" s="124" t="n">
        <f aca="false">IF(WEEKDAY(A158,3)&gt;4,0,(IF(A158&lt;K$2,0,IF(A158&lt;=K$3,1,0))))</f>
        <v>0</v>
      </c>
      <c r="L158" s="124" t="n">
        <f aca="false">J158*K158</f>
        <v>0</v>
      </c>
      <c r="M158" s="124" t="n">
        <f aca="false">SUM(J$97:J158)</f>
        <v>435265</v>
      </c>
      <c r="N158" s="124" t="n">
        <f aca="false">SUM(J$6:J158)</f>
        <v>423562</v>
      </c>
      <c r="P158" s="124" t="n">
        <f aca="false">D158/P$3</f>
        <v>0</v>
      </c>
      <c r="Q158" s="124" t="n">
        <f aca="false">E158/P$3</f>
        <v>0</v>
      </c>
      <c r="R158" s="124" t="n">
        <f aca="false">F158/R$3</f>
        <v>0</v>
      </c>
      <c r="S158" s="126" t="n">
        <f aca="false">J158/$R$3</f>
        <v>0</v>
      </c>
      <c r="T158" s="126" t="n">
        <f aca="false">L158/$R$3</f>
        <v>0</v>
      </c>
      <c r="U158" s="126" t="n">
        <f aca="false">I158/$R$3</f>
        <v>0.001</v>
      </c>
      <c r="V158" s="126" t="n">
        <f aca="false">M158/$R$3</f>
        <v>435.265</v>
      </c>
      <c r="W158" s="126" t="n">
        <f aca="false">N158/$R$3</f>
        <v>423.562</v>
      </c>
    </row>
    <row r="159" customFormat="false" ht="12.75" hidden="true" customHeight="false" outlineLevel="0" collapsed="false">
      <c r="A159" s="120" t="n">
        <f aca="false">A158+1</f>
        <v>37045</v>
      </c>
      <c r="B159" s="131" t="str">
        <f aca="false">INDEX('Master Data'!$A$2:$B$8,MATCH(WEEKDAY('ARG Gas Firm'!A159,3),'Master Data'!$A$2:$A$8,0),2)</f>
        <v>Su</v>
      </c>
      <c r="D159" s="124"/>
      <c r="E159" s="124"/>
      <c r="F159" s="124"/>
      <c r="G159" s="124"/>
      <c r="I159" s="124" t="n">
        <f aca="false">IF(MONTH($A159)=MONTH($A158),IF(G159=0,I158,G159),G159)</f>
        <v>1</v>
      </c>
      <c r="J159" s="124" t="n">
        <f aca="false">IF(MONTH($A159)=MONTH($A158),SUM(I159-I158),I159)</f>
        <v>0</v>
      </c>
      <c r="K159" s="124" t="n">
        <f aca="false">IF(WEEKDAY(A159,3)&gt;4,0,(IF(A159&lt;K$2,0,IF(A159&lt;=K$3,1,0))))</f>
        <v>0</v>
      </c>
      <c r="L159" s="124" t="n">
        <f aca="false">J159*K159</f>
        <v>0</v>
      </c>
      <c r="M159" s="124" t="n">
        <f aca="false">SUM(J$97:J159)</f>
        <v>435265</v>
      </c>
      <c r="N159" s="124" t="n">
        <f aca="false">SUM(J$6:J159)</f>
        <v>423562</v>
      </c>
      <c r="P159" s="124" t="n">
        <f aca="false">D159/P$3</f>
        <v>0</v>
      </c>
      <c r="Q159" s="124" t="n">
        <f aca="false">E159/P$3</f>
        <v>0</v>
      </c>
      <c r="R159" s="124" t="n">
        <f aca="false">F159/R$3</f>
        <v>0</v>
      </c>
      <c r="S159" s="126" t="n">
        <f aca="false">J159/$R$3</f>
        <v>0</v>
      </c>
      <c r="T159" s="126" t="n">
        <f aca="false">L159/$R$3</f>
        <v>0</v>
      </c>
      <c r="U159" s="126" t="n">
        <f aca="false">I159/$R$3</f>
        <v>0.001</v>
      </c>
      <c r="V159" s="126" t="n">
        <f aca="false">M159/$R$3</f>
        <v>435.265</v>
      </c>
      <c r="W159" s="126" t="n">
        <f aca="false">N159/$R$3</f>
        <v>423.562</v>
      </c>
    </row>
    <row r="160" customFormat="false" ht="12.75" hidden="true" customHeight="false" outlineLevel="0" collapsed="false">
      <c r="A160" s="120" t="n">
        <f aca="false">A159+1</f>
        <v>37046</v>
      </c>
      <c r="B160" s="131" t="str">
        <f aca="false">INDEX('Master Data'!$A$2:$B$8,MATCH(WEEKDAY('ARG Gas Firm'!A160,3),'Master Data'!$A$2:$A$8,0),2)</f>
        <v>M</v>
      </c>
      <c r="D160" s="124" t="n">
        <v>-11685118.3142016</v>
      </c>
      <c r="E160" s="124" t="n">
        <v>3280462.48292571</v>
      </c>
      <c r="F160" s="124"/>
      <c r="G160" s="124" t="n">
        <v>0</v>
      </c>
      <c r="I160" s="124" t="n">
        <f aca="false">IF(MONTH($A160)=MONTH($A159),IF(G160=0,I159,G160),G160)</f>
        <v>1</v>
      </c>
      <c r="J160" s="124" t="n">
        <f aca="false">IF(MONTH($A160)=MONTH($A159),SUM(I160-I159),I160)</f>
        <v>0</v>
      </c>
      <c r="K160" s="124" t="n">
        <f aca="false">IF(WEEKDAY(A160,3)&gt;4,0,(IF(A160&lt;K$2,0,IF(A160&lt;=K$3,1,0))))</f>
        <v>0</v>
      </c>
      <c r="L160" s="124" t="n">
        <f aca="false">J160*K160</f>
        <v>0</v>
      </c>
      <c r="M160" s="124" t="n">
        <f aca="false">SUM(J$97:J160)</f>
        <v>435265</v>
      </c>
      <c r="N160" s="124" t="n">
        <f aca="false">SUM(J$6:J160)</f>
        <v>423562</v>
      </c>
      <c r="P160" s="124" t="n">
        <f aca="false">D160/P$3</f>
        <v>-11.6851183142016</v>
      </c>
      <c r="Q160" s="124" t="n">
        <f aca="false">E160/P$3</f>
        <v>3.28046248292571</v>
      </c>
      <c r="R160" s="124" t="n">
        <f aca="false">F160/R$3</f>
        <v>0</v>
      </c>
      <c r="S160" s="126" t="n">
        <f aca="false">J160/$R$3</f>
        <v>0</v>
      </c>
      <c r="T160" s="126" t="n">
        <f aca="false">L160/$R$3</f>
        <v>0</v>
      </c>
      <c r="U160" s="126" t="n">
        <f aca="false">I160/$R$3</f>
        <v>0.001</v>
      </c>
      <c r="V160" s="126" t="n">
        <f aca="false">M160/$R$3</f>
        <v>435.265</v>
      </c>
      <c r="W160" s="126" t="n">
        <f aca="false">N160/$R$3</f>
        <v>423.562</v>
      </c>
    </row>
    <row r="161" customFormat="false" ht="12.75" hidden="true" customHeight="false" outlineLevel="0" collapsed="false">
      <c r="A161" s="120" t="n">
        <f aca="false">A160+1</f>
        <v>37047</v>
      </c>
      <c r="B161" s="131" t="str">
        <f aca="false">INDEX('Master Data'!$A$2:$B$8,MATCH(WEEKDAY('ARG Gas Firm'!A161,3),'Master Data'!$A$2:$A$8,0),2)</f>
        <v>T</v>
      </c>
      <c r="D161" s="124" t="n">
        <v>-11719485.359097</v>
      </c>
      <c r="E161" s="124" t="n">
        <v>3287799.56772327</v>
      </c>
      <c r="F161" s="124"/>
      <c r="G161" s="124" t="n">
        <v>1</v>
      </c>
      <c r="I161" s="124" t="n">
        <f aca="false">IF(MONTH($A161)=MONTH($A160),IF(G161=0,I160,G161),G161)</f>
        <v>1</v>
      </c>
      <c r="J161" s="124" t="n">
        <f aca="false">IF(MONTH($A161)=MONTH($A160),SUM(I161-I160),I161)</f>
        <v>0</v>
      </c>
      <c r="K161" s="124" t="n">
        <f aca="false">IF(WEEKDAY(A161,3)&gt;4,0,(IF(A161&lt;K$2,0,IF(A161&lt;=K$3,1,0))))</f>
        <v>0</v>
      </c>
      <c r="L161" s="124" t="n">
        <f aca="false">J161*K161</f>
        <v>0</v>
      </c>
      <c r="M161" s="124" t="n">
        <f aca="false">SUM(J$97:J161)</f>
        <v>435265</v>
      </c>
      <c r="N161" s="124" t="n">
        <f aca="false">SUM(J$6:J161)</f>
        <v>423562</v>
      </c>
      <c r="P161" s="124" t="n">
        <f aca="false">D161/P$3</f>
        <v>-11.719485359097</v>
      </c>
      <c r="Q161" s="124" t="n">
        <f aca="false">E161/P$3</f>
        <v>3.28779956772327</v>
      </c>
      <c r="R161" s="124" t="n">
        <f aca="false">F161/R$3</f>
        <v>0</v>
      </c>
      <c r="S161" s="126" t="n">
        <f aca="false">J161/$R$3</f>
        <v>0</v>
      </c>
      <c r="T161" s="126" t="n">
        <f aca="false">L161/$R$3</f>
        <v>0</v>
      </c>
      <c r="U161" s="126" t="n">
        <f aca="false">I161/$R$3</f>
        <v>0.001</v>
      </c>
      <c r="V161" s="126" t="n">
        <f aca="false">M161/$R$3</f>
        <v>435.265</v>
      </c>
      <c r="W161" s="126" t="n">
        <f aca="false">N161/$R$3</f>
        <v>423.562</v>
      </c>
    </row>
    <row r="162" customFormat="false" ht="12.75" hidden="true" customHeight="false" outlineLevel="0" collapsed="false">
      <c r="A162" s="120" t="n">
        <f aca="false">A161+1</f>
        <v>37048</v>
      </c>
      <c r="B162" s="131" t="str">
        <f aca="false">INDEX('Master Data'!$A$2:$B$8,MATCH(WEEKDAY('ARG Gas Firm'!A162,3),'Master Data'!$A$2:$A$8,0),2)</f>
        <v>W</v>
      </c>
      <c r="D162" s="124" t="n">
        <v>-11725496.979905</v>
      </c>
      <c r="E162" s="124" t="n">
        <v>3289389.54739946</v>
      </c>
      <c r="F162" s="124"/>
      <c r="G162" s="124" t="n">
        <v>2</v>
      </c>
      <c r="I162" s="124" t="n">
        <f aca="false">IF(MONTH($A162)=MONTH($A161),IF(G162=0,I161,G162),G162)</f>
        <v>2</v>
      </c>
      <c r="J162" s="124" t="n">
        <f aca="false">IF(MONTH($A162)=MONTH($A161),SUM(I162-I161),I162)</f>
        <v>1</v>
      </c>
      <c r="K162" s="124" t="n">
        <f aca="false">IF(WEEKDAY(A162,3)&gt;4,0,(IF(A162&lt;K$2,0,IF(A162&lt;=K$3,1,0))))</f>
        <v>0</v>
      </c>
      <c r="L162" s="124" t="n">
        <f aca="false">J162*K162</f>
        <v>0</v>
      </c>
      <c r="M162" s="124" t="n">
        <f aca="false">SUM(J$97:J162)</f>
        <v>435266</v>
      </c>
      <c r="N162" s="124" t="n">
        <f aca="false">SUM(J$6:J162)</f>
        <v>423563</v>
      </c>
      <c r="P162" s="124" t="n">
        <f aca="false">D162/P$3</f>
        <v>-11.725496979905</v>
      </c>
      <c r="Q162" s="124" t="n">
        <f aca="false">E162/P$3</f>
        <v>3.28938954739946</v>
      </c>
      <c r="R162" s="124" t="n">
        <f aca="false">F162/R$3</f>
        <v>0</v>
      </c>
      <c r="S162" s="126" t="n">
        <f aca="false">J162/$R$3</f>
        <v>0.001</v>
      </c>
      <c r="T162" s="126" t="n">
        <f aca="false">L162/$R$3</f>
        <v>0</v>
      </c>
      <c r="U162" s="126" t="n">
        <f aca="false">I162/$R$3</f>
        <v>0.002</v>
      </c>
      <c r="V162" s="126" t="n">
        <f aca="false">M162/$R$3</f>
        <v>435.266</v>
      </c>
      <c r="W162" s="126" t="n">
        <f aca="false">N162/$R$3</f>
        <v>423.563</v>
      </c>
    </row>
    <row r="163" customFormat="false" ht="12.75" hidden="true" customHeight="false" outlineLevel="0" collapsed="false">
      <c r="A163" s="120" t="n">
        <f aca="false">A162+1</f>
        <v>37049</v>
      </c>
      <c r="B163" s="131" t="str">
        <f aca="false">INDEX('Master Data'!$A$2:$B$8,MATCH(WEEKDAY('ARG Gas Firm'!A163,3),'Master Data'!$A$2:$A$8,0),2)</f>
        <v>Th</v>
      </c>
      <c r="D163" s="124" t="n">
        <v>-11709127.1012205</v>
      </c>
      <c r="E163" s="124" t="n">
        <v>3287981.45427974</v>
      </c>
      <c r="F163" s="124"/>
      <c r="G163" s="124" t="n">
        <v>2</v>
      </c>
      <c r="I163" s="124" t="n">
        <f aca="false">IF(MONTH($A163)=MONTH($A162),IF(G163=0,I162,G163),G163)</f>
        <v>2</v>
      </c>
      <c r="J163" s="124" t="n">
        <f aca="false">IF(MONTH($A163)=MONTH($A162),SUM(I163-I162),I163)</f>
        <v>0</v>
      </c>
      <c r="K163" s="124" t="n">
        <f aca="false">IF(WEEKDAY(A163,3)&gt;4,0,(IF(A163&lt;K$2,0,IF(A163&lt;=K$3,1,0))))</f>
        <v>0</v>
      </c>
      <c r="L163" s="124" t="n">
        <f aca="false">J163*K163</f>
        <v>0</v>
      </c>
      <c r="M163" s="124" t="n">
        <f aca="false">SUM(J$97:J163)</f>
        <v>435266</v>
      </c>
      <c r="N163" s="124" t="n">
        <f aca="false">SUM(J$6:J163)</f>
        <v>423563</v>
      </c>
      <c r="P163" s="124" t="n">
        <f aca="false">D163/P$3</f>
        <v>-11.7091271012205</v>
      </c>
      <c r="Q163" s="124" t="n">
        <f aca="false">E163/P$3</f>
        <v>3.28798145427974</v>
      </c>
      <c r="R163" s="124" t="n">
        <f aca="false">F163/R$3</f>
        <v>0</v>
      </c>
      <c r="S163" s="126" t="n">
        <f aca="false">J163/$R$3</f>
        <v>0</v>
      </c>
      <c r="T163" s="126" t="n">
        <f aca="false">L163/$R$3</f>
        <v>0</v>
      </c>
      <c r="U163" s="126" t="n">
        <f aca="false">I163/$R$3</f>
        <v>0.002</v>
      </c>
      <c r="V163" s="126" t="n">
        <f aca="false">M163/$R$3</f>
        <v>435.266</v>
      </c>
      <c r="W163" s="126" t="n">
        <f aca="false">N163/$R$3</f>
        <v>423.563</v>
      </c>
    </row>
    <row r="164" customFormat="false" ht="12.75" hidden="true" customHeight="false" outlineLevel="0" collapsed="false">
      <c r="A164" s="120" t="n">
        <f aca="false">A163+1</f>
        <v>37050</v>
      </c>
      <c r="B164" s="131" t="str">
        <f aca="false">INDEX('Master Data'!$A$2:$B$8,MATCH(WEEKDAY('ARG Gas Firm'!A164,3),'Master Data'!$A$2:$A$8,0),2)</f>
        <v>F</v>
      </c>
      <c r="D164" s="124" t="n">
        <v>-11661940.9303853</v>
      </c>
      <c r="E164" s="124" t="n">
        <v>3277659.225743</v>
      </c>
      <c r="F164" s="124"/>
      <c r="G164" s="124" t="n">
        <v>1</v>
      </c>
      <c r="I164" s="124" t="n">
        <f aca="false">IF(MONTH($A164)=MONTH($A163),IF(G164=0,I163,G164),G164)</f>
        <v>1</v>
      </c>
      <c r="J164" s="124" t="n">
        <f aca="false">IF(MONTH($A164)=MONTH($A163),SUM(I164-I163),I164)</f>
        <v>-1</v>
      </c>
      <c r="K164" s="124" t="n">
        <f aca="false">IF(WEEKDAY(A164,3)&gt;4,0,(IF(A164&lt;K$2,0,IF(A164&lt;=K$3,1,0))))</f>
        <v>0</v>
      </c>
      <c r="L164" s="124" t="n">
        <f aca="false">J164*K164</f>
        <v>-0</v>
      </c>
      <c r="M164" s="124" t="n">
        <f aca="false">SUM(J$97:J164)</f>
        <v>435265</v>
      </c>
      <c r="N164" s="124" t="n">
        <f aca="false">SUM(J$6:J164)</f>
        <v>423562</v>
      </c>
      <c r="P164" s="124" t="n">
        <f aca="false">D164/P$3</f>
        <v>-11.6619409303853</v>
      </c>
      <c r="Q164" s="124" t="n">
        <f aca="false">E164/P$3</f>
        <v>3.277659225743</v>
      </c>
      <c r="R164" s="124" t="n">
        <f aca="false">F164/R$3</f>
        <v>0</v>
      </c>
      <c r="S164" s="126" t="n">
        <f aca="false">J164/$R$3</f>
        <v>-0.001</v>
      </c>
      <c r="T164" s="126" t="n">
        <f aca="false">L164/$R$3</f>
        <v>-0</v>
      </c>
      <c r="U164" s="126" t="n">
        <f aca="false">I164/$R$3</f>
        <v>0.001</v>
      </c>
      <c r="V164" s="126" t="n">
        <f aca="false">M164/$R$3</f>
        <v>435.265</v>
      </c>
      <c r="W164" s="126" t="n">
        <f aca="false">N164/$R$3</f>
        <v>423.562</v>
      </c>
    </row>
    <row r="165" customFormat="false" ht="12.75" hidden="true" customHeight="false" outlineLevel="0" collapsed="false">
      <c r="A165" s="120" t="n">
        <f aca="false">A164+1</f>
        <v>37051</v>
      </c>
      <c r="B165" s="131" t="str">
        <f aca="false">INDEX('Master Data'!$A$2:$B$8,MATCH(WEEKDAY('ARG Gas Firm'!A165,3),'Master Data'!$A$2:$A$8,0),2)</f>
        <v>Sa</v>
      </c>
      <c r="D165" s="124"/>
      <c r="E165" s="124"/>
      <c r="F165" s="124"/>
      <c r="G165" s="124"/>
      <c r="I165" s="124" t="n">
        <f aca="false">IF(MONTH($A165)=MONTH($A164),IF(G165=0,I164,G165),G165)</f>
        <v>1</v>
      </c>
      <c r="J165" s="124" t="n">
        <f aca="false">IF(MONTH($A165)=MONTH($A164),SUM(I165-I164),I165)</f>
        <v>0</v>
      </c>
      <c r="K165" s="124" t="n">
        <f aca="false">IF(WEEKDAY(A165,3)&gt;4,0,(IF(A165&lt;K$2,0,IF(A165&lt;=K$3,1,0))))</f>
        <v>0</v>
      </c>
      <c r="L165" s="124" t="n">
        <f aca="false">J165*K165</f>
        <v>0</v>
      </c>
      <c r="M165" s="124" t="n">
        <f aca="false">SUM(J$97:J165)</f>
        <v>435265</v>
      </c>
      <c r="N165" s="124" t="n">
        <f aca="false">SUM(J$6:J165)</f>
        <v>423562</v>
      </c>
      <c r="P165" s="124" t="n">
        <f aca="false">D165/P$3</f>
        <v>0</v>
      </c>
      <c r="Q165" s="124" t="n">
        <f aca="false">E165/P$3</f>
        <v>0</v>
      </c>
      <c r="R165" s="124" t="n">
        <f aca="false">F165/R$3</f>
        <v>0</v>
      </c>
      <c r="S165" s="126" t="n">
        <f aca="false">J165/$R$3</f>
        <v>0</v>
      </c>
      <c r="T165" s="126" t="n">
        <f aca="false">L165/$R$3</f>
        <v>0</v>
      </c>
      <c r="U165" s="126" t="n">
        <f aca="false">I165/$R$3</f>
        <v>0.001</v>
      </c>
      <c r="V165" s="126" t="n">
        <f aca="false">M165/$R$3</f>
        <v>435.265</v>
      </c>
      <c r="W165" s="126" t="n">
        <f aca="false">N165/$R$3</f>
        <v>423.562</v>
      </c>
    </row>
    <row r="166" customFormat="false" ht="12.75" hidden="true" customHeight="false" outlineLevel="0" collapsed="false">
      <c r="A166" s="120" t="n">
        <f aca="false">A165+1</f>
        <v>37052</v>
      </c>
      <c r="B166" s="131" t="str">
        <f aca="false">INDEX('Master Data'!$A$2:$B$8,MATCH(WEEKDAY('ARG Gas Firm'!A166,3),'Master Data'!$A$2:$A$8,0),2)</f>
        <v>Su</v>
      </c>
      <c r="D166" s="124"/>
      <c r="E166" s="124"/>
      <c r="F166" s="124"/>
      <c r="G166" s="124"/>
      <c r="I166" s="124" t="n">
        <f aca="false">IF(MONTH($A166)=MONTH($A165),IF(G166=0,I165,G166),G166)</f>
        <v>1</v>
      </c>
      <c r="J166" s="124" t="n">
        <f aca="false">IF(MONTH($A166)=MONTH($A165),SUM(I166-I165),I166)</f>
        <v>0</v>
      </c>
      <c r="K166" s="124" t="n">
        <f aca="false">IF(WEEKDAY(A166,3)&gt;4,0,(IF(A166&lt;K$2,0,IF(A166&lt;=K$3,1,0))))</f>
        <v>0</v>
      </c>
      <c r="L166" s="124" t="n">
        <f aca="false">J166*K166</f>
        <v>0</v>
      </c>
      <c r="M166" s="124" t="n">
        <f aca="false">SUM(J$97:J166)</f>
        <v>435265</v>
      </c>
      <c r="N166" s="124" t="n">
        <f aca="false">SUM(J$6:J166)</f>
        <v>423562</v>
      </c>
      <c r="P166" s="124" t="n">
        <f aca="false">D166/P$3</f>
        <v>0</v>
      </c>
      <c r="Q166" s="124" t="n">
        <f aca="false">E166/P$3</f>
        <v>0</v>
      </c>
      <c r="R166" s="124" t="n">
        <f aca="false">F166/R$3</f>
        <v>0</v>
      </c>
      <c r="S166" s="126" t="n">
        <f aca="false">J166/$R$3</f>
        <v>0</v>
      </c>
      <c r="T166" s="126" t="n">
        <f aca="false">L166/$R$3</f>
        <v>0</v>
      </c>
      <c r="U166" s="126" t="n">
        <f aca="false">I166/$R$3</f>
        <v>0.001</v>
      </c>
      <c r="V166" s="126" t="n">
        <f aca="false">M166/$R$3</f>
        <v>435.265</v>
      </c>
      <c r="W166" s="126" t="n">
        <f aca="false">N166/$R$3</f>
        <v>423.562</v>
      </c>
    </row>
    <row r="167" customFormat="false" ht="12.75" hidden="true" customHeight="false" outlineLevel="0" collapsed="false">
      <c r="A167" s="120" t="n">
        <f aca="false">A166+1</f>
        <v>37053</v>
      </c>
      <c r="B167" s="131" t="str">
        <f aca="false">INDEX('Master Data'!$A$2:$B$8,MATCH(WEEKDAY('ARG Gas Firm'!A167,3),'Master Data'!$A$2:$A$8,0),2)</f>
        <v>M</v>
      </c>
      <c r="D167" s="124" t="n">
        <v>-11696668.6282481</v>
      </c>
      <c r="E167" s="124" t="n">
        <v>3288816.24191495</v>
      </c>
      <c r="F167" s="124"/>
      <c r="G167" s="124" t="n">
        <v>2</v>
      </c>
      <c r="I167" s="124" t="n">
        <f aca="false">IF(MONTH($A167)=MONTH($A166),IF(G167=0,I166,G167),G167)</f>
        <v>2</v>
      </c>
      <c r="J167" s="124" t="n">
        <f aca="false">IF(MONTH($A167)=MONTH($A166),SUM(I167-I166),I167)</f>
        <v>1</v>
      </c>
      <c r="K167" s="124" t="n">
        <f aca="false">IF(WEEKDAY(A167,3)&gt;4,0,(IF(A167&lt;K$2,0,IF(A167&lt;=K$3,1,0))))</f>
        <v>0</v>
      </c>
      <c r="L167" s="124" t="n">
        <f aca="false">J167*K167</f>
        <v>0</v>
      </c>
      <c r="M167" s="124" t="n">
        <f aca="false">SUM(J$97:J167)</f>
        <v>435266</v>
      </c>
      <c r="N167" s="124" t="n">
        <f aca="false">SUM(J$6:J167)</f>
        <v>423563</v>
      </c>
      <c r="P167" s="124" t="n">
        <f aca="false">D167/P$3</f>
        <v>-11.6966686282481</v>
      </c>
      <c r="Q167" s="124" t="n">
        <f aca="false">E167/P$3</f>
        <v>3.28881624191495</v>
      </c>
      <c r="R167" s="124" t="n">
        <f aca="false">F167/R$3</f>
        <v>0</v>
      </c>
      <c r="S167" s="126" t="n">
        <f aca="false">J167/$R$3</f>
        <v>0.001</v>
      </c>
      <c r="T167" s="126" t="n">
        <f aca="false">L167/$R$3</f>
        <v>0</v>
      </c>
      <c r="U167" s="126" t="n">
        <f aca="false">I167/$R$3</f>
        <v>0.002</v>
      </c>
      <c r="V167" s="126" t="n">
        <f aca="false">M167/$R$3</f>
        <v>435.266</v>
      </c>
      <c r="W167" s="126" t="n">
        <f aca="false">N167/$R$3</f>
        <v>423.563</v>
      </c>
    </row>
    <row r="168" customFormat="false" ht="12.75" hidden="true" customHeight="false" outlineLevel="0" collapsed="false">
      <c r="A168" s="120" t="n">
        <f aca="false">A167+1</f>
        <v>37054</v>
      </c>
      <c r="B168" s="131" t="str">
        <f aca="false">INDEX('Master Data'!$A$2:$B$8,MATCH(WEEKDAY('ARG Gas Firm'!A168,3),'Master Data'!$A$2:$A$8,0),2)</f>
        <v>T</v>
      </c>
      <c r="D168" s="124" t="n">
        <v>-11740656.38537</v>
      </c>
      <c r="E168" s="124" t="n">
        <v>3295395.96206493</v>
      </c>
      <c r="F168" s="124"/>
      <c r="G168" s="124" t="n">
        <v>2</v>
      </c>
      <c r="I168" s="124" t="n">
        <f aca="false">IF(MONTH($A168)=MONTH($A167),IF(G168=0,I167,G168),G168)</f>
        <v>2</v>
      </c>
      <c r="J168" s="124" t="n">
        <f aca="false">IF(MONTH($A168)=MONTH($A167),SUM(I168-I167),I168)</f>
        <v>0</v>
      </c>
      <c r="K168" s="124" t="n">
        <f aca="false">IF(WEEKDAY(A168,3)&gt;4,0,(IF(A168&lt;K$2,0,IF(A168&lt;=K$3,1,0))))</f>
        <v>0</v>
      </c>
      <c r="L168" s="124" t="n">
        <f aca="false">J168*K168</f>
        <v>0</v>
      </c>
      <c r="M168" s="124" t="n">
        <f aca="false">SUM(J$97:J168)</f>
        <v>435266</v>
      </c>
      <c r="N168" s="124" t="n">
        <f aca="false">SUM(J$6:J168)</f>
        <v>423563</v>
      </c>
      <c r="P168" s="124" t="n">
        <f aca="false">D168/P$3</f>
        <v>-11.74065638537</v>
      </c>
      <c r="Q168" s="124" t="n">
        <f aca="false">E168/P$3</f>
        <v>3.29539596206493</v>
      </c>
      <c r="R168" s="124" t="n">
        <f aca="false">F168/R$3</f>
        <v>0</v>
      </c>
      <c r="S168" s="126" t="n">
        <f aca="false">J168/$R$3</f>
        <v>0</v>
      </c>
      <c r="T168" s="126" t="n">
        <f aca="false">L168/$R$3</f>
        <v>0</v>
      </c>
      <c r="U168" s="126" t="n">
        <f aca="false">I168/$R$3</f>
        <v>0.002</v>
      </c>
      <c r="V168" s="126" t="n">
        <f aca="false">M168/$R$3</f>
        <v>435.266</v>
      </c>
      <c r="W168" s="126" t="n">
        <f aca="false">N168/$R$3</f>
        <v>423.563</v>
      </c>
    </row>
    <row r="169" customFormat="false" ht="12.75" hidden="true" customHeight="false" outlineLevel="0" collapsed="false">
      <c r="A169" s="120" t="n">
        <f aca="false">A168+1</f>
        <v>37055</v>
      </c>
      <c r="B169" s="131" t="str">
        <f aca="false">INDEX('Master Data'!$A$2:$B$8,MATCH(WEEKDAY('ARG Gas Firm'!A169,3),'Master Data'!$A$2:$A$8,0),2)</f>
        <v>W</v>
      </c>
      <c r="D169" s="124" t="n">
        <v>-11748591.7457919</v>
      </c>
      <c r="E169" s="124" t="n">
        <v>3296925.89401505</v>
      </c>
      <c r="F169" s="124"/>
      <c r="G169" s="124" t="n">
        <v>2</v>
      </c>
      <c r="I169" s="124" t="n">
        <f aca="false">IF(MONTH($A169)=MONTH($A168),IF(G169=0,I168,G169),G169)</f>
        <v>2</v>
      </c>
      <c r="J169" s="124" t="n">
        <f aca="false">IF(MONTH($A169)=MONTH($A168),SUM(I169-I168),I169)</f>
        <v>0</v>
      </c>
      <c r="K169" s="124" t="n">
        <f aca="false">IF(WEEKDAY(A169,3)&gt;4,0,(IF(A169&lt;K$2,0,IF(A169&lt;=K$3,1,0))))</f>
        <v>0</v>
      </c>
      <c r="L169" s="124" t="n">
        <f aca="false">J169*K169</f>
        <v>0</v>
      </c>
      <c r="M169" s="124" t="n">
        <f aca="false">SUM(J$97:J169)</f>
        <v>435266</v>
      </c>
      <c r="N169" s="124" t="n">
        <f aca="false">SUM(J$6:J169)</f>
        <v>423563</v>
      </c>
      <c r="P169" s="124" t="n">
        <f aca="false">D169/P$3</f>
        <v>-11.7485917457919</v>
      </c>
      <c r="Q169" s="124" t="n">
        <f aca="false">E169/P$3</f>
        <v>3.29692589401505</v>
      </c>
      <c r="R169" s="124" t="n">
        <f aca="false">F169/R$3</f>
        <v>0</v>
      </c>
      <c r="S169" s="126" t="n">
        <f aca="false">J169/$R$3</f>
        <v>0</v>
      </c>
      <c r="T169" s="126" t="n">
        <f aca="false">L169/$R$3</f>
        <v>0</v>
      </c>
      <c r="U169" s="126" t="n">
        <f aca="false">I169/$R$3</f>
        <v>0.002</v>
      </c>
      <c r="V169" s="126" t="n">
        <f aca="false">M169/$R$3</f>
        <v>435.266</v>
      </c>
      <c r="W169" s="126" t="n">
        <f aca="false">N169/$R$3</f>
        <v>423.563</v>
      </c>
    </row>
    <row r="170" customFormat="false" ht="12.75" hidden="true" customHeight="false" outlineLevel="0" collapsed="false">
      <c r="A170" s="120" t="n">
        <f aca="false">A169+1</f>
        <v>37056</v>
      </c>
      <c r="B170" s="131" t="str">
        <f aca="false">INDEX('Master Data'!$A$2:$B$8,MATCH(WEEKDAY('ARG Gas Firm'!A170,3),'Master Data'!$A$2:$A$8,0),2)</f>
        <v>Th</v>
      </c>
      <c r="D170" s="124" t="n">
        <v>-14908425.9385488</v>
      </c>
      <c r="E170" s="124" t="n">
        <v>4259560.37100637</v>
      </c>
      <c r="F170" s="124"/>
      <c r="G170" s="124" t="n">
        <v>2</v>
      </c>
      <c r="I170" s="124" t="n">
        <f aca="false">IF(MONTH($A170)=MONTH($A169),IF(G170=0,I169,G170),G170)</f>
        <v>2</v>
      </c>
      <c r="J170" s="124" t="n">
        <f aca="false">IF(MONTH($A170)=MONTH($A169),SUM(I170-I169),I170)</f>
        <v>0</v>
      </c>
      <c r="K170" s="124" t="n">
        <f aca="false">IF(WEEKDAY(A170,3)&gt;4,0,(IF(A170&lt;K$2,0,IF(A170&lt;=K$3,1,0))))</f>
        <v>0</v>
      </c>
      <c r="L170" s="124" t="n">
        <f aca="false">J170*K170</f>
        <v>0</v>
      </c>
      <c r="M170" s="124" t="n">
        <f aca="false">SUM(J$97:J170)</f>
        <v>435266</v>
      </c>
      <c r="N170" s="124" t="n">
        <f aca="false">SUM(J$6:J170)</f>
        <v>423563</v>
      </c>
      <c r="P170" s="124" t="n">
        <f aca="false">D170/P$3</f>
        <v>-14.9084259385488</v>
      </c>
      <c r="Q170" s="124" t="n">
        <f aca="false">E170/P$3</f>
        <v>4.25956037100637</v>
      </c>
      <c r="R170" s="124" t="n">
        <f aca="false">F170/R$3</f>
        <v>0</v>
      </c>
      <c r="S170" s="126" t="n">
        <f aca="false">J170/$R$3</f>
        <v>0</v>
      </c>
      <c r="T170" s="126" t="n">
        <f aca="false">L170/$R$3</f>
        <v>0</v>
      </c>
      <c r="U170" s="126" t="n">
        <f aca="false">I170/$R$3</f>
        <v>0.002</v>
      </c>
      <c r="V170" s="126" t="n">
        <f aca="false">M170/$R$3</f>
        <v>435.266</v>
      </c>
      <c r="W170" s="126" t="n">
        <f aca="false">N170/$R$3</f>
        <v>423.563</v>
      </c>
    </row>
    <row r="171" customFormat="false" ht="12.75" hidden="true" customHeight="false" outlineLevel="0" collapsed="false">
      <c r="A171" s="120" t="n">
        <f aca="false">A170+1</f>
        <v>37057</v>
      </c>
      <c r="B171" s="131" t="str">
        <f aca="false">INDEX('Master Data'!$A$2:$B$8,MATCH(WEEKDAY('ARG Gas Firm'!A171,3),'Master Data'!$A$2:$A$8,0),2)</f>
        <v>F</v>
      </c>
      <c r="D171" s="124" t="n">
        <v>-14899796.5934316</v>
      </c>
      <c r="E171" s="124" t="n">
        <v>4259684.79452914</v>
      </c>
      <c r="F171" s="124"/>
      <c r="G171" s="124" t="n">
        <v>2</v>
      </c>
      <c r="I171" s="124" t="n">
        <f aca="false">IF(MONTH($A171)=MONTH($A170),IF(G171=0,I170,G171),G171)</f>
        <v>2</v>
      </c>
      <c r="J171" s="124" t="n">
        <f aca="false">IF(MONTH($A171)=MONTH($A170),SUM(I171-I170),I171)</f>
        <v>0</v>
      </c>
      <c r="K171" s="124" t="n">
        <f aca="false">IF(WEEKDAY(A171,3)&gt;4,0,(IF(A171&lt;K$2,0,IF(A171&lt;=K$3,1,0))))</f>
        <v>0</v>
      </c>
      <c r="L171" s="124" t="n">
        <f aca="false">J171*K171</f>
        <v>0</v>
      </c>
      <c r="M171" s="124" t="n">
        <f aca="false">SUM(J$97:J171)</f>
        <v>435266</v>
      </c>
      <c r="N171" s="124" t="n">
        <f aca="false">SUM(J$6:J171)</f>
        <v>423563</v>
      </c>
      <c r="P171" s="124" t="n">
        <f aca="false">D171/P$3</f>
        <v>-14.8997965934316</v>
      </c>
      <c r="Q171" s="124" t="n">
        <f aca="false">E171/P$3</f>
        <v>4.25968479452914</v>
      </c>
      <c r="R171" s="124" t="n">
        <f aca="false">F171/R$3</f>
        <v>0</v>
      </c>
      <c r="S171" s="126" t="n">
        <f aca="false">J171/$R$3</f>
        <v>0</v>
      </c>
      <c r="T171" s="126" t="n">
        <f aca="false">L171/$R$3</f>
        <v>0</v>
      </c>
      <c r="U171" s="126" t="n">
        <f aca="false">I171/$R$3</f>
        <v>0.002</v>
      </c>
      <c r="V171" s="126" t="n">
        <f aca="false">M171/$R$3</f>
        <v>435.266</v>
      </c>
      <c r="W171" s="126" t="n">
        <f aca="false">N171/$R$3</f>
        <v>423.563</v>
      </c>
    </row>
    <row r="172" customFormat="false" ht="12.75" hidden="true" customHeight="false" outlineLevel="0" collapsed="false">
      <c r="A172" s="120" t="n">
        <f aca="false">A171+1</f>
        <v>37058</v>
      </c>
      <c r="B172" s="131" t="str">
        <f aca="false">INDEX('Master Data'!$A$2:$B$8,MATCH(WEEKDAY('ARG Gas Firm'!A172,3),'Master Data'!$A$2:$A$8,0),2)</f>
        <v>Sa</v>
      </c>
      <c r="D172" s="124"/>
      <c r="E172" s="124"/>
      <c r="F172" s="124"/>
      <c r="G172" s="124"/>
      <c r="I172" s="124" t="n">
        <f aca="false">IF(MONTH($A172)=MONTH($A171),IF(G172=0,I171,G172),G172)</f>
        <v>2</v>
      </c>
      <c r="J172" s="124" t="n">
        <f aca="false">IF(MONTH($A172)=MONTH($A171),SUM(I172-I171),I172)</f>
        <v>0</v>
      </c>
      <c r="K172" s="124" t="n">
        <f aca="false">IF(WEEKDAY(A172,3)&gt;4,0,(IF(A172&lt;K$2,0,IF(A172&lt;=K$3,1,0))))</f>
        <v>0</v>
      </c>
      <c r="L172" s="124" t="n">
        <f aca="false">J172*K172</f>
        <v>0</v>
      </c>
      <c r="M172" s="124" t="n">
        <f aca="false">SUM(J$97:J172)</f>
        <v>435266</v>
      </c>
      <c r="N172" s="124" t="n">
        <f aca="false">SUM(J$6:J172)</f>
        <v>423563</v>
      </c>
      <c r="P172" s="124" t="n">
        <f aca="false">D172/P$3</f>
        <v>0</v>
      </c>
      <c r="Q172" s="124" t="n">
        <f aca="false">E172/P$3</f>
        <v>0</v>
      </c>
      <c r="R172" s="124" t="n">
        <f aca="false">F172/R$3</f>
        <v>0</v>
      </c>
      <c r="S172" s="126" t="n">
        <f aca="false">J172/$R$3</f>
        <v>0</v>
      </c>
      <c r="T172" s="126" t="n">
        <f aca="false">L172/$R$3</f>
        <v>0</v>
      </c>
      <c r="U172" s="126" t="n">
        <f aca="false">I172/$R$3</f>
        <v>0.002</v>
      </c>
      <c r="V172" s="126" t="n">
        <f aca="false">M172/$R$3</f>
        <v>435.266</v>
      </c>
      <c r="W172" s="126" t="n">
        <f aca="false">N172/$R$3</f>
        <v>423.563</v>
      </c>
    </row>
    <row r="173" customFormat="false" ht="12.75" hidden="true" customHeight="false" outlineLevel="0" collapsed="false">
      <c r="A173" s="120" t="n">
        <f aca="false">A172+1</f>
        <v>37059</v>
      </c>
      <c r="B173" s="131" t="str">
        <f aca="false">INDEX('Master Data'!$A$2:$B$8,MATCH(WEEKDAY('ARG Gas Firm'!A173,3),'Master Data'!$A$2:$A$8,0),2)</f>
        <v>Su</v>
      </c>
      <c r="D173" s="124"/>
      <c r="E173" s="124"/>
      <c r="F173" s="124"/>
      <c r="G173" s="124"/>
      <c r="I173" s="124" t="n">
        <f aca="false">IF(MONTH($A173)=MONTH($A172),IF(G173=0,I172,G173),G173)</f>
        <v>2</v>
      </c>
      <c r="J173" s="124" t="n">
        <f aca="false">IF(MONTH($A173)=MONTH($A172),SUM(I173-I172),I173)</f>
        <v>0</v>
      </c>
      <c r="K173" s="124" t="n">
        <f aca="false">IF(WEEKDAY(A173,3)&gt;4,0,(IF(A173&lt;K$2,0,IF(A173&lt;=K$3,1,0))))</f>
        <v>0</v>
      </c>
      <c r="L173" s="124" t="n">
        <f aca="false">J173*K173</f>
        <v>0</v>
      </c>
      <c r="M173" s="124" t="n">
        <f aca="false">SUM(J$97:J173)</f>
        <v>435266</v>
      </c>
      <c r="N173" s="124" t="n">
        <f aca="false">SUM(J$6:J173)</f>
        <v>423563</v>
      </c>
      <c r="P173" s="124" t="n">
        <f aca="false">D173/P$3</f>
        <v>0</v>
      </c>
      <c r="Q173" s="124" t="n">
        <f aca="false">E173/P$3</f>
        <v>0</v>
      </c>
      <c r="R173" s="124" t="n">
        <f aca="false">F173/R$3</f>
        <v>0</v>
      </c>
      <c r="S173" s="126" t="n">
        <f aca="false">J173/$R$3</f>
        <v>0</v>
      </c>
      <c r="T173" s="126" t="n">
        <f aca="false">L173/$R$3</f>
        <v>0</v>
      </c>
      <c r="U173" s="126" t="n">
        <f aca="false">I173/$R$3</f>
        <v>0.002</v>
      </c>
      <c r="V173" s="126" t="n">
        <f aca="false">M173/$R$3</f>
        <v>435.266</v>
      </c>
      <c r="W173" s="126" t="n">
        <f aca="false">N173/$R$3</f>
        <v>423.563</v>
      </c>
    </row>
    <row r="174" customFormat="false" ht="12.75" hidden="true" customHeight="false" outlineLevel="0" collapsed="false">
      <c r="A174" s="120" t="n">
        <f aca="false">A173+1</f>
        <v>37060</v>
      </c>
      <c r="B174" s="131" t="str">
        <f aca="false">INDEX('Master Data'!$A$2:$B$8,MATCH(WEEKDAY('ARG Gas Firm'!A174,3),'Master Data'!$A$2:$A$8,0),2)</f>
        <v>M</v>
      </c>
      <c r="D174" s="124" t="n">
        <v>-14906034.1646461</v>
      </c>
      <c r="E174" s="124" t="n">
        <v>4263921.14419312</v>
      </c>
      <c r="F174" s="124"/>
      <c r="G174" s="124" t="n">
        <v>3</v>
      </c>
      <c r="I174" s="124" t="n">
        <f aca="false">IF(MONTH($A174)=MONTH($A173),IF(G174=0,I173,G174),G174)</f>
        <v>3</v>
      </c>
      <c r="J174" s="124" t="n">
        <f aca="false">IF(MONTH($A174)=MONTH($A173),SUM(I174-I173),I174)</f>
        <v>1</v>
      </c>
      <c r="K174" s="124" t="n">
        <f aca="false">IF(WEEKDAY(A174,3)&gt;4,0,(IF(A174&lt;K$2,0,IF(A174&lt;=K$3,1,0))))</f>
        <v>0</v>
      </c>
      <c r="L174" s="124" t="n">
        <f aca="false">J174*K174</f>
        <v>0</v>
      </c>
      <c r="M174" s="124" t="n">
        <f aca="false">SUM(J$97:J174)</f>
        <v>435267</v>
      </c>
      <c r="N174" s="124" t="n">
        <f aca="false">SUM(J$6:J174)</f>
        <v>423564</v>
      </c>
      <c r="P174" s="124" t="n">
        <f aca="false">D174/P$3</f>
        <v>-14.9060341646461</v>
      </c>
      <c r="Q174" s="124" t="n">
        <f aca="false">E174/P$3</f>
        <v>4.26392114419312</v>
      </c>
      <c r="R174" s="124" t="n">
        <f aca="false">F174/R$3</f>
        <v>0</v>
      </c>
      <c r="S174" s="126" t="n">
        <f aca="false">J174/$R$3</f>
        <v>0.001</v>
      </c>
      <c r="T174" s="126" t="n">
        <f aca="false">L174/$R$3</f>
        <v>0</v>
      </c>
      <c r="U174" s="126" t="n">
        <f aca="false">I174/$R$3</f>
        <v>0.003</v>
      </c>
      <c r="V174" s="126" t="n">
        <f aca="false">M174/$R$3</f>
        <v>435.267</v>
      </c>
      <c r="W174" s="126" t="n">
        <f aca="false">N174/$R$3</f>
        <v>423.564</v>
      </c>
    </row>
    <row r="175" customFormat="false" ht="12.75" hidden="true" customHeight="false" outlineLevel="0" collapsed="false">
      <c r="A175" s="120" t="n">
        <f aca="false">A174+1</f>
        <v>37061</v>
      </c>
      <c r="B175" s="131" t="str">
        <f aca="false">INDEX('Master Data'!$A$2:$B$8,MATCH(WEEKDAY('ARG Gas Firm'!A175,3),'Master Data'!$A$2:$A$8,0),2)</f>
        <v>T</v>
      </c>
      <c r="D175" s="124" t="n">
        <v>-14987044.5749346</v>
      </c>
      <c r="E175" s="124" t="n">
        <v>4293207.1267221</v>
      </c>
      <c r="F175" s="124"/>
      <c r="G175" s="124" t="n">
        <v>5</v>
      </c>
      <c r="I175" s="124" t="n">
        <f aca="false">IF(MONTH($A175)=MONTH($A174),IF(G175=0,I174,G175),G175)</f>
        <v>5</v>
      </c>
      <c r="J175" s="124" t="n">
        <f aca="false">IF(MONTH($A175)=MONTH($A174),SUM(I175-I174),I175)</f>
        <v>2</v>
      </c>
      <c r="K175" s="124" t="n">
        <f aca="false">IF(WEEKDAY(A175,3)&gt;4,0,(IF(A175&lt;K$2,0,IF(A175&lt;=K$3,1,0))))</f>
        <v>0</v>
      </c>
      <c r="L175" s="124" t="n">
        <f aca="false">J175*K175</f>
        <v>0</v>
      </c>
      <c r="M175" s="124" t="n">
        <f aca="false">SUM(J$97:J175)</f>
        <v>435269</v>
      </c>
      <c r="N175" s="124" t="n">
        <f aca="false">SUM(J$6:J175)</f>
        <v>423566</v>
      </c>
      <c r="P175" s="124" t="n">
        <f aca="false">D175/P$3</f>
        <v>-14.9870445749346</v>
      </c>
      <c r="Q175" s="124" t="n">
        <f aca="false">E175/P$3</f>
        <v>4.2932071267221</v>
      </c>
      <c r="R175" s="124" t="n">
        <f aca="false">F175/R$3</f>
        <v>0</v>
      </c>
      <c r="S175" s="126" t="n">
        <f aca="false">J175/$R$3</f>
        <v>0.002</v>
      </c>
      <c r="T175" s="126" t="n">
        <f aca="false">L175/$R$3</f>
        <v>0</v>
      </c>
      <c r="U175" s="126" t="n">
        <f aca="false">I175/$R$3</f>
        <v>0.005</v>
      </c>
      <c r="V175" s="126" t="n">
        <f aca="false">M175/$R$3</f>
        <v>435.269</v>
      </c>
      <c r="W175" s="126" t="n">
        <f aca="false">N175/$R$3</f>
        <v>423.566</v>
      </c>
    </row>
    <row r="176" customFormat="false" ht="12.75" hidden="true" customHeight="false" outlineLevel="0" collapsed="false">
      <c r="A176" s="120" t="n">
        <f aca="false">A175+1</f>
        <v>37062</v>
      </c>
      <c r="B176" s="131" t="str">
        <f aca="false">INDEX('Master Data'!$A$2:$B$8,MATCH(WEEKDAY('ARG Gas Firm'!A176,3),'Master Data'!$A$2:$A$8,0),2)</f>
        <v>W</v>
      </c>
      <c r="D176" s="124" t="n">
        <v>-14938948.4708687</v>
      </c>
      <c r="E176" s="124" t="n">
        <v>4271239.34159276</v>
      </c>
      <c r="F176" s="124"/>
      <c r="G176" s="124" t="n">
        <v>3</v>
      </c>
      <c r="I176" s="124" t="n">
        <f aca="false">IF(MONTH($A176)=MONTH($A175),IF(G176=0,I175,G176),G176)</f>
        <v>3</v>
      </c>
      <c r="J176" s="124" t="n">
        <f aca="false">IF(MONTH($A176)=MONTH($A175),SUM(I176-I175),I176)</f>
        <v>-2</v>
      </c>
      <c r="K176" s="124" t="n">
        <f aca="false">IF(WEEKDAY(A176,3)&gt;4,0,(IF(A176&lt;K$2,0,IF(A176&lt;=K$3,1,0))))</f>
        <v>0</v>
      </c>
      <c r="L176" s="124" t="n">
        <f aca="false">J176*K176</f>
        <v>-0</v>
      </c>
      <c r="M176" s="124" t="n">
        <f aca="false">SUM(J$97:J176)</f>
        <v>435267</v>
      </c>
      <c r="N176" s="124" t="n">
        <f aca="false">SUM(J$6:J176)</f>
        <v>423564</v>
      </c>
      <c r="P176" s="124" t="n">
        <f aca="false">D176/P$3</f>
        <v>-14.9389484708687</v>
      </c>
      <c r="Q176" s="124" t="n">
        <f aca="false">E176/P$3</f>
        <v>4.27123934159276</v>
      </c>
      <c r="R176" s="124" t="n">
        <f aca="false">F176/R$3</f>
        <v>0</v>
      </c>
      <c r="S176" s="126" t="n">
        <f aca="false">J176/$R$3</f>
        <v>-0.002</v>
      </c>
      <c r="T176" s="126" t="n">
        <f aca="false">L176/$R$3</f>
        <v>-0</v>
      </c>
      <c r="U176" s="126" t="n">
        <f aca="false">I176/$R$3</f>
        <v>0.003</v>
      </c>
      <c r="V176" s="126" t="n">
        <f aca="false">M176/$R$3</f>
        <v>435.267</v>
      </c>
      <c r="W176" s="126" t="n">
        <f aca="false">N176/$R$3</f>
        <v>423.564</v>
      </c>
    </row>
    <row r="177" customFormat="false" ht="12.75" hidden="true" customHeight="false" outlineLevel="0" collapsed="false">
      <c r="A177" s="120" t="n">
        <f aca="false">A176+1</f>
        <v>37063</v>
      </c>
      <c r="B177" s="131" t="str">
        <f aca="false">INDEX('Master Data'!$A$2:$B$8,MATCH(WEEKDAY('ARG Gas Firm'!A177,3),'Master Data'!$A$2:$A$8,0),2)</f>
        <v>Th</v>
      </c>
      <c r="D177" s="124" t="n">
        <v>-14940852.4402631</v>
      </c>
      <c r="E177" s="124" t="n">
        <v>4269146.04679975</v>
      </c>
      <c r="F177" s="124"/>
      <c r="G177" s="124" t="n">
        <v>3</v>
      </c>
      <c r="I177" s="124" t="n">
        <f aca="false">IF(MONTH($A177)=MONTH($A176),IF(G177=0,I176,G177),G177)</f>
        <v>3</v>
      </c>
      <c r="J177" s="124" t="n">
        <f aca="false">IF(MONTH($A177)=MONTH($A176),SUM(I177-I176),I177)</f>
        <v>0</v>
      </c>
      <c r="K177" s="124" t="n">
        <f aca="false">IF(WEEKDAY(A177,3)&gt;4,0,(IF(A177&lt;K$2,0,IF(A177&lt;=K$3,1,0))))</f>
        <v>0</v>
      </c>
      <c r="L177" s="124" t="n">
        <f aca="false">J177*K177</f>
        <v>0</v>
      </c>
      <c r="M177" s="124" t="n">
        <f aca="false">SUM(J$97:J177)</f>
        <v>435267</v>
      </c>
      <c r="N177" s="124" t="n">
        <f aca="false">SUM(J$6:J177)</f>
        <v>423564</v>
      </c>
      <c r="P177" s="124" t="n">
        <f aca="false">D177/P$3</f>
        <v>-14.9408524402631</v>
      </c>
      <c r="Q177" s="124" t="n">
        <f aca="false">E177/P$3</f>
        <v>4.26914604679975</v>
      </c>
      <c r="R177" s="124" t="n">
        <f aca="false">F177/R$3</f>
        <v>0</v>
      </c>
      <c r="S177" s="126" t="n">
        <f aca="false">J177/$R$3</f>
        <v>0</v>
      </c>
      <c r="T177" s="126" t="n">
        <f aca="false">L177/$R$3</f>
        <v>0</v>
      </c>
      <c r="U177" s="126" t="n">
        <f aca="false">I177/$R$3</f>
        <v>0.003</v>
      </c>
      <c r="V177" s="126" t="n">
        <f aca="false">M177/$R$3</f>
        <v>435.267</v>
      </c>
      <c r="W177" s="126" t="n">
        <f aca="false">N177/$R$3</f>
        <v>423.564</v>
      </c>
    </row>
    <row r="178" customFormat="false" ht="12.75" hidden="true" customHeight="false" outlineLevel="0" collapsed="false">
      <c r="A178" s="120" t="n">
        <f aca="false">A177+1</f>
        <v>37064</v>
      </c>
      <c r="B178" s="131" t="str">
        <f aca="false">INDEX('Master Data'!$A$2:$B$8,MATCH(WEEKDAY('ARG Gas Firm'!A178,3),'Master Data'!$A$2:$A$8,0),2)</f>
        <v>F</v>
      </c>
      <c r="D178" s="124" t="n">
        <v>-15014100.4100781</v>
      </c>
      <c r="E178" s="124" t="n">
        <v>4279436.80000591</v>
      </c>
      <c r="F178" s="124"/>
      <c r="G178" s="124" t="n">
        <v>93161</v>
      </c>
      <c r="I178" s="124" t="n">
        <f aca="false">IF(MONTH($A178)=MONTH($A177),IF(G178=0,I177,G178),G178)</f>
        <v>93161</v>
      </c>
      <c r="J178" s="124" t="n">
        <f aca="false">IF(MONTH($A178)=MONTH($A177),SUM(I178-I177),I178)</f>
        <v>93158</v>
      </c>
      <c r="K178" s="124" t="n">
        <f aca="false">IF(WEEKDAY(A178,3)&gt;4,0,(IF(A178&lt;K$2,0,IF(A178&lt;=K$3,1,0))))</f>
        <v>0</v>
      </c>
      <c r="L178" s="124" t="n">
        <f aca="false">J178*K178</f>
        <v>0</v>
      </c>
      <c r="M178" s="124" t="n">
        <f aca="false">SUM(J$97:J178)</f>
        <v>528425</v>
      </c>
      <c r="N178" s="124" t="n">
        <f aca="false">SUM(J$6:J178)</f>
        <v>516722</v>
      </c>
      <c r="P178" s="124" t="n">
        <f aca="false">D178/P$3</f>
        <v>-15.0141004100781</v>
      </c>
      <c r="Q178" s="124" t="n">
        <f aca="false">E178/P$3</f>
        <v>4.27943680000591</v>
      </c>
      <c r="R178" s="124" t="n">
        <f aca="false">F178/R$3</f>
        <v>0</v>
      </c>
      <c r="S178" s="126" t="n">
        <f aca="false">J178/$R$3</f>
        <v>93.158</v>
      </c>
      <c r="T178" s="126" t="n">
        <f aca="false">L178/$R$3</f>
        <v>0</v>
      </c>
      <c r="U178" s="126" t="n">
        <f aca="false">I178/$R$3</f>
        <v>93.161</v>
      </c>
      <c r="V178" s="126" t="n">
        <f aca="false">M178/$R$3</f>
        <v>528.425</v>
      </c>
      <c r="W178" s="126" t="n">
        <f aca="false">N178/$R$3</f>
        <v>516.722</v>
      </c>
    </row>
    <row r="179" customFormat="false" ht="12.75" hidden="true" customHeight="false" outlineLevel="0" collapsed="false">
      <c r="A179" s="120" t="n">
        <f aca="false">A178+1</f>
        <v>37065</v>
      </c>
      <c r="B179" s="131" t="str">
        <f aca="false">INDEX('Master Data'!$A$2:$B$8,MATCH(WEEKDAY('ARG Gas Firm'!A179,3),'Master Data'!$A$2:$A$8,0),2)</f>
        <v>Sa</v>
      </c>
      <c r="D179" s="124"/>
      <c r="E179" s="124"/>
      <c r="F179" s="124"/>
      <c r="G179" s="124"/>
      <c r="I179" s="124" t="n">
        <f aca="false">IF(MONTH($A179)=MONTH($A178),IF(G179=0,I178,G179),G179)</f>
        <v>93161</v>
      </c>
      <c r="J179" s="124" t="n">
        <f aca="false">IF(MONTH($A179)=MONTH($A178),SUM(I179-I178),I179)</f>
        <v>0</v>
      </c>
      <c r="K179" s="124" t="n">
        <f aca="false">IF(WEEKDAY(A179,3)&gt;4,0,(IF(A179&lt;K$2,0,IF(A179&lt;=K$3,1,0))))</f>
        <v>0</v>
      </c>
      <c r="L179" s="124" t="n">
        <f aca="false">J179*K179</f>
        <v>0</v>
      </c>
      <c r="M179" s="124" t="n">
        <f aca="false">SUM(J$97:J179)</f>
        <v>528425</v>
      </c>
      <c r="N179" s="124" t="n">
        <f aca="false">SUM(J$6:J179)</f>
        <v>516722</v>
      </c>
      <c r="P179" s="124" t="n">
        <f aca="false">D179/P$3</f>
        <v>0</v>
      </c>
      <c r="Q179" s="124" t="n">
        <f aca="false">E179/P$3</f>
        <v>0</v>
      </c>
      <c r="R179" s="124" t="n">
        <f aca="false">F179/R$3</f>
        <v>0</v>
      </c>
      <c r="S179" s="126" t="n">
        <f aca="false">J179/$R$3</f>
        <v>0</v>
      </c>
      <c r="T179" s="126" t="n">
        <f aca="false">L179/$R$3</f>
        <v>0</v>
      </c>
      <c r="U179" s="126" t="n">
        <f aca="false">I179/$R$3</f>
        <v>93.161</v>
      </c>
      <c r="V179" s="126" t="n">
        <f aca="false">M179/$R$3</f>
        <v>528.425</v>
      </c>
      <c r="W179" s="126" t="n">
        <f aca="false">N179/$R$3</f>
        <v>516.722</v>
      </c>
    </row>
    <row r="180" customFormat="false" ht="12.75" hidden="true" customHeight="false" outlineLevel="0" collapsed="false">
      <c r="A180" s="120" t="n">
        <f aca="false">A179+1</f>
        <v>37066</v>
      </c>
      <c r="B180" s="131" t="str">
        <f aca="false">INDEX('Master Data'!$A$2:$B$8,MATCH(WEEKDAY('ARG Gas Firm'!A180,3),'Master Data'!$A$2:$A$8,0),2)</f>
        <v>Su</v>
      </c>
      <c r="D180" s="124"/>
      <c r="E180" s="124"/>
      <c r="F180" s="124"/>
      <c r="G180" s="124"/>
      <c r="I180" s="124" t="n">
        <f aca="false">IF(MONTH($A180)=MONTH($A179),IF(G180=0,I179,G180),G180)</f>
        <v>93161</v>
      </c>
      <c r="J180" s="124" t="n">
        <f aca="false">IF(MONTH($A180)=MONTH($A179),SUM(I180-I179),I180)</f>
        <v>0</v>
      </c>
      <c r="K180" s="124" t="n">
        <f aca="false">IF(WEEKDAY(A180,3)&gt;4,0,(IF(A180&lt;K$2,0,IF(A180&lt;=K$3,1,0))))</f>
        <v>0</v>
      </c>
      <c r="L180" s="124" t="n">
        <f aca="false">J180*K180</f>
        <v>0</v>
      </c>
      <c r="M180" s="124" t="n">
        <f aca="false">SUM(J$97:J180)</f>
        <v>528425</v>
      </c>
      <c r="N180" s="124" t="n">
        <f aca="false">SUM(J$6:J180)</f>
        <v>516722</v>
      </c>
      <c r="P180" s="124" t="n">
        <f aca="false">D180/P$3</f>
        <v>0</v>
      </c>
      <c r="Q180" s="124" t="n">
        <f aca="false">E180/P$3</f>
        <v>0</v>
      </c>
      <c r="R180" s="124" t="n">
        <f aca="false">F180/R$3</f>
        <v>0</v>
      </c>
      <c r="S180" s="126" t="n">
        <f aca="false">J180/$R$3</f>
        <v>0</v>
      </c>
      <c r="T180" s="126" t="n">
        <f aca="false">L180/$R$3</f>
        <v>0</v>
      </c>
      <c r="U180" s="126" t="n">
        <f aca="false">I180/$R$3</f>
        <v>93.161</v>
      </c>
      <c r="V180" s="126" t="n">
        <f aca="false">M180/$R$3</f>
        <v>528.425</v>
      </c>
      <c r="W180" s="126" t="n">
        <f aca="false">N180/$R$3</f>
        <v>516.722</v>
      </c>
    </row>
    <row r="181" customFormat="false" ht="12.75" hidden="true" customHeight="false" outlineLevel="0" collapsed="false">
      <c r="A181" s="120" t="n">
        <f aca="false">A180+1</f>
        <v>37067</v>
      </c>
      <c r="B181" s="131" t="str">
        <f aca="false">INDEX('Master Data'!$A$2:$B$8,MATCH(WEEKDAY('ARG Gas Firm'!A181,3),'Master Data'!$A$2:$A$8,0),2)</f>
        <v>M</v>
      </c>
      <c r="D181" s="124" t="n">
        <v>-15015221.8936718</v>
      </c>
      <c r="E181" s="124" t="n">
        <v>4279326.64147134</v>
      </c>
      <c r="F181" s="124"/>
      <c r="G181" s="124" t="n">
        <v>93161</v>
      </c>
      <c r="I181" s="124" t="n">
        <f aca="false">IF(MONTH($A181)=MONTH($A180),IF(G181=0,I180,G181),G181)</f>
        <v>93161</v>
      </c>
      <c r="J181" s="124" t="n">
        <f aca="false">IF(MONTH($A181)=MONTH($A180),SUM(I181-I180),I181)</f>
        <v>0</v>
      </c>
      <c r="K181" s="124" t="n">
        <f aca="false">IF(WEEKDAY(A181,3)&gt;4,0,(IF(A181&lt;K$2,0,IF(A181&lt;=K$3,1,0))))</f>
        <v>0</v>
      </c>
      <c r="L181" s="124" t="n">
        <f aca="false">J181*K181</f>
        <v>0</v>
      </c>
      <c r="M181" s="124" t="n">
        <f aca="false">SUM(J$97:J181)</f>
        <v>528425</v>
      </c>
      <c r="N181" s="124" t="n">
        <f aca="false">SUM(J$6:J181)</f>
        <v>516722</v>
      </c>
      <c r="P181" s="124" t="n">
        <f aca="false">D181/P$3</f>
        <v>-15.0152218936718</v>
      </c>
      <c r="Q181" s="124" t="n">
        <f aca="false">E181/P$3</f>
        <v>4.27932664147134</v>
      </c>
      <c r="R181" s="124" t="n">
        <f aca="false">F181/R$3</f>
        <v>0</v>
      </c>
      <c r="S181" s="126" t="n">
        <f aca="false">J181/$R$3</f>
        <v>0</v>
      </c>
      <c r="T181" s="126" t="n">
        <f aca="false">L181/$R$3</f>
        <v>0</v>
      </c>
      <c r="U181" s="126" t="n">
        <f aca="false">I181/$R$3</f>
        <v>93.161</v>
      </c>
      <c r="V181" s="126" t="n">
        <f aca="false">M181/$R$3</f>
        <v>528.425</v>
      </c>
      <c r="W181" s="126" t="n">
        <f aca="false">N181/$R$3</f>
        <v>516.722</v>
      </c>
    </row>
    <row r="182" customFormat="false" ht="12.75" hidden="true" customHeight="false" outlineLevel="0" collapsed="false">
      <c r="A182" s="120" t="n">
        <f aca="false">A181+1</f>
        <v>37068</v>
      </c>
      <c r="B182" s="131" t="str">
        <f aca="false">INDEX('Master Data'!$A$2:$B$8,MATCH(WEEKDAY('ARG Gas Firm'!A182,3),'Master Data'!$A$2:$A$8,0),2)</f>
        <v>T</v>
      </c>
      <c r="D182" s="124" t="n">
        <v>-14965082.1078634</v>
      </c>
      <c r="E182" s="124" t="n">
        <v>4267841.39251854</v>
      </c>
      <c r="F182" s="124"/>
      <c r="G182" s="124" t="n">
        <v>93160</v>
      </c>
      <c r="I182" s="124" t="n">
        <f aca="false">IF(MONTH($A182)=MONTH($A181),IF(G182=0,I181,G182),G182)</f>
        <v>93160</v>
      </c>
      <c r="J182" s="124" t="n">
        <f aca="false">IF(MONTH($A182)=MONTH($A181),SUM(I182-I181),I182)</f>
        <v>-1</v>
      </c>
      <c r="K182" s="124" t="n">
        <f aca="false">IF(WEEKDAY(A182,3)&gt;4,0,(IF(A182&lt;K$2,0,IF(A182&lt;=K$3,1,0))))</f>
        <v>0</v>
      </c>
      <c r="L182" s="124" t="n">
        <f aca="false">J182*K182</f>
        <v>-0</v>
      </c>
      <c r="M182" s="124" t="n">
        <f aca="false">SUM(J$97:J182)</f>
        <v>528424</v>
      </c>
      <c r="N182" s="124" t="n">
        <f aca="false">SUM(J$6:J182)</f>
        <v>516721</v>
      </c>
      <c r="P182" s="124" t="n">
        <f aca="false">D182/P$3</f>
        <v>-14.9650821078634</v>
      </c>
      <c r="Q182" s="124" t="n">
        <f aca="false">E182/P$3</f>
        <v>4.26784139251854</v>
      </c>
      <c r="R182" s="124" t="n">
        <f aca="false">F182/R$3</f>
        <v>0</v>
      </c>
      <c r="S182" s="126" t="n">
        <f aca="false">J182/$R$3</f>
        <v>-0.001</v>
      </c>
      <c r="T182" s="126" t="n">
        <f aca="false">L182/$R$3</f>
        <v>-0</v>
      </c>
      <c r="U182" s="126" t="n">
        <f aca="false">I182/$R$3</f>
        <v>93.16</v>
      </c>
      <c r="V182" s="126" t="n">
        <f aca="false">M182/$R$3</f>
        <v>528.424</v>
      </c>
      <c r="W182" s="126" t="n">
        <f aca="false">N182/$R$3</f>
        <v>516.721</v>
      </c>
    </row>
    <row r="183" customFormat="false" ht="12.75" hidden="true" customHeight="false" outlineLevel="0" collapsed="false">
      <c r="A183" s="120" t="n">
        <f aca="false">A182+1</f>
        <v>37069</v>
      </c>
      <c r="B183" s="131" t="str">
        <f aca="false">INDEX('Master Data'!$A$2:$B$8,MATCH(WEEKDAY('ARG Gas Firm'!A183,3),'Master Data'!$A$2:$A$8,0),2)</f>
        <v>W</v>
      </c>
      <c r="D183" s="124" t="n">
        <v>-14924490.4902625</v>
      </c>
      <c r="E183" s="124" t="n">
        <v>4257276.44057676</v>
      </c>
      <c r="F183" s="124"/>
      <c r="G183" s="124" t="n">
        <v>93160</v>
      </c>
      <c r="I183" s="124" t="n">
        <f aca="false">IF(MONTH($A183)=MONTH($A182),IF(G183=0,I182,G183),G183)</f>
        <v>93160</v>
      </c>
      <c r="J183" s="124" t="n">
        <f aca="false">IF(MONTH($A183)=MONTH($A182),SUM(I183-I182),I183)</f>
        <v>0</v>
      </c>
      <c r="K183" s="124" t="n">
        <f aca="false">IF(WEEKDAY(A183,3)&gt;4,0,(IF(A183&lt;K$2,0,IF(A183&lt;=K$3,1,0))))</f>
        <v>0</v>
      </c>
      <c r="L183" s="124" t="n">
        <f aca="false">J183*K183</f>
        <v>0</v>
      </c>
      <c r="M183" s="124" t="n">
        <f aca="false">SUM(J$97:J183)</f>
        <v>528424</v>
      </c>
      <c r="N183" s="124" t="n">
        <f aca="false">SUM(J$6:J183)</f>
        <v>516721</v>
      </c>
      <c r="P183" s="124" t="n">
        <f aca="false">D183/P$3</f>
        <v>-14.9244904902625</v>
      </c>
      <c r="Q183" s="124" t="n">
        <f aca="false">E183/P$3</f>
        <v>4.25727644057676</v>
      </c>
      <c r="R183" s="124" t="n">
        <f aca="false">F183/R$3</f>
        <v>0</v>
      </c>
      <c r="S183" s="126" t="n">
        <f aca="false">J183/$R$3</f>
        <v>0</v>
      </c>
      <c r="T183" s="126" t="n">
        <f aca="false">L183/$R$3</f>
        <v>0</v>
      </c>
      <c r="U183" s="126" t="n">
        <f aca="false">I183/$R$3</f>
        <v>93.16</v>
      </c>
      <c r="V183" s="126" t="n">
        <f aca="false">M183/$R$3</f>
        <v>528.424</v>
      </c>
      <c r="W183" s="126" t="n">
        <f aca="false">N183/$R$3</f>
        <v>516.721</v>
      </c>
    </row>
    <row r="184" customFormat="false" ht="12.75" hidden="true" customHeight="false" outlineLevel="0" collapsed="false">
      <c r="A184" s="120" t="n">
        <f aca="false">A183+1</f>
        <v>37070</v>
      </c>
      <c r="B184" s="131" t="str">
        <f aca="false">INDEX('Master Data'!$A$2:$B$8,MATCH(WEEKDAY('ARG Gas Firm'!A184,3),'Master Data'!$A$2:$A$8,0),2)</f>
        <v>Th</v>
      </c>
      <c r="D184" s="124" t="n">
        <v>-14844852.3660832</v>
      </c>
      <c r="E184" s="124" t="n">
        <v>4238165.63586541</v>
      </c>
      <c r="F184" s="124"/>
      <c r="G184" s="124" t="n">
        <v>92806</v>
      </c>
      <c r="I184" s="124" t="n">
        <f aca="false">IF(MONTH($A184)=MONTH($A183),IF(G184=0,I183,G184),G184)</f>
        <v>92806</v>
      </c>
      <c r="J184" s="124" t="n">
        <f aca="false">IF(MONTH($A184)=MONTH($A183),SUM(I184-I183),I184)</f>
        <v>-354</v>
      </c>
      <c r="K184" s="124" t="n">
        <f aca="false">IF(WEEKDAY(A184,3)&gt;4,0,(IF(A184&lt;K$2,0,IF(A184&lt;=K$3,1,0))))</f>
        <v>0</v>
      </c>
      <c r="L184" s="124" t="n">
        <f aca="false">J184*K184</f>
        <v>-0</v>
      </c>
      <c r="M184" s="124" t="n">
        <f aca="false">SUM(J$97:J184)</f>
        <v>528070</v>
      </c>
      <c r="N184" s="124" t="n">
        <f aca="false">SUM(J$6:J184)</f>
        <v>516367</v>
      </c>
      <c r="P184" s="124" t="n">
        <f aca="false">D184/P$3</f>
        <v>-14.8448523660832</v>
      </c>
      <c r="Q184" s="124" t="n">
        <f aca="false">E184/P$3</f>
        <v>4.23816563586541</v>
      </c>
      <c r="R184" s="124" t="n">
        <f aca="false">F184/R$3</f>
        <v>0</v>
      </c>
      <c r="S184" s="126" t="n">
        <f aca="false">J184/$R$3</f>
        <v>-0.354</v>
      </c>
      <c r="T184" s="126" t="n">
        <f aca="false">L184/$R$3</f>
        <v>-0</v>
      </c>
      <c r="U184" s="126" t="n">
        <f aca="false">I184/$R$3</f>
        <v>92.806</v>
      </c>
      <c r="V184" s="126" t="n">
        <f aca="false">M184/$R$3</f>
        <v>528.07</v>
      </c>
      <c r="W184" s="126" t="n">
        <f aca="false">N184/$R$3</f>
        <v>516.367</v>
      </c>
    </row>
    <row r="185" customFormat="false" ht="12.75" hidden="true" customHeight="false" outlineLevel="0" collapsed="false">
      <c r="A185" s="120" t="n">
        <f aca="false">A184+1</f>
        <v>37071</v>
      </c>
      <c r="B185" s="131" t="str">
        <f aca="false">INDEX('Master Data'!$A$2:$B$8,MATCH(WEEKDAY('ARG Gas Firm'!A185,3),'Master Data'!$A$2:$A$8,0),2)</f>
        <v>F</v>
      </c>
      <c r="D185" s="124" t="n">
        <v>-15818383.5916712</v>
      </c>
      <c r="E185" s="124" t="n">
        <v>4233572.83705155</v>
      </c>
      <c r="F185" s="124"/>
      <c r="G185" s="124" t="n">
        <v>1169374</v>
      </c>
      <c r="I185" s="124" t="n">
        <f aca="false">IF(MONTH($A185)=MONTH($A184),IF(G185=0,I184,G185),G185)</f>
        <v>1169374</v>
      </c>
      <c r="J185" s="124" t="n">
        <f aca="false">IF(MONTH($A185)=MONTH($A184),SUM(I185-I184),I185)</f>
        <v>1076568</v>
      </c>
      <c r="K185" s="124" t="n">
        <f aca="false">IF(WEEKDAY(A185,3)&gt;4,0,(IF(A185&lt;K$2,0,IF(A185&lt;=K$3,1,0))))</f>
        <v>0</v>
      </c>
      <c r="L185" s="124" t="n">
        <f aca="false">J185*K185</f>
        <v>0</v>
      </c>
      <c r="M185" s="124" t="n">
        <f aca="false">SUM(J$97:J185)</f>
        <v>1604638</v>
      </c>
      <c r="N185" s="124" t="n">
        <f aca="false">SUM(J$6:J185)</f>
        <v>1592935</v>
      </c>
      <c r="P185" s="124" t="n">
        <f aca="false">D185/P$3</f>
        <v>-15.8183835916712</v>
      </c>
      <c r="Q185" s="124" t="n">
        <f aca="false">E185/P$3</f>
        <v>4.23357283705155</v>
      </c>
      <c r="R185" s="124" t="n">
        <f aca="false">F185/R$3</f>
        <v>0</v>
      </c>
      <c r="S185" s="126" t="n">
        <f aca="false">J185/$R$3</f>
        <v>1076.568</v>
      </c>
      <c r="T185" s="126" t="n">
        <f aca="false">L185/$R$3</f>
        <v>0</v>
      </c>
      <c r="U185" s="126" t="n">
        <f aca="false">I185/$R$3</f>
        <v>1169.374</v>
      </c>
      <c r="V185" s="126" t="n">
        <f aca="false">M185/$R$3</f>
        <v>1604.638</v>
      </c>
      <c r="W185" s="126" t="n">
        <f aca="false">N185/$R$3</f>
        <v>1592.935</v>
      </c>
    </row>
    <row r="186" customFormat="false" ht="12.75" hidden="false" customHeight="false" outlineLevel="0" collapsed="false">
      <c r="A186" s="120" t="n">
        <f aca="false">A185+1</f>
        <v>37072</v>
      </c>
      <c r="B186" s="131" t="str">
        <f aca="false">INDEX('Master Data'!$A$2:$B$8,MATCH(WEEKDAY('ARG Gas Firm'!A186,3),'Master Data'!$A$2:$A$8,0),2)</f>
        <v>Sa</v>
      </c>
      <c r="D186" s="124"/>
      <c r="E186" s="124"/>
      <c r="F186" s="124"/>
      <c r="G186" s="124"/>
      <c r="I186" s="124" t="n">
        <f aca="false">IF(MONTH($A186)=MONTH($A185),IF(G186=0,I185,G186),G186)</f>
        <v>1169374</v>
      </c>
      <c r="J186" s="124" t="n">
        <f aca="false">IF(MONTH($A186)=MONTH($A185),SUM(I186-I185),I186)</f>
        <v>0</v>
      </c>
      <c r="K186" s="124" t="n">
        <f aca="false">IF(WEEKDAY(A186,3)&gt;4,0,(IF(A186&lt;K$2,0,IF(A186&lt;=K$3,1,0))))</f>
        <v>0</v>
      </c>
      <c r="L186" s="124" t="n">
        <f aca="false">J186*K186</f>
        <v>0</v>
      </c>
      <c r="M186" s="124" t="n">
        <f aca="false">SUM(J$97:J186)</f>
        <v>1604638</v>
      </c>
      <c r="N186" s="124" t="n">
        <f aca="false">SUM(J$6:J186)</f>
        <v>1592935</v>
      </c>
      <c r="P186" s="124" t="n">
        <f aca="false">D186/P$3</f>
        <v>0</v>
      </c>
      <c r="Q186" s="124" t="n">
        <f aca="false">E186/P$3</f>
        <v>0</v>
      </c>
      <c r="R186" s="124" t="n">
        <f aca="false">F186/R$3</f>
        <v>0</v>
      </c>
      <c r="S186" s="126" t="n">
        <f aca="false">J186/$R$3</f>
        <v>0</v>
      </c>
      <c r="T186" s="126" t="n">
        <f aca="false">L186/$R$3</f>
        <v>0</v>
      </c>
      <c r="U186" s="126" t="n">
        <f aca="false">I186/$R$3</f>
        <v>1169.374</v>
      </c>
      <c r="V186" s="126" t="n">
        <f aca="false">M186/$R$3</f>
        <v>1604.638</v>
      </c>
      <c r="W186" s="126" t="n">
        <f aca="false">N186/$R$3</f>
        <v>1592.935</v>
      </c>
    </row>
    <row r="187" customFormat="false" ht="12.75" hidden="true" customHeight="false" outlineLevel="0" collapsed="false">
      <c r="A187" s="120" t="n">
        <f aca="false">A186+1</f>
        <v>37073</v>
      </c>
      <c r="B187" s="131" t="str">
        <f aca="false">INDEX('Master Data'!$A$2:$B$8,MATCH(WEEKDAY('ARG Gas Firm'!A187,3),'Master Data'!$A$2:$A$8,0),2)</f>
        <v>Su</v>
      </c>
      <c r="D187" s="124"/>
      <c r="E187" s="124"/>
      <c r="F187" s="124"/>
      <c r="G187" s="124"/>
      <c r="I187" s="124" t="n">
        <f aca="false">IF(MONTH($A187)=MONTH($A186),IF(G187=0,I186,G187),G187)</f>
        <v>0</v>
      </c>
      <c r="J187" s="124" t="n">
        <f aca="false">IF(MONTH($A187)=MONTH($A186),SUM(I187-I186),I187)</f>
        <v>0</v>
      </c>
      <c r="K187" s="124" t="n">
        <f aca="false">IF(WEEKDAY(A187,3)&gt;4,0,(IF(A187&lt;K$2,0,IF(A187&lt;=K$3,1,0))))</f>
        <v>0</v>
      </c>
      <c r="L187" s="124" t="n">
        <f aca="false">J187*K187</f>
        <v>0</v>
      </c>
      <c r="M187" s="124" t="n">
        <f aca="false">SUM(J$97:J187)</f>
        <v>1604638</v>
      </c>
      <c r="N187" s="124" t="n">
        <f aca="false">SUM(J$6:J187)</f>
        <v>1592935</v>
      </c>
      <c r="P187" s="124" t="n">
        <f aca="false">D187/P$3</f>
        <v>0</v>
      </c>
      <c r="Q187" s="124" t="n">
        <f aca="false">E187/P$3</f>
        <v>0</v>
      </c>
      <c r="R187" s="124" t="n">
        <f aca="false">F187/R$3</f>
        <v>0</v>
      </c>
      <c r="S187" s="126" t="n">
        <f aca="false">J187/$R$3</f>
        <v>0</v>
      </c>
      <c r="T187" s="126" t="n">
        <f aca="false">L187/$R$3</f>
        <v>0</v>
      </c>
      <c r="U187" s="126" t="n">
        <f aca="false">I187/$R$3</f>
        <v>0</v>
      </c>
      <c r="V187" s="126" t="n">
        <f aca="false">M187/$R$3</f>
        <v>1604.638</v>
      </c>
      <c r="W187" s="126" t="n">
        <f aca="false">N187/$R$3</f>
        <v>1592.935</v>
      </c>
    </row>
    <row r="188" customFormat="false" ht="12.75" hidden="true" customHeight="false" outlineLevel="0" collapsed="false">
      <c r="A188" s="120" t="n">
        <f aca="false">A187+1</f>
        <v>37074</v>
      </c>
      <c r="B188" s="131" t="str">
        <f aca="false">INDEX('Master Data'!$A$2:$B$8,MATCH(WEEKDAY('ARG Gas Firm'!A188,3),'Master Data'!$A$2:$A$8,0),2)</f>
        <v>M</v>
      </c>
      <c r="D188" s="124" t="n">
        <v>-15848833.2416935</v>
      </c>
      <c r="E188" s="124" t="n">
        <v>4243161.03076066</v>
      </c>
      <c r="F188" s="124"/>
      <c r="G188" s="124" t="n">
        <v>29</v>
      </c>
      <c r="I188" s="124" t="n">
        <f aca="false">IF(MONTH($A188)=MONTH($A187),IF(G188=0,I187,G188),G188)</f>
        <v>29</v>
      </c>
      <c r="J188" s="124" t="n">
        <f aca="false">IF(MONTH($A188)=MONTH($A187),SUM(I188-I187),I188)</f>
        <v>29</v>
      </c>
      <c r="K188" s="124" t="n">
        <f aca="false">IF(WEEKDAY(A188,3)&gt;4,0,(IF(A188&lt;K$2,0,IF(A188&lt;=K$3,1,0))))</f>
        <v>0</v>
      </c>
      <c r="L188" s="124" t="n">
        <f aca="false">J188*K188</f>
        <v>0</v>
      </c>
      <c r="M188" s="124" t="n">
        <f aca="false">SUM(J$188:J188)</f>
        <v>29</v>
      </c>
      <c r="N188" s="124" t="n">
        <f aca="false">SUM(J$6:J188)</f>
        <v>1592964</v>
      </c>
      <c r="P188" s="124" t="n">
        <f aca="false">D188/P$3</f>
        <v>-15.8488332416935</v>
      </c>
      <c r="Q188" s="124" t="n">
        <f aca="false">E188/P$3</f>
        <v>4.24316103076066</v>
      </c>
      <c r="R188" s="124" t="n">
        <f aca="false">F188/R$3</f>
        <v>0</v>
      </c>
      <c r="S188" s="126" t="n">
        <f aca="false">J188/$R$3</f>
        <v>0.029</v>
      </c>
      <c r="T188" s="126" t="n">
        <f aca="false">L188/$R$3</f>
        <v>0</v>
      </c>
      <c r="U188" s="126" t="n">
        <f aca="false">I188/$R$3</f>
        <v>0.029</v>
      </c>
      <c r="V188" s="126" t="n">
        <f aca="false">M188/$R$3</f>
        <v>0.029</v>
      </c>
      <c r="W188" s="126" t="n">
        <f aca="false">N188/$R$3</f>
        <v>1592.964</v>
      </c>
    </row>
    <row r="189" customFormat="false" ht="12.75" hidden="true" customHeight="false" outlineLevel="0" collapsed="false">
      <c r="A189" s="120" t="n">
        <f aca="false">A188+1</f>
        <v>37075</v>
      </c>
      <c r="B189" s="131" t="str">
        <f aca="false">INDEX('Master Data'!$A$2:$B$8,MATCH(WEEKDAY('ARG Gas Firm'!A189,3),'Master Data'!$A$2:$A$8,0),2)</f>
        <v>T</v>
      </c>
      <c r="D189" s="124" t="n">
        <v>-15831010.9297469</v>
      </c>
      <c r="E189" s="124" t="n">
        <v>4240018.25023712</v>
      </c>
      <c r="F189" s="124"/>
      <c r="G189" s="124" t="n">
        <v>29</v>
      </c>
      <c r="I189" s="124" t="n">
        <f aca="false">IF(MONTH($A189)=MONTH($A188),IF(G189=0,I188,G189),G189)</f>
        <v>29</v>
      </c>
      <c r="J189" s="124" t="n">
        <f aca="false">IF(MONTH($A189)=MONTH($A188),SUM(I189-I188),I189)</f>
        <v>0</v>
      </c>
      <c r="K189" s="124" t="n">
        <f aca="false">IF(WEEKDAY(A189,3)&gt;4,0,(IF(A189&lt;K$2,0,IF(A189&lt;=K$3,1,0))))</f>
        <v>0</v>
      </c>
      <c r="L189" s="124" t="n">
        <f aca="false">J189*K189</f>
        <v>0</v>
      </c>
      <c r="M189" s="124" t="n">
        <f aca="false">SUM(J$188:J189)</f>
        <v>29</v>
      </c>
      <c r="N189" s="124" t="n">
        <f aca="false">SUM(J$6:J189)</f>
        <v>1592964</v>
      </c>
      <c r="P189" s="124" t="n">
        <f aca="false">D189/P$3</f>
        <v>-15.8310109297469</v>
      </c>
      <c r="Q189" s="124" t="n">
        <f aca="false">E189/P$3</f>
        <v>4.24001825023712</v>
      </c>
      <c r="R189" s="124" t="n">
        <f aca="false">F189/R$3</f>
        <v>0</v>
      </c>
      <c r="S189" s="126" t="n">
        <f aca="false">J189/$R$3</f>
        <v>0</v>
      </c>
      <c r="T189" s="126" t="n">
        <f aca="false">L189/$R$3</f>
        <v>0</v>
      </c>
      <c r="U189" s="126" t="n">
        <f aca="false">I189/$R$3</f>
        <v>0.029</v>
      </c>
      <c r="V189" s="126" t="n">
        <f aca="false">M189/$R$3</f>
        <v>0.029</v>
      </c>
      <c r="W189" s="126" t="n">
        <f aca="false">N189/$R$3</f>
        <v>1592.964</v>
      </c>
    </row>
    <row r="190" customFormat="false" ht="12.75" hidden="true" customHeight="false" outlineLevel="0" collapsed="false">
      <c r="A190" s="120" t="n">
        <f aca="false">A189+1</f>
        <v>37076</v>
      </c>
      <c r="B190" s="131" t="str">
        <f aca="false">INDEX('Master Data'!$A$2:$B$8,MATCH(WEEKDAY('ARG Gas Firm'!A190,3),'Master Data'!$A$2:$A$8,0),2)</f>
        <v>W</v>
      </c>
      <c r="D190" s="124"/>
      <c r="E190" s="124"/>
      <c r="F190" s="124"/>
      <c r="G190" s="124"/>
      <c r="I190" s="124" t="n">
        <f aca="false">IF(MONTH($A190)=MONTH($A189),IF(G190=0,I189,G190),G190)</f>
        <v>29</v>
      </c>
      <c r="J190" s="124" t="n">
        <f aca="false">IF(MONTH($A190)=MONTH($A189),SUM(I190-I189),I190)</f>
        <v>0</v>
      </c>
      <c r="K190" s="124" t="n">
        <f aca="false">IF(WEEKDAY(A190,3)&gt;4,0,(IF(A190&lt;K$2,0,IF(A190&lt;=K$3,1,0))))</f>
        <v>0</v>
      </c>
      <c r="L190" s="124" t="n">
        <f aca="false">J190*K190</f>
        <v>0</v>
      </c>
      <c r="M190" s="124" t="n">
        <f aca="false">SUM(J$188:J190)</f>
        <v>29</v>
      </c>
      <c r="N190" s="124" t="n">
        <f aca="false">SUM(J$6:J190)</f>
        <v>1592964</v>
      </c>
      <c r="P190" s="124" t="n">
        <f aca="false">D190/P$3</f>
        <v>0</v>
      </c>
      <c r="Q190" s="124" t="n">
        <f aca="false">E190/P$3</f>
        <v>0</v>
      </c>
      <c r="R190" s="124" t="n">
        <f aca="false">F190/R$3</f>
        <v>0</v>
      </c>
      <c r="S190" s="126" t="n">
        <f aca="false">J190/$R$3</f>
        <v>0</v>
      </c>
      <c r="T190" s="126" t="n">
        <f aca="false">L190/$R$3</f>
        <v>0</v>
      </c>
      <c r="U190" s="126" t="n">
        <f aca="false">I190/$R$3</f>
        <v>0.029</v>
      </c>
      <c r="V190" s="126" t="n">
        <f aca="false">M190/$R$3</f>
        <v>0.029</v>
      </c>
      <c r="W190" s="126" t="n">
        <f aca="false">N190/$R$3</f>
        <v>1592.964</v>
      </c>
    </row>
    <row r="191" customFormat="false" ht="12.75" hidden="true" customHeight="false" outlineLevel="0" collapsed="false">
      <c r="A191" s="120" t="n">
        <f aca="false">A190+1</f>
        <v>37077</v>
      </c>
      <c r="B191" s="131" t="str">
        <f aca="false">INDEX('Master Data'!$A$2:$B$8,MATCH(WEEKDAY('ARG Gas Firm'!A191,3),'Master Data'!$A$2:$A$8,0),2)</f>
        <v>Th</v>
      </c>
      <c r="D191" s="124" t="n">
        <v>-15820521.0470323</v>
      </c>
      <c r="E191" s="124" t="n">
        <v>4236923.83062632</v>
      </c>
      <c r="F191" s="124"/>
      <c r="G191" s="124" t="n">
        <v>30</v>
      </c>
      <c r="I191" s="124" t="n">
        <f aca="false">IF(MONTH($A191)=MONTH($A190),IF(G191=0,I190,G191),G191)</f>
        <v>30</v>
      </c>
      <c r="J191" s="124" t="n">
        <f aca="false">IF(MONTH($A191)=MONTH($A190),SUM(I191-I190),I191)</f>
        <v>1</v>
      </c>
      <c r="K191" s="124" t="n">
        <f aca="false">IF(WEEKDAY(A191,3)&gt;4,0,(IF(A191&lt;K$2,0,IF(A191&lt;=K$3,1,0))))</f>
        <v>0</v>
      </c>
      <c r="L191" s="124" t="n">
        <f aca="false">J191*K191</f>
        <v>0</v>
      </c>
      <c r="M191" s="124" t="n">
        <f aca="false">SUM(J$188:J191)</f>
        <v>30</v>
      </c>
      <c r="N191" s="124" t="n">
        <f aca="false">SUM(J$6:J191)</f>
        <v>1592965</v>
      </c>
      <c r="P191" s="124" t="n">
        <f aca="false">D191/P$3</f>
        <v>-15.8205210470323</v>
      </c>
      <c r="Q191" s="124" t="n">
        <f aca="false">E191/P$3</f>
        <v>4.23692383062632</v>
      </c>
      <c r="R191" s="124" t="n">
        <f aca="false">F191/R$3</f>
        <v>0</v>
      </c>
      <c r="S191" s="126" t="n">
        <f aca="false">J191/$R$3</f>
        <v>0.001</v>
      </c>
      <c r="T191" s="126" t="n">
        <f aca="false">L191/$R$3</f>
        <v>0</v>
      </c>
      <c r="U191" s="126" t="n">
        <f aca="false">I191/$R$3</f>
        <v>0.03</v>
      </c>
      <c r="V191" s="126" t="n">
        <f aca="false">M191/$R$3</f>
        <v>0.03</v>
      </c>
      <c r="W191" s="126" t="n">
        <f aca="false">N191/$R$3</f>
        <v>1592.965</v>
      </c>
    </row>
    <row r="192" customFormat="false" ht="12.75" hidden="true" customHeight="false" outlineLevel="0" collapsed="false">
      <c r="A192" s="120" t="n">
        <f aca="false">A191+1</f>
        <v>37078</v>
      </c>
      <c r="B192" s="131" t="str">
        <f aca="false">INDEX('Master Data'!$A$2:$B$8,MATCH(WEEKDAY('ARG Gas Firm'!A192,3),'Master Data'!$A$2:$A$8,0),2)</f>
        <v>F</v>
      </c>
      <c r="D192" s="124" t="n">
        <v>-15875936.0093002</v>
      </c>
      <c r="E192" s="124" t="n">
        <v>4251338.38524079</v>
      </c>
      <c r="F192" s="124"/>
      <c r="G192" s="124" t="n">
        <v>28</v>
      </c>
      <c r="I192" s="124" t="n">
        <f aca="false">IF(MONTH($A192)=MONTH($A191),IF(G192=0,I191,G192),G192)</f>
        <v>28</v>
      </c>
      <c r="J192" s="124" t="n">
        <f aca="false">IF(MONTH($A192)=MONTH($A191),SUM(I192-I191),I192)</f>
        <v>-2</v>
      </c>
      <c r="K192" s="124" t="n">
        <f aca="false">IF(WEEKDAY(A192,3)&gt;4,0,(IF(A192&lt;K$2,0,IF(A192&lt;=K$3,1,0))))</f>
        <v>0</v>
      </c>
      <c r="L192" s="124" t="n">
        <f aca="false">J192*K192</f>
        <v>-0</v>
      </c>
      <c r="M192" s="124" t="n">
        <f aca="false">SUM(J$188:J192)</f>
        <v>28</v>
      </c>
      <c r="N192" s="124" t="n">
        <f aca="false">SUM(J$6:J192)</f>
        <v>1592963</v>
      </c>
      <c r="P192" s="124" t="n">
        <f aca="false">D192/P$3</f>
        <v>-15.8759360093002</v>
      </c>
      <c r="Q192" s="124" t="n">
        <f aca="false">E192/P$3</f>
        <v>4.25133838524079</v>
      </c>
      <c r="R192" s="124" t="n">
        <f aca="false">F192/R$3</f>
        <v>0</v>
      </c>
      <c r="S192" s="126" t="n">
        <f aca="false">J192/$R$3</f>
        <v>-0.002</v>
      </c>
      <c r="T192" s="126" t="n">
        <f aca="false">L192/$R$3</f>
        <v>-0</v>
      </c>
      <c r="U192" s="126" t="n">
        <f aca="false">I192/$R$3</f>
        <v>0.028</v>
      </c>
      <c r="V192" s="126" t="n">
        <f aca="false">M192/$R$3</f>
        <v>0.028</v>
      </c>
      <c r="W192" s="126" t="n">
        <f aca="false">N192/$R$3</f>
        <v>1592.963</v>
      </c>
    </row>
    <row r="193" customFormat="false" ht="12.75" hidden="true" customHeight="false" outlineLevel="0" collapsed="false">
      <c r="A193" s="120" t="n">
        <f aca="false">A192+1</f>
        <v>37079</v>
      </c>
      <c r="B193" s="131" t="str">
        <f aca="false">INDEX('Master Data'!$A$2:$B$8,MATCH(WEEKDAY('ARG Gas Firm'!A193,3),'Master Data'!$A$2:$A$8,0),2)</f>
        <v>Sa</v>
      </c>
      <c r="D193" s="124"/>
      <c r="E193" s="124"/>
      <c r="F193" s="124"/>
      <c r="G193" s="124"/>
      <c r="I193" s="124" t="n">
        <f aca="false">IF(MONTH($A193)=MONTH($A192),IF(G193=0,I192,G193),G193)</f>
        <v>28</v>
      </c>
      <c r="J193" s="124" t="n">
        <f aca="false">IF(MONTH($A193)=MONTH($A192),SUM(I193-I192),I193)</f>
        <v>0</v>
      </c>
      <c r="K193" s="124" t="n">
        <f aca="false">IF(WEEKDAY(A193,3)&gt;4,0,(IF(A193&lt;K$2,0,IF(A193&lt;=K$3,1,0))))</f>
        <v>0</v>
      </c>
      <c r="L193" s="124" t="n">
        <f aca="false">J193*K193</f>
        <v>0</v>
      </c>
      <c r="M193" s="124" t="n">
        <f aca="false">SUM(J$188:J193)</f>
        <v>28</v>
      </c>
      <c r="N193" s="124" t="n">
        <f aca="false">SUM(J$6:J193)</f>
        <v>1592963</v>
      </c>
      <c r="P193" s="124" t="n">
        <f aca="false">D193/P$3</f>
        <v>0</v>
      </c>
      <c r="Q193" s="124" t="n">
        <f aca="false">E193/P$3</f>
        <v>0</v>
      </c>
      <c r="R193" s="124" t="n">
        <f aca="false">F193/R$3</f>
        <v>0</v>
      </c>
      <c r="S193" s="126" t="n">
        <f aca="false">J193/$R$3</f>
        <v>0</v>
      </c>
      <c r="T193" s="126" t="n">
        <f aca="false">L193/$R$3</f>
        <v>0</v>
      </c>
      <c r="U193" s="126" t="n">
        <f aca="false">I193/$R$3</f>
        <v>0.028</v>
      </c>
      <c r="V193" s="126" t="n">
        <f aca="false">M193/$R$3</f>
        <v>0.028</v>
      </c>
      <c r="W193" s="126" t="n">
        <f aca="false">N193/$R$3</f>
        <v>1592.963</v>
      </c>
    </row>
    <row r="194" customFormat="false" ht="12.75" hidden="true" customHeight="false" outlineLevel="0" collapsed="false">
      <c r="A194" s="120" t="n">
        <f aca="false">A193+1</f>
        <v>37080</v>
      </c>
      <c r="B194" s="131" t="str">
        <f aca="false">INDEX('Master Data'!$A$2:$B$8,MATCH(WEEKDAY('ARG Gas Firm'!A194,3),'Master Data'!$A$2:$A$8,0),2)</f>
        <v>Su</v>
      </c>
      <c r="D194" s="124"/>
      <c r="E194" s="124"/>
      <c r="F194" s="124"/>
      <c r="G194" s="124"/>
      <c r="I194" s="124" t="n">
        <f aca="false">IF(MONTH($A194)=MONTH($A193),IF(G194=0,I193,G194),G194)</f>
        <v>28</v>
      </c>
      <c r="J194" s="124" t="n">
        <f aca="false">IF(MONTH($A194)=MONTH($A193),SUM(I194-I193),I194)</f>
        <v>0</v>
      </c>
      <c r="K194" s="124" t="n">
        <f aca="false">IF(WEEKDAY(A194,3)&gt;4,0,(IF(A194&lt;K$2,0,IF(A194&lt;=K$3,1,0))))</f>
        <v>0</v>
      </c>
      <c r="L194" s="124" t="n">
        <f aca="false">J194*K194</f>
        <v>0</v>
      </c>
      <c r="M194" s="124" t="n">
        <f aca="false">SUM(J$188:J194)</f>
        <v>28</v>
      </c>
      <c r="N194" s="124" t="n">
        <f aca="false">SUM(J$6:J194)</f>
        <v>1592963</v>
      </c>
      <c r="P194" s="124" t="n">
        <f aca="false">D194/P$3</f>
        <v>0</v>
      </c>
      <c r="Q194" s="124" t="n">
        <f aca="false">E194/P$3</f>
        <v>0</v>
      </c>
      <c r="R194" s="124" t="n">
        <f aca="false">F194/R$3</f>
        <v>0</v>
      </c>
      <c r="S194" s="126" t="n">
        <f aca="false">J194/$R$3</f>
        <v>0</v>
      </c>
      <c r="T194" s="126" t="n">
        <f aca="false">L194/$R$3</f>
        <v>0</v>
      </c>
      <c r="U194" s="126" t="n">
        <f aca="false">I194/$R$3</f>
        <v>0.028</v>
      </c>
      <c r="V194" s="126" t="n">
        <f aca="false">M194/$R$3</f>
        <v>0.028</v>
      </c>
      <c r="W194" s="126" t="n">
        <f aca="false">N194/$R$3</f>
        <v>1592.963</v>
      </c>
    </row>
    <row r="195" customFormat="false" ht="12.75" hidden="true" customHeight="false" outlineLevel="0" collapsed="false">
      <c r="A195" s="120" t="n">
        <f aca="false">A194+1</f>
        <v>37081</v>
      </c>
      <c r="B195" s="131" t="str">
        <f aca="false">INDEX('Master Data'!$A$2:$B$8,MATCH(WEEKDAY('ARG Gas Firm'!A195,3),'Master Data'!$A$2:$A$8,0),2)</f>
        <v>M</v>
      </c>
      <c r="D195" s="124" t="n">
        <v>-15892115.938224</v>
      </c>
      <c r="E195" s="124" t="n">
        <v>4255486.82896927</v>
      </c>
      <c r="F195" s="124"/>
      <c r="G195" s="124" t="n">
        <v>27</v>
      </c>
      <c r="I195" s="124" t="n">
        <f aca="false">IF(MONTH($A195)=MONTH($A194),IF(G195=0,I194,G195),G195)</f>
        <v>27</v>
      </c>
      <c r="J195" s="124" t="n">
        <f aca="false">IF(MONTH($A195)=MONTH($A194),SUM(I195-I194),I195)</f>
        <v>-1</v>
      </c>
      <c r="K195" s="124" t="n">
        <f aca="false">IF(WEEKDAY(A195,3)&gt;4,0,(IF(A195&lt;K$2,0,IF(A195&lt;=K$3,1,0))))</f>
        <v>0</v>
      </c>
      <c r="L195" s="124" t="n">
        <f aca="false">J195*K195</f>
        <v>-0</v>
      </c>
      <c r="M195" s="124" t="n">
        <f aca="false">SUM(J$188:J195)</f>
        <v>27</v>
      </c>
      <c r="N195" s="124" t="n">
        <f aca="false">SUM(J$6:J195)</f>
        <v>1592962</v>
      </c>
      <c r="P195" s="124" t="n">
        <f aca="false">D195/P$3</f>
        <v>-15.892115938224</v>
      </c>
      <c r="Q195" s="124" t="n">
        <f aca="false">E195/P$3</f>
        <v>4.25548682896927</v>
      </c>
      <c r="R195" s="124" t="n">
        <f aca="false">F195/R$3</f>
        <v>0</v>
      </c>
      <c r="S195" s="126" t="n">
        <f aca="false">J195/$R$3</f>
        <v>-0.001</v>
      </c>
      <c r="T195" s="126" t="n">
        <f aca="false">L195/$R$3</f>
        <v>-0</v>
      </c>
      <c r="U195" s="126" t="n">
        <f aca="false">I195/$R$3</f>
        <v>0.027</v>
      </c>
      <c r="V195" s="126" t="n">
        <f aca="false">M195/$R$3</f>
        <v>0.027</v>
      </c>
      <c r="W195" s="126" t="n">
        <f aca="false">N195/$R$3</f>
        <v>1592.962</v>
      </c>
    </row>
    <row r="196" customFormat="false" ht="12.75" hidden="true" customHeight="false" outlineLevel="0" collapsed="false">
      <c r="A196" s="120" t="n">
        <f aca="false">A195+1</f>
        <v>37082</v>
      </c>
      <c r="B196" s="131" t="str">
        <f aca="false">INDEX('Master Data'!$A$2:$B$8,MATCH(WEEKDAY('ARG Gas Firm'!A196,3),'Master Data'!$A$2:$A$8,0),2)</f>
        <v>T</v>
      </c>
      <c r="D196" s="124" t="n">
        <v>-15934584.8443588</v>
      </c>
      <c r="E196" s="124" t="n">
        <v>4263713.481527</v>
      </c>
      <c r="F196" s="124"/>
      <c r="G196" s="124" t="n">
        <v>26</v>
      </c>
      <c r="I196" s="124" t="n">
        <f aca="false">IF(MONTH($A196)=MONTH($A195),IF(G196=0,I195,G196),G196)</f>
        <v>26</v>
      </c>
      <c r="J196" s="124" t="n">
        <f aca="false">IF(MONTH($A196)=MONTH($A195),SUM(I196-I195),I196)</f>
        <v>-1</v>
      </c>
      <c r="K196" s="124" t="n">
        <f aca="false">IF(WEEKDAY(A196,3)&gt;4,0,(IF(A196&lt;K$2,0,IF(A196&lt;=K$3,1,0))))</f>
        <v>0</v>
      </c>
      <c r="L196" s="124" t="n">
        <f aca="false">J196*K196</f>
        <v>-0</v>
      </c>
      <c r="M196" s="124" t="n">
        <f aca="false">SUM(J$188:J196)</f>
        <v>26</v>
      </c>
      <c r="N196" s="124" t="n">
        <f aca="false">SUM(J$6:J196)</f>
        <v>1592961</v>
      </c>
      <c r="P196" s="124" t="n">
        <f aca="false">D196/P$3</f>
        <v>-15.9345848443588</v>
      </c>
      <c r="Q196" s="124" t="n">
        <f aca="false">E196/P$3</f>
        <v>4.263713481527</v>
      </c>
      <c r="R196" s="124" t="n">
        <f aca="false">F196/R$3</f>
        <v>0</v>
      </c>
      <c r="S196" s="126" t="n">
        <f aca="false">J196/$R$3</f>
        <v>-0.001</v>
      </c>
      <c r="T196" s="126" t="n">
        <f aca="false">L196/$R$3</f>
        <v>-0</v>
      </c>
      <c r="U196" s="126" t="n">
        <f aca="false">I196/$R$3</f>
        <v>0.026</v>
      </c>
      <c r="V196" s="126" t="n">
        <f aca="false">M196/$R$3</f>
        <v>0.026</v>
      </c>
      <c r="W196" s="126" t="n">
        <f aca="false">N196/$R$3</f>
        <v>1592.961</v>
      </c>
    </row>
    <row r="197" customFormat="false" ht="12.75" hidden="true" customHeight="false" outlineLevel="0" collapsed="false">
      <c r="A197" s="120" t="n">
        <f aca="false">A196+1</f>
        <v>37083</v>
      </c>
      <c r="B197" s="131" t="str">
        <f aca="false">INDEX('Master Data'!$A$2:$B$8,MATCH(WEEKDAY('ARG Gas Firm'!A197,3),'Master Data'!$A$2:$A$8,0),2)</f>
        <v>W</v>
      </c>
      <c r="D197" s="124" t="n">
        <v>-15935900.2377963</v>
      </c>
      <c r="E197" s="124" t="n">
        <v>4265312.8530279</v>
      </c>
      <c r="F197" s="124"/>
      <c r="G197" s="124" t="n">
        <v>26</v>
      </c>
      <c r="I197" s="124" t="n">
        <f aca="false">IF(MONTH($A197)=MONTH($A196),IF(G197=0,I196,G197),G197)</f>
        <v>26</v>
      </c>
      <c r="J197" s="124" t="n">
        <f aca="false">IF(MONTH($A197)=MONTH($A196),SUM(I197-I196),I197)</f>
        <v>0</v>
      </c>
      <c r="K197" s="124" t="n">
        <f aca="false">IF(WEEKDAY(A197,3)&gt;4,0,(IF(A197&lt;K$2,0,IF(A197&lt;=K$3,1,0))))</f>
        <v>0</v>
      </c>
      <c r="L197" s="124" t="n">
        <f aca="false">J197*K197</f>
        <v>0</v>
      </c>
      <c r="M197" s="124" t="n">
        <f aca="false">SUM(J$188:J197)</f>
        <v>26</v>
      </c>
      <c r="N197" s="124" t="n">
        <f aca="false">SUM(J$6:J197)</f>
        <v>1592961</v>
      </c>
      <c r="P197" s="124" t="n">
        <f aca="false">D197/P$3</f>
        <v>-15.9359002377963</v>
      </c>
      <c r="Q197" s="124" t="n">
        <f aca="false">E197/P$3</f>
        <v>4.2653128530279</v>
      </c>
      <c r="R197" s="124" t="n">
        <f aca="false">F197/R$3</f>
        <v>0</v>
      </c>
      <c r="S197" s="126" t="n">
        <f aca="false">J197/$R$3</f>
        <v>0</v>
      </c>
      <c r="T197" s="126" t="n">
        <f aca="false">L197/$R$3</f>
        <v>0</v>
      </c>
      <c r="U197" s="126" t="n">
        <f aca="false">I197/$R$3</f>
        <v>0.026</v>
      </c>
      <c r="V197" s="126" t="n">
        <f aca="false">M197/$R$3</f>
        <v>0.026</v>
      </c>
      <c r="W197" s="126" t="n">
        <f aca="false">N197/$R$3</f>
        <v>1592.961</v>
      </c>
    </row>
    <row r="198" customFormat="false" ht="12.75" hidden="true" customHeight="false" outlineLevel="0" collapsed="false">
      <c r="A198" s="120" t="n">
        <f aca="false">A197+1</f>
        <v>37084</v>
      </c>
      <c r="B198" s="131" t="str">
        <f aca="false">INDEX('Master Data'!$A$2:$B$8,MATCH(WEEKDAY('ARG Gas Firm'!A198,3),'Master Data'!$A$2:$A$8,0),2)</f>
        <v>Th</v>
      </c>
      <c r="D198" s="124" t="n">
        <v>-15933825.4874171</v>
      </c>
      <c r="E198" s="124" t="n">
        <v>4262188.3298753</v>
      </c>
      <c r="F198" s="124"/>
      <c r="G198" s="124" t="n">
        <v>26</v>
      </c>
      <c r="I198" s="124" t="n">
        <f aca="false">IF(MONTH($A198)=MONTH($A197),IF(G198=0,I197,G198),G198)</f>
        <v>26</v>
      </c>
      <c r="J198" s="124" t="n">
        <f aca="false">IF(MONTH($A198)=MONTH($A197),SUM(I198-I197),I198)</f>
        <v>0</v>
      </c>
      <c r="K198" s="124" t="n">
        <f aca="false">IF(WEEKDAY(A198,3)&gt;4,0,(IF(A198&lt;K$2,0,IF(A198&lt;=K$3,1,0))))</f>
        <v>0</v>
      </c>
      <c r="L198" s="124" t="n">
        <f aca="false">J198*K198</f>
        <v>0</v>
      </c>
      <c r="M198" s="124" t="n">
        <f aca="false">SUM(J$188:J198)</f>
        <v>26</v>
      </c>
      <c r="N198" s="124" t="n">
        <f aca="false">SUM(J$6:J198)</f>
        <v>1592961</v>
      </c>
      <c r="P198" s="124" t="n">
        <f aca="false">D198/P$3</f>
        <v>-15.9338254874171</v>
      </c>
      <c r="Q198" s="124" t="n">
        <f aca="false">E198/P$3</f>
        <v>4.2621883298753</v>
      </c>
      <c r="R198" s="124" t="n">
        <f aca="false">F198/R$3</f>
        <v>0</v>
      </c>
      <c r="S198" s="126" t="n">
        <f aca="false">J198/$R$3</f>
        <v>0</v>
      </c>
      <c r="T198" s="126" t="n">
        <f aca="false">L198/$R$3</f>
        <v>0</v>
      </c>
      <c r="U198" s="126" t="n">
        <f aca="false">I198/$R$3</f>
        <v>0.026</v>
      </c>
      <c r="V198" s="126" t="n">
        <f aca="false">M198/$R$3</f>
        <v>0.026</v>
      </c>
      <c r="W198" s="126" t="n">
        <f aca="false">N198/$R$3</f>
        <v>1592.961</v>
      </c>
    </row>
    <row r="199" customFormat="false" ht="12.75" hidden="true" customHeight="false" outlineLevel="0" collapsed="false">
      <c r="A199" s="120" t="n">
        <f aca="false">A198+1</f>
        <v>37085</v>
      </c>
      <c r="B199" s="131" t="str">
        <f aca="false">INDEX('Master Data'!$A$2:$B$8,MATCH(WEEKDAY('ARG Gas Firm'!A199,3),'Master Data'!$A$2:$A$8,0),2)</f>
        <v>F</v>
      </c>
      <c r="D199" s="124" t="n">
        <v>-15950101.8361954</v>
      </c>
      <c r="E199" s="124" t="n">
        <v>4265787.83514354</v>
      </c>
      <c r="F199" s="124"/>
      <c r="G199" s="124" t="n">
        <v>26</v>
      </c>
      <c r="I199" s="124" t="n">
        <f aca="false">IF(MONTH($A199)=MONTH($A198),IF(G199=0,I198,G199),G199)</f>
        <v>26</v>
      </c>
      <c r="J199" s="124" t="n">
        <f aca="false">IF(MONTH($A199)=MONTH($A198),SUM(I199-I198),I199)</f>
        <v>0</v>
      </c>
      <c r="K199" s="124" t="n">
        <f aca="false">IF(WEEKDAY(A199,3)&gt;4,0,(IF(A199&lt;K$2,0,IF(A199&lt;=K$3,1,0))))</f>
        <v>0</v>
      </c>
      <c r="L199" s="124" t="n">
        <f aca="false">J199*K199</f>
        <v>0</v>
      </c>
      <c r="M199" s="124" t="n">
        <f aca="false">SUM(J$188:J199)</f>
        <v>26</v>
      </c>
      <c r="N199" s="124" t="n">
        <f aca="false">SUM(J$6:J199)</f>
        <v>1592961</v>
      </c>
      <c r="P199" s="124" t="n">
        <f aca="false">D199/P$3</f>
        <v>-15.9501018361954</v>
      </c>
      <c r="Q199" s="124" t="n">
        <f aca="false">E199/P$3</f>
        <v>4.26578783514354</v>
      </c>
      <c r="R199" s="124" t="n">
        <f aca="false">F199/R$3</f>
        <v>0</v>
      </c>
      <c r="S199" s="126" t="n">
        <f aca="false">J199/$R$3</f>
        <v>0</v>
      </c>
      <c r="T199" s="126" t="n">
        <f aca="false">L199/$R$3</f>
        <v>0</v>
      </c>
      <c r="U199" s="126" t="n">
        <f aca="false">I199/$R$3</f>
        <v>0.026</v>
      </c>
      <c r="V199" s="126" t="n">
        <f aca="false">M199/$R$3</f>
        <v>0.026</v>
      </c>
      <c r="W199" s="126" t="n">
        <f aca="false">N199/$R$3</f>
        <v>1592.961</v>
      </c>
    </row>
    <row r="200" customFormat="false" ht="12.75" hidden="true" customHeight="false" outlineLevel="0" collapsed="false">
      <c r="A200" s="120" t="n">
        <f aca="false">A199+1</f>
        <v>37086</v>
      </c>
      <c r="B200" s="131" t="str">
        <f aca="false">INDEX('Master Data'!$A$2:$B$8,MATCH(WEEKDAY('ARG Gas Firm'!A200,3),'Master Data'!$A$2:$A$8,0),2)</f>
        <v>Sa</v>
      </c>
      <c r="D200" s="124"/>
      <c r="E200" s="124"/>
      <c r="F200" s="124"/>
      <c r="G200" s="124"/>
      <c r="I200" s="124" t="n">
        <f aca="false">IF(MONTH($A200)=MONTH($A199),IF(G200=0,I199,G200),G200)</f>
        <v>26</v>
      </c>
      <c r="J200" s="124" t="n">
        <f aca="false">IF(MONTH($A200)=MONTH($A199),SUM(I200-I199),I200)</f>
        <v>0</v>
      </c>
      <c r="K200" s="124" t="n">
        <f aca="false">IF(WEEKDAY(A200,3)&gt;4,0,(IF(A200&lt;K$2,0,IF(A200&lt;=K$3,1,0))))</f>
        <v>0</v>
      </c>
      <c r="L200" s="124" t="n">
        <f aca="false">J200*K200</f>
        <v>0</v>
      </c>
      <c r="M200" s="124" t="n">
        <f aca="false">SUM(J$188:J200)</f>
        <v>26</v>
      </c>
      <c r="N200" s="124" t="n">
        <f aca="false">SUM(J$6:J200)</f>
        <v>1592961</v>
      </c>
      <c r="P200" s="124" t="n">
        <f aca="false">D200/P$3</f>
        <v>0</v>
      </c>
      <c r="Q200" s="124" t="n">
        <f aca="false">E200/P$3</f>
        <v>0</v>
      </c>
      <c r="R200" s="124" t="n">
        <f aca="false">F200/R$3</f>
        <v>0</v>
      </c>
      <c r="S200" s="126" t="n">
        <f aca="false">J200/$R$3</f>
        <v>0</v>
      </c>
      <c r="T200" s="126" t="n">
        <f aca="false">L200/$R$3</f>
        <v>0</v>
      </c>
      <c r="U200" s="126" t="n">
        <f aca="false">I200/$R$3</f>
        <v>0.026</v>
      </c>
      <c r="V200" s="126" t="n">
        <f aca="false">M200/$R$3</f>
        <v>0.026</v>
      </c>
      <c r="W200" s="126" t="n">
        <f aca="false">N200/$R$3</f>
        <v>1592.961</v>
      </c>
    </row>
    <row r="201" customFormat="false" ht="12.75" hidden="true" customHeight="false" outlineLevel="0" collapsed="false">
      <c r="A201" s="120" t="n">
        <f aca="false">A200+1</f>
        <v>37087</v>
      </c>
      <c r="B201" s="131" t="str">
        <f aca="false">INDEX('Master Data'!$A$2:$B$8,MATCH(WEEKDAY('ARG Gas Firm'!A201,3),'Master Data'!$A$2:$A$8,0),2)</f>
        <v>Su</v>
      </c>
      <c r="D201" s="124"/>
      <c r="E201" s="124"/>
      <c r="F201" s="124"/>
      <c r="G201" s="124"/>
      <c r="I201" s="124" t="n">
        <f aca="false">IF(MONTH($A201)=MONTH($A200),IF(G201=0,I200,G201),G201)</f>
        <v>26</v>
      </c>
      <c r="J201" s="124" t="n">
        <f aca="false">IF(MONTH($A201)=MONTH($A200),SUM(I201-I200),I201)</f>
        <v>0</v>
      </c>
      <c r="K201" s="124" t="n">
        <f aca="false">IF(WEEKDAY(A201,3)&gt;4,0,(IF(A201&lt;K$2,0,IF(A201&lt;=K$3,1,0))))</f>
        <v>0</v>
      </c>
      <c r="L201" s="124" t="n">
        <f aca="false">J201*K201</f>
        <v>0</v>
      </c>
      <c r="M201" s="124" t="n">
        <f aca="false">SUM(J$188:J201)</f>
        <v>26</v>
      </c>
      <c r="N201" s="124" t="n">
        <f aca="false">SUM(J$6:J201)</f>
        <v>1592961</v>
      </c>
      <c r="P201" s="124" t="n">
        <f aca="false">D201/P$3</f>
        <v>0</v>
      </c>
      <c r="Q201" s="124" t="n">
        <f aca="false">E201/P$3</f>
        <v>0</v>
      </c>
      <c r="R201" s="124" t="n">
        <f aca="false">F201/R$3</f>
        <v>0</v>
      </c>
      <c r="S201" s="126" t="n">
        <f aca="false">J201/$R$3</f>
        <v>0</v>
      </c>
      <c r="T201" s="126" t="n">
        <f aca="false">L201/$R$3</f>
        <v>0</v>
      </c>
      <c r="U201" s="126" t="n">
        <f aca="false">I201/$R$3</f>
        <v>0.026</v>
      </c>
      <c r="V201" s="126" t="n">
        <f aca="false">M201/$R$3</f>
        <v>0.026</v>
      </c>
      <c r="W201" s="126" t="n">
        <f aca="false">N201/$R$3</f>
        <v>1592.961</v>
      </c>
    </row>
    <row r="202" customFormat="false" ht="12.75" hidden="true" customHeight="false" outlineLevel="0" collapsed="false">
      <c r="A202" s="120" t="n">
        <f aca="false">A201+1</f>
        <v>37088</v>
      </c>
      <c r="B202" s="131" t="str">
        <f aca="false">INDEX('Master Data'!$A$2:$B$8,MATCH(WEEKDAY('ARG Gas Firm'!A202,3),'Master Data'!$A$2:$A$8,0),2)</f>
        <v>M</v>
      </c>
      <c r="D202" s="124" t="n">
        <v>-15990698.7747811</v>
      </c>
      <c r="E202" s="124" t="n">
        <v>4274186.95761045</v>
      </c>
      <c r="F202" s="124"/>
      <c r="G202" s="124" t="n">
        <v>24</v>
      </c>
      <c r="I202" s="124" t="n">
        <f aca="false">IF(MONTH($A202)=MONTH($A201),IF(G202=0,I201,G202),G202)</f>
        <v>24</v>
      </c>
      <c r="J202" s="124" t="n">
        <f aca="false">IF(MONTH($A202)=MONTH($A201),SUM(I202-I201),I202)</f>
        <v>-2</v>
      </c>
      <c r="K202" s="124" t="n">
        <f aca="false">IF(WEEKDAY(A202,3)&gt;4,0,(IF(A202&lt;K$2,0,IF(A202&lt;=K$3,1,0))))</f>
        <v>0</v>
      </c>
      <c r="L202" s="124" t="n">
        <f aca="false">J202*K202</f>
        <v>-0</v>
      </c>
      <c r="M202" s="124" t="n">
        <f aca="false">SUM(J$188:J202)</f>
        <v>24</v>
      </c>
      <c r="N202" s="124" t="n">
        <f aca="false">SUM(J$6:J202)</f>
        <v>1592959</v>
      </c>
      <c r="P202" s="124" t="n">
        <f aca="false">D202/P$3</f>
        <v>-15.9906987747811</v>
      </c>
      <c r="Q202" s="124" t="n">
        <f aca="false">E202/P$3</f>
        <v>4.27418695761045</v>
      </c>
      <c r="R202" s="124" t="n">
        <f aca="false">F202/R$3</f>
        <v>0</v>
      </c>
      <c r="S202" s="126" t="n">
        <f aca="false">J202/$R$3</f>
        <v>-0.002</v>
      </c>
      <c r="T202" s="126" t="n">
        <f aca="false">L202/$R$3</f>
        <v>-0</v>
      </c>
      <c r="U202" s="126" t="n">
        <f aca="false">I202/$R$3</f>
        <v>0.024</v>
      </c>
      <c r="V202" s="126" t="n">
        <f aca="false">M202/$R$3</f>
        <v>0.024</v>
      </c>
      <c r="W202" s="126" t="n">
        <f aca="false">N202/$R$3</f>
        <v>1592.959</v>
      </c>
    </row>
    <row r="203" customFormat="false" ht="12.75" hidden="true" customHeight="false" outlineLevel="0" collapsed="false">
      <c r="A203" s="120" t="n">
        <f aca="false">A202+1</f>
        <v>37089</v>
      </c>
      <c r="B203" s="131" t="str">
        <f aca="false">INDEX('Master Data'!$A$2:$B$8,MATCH(WEEKDAY('ARG Gas Firm'!A203,3),'Master Data'!$A$2:$A$8,0),2)</f>
        <v>T</v>
      </c>
      <c r="D203" s="124" t="n">
        <v>-15988170.4425143</v>
      </c>
      <c r="E203" s="124" t="n">
        <v>4275272.24849149</v>
      </c>
      <c r="F203" s="124"/>
      <c r="G203" s="124" t="n">
        <v>24</v>
      </c>
      <c r="I203" s="124" t="n">
        <f aca="false">IF(MONTH($A203)=MONTH($A202),IF(G203=0,I202,G203),G203)</f>
        <v>24</v>
      </c>
      <c r="J203" s="124" t="n">
        <f aca="false">IF(MONTH($A203)=MONTH($A202),SUM(I203-I202),I203)</f>
        <v>0</v>
      </c>
      <c r="K203" s="124" t="n">
        <f aca="false">IF(WEEKDAY(A203,3)&gt;4,0,(IF(A203&lt;K$2,0,IF(A203&lt;=K$3,1,0))))</f>
        <v>0</v>
      </c>
      <c r="L203" s="124" t="n">
        <f aca="false">J203*K203</f>
        <v>0</v>
      </c>
      <c r="M203" s="124" t="n">
        <f aca="false">SUM(J$188:J203)</f>
        <v>24</v>
      </c>
      <c r="N203" s="124" t="n">
        <f aca="false">SUM(J$6:J203)</f>
        <v>1592959</v>
      </c>
      <c r="P203" s="124" t="n">
        <f aca="false">D203/P$3</f>
        <v>-15.9881704425143</v>
      </c>
      <c r="Q203" s="124" t="n">
        <f aca="false">E203/P$3</f>
        <v>4.27527224849149</v>
      </c>
      <c r="R203" s="124" t="n">
        <f aca="false">F203/R$3</f>
        <v>0</v>
      </c>
      <c r="S203" s="126" t="n">
        <f aca="false">J203/$R$3</f>
        <v>0</v>
      </c>
      <c r="T203" s="126" t="n">
        <f aca="false">L203/$R$3</f>
        <v>0</v>
      </c>
      <c r="U203" s="126" t="n">
        <f aca="false">I203/$R$3</f>
        <v>0.024</v>
      </c>
      <c r="V203" s="126" t="n">
        <f aca="false">M203/$R$3</f>
        <v>0.024</v>
      </c>
      <c r="W203" s="126" t="n">
        <f aca="false">N203/$R$3</f>
        <v>1592.959</v>
      </c>
    </row>
    <row r="204" customFormat="false" ht="12.75" hidden="true" customHeight="false" outlineLevel="0" collapsed="false">
      <c r="A204" s="120" t="n">
        <f aca="false">A203+1</f>
        <v>37090</v>
      </c>
      <c r="B204" s="131" t="str">
        <f aca="false">INDEX('Master Data'!$A$2:$B$8,MATCH(WEEKDAY('ARG Gas Firm'!A204,3),'Master Data'!$A$2:$A$8,0),2)</f>
        <v>W</v>
      </c>
      <c r="D204" s="124" t="n">
        <v>-16077344.3349129</v>
      </c>
      <c r="E204" s="124" t="n">
        <v>4296655.1544233</v>
      </c>
      <c r="F204" s="124"/>
      <c r="G204" s="124" t="n">
        <v>22</v>
      </c>
      <c r="I204" s="124" t="n">
        <f aca="false">IF(MONTH($A204)=MONTH($A203),IF(G204=0,I203,G204),G204)</f>
        <v>22</v>
      </c>
      <c r="J204" s="124" t="n">
        <f aca="false">IF(MONTH($A204)=MONTH($A203),SUM(I204-I203),I204)</f>
        <v>-2</v>
      </c>
      <c r="K204" s="124" t="n">
        <f aca="false">IF(WEEKDAY(A204,3)&gt;4,0,(IF(A204&lt;K$2,0,IF(A204&lt;=K$3,1,0))))</f>
        <v>0</v>
      </c>
      <c r="L204" s="124" t="n">
        <f aca="false">J204*K204</f>
        <v>-0</v>
      </c>
      <c r="M204" s="124" t="n">
        <f aca="false">SUM(J$188:J204)</f>
        <v>22</v>
      </c>
      <c r="N204" s="124" t="n">
        <f aca="false">SUM(J$6:J204)</f>
        <v>1592957</v>
      </c>
      <c r="P204" s="124" t="n">
        <f aca="false">D204/P$3</f>
        <v>-16.0773443349129</v>
      </c>
      <c r="Q204" s="124" t="n">
        <f aca="false">E204/P$3</f>
        <v>4.2966551544233</v>
      </c>
      <c r="R204" s="124" t="n">
        <f aca="false">F204/R$3</f>
        <v>0</v>
      </c>
      <c r="S204" s="126" t="n">
        <f aca="false">J204/$R$3</f>
        <v>-0.002</v>
      </c>
      <c r="T204" s="126" t="n">
        <f aca="false">L204/$R$3</f>
        <v>-0</v>
      </c>
      <c r="U204" s="126" t="n">
        <f aca="false">I204/$R$3</f>
        <v>0.022</v>
      </c>
      <c r="V204" s="126" t="n">
        <f aca="false">M204/$R$3</f>
        <v>0.022</v>
      </c>
      <c r="W204" s="126" t="n">
        <f aca="false">N204/$R$3</f>
        <v>1592.957</v>
      </c>
    </row>
    <row r="205" customFormat="false" ht="12.75" hidden="true" customHeight="false" outlineLevel="0" collapsed="false">
      <c r="A205" s="120" t="n">
        <f aca="false">A204+1</f>
        <v>37091</v>
      </c>
      <c r="B205" s="131" t="str">
        <f aca="false">INDEX('Master Data'!$A$2:$B$8,MATCH(WEEKDAY('ARG Gas Firm'!A205,3),'Master Data'!$A$2:$A$8,0),2)</f>
        <v>Th</v>
      </c>
      <c r="D205" s="124" t="n">
        <v>-16069295.9077992</v>
      </c>
      <c r="E205" s="124" t="n">
        <v>4294107.55124131</v>
      </c>
      <c r="F205" s="124"/>
      <c r="G205" s="124" t="n">
        <v>22</v>
      </c>
      <c r="I205" s="124" t="n">
        <f aca="false">IF(MONTH($A205)=MONTH($A204),IF(G205=0,I204,G205),G205)</f>
        <v>22</v>
      </c>
      <c r="J205" s="124" t="n">
        <f aca="false">IF(MONTH($A205)=MONTH($A204),SUM(I205-I204),I205)</f>
        <v>0</v>
      </c>
      <c r="K205" s="124" t="n">
        <f aca="false">IF(WEEKDAY(A205,3)&gt;4,0,(IF(A205&lt;K$2,0,IF(A205&lt;=K$3,1,0))))</f>
        <v>0</v>
      </c>
      <c r="L205" s="124" t="n">
        <f aca="false">J205*K205</f>
        <v>0</v>
      </c>
      <c r="M205" s="124" t="n">
        <f aca="false">SUM(J$188:J205)</f>
        <v>22</v>
      </c>
      <c r="N205" s="124" t="n">
        <f aca="false">SUM(J$6:J205)</f>
        <v>1592957</v>
      </c>
      <c r="P205" s="124" t="n">
        <f aca="false">D205/P$3</f>
        <v>-16.0692959077992</v>
      </c>
      <c r="Q205" s="124" t="n">
        <f aca="false">E205/P$3</f>
        <v>4.29410755124131</v>
      </c>
      <c r="R205" s="124" t="n">
        <f aca="false">F205/R$3</f>
        <v>0</v>
      </c>
      <c r="S205" s="126" t="n">
        <f aca="false">J205/$R$3</f>
        <v>0</v>
      </c>
      <c r="T205" s="126" t="n">
        <f aca="false">L205/$R$3</f>
        <v>0</v>
      </c>
      <c r="U205" s="126" t="n">
        <f aca="false">I205/$R$3</f>
        <v>0.022</v>
      </c>
      <c r="V205" s="126" t="n">
        <f aca="false">M205/$R$3</f>
        <v>0.022</v>
      </c>
      <c r="W205" s="126" t="n">
        <f aca="false">N205/$R$3</f>
        <v>1592.957</v>
      </c>
    </row>
    <row r="206" customFormat="false" ht="12.75" hidden="true" customHeight="false" outlineLevel="0" collapsed="false">
      <c r="A206" s="120" t="n">
        <f aca="false">A205+1</f>
        <v>37092</v>
      </c>
      <c r="B206" s="131" t="str">
        <f aca="false">INDEX('Master Data'!$A$2:$B$8,MATCH(WEEKDAY('ARG Gas Firm'!A206,3),'Master Data'!$A$2:$A$8,0),2)</f>
        <v>F</v>
      </c>
      <c r="D206" s="124" t="n">
        <v>-16069050.3733978</v>
      </c>
      <c r="E206" s="124" t="n">
        <v>4294415.60843362</v>
      </c>
      <c r="F206" s="124"/>
      <c r="G206" s="124" t="n">
        <v>22</v>
      </c>
      <c r="I206" s="124" t="n">
        <f aca="false">IF(MONTH($A206)=MONTH($A205),IF(G206=0,I205,G206),G206)</f>
        <v>22</v>
      </c>
      <c r="J206" s="124" t="n">
        <f aca="false">IF(MONTH($A206)=MONTH($A205),SUM(I206-I205),I206)</f>
        <v>0</v>
      </c>
      <c r="K206" s="124" t="n">
        <f aca="false">IF(WEEKDAY(A206,3)&gt;4,0,(IF(A206&lt;K$2,0,IF(A206&lt;=K$3,1,0))))</f>
        <v>0</v>
      </c>
      <c r="L206" s="124" t="n">
        <f aca="false">J206*K206</f>
        <v>0</v>
      </c>
      <c r="M206" s="124" t="n">
        <f aca="false">SUM(J$188:J206)</f>
        <v>22</v>
      </c>
      <c r="N206" s="124" t="n">
        <f aca="false">SUM(J$6:J206)</f>
        <v>1592957</v>
      </c>
      <c r="P206" s="124" t="n">
        <f aca="false">D206/P$3</f>
        <v>-16.0690503733978</v>
      </c>
      <c r="Q206" s="124" t="n">
        <f aca="false">E206/P$3</f>
        <v>4.29441560843362</v>
      </c>
      <c r="R206" s="124" t="n">
        <f aca="false">F206/R$3</f>
        <v>0</v>
      </c>
      <c r="S206" s="126" t="n">
        <f aca="false">J206/$R$3</f>
        <v>0</v>
      </c>
      <c r="T206" s="126" t="n">
        <f aca="false">L206/$R$3</f>
        <v>0</v>
      </c>
      <c r="U206" s="126" t="n">
        <f aca="false">I206/$R$3</f>
        <v>0.022</v>
      </c>
      <c r="V206" s="126" t="n">
        <f aca="false">M206/$R$3</f>
        <v>0.022</v>
      </c>
      <c r="W206" s="126" t="n">
        <f aca="false">N206/$R$3</f>
        <v>1592.957</v>
      </c>
    </row>
    <row r="207" customFormat="false" ht="12.75" hidden="true" customHeight="false" outlineLevel="0" collapsed="false">
      <c r="A207" s="120" t="n">
        <f aca="false">A206+1</f>
        <v>37093</v>
      </c>
      <c r="B207" s="131" t="str">
        <f aca="false">INDEX('Master Data'!$A$2:$B$8,MATCH(WEEKDAY('ARG Gas Firm'!A207,3),'Master Data'!$A$2:$A$8,0),2)</f>
        <v>Sa</v>
      </c>
      <c r="D207" s="124"/>
      <c r="E207" s="124"/>
      <c r="F207" s="124"/>
      <c r="G207" s="124"/>
      <c r="I207" s="124" t="n">
        <f aca="false">IF(MONTH($A207)=MONTH($A206),IF(G207=0,I206,G207),G207)</f>
        <v>22</v>
      </c>
      <c r="J207" s="124" t="n">
        <f aca="false">IF(MONTH($A207)=MONTH($A206),SUM(I207-I206),I207)</f>
        <v>0</v>
      </c>
      <c r="K207" s="124" t="n">
        <f aca="false">IF(WEEKDAY(A207,3)&gt;4,0,(IF(A207&lt;K$2,0,IF(A207&lt;=K$3,1,0))))</f>
        <v>0</v>
      </c>
      <c r="L207" s="124" t="n">
        <f aca="false">J207*K207</f>
        <v>0</v>
      </c>
      <c r="M207" s="124" t="n">
        <f aca="false">SUM(J$188:J207)</f>
        <v>22</v>
      </c>
      <c r="N207" s="124" t="n">
        <f aca="false">SUM(J$6:J207)</f>
        <v>1592957</v>
      </c>
      <c r="P207" s="124" t="n">
        <f aca="false">D207/P$3</f>
        <v>0</v>
      </c>
      <c r="Q207" s="124" t="n">
        <f aca="false">E207/P$3</f>
        <v>0</v>
      </c>
      <c r="R207" s="124" t="n">
        <f aca="false">F207/R$3</f>
        <v>0</v>
      </c>
      <c r="S207" s="126" t="n">
        <f aca="false">J207/$R$3</f>
        <v>0</v>
      </c>
      <c r="T207" s="126" t="n">
        <f aca="false">L207/$R$3</f>
        <v>0</v>
      </c>
      <c r="U207" s="126" t="n">
        <f aca="false">I207/$R$3</f>
        <v>0.022</v>
      </c>
      <c r="V207" s="126" t="n">
        <f aca="false">M207/$R$3</f>
        <v>0.022</v>
      </c>
      <c r="W207" s="126" t="n">
        <f aca="false">N207/$R$3</f>
        <v>1592.957</v>
      </c>
    </row>
    <row r="208" customFormat="false" ht="12.75" hidden="true" customHeight="false" outlineLevel="0" collapsed="false">
      <c r="A208" s="120" t="n">
        <f aca="false">A207+1</f>
        <v>37094</v>
      </c>
      <c r="B208" s="131" t="str">
        <f aca="false">INDEX('Master Data'!$A$2:$B$8,MATCH(WEEKDAY('ARG Gas Firm'!A208,3),'Master Data'!$A$2:$A$8,0),2)</f>
        <v>Su</v>
      </c>
      <c r="D208" s="124"/>
      <c r="E208" s="124"/>
      <c r="F208" s="124"/>
      <c r="G208" s="124"/>
      <c r="I208" s="124" t="n">
        <f aca="false">IF(MONTH($A208)=MONTH($A207),IF(G208=0,I207,G208),G208)</f>
        <v>22</v>
      </c>
      <c r="J208" s="124" t="n">
        <f aca="false">IF(MONTH($A208)=MONTH($A207),SUM(I208-I207),I208)</f>
        <v>0</v>
      </c>
      <c r="K208" s="124" t="n">
        <f aca="false">IF(WEEKDAY(A208,3)&gt;4,0,(IF(A208&lt;K$2,0,IF(A208&lt;=K$3,1,0))))</f>
        <v>0</v>
      </c>
      <c r="L208" s="124" t="n">
        <f aca="false">J208*K208</f>
        <v>0</v>
      </c>
      <c r="M208" s="124" t="n">
        <f aca="false">SUM(J$188:J208)</f>
        <v>22</v>
      </c>
      <c r="N208" s="124" t="n">
        <f aca="false">SUM(J$6:J208)</f>
        <v>1592957</v>
      </c>
      <c r="P208" s="124" t="n">
        <f aca="false">D208/P$3</f>
        <v>0</v>
      </c>
      <c r="Q208" s="124" t="n">
        <f aca="false">E208/P$3</f>
        <v>0</v>
      </c>
      <c r="R208" s="124" t="n">
        <f aca="false">F208/R$3</f>
        <v>0</v>
      </c>
      <c r="S208" s="126" t="n">
        <f aca="false">J208/$R$3</f>
        <v>0</v>
      </c>
      <c r="T208" s="126" t="n">
        <f aca="false">L208/$R$3</f>
        <v>0</v>
      </c>
      <c r="U208" s="126" t="n">
        <f aca="false">I208/$R$3</f>
        <v>0.022</v>
      </c>
      <c r="V208" s="126" t="n">
        <f aca="false">M208/$R$3</f>
        <v>0.022</v>
      </c>
      <c r="W208" s="126" t="n">
        <f aca="false">N208/$R$3</f>
        <v>1592.957</v>
      </c>
    </row>
    <row r="209" customFormat="false" ht="12.75" hidden="true" customHeight="false" outlineLevel="0" collapsed="false">
      <c r="A209" s="120" t="n">
        <f aca="false">A208+1</f>
        <v>37095</v>
      </c>
      <c r="B209" s="131" t="str">
        <f aca="false">INDEX('Master Data'!$A$2:$B$8,MATCH(WEEKDAY('ARG Gas Firm'!A209,3),'Master Data'!$A$2:$A$8,0),2)</f>
        <v>M</v>
      </c>
      <c r="D209" s="124" t="n">
        <v>-16084325.8101881</v>
      </c>
      <c r="E209" s="124" t="n">
        <v>4297653.82473253</v>
      </c>
      <c r="F209" s="124"/>
      <c r="G209" s="124" t="n">
        <v>22</v>
      </c>
      <c r="I209" s="124" t="n">
        <f aca="false">IF(MONTH($A209)=MONTH($A208),IF(G209=0,I208,G209),G209)</f>
        <v>22</v>
      </c>
      <c r="J209" s="124" t="n">
        <f aca="false">IF(MONTH($A209)=MONTH($A208),SUM(I209-I208),I209)</f>
        <v>0</v>
      </c>
      <c r="K209" s="124" t="n">
        <f aca="false">IF(WEEKDAY(A209,3)&gt;4,0,(IF(A209&lt;K$2,0,IF(A209&lt;=K$3,1,0))))</f>
        <v>0</v>
      </c>
      <c r="L209" s="124" t="n">
        <f aca="false">J209*K209</f>
        <v>0</v>
      </c>
      <c r="M209" s="124" t="n">
        <f aca="false">SUM(J$188:J209)</f>
        <v>22</v>
      </c>
      <c r="N209" s="124" t="n">
        <f aca="false">SUM(J$6:J209)</f>
        <v>1592957</v>
      </c>
      <c r="P209" s="124" t="n">
        <f aca="false">D209/P$3</f>
        <v>-16.0843258101881</v>
      </c>
      <c r="Q209" s="124" t="n">
        <f aca="false">E209/P$3</f>
        <v>4.29765382473253</v>
      </c>
      <c r="R209" s="124" t="n">
        <f aca="false">F209/R$3</f>
        <v>0</v>
      </c>
      <c r="S209" s="126" t="n">
        <f aca="false">J209/$R$3</f>
        <v>0</v>
      </c>
      <c r="T209" s="126" t="n">
        <f aca="false">L209/$R$3</f>
        <v>0</v>
      </c>
      <c r="U209" s="126" t="n">
        <f aca="false">I209/$R$3</f>
        <v>0.022</v>
      </c>
      <c r="V209" s="126" t="n">
        <f aca="false">M209/$R$3</f>
        <v>0.022</v>
      </c>
      <c r="W209" s="126" t="n">
        <f aca="false">N209/$R$3</f>
        <v>1592.957</v>
      </c>
    </row>
    <row r="210" customFormat="false" ht="12.75" hidden="true" customHeight="false" outlineLevel="0" collapsed="false">
      <c r="A210" s="120" t="n">
        <f aca="false">A209+1</f>
        <v>37096</v>
      </c>
      <c r="B210" s="131" t="str">
        <f aca="false">INDEX('Master Data'!$A$2:$B$8,MATCH(WEEKDAY('ARG Gas Firm'!A210,3),'Master Data'!$A$2:$A$8,0),2)</f>
        <v>T</v>
      </c>
      <c r="D210" s="124" t="n">
        <v>-16096102.1257552</v>
      </c>
      <c r="E210" s="124" t="n">
        <v>4301463.16579385</v>
      </c>
      <c r="F210" s="124"/>
      <c r="G210" s="124" t="n">
        <v>22</v>
      </c>
      <c r="I210" s="124" t="n">
        <f aca="false">IF(MONTH($A210)=MONTH($A209),IF(G210=0,I209,G210),G210)</f>
        <v>22</v>
      </c>
      <c r="J210" s="124" t="n">
        <f aca="false">IF(MONTH($A210)=MONTH($A209),SUM(I210-I209),I210)</f>
        <v>0</v>
      </c>
      <c r="K210" s="124" t="n">
        <f aca="false">IF(WEEKDAY(A210,3)&gt;4,0,(IF(A210&lt;K$2,0,IF(A210&lt;=K$3,1,0))))</f>
        <v>0</v>
      </c>
      <c r="L210" s="124" t="n">
        <f aca="false">J210*K210</f>
        <v>0</v>
      </c>
      <c r="M210" s="124" t="n">
        <f aca="false">SUM(J$188:J210)</f>
        <v>22</v>
      </c>
      <c r="N210" s="124" t="n">
        <f aca="false">SUM(J$6:J210)</f>
        <v>1592957</v>
      </c>
      <c r="P210" s="124" t="n">
        <f aca="false">D210/P$3</f>
        <v>-16.0961021257552</v>
      </c>
      <c r="Q210" s="124" t="n">
        <f aca="false">E210/P$3</f>
        <v>4.30146316579385</v>
      </c>
      <c r="R210" s="124" t="n">
        <f aca="false">F210/R$3</f>
        <v>0</v>
      </c>
      <c r="S210" s="126" t="n">
        <f aca="false">J210/$R$3</f>
        <v>0</v>
      </c>
      <c r="T210" s="126" t="n">
        <f aca="false">L210/$R$3</f>
        <v>0</v>
      </c>
      <c r="U210" s="126" t="n">
        <f aca="false">I210/$R$3</f>
        <v>0.022</v>
      </c>
      <c r="V210" s="126" t="n">
        <f aca="false">M210/$R$3</f>
        <v>0.022</v>
      </c>
      <c r="W210" s="126" t="n">
        <f aca="false">N210/$R$3</f>
        <v>1592.957</v>
      </c>
    </row>
    <row r="211" customFormat="false" ht="12.75" hidden="true" customHeight="false" outlineLevel="0" collapsed="false">
      <c r="A211" s="120" t="n">
        <f aca="false">A210+1</f>
        <v>37097</v>
      </c>
      <c r="B211" s="131" t="str">
        <f aca="false">INDEX('Master Data'!$A$2:$B$8,MATCH(WEEKDAY('ARG Gas Firm'!A211,3),'Master Data'!$A$2:$A$8,0),2)</f>
        <v>W</v>
      </c>
      <c r="D211" s="124" t="n">
        <v>-16074556.8338777</v>
      </c>
      <c r="E211" s="124" t="n">
        <v>4299219.22654016</v>
      </c>
      <c r="F211" s="124"/>
      <c r="G211" s="124" t="n">
        <v>22</v>
      </c>
      <c r="I211" s="124" t="n">
        <f aca="false">IF(MONTH($A211)=MONTH($A210),IF(G211=0,I210,G211),G211)</f>
        <v>22</v>
      </c>
      <c r="J211" s="124" t="n">
        <f aca="false">IF(MONTH($A211)=MONTH($A210),SUM(I211-I210),I211)</f>
        <v>0</v>
      </c>
      <c r="K211" s="124" t="n">
        <f aca="false">IF(WEEKDAY(A211,3)&gt;4,0,(IF(A211&lt;K$2,0,IF(A211&lt;=K$3,1,0))))</f>
        <v>0</v>
      </c>
      <c r="L211" s="124" t="n">
        <f aca="false">J211*K211</f>
        <v>0</v>
      </c>
      <c r="M211" s="124" t="n">
        <f aca="false">SUM(J$188:J211)</f>
        <v>22</v>
      </c>
      <c r="N211" s="124" t="n">
        <f aca="false">SUM(J$6:J211)</f>
        <v>1592957</v>
      </c>
      <c r="P211" s="124" t="n">
        <f aca="false">D211/P$3</f>
        <v>-16.0745568338777</v>
      </c>
      <c r="Q211" s="124" t="n">
        <f aca="false">E211/P$3</f>
        <v>4.29921922654015</v>
      </c>
      <c r="R211" s="124" t="n">
        <f aca="false">F211/R$3</f>
        <v>0</v>
      </c>
      <c r="S211" s="126" t="n">
        <f aca="false">J211/$R$3</f>
        <v>0</v>
      </c>
      <c r="T211" s="126" t="n">
        <f aca="false">L211/$R$3</f>
        <v>0</v>
      </c>
      <c r="U211" s="126" t="n">
        <f aca="false">I211/$R$3</f>
        <v>0.022</v>
      </c>
      <c r="V211" s="126" t="n">
        <f aca="false">M211/$R$3</f>
        <v>0.022</v>
      </c>
      <c r="W211" s="126" t="n">
        <f aca="false">N211/$R$3</f>
        <v>1592.957</v>
      </c>
    </row>
    <row r="212" customFormat="false" ht="12.75" hidden="true" customHeight="false" outlineLevel="0" collapsed="false">
      <c r="A212" s="120" t="n">
        <f aca="false">A211+1</f>
        <v>37098</v>
      </c>
      <c r="B212" s="131" t="str">
        <f aca="false">INDEX('Master Data'!$A$2:$B$8,MATCH(WEEKDAY('ARG Gas Firm'!A212,3),'Master Data'!$A$2:$A$8,0),2)</f>
        <v>Th</v>
      </c>
      <c r="D212" s="124" t="n">
        <v>-16091333.194617</v>
      </c>
      <c r="E212" s="124" t="n">
        <v>4302901.05898591</v>
      </c>
      <c r="F212" s="124"/>
      <c r="G212" s="124" t="n">
        <v>22</v>
      </c>
      <c r="I212" s="124" t="n">
        <f aca="false">IF(MONTH($A212)=MONTH($A211),IF(G212=0,I211,G212),G212)</f>
        <v>22</v>
      </c>
      <c r="J212" s="124" t="n">
        <f aca="false">IF(MONTH($A212)=MONTH($A211),SUM(I212-I211),I212)</f>
        <v>0</v>
      </c>
      <c r="K212" s="124" t="n">
        <f aca="false">IF(WEEKDAY(A212,3)&gt;4,0,(IF(A212&lt;K$2,0,IF(A212&lt;=K$3,1,0))))</f>
        <v>0</v>
      </c>
      <c r="L212" s="124" t="n">
        <f aca="false">J212*K212</f>
        <v>0</v>
      </c>
      <c r="M212" s="124" t="n">
        <f aca="false">SUM(J$188:J212)</f>
        <v>22</v>
      </c>
      <c r="N212" s="124" t="n">
        <f aca="false">SUM(J$6:J212)</f>
        <v>1592957</v>
      </c>
      <c r="P212" s="124" t="n">
        <f aca="false">D212/P$3</f>
        <v>-16.091333194617</v>
      </c>
      <c r="Q212" s="124" t="n">
        <f aca="false">E212/P$3</f>
        <v>4.30290105898591</v>
      </c>
      <c r="R212" s="124" t="n">
        <f aca="false">F212/R$3</f>
        <v>0</v>
      </c>
      <c r="S212" s="126" t="n">
        <f aca="false">J212/$R$3</f>
        <v>0</v>
      </c>
      <c r="T212" s="126" t="n">
        <f aca="false">L212/$R$3</f>
        <v>0</v>
      </c>
      <c r="U212" s="126" t="n">
        <f aca="false">I212/$R$3</f>
        <v>0.022</v>
      </c>
      <c r="V212" s="126" t="n">
        <f aca="false">M212/$R$3</f>
        <v>0.022</v>
      </c>
      <c r="W212" s="126" t="n">
        <f aca="false">N212/$R$3</f>
        <v>1592.957</v>
      </c>
    </row>
    <row r="213" customFormat="false" ht="12.75" hidden="true" customHeight="false" outlineLevel="0" collapsed="false">
      <c r="A213" s="120" t="n">
        <f aca="false">A212+1</f>
        <v>37099</v>
      </c>
      <c r="B213" s="131" t="str">
        <f aca="false">INDEX('Master Data'!$A$2:$B$8,MATCH(WEEKDAY('ARG Gas Firm'!A213,3),'Master Data'!$A$2:$A$8,0),2)</f>
        <v>F</v>
      </c>
      <c r="D213" s="124" t="n">
        <v>-16144456.3495274</v>
      </c>
      <c r="E213" s="124" t="n">
        <v>4315801.18939117</v>
      </c>
      <c r="F213" s="124"/>
      <c r="G213" s="124" t="n">
        <v>21</v>
      </c>
      <c r="I213" s="124" t="n">
        <f aca="false">IF(MONTH($A213)=MONTH($A212),IF(G213=0,I212,G213),G213)</f>
        <v>21</v>
      </c>
      <c r="J213" s="124" t="n">
        <f aca="false">IF(MONTH($A213)=MONTH($A212),SUM(I213-I212),I213)</f>
        <v>-1</v>
      </c>
      <c r="K213" s="124" t="n">
        <f aca="false">IF(WEEKDAY(A213,3)&gt;4,0,(IF(A213&lt;K$2,0,IF(A213&lt;=K$3,1,0))))</f>
        <v>0</v>
      </c>
      <c r="L213" s="124" t="n">
        <f aca="false">J213*K213</f>
        <v>-0</v>
      </c>
      <c r="M213" s="124" t="n">
        <f aca="false">SUM(J$188:J213)</f>
        <v>21</v>
      </c>
      <c r="N213" s="124" t="n">
        <f aca="false">SUM(J$6:J213)</f>
        <v>1592956</v>
      </c>
      <c r="P213" s="124" t="n">
        <f aca="false">D213/P$3</f>
        <v>-16.1444563495274</v>
      </c>
      <c r="Q213" s="124" t="n">
        <f aca="false">E213/P$3</f>
        <v>4.31580118939117</v>
      </c>
      <c r="R213" s="124" t="n">
        <f aca="false">F213/R$3</f>
        <v>0</v>
      </c>
      <c r="S213" s="126" t="n">
        <f aca="false">J213/$R$3</f>
        <v>-0.001</v>
      </c>
      <c r="T213" s="126" t="n">
        <f aca="false">L213/$R$3</f>
        <v>-0</v>
      </c>
      <c r="U213" s="126" t="n">
        <f aca="false">I213/$R$3</f>
        <v>0.021</v>
      </c>
      <c r="V213" s="126" t="n">
        <f aca="false">M213/$R$3</f>
        <v>0.021</v>
      </c>
      <c r="W213" s="126" t="n">
        <f aca="false">N213/$R$3</f>
        <v>1592.956</v>
      </c>
    </row>
    <row r="214" customFormat="false" ht="12.75" hidden="true" customHeight="false" outlineLevel="0" collapsed="false">
      <c r="A214" s="120" t="n">
        <f aca="false">A213+1</f>
        <v>37100</v>
      </c>
      <c r="B214" s="131" t="str">
        <f aca="false">INDEX('Master Data'!$A$2:$B$8,MATCH(WEEKDAY('ARG Gas Firm'!A214,3),'Master Data'!$A$2:$A$8,0),2)</f>
        <v>Sa</v>
      </c>
      <c r="D214" s="124"/>
      <c r="E214" s="124"/>
      <c r="F214" s="124"/>
      <c r="G214" s="124"/>
      <c r="I214" s="124" t="n">
        <f aca="false">IF(MONTH($A214)=MONTH($A213),IF(G214=0,I213,G214),G214)</f>
        <v>21</v>
      </c>
      <c r="J214" s="124" t="n">
        <f aca="false">IF(MONTH($A214)=MONTH($A213),SUM(I214-I213),I214)</f>
        <v>0</v>
      </c>
      <c r="K214" s="124" t="n">
        <f aca="false">IF(WEEKDAY(A214,3)&gt;4,0,(IF(A214&lt;K$2,0,IF(A214&lt;=K$3,1,0))))</f>
        <v>0</v>
      </c>
      <c r="L214" s="124" t="n">
        <f aca="false">J214*K214</f>
        <v>0</v>
      </c>
      <c r="M214" s="124" t="n">
        <f aca="false">SUM(J$188:J214)</f>
        <v>21</v>
      </c>
      <c r="N214" s="124" t="n">
        <f aca="false">SUM(J$6:J214)</f>
        <v>1592956</v>
      </c>
      <c r="P214" s="124" t="n">
        <f aca="false">D214/P$3</f>
        <v>0</v>
      </c>
      <c r="Q214" s="124" t="n">
        <f aca="false">E214/P$3</f>
        <v>0</v>
      </c>
      <c r="R214" s="124" t="n">
        <f aca="false">F214/R$3</f>
        <v>0</v>
      </c>
      <c r="S214" s="126" t="n">
        <f aca="false">J214/$R$3</f>
        <v>0</v>
      </c>
      <c r="T214" s="126" t="n">
        <f aca="false">L214/$R$3</f>
        <v>0</v>
      </c>
      <c r="U214" s="126" t="n">
        <f aca="false">I214/$R$3</f>
        <v>0.021</v>
      </c>
      <c r="V214" s="126" t="n">
        <f aca="false">M214/$R$3</f>
        <v>0.021</v>
      </c>
      <c r="W214" s="126" t="n">
        <f aca="false">N214/$R$3</f>
        <v>1592.956</v>
      </c>
    </row>
    <row r="215" customFormat="false" ht="12.75" hidden="true" customHeight="false" outlineLevel="0" collapsed="false">
      <c r="A215" s="120" t="n">
        <f aca="false">A214+1</f>
        <v>37101</v>
      </c>
      <c r="B215" s="131" t="str">
        <f aca="false">INDEX('Master Data'!$A$2:$B$8,MATCH(WEEKDAY('ARG Gas Firm'!A215,3),'Master Data'!$A$2:$A$8,0),2)</f>
        <v>Su</v>
      </c>
      <c r="D215" s="124"/>
      <c r="E215" s="124"/>
      <c r="F215" s="124"/>
      <c r="G215" s="124"/>
      <c r="I215" s="124" t="n">
        <f aca="false">IF(MONTH($A215)=MONTH($A214),IF(G215=0,I214,G215),G215)</f>
        <v>21</v>
      </c>
      <c r="J215" s="124" t="n">
        <f aca="false">IF(MONTH($A215)=MONTH($A214),SUM(I215-I214),I215)</f>
        <v>0</v>
      </c>
      <c r="K215" s="124" t="n">
        <f aca="false">IF(WEEKDAY(A215,3)&gt;4,0,(IF(A215&lt;K$2,0,IF(A215&lt;=K$3,1,0))))</f>
        <v>0</v>
      </c>
      <c r="L215" s="124" t="n">
        <f aca="false">J215*K215</f>
        <v>0</v>
      </c>
      <c r="M215" s="124" t="n">
        <f aca="false">SUM(J$188:J215)</f>
        <v>21</v>
      </c>
      <c r="N215" s="124" t="n">
        <f aca="false">SUM(J$6:J215)</f>
        <v>1592956</v>
      </c>
      <c r="P215" s="124" t="n">
        <f aca="false">D215/P$3</f>
        <v>0</v>
      </c>
      <c r="Q215" s="124" t="n">
        <f aca="false">E215/P$3</f>
        <v>0</v>
      </c>
      <c r="R215" s="124" t="n">
        <f aca="false">F215/R$3</f>
        <v>0</v>
      </c>
      <c r="S215" s="126" t="n">
        <f aca="false">J215/$R$3</f>
        <v>0</v>
      </c>
      <c r="T215" s="126" t="n">
        <f aca="false">L215/$R$3</f>
        <v>0</v>
      </c>
      <c r="U215" s="126" t="n">
        <f aca="false">I215/$R$3</f>
        <v>0.021</v>
      </c>
      <c r="V215" s="126" t="n">
        <f aca="false">M215/$R$3</f>
        <v>0.021</v>
      </c>
      <c r="W215" s="126" t="n">
        <f aca="false">N215/$R$3</f>
        <v>1592.956</v>
      </c>
    </row>
    <row r="216" customFormat="false" ht="12.75" hidden="true" customHeight="false" outlineLevel="0" collapsed="false">
      <c r="A216" s="120" t="n">
        <f aca="false">A215+1</f>
        <v>37102</v>
      </c>
      <c r="B216" s="131" t="str">
        <f aca="false">INDEX('Master Data'!$A$2:$B$8,MATCH(WEEKDAY('ARG Gas Firm'!A216,3),'Master Data'!$A$2:$A$8,0),2)</f>
        <v>M</v>
      </c>
      <c r="D216" s="124" t="n">
        <v>-16158761.2223219</v>
      </c>
      <c r="E216" s="124" t="n">
        <v>4319891.44197178</v>
      </c>
      <c r="F216" s="124"/>
      <c r="G216" s="124" t="n">
        <v>20</v>
      </c>
      <c r="I216" s="124" t="n">
        <f aca="false">IF(MONTH($A216)=MONTH($A215),IF(G216=0,I215,G216),G216)</f>
        <v>20</v>
      </c>
      <c r="J216" s="124" t="n">
        <f aca="false">IF(MONTH($A216)=MONTH($A215),SUM(I216-I215),I216)</f>
        <v>-1</v>
      </c>
      <c r="K216" s="124" t="n">
        <f aca="false">IF(WEEKDAY(A216,3)&gt;4,0,(IF(A216&lt;K$2,0,IF(A216&lt;=K$3,1,0))))</f>
        <v>0</v>
      </c>
      <c r="L216" s="124" t="n">
        <f aca="false">J216*K216</f>
        <v>-0</v>
      </c>
      <c r="M216" s="124" t="n">
        <f aca="false">SUM(J$188:J216)</f>
        <v>20</v>
      </c>
      <c r="N216" s="124" t="n">
        <f aca="false">SUM(J$6:J216)</f>
        <v>1592955</v>
      </c>
      <c r="P216" s="124" t="n">
        <f aca="false">D216/P$3</f>
        <v>-16.1587612223219</v>
      </c>
      <c r="Q216" s="124" t="n">
        <f aca="false">E216/P$3</f>
        <v>4.31989144197178</v>
      </c>
      <c r="R216" s="124" t="n">
        <f aca="false">F216/R$3</f>
        <v>0</v>
      </c>
      <c r="S216" s="126" t="n">
        <f aca="false">J216/$R$3</f>
        <v>-0.001</v>
      </c>
      <c r="T216" s="126" t="n">
        <f aca="false">L216/$R$3</f>
        <v>-0</v>
      </c>
      <c r="U216" s="126" t="n">
        <f aca="false">I216/$R$3</f>
        <v>0.02</v>
      </c>
      <c r="V216" s="126" t="n">
        <f aca="false">M216/$R$3</f>
        <v>0.02</v>
      </c>
      <c r="W216" s="126" t="n">
        <f aca="false">N216/$R$3</f>
        <v>1592.955</v>
      </c>
    </row>
    <row r="217" customFormat="false" ht="12.75" hidden="false" customHeight="false" outlineLevel="0" collapsed="false">
      <c r="A217" s="120" t="n">
        <f aca="false">A216+1</f>
        <v>37103</v>
      </c>
      <c r="B217" s="131" t="str">
        <f aca="false">INDEX('Master Data'!$A$2:$B$8,MATCH(WEEKDAY('ARG Gas Firm'!A217,3),'Master Data'!$A$2:$A$8,0),2)</f>
        <v>T</v>
      </c>
      <c r="D217" s="124" t="n">
        <v>-16199347.6159992</v>
      </c>
      <c r="E217" s="124" t="n">
        <v>4329089.61916572</v>
      </c>
      <c r="F217" s="124"/>
      <c r="G217" s="124" t="n">
        <v>20</v>
      </c>
      <c r="I217" s="124" t="n">
        <f aca="false">IF(MONTH($A217)=MONTH($A216),IF(G217=0,I216,G217),G217)</f>
        <v>20</v>
      </c>
      <c r="J217" s="124" t="n">
        <f aca="false">IF(MONTH($A217)=MONTH($A216),SUM(I217-I216),I217)</f>
        <v>0</v>
      </c>
      <c r="K217" s="124" t="n">
        <f aca="false">IF(WEEKDAY(A217,3)&gt;4,0,(IF(A217&lt;K$2,0,IF(A217&lt;=K$3,1,0))))</f>
        <v>0</v>
      </c>
      <c r="L217" s="124" t="n">
        <f aca="false">J217*K217</f>
        <v>0</v>
      </c>
      <c r="M217" s="124" t="n">
        <f aca="false">SUM(J$188:J217)</f>
        <v>20</v>
      </c>
      <c r="N217" s="124" t="n">
        <f aca="false">SUM(J$6:J217)</f>
        <v>1592955</v>
      </c>
      <c r="P217" s="124" t="n">
        <f aca="false">D217/P$3</f>
        <v>-16.1993476159992</v>
      </c>
      <c r="Q217" s="124" t="n">
        <f aca="false">E217/P$3</f>
        <v>4.32908961916572</v>
      </c>
      <c r="R217" s="124" t="n">
        <f aca="false">F217/R$3</f>
        <v>0</v>
      </c>
      <c r="S217" s="126" t="n">
        <f aca="false">J217/$R$3</f>
        <v>0</v>
      </c>
      <c r="T217" s="126" t="n">
        <f aca="false">L217/$R$3</f>
        <v>0</v>
      </c>
      <c r="U217" s="126" t="n">
        <f aca="false">I217/$R$3</f>
        <v>0.02</v>
      </c>
      <c r="V217" s="126" t="n">
        <f aca="false">M217/$R$3</f>
        <v>0.02</v>
      </c>
      <c r="W217" s="126" t="n">
        <f aca="false">N217/$R$3</f>
        <v>1592.955</v>
      </c>
    </row>
    <row r="218" customFormat="false" ht="12.75" hidden="true" customHeight="false" outlineLevel="0" collapsed="false">
      <c r="A218" s="120" t="n">
        <f aca="false">A217+1</f>
        <v>37104</v>
      </c>
      <c r="B218" s="131" t="str">
        <f aca="false">INDEX('Master Data'!$A$2:$B$8,MATCH(WEEKDAY('ARG Gas Firm'!A218,3),'Master Data'!$A$2:$A$8,0),2)</f>
        <v>W</v>
      </c>
      <c r="D218" s="124" t="n">
        <v>-16185896.9749302</v>
      </c>
      <c r="E218" s="124" t="n">
        <v>4326176.3286242</v>
      </c>
      <c r="F218" s="124"/>
      <c r="G218" s="124" t="n">
        <v>0</v>
      </c>
      <c r="I218" s="124" t="n">
        <f aca="false">IF(MONTH($A218)=MONTH($A217),IF(G218=0,I217,G218),G218)</f>
        <v>0</v>
      </c>
      <c r="J218" s="124" t="n">
        <f aca="false">IF(MONTH($A218)=MONTH($A217),SUM(I218-I217),I218)</f>
        <v>0</v>
      </c>
      <c r="K218" s="124" t="n">
        <f aca="false">IF(WEEKDAY(A218,3)&gt;4,0,(IF(A218&lt;K$2,0,IF(A218&lt;=K$3,1,0))))</f>
        <v>0</v>
      </c>
      <c r="L218" s="124" t="n">
        <f aca="false">J218*K218</f>
        <v>0</v>
      </c>
      <c r="M218" s="124" t="n">
        <f aca="false">SUM(J$188:J218)</f>
        <v>20</v>
      </c>
      <c r="N218" s="124" t="n">
        <f aca="false">SUM(J$6:J218)</f>
        <v>1592955</v>
      </c>
      <c r="P218" s="124" t="n">
        <f aca="false">D218/P$3</f>
        <v>-16.1858969749302</v>
      </c>
      <c r="Q218" s="124" t="n">
        <f aca="false">E218/P$3</f>
        <v>4.3261763286242</v>
      </c>
      <c r="R218" s="124" t="n">
        <f aca="false">F218/R$3</f>
        <v>0</v>
      </c>
      <c r="S218" s="126" t="n">
        <f aca="false">J218/$R$3</f>
        <v>0</v>
      </c>
      <c r="T218" s="126" t="n">
        <f aca="false">L218/$R$3</f>
        <v>0</v>
      </c>
      <c r="U218" s="126" t="n">
        <f aca="false">I218/$R$3</f>
        <v>0</v>
      </c>
      <c r="V218" s="126" t="n">
        <f aca="false">M218/$R$3</f>
        <v>0.02</v>
      </c>
      <c r="W218" s="126" t="n">
        <f aca="false">N218/$R$3</f>
        <v>1592.955</v>
      </c>
    </row>
    <row r="219" customFormat="false" ht="12.75" hidden="true" customHeight="false" outlineLevel="0" collapsed="false">
      <c r="A219" s="120" t="n">
        <f aca="false">A218+1</f>
        <v>37105</v>
      </c>
      <c r="B219" s="131" t="str">
        <f aca="false">INDEX('Master Data'!$A$2:$B$8,MATCH(WEEKDAY('ARG Gas Firm'!A219,3),'Master Data'!$A$2:$A$8,0),2)</f>
        <v>Th</v>
      </c>
      <c r="D219" s="124" t="n">
        <v>-16136091.0278673</v>
      </c>
      <c r="E219" s="124" t="n">
        <v>4314465.78555375</v>
      </c>
      <c r="F219" s="124"/>
      <c r="G219" s="124" t="n">
        <v>252</v>
      </c>
      <c r="I219" s="124" t="n">
        <f aca="false">IF(MONTH($A219)=MONTH($A218),IF(G219=0,I218,G219),G219)</f>
        <v>252</v>
      </c>
      <c r="J219" s="124" t="n">
        <f aca="false">IF(MONTH($A219)=MONTH($A218),SUM(I219-I218),I219)</f>
        <v>252</v>
      </c>
      <c r="K219" s="124" t="n">
        <f aca="false">IF(WEEKDAY(A219,3)&gt;4,0,(IF(A219&lt;K$2,0,IF(A219&lt;=K$3,1,0))))</f>
        <v>0</v>
      </c>
      <c r="L219" s="124" t="n">
        <f aca="false">J219*K219</f>
        <v>0</v>
      </c>
      <c r="M219" s="124" t="n">
        <f aca="false">SUM(J$188:J219)</f>
        <v>272</v>
      </c>
      <c r="N219" s="124" t="n">
        <f aca="false">SUM(J$6:J219)</f>
        <v>1593207</v>
      </c>
      <c r="P219" s="124" t="n">
        <f aca="false">D219/P$3</f>
        <v>-16.1360910278673</v>
      </c>
      <c r="Q219" s="124" t="n">
        <f aca="false">E219/P$3</f>
        <v>4.31446578555375</v>
      </c>
      <c r="R219" s="124" t="n">
        <f aca="false">F219/R$3</f>
        <v>0</v>
      </c>
      <c r="S219" s="126" t="n">
        <f aca="false">J219/$R$3</f>
        <v>0.252</v>
      </c>
      <c r="T219" s="126" t="n">
        <f aca="false">L219/$R$3</f>
        <v>0</v>
      </c>
      <c r="U219" s="126" t="n">
        <f aca="false">I219/$R$3</f>
        <v>0.252</v>
      </c>
      <c r="V219" s="126" t="n">
        <f aca="false">M219/$R$3</f>
        <v>0.272</v>
      </c>
      <c r="W219" s="126" t="n">
        <f aca="false">N219/$R$3</f>
        <v>1593.207</v>
      </c>
    </row>
    <row r="220" customFormat="false" ht="12.75" hidden="true" customHeight="false" outlineLevel="0" collapsed="false">
      <c r="A220" s="120" t="n">
        <f aca="false">A219+1</f>
        <v>37106</v>
      </c>
      <c r="B220" s="131" t="str">
        <f aca="false">INDEX('Master Data'!$A$2:$B$8,MATCH(WEEKDAY('ARG Gas Firm'!A220,3),'Master Data'!$A$2:$A$8,0),2)</f>
        <v>F</v>
      </c>
      <c r="D220" s="124" t="n">
        <v>-16124789.75483</v>
      </c>
      <c r="E220" s="124" t="n">
        <v>4312849.03291224</v>
      </c>
      <c r="F220" s="124"/>
      <c r="G220" s="124" t="n">
        <v>252</v>
      </c>
      <c r="I220" s="124" t="n">
        <f aca="false">IF(MONTH($A220)=MONTH($A219),IF(G220=0,I219,G220),G220)</f>
        <v>252</v>
      </c>
      <c r="J220" s="124" t="n">
        <f aca="false">IF(MONTH($A220)=MONTH($A219),SUM(I220-I219),I220)</f>
        <v>0</v>
      </c>
      <c r="K220" s="124" t="n">
        <f aca="false">IF(WEEKDAY(A220,3)&gt;4,0,(IF(A220&lt;K$2,0,IF(A220&lt;=K$3,1,0))))</f>
        <v>0</v>
      </c>
      <c r="L220" s="124" t="n">
        <f aca="false">J220*K220</f>
        <v>0</v>
      </c>
      <c r="M220" s="124" t="n">
        <f aca="false">SUM(J$188:J220)</f>
        <v>272</v>
      </c>
      <c r="N220" s="124" t="n">
        <f aca="false">SUM(J$6:J220)</f>
        <v>1593207</v>
      </c>
      <c r="P220" s="124" t="n">
        <f aca="false">D220/P$3</f>
        <v>-16.12478975483</v>
      </c>
      <c r="Q220" s="124" t="n">
        <f aca="false">E220/P$3</f>
        <v>4.31284903291224</v>
      </c>
      <c r="R220" s="124" t="n">
        <f aca="false">F220/R$3</f>
        <v>0</v>
      </c>
      <c r="S220" s="126" t="n">
        <f aca="false">J220/$R$3</f>
        <v>0</v>
      </c>
      <c r="T220" s="126" t="n">
        <f aca="false">L220/$R$3</f>
        <v>0</v>
      </c>
      <c r="U220" s="126" t="n">
        <f aca="false">I220/$R$3</f>
        <v>0.252</v>
      </c>
      <c r="V220" s="126" t="n">
        <f aca="false">M220/$R$3</f>
        <v>0.272</v>
      </c>
      <c r="W220" s="126" t="n">
        <f aca="false">N220/$R$3</f>
        <v>1593.207</v>
      </c>
    </row>
    <row r="221" customFormat="false" ht="12.75" hidden="true" customHeight="false" outlineLevel="0" collapsed="false">
      <c r="A221" s="120" t="n">
        <f aca="false">A220+1</f>
        <v>37107</v>
      </c>
      <c r="B221" s="131" t="str">
        <f aca="false">INDEX('Master Data'!$A$2:$B$8,MATCH(WEEKDAY('ARG Gas Firm'!A221,3),'Master Data'!$A$2:$A$8,0),2)</f>
        <v>Sa</v>
      </c>
      <c r="D221" s="124"/>
      <c r="E221" s="124"/>
      <c r="F221" s="124"/>
      <c r="G221" s="124"/>
      <c r="I221" s="124" t="n">
        <f aca="false">IF(MONTH($A221)=MONTH($A220),IF(G221=0,I220,G221),G221)</f>
        <v>252</v>
      </c>
      <c r="J221" s="124" t="n">
        <f aca="false">IF(MONTH($A221)=MONTH($A220),SUM(I221-I220),I221)</f>
        <v>0</v>
      </c>
      <c r="K221" s="124" t="n">
        <f aca="false">IF(WEEKDAY(A221,3)&gt;4,0,(IF(A221&lt;K$2,0,IF(A221&lt;=K$3,1,0))))</f>
        <v>0</v>
      </c>
      <c r="L221" s="124" t="n">
        <f aca="false">J221*K221</f>
        <v>0</v>
      </c>
      <c r="M221" s="124" t="n">
        <f aca="false">SUM(J$188:J221)</f>
        <v>272</v>
      </c>
      <c r="N221" s="124" t="n">
        <f aca="false">SUM(J$6:J221)</f>
        <v>1593207</v>
      </c>
      <c r="P221" s="124" t="n">
        <f aca="false">D221/P$3</f>
        <v>0</v>
      </c>
      <c r="Q221" s="124" t="n">
        <f aca="false">E221/P$3</f>
        <v>0</v>
      </c>
      <c r="R221" s="124" t="n">
        <f aca="false">F221/R$3</f>
        <v>0</v>
      </c>
      <c r="S221" s="126" t="n">
        <f aca="false">J221/$R$3</f>
        <v>0</v>
      </c>
      <c r="T221" s="126" t="n">
        <f aca="false">L221/$R$3</f>
        <v>0</v>
      </c>
      <c r="U221" s="126" t="n">
        <f aca="false">I221/$R$3</f>
        <v>0.252</v>
      </c>
      <c r="V221" s="126" t="n">
        <f aca="false">M221/$R$3</f>
        <v>0.272</v>
      </c>
      <c r="W221" s="126" t="n">
        <f aca="false">N221/$R$3</f>
        <v>1593.207</v>
      </c>
    </row>
    <row r="222" customFormat="false" ht="12.75" hidden="true" customHeight="false" outlineLevel="0" collapsed="false">
      <c r="A222" s="120" t="n">
        <f aca="false">A221+1</f>
        <v>37108</v>
      </c>
      <c r="B222" s="131" t="str">
        <f aca="false">INDEX('Master Data'!$A$2:$B$8,MATCH(WEEKDAY('ARG Gas Firm'!A222,3),'Master Data'!$A$2:$A$8,0),2)</f>
        <v>Su</v>
      </c>
      <c r="D222" s="124"/>
      <c r="E222" s="124"/>
      <c r="F222" s="124"/>
      <c r="G222" s="124"/>
      <c r="I222" s="124" t="n">
        <f aca="false">IF(MONTH($A222)=MONTH($A221),IF(G222=0,I221,G222),G222)</f>
        <v>252</v>
      </c>
      <c r="J222" s="124" t="n">
        <f aca="false">IF(MONTH($A222)=MONTH($A221),SUM(I222-I221),I222)</f>
        <v>0</v>
      </c>
      <c r="K222" s="124" t="n">
        <f aca="false">IF(WEEKDAY(A222,3)&gt;4,0,(IF(A222&lt;K$2,0,IF(A222&lt;=K$3,1,0))))</f>
        <v>0</v>
      </c>
      <c r="L222" s="124" t="n">
        <f aca="false">J222*K222</f>
        <v>0</v>
      </c>
      <c r="M222" s="124" t="n">
        <f aca="false">SUM(J$188:J222)</f>
        <v>272</v>
      </c>
      <c r="N222" s="124" t="n">
        <f aca="false">SUM(J$6:J222)</f>
        <v>1593207</v>
      </c>
      <c r="P222" s="124" t="n">
        <f aca="false">D222/P$3</f>
        <v>0</v>
      </c>
      <c r="Q222" s="124" t="n">
        <f aca="false">E222/P$3</f>
        <v>0</v>
      </c>
      <c r="R222" s="124" t="n">
        <f aca="false">F222/R$3</f>
        <v>0</v>
      </c>
      <c r="S222" s="126" t="n">
        <f aca="false">J222/$R$3</f>
        <v>0</v>
      </c>
      <c r="T222" s="126" t="n">
        <f aca="false">L222/$R$3</f>
        <v>0</v>
      </c>
      <c r="U222" s="126" t="n">
        <f aca="false">I222/$R$3</f>
        <v>0.252</v>
      </c>
      <c r="V222" s="126" t="n">
        <f aca="false">M222/$R$3</f>
        <v>0.272</v>
      </c>
      <c r="W222" s="126" t="n">
        <f aca="false">N222/$R$3</f>
        <v>1593.207</v>
      </c>
    </row>
    <row r="223" customFormat="false" ht="12.75" hidden="true" customHeight="false" outlineLevel="0" collapsed="false">
      <c r="A223" s="120" t="n">
        <f aca="false">A222+1</f>
        <v>37109</v>
      </c>
      <c r="B223" s="131" t="str">
        <f aca="false">INDEX('Master Data'!$A$2:$B$8,MATCH(WEEKDAY('ARG Gas Firm'!A223,3),'Master Data'!$A$2:$A$8,0),2)</f>
        <v>M</v>
      </c>
      <c r="D223" s="124" t="n">
        <v>-16142173.0178032</v>
      </c>
      <c r="E223" s="124" t="n">
        <v>4317431.29556065</v>
      </c>
      <c r="F223" s="124"/>
      <c r="G223" s="124" t="n">
        <v>251</v>
      </c>
      <c r="I223" s="124" t="n">
        <f aca="false">IF(MONTH($A223)=MONTH($A222),IF(G223=0,I222,G223),G223)</f>
        <v>251</v>
      </c>
      <c r="J223" s="124" t="n">
        <f aca="false">IF(MONTH($A223)=MONTH($A222),SUM(I223-I222),I223)</f>
        <v>-1</v>
      </c>
      <c r="K223" s="124" t="n">
        <f aca="false">IF(WEEKDAY(A223,3)&gt;4,0,(IF(A223&lt;K$2,0,IF(A223&lt;=K$3,1,0))))</f>
        <v>0</v>
      </c>
      <c r="L223" s="124" t="n">
        <f aca="false">J223*K223</f>
        <v>-0</v>
      </c>
      <c r="M223" s="124" t="n">
        <f aca="false">SUM(J$188:J223)</f>
        <v>271</v>
      </c>
      <c r="N223" s="124" t="n">
        <f aca="false">SUM(J$6:J223)</f>
        <v>1593206</v>
      </c>
      <c r="P223" s="124" t="n">
        <f aca="false">D223/P$3</f>
        <v>-16.1421730178032</v>
      </c>
      <c r="Q223" s="124" t="n">
        <f aca="false">E223/P$3</f>
        <v>4.31743129556065</v>
      </c>
      <c r="R223" s="124" t="n">
        <f aca="false">F223/R$3</f>
        <v>0</v>
      </c>
      <c r="S223" s="126" t="n">
        <f aca="false">J223/$R$3</f>
        <v>-0.001</v>
      </c>
      <c r="T223" s="126" t="n">
        <f aca="false">L223/$R$3</f>
        <v>-0</v>
      </c>
      <c r="U223" s="126" t="n">
        <f aca="false">I223/$R$3</f>
        <v>0.251</v>
      </c>
      <c r="V223" s="126" t="n">
        <f aca="false">M223/$R$3</f>
        <v>0.271</v>
      </c>
      <c r="W223" s="126" t="n">
        <f aca="false">N223/$R$3</f>
        <v>1593.206</v>
      </c>
    </row>
    <row r="224" customFormat="false" ht="12.75" hidden="true" customHeight="false" outlineLevel="0" collapsed="false">
      <c r="A224" s="120" t="n">
        <f aca="false">A223+1</f>
        <v>37110</v>
      </c>
      <c r="B224" s="131" t="str">
        <f aca="false">INDEX('Master Data'!$A$2:$B$8,MATCH(WEEKDAY('ARG Gas Firm'!A224,3),'Master Data'!$A$2:$A$8,0),2)</f>
        <v>T</v>
      </c>
      <c r="D224" s="124" t="n">
        <v>-16141256.6998742</v>
      </c>
      <c r="E224" s="124" t="n">
        <v>4317303.30877279</v>
      </c>
      <c r="F224" s="124"/>
      <c r="G224" s="124" t="n">
        <v>251</v>
      </c>
      <c r="I224" s="124" t="n">
        <f aca="false">IF(MONTH($A224)=MONTH($A223),IF(G224=0,I223,G224),G224)</f>
        <v>251</v>
      </c>
      <c r="J224" s="124" t="n">
        <f aca="false">IF(MONTH($A224)=MONTH($A223),SUM(I224-I223),I224)</f>
        <v>0</v>
      </c>
      <c r="K224" s="124" t="n">
        <f aca="false">IF(WEEKDAY(A224,3)&gt;4,0,(IF(A224&lt;K$2,0,IF(A224&lt;=K$3,1,0))))</f>
        <v>0</v>
      </c>
      <c r="L224" s="124" t="n">
        <f aca="false">J224*K224</f>
        <v>0</v>
      </c>
      <c r="M224" s="124" t="n">
        <f aca="false">SUM(J$188:J224)</f>
        <v>271</v>
      </c>
      <c r="N224" s="124" t="n">
        <f aca="false">SUM(J$6:J224)</f>
        <v>1593206</v>
      </c>
      <c r="P224" s="124" t="n">
        <f aca="false">D224/P$3</f>
        <v>-16.1412566998742</v>
      </c>
      <c r="Q224" s="124" t="n">
        <f aca="false">E224/P$3</f>
        <v>4.31730330877279</v>
      </c>
      <c r="R224" s="124" t="n">
        <f aca="false">F224/R$3</f>
        <v>0</v>
      </c>
      <c r="S224" s="126" t="n">
        <f aca="false">J224/$R$3</f>
        <v>0</v>
      </c>
      <c r="T224" s="126" t="n">
        <f aca="false">L224/$R$3</f>
        <v>0</v>
      </c>
      <c r="U224" s="126" t="n">
        <f aca="false">I224/$R$3</f>
        <v>0.251</v>
      </c>
      <c r="V224" s="126" t="n">
        <f aca="false">M224/$R$3</f>
        <v>0.271</v>
      </c>
      <c r="W224" s="126" t="n">
        <f aca="false">N224/$R$3</f>
        <v>1593.206</v>
      </c>
    </row>
    <row r="225" customFormat="false" ht="12.75" hidden="true" customHeight="false" outlineLevel="0" collapsed="false">
      <c r="A225" s="120" t="n">
        <f aca="false">A224+1</f>
        <v>37111</v>
      </c>
      <c r="B225" s="131" t="str">
        <f aca="false">INDEX('Master Data'!$A$2:$B$8,MATCH(WEEKDAY('ARG Gas Firm'!A225,3),'Master Data'!$A$2:$A$8,0),2)</f>
        <v>W</v>
      </c>
      <c r="D225" s="124" t="n">
        <v>-16214683.681451</v>
      </c>
      <c r="E225" s="124" t="n">
        <v>4332506.16997155</v>
      </c>
      <c r="F225" s="124"/>
      <c r="G225" s="124" t="n">
        <v>250</v>
      </c>
      <c r="I225" s="124" t="n">
        <f aca="false">IF(MONTH($A225)=MONTH($A224),IF(G225=0,I224,G225),G225)</f>
        <v>250</v>
      </c>
      <c r="J225" s="124" t="n">
        <f aca="false">IF(MONTH($A225)=MONTH($A224),SUM(I225-I224),I225)</f>
        <v>-1</v>
      </c>
      <c r="K225" s="124" t="n">
        <f aca="false">IF(WEEKDAY(A225,3)&gt;4,0,(IF(A225&lt;K$2,0,IF(A225&lt;=K$3,1,0))))</f>
        <v>0</v>
      </c>
      <c r="L225" s="124" t="n">
        <f aca="false">J225*K225</f>
        <v>-0</v>
      </c>
      <c r="M225" s="124" t="n">
        <f aca="false">SUM(J$188:J225)</f>
        <v>270</v>
      </c>
      <c r="N225" s="124" t="n">
        <f aca="false">SUM(J$6:J225)</f>
        <v>1593205</v>
      </c>
      <c r="P225" s="124" t="n">
        <f aca="false">D225/P$3</f>
        <v>-16.214683681451</v>
      </c>
      <c r="Q225" s="124" t="n">
        <f aca="false">E225/P$3</f>
        <v>4.33250616997155</v>
      </c>
      <c r="R225" s="124" t="n">
        <f aca="false">F225/R$3</f>
        <v>0</v>
      </c>
      <c r="S225" s="126" t="n">
        <f aca="false">J225/$R$3</f>
        <v>-0.001</v>
      </c>
      <c r="T225" s="126" t="n">
        <f aca="false">L225/$R$3</f>
        <v>-0</v>
      </c>
      <c r="U225" s="126" t="n">
        <f aca="false">I225/$R$3</f>
        <v>0.25</v>
      </c>
      <c r="V225" s="126" t="n">
        <f aca="false">M225/$R$3</f>
        <v>0.27</v>
      </c>
      <c r="W225" s="126" t="n">
        <f aca="false">N225/$R$3</f>
        <v>1593.205</v>
      </c>
    </row>
    <row r="226" customFormat="false" ht="12.75" hidden="true" customHeight="false" outlineLevel="0" collapsed="false">
      <c r="A226" s="120" t="n">
        <f aca="false">A225+1</f>
        <v>37112</v>
      </c>
      <c r="B226" s="131" t="str">
        <f aca="false">INDEX('Master Data'!$A$2:$B$8,MATCH(WEEKDAY('ARG Gas Firm'!A226,3),'Master Data'!$A$2:$A$8,0),2)</f>
        <v>Th</v>
      </c>
      <c r="D226" s="124" t="n">
        <v>-16189055.3145485</v>
      </c>
      <c r="E226" s="124" t="n">
        <v>4328044.05997498</v>
      </c>
      <c r="F226" s="124"/>
      <c r="G226" s="124" t="n">
        <v>250</v>
      </c>
      <c r="I226" s="124" t="n">
        <f aca="false">IF(MONTH($A226)=MONTH($A225),IF(G226=0,I225,G226),G226)</f>
        <v>250</v>
      </c>
      <c r="J226" s="124" t="n">
        <f aca="false">IF(MONTH($A226)=MONTH($A225),SUM(I226-I225),I226)</f>
        <v>0</v>
      </c>
      <c r="K226" s="124" t="n">
        <f aca="false">IF(WEEKDAY(A226,3)&gt;4,0,(IF(A226&lt;K$2,0,IF(A226&lt;=K$3,1,0))))</f>
        <v>0</v>
      </c>
      <c r="L226" s="124" t="n">
        <f aca="false">J226*K226</f>
        <v>0</v>
      </c>
      <c r="M226" s="124" t="n">
        <f aca="false">SUM(J$188:J226)</f>
        <v>270</v>
      </c>
      <c r="N226" s="124" t="n">
        <f aca="false">SUM(J$6:J226)</f>
        <v>1593205</v>
      </c>
      <c r="P226" s="124" t="n">
        <f aca="false">D226/P$3</f>
        <v>-16.1890553145485</v>
      </c>
      <c r="Q226" s="124" t="n">
        <f aca="false">E226/P$3</f>
        <v>4.32804405997498</v>
      </c>
      <c r="R226" s="124" t="n">
        <f aca="false">F226/R$3</f>
        <v>0</v>
      </c>
      <c r="S226" s="126" t="n">
        <f aca="false">J226/$R$3</f>
        <v>0</v>
      </c>
      <c r="T226" s="126" t="n">
        <f aca="false">L226/$R$3</f>
        <v>0</v>
      </c>
      <c r="U226" s="126" t="n">
        <f aca="false">I226/$R$3</f>
        <v>0.25</v>
      </c>
      <c r="V226" s="126" t="n">
        <f aca="false">M226/$R$3</f>
        <v>0.27</v>
      </c>
      <c r="W226" s="126" t="n">
        <f aca="false">N226/$R$3</f>
        <v>1593.205</v>
      </c>
    </row>
    <row r="227" customFormat="false" ht="12.75" hidden="true" customHeight="false" outlineLevel="0" collapsed="false">
      <c r="A227" s="120" t="n">
        <f aca="false">A226+1</f>
        <v>37113</v>
      </c>
      <c r="B227" s="131" t="str">
        <f aca="false">INDEX('Master Data'!$A$2:$B$8,MATCH(WEEKDAY('ARG Gas Firm'!A227,3),'Master Data'!$A$2:$A$8,0),2)</f>
        <v>F</v>
      </c>
      <c r="D227" s="124" t="n">
        <v>-16202253.6767308</v>
      </c>
      <c r="E227" s="124" t="n">
        <v>4329599.0348018</v>
      </c>
      <c r="F227" s="124"/>
      <c r="G227" s="124" t="n">
        <v>250</v>
      </c>
      <c r="I227" s="124" t="n">
        <f aca="false">IF(MONTH($A227)=MONTH($A226),IF(G227=0,I226,G227),G227)</f>
        <v>250</v>
      </c>
      <c r="J227" s="124" t="n">
        <f aca="false">IF(MONTH($A227)=MONTH($A226),SUM(I227-I226),I227)</f>
        <v>0</v>
      </c>
      <c r="K227" s="124" t="n">
        <f aca="false">IF(WEEKDAY(A227,3)&gt;4,0,(IF(A227&lt;K$2,0,IF(A227&lt;=K$3,1,0))))</f>
        <v>0</v>
      </c>
      <c r="L227" s="124" t="n">
        <f aca="false">J227*K227</f>
        <v>0</v>
      </c>
      <c r="M227" s="124" t="n">
        <f aca="false">SUM(J$188:J227)</f>
        <v>270</v>
      </c>
      <c r="N227" s="124" t="n">
        <f aca="false">SUM(J$6:J227)</f>
        <v>1593205</v>
      </c>
      <c r="P227" s="124" t="n">
        <f aca="false">D227/P$3</f>
        <v>-16.2022536767308</v>
      </c>
      <c r="Q227" s="124" t="n">
        <f aca="false">E227/P$3</f>
        <v>4.3295990348018</v>
      </c>
      <c r="R227" s="124" t="n">
        <f aca="false">F227/R$3</f>
        <v>0</v>
      </c>
      <c r="S227" s="126" t="n">
        <f aca="false">J227/$R$3</f>
        <v>0</v>
      </c>
      <c r="T227" s="126" t="n">
        <f aca="false">L227/$R$3</f>
        <v>0</v>
      </c>
      <c r="U227" s="126" t="n">
        <f aca="false">I227/$R$3</f>
        <v>0.25</v>
      </c>
      <c r="V227" s="126" t="n">
        <f aca="false">M227/$R$3</f>
        <v>0.27</v>
      </c>
      <c r="W227" s="126" t="n">
        <f aca="false">N227/$R$3</f>
        <v>1593.205</v>
      </c>
    </row>
    <row r="228" customFormat="false" ht="12.75" hidden="true" customHeight="false" outlineLevel="0" collapsed="false">
      <c r="A228" s="120" t="n">
        <f aca="false">A227+1</f>
        <v>37114</v>
      </c>
      <c r="B228" s="131" t="str">
        <f aca="false">INDEX('Master Data'!$A$2:$B$8,MATCH(WEEKDAY('ARG Gas Firm'!A228,3),'Master Data'!$A$2:$A$8,0),2)</f>
        <v>Sa</v>
      </c>
      <c r="D228" s="124"/>
      <c r="E228" s="124"/>
      <c r="F228" s="124"/>
      <c r="G228" s="124"/>
      <c r="I228" s="124" t="n">
        <f aca="false">IF(MONTH($A228)=MONTH($A227),IF(G228=0,I227,G228),G228)</f>
        <v>250</v>
      </c>
      <c r="J228" s="124" t="n">
        <f aca="false">IF(MONTH($A228)=MONTH($A227),SUM(I228-I227),I228)</f>
        <v>0</v>
      </c>
      <c r="K228" s="124" t="n">
        <f aca="false">IF(WEEKDAY(A228,3)&gt;4,0,(IF(A228&lt;K$2,0,IF(A228&lt;=K$3,1,0))))</f>
        <v>0</v>
      </c>
      <c r="L228" s="124" t="n">
        <f aca="false">J228*K228</f>
        <v>0</v>
      </c>
      <c r="M228" s="124" t="n">
        <f aca="false">SUM(J$188:J228)</f>
        <v>270</v>
      </c>
      <c r="N228" s="124" t="n">
        <f aca="false">SUM(J$6:J228)</f>
        <v>1593205</v>
      </c>
      <c r="P228" s="124" t="n">
        <f aca="false">D228/P$3</f>
        <v>0</v>
      </c>
      <c r="Q228" s="124" t="n">
        <f aca="false">E228/P$3</f>
        <v>0</v>
      </c>
      <c r="R228" s="124" t="n">
        <f aca="false">F228/R$3</f>
        <v>0</v>
      </c>
      <c r="S228" s="126" t="n">
        <f aca="false">J228/$R$3</f>
        <v>0</v>
      </c>
      <c r="T228" s="126" t="n">
        <f aca="false">L228/$R$3</f>
        <v>0</v>
      </c>
      <c r="U228" s="126" t="n">
        <f aca="false">I228/$R$3</f>
        <v>0.25</v>
      </c>
      <c r="V228" s="126" t="n">
        <f aca="false">M228/$R$3</f>
        <v>0.27</v>
      </c>
      <c r="W228" s="126" t="n">
        <f aca="false">N228/$R$3</f>
        <v>1593.205</v>
      </c>
    </row>
    <row r="229" customFormat="false" ht="12.75" hidden="true" customHeight="false" outlineLevel="0" collapsed="false">
      <c r="A229" s="120" t="n">
        <f aca="false">A228+1</f>
        <v>37115</v>
      </c>
      <c r="B229" s="131" t="str">
        <f aca="false">INDEX('Master Data'!$A$2:$B$8,MATCH(WEEKDAY('ARG Gas Firm'!A229,3),'Master Data'!$A$2:$A$8,0),2)</f>
        <v>Su</v>
      </c>
      <c r="D229" s="124"/>
      <c r="E229" s="124"/>
      <c r="F229" s="124"/>
      <c r="G229" s="124"/>
      <c r="I229" s="124" t="n">
        <f aca="false">IF(MONTH($A229)=MONTH($A228),IF(G229=0,I228,G229),G229)</f>
        <v>250</v>
      </c>
      <c r="J229" s="124" t="n">
        <f aca="false">IF(MONTH($A229)=MONTH($A228),SUM(I229-I228),I229)</f>
        <v>0</v>
      </c>
      <c r="K229" s="124" t="n">
        <f aca="false">IF(WEEKDAY(A229,3)&gt;4,0,(IF(A229&lt;K$2,0,IF(A229&lt;=K$3,1,0))))</f>
        <v>0</v>
      </c>
      <c r="L229" s="124" t="n">
        <f aca="false">J229*K229</f>
        <v>0</v>
      </c>
      <c r="M229" s="124" t="n">
        <f aca="false">SUM(J$188:J229)</f>
        <v>270</v>
      </c>
      <c r="N229" s="124" t="n">
        <f aca="false">SUM(J$6:J229)</f>
        <v>1593205</v>
      </c>
      <c r="P229" s="124" t="n">
        <f aca="false">D229/P$3</f>
        <v>0</v>
      </c>
      <c r="Q229" s="124" t="n">
        <f aca="false">E229/P$3</f>
        <v>0</v>
      </c>
      <c r="R229" s="124" t="n">
        <f aca="false">F229/R$3</f>
        <v>0</v>
      </c>
      <c r="S229" s="126" t="n">
        <f aca="false">J229/$R$3</f>
        <v>0</v>
      </c>
      <c r="T229" s="126" t="n">
        <f aca="false">L229/$R$3</f>
        <v>0</v>
      </c>
      <c r="U229" s="126" t="n">
        <f aca="false">I229/$R$3</f>
        <v>0.25</v>
      </c>
      <c r="V229" s="126" t="n">
        <f aca="false">M229/$R$3</f>
        <v>0.27</v>
      </c>
      <c r="W229" s="126" t="n">
        <f aca="false">N229/$R$3</f>
        <v>1593.205</v>
      </c>
    </row>
    <row r="230" customFormat="false" ht="12.75" hidden="true" customHeight="false" outlineLevel="0" collapsed="false">
      <c r="A230" s="120" t="n">
        <f aca="false">A229+1</f>
        <v>37116</v>
      </c>
      <c r="B230" s="131" t="str">
        <f aca="false">INDEX('Master Data'!$A$2:$B$8,MATCH(WEEKDAY('ARG Gas Firm'!A230,3),'Master Data'!$A$2:$A$8,0),2)</f>
        <v>M</v>
      </c>
      <c r="D230" s="124" t="n">
        <v>-16272786.4189686</v>
      </c>
      <c r="E230" s="124" t="n">
        <v>4347899.64126098</v>
      </c>
      <c r="F230" s="124"/>
      <c r="G230" s="124" t="n">
        <v>244</v>
      </c>
      <c r="I230" s="124" t="n">
        <f aca="false">IF(MONTH($A230)=MONTH($A229),IF(G230=0,I229,G230),G230)</f>
        <v>244</v>
      </c>
      <c r="J230" s="124" t="n">
        <f aca="false">IF(MONTH($A230)=MONTH($A229),SUM(I230-I229),I230)</f>
        <v>-6</v>
      </c>
      <c r="K230" s="124" t="n">
        <f aca="false">IF(WEEKDAY(A230,3)&gt;4,0,(IF(A230&lt;K$2,0,IF(A230&lt;=K$3,1,0))))</f>
        <v>0</v>
      </c>
      <c r="L230" s="124" t="n">
        <f aca="false">J230*K230</f>
        <v>-0</v>
      </c>
      <c r="M230" s="124" t="n">
        <f aca="false">SUM(J$188:J230)</f>
        <v>264</v>
      </c>
      <c r="N230" s="124" t="n">
        <f aca="false">SUM(J$6:J230)</f>
        <v>1593199</v>
      </c>
      <c r="P230" s="124" t="n">
        <f aca="false">D230/P$3</f>
        <v>-16.2727864189686</v>
      </c>
      <c r="Q230" s="124" t="n">
        <f aca="false">E230/P$3</f>
        <v>4.34789964126099</v>
      </c>
      <c r="R230" s="124" t="n">
        <f aca="false">F230/R$3</f>
        <v>0</v>
      </c>
      <c r="S230" s="126" t="n">
        <f aca="false">J230/$R$3</f>
        <v>-0.006</v>
      </c>
      <c r="T230" s="126" t="n">
        <f aca="false">L230/$R$3</f>
        <v>-0</v>
      </c>
      <c r="U230" s="126" t="n">
        <f aca="false">I230/$R$3</f>
        <v>0.244</v>
      </c>
      <c r="V230" s="126" t="n">
        <f aca="false">M230/$R$3</f>
        <v>0.264</v>
      </c>
      <c r="W230" s="126" t="n">
        <f aca="false">N230/$R$3</f>
        <v>1593.199</v>
      </c>
    </row>
    <row r="231" customFormat="false" ht="12.75" hidden="true" customHeight="false" outlineLevel="0" collapsed="false">
      <c r="A231" s="120" t="n">
        <f aca="false">A230+1</f>
        <v>37117</v>
      </c>
      <c r="B231" s="131" t="str">
        <f aca="false">INDEX('Master Data'!$A$2:$B$8,MATCH(WEEKDAY('ARG Gas Firm'!A231,3),'Master Data'!$A$2:$A$8,0),2)</f>
        <v>T</v>
      </c>
      <c r="D231" s="124" t="n">
        <v>-16256185.7533427</v>
      </c>
      <c r="E231" s="124" t="n">
        <v>4342291.50122342</v>
      </c>
      <c r="F231" s="124"/>
      <c r="G231" s="124" t="n">
        <v>245</v>
      </c>
      <c r="I231" s="124" t="n">
        <f aca="false">IF(MONTH($A231)=MONTH($A230),IF(G231=0,I230,G231),G231)</f>
        <v>245</v>
      </c>
      <c r="J231" s="124" t="n">
        <f aca="false">IF(MONTH($A231)=MONTH($A230),SUM(I231-I230),I231)</f>
        <v>1</v>
      </c>
      <c r="K231" s="124" t="n">
        <f aca="false">IF(WEEKDAY(A231,3)&gt;4,0,(IF(A231&lt;K$2,0,IF(A231&lt;=K$3,1,0))))</f>
        <v>0</v>
      </c>
      <c r="L231" s="124" t="n">
        <f aca="false">J231*K231</f>
        <v>0</v>
      </c>
      <c r="M231" s="124" t="n">
        <f aca="false">SUM(J$188:J231)</f>
        <v>265</v>
      </c>
      <c r="N231" s="124" t="n">
        <f aca="false">SUM(J$6:J231)</f>
        <v>1593200</v>
      </c>
      <c r="P231" s="124" t="n">
        <f aca="false">D231/P$3</f>
        <v>-16.2561857533427</v>
      </c>
      <c r="Q231" s="124" t="n">
        <f aca="false">E231/P$3</f>
        <v>4.34229150122342</v>
      </c>
      <c r="R231" s="124" t="n">
        <f aca="false">F231/R$3</f>
        <v>0</v>
      </c>
      <c r="S231" s="126" t="n">
        <f aca="false">J231/$R$3</f>
        <v>0.001</v>
      </c>
      <c r="T231" s="126" t="n">
        <f aca="false">L231/$R$3</f>
        <v>0</v>
      </c>
      <c r="U231" s="126" t="n">
        <f aca="false">I231/$R$3</f>
        <v>0.245</v>
      </c>
      <c r="V231" s="126" t="n">
        <f aca="false">M231/$R$3</f>
        <v>0.265</v>
      </c>
      <c r="W231" s="126" t="n">
        <f aca="false">N231/$R$3</f>
        <v>1593.2</v>
      </c>
    </row>
    <row r="232" customFormat="false" ht="12.75" hidden="true" customHeight="false" outlineLevel="0" collapsed="false">
      <c r="A232" s="120" t="n">
        <f aca="false">A231+1</f>
        <v>37118</v>
      </c>
      <c r="B232" s="131" t="str">
        <f aca="false">INDEX('Master Data'!$A$2:$B$8,MATCH(WEEKDAY('ARG Gas Firm'!A232,3),'Master Data'!$A$2:$A$8,0),2)</f>
        <v>W</v>
      </c>
      <c r="D232" s="124" t="n">
        <v>-16222764.1616752</v>
      </c>
      <c r="E232" s="124" t="n">
        <v>4333550.30050597</v>
      </c>
      <c r="F232" s="124"/>
      <c r="G232" s="124" t="n">
        <v>246</v>
      </c>
      <c r="I232" s="124" t="n">
        <f aca="false">IF(MONTH($A232)=MONTH($A231),IF(G232=0,I231,G232),G232)</f>
        <v>246</v>
      </c>
      <c r="J232" s="124" t="n">
        <f aca="false">IF(MONTH($A232)=MONTH($A231),SUM(I232-I231),I232)</f>
        <v>1</v>
      </c>
      <c r="K232" s="124" t="n">
        <f aca="false">IF(WEEKDAY(A232,3)&gt;4,0,(IF(A232&lt;K$2,0,IF(A232&lt;=K$3,1,0))))</f>
        <v>0</v>
      </c>
      <c r="L232" s="124" t="n">
        <f aca="false">J232*K232</f>
        <v>0</v>
      </c>
      <c r="M232" s="124" t="n">
        <f aca="false">SUM(J$188:J232)</f>
        <v>266</v>
      </c>
      <c r="N232" s="124" t="n">
        <f aca="false">SUM(J$6:J232)</f>
        <v>1593201</v>
      </c>
      <c r="P232" s="124" t="n">
        <f aca="false">D232/P$3</f>
        <v>-16.2227641616752</v>
      </c>
      <c r="Q232" s="124" t="n">
        <f aca="false">E232/P$3</f>
        <v>4.33355030050597</v>
      </c>
      <c r="R232" s="124" t="n">
        <f aca="false">F232/R$3</f>
        <v>0</v>
      </c>
      <c r="S232" s="126" t="n">
        <f aca="false">J232/$R$3</f>
        <v>0.001</v>
      </c>
      <c r="T232" s="126" t="n">
        <f aca="false">L232/$R$3</f>
        <v>0</v>
      </c>
      <c r="U232" s="126" t="n">
        <f aca="false">I232/$R$3</f>
        <v>0.246</v>
      </c>
      <c r="V232" s="126" t="n">
        <f aca="false">M232/$R$3</f>
        <v>0.266</v>
      </c>
      <c r="W232" s="126" t="n">
        <f aca="false">N232/$R$3</f>
        <v>1593.201</v>
      </c>
    </row>
    <row r="233" customFormat="false" ht="12.75" hidden="true" customHeight="false" outlineLevel="0" collapsed="false">
      <c r="A233" s="120" t="n">
        <f aca="false">A232+1</f>
        <v>37119</v>
      </c>
      <c r="B233" s="131" t="str">
        <f aca="false">INDEX('Master Data'!$A$2:$B$8,MATCH(WEEKDAY('ARG Gas Firm'!A233,3),'Master Data'!$A$2:$A$8,0),2)</f>
        <v>Th</v>
      </c>
      <c r="D233" s="124" t="n">
        <v>-16248699.3270705</v>
      </c>
      <c r="E233" s="124" t="n">
        <v>4341264.76959954</v>
      </c>
      <c r="F233" s="124"/>
      <c r="G233" s="124" t="n">
        <v>245</v>
      </c>
      <c r="I233" s="124" t="n">
        <f aca="false">IF(MONTH($A233)=MONTH($A232),IF(G233=0,I232,G233),G233)</f>
        <v>245</v>
      </c>
      <c r="J233" s="124" t="n">
        <f aca="false">IF(MONTH($A233)=MONTH($A232),SUM(I233-I232),I233)</f>
        <v>-1</v>
      </c>
      <c r="K233" s="124" t="n">
        <f aca="false">IF(WEEKDAY(A233,3)&gt;4,0,(IF(A233&lt;K$2,0,IF(A233&lt;=K$3,1,0))))</f>
        <v>0</v>
      </c>
      <c r="L233" s="124" t="n">
        <f aca="false">J233*K233</f>
        <v>-0</v>
      </c>
      <c r="M233" s="124" t="n">
        <f aca="false">SUM(J$188:J233)</f>
        <v>265</v>
      </c>
      <c r="N233" s="124" t="n">
        <f aca="false">SUM(J$6:J233)</f>
        <v>1593200</v>
      </c>
      <c r="P233" s="124" t="n">
        <f aca="false">D233/P$3</f>
        <v>-16.2486993270705</v>
      </c>
      <c r="Q233" s="124" t="n">
        <f aca="false">E233/P$3</f>
        <v>4.34126476959954</v>
      </c>
      <c r="R233" s="124" t="n">
        <f aca="false">F233/R$3</f>
        <v>0</v>
      </c>
      <c r="S233" s="126" t="n">
        <f aca="false">J233/$R$3</f>
        <v>-0.001</v>
      </c>
      <c r="T233" s="126" t="n">
        <f aca="false">L233/$R$3</f>
        <v>-0</v>
      </c>
      <c r="U233" s="126" t="n">
        <f aca="false">I233/$R$3</f>
        <v>0.245</v>
      </c>
      <c r="V233" s="126" t="n">
        <f aca="false">M233/$R$3</f>
        <v>0.265</v>
      </c>
      <c r="W233" s="126" t="n">
        <f aca="false">N233/$R$3</f>
        <v>1593.2</v>
      </c>
    </row>
    <row r="234" customFormat="false" ht="12.75" hidden="true" customHeight="false" outlineLevel="0" collapsed="false">
      <c r="A234" s="120" t="n">
        <f aca="false">A233+1</f>
        <v>37120</v>
      </c>
      <c r="B234" s="131" t="str">
        <f aca="false">INDEX('Master Data'!$A$2:$B$8,MATCH(WEEKDAY('ARG Gas Firm'!A234,3),'Master Data'!$A$2:$A$8,0),2)</f>
        <v>F</v>
      </c>
      <c r="D234" s="124" t="n">
        <v>-16308379.750918</v>
      </c>
      <c r="E234" s="124" t="n">
        <v>4352200.02729155</v>
      </c>
      <c r="F234" s="124"/>
      <c r="G234" s="124" t="n">
        <v>243</v>
      </c>
      <c r="I234" s="124" t="n">
        <f aca="false">IF(MONTH($A234)=MONTH($A233),IF(G234=0,I233,G234),G234)</f>
        <v>243</v>
      </c>
      <c r="J234" s="124" t="n">
        <f aca="false">IF(MONTH($A234)=MONTH($A233),SUM(I234-I233),I234)</f>
        <v>-2</v>
      </c>
      <c r="K234" s="124" t="n">
        <f aca="false">IF(WEEKDAY(A234,3)&gt;4,0,(IF(A234&lt;K$2,0,IF(A234&lt;=K$3,1,0))))</f>
        <v>0</v>
      </c>
      <c r="L234" s="124" t="n">
        <f aca="false">J234*K234</f>
        <v>-0</v>
      </c>
      <c r="M234" s="124" t="n">
        <f aca="false">SUM(J$188:J234)</f>
        <v>263</v>
      </c>
      <c r="N234" s="124" t="n">
        <f aca="false">SUM(J$6:J234)</f>
        <v>1593198</v>
      </c>
      <c r="P234" s="124" t="n">
        <f aca="false">D234/P$3</f>
        <v>-16.308379750918</v>
      </c>
      <c r="Q234" s="124" t="n">
        <f aca="false">E234/P$3</f>
        <v>4.35220002729155</v>
      </c>
      <c r="R234" s="124" t="n">
        <f aca="false">F234/R$3</f>
        <v>0</v>
      </c>
      <c r="S234" s="126" t="n">
        <f aca="false">J234/$R$3</f>
        <v>-0.002</v>
      </c>
      <c r="T234" s="126" t="n">
        <f aca="false">L234/$R$3</f>
        <v>-0</v>
      </c>
      <c r="U234" s="126" t="n">
        <f aca="false">I234/$R$3</f>
        <v>0.243</v>
      </c>
      <c r="V234" s="126" t="n">
        <f aca="false">M234/$R$3</f>
        <v>0.263</v>
      </c>
      <c r="W234" s="126" t="n">
        <f aca="false">N234/$R$3</f>
        <v>1593.198</v>
      </c>
    </row>
    <row r="235" customFormat="false" ht="12.75" hidden="true" customHeight="false" outlineLevel="0" collapsed="false">
      <c r="A235" s="120" t="n">
        <f aca="false">A234+1</f>
        <v>37121</v>
      </c>
      <c r="B235" s="131" t="str">
        <f aca="false">INDEX('Master Data'!$A$2:$B$8,MATCH(WEEKDAY('ARG Gas Firm'!A235,3),'Master Data'!$A$2:$A$8,0),2)</f>
        <v>Sa</v>
      </c>
      <c r="D235" s="124"/>
      <c r="E235" s="124"/>
      <c r="F235" s="124"/>
      <c r="G235" s="124"/>
      <c r="I235" s="124" t="n">
        <f aca="false">IF(MONTH($A235)=MONTH($A234),IF(G235=0,I234,G235),G235)</f>
        <v>243</v>
      </c>
      <c r="J235" s="124" t="n">
        <f aca="false">IF(MONTH($A235)=MONTH($A234),SUM(I235-I234),I235)</f>
        <v>0</v>
      </c>
      <c r="K235" s="124" t="n">
        <f aca="false">IF(WEEKDAY(A235,3)&gt;4,0,(IF(A235&lt;K$2,0,IF(A235&lt;=K$3,1,0))))</f>
        <v>0</v>
      </c>
      <c r="L235" s="124" t="n">
        <f aca="false">J235*K235</f>
        <v>0</v>
      </c>
      <c r="M235" s="124" t="n">
        <f aca="false">SUM(J$188:J235)</f>
        <v>263</v>
      </c>
      <c r="N235" s="124" t="n">
        <f aca="false">SUM(J$6:J235)</f>
        <v>1593198</v>
      </c>
      <c r="P235" s="124" t="n">
        <f aca="false">D235/P$3</f>
        <v>0</v>
      </c>
      <c r="Q235" s="124" t="n">
        <f aca="false">E235/P$3</f>
        <v>0</v>
      </c>
      <c r="R235" s="124" t="n">
        <f aca="false">F235/R$3</f>
        <v>0</v>
      </c>
      <c r="S235" s="126" t="n">
        <f aca="false">J235/$R$3</f>
        <v>0</v>
      </c>
      <c r="T235" s="126" t="n">
        <f aca="false">L235/$R$3</f>
        <v>0</v>
      </c>
      <c r="U235" s="126" t="n">
        <f aca="false">I235/$R$3</f>
        <v>0.243</v>
      </c>
      <c r="V235" s="126" t="n">
        <f aca="false">M235/$R$3</f>
        <v>0.263</v>
      </c>
      <c r="W235" s="126" t="n">
        <f aca="false">N235/$R$3</f>
        <v>1593.198</v>
      </c>
    </row>
    <row r="236" customFormat="false" ht="12.75" hidden="true" customHeight="false" outlineLevel="0" collapsed="false">
      <c r="A236" s="120" t="n">
        <f aca="false">A235+1</f>
        <v>37122</v>
      </c>
      <c r="B236" s="131" t="str">
        <f aca="false">INDEX('Master Data'!$A$2:$B$8,MATCH(WEEKDAY('ARG Gas Firm'!A236,3),'Master Data'!$A$2:$A$8,0),2)</f>
        <v>Su</v>
      </c>
      <c r="D236" s="124"/>
      <c r="E236" s="124"/>
      <c r="F236" s="124"/>
      <c r="G236" s="124"/>
      <c r="I236" s="124" t="n">
        <f aca="false">IF(MONTH($A236)=MONTH($A235),IF(G236=0,I235,G236),G236)</f>
        <v>243</v>
      </c>
      <c r="J236" s="124" t="n">
        <f aca="false">IF(MONTH($A236)=MONTH($A235),SUM(I236-I235),I236)</f>
        <v>0</v>
      </c>
      <c r="K236" s="124" t="n">
        <f aca="false">IF(WEEKDAY(A236,3)&gt;4,0,(IF(A236&lt;K$2,0,IF(A236&lt;=K$3,1,0))))</f>
        <v>0</v>
      </c>
      <c r="L236" s="124" t="n">
        <f aca="false">J236*K236</f>
        <v>0</v>
      </c>
      <c r="M236" s="124" t="n">
        <f aca="false">SUM(J$188:J236)</f>
        <v>263</v>
      </c>
      <c r="N236" s="124" t="n">
        <f aca="false">SUM(J$6:J236)</f>
        <v>1593198</v>
      </c>
      <c r="P236" s="124" t="n">
        <f aca="false">D236/P$3</f>
        <v>0</v>
      </c>
      <c r="Q236" s="124" t="n">
        <f aca="false">E236/P$3</f>
        <v>0</v>
      </c>
      <c r="R236" s="124" t="n">
        <f aca="false">F236/R$3</f>
        <v>0</v>
      </c>
      <c r="S236" s="126" t="n">
        <f aca="false">J236/$R$3</f>
        <v>0</v>
      </c>
      <c r="T236" s="126" t="n">
        <f aca="false">L236/$R$3</f>
        <v>0</v>
      </c>
      <c r="U236" s="126" t="n">
        <f aca="false">I236/$R$3</f>
        <v>0.243</v>
      </c>
      <c r="V236" s="126" t="n">
        <f aca="false">M236/$R$3</f>
        <v>0.263</v>
      </c>
      <c r="W236" s="126" t="n">
        <f aca="false">N236/$R$3</f>
        <v>1593.198</v>
      </c>
    </row>
    <row r="237" customFormat="false" ht="12.75" hidden="true" customHeight="false" outlineLevel="0" collapsed="false">
      <c r="A237" s="120" t="n">
        <f aca="false">A236+1</f>
        <v>37123</v>
      </c>
      <c r="B237" s="131" t="str">
        <f aca="false">INDEX('Master Data'!$A$2:$B$8,MATCH(WEEKDAY('ARG Gas Firm'!A237,3),'Master Data'!$A$2:$A$8,0),2)</f>
        <v>M</v>
      </c>
      <c r="D237" s="124" t="n">
        <v>-16273194.1789912</v>
      </c>
      <c r="E237" s="124" t="n">
        <v>4345341.38673546</v>
      </c>
      <c r="F237" s="124"/>
      <c r="G237" s="124" t="n">
        <v>245</v>
      </c>
      <c r="I237" s="124" t="n">
        <f aca="false">IF(MONTH($A237)=MONTH($A236),IF(G237=0,I236,G237),G237)</f>
        <v>245</v>
      </c>
      <c r="J237" s="124" t="n">
        <f aca="false">IF(MONTH($A237)=MONTH($A236),SUM(I237-I236),I237)</f>
        <v>2</v>
      </c>
      <c r="K237" s="124" t="n">
        <f aca="false">IF(WEEKDAY(A237,3)&gt;4,0,(IF(A237&lt;K$2,0,IF(A237&lt;=K$3,1,0))))</f>
        <v>0</v>
      </c>
      <c r="L237" s="124" t="n">
        <f aca="false">J237*K237</f>
        <v>0</v>
      </c>
      <c r="M237" s="124" t="n">
        <f aca="false">SUM(J$188:J237)</f>
        <v>265</v>
      </c>
      <c r="N237" s="124" t="n">
        <f aca="false">SUM(J$6:J237)</f>
        <v>1593200</v>
      </c>
      <c r="P237" s="124" t="n">
        <f aca="false">D237/P$3</f>
        <v>-16.2731941789912</v>
      </c>
      <c r="Q237" s="124" t="n">
        <f aca="false">E237/P$3</f>
        <v>4.34534138673546</v>
      </c>
      <c r="R237" s="124" t="n">
        <f aca="false">F237/R$3</f>
        <v>0</v>
      </c>
      <c r="S237" s="126" t="n">
        <f aca="false">J237/$R$3</f>
        <v>0.002</v>
      </c>
      <c r="T237" s="126" t="n">
        <f aca="false">L237/$R$3</f>
        <v>0</v>
      </c>
      <c r="U237" s="126" t="n">
        <f aca="false">I237/$R$3</f>
        <v>0.245</v>
      </c>
      <c r="V237" s="126" t="n">
        <f aca="false">M237/$R$3</f>
        <v>0.265</v>
      </c>
      <c r="W237" s="126" t="n">
        <f aca="false">N237/$R$3</f>
        <v>1593.2</v>
      </c>
    </row>
    <row r="238" customFormat="false" ht="12.75" hidden="true" customHeight="false" outlineLevel="0" collapsed="false">
      <c r="A238" s="120" t="n">
        <f aca="false">A237+1</f>
        <v>37124</v>
      </c>
      <c r="B238" s="131" t="str">
        <f aca="false">INDEX('Master Data'!$A$2:$B$8,MATCH(WEEKDAY('ARG Gas Firm'!A238,3),'Master Data'!$A$2:$A$8,0),2)</f>
        <v>T</v>
      </c>
      <c r="D238" s="124" t="n">
        <v>-16309441.0024284</v>
      </c>
      <c r="E238" s="124" t="n">
        <v>4352643.90177257</v>
      </c>
      <c r="F238" s="124"/>
      <c r="G238" s="124" t="n">
        <v>244</v>
      </c>
      <c r="I238" s="124" t="n">
        <f aca="false">IF(MONTH($A238)=MONTH($A237),IF(G238=0,I237,G238),G238)</f>
        <v>244</v>
      </c>
      <c r="J238" s="124" t="n">
        <f aca="false">IF(MONTH($A238)=MONTH($A237),SUM(I238-I237),I238)</f>
        <v>-1</v>
      </c>
      <c r="K238" s="124" t="n">
        <f aca="false">IF(WEEKDAY(A238,3)&gt;4,0,(IF(A238&lt;K$2,0,IF(A238&lt;=K$3,1,0))))</f>
        <v>0</v>
      </c>
      <c r="L238" s="124" t="n">
        <f aca="false">J238*K238</f>
        <v>-0</v>
      </c>
      <c r="M238" s="124" t="n">
        <f aca="false">SUM(J$188:J238)</f>
        <v>264</v>
      </c>
      <c r="N238" s="124" t="n">
        <f aca="false">SUM(J$6:J238)</f>
        <v>1593199</v>
      </c>
      <c r="P238" s="124" t="n">
        <f aca="false">D238/P$3</f>
        <v>-16.3094410024284</v>
      </c>
      <c r="Q238" s="124" t="n">
        <f aca="false">E238/P$3</f>
        <v>4.35264390177257</v>
      </c>
      <c r="R238" s="124" t="n">
        <f aca="false">F238/R$3</f>
        <v>0</v>
      </c>
      <c r="S238" s="126" t="n">
        <f aca="false">J238/$R$3</f>
        <v>-0.001</v>
      </c>
      <c r="T238" s="126" t="n">
        <f aca="false">L238/$R$3</f>
        <v>-0</v>
      </c>
      <c r="U238" s="126" t="n">
        <f aca="false">I238/$R$3</f>
        <v>0.244</v>
      </c>
      <c r="V238" s="126" t="n">
        <f aca="false">M238/$R$3</f>
        <v>0.264</v>
      </c>
      <c r="W238" s="126" t="n">
        <f aca="false">N238/$R$3</f>
        <v>1593.199</v>
      </c>
    </row>
    <row r="239" customFormat="false" ht="12.75" hidden="true" customHeight="false" outlineLevel="0" collapsed="false">
      <c r="A239" s="120" t="n">
        <f aca="false">A238+1</f>
        <v>37125</v>
      </c>
      <c r="B239" s="131" t="str">
        <f aca="false">INDEX('Master Data'!$A$2:$B$8,MATCH(WEEKDAY('ARG Gas Firm'!A239,3),'Master Data'!$A$2:$A$8,0),2)</f>
        <v>W</v>
      </c>
      <c r="D239" s="124" t="n">
        <v>-16293085.7255603</v>
      </c>
      <c r="E239" s="124" t="n">
        <v>4350013.87668058</v>
      </c>
      <c r="F239" s="124"/>
      <c r="G239" s="124" t="n">
        <v>245</v>
      </c>
      <c r="I239" s="124" t="n">
        <f aca="false">IF(MONTH($A239)=MONTH($A238),IF(G239=0,I238,G239),G239)</f>
        <v>245</v>
      </c>
      <c r="J239" s="124" t="n">
        <f aca="false">IF(MONTH($A239)=MONTH($A238),SUM(I239-I238),I239)</f>
        <v>1</v>
      </c>
      <c r="K239" s="124" t="n">
        <f aca="false">IF(WEEKDAY(A239,3)&gt;4,0,(IF(A239&lt;K$2,0,IF(A239&lt;=K$3,1,0))))</f>
        <v>0</v>
      </c>
      <c r="L239" s="124" t="n">
        <f aca="false">J239*K239</f>
        <v>0</v>
      </c>
      <c r="M239" s="124" t="n">
        <f aca="false">SUM(J$188:J239)</f>
        <v>265</v>
      </c>
      <c r="N239" s="124" t="n">
        <f aca="false">SUM(J$6:J239)</f>
        <v>1593200</v>
      </c>
      <c r="P239" s="124" t="n">
        <f aca="false">D239/P$3</f>
        <v>-16.2930857255603</v>
      </c>
      <c r="Q239" s="124" t="n">
        <f aca="false">E239/P$3</f>
        <v>4.35001387668058</v>
      </c>
      <c r="R239" s="124" t="n">
        <f aca="false">F239/R$3</f>
        <v>0</v>
      </c>
      <c r="S239" s="126" t="n">
        <f aca="false">J239/$R$3</f>
        <v>0.001</v>
      </c>
      <c r="T239" s="126" t="n">
        <f aca="false">L239/$R$3</f>
        <v>0</v>
      </c>
      <c r="U239" s="126" t="n">
        <f aca="false">I239/$R$3</f>
        <v>0.245</v>
      </c>
      <c r="V239" s="126" t="n">
        <f aca="false">M239/$R$3</f>
        <v>0.265</v>
      </c>
      <c r="W239" s="126" t="n">
        <f aca="false">N239/$R$3</f>
        <v>1593.2</v>
      </c>
    </row>
    <row r="240" customFormat="false" ht="12.75" hidden="true" customHeight="false" outlineLevel="0" collapsed="false">
      <c r="A240" s="120" t="n">
        <f aca="false">A239+1</f>
        <v>37126</v>
      </c>
      <c r="B240" s="131" t="str">
        <f aca="false">INDEX('Master Data'!$A$2:$B$8,MATCH(WEEKDAY('ARG Gas Firm'!A240,3),'Master Data'!$A$2:$A$8,0),2)</f>
        <v>Th</v>
      </c>
      <c r="D240" s="124" t="n">
        <v>-16302112.095943</v>
      </c>
      <c r="E240" s="124" t="n">
        <v>4350682.03567646</v>
      </c>
      <c r="F240" s="124"/>
      <c r="G240" s="124" t="n">
        <v>245</v>
      </c>
      <c r="I240" s="124" t="n">
        <f aca="false">IF(MONTH($A240)=MONTH($A239),IF(G240=0,I239,G240),G240)</f>
        <v>245</v>
      </c>
      <c r="J240" s="124" t="n">
        <f aca="false">IF(MONTH($A240)=MONTH($A239),SUM(I240-I239),I240)</f>
        <v>0</v>
      </c>
      <c r="K240" s="124" t="n">
        <f aca="false">IF(WEEKDAY(A240,3)&gt;4,0,(IF(A240&lt;K$2,0,IF(A240&lt;=K$3,1,0))))</f>
        <v>0</v>
      </c>
      <c r="L240" s="124" t="n">
        <f aca="false">J240*K240</f>
        <v>0</v>
      </c>
      <c r="M240" s="124" t="n">
        <f aca="false">SUM(J$188:J240)</f>
        <v>265</v>
      </c>
      <c r="N240" s="124" t="n">
        <f aca="false">SUM(J$6:J240)</f>
        <v>1593200</v>
      </c>
      <c r="P240" s="124" t="n">
        <f aca="false">D240/P$3</f>
        <v>-16.302112095943</v>
      </c>
      <c r="Q240" s="124" t="n">
        <f aca="false">E240/P$3</f>
        <v>4.35068203567646</v>
      </c>
      <c r="R240" s="124" t="n">
        <f aca="false">F240/R$3</f>
        <v>0</v>
      </c>
      <c r="S240" s="126" t="n">
        <f aca="false">J240/$R$3</f>
        <v>0</v>
      </c>
      <c r="T240" s="126" t="n">
        <f aca="false">L240/$R$3</f>
        <v>0</v>
      </c>
      <c r="U240" s="126" t="n">
        <f aca="false">I240/$R$3</f>
        <v>0.245</v>
      </c>
      <c r="V240" s="126" t="n">
        <f aca="false">M240/$R$3</f>
        <v>0.265</v>
      </c>
      <c r="W240" s="126" t="n">
        <f aca="false">N240/$R$3</f>
        <v>1593.2</v>
      </c>
    </row>
    <row r="241" customFormat="false" ht="12.75" hidden="true" customHeight="false" outlineLevel="0" collapsed="false">
      <c r="A241" s="120" t="n">
        <f aca="false">A240+1</f>
        <v>37127</v>
      </c>
      <c r="B241" s="131" t="str">
        <f aca="false">INDEX('Master Data'!$A$2:$B$8,MATCH(WEEKDAY('ARG Gas Firm'!A241,3),'Master Data'!$A$2:$A$8,0),2)</f>
        <v>F</v>
      </c>
      <c r="D241" s="124" t="n">
        <v>-16276254.7588379</v>
      </c>
      <c r="E241" s="124" t="n">
        <v>4346085.63063961</v>
      </c>
      <c r="F241" s="124"/>
      <c r="G241" s="124" t="n">
        <v>245</v>
      </c>
      <c r="I241" s="124" t="n">
        <f aca="false">IF(MONTH($A241)=MONTH($A240),IF(G241=0,I240,G241),G241)</f>
        <v>245</v>
      </c>
      <c r="J241" s="124" t="n">
        <f aca="false">IF(MONTH($A241)=MONTH($A240),SUM(I241-I240),I241)</f>
        <v>0</v>
      </c>
      <c r="K241" s="124" t="n">
        <f aca="false">IF(WEEKDAY(A241,3)&gt;4,0,(IF(A241&lt;K$2,0,IF(A241&lt;=K$3,1,0))))</f>
        <v>0</v>
      </c>
      <c r="L241" s="124" t="n">
        <f aca="false">J241*K241</f>
        <v>0</v>
      </c>
      <c r="M241" s="124" t="n">
        <f aca="false">SUM(J$188:J241)</f>
        <v>265</v>
      </c>
      <c r="N241" s="124" t="n">
        <f aca="false">SUM(J$6:J241)</f>
        <v>1593200</v>
      </c>
      <c r="P241" s="124" t="n">
        <f aca="false">D241/P$3</f>
        <v>-16.2762547588379</v>
      </c>
      <c r="Q241" s="124" t="n">
        <f aca="false">E241/P$3</f>
        <v>4.34608563063961</v>
      </c>
      <c r="R241" s="124" t="n">
        <f aca="false">F241/R$3</f>
        <v>0</v>
      </c>
      <c r="S241" s="126" t="n">
        <f aca="false">J241/$R$3</f>
        <v>0</v>
      </c>
      <c r="T241" s="126" t="n">
        <f aca="false">L241/$R$3</f>
        <v>0</v>
      </c>
      <c r="U241" s="126" t="n">
        <f aca="false">I241/$R$3</f>
        <v>0.245</v>
      </c>
      <c r="V241" s="126" t="n">
        <f aca="false">M241/$R$3</f>
        <v>0.265</v>
      </c>
      <c r="W241" s="126" t="n">
        <f aca="false">N241/$R$3</f>
        <v>1593.2</v>
      </c>
    </row>
    <row r="242" customFormat="false" ht="12.75" hidden="true" customHeight="false" outlineLevel="0" collapsed="false">
      <c r="A242" s="120" t="n">
        <f aca="false">A241+1</f>
        <v>37128</v>
      </c>
      <c r="B242" s="131" t="str">
        <f aca="false">INDEX('Master Data'!$A$2:$B$8,MATCH(WEEKDAY('ARG Gas Firm'!A242,3),'Master Data'!$A$2:$A$8,0),2)</f>
        <v>Sa</v>
      </c>
      <c r="D242" s="124"/>
      <c r="E242" s="124"/>
      <c r="F242" s="124"/>
      <c r="G242" s="124"/>
      <c r="I242" s="124" t="n">
        <f aca="false">IF(MONTH($A242)=MONTH($A241),IF(G242=0,I241,G242),G242)</f>
        <v>245</v>
      </c>
      <c r="J242" s="124" t="n">
        <f aca="false">IF(MONTH($A242)=MONTH($A241),SUM(I242-I241),I242)</f>
        <v>0</v>
      </c>
      <c r="K242" s="124" t="n">
        <f aca="false">IF(WEEKDAY(A242,3)&gt;4,0,(IF(A242&lt;K$2,0,IF(A242&lt;=K$3,1,0))))</f>
        <v>0</v>
      </c>
      <c r="L242" s="124" t="n">
        <f aca="false">J242*K242</f>
        <v>0</v>
      </c>
      <c r="M242" s="124" t="n">
        <f aca="false">SUM(J$188:J242)</f>
        <v>265</v>
      </c>
      <c r="N242" s="124" t="n">
        <f aca="false">SUM(J$6:J242)</f>
        <v>1593200</v>
      </c>
      <c r="P242" s="124" t="n">
        <f aca="false">D242/P$3</f>
        <v>0</v>
      </c>
      <c r="Q242" s="124" t="n">
        <f aca="false">E242/P$3</f>
        <v>0</v>
      </c>
      <c r="R242" s="124" t="n">
        <f aca="false">F242/R$3</f>
        <v>0</v>
      </c>
      <c r="S242" s="126" t="n">
        <f aca="false">J242/$R$3</f>
        <v>0</v>
      </c>
      <c r="T242" s="126" t="n">
        <f aca="false">L242/$R$3</f>
        <v>0</v>
      </c>
      <c r="U242" s="126" t="n">
        <f aca="false">I242/$R$3</f>
        <v>0.245</v>
      </c>
      <c r="V242" s="126" t="n">
        <f aca="false">M242/$R$3</f>
        <v>0.265</v>
      </c>
      <c r="W242" s="126" t="n">
        <f aca="false">N242/$R$3</f>
        <v>1593.2</v>
      </c>
    </row>
    <row r="243" customFormat="false" ht="12.75" hidden="true" customHeight="false" outlineLevel="0" collapsed="false">
      <c r="A243" s="120" t="n">
        <f aca="false">A242+1</f>
        <v>37129</v>
      </c>
      <c r="B243" s="131" t="str">
        <f aca="false">INDEX('Master Data'!$A$2:$B$8,MATCH(WEEKDAY('ARG Gas Firm'!A243,3),'Master Data'!$A$2:$A$8,0),2)</f>
        <v>Su</v>
      </c>
      <c r="D243" s="124"/>
      <c r="E243" s="124"/>
      <c r="F243" s="124"/>
      <c r="G243" s="124"/>
      <c r="I243" s="124" t="n">
        <f aca="false">IF(MONTH($A243)=MONTH($A242),IF(G243=0,I242,G243),G243)</f>
        <v>245</v>
      </c>
      <c r="J243" s="124" t="n">
        <f aca="false">IF(MONTH($A243)=MONTH($A242),SUM(I243-I242),I243)</f>
        <v>0</v>
      </c>
      <c r="K243" s="124" t="n">
        <f aca="false">IF(WEEKDAY(A243,3)&gt;4,0,(IF(A243&lt;K$2,0,IF(A243&lt;=K$3,1,0))))</f>
        <v>0</v>
      </c>
      <c r="L243" s="124" t="n">
        <f aca="false">J243*K243</f>
        <v>0</v>
      </c>
      <c r="M243" s="124" t="n">
        <f aca="false">SUM(J$188:J243)</f>
        <v>265</v>
      </c>
      <c r="N243" s="124" t="n">
        <f aca="false">SUM(J$6:J243)</f>
        <v>1593200</v>
      </c>
      <c r="P243" s="124" t="n">
        <f aca="false">D243/P$3</f>
        <v>0</v>
      </c>
      <c r="Q243" s="124" t="n">
        <f aca="false">E243/P$3</f>
        <v>0</v>
      </c>
      <c r="R243" s="124" t="n">
        <f aca="false">F243/R$3</f>
        <v>0</v>
      </c>
      <c r="S243" s="126" t="n">
        <f aca="false">J243/$R$3</f>
        <v>0</v>
      </c>
      <c r="T243" s="126" t="n">
        <f aca="false">L243/$R$3</f>
        <v>0</v>
      </c>
      <c r="U243" s="126" t="n">
        <f aca="false">I243/$R$3</f>
        <v>0.245</v>
      </c>
      <c r="V243" s="126" t="n">
        <f aca="false">M243/$R$3</f>
        <v>0.265</v>
      </c>
      <c r="W243" s="126" t="n">
        <f aca="false">N243/$R$3</f>
        <v>1593.2</v>
      </c>
    </row>
    <row r="244" customFormat="false" ht="12.75" hidden="true" customHeight="false" outlineLevel="0" collapsed="false">
      <c r="A244" s="120" t="n">
        <f aca="false">A243+1</f>
        <v>37130</v>
      </c>
      <c r="B244" s="131" t="str">
        <f aca="false">INDEX('Master Data'!$A$2:$B$8,MATCH(WEEKDAY('ARG Gas Firm'!A244,3),'Master Data'!$A$2:$A$8,0),2)</f>
        <v>M</v>
      </c>
      <c r="D244" s="124" t="n">
        <v>-16284481.9468784</v>
      </c>
      <c r="E244" s="124" t="n">
        <v>4347589.11307817</v>
      </c>
      <c r="F244" s="124"/>
      <c r="G244" s="124" t="n">
        <v>245</v>
      </c>
      <c r="I244" s="124" t="n">
        <f aca="false">IF(MONTH($A244)=MONTH($A243),IF(G244=0,I243,G244),G244)</f>
        <v>245</v>
      </c>
      <c r="J244" s="124" t="n">
        <f aca="false">IF(MONTH($A244)=MONTH($A243),SUM(I244-I243),I244)</f>
        <v>0</v>
      </c>
      <c r="K244" s="124" t="n">
        <f aca="false">IF(WEEKDAY(A244,3)&gt;4,0,(IF(A244&lt;K$2,0,IF(A244&lt;=K$3,1,0))))</f>
        <v>0</v>
      </c>
      <c r="L244" s="124" t="n">
        <f aca="false">J244*K244</f>
        <v>0</v>
      </c>
      <c r="M244" s="124" t="n">
        <f aca="false">SUM(J$188:J244)</f>
        <v>265</v>
      </c>
      <c r="N244" s="124" t="n">
        <f aca="false">SUM(J$6:J244)</f>
        <v>1593200</v>
      </c>
      <c r="P244" s="124" t="n">
        <f aca="false">D244/P$3</f>
        <v>-16.2844819468784</v>
      </c>
      <c r="Q244" s="124" t="n">
        <f aca="false">E244/P$3</f>
        <v>4.34758911307817</v>
      </c>
      <c r="R244" s="124" t="n">
        <f aca="false">F244/R$3</f>
        <v>0</v>
      </c>
      <c r="S244" s="126" t="n">
        <f aca="false">J244/$R$3</f>
        <v>0</v>
      </c>
      <c r="T244" s="126" t="n">
        <f aca="false">L244/$R$3</f>
        <v>0</v>
      </c>
      <c r="U244" s="126" t="n">
        <f aca="false">I244/$R$3</f>
        <v>0.245</v>
      </c>
      <c r="V244" s="126" t="n">
        <f aca="false">M244/$R$3</f>
        <v>0.265</v>
      </c>
      <c r="W244" s="126" t="n">
        <f aca="false">N244/$R$3</f>
        <v>1593.2</v>
      </c>
    </row>
    <row r="245" customFormat="false" ht="12.75" hidden="true" customHeight="false" outlineLevel="0" collapsed="false">
      <c r="A245" s="120" t="n">
        <f aca="false">A244+1</f>
        <v>37131</v>
      </c>
      <c r="B245" s="131" t="str">
        <f aca="false">INDEX('Master Data'!$A$2:$B$8,MATCH(WEEKDAY('ARG Gas Firm'!A245,3),'Master Data'!$A$2:$A$8,0),2)</f>
        <v>T</v>
      </c>
      <c r="D245" s="124" t="n">
        <v>-16349337.9804918</v>
      </c>
      <c r="E245" s="124" t="n">
        <v>4361347.54060887</v>
      </c>
      <c r="F245" s="124"/>
      <c r="G245" s="124" t="n">
        <v>244</v>
      </c>
      <c r="I245" s="124" t="n">
        <f aca="false">IF(MONTH($A245)=MONTH($A244),IF(G245=0,I244,G245),G245)</f>
        <v>244</v>
      </c>
      <c r="J245" s="124" t="n">
        <f aca="false">IF(MONTH($A245)=MONTH($A244),SUM(I245-I244),I245)</f>
        <v>-1</v>
      </c>
      <c r="K245" s="124" t="n">
        <f aca="false">IF(WEEKDAY(A245,3)&gt;4,0,(IF(A245&lt;K$2,0,IF(A245&lt;=K$3,1,0))))</f>
        <v>0</v>
      </c>
      <c r="L245" s="124" t="n">
        <f aca="false">J245*K245</f>
        <v>-0</v>
      </c>
      <c r="M245" s="124" t="n">
        <f aca="false">SUM(J$188:J245)</f>
        <v>264</v>
      </c>
      <c r="N245" s="124" t="n">
        <f aca="false">SUM(J$6:J245)</f>
        <v>1593199</v>
      </c>
      <c r="P245" s="124" t="n">
        <f aca="false">D245/P$3</f>
        <v>-16.3493379804918</v>
      </c>
      <c r="Q245" s="124" t="n">
        <f aca="false">E245/P$3</f>
        <v>4.36134754060887</v>
      </c>
      <c r="R245" s="124" t="n">
        <f aca="false">F245/R$3</f>
        <v>0</v>
      </c>
      <c r="S245" s="126" t="n">
        <f aca="false">J245/$R$3</f>
        <v>-0.001</v>
      </c>
      <c r="T245" s="126" t="n">
        <f aca="false">L245/$R$3</f>
        <v>-0</v>
      </c>
      <c r="U245" s="126" t="n">
        <f aca="false">I245/$R$3</f>
        <v>0.244</v>
      </c>
      <c r="V245" s="126" t="n">
        <f aca="false">M245/$R$3</f>
        <v>0.264</v>
      </c>
      <c r="W245" s="126" t="n">
        <f aca="false">N245/$R$3</f>
        <v>1593.199</v>
      </c>
    </row>
    <row r="246" customFormat="false" ht="12.75" hidden="true" customHeight="false" outlineLevel="0" collapsed="false">
      <c r="A246" s="120" t="n">
        <f aca="false">A245+1</f>
        <v>37132</v>
      </c>
      <c r="B246" s="131" t="str">
        <f aca="false">INDEX('Master Data'!$A$2:$B$8,MATCH(WEEKDAY('ARG Gas Firm'!A246,3),'Master Data'!$A$2:$A$8,0),2)</f>
        <v>W</v>
      </c>
      <c r="D246" s="124" t="n">
        <v>-16391112.0106288</v>
      </c>
      <c r="E246" s="124" t="n">
        <v>4368791.79102313</v>
      </c>
      <c r="F246" s="124"/>
      <c r="G246" s="124" t="n">
        <v>243</v>
      </c>
      <c r="I246" s="124" t="n">
        <f aca="false">IF(MONTH($A246)=MONTH($A245),IF(G246=0,I245,G246),G246)</f>
        <v>243</v>
      </c>
      <c r="J246" s="124" t="n">
        <f aca="false">IF(MONTH($A246)=MONTH($A245),SUM(I246-I245),I246)</f>
        <v>-1</v>
      </c>
      <c r="K246" s="124" t="n">
        <f aca="false">IF(WEEKDAY(A246,3)&gt;4,0,(IF(A246&lt;K$2,0,IF(A246&lt;=K$3,1,0))))</f>
        <v>0</v>
      </c>
      <c r="L246" s="124" t="n">
        <f aca="false">J246*K246</f>
        <v>-0</v>
      </c>
      <c r="M246" s="124" t="n">
        <f aca="false">SUM(J$188:J246)</f>
        <v>263</v>
      </c>
      <c r="N246" s="124" t="n">
        <f aca="false">SUM(J$6:J246)</f>
        <v>1593198</v>
      </c>
      <c r="P246" s="124" t="n">
        <f aca="false">D246/P$3</f>
        <v>-16.3911120106288</v>
      </c>
      <c r="Q246" s="124" t="n">
        <f aca="false">E246/P$3</f>
        <v>4.36879179102313</v>
      </c>
      <c r="R246" s="124" t="n">
        <f aca="false">F246/R$3</f>
        <v>0</v>
      </c>
      <c r="S246" s="126" t="n">
        <f aca="false">J246/$R$3</f>
        <v>-0.001</v>
      </c>
      <c r="T246" s="126" t="n">
        <f aca="false">L246/$R$3</f>
        <v>-0</v>
      </c>
      <c r="U246" s="126" t="n">
        <f aca="false">I246/$R$3</f>
        <v>0.243</v>
      </c>
      <c r="V246" s="126" t="n">
        <f aca="false">M246/$R$3</f>
        <v>0.263</v>
      </c>
      <c r="W246" s="126" t="n">
        <f aca="false">N246/$R$3</f>
        <v>1593.198</v>
      </c>
    </row>
    <row r="247" customFormat="false" ht="12.75" hidden="true" customHeight="false" outlineLevel="0" collapsed="false">
      <c r="A247" s="120" t="n">
        <f aca="false">A246+1</f>
        <v>37133</v>
      </c>
      <c r="B247" s="131" t="str">
        <f aca="false">INDEX('Master Data'!$A$2:$B$8,MATCH(WEEKDAY('ARG Gas Firm'!A247,3),'Master Data'!$A$2:$A$8,0),2)</f>
        <v>Th</v>
      </c>
      <c r="D247" s="124" t="n">
        <v>-16401278.0037274</v>
      </c>
      <c r="E247" s="124" t="n">
        <v>4374911.14534826</v>
      </c>
      <c r="F247" s="124"/>
      <c r="G247" s="124" t="n">
        <v>3186</v>
      </c>
      <c r="I247" s="124" t="n">
        <f aca="false">IF(MONTH($A247)=MONTH($A246),IF(G247=0,I246,G247),G247)</f>
        <v>3186</v>
      </c>
      <c r="J247" s="124" t="n">
        <f aca="false">IF(MONTH($A247)=MONTH($A246),SUM(I247-I246),I247)</f>
        <v>2943</v>
      </c>
      <c r="K247" s="124" t="n">
        <f aca="false">IF(WEEKDAY(A247,3)&gt;4,0,(IF(A247&lt;K$2,0,IF(A247&lt;=K$3,1,0))))</f>
        <v>0</v>
      </c>
      <c r="L247" s="124" t="n">
        <f aca="false">J247*K247</f>
        <v>0</v>
      </c>
      <c r="M247" s="124" t="n">
        <f aca="false">SUM(J$188:J247)</f>
        <v>3206</v>
      </c>
      <c r="N247" s="124" t="n">
        <f aca="false">SUM(J$6:J247)</f>
        <v>1596141</v>
      </c>
      <c r="P247" s="124" t="n">
        <f aca="false">D247/P$3</f>
        <v>-16.4012780037274</v>
      </c>
      <c r="Q247" s="124" t="n">
        <f aca="false">E247/P$3</f>
        <v>4.37491114534826</v>
      </c>
      <c r="R247" s="124" t="n">
        <f aca="false">F247/R$3</f>
        <v>0</v>
      </c>
      <c r="S247" s="126" t="n">
        <f aca="false">J247/$R$3</f>
        <v>2.943</v>
      </c>
      <c r="T247" s="126" t="n">
        <f aca="false">L247/$R$3</f>
        <v>0</v>
      </c>
      <c r="U247" s="126" t="n">
        <f aca="false">I247/$R$3</f>
        <v>3.186</v>
      </c>
      <c r="V247" s="126" t="n">
        <f aca="false">M247/$R$3</f>
        <v>3.206</v>
      </c>
      <c r="W247" s="126" t="n">
        <f aca="false">N247/$R$3</f>
        <v>1596.141</v>
      </c>
    </row>
    <row r="248" customFormat="false" ht="12.75" hidden="false" customHeight="false" outlineLevel="0" collapsed="false">
      <c r="A248" s="120" t="n">
        <f aca="false">A247+1</f>
        <v>37134</v>
      </c>
      <c r="B248" s="131" t="str">
        <f aca="false">INDEX('Master Data'!$A$2:$B$8,MATCH(WEEKDAY('ARG Gas Firm'!A248,3),'Master Data'!$A$2:$A$8,0),2)</f>
        <v>F</v>
      </c>
      <c r="D248" s="124" t="n">
        <v>-16396409.6346475</v>
      </c>
      <c r="E248" s="124" t="n">
        <v>4372195.17428579</v>
      </c>
      <c r="F248" s="124"/>
      <c r="G248" s="124" t="n">
        <v>3187</v>
      </c>
      <c r="I248" s="124" t="n">
        <f aca="false">IF(MONTH($A248)=MONTH($A247),IF(G248=0,I247,G248),G248)</f>
        <v>3187</v>
      </c>
      <c r="J248" s="124" t="n">
        <f aca="false">IF(MONTH($A248)=MONTH($A247),SUM(I248-I247),I248)</f>
        <v>1</v>
      </c>
      <c r="K248" s="124" t="n">
        <f aca="false">IF(WEEKDAY(A248,3)&gt;4,0,(IF(A248&lt;K$2,0,IF(A248&lt;=K$3,1,0))))</f>
        <v>0</v>
      </c>
      <c r="L248" s="124" t="n">
        <f aca="false">J248*K248</f>
        <v>0</v>
      </c>
      <c r="M248" s="124" t="n">
        <f aca="false">SUM(J$188:J248)</f>
        <v>3207</v>
      </c>
      <c r="N248" s="124" t="n">
        <f aca="false">SUM(J$6:J248)</f>
        <v>1596142</v>
      </c>
      <c r="P248" s="124" t="n">
        <f aca="false">D248/P$3</f>
        <v>-16.3964096346475</v>
      </c>
      <c r="Q248" s="124" t="n">
        <f aca="false">E248/P$3</f>
        <v>4.37219517428579</v>
      </c>
      <c r="R248" s="124" t="n">
        <f aca="false">F248/R$3</f>
        <v>0</v>
      </c>
      <c r="S248" s="126" t="n">
        <f aca="false">J248/$R$3</f>
        <v>0.001</v>
      </c>
      <c r="T248" s="126" t="n">
        <f aca="false">L248/$R$3</f>
        <v>0</v>
      </c>
      <c r="U248" s="126" t="n">
        <f aca="false">I248/$R$3</f>
        <v>3.187</v>
      </c>
      <c r="V248" s="126" t="n">
        <f aca="false">M248/$R$3</f>
        <v>3.207</v>
      </c>
      <c r="W248" s="126" t="n">
        <f aca="false">N248/$R$3</f>
        <v>1596.142</v>
      </c>
    </row>
    <row r="249" customFormat="false" ht="12.75" hidden="true" customHeight="false" outlineLevel="0" collapsed="false">
      <c r="A249" s="120" t="n">
        <f aca="false">A248+1</f>
        <v>37135</v>
      </c>
      <c r="B249" s="131" t="str">
        <f aca="false">INDEX('Master Data'!$A$2:$B$8,MATCH(WEEKDAY('ARG Gas Firm'!A249,3),'Master Data'!$A$2:$A$8,0),2)</f>
        <v>Sa</v>
      </c>
      <c r="D249" s="124"/>
      <c r="E249" s="124"/>
      <c r="F249" s="124"/>
      <c r="G249" s="124"/>
      <c r="I249" s="124" t="n">
        <f aca="false">IF(MONTH($A249)=MONTH($A248),IF(G249=0,I248,G249),G249)</f>
        <v>0</v>
      </c>
      <c r="J249" s="124" t="n">
        <f aca="false">IF(MONTH($A249)=MONTH($A248),SUM(I249-I248),I249)</f>
        <v>0</v>
      </c>
      <c r="K249" s="124" t="n">
        <f aca="false">IF(WEEKDAY(A249,3)&gt;4,0,(IF(A249&lt;K$2,0,IF(A249&lt;=K$3,1,0))))</f>
        <v>0</v>
      </c>
      <c r="L249" s="124" t="n">
        <f aca="false">J249*K249</f>
        <v>0</v>
      </c>
      <c r="M249" s="124" t="n">
        <f aca="false">SUM(J$188:J249)</f>
        <v>3207</v>
      </c>
      <c r="N249" s="124" t="n">
        <f aca="false">SUM(J$6:J249)</f>
        <v>1596142</v>
      </c>
      <c r="P249" s="124" t="n">
        <f aca="false">D249/P$3</f>
        <v>0</v>
      </c>
      <c r="Q249" s="124" t="n">
        <f aca="false">E249/P$3</f>
        <v>0</v>
      </c>
      <c r="R249" s="124" t="n">
        <f aca="false">F249/R$3</f>
        <v>0</v>
      </c>
      <c r="S249" s="126" t="n">
        <f aca="false">J249/$R$3</f>
        <v>0</v>
      </c>
      <c r="T249" s="126" t="n">
        <f aca="false">L249/$R$3</f>
        <v>0</v>
      </c>
      <c r="U249" s="126" t="n">
        <f aca="false">I249/$R$3</f>
        <v>0</v>
      </c>
      <c r="V249" s="126" t="n">
        <f aca="false">M249/$R$3</f>
        <v>3.207</v>
      </c>
      <c r="W249" s="126" t="n">
        <f aca="false">N249/$R$3</f>
        <v>1596.142</v>
      </c>
    </row>
    <row r="250" customFormat="false" ht="12.75" hidden="true" customHeight="false" outlineLevel="0" collapsed="false">
      <c r="A250" s="120" t="n">
        <f aca="false">A249+1</f>
        <v>37136</v>
      </c>
      <c r="B250" s="131" t="str">
        <f aca="false">INDEX('Master Data'!$A$2:$B$8,MATCH(WEEKDAY('ARG Gas Firm'!A250,3),'Master Data'!$A$2:$A$8,0),2)</f>
        <v>Su</v>
      </c>
      <c r="D250" s="124"/>
      <c r="E250" s="124"/>
      <c r="F250" s="124"/>
      <c r="G250" s="124"/>
      <c r="I250" s="124" t="n">
        <f aca="false">IF(MONTH($A250)=MONTH($A249),IF(G250=0,I249,G250),G250)</f>
        <v>0</v>
      </c>
      <c r="J250" s="124" t="n">
        <f aca="false">IF(MONTH($A250)=MONTH($A249),SUM(I250-I249),I250)</f>
        <v>0</v>
      </c>
      <c r="K250" s="124" t="n">
        <f aca="false">IF(WEEKDAY(A250,3)&gt;4,0,(IF(A250&lt;K$2,0,IF(A250&lt;=K$3,1,0))))</f>
        <v>0</v>
      </c>
      <c r="L250" s="124" t="n">
        <f aca="false">J250*K250</f>
        <v>0</v>
      </c>
      <c r="M250" s="124" t="n">
        <f aca="false">SUM(J$188:J250)</f>
        <v>3207</v>
      </c>
      <c r="N250" s="124" t="n">
        <f aca="false">SUM(J$6:J250)</f>
        <v>1596142</v>
      </c>
      <c r="P250" s="124" t="n">
        <f aca="false">D250/P$3</f>
        <v>0</v>
      </c>
      <c r="Q250" s="124" t="n">
        <f aca="false">E250/P$3</f>
        <v>0</v>
      </c>
      <c r="R250" s="124" t="n">
        <f aca="false">F250/R$3</f>
        <v>0</v>
      </c>
      <c r="S250" s="126" t="n">
        <f aca="false">J250/$R$3</f>
        <v>0</v>
      </c>
      <c r="T250" s="126" t="n">
        <f aca="false">L250/$R$3</f>
        <v>0</v>
      </c>
      <c r="U250" s="126" t="n">
        <f aca="false">I250/$R$3</f>
        <v>0</v>
      </c>
      <c r="V250" s="126" t="n">
        <f aca="false">M250/$R$3</f>
        <v>3.207</v>
      </c>
      <c r="W250" s="126" t="n">
        <f aca="false">N250/$R$3</f>
        <v>1596.142</v>
      </c>
    </row>
    <row r="251" customFormat="false" ht="12.75" hidden="true" customHeight="false" outlineLevel="0" collapsed="false">
      <c r="A251" s="120" t="n">
        <f aca="false">A250+1</f>
        <v>37137</v>
      </c>
      <c r="B251" s="131" t="str">
        <f aca="false">INDEX('Master Data'!$A$2:$B$8,MATCH(WEEKDAY('ARG Gas Firm'!A251,3),'Master Data'!$A$2:$A$8,0),2)</f>
        <v>M</v>
      </c>
      <c r="D251" s="124"/>
      <c r="E251" s="124"/>
      <c r="F251" s="124"/>
      <c r="G251" s="124"/>
      <c r="I251" s="124" t="n">
        <f aca="false">IF(MONTH($A251)=MONTH($A250),IF(G251=0,I250,G251),G251)</f>
        <v>0</v>
      </c>
      <c r="J251" s="124" t="n">
        <f aca="false">IF(MONTH($A251)=MONTH($A250),SUM(I251-I250),I251)</f>
        <v>0</v>
      </c>
      <c r="K251" s="124" t="n">
        <f aca="false">IF(WEEKDAY(A251,3)&gt;4,0,(IF(A251&lt;K$2,0,IF(A251&lt;=K$3,1,0))))</f>
        <v>0</v>
      </c>
      <c r="L251" s="124" t="n">
        <f aca="false">J251*K251</f>
        <v>0</v>
      </c>
      <c r="M251" s="124" t="n">
        <f aca="false">SUM(J$188:J251)</f>
        <v>3207</v>
      </c>
      <c r="N251" s="124" t="n">
        <f aca="false">SUM(J$6:J251)</f>
        <v>1596142</v>
      </c>
      <c r="P251" s="124" t="n">
        <f aca="false">D251/P$3</f>
        <v>0</v>
      </c>
      <c r="Q251" s="124" t="n">
        <f aca="false">E251/P$3</f>
        <v>0</v>
      </c>
      <c r="R251" s="124" t="n">
        <f aca="false">F251/R$3</f>
        <v>0</v>
      </c>
      <c r="S251" s="126" t="n">
        <f aca="false">J251/$R$3</f>
        <v>0</v>
      </c>
      <c r="T251" s="126" t="n">
        <f aca="false">L251/$R$3</f>
        <v>0</v>
      </c>
      <c r="U251" s="126" t="n">
        <f aca="false">I251/$R$3</f>
        <v>0</v>
      </c>
      <c r="V251" s="126" t="n">
        <f aca="false">M251/$R$3</f>
        <v>3.207</v>
      </c>
      <c r="W251" s="126" t="n">
        <f aca="false">N251/$R$3</f>
        <v>1596.142</v>
      </c>
    </row>
    <row r="252" customFormat="false" ht="12.75" hidden="true" customHeight="false" outlineLevel="0" collapsed="false">
      <c r="A252" s="120" t="n">
        <f aca="false">A251+1</f>
        <v>37138</v>
      </c>
      <c r="B252" s="131" t="str">
        <f aca="false">INDEX('Master Data'!$A$2:$B$8,MATCH(WEEKDAY('ARG Gas Firm'!A252,3),'Master Data'!$A$2:$A$8,0),2)</f>
        <v>T</v>
      </c>
      <c r="D252" s="124" t="n">
        <v>-16290002.6406188</v>
      </c>
      <c r="E252" s="124" t="n">
        <v>4345764.36418625</v>
      </c>
      <c r="F252" s="124"/>
      <c r="G252" s="124" t="n">
        <v>10</v>
      </c>
      <c r="I252" s="124" t="n">
        <f aca="false">IF(MONTH($A252)=MONTH($A251),IF(G252=0,I251,G252),G252)</f>
        <v>10</v>
      </c>
      <c r="J252" s="124" t="n">
        <f aca="false">IF(MONTH($A252)=MONTH($A251),SUM(I252-I251),I252)</f>
        <v>10</v>
      </c>
      <c r="K252" s="124" t="n">
        <f aca="false">IF(WEEKDAY(A252,3)&gt;4,0,(IF(A252&lt;K$2,0,IF(A252&lt;=K$3,1,0))))</f>
        <v>0</v>
      </c>
      <c r="L252" s="124" t="n">
        <f aca="false">J252*K252</f>
        <v>0</v>
      </c>
      <c r="M252" s="124" t="n">
        <f aca="false">SUM(J$188:J252)</f>
        <v>3217</v>
      </c>
      <c r="N252" s="124" t="n">
        <f aca="false">SUM(J$6:J252)</f>
        <v>1596152</v>
      </c>
      <c r="P252" s="124" t="n">
        <f aca="false">D252/P$3</f>
        <v>-16.2900026406188</v>
      </c>
      <c r="Q252" s="124" t="n">
        <f aca="false">E252/P$3</f>
        <v>4.34576436418625</v>
      </c>
      <c r="R252" s="124" t="n">
        <f aca="false">F252/R$3</f>
        <v>0</v>
      </c>
      <c r="S252" s="126" t="n">
        <f aca="false">J252/$R$3</f>
        <v>0.01</v>
      </c>
      <c r="T252" s="126" t="n">
        <f aca="false">L252/$R$3</f>
        <v>0</v>
      </c>
      <c r="U252" s="126" t="n">
        <f aca="false">I252/$R$3</f>
        <v>0.01</v>
      </c>
      <c r="V252" s="126" t="n">
        <f aca="false">M252/$R$3</f>
        <v>3.217</v>
      </c>
      <c r="W252" s="126" t="n">
        <f aca="false">N252/$R$3</f>
        <v>1596.152</v>
      </c>
    </row>
    <row r="253" customFormat="false" ht="12.75" hidden="true" customHeight="false" outlineLevel="0" collapsed="false">
      <c r="A253" s="120" t="n">
        <f aca="false">A252+1</f>
        <v>37139</v>
      </c>
      <c r="B253" s="131" t="str">
        <f aca="false">INDEX('Master Data'!$A$2:$B$8,MATCH(WEEKDAY('ARG Gas Firm'!A253,3),'Master Data'!$A$2:$A$8,0),2)</f>
        <v>W</v>
      </c>
      <c r="D253" s="124" t="n">
        <v>-16319995.0923853</v>
      </c>
      <c r="E253" s="124" t="n">
        <v>4354913.4994335</v>
      </c>
      <c r="F253" s="124"/>
      <c r="G253" s="124" t="n">
        <v>10</v>
      </c>
      <c r="I253" s="124" t="n">
        <f aca="false">IF(MONTH($A253)=MONTH($A252),IF(G253=0,I252,G253),G253)</f>
        <v>10</v>
      </c>
      <c r="J253" s="124" t="n">
        <f aca="false">IF(MONTH($A253)=MONTH($A252),SUM(I253-I252),I253)</f>
        <v>0</v>
      </c>
      <c r="K253" s="124" t="n">
        <f aca="false">IF(WEEKDAY(A253,3)&gt;4,0,(IF(A253&lt;K$2,0,IF(A253&lt;=K$3,1,0))))</f>
        <v>0</v>
      </c>
      <c r="L253" s="124" t="n">
        <f aca="false">J253*K253</f>
        <v>0</v>
      </c>
      <c r="M253" s="124" t="n">
        <f aca="false">SUM(J$188:J253)</f>
        <v>3217</v>
      </c>
      <c r="N253" s="124" t="n">
        <f aca="false">SUM(J$6:J253)</f>
        <v>1596152</v>
      </c>
      <c r="P253" s="124" t="n">
        <f aca="false">D253/P$3</f>
        <v>-16.3199950923853</v>
      </c>
      <c r="Q253" s="124" t="n">
        <f aca="false">E253/P$3</f>
        <v>4.3549134994335</v>
      </c>
      <c r="R253" s="124" t="n">
        <f aca="false">F253/R$3</f>
        <v>0</v>
      </c>
      <c r="S253" s="126" t="n">
        <f aca="false">J253/$R$3</f>
        <v>0</v>
      </c>
      <c r="T253" s="126" t="n">
        <f aca="false">L253/$R$3</f>
        <v>0</v>
      </c>
      <c r="U253" s="126" t="n">
        <f aca="false">I253/$R$3</f>
        <v>0.01</v>
      </c>
      <c r="V253" s="126" t="n">
        <f aca="false">M253/$R$3</f>
        <v>3.217</v>
      </c>
      <c r="W253" s="126" t="n">
        <f aca="false">N253/$R$3</f>
        <v>1596.152</v>
      </c>
    </row>
    <row r="254" customFormat="false" ht="12.75" hidden="true" customHeight="false" outlineLevel="0" collapsed="false">
      <c r="A254" s="120" t="n">
        <f aca="false">A253+1</f>
        <v>37140</v>
      </c>
      <c r="B254" s="131" t="str">
        <f aca="false">INDEX('Master Data'!$A$2:$B$8,MATCH(WEEKDAY('ARG Gas Firm'!A254,3),'Master Data'!$A$2:$A$8,0),2)</f>
        <v>Th</v>
      </c>
      <c r="D254" s="124" t="n">
        <v>-16401738.6272406</v>
      </c>
      <c r="E254" s="124" t="n">
        <v>4372902.01913176</v>
      </c>
      <c r="F254" s="124"/>
      <c r="G254" s="124" t="n">
        <v>8</v>
      </c>
      <c r="I254" s="124" t="n">
        <f aca="false">IF(MONTH($A254)=MONTH($A253),IF(G254=0,I253,G254),G254)</f>
        <v>8</v>
      </c>
      <c r="J254" s="124" t="n">
        <f aca="false">IF(MONTH($A254)=MONTH($A253),SUM(I254-I253),I254)</f>
        <v>-2</v>
      </c>
      <c r="K254" s="124" t="n">
        <f aca="false">IF(WEEKDAY(A254,3)&gt;4,0,(IF(A254&lt;K$2,0,IF(A254&lt;=K$3,1,0))))</f>
        <v>0</v>
      </c>
      <c r="L254" s="124" t="n">
        <f aca="false">J254*K254</f>
        <v>-0</v>
      </c>
      <c r="M254" s="124" t="n">
        <f aca="false">SUM(J$188:J254)</f>
        <v>3215</v>
      </c>
      <c r="N254" s="124" t="n">
        <f aca="false">SUM(J$6:J254)</f>
        <v>1596150</v>
      </c>
      <c r="P254" s="124" t="n">
        <f aca="false">D254/P$3</f>
        <v>-16.4017386272406</v>
      </c>
      <c r="Q254" s="124" t="n">
        <f aca="false">E254/P$3</f>
        <v>4.37290201913176</v>
      </c>
      <c r="R254" s="124" t="n">
        <f aca="false">F254/R$3</f>
        <v>0</v>
      </c>
      <c r="S254" s="126" t="n">
        <f aca="false">J254/$R$3</f>
        <v>-0.002</v>
      </c>
      <c r="T254" s="126" t="n">
        <f aca="false">L254/$R$3</f>
        <v>-0</v>
      </c>
      <c r="U254" s="126" t="n">
        <f aca="false">I254/$R$3</f>
        <v>0.008</v>
      </c>
      <c r="V254" s="126" t="n">
        <f aca="false">M254/$R$3</f>
        <v>3.215</v>
      </c>
      <c r="W254" s="126" t="n">
        <f aca="false">N254/$R$3</f>
        <v>1596.15</v>
      </c>
    </row>
    <row r="255" customFormat="false" ht="12.75" hidden="true" customHeight="false" outlineLevel="0" collapsed="false">
      <c r="A255" s="120" t="n">
        <f aca="false">A254+1</f>
        <v>37141</v>
      </c>
      <c r="B255" s="131" t="str">
        <f aca="false">INDEX('Master Data'!$A$2:$B$8,MATCH(WEEKDAY('ARG Gas Firm'!A255,3),'Master Data'!$A$2:$A$8,0),2)</f>
        <v>F</v>
      </c>
      <c r="D255" s="124" t="n">
        <v>-16460820.3722169</v>
      </c>
      <c r="E255" s="124" t="n">
        <v>4387038.94163779</v>
      </c>
      <c r="F255" s="124"/>
      <c r="G255" s="124" t="n">
        <v>6</v>
      </c>
      <c r="I255" s="124" t="n">
        <f aca="false">IF(MONTH($A255)=MONTH($A254),IF(G255=0,I254,G255),G255)</f>
        <v>6</v>
      </c>
      <c r="J255" s="124" t="n">
        <f aca="false">IF(MONTH($A255)=MONTH($A254),SUM(I255-I254),I255)</f>
        <v>-2</v>
      </c>
      <c r="K255" s="124" t="n">
        <f aca="false">IF(WEEKDAY(A255,3)&gt;4,0,(IF(A255&lt;K$2,0,IF(A255&lt;=K$3,1,0))))</f>
        <v>0</v>
      </c>
      <c r="L255" s="124" t="n">
        <f aca="false">J255*K255</f>
        <v>-0</v>
      </c>
      <c r="M255" s="124" t="n">
        <f aca="false">SUM(J$188:J255)</f>
        <v>3213</v>
      </c>
      <c r="N255" s="124" t="n">
        <f aca="false">SUM(J$6:J255)</f>
        <v>1596148</v>
      </c>
      <c r="P255" s="124" t="n">
        <f aca="false">D255/P$3</f>
        <v>-16.4608203722169</v>
      </c>
      <c r="Q255" s="124" t="n">
        <f aca="false">E255/P$3</f>
        <v>4.38703894163779</v>
      </c>
      <c r="R255" s="124" t="n">
        <f aca="false">F255/R$3</f>
        <v>0</v>
      </c>
      <c r="S255" s="126" t="n">
        <f aca="false">J255/$R$3</f>
        <v>-0.002</v>
      </c>
      <c r="T255" s="126" t="n">
        <f aca="false">L255/$R$3</f>
        <v>-0</v>
      </c>
      <c r="U255" s="126" t="n">
        <f aca="false">I255/$R$3</f>
        <v>0.006</v>
      </c>
      <c r="V255" s="126" t="n">
        <f aca="false">M255/$R$3</f>
        <v>3.213</v>
      </c>
      <c r="W255" s="126" t="n">
        <f aca="false">N255/$R$3</f>
        <v>1596.148</v>
      </c>
    </row>
    <row r="256" customFormat="false" ht="12.75" hidden="true" customHeight="false" outlineLevel="0" collapsed="false">
      <c r="A256" s="120" t="n">
        <f aca="false">A255+1</f>
        <v>37142</v>
      </c>
      <c r="B256" s="131" t="str">
        <f aca="false">INDEX('Master Data'!$A$2:$B$8,MATCH(WEEKDAY('ARG Gas Firm'!A256,3),'Master Data'!$A$2:$A$8,0),2)</f>
        <v>Sa</v>
      </c>
      <c r="D256" s="124"/>
      <c r="E256" s="124"/>
      <c r="F256" s="124"/>
      <c r="G256" s="124"/>
      <c r="I256" s="124" t="n">
        <f aca="false">IF(MONTH($A256)=MONTH($A255),IF(G256=0,I255,G256),G256)</f>
        <v>6</v>
      </c>
      <c r="J256" s="124" t="n">
        <f aca="false">IF(MONTH($A256)=MONTH($A255),SUM(I256-I255),I256)</f>
        <v>0</v>
      </c>
      <c r="K256" s="124" t="n">
        <f aca="false">IF(WEEKDAY(A256,3)&gt;4,0,(IF(A256&lt;K$2,0,IF(A256&lt;=K$3,1,0))))</f>
        <v>0</v>
      </c>
      <c r="L256" s="124" t="n">
        <f aca="false">J256*K256</f>
        <v>0</v>
      </c>
      <c r="M256" s="124" t="n">
        <f aca="false">SUM(J$188:J256)</f>
        <v>3213</v>
      </c>
      <c r="N256" s="124" t="n">
        <f aca="false">SUM(J$6:J256)</f>
        <v>1596148</v>
      </c>
      <c r="P256" s="124" t="n">
        <f aca="false">D256/P$3</f>
        <v>0</v>
      </c>
      <c r="Q256" s="124" t="n">
        <f aca="false">E256/P$3</f>
        <v>0</v>
      </c>
      <c r="R256" s="124" t="n">
        <f aca="false">F256/R$3</f>
        <v>0</v>
      </c>
      <c r="S256" s="126" t="n">
        <f aca="false">J256/$R$3</f>
        <v>0</v>
      </c>
      <c r="T256" s="126" t="n">
        <f aca="false">L256/$R$3</f>
        <v>0</v>
      </c>
      <c r="U256" s="126" t="n">
        <f aca="false">I256/$R$3</f>
        <v>0.006</v>
      </c>
      <c r="V256" s="126" t="n">
        <f aca="false">M256/$R$3</f>
        <v>3.213</v>
      </c>
      <c r="W256" s="126" t="n">
        <f aca="false">N256/$R$3</f>
        <v>1596.148</v>
      </c>
    </row>
    <row r="257" customFormat="false" ht="12.75" hidden="true" customHeight="false" outlineLevel="0" collapsed="false">
      <c r="A257" s="120" t="n">
        <f aca="false">A256+1</f>
        <v>37143</v>
      </c>
      <c r="B257" s="131" t="str">
        <f aca="false">INDEX('Master Data'!$A$2:$B$8,MATCH(WEEKDAY('ARG Gas Firm'!A257,3),'Master Data'!$A$2:$A$8,0),2)</f>
        <v>Su</v>
      </c>
      <c r="D257" s="124"/>
      <c r="E257" s="124"/>
      <c r="F257" s="124"/>
      <c r="G257" s="124"/>
      <c r="I257" s="124" t="n">
        <f aca="false">IF(MONTH($A257)=MONTH($A256),IF(G257=0,I256,G257),G257)</f>
        <v>6</v>
      </c>
      <c r="J257" s="124" t="n">
        <f aca="false">IF(MONTH($A257)=MONTH($A256),SUM(I257-I256),I257)</f>
        <v>0</v>
      </c>
      <c r="K257" s="124" t="n">
        <f aca="false">IF(WEEKDAY(A257,3)&gt;4,0,(IF(A257&lt;K$2,0,IF(A257&lt;=K$3,1,0))))</f>
        <v>0</v>
      </c>
      <c r="L257" s="124" t="n">
        <f aca="false">J257*K257</f>
        <v>0</v>
      </c>
      <c r="M257" s="124" t="n">
        <f aca="false">SUM(J$188:J257)</f>
        <v>3213</v>
      </c>
      <c r="N257" s="124" t="n">
        <f aca="false">SUM(J$6:J257)</f>
        <v>1596148</v>
      </c>
      <c r="P257" s="124" t="n">
        <f aca="false">D257/P$3</f>
        <v>0</v>
      </c>
      <c r="Q257" s="124" t="n">
        <f aca="false">E257/P$3</f>
        <v>0</v>
      </c>
      <c r="R257" s="124" t="n">
        <f aca="false">F257/R$3</f>
        <v>0</v>
      </c>
      <c r="S257" s="126" t="n">
        <f aca="false">J257/$R$3</f>
        <v>0</v>
      </c>
      <c r="T257" s="126" t="n">
        <f aca="false">L257/$R$3</f>
        <v>0</v>
      </c>
      <c r="U257" s="126" t="n">
        <f aca="false">I257/$R$3</f>
        <v>0.006</v>
      </c>
      <c r="V257" s="126" t="n">
        <f aca="false">M257/$R$3</f>
        <v>3.213</v>
      </c>
      <c r="W257" s="126" t="n">
        <f aca="false">N257/$R$3</f>
        <v>1596.148</v>
      </c>
    </row>
    <row r="258" customFormat="false" ht="12.75" hidden="true" customHeight="false" outlineLevel="0" collapsed="false">
      <c r="A258" s="120" t="n">
        <f aca="false">A257+1</f>
        <v>37144</v>
      </c>
      <c r="B258" s="131" t="str">
        <f aca="false">INDEX('Master Data'!$A$2:$B$8,MATCH(WEEKDAY('ARG Gas Firm'!A258,3),'Master Data'!$A$2:$A$8,0),2)</f>
        <v>M</v>
      </c>
      <c r="D258" s="124" t="n">
        <v>-16447758.081417</v>
      </c>
      <c r="E258" s="124" t="n">
        <v>4386668.76631865</v>
      </c>
      <c r="F258" s="124"/>
      <c r="G258" s="124" t="n">
        <v>5</v>
      </c>
      <c r="I258" s="124" t="n">
        <f aca="false">IF(MONTH($A258)=MONTH($A257),IF(G258=0,I257,G258),G258)</f>
        <v>5</v>
      </c>
      <c r="J258" s="124" t="n">
        <f aca="false">IF(MONTH($A258)=MONTH($A257),SUM(I258-I257),I258)</f>
        <v>-1</v>
      </c>
      <c r="K258" s="124" t="n">
        <f aca="false">IF(WEEKDAY(A258,3)&gt;4,0,(IF(A258&lt;K$2,0,IF(A258&lt;=K$3,1,0))))</f>
        <v>0</v>
      </c>
      <c r="L258" s="124" t="n">
        <f aca="false">J258*K258</f>
        <v>-0</v>
      </c>
      <c r="M258" s="124" t="n">
        <f aca="false">SUM(J$188:J258)</f>
        <v>3212</v>
      </c>
      <c r="N258" s="124" t="n">
        <f aca="false">SUM(J$6:J258)</f>
        <v>1596147</v>
      </c>
      <c r="P258" s="124" t="n">
        <f aca="false">D258/P$3</f>
        <v>-16.447758081417</v>
      </c>
      <c r="Q258" s="124" t="n">
        <f aca="false">E258/P$3</f>
        <v>4.38666876631865</v>
      </c>
      <c r="R258" s="124" t="n">
        <f aca="false">F258/R$3</f>
        <v>0</v>
      </c>
      <c r="S258" s="126" t="n">
        <f aca="false">J258/$R$3</f>
        <v>-0.001</v>
      </c>
      <c r="T258" s="126" t="n">
        <f aca="false">L258/$R$3</f>
        <v>-0</v>
      </c>
      <c r="U258" s="126" t="n">
        <f aca="false">I258/$R$3</f>
        <v>0.005</v>
      </c>
      <c r="V258" s="126" t="n">
        <f aca="false">M258/$R$3</f>
        <v>3.212</v>
      </c>
      <c r="W258" s="126" t="n">
        <f aca="false">N258/$R$3</f>
        <v>1596.147</v>
      </c>
    </row>
    <row r="259" customFormat="false" ht="12.75" hidden="true" customHeight="false" outlineLevel="0" collapsed="false">
      <c r="A259" s="120" t="n">
        <f aca="false">A258+1</f>
        <v>37145</v>
      </c>
      <c r="B259" s="131" t="str">
        <f aca="false">INDEX('Master Data'!$A$2:$B$8,MATCH(WEEKDAY('ARG Gas Firm'!A259,3),'Master Data'!$A$2:$A$8,0),2)</f>
        <v>T</v>
      </c>
      <c r="D259" s="124"/>
      <c r="E259" s="124"/>
      <c r="F259" s="124"/>
      <c r="G259" s="124"/>
      <c r="I259" s="124" t="n">
        <f aca="false">IF(MONTH($A259)=MONTH($A258),IF(G259=0,I258,G259),G259)</f>
        <v>5</v>
      </c>
      <c r="J259" s="124" t="n">
        <f aca="false">IF(MONTH($A259)=MONTH($A258),SUM(I259-I258),I259)</f>
        <v>0</v>
      </c>
      <c r="K259" s="124" t="n">
        <f aca="false">IF(WEEKDAY(A259,3)&gt;4,0,(IF(A259&lt;K$2,0,IF(A259&lt;=K$3,1,0))))</f>
        <v>0</v>
      </c>
      <c r="L259" s="124" t="n">
        <f aca="false">J259*K259</f>
        <v>0</v>
      </c>
      <c r="M259" s="124" t="n">
        <f aca="false">SUM(J$188:J259)</f>
        <v>3212</v>
      </c>
      <c r="N259" s="124" t="n">
        <f aca="false">SUM(J$6:J259)</f>
        <v>1596147</v>
      </c>
      <c r="P259" s="124" t="n">
        <f aca="false">D259/P$3</f>
        <v>0</v>
      </c>
      <c r="Q259" s="124" t="n">
        <f aca="false">E259/P$3</f>
        <v>0</v>
      </c>
      <c r="R259" s="124" t="n">
        <f aca="false">F259/R$3</f>
        <v>0</v>
      </c>
      <c r="S259" s="126" t="n">
        <f aca="false">J259/$R$3</f>
        <v>0</v>
      </c>
      <c r="T259" s="126" t="n">
        <f aca="false">L259/$R$3</f>
        <v>0</v>
      </c>
      <c r="U259" s="126" t="n">
        <f aca="false">I259/$R$3</f>
        <v>0.005</v>
      </c>
      <c r="V259" s="126" t="n">
        <f aca="false">M259/$R$3</f>
        <v>3.212</v>
      </c>
      <c r="W259" s="126" t="n">
        <f aca="false">N259/$R$3</f>
        <v>1596.147</v>
      </c>
    </row>
    <row r="260" customFormat="false" ht="12.75" hidden="true" customHeight="false" outlineLevel="0" collapsed="false">
      <c r="A260" s="120" t="n">
        <f aca="false">A259+1</f>
        <v>37146</v>
      </c>
      <c r="B260" s="131" t="str">
        <f aca="false">INDEX('Master Data'!$A$2:$B$8,MATCH(WEEKDAY('ARG Gas Firm'!A260,3),'Master Data'!$A$2:$A$8,0),2)</f>
        <v>W</v>
      </c>
      <c r="D260" s="124" t="n">
        <v>-16521906.0317755</v>
      </c>
      <c r="E260" s="124" t="n">
        <v>4404081.03782066</v>
      </c>
      <c r="F260" s="124"/>
      <c r="G260" s="124" t="n">
        <v>176617.5</v>
      </c>
      <c r="I260" s="124" t="n">
        <f aca="false">IF(MONTH($A260)=MONTH($A259),IF(G260=0,I259,G260),G260)</f>
        <v>176617.5</v>
      </c>
      <c r="J260" s="124" t="n">
        <f aca="false">IF(MONTH($A260)=MONTH($A259),SUM(I260-I259),I260)</f>
        <v>176612.5</v>
      </c>
      <c r="K260" s="124" t="n">
        <f aca="false">IF(WEEKDAY(A260,3)&gt;4,0,(IF(A260&lt;K$2,0,IF(A260&lt;=K$3,1,0))))</f>
        <v>0</v>
      </c>
      <c r="L260" s="124" t="n">
        <f aca="false">J260*K260</f>
        <v>0</v>
      </c>
      <c r="M260" s="124" t="n">
        <f aca="false">SUM(J$188:J260)</f>
        <v>179824.5</v>
      </c>
      <c r="N260" s="124" t="n">
        <f aca="false">SUM(J$6:J260)</f>
        <v>1772759.5</v>
      </c>
      <c r="P260" s="124" t="n">
        <f aca="false">D260/P$3</f>
        <v>-16.5219060317755</v>
      </c>
      <c r="Q260" s="124" t="n">
        <f aca="false">E260/P$3</f>
        <v>4.40408103782066</v>
      </c>
      <c r="R260" s="124" t="n">
        <f aca="false">F260/R$3</f>
        <v>0</v>
      </c>
      <c r="S260" s="126" t="n">
        <f aca="false">J260/$R$3</f>
        <v>176.6125</v>
      </c>
      <c r="T260" s="126" t="n">
        <f aca="false">L260/$R$3</f>
        <v>0</v>
      </c>
      <c r="U260" s="126" t="n">
        <f aca="false">I260/$R$3</f>
        <v>176.6175</v>
      </c>
      <c r="V260" s="126" t="n">
        <f aca="false">M260/$R$3</f>
        <v>179.8245</v>
      </c>
      <c r="W260" s="126" t="n">
        <f aca="false">N260/$R$3</f>
        <v>1772.7595</v>
      </c>
    </row>
    <row r="261" customFormat="false" ht="12.75" hidden="true" customHeight="false" outlineLevel="0" collapsed="false">
      <c r="A261" s="120" t="n">
        <f aca="false">A260+1</f>
        <v>37147</v>
      </c>
      <c r="B261" s="131" t="str">
        <f aca="false">INDEX('Master Data'!$A$2:$B$8,MATCH(WEEKDAY('ARG Gas Firm'!A261,3),'Master Data'!$A$2:$A$8,0),2)</f>
        <v>Th</v>
      </c>
      <c r="D261" s="124" t="n">
        <v>-16615451.8236623</v>
      </c>
      <c r="E261" s="124" t="n">
        <v>4427362.42527578</v>
      </c>
      <c r="F261" s="124"/>
      <c r="G261" s="124" t="n">
        <v>176614</v>
      </c>
      <c r="I261" s="124" t="n">
        <f aca="false">IF(MONTH($A261)=MONTH($A260),IF(G261=0,I260,G261),G261)</f>
        <v>176614</v>
      </c>
      <c r="J261" s="124" t="n">
        <f aca="false">IF(MONTH($A261)=MONTH($A260),SUM(I261-I260),I261)</f>
        <v>-3.5</v>
      </c>
      <c r="K261" s="124" t="n">
        <f aca="false">IF(WEEKDAY(A261,3)&gt;4,0,(IF(A261&lt;K$2,0,IF(A261&lt;=K$3,1,0))))</f>
        <v>0</v>
      </c>
      <c r="L261" s="124" t="n">
        <f aca="false">J261*K261</f>
        <v>-0</v>
      </c>
      <c r="M261" s="124" t="n">
        <f aca="false">SUM(J$188:J261)</f>
        <v>179821</v>
      </c>
      <c r="N261" s="124" t="n">
        <f aca="false">SUM(J$6:J261)</f>
        <v>1772756</v>
      </c>
      <c r="P261" s="124" t="n">
        <f aca="false">D261/P$3</f>
        <v>-16.6154518236623</v>
      </c>
      <c r="Q261" s="124" t="n">
        <f aca="false">E261/P$3</f>
        <v>4.42736242527578</v>
      </c>
      <c r="R261" s="124" t="n">
        <f aca="false">F261/R$3</f>
        <v>0</v>
      </c>
      <c r="S261" s="126" t="n">
        <f aca="false">J261/$R$3</f>
        <v>-0.0035</v>
      </c>
      <c r="T261" s="126" t="n">
        <f aca="false">L261/$R$3</f>
        <v>-0</v>
      </c>
      <c r="U261" s="126" t="n">
        <f aca="false">I261/$R$3</f>
        <v>176.614</v>
      </c>
      <c r="V261" s="126" t="n">
        <f aca="false">M261/$R$3</f>
        <v>179.821</v>
      </c>
      <c r="W261" s="126" t="n">
        <f aca="false">N261/$R$3</f>
        <v>1772.756</v>
      </c>
    </row>
    <row r="262" customFormat="false" ht="12.75" hidden="true" customHeight="false" outlineLevel="0" collapsed="false">
      <c r="A262" s="120" t="n">
        <f aca="false">A261+1</f>
        <v>37148</v>
      </c>
      <c r="B262" s="131" t="str">
        <f aca="false">INDEX('Master Data'!$A$2:$B$8,MATCH(WEEKDAY('ARG Gas Firm'!A262,3),'Master Data'!$A$2:$A$8,0),2)</f>
        <v>F</v>
      </c>
      <c r="D262" s="124" t="n">
        <v>-16674148.1084687</v>
      </c>
      <c r="E262" s="124" t="n">
        <v>4442045.17998029</v>
      </c>
      <c r="F262" s="124"/>
      <c r="G262" s="124" t="n">
        <v>176613</v>
      </c>
      <c r="I262" s="124" t="n">
        <f aca="false">IF(MONTH($A262)=MONTH($A261),IF(G262=0,I261,G262),G262)</f>
        <v>176613</v>
      </c>
      <c r="J262" s="124" t="n">
        <f aca="false">IF(MONTH($A262)=MONTH($A261),SUM(I262-I261),I262)</f>
        <v>-1</v>
      </c>
      <c r="K262" s="124" t="n">
        <f aca="false">IF(WEEKDAY(A262,3)&gt;4,0,(IF(A262&lt;K$2,0,IF(A262&lt;=K$3,1,0))))</f>
        <v>0</v>
      </c>
      <c r="L262" s="124" t="n">
        <f aca="false">J262*K262</f>
        <v>-0</v>
      </c>
      <c r="M262" s="124" t="n">
        <f aca="false">SUM(J$188:J262)</f>
        <v>179820</v>
      </c>
      <c r="N262" s="124" t="n">
        <f aca="false">SUM(J$6:J262)</f>
        <v>1772755</v>
      </c>
      <c r="P262" s="124" t="n">
        <f aca="false">D262/P$3</f>
        <v>-16.6741481084687</v>
      </c>
      <c r="Q262" s="124" t="n">
        <f aca="false">E262/P$3</f>
        <v>4.44204517998029</v>
      </c>
      <c r="R262" s="124" t="n">
        <f aca="false">F262/R$3</f>
        <v>0</v>
      </c>
      <c r="S262" s="126" t="n">
        <f aca="false">J262/$R$3</f>
        <v>-0.001</v>
      </c>
      <c r="T262" s="126" t="n">
        <f aca="false">L262/$R$3</f>
        <v>-0</v>
      </c>
      <c r="U262" s="126" t="n">
        <f aca="false">I262/$R$3</f>
        <v>176.613</v>
      </c>
      <c r="V262" s="126" t="n">
        <f aca="false">M262/$R$3</f>
        <v>179.82</v>
      </c>
      <c r="W262" s="126" t="n">
        <f aca="false">N262/$R$3</f>
        <v>1772.755</v>
      </c>
    </row>
    <row r="263" customFormat="false" ht="12.75" hidden="true" customHeight="false" outlineLevel="0" collapsed="false">
      <c r="A263" s="120" t="n">
        <f aca="false">A262+1</f>
        <v>37149</v>
      </c>
      <c r="B263" s="131" t="str">
        <f aca="false">INDEX('Master Data'!$A$2:$B$8,MATCH(WEEKDAY('ARG Gas Firm'!A263,3),'Master Data'!$A$2:$A$8,0),2)</f>
        <v>Sa</v>
      </c>
      <c r="D263" s="124"/>
      <c r="E263" s="124"/>
      <c r="F263" s="124"/>
      <c r="G263" s="124"/>
      <c r="I263" s="124" t="n">
        <f aca="false">IF(MONTH($A263)=MONTH($A262),IF(G263=0,I262,G263),G263)</f>
        <v>176613</v>
      </c>
      <c r="J263" s="124" t="n">
        <f aca="false">IF(MONTH($A263)=MONTH($A262),SUM(I263-I262),I263)</f>
        <v>0</v>
      </c>
      <c r="K263" s="124" t="n">
        <f aca="false">IF(WEEKDAY(A263,3)&gt;4,0,(IF(A263&lt;K$2,0,IF(A263&lt;=K$3,1,0))))</f>
        <v>0</v>
      </c>
      <c r="L263" s="124" t="n">
        <f aca="false">J263*K263</f>
        <v>0</v>
      </c>
      <c r="M263" s="124" t="n">
        <f aca="false">SUM(J$188:J263)</f>
        <v>179820</v>
      </c>
      <c r="N263" s="124" t="n">
        <f aca="false">SUM(J$6:J263)</f>
        <v>1772755</v>
      </c>
      <c r="P263" s="124" t="n">
        <f aca="false">D263/P$3</f>
        <v>0</v>
      </c>
      <c r="Q263" s="124" t="n">
        <f aca="false">E263/P$3</f>
        <v>0</v>
      </c>
      <c r="R263" s="124" t="n">
        <f aca="false">F263/R$3</f>
        <v>0</v>
      </c>
      <c r="S263" s="126" t="n">
        <f aca="false">J263/$R$3</f>
        <v>0</v>
      </c>
      <c r="T263" s="126" t="n">
        <f aca="false">L263/$R$3</f>
        <v>0</v>
      </c>
      <c r="U263" s="126" t="n">
        <f aca="false">I263/$R$3</f>
        <v>176.613</v>
      </c>
      <c r="V263" s="126" t="n">
        <f aca="false">M263/$R$3</f>
        <v>179.82</v>
      </c>
      <c r="W263" s="126" t="n">
        <f aca="false">N263/$R$3</f>
        <v>1772.755</v>
      </c>
    </row>
    <row r="264" customFormat="false" ht="12.75" hidden="true" customHeight="false" outlineLevel="0" collapsed="false">
      <c r="A264" s="120" t="n">
        <f aca="false">A263+1</f>
        <v>37150</v>
      </c>
      <c r="B264" s="131" t="str">
        <f aca="false">INDEX('Master Data'!$A$2:$B$8,MATCH(WEEKDAY('ARG Gas Firm'!A264,3),'Master Data'!$A$2:$A$8,0),2)</f>
        <v>Su</v>
      </c>
      <c r="D264" s="124"/>
      <c r="E264" s="124"/>
      <c r="F264" s="124"/>
      <c r="G264" s="124"/>
      <c r="I264" s="124" t="n">
        <f aca="false">IF(MONTH($A264)=MONTH($A263),IF(G264=0,I263,G264),G264)</f>
        <v>176613</v>
      </c>
      <c r="J264" s="124" t="n">
        <f aca="false">IF(MONTH($A264)=MONTH($A263),SUM(I264-I263),I264)</f>
        <v>0</v>
      </c>
      <c r="K264" s="124" t="n">
        <f aca="false">IF(WEEKDAY(A264,3)&gt;4,0,(IF(A264&lt;K$2,0,IF(A264&lt;=K$3,1,0))))</f>
        <v>0</v>
      </c>
      <c r="L264" s="124" t="n">
        <f aca="false">J264*K264</f>
        <v>0</v>
      </c>
      <c r="M264" s="124" t="n">
        <f aca="false">SUM(J$188:J264)</f>
        <v>179820</v>
      </c>
      <c r="N264" s="124" t="n">
        <f aca="false">SUM(J$6:J264)</f>
        <v>1772755</v>
      </c>
      <c r="P264" s="124" t="n">
        <f aca="false">D264/P$3</f>
        <v>0</v>
      </c>
      <c r="Q264" s="124" t="n">
        <f aca="false">E264/P$3</f>
        <v>0</v>
      </c>
      <c r="R264" s="124" t="n">
        <f aca="false">F264/R$3</f>
        <v>0</v>
      </c>
      <c r="S264" s="126" t="n">
        <f aca="false">J264/$R$3</f>
        <v>0</v>
      </c>
      <c r="T264" s="126" t="n">
        <f aca="false">L264/$R$3</f>
        <v>0</v>
      </c>
      <c r="U264" s="126" t="n">
        <f aca="false">I264/$R$3</f>
        <v>176.613</v>
      </c>
      <c r="V264" s="126" t="n">
        <f aca="false">M264/$R$3</f>
        <v>179.82</v>
      </c>
      <c r="W264" s="126" t="n">
        <f aca="false">N264/$R$3</f>
        <v>1772.755</v>
      </c>
    </row>
    <row r="265" customFormat="false" ht="12.75" hidden="true" customHeight="false" outlineLevel="0" collapsed="false">
      <c r="A265" s="120" t="n">
        <f aca="false">A264+1</f>
        <v>37151</v>
      </c>
      <c r="B265" s="131" t="str">
        <f aca="false">INDEX('Master Data'!$A$2:$B$8,MATCH(WEEKDAY('ARG Gas Firm'!A265,3),'Master Data'!$A$2:$A$8,0),2)</f>
        <v>M</v>
      </c>
      <c r="D265" s="124" t="n">
        <v>-16659349.6759373</v>
      </c>
      <c r="E265" s="124" t="n">
        <v>4439848.78660186</v>
      </c>
      <c r="F265" s="124"/>
      <c r="G265" s="124" t="n">
        <v>176610</v>
      </c>
      <c r="I265" s="124" t="n">
        <f aca="false">IF(MONTH($A265)=MONTH($A264),IF(G265=0,I264,G265),G265)</f>
        <v>176610</v>
      </c>
      <c r="J265" s="124" t="n">
        <f aca="false">IF(MONTH($A265)=MONTH($A264),SUM(I265-I264),I265)</f>
        <v>-3</v>
      </c>
      <c r="K265" s="124" t="n">
        <f aca="false">IF(WEEKDAY(A265,3)&gt;4,0,(IF(A265&lt;K$2,0,IF(A265&lt;=K$3,1,0))))</f>
        <v>0</v>
      </c>
      <c r="L265" s="124" t="n">
        <f aca="false">J265*K265</f>
        <v>-0</v>
      </c>
      <c r="M265" s="124" t="n">
        <f aca="false">SUM(J$188:J265)</f>
        <v>179817</v>
      </c>
      <c r="N265" s="124" t="n">
        <f aca="false">SUM(J$6:J265)</f>
        <v>1772752</v>
      </c>
      <c r="P265" s="124" t="n">
        <f aca="false">D265/P$3</f>
        <v>-16.6593496759373</v>
      </c>
      <c r="Q265" s="124" t="n">
        <f aca="false">E265/P$3</f>
        <v>4.43984878660186</v>
      </c>
      <c r="R265" s="124" t="n">
        <f aca="false">F265/R$3</f>
        <v>0</v>
      </c>
      <c r="S265" s="126" t="n">
        <f aca="false">J265/$R$3</f>
        <v>-0.003</v>
      </c>
      <c r="T265" s="126" t="n">
        <f aca="false">L265/$R$3</f>
        <v>-0</v>
      </c>
      <c r="U265" s="126" t="n">
        <f aca="false">I265/$R$3</f>
        <v>176.61</v>
      </c>
      <c r="V265" s="126" t="n">
        <f aca="false">M265/$R$3</f>
        <v>179.817</v>
      </c>
      <c r="W265" s="126" t="n">
        <f aca="false">N265/$R$3</f>
        <v>1772.752</v>
      </c>
    </row>
    <row r="266" customFormat="false" ht="12.75" hidden="true" customHeight="false" outlineLevel="0" collapsed="false">
      <c r="A266" s="120" t="n">
        <f aca="false">A265+1</f>
        <v>37152</v>
      </c>
      <c r="B266" s="131" t="str">
        <f aca="false">INDEX('Master Data'!$A$2:$B$8,MATCH(WEEKDAY('ARG Gas Firm'!A266,3),'Master Data'!$A$2:$A$8,0),2)</f>
        <v>T</v>
      </c>
      <c r="D266" s="124" t="n">
        <v>-16634911.0026683</v>
      </c>
      <c r="E266" s="124" t="n">
        <v>4434430.73574621</v>
      </c>
      <c r="F266" s="124"/>
      <c r="G266" s="124" t="n">
        <v>176607</v>
      </c>
      <c r="I266" s="124" t="n">
        <f aca="false">IF(MONTH($A266)=MONTH($A265),IF(G266=0,I265,G266),G266)</f>
        <v>176607</v>
      </c>
      <c r="J266" s="124" t="n">
        <f aca="false">IF(MONTH($A266)=MONTH($A265),SUM(I266-I265),I266)</f>
        <v>-3</v>
      </c>
      <c r="K266" s="124" t="n">
        <f aca="false">IF(WEEKDAY(A266,3)&gt;4,0,(IF(A266&lt;K$2,0,IF(A266&lt;=K$3,1,0))))</f>
        <v>0</v>
      </c>
      <c r="L266" s="124" t="n">
        <f aca="false">J266*K266</f>
        <v>-0</v>
      </c>
      <c r="M266" s="124" t="n">
        <f aca="false">SUM(J$188:J266)</f>
        <v>179814</v>
      </c>
      <c r="N266" s="124" t="n">
        <f aca="false">SUM(J$6:J266)</f>
        <v>1772749</v>
      </c>
      <c r="P266" s="124" t="n">
        <f aca="false">D266/P$3</f>
        <v>-16.6349110026683</v>
      </c>
      <c r="Q266" s="124" t="n">
        <f aca="false">E266/P$3</f>
        <v>4.43443073574621</v>
      </c>
      <c r="R266" s="124" t="n">
        <f aca="false">F266/R$3</f>
        <v>0</v>
      </c>
      <c r="S266" s="126" t="n">
        <f aca="false">J266/$R$3</f>
        <v>-0.003</v>
      </c>
      <c r="T266" s="126" t="n">
        <f aca="false">L266/$R$3</f>
        <v>-0</v>
      </c>
      <c r="U266" s="126" t="n">
        <f aca="false">I266/$R$3</f>
        <v>176.607</v>
      </c>
      <c r="V266" s="126" t="n">
        <f aca="false">M266/$R$3</f>
        <v>179.814</v>
      </c>
      <c r="W266" s="126" t="n">
        <f aca="false">N266/$R$3</f>
        <v>1772.749</v>
      </c>
    </row>
    <row r="267" customFormat="false" ht="12.75" hidden="true" customHeight="false" outlineLevel="0" collapsed="false">
      <c r="A267" s="120" t="n">
        <f aca="false">A266+1</f>
        <v>37153</v>
      </c>
      <c r="B267" s="131" t="str">
        <f aca="false">INDEX('Master Data'!$A$2:$B$8,MATCH(WEEKDAY('ARG Gas Firm'!A267,3),'Master Data'!$A$2:$A$8,0),2)</f>
        <v>W</v>
      </c>
      <c r="D267" s="124" t="n">
        <v>-16695151.4106206</v>
      </c>
      <c r="E267" s="124" t="n">
        <v>4449983.67529146</v>
      </c>
      <c r="F267" s="124"/>
      <c r="G267" s="124" t="n">
        <v>176603</v>
      </c>
      <c r="I267" s="124" t="n">
        <f aca="false">IF(MONTH($A267)=MONTH($A266),IF(G267=0,I266,G267),G267)</f>
        <v>176603</v>
      </c>
      <c r="J267" s="124" t="n">
        <f aca="false">IF(MONTH($A267)=MONTH($A266),SUM(I267-I266),I267)</f>
        <v>-4</v>
      </c>
      <c r="K267" s="124" t="n">
        <f aca="false">IF(WEEKDAY(A267,3)&gt;4,0,(IF(A267&lt;K$2,0,IF(A267&lt;=K$3,1,0))))</f>
        <v>0</v>
      </c>
      <c r="L267" s="124" t="n">
        <f aca="false">J267*K267</f>
        <v>-0</v>
      </c>
      <c r="M267" s="124" t="n">
        <f aca="false">SUM(J$188:J267)</f>
        <v>179810</v>
      </c>
      <c r="N267" s="124" t="n">
        <f aca="false">SUM(J$6:J267)</f>
        <v>1772745</v>
      </c>
      <c r="P267" s="124" t="n">
        <f aca="false">D267/P$3</f>
        <v>-16.6951514106206</v>
      </c>
      <c r="Q267" s="124" t="n">
        <f aca="false">E267/P$3</f>
        <v>4.44998367529146</v>
      </c>
      <c r="R267" s="124" t="n">
        <f aca="false">F267/R$3</f>
        <v>0</v>
      </c>
      <c r="S267" s="126" t="n">
        <f aca="false">J267/$R$3</f>
        <v>-0.004</v>
      </c>
      <c r="T267" s="126" t="n">
        <f aca="false">L267/$R$3</f>
        <v>-0</v>
      </c>
      <c r="U267" s="126" t="n">
        <f aca="false">I267/$R$3</f>
        <v>176.603</v>
      </c>
      <c r="V267" s="126" t="n">
        <f aca="false">M267/$R$3</f>
        <v>179.81</v>
      </c>
      <c r="W267" s="126" t="n">
        <f aca="false">N267/$R$3</f>
        <v>1772.745</v>
      </c>
    </row>
    <row r="268" customFormat="false" ht="12.75" hidden="true" customHeight="false" outlineLevel="0" collapsed="false">
      <c r="A268" s="120" t="n">
        <f aca="false">A267+1</f>
        <v>37154</v>
      </c>
      <c r="B268" s="131" t="str">
        <f aca="false">INDEX('Master Data'!$A$2:$B$8,MATCH(WEEKDAY('ARG Gas Firm'!A268,3),'Master Data'!$A$2:$A$8,0),2)</f>
        <v>Th</v>
      </c>
      <c r="D268" s="124" t="n">
        <v>-16719759.9236575</v>
      </c>
      <c r="E268" s="124" t="n">
        <v>4456626.81138384</v>
      </c>
      <c r="F268" s="124"/>
      <c r="G268" s="124" t="n">
        <v>176595</v>
      </c>
      <c r="I268" s="124" t="n">
        <f aca="false">IF(MONTH($A268)=MONTH($A267),IF(G268=0,I267,G268),G268)</f>
        <v>176595</v>
      </c>
      <c r="J268" s="124" t="n">
        <f aca="false">IF(MONTH($A268)=MONTH($A267),SUM(I268-I267),I268)</f>
        <v>-8</v>
      </c>
      <c r="K268" s="124" t="n">
        <f aca="false">IF(WEEKDAY(A268,3)&gt;4,0,(IF(A268&lt;K$2,0,IF(A268&lt;=K$3,1,0))))</f>
        <v>0</v>
      </c>
      <c r="L268" s="124" t="n">
        <f aca="false">J268*K268</f>
        <v>-0</v>
      </c>
      <c r="M268" s="124" t="n">
        <f aca="false">SUM(J$188:J268)</f>
        <v>179802</v>
      </c>
      <c r="N268" s="124" t="n">
        <f aca="false">SUM(J$6:J268)</f>
        <v>1772737</v>
      </c>
      <c r="P268" s="124" t="n">
        <f aca="false">D268/P$3</f>
        <v>-16.7197599236575</v>
      </c>
      <c r="Q268" s="124" t="n">
        <f aca="false">E268/P$3</f>
        <v>4.45662681138384</v>
      </c>
      <c r="R268" s="124" t="n">
        <f aca="false">F268/R$3</f>
        <v>0</v>
      </c>
      <c r="S268" s="126" t="n">
        <f aca="false">J268/$R$3</f>
        <v>-0.008</v>
      </c>
      <c r="T268" s="126" t="n">
        <f aca="false">L268/$R$3</f>
        <v>-0</v>
      </c>
      <c r="U268" s="126" t="n">
        <f aca="false">I268/$R$3</f>
        <v>176.595</v>
      </c>
      <c r="V268" s="126" t="n">
        <f aca="false">M268/$R$3</f>
        <v>179.802</v>
      </c>
      <c r="W268" s="126" t="n">
        <f aca="false">N268/$R$3</f>
        <v>1772.737</v>
      </c>
    </row>
    <row r="269" customFormat="false" ht="12.75" hidden="true" customHeight="false" outlineLevel="0" collapsed="false">
      <c r="A269" s="120" t="n">
        <f aca="false">A268+1</f>
        <v>37155</v>
      </c>
      <c r="B269" s="131" t="str">
        <f aca="false">INDEX('Master Data'!$A$2:$B$8,MATCH(WEEKDAY('ARG Gas Firm'!A269,3),'Master Data'!$A$2:$A$8,0),2)</f>
        <v>F</v>
      </c>
      <c r="D269" s="124" t="n">
        <v>-16742375.1889225</v>
      </c>
      <c r="E269" s="124" t="n">
        <v>4462320.88235294</v>
      </c>
      <c r="F269" s="124"/>
      <c r="G269" s="124" t="n">
        <v>176596</v>
      </c>
      <c r="I269" s="124" t="n">
        <f aca="false">IF(MONTH($A269)=MONTH($A268),IF(G269=0,I268,G269),G269)</f>
        <v>176596</v>
      </c>
      <c r="J269" s="124" t="n">
        <f aca="false">IF(MONTH($A269)=MONTH($A268),SUM(I269-I268),I269)</f>
        <v>1</v>
      </c>
      <c r="K269" s="124" t="n">
        <f aca="false">IF(WEEKDAY(A269,3)&gt;4,0,(IF(A269&lt;K$2,0,IF(A269&lt;=K$3,1,0))))</f>
        <v>0</v>
      </c>
      <c r="L269" s="124" t="n">
        <f aca="false">J269*K269</f>
        <v>0</v>
      </c>
      <c r="M269" s="124" t="n">
        <f aca="false">SUM(J$188:J269)</f>
        <v>179803</v>
      </c>
      <c r="N269" s="124" t="n">
        <f aca="false">SUM(J$6:J269)</f>
        <v>1772738</v>
      </c>
      <c r="P269" s="124" t="n">
        <f aca="false">D269/P$3</f>
        <v>-16.7423751889225</v>
      </c>
      <c r="Q269" s="124" t="n">
        <f aca="false">E269/P$3</f>
        <v>4.46232088235294</v>
      </c>
      <c r="R269" s="124" t="n">
        <f aca="false">F269/R$3</f>
        <v>0</v>
      </c>
      <c r="S269" s="126" t="n">
        <f aca="false">J269/$R$3</f>
        <v>0.001</v>
      </c>
      <c r="T269" s="126" t="n">
        <f aca="false">L269/$R$3</f>
        <v>0</v>
      </c>
      <c r="U269" s="126" t="n">
        <f aca="false">I269/$R$3</f>
        <v>176.596</v>
      </c>
      <c r="V269" s="126" t="n">
        <f aca="false">M269/$R$3</f>
        <v>179.803</v>
      </c>
      <c r="W269" s="126" t="n">
        <f aca="false">N269/$R$3</f>
        <v>1772.738</v>
      </c>
    </row>
    <row r="270" customFormat="false" ht="12.75" hidden="true" customHeight="false" outlineLevel="0" collapsed="false">
      <c r="A270" s="120" t="n">
        <f aca="false">A269+1</f>
        <v>37156</v>
      </c>
      <c r="B270" s="131" t="str">
        <f aca="false">INDEX('Master Data'!$A$2:$B$8,MATCH(WEEKDAY('ARG Gas Firm'!A270,3),'Master Data'!$A$2:$A$8,0),2)</f>
        <v>Sa</v>
      </c>
      <c r="D270" s="124"/>
      <c r="E270" s="124"/>
      <c r="F270" s="124"/>
      <c r="G270" s="124"/>
      <c r="I270" s="124" t="n">
        <f aca="false">IF(MONTH($A270)=MONTH($A269),IF(G270=0,I269,G270),G270)</f>
        <v>176596</v>
      </c>
      <c r="J270" s="124" t="n">
        <f aca="false">IF(MONTH($A270)=MONTH($A269),SUM(I270-I269),I270)</f>
        <v>0</v>
      </c>
      <c r="K270" s="124" t="n">
        <f aca="false">IF(WEEKDAY(A270,3)&gt;4,0,(IF(A270&lt;K$2,0,IF(A270&lt;=K$3,1,0))))</f>
        <v>0</v>
      </c>
      <c r="L270" s="124" t="n">
        <f aca="false">J270*K270</f>
        <v>0</v>
      </c>
      <c r="M270" s="124" t="n">
        <f aca="false">SUM(J$188:J270)</f>
        <v>179803</v>
      </c>
      <c r="N270" s="124" t="n">
        <f aca="false">SUM(J$6:J270)</f>
        <v>1772738</v>
      </c>
      <c r="P270" s="124" t="n">
        <f aca="false">D270/P$3</f>
        <v>0</v>
      </c>
      <c r="Q270" s="124" t="n">
        <f aca="false">E270/P$3</f>
        <v>0</v>
      </c>
      <c r="R270" s="124" t="n">
        <f aca="false">F270/R$3</f>
        <v>0</v>
      </c>
      <c r="S270" s="126" t="n">
        <f aca="false">J270/$R$3</f>
        <v>0</v>
      </c>
      <c r="T270" s="126" t="n">
        <f aca="false">L270/$R$3</f>
        <v>0</v>
      </c>
      <c r="U270" s="126" t="n">
        <f aca="false">I270/$R$3</f>
        <v>176.596</v>
      </c>
      <c r="V270" s="126" t="n">
        <f aca="false">M270/$R$3</f>
        <v>179.803</v>
      </c>
      <c r="W270" s="126" t="n">
        <f aca="false">N270/$R$3</f>
        <v>1772.738</v>
      </c>
    </row>
    <row r="271" customFormat="false" ht="12.75" hidden="true" customHeight="false" outlineLevel="0" collapsed="false">
      <c r="A271" s="120" t="n">
        <f aca="false">A270+1</f>
        <v>37157</v>
      </c>
      <c r="B271" s="131" t="str">
        <f aca="false">INDEX('Master Data'!$A$2:$B$8,MATCH(WEEKDAY('ARG Gas Firm'!A271,3),'Master Data'!$A$2:$A$8,0),2)</f>
        <v>Su</v>
      </c>
      <c r="D271" s="124"/>
      <c r="E271" s="124"/>
      <c r="F271" s="124"/>
      <c r="G271" s="124"/>
      <c r="I271" s="124" t="n">
        <f aca="false">IF(MONTH($A271)=MONTH($A270),IF(G271=0,I270,G271),G271)</f>
        <v>176596</v>
      </c>
      <c r="J271" s="124" t="n">
        <f aca="false">IF(MONTH($A271)=MONTH($A270),SUM(I271-I270),I271)</f>
        <v>0</v>
      </c>
      <c r="K271" s="124" t="n">
        <f aca="false">IF(WEEKDAY(A271,3)&gt;4,0,(IF(A271&lt;K$2,0,IF(A271&lt;=K$3,1,0))))</f>
        <v>0</v>
      </c>
      <c r="L271" s="124" t="n">
        <f aca="false">J271*K271</f>
        <v>0</v>
      </c>
      <c r="M271" s="124" t="n">
        <f aca="false">SUM(J$188:J271)</f>
        <v>179803</v>
      </c>
      <c r="N271" s="124" t="n">
        <f aca="false">SUM(J$6:J271)</f>
        <v>1772738</v>
      </c>
      <c r="P271" s="124" t="n">
        <f aca="false">D271/P$3</f>
        <v>0</v>
      </c>
      <c r="Q271" s="124" t="n">
        <f aca="false">E271/P$3</f>
        <v>0</v>
      </c>
      <c r="R271" s="124" t="n">
        <f aca="false">F271/R$3</f>
        <v>0</v>
      </c>
      <c r="S271" s="126" t="n">
        <f aca="false">J271/$R$3</f>
        <v>0</v>
      </c>
      <c r="T271" s="126" t="n">
        <f aca="false">L271/$R$3</f>
        <v>0</v>
      </c>
      <c r="U271" s="126" t="n">
        <f aca="false">I271/$R$3</f>
        <v>176.596</v>
      </c>
      <c r="V271" s="126" t="n">
        <f aca="false">M271/$R$3</f>
        <v>179.803</v>
      </c>
      <c r="W271" s="126" t="n">
        <f aca="false">N271/$R$3</f>
        <v>1772.738</v>
      </c>
    </row>
    <row r="272" customFormat="false" ht="12.75" hidden="true" customHeight="false" outlineLevel="0" collapsed="false">
      <c r="A272" s="120" t="n">
        <f aca="false">A271+1</f>
        <v>37158</v>
      </c>
      <c r="B272" s="131" t="str">
        <f aca="false">INDEX('Master Data'!$A$2:$B$8,MATCH(WEEKDAY('ARG Gas Firm'!A272,3),'Master Data'!$A$2:$A$8,0),2)</f>
        <v>M</v>
      </c>
      <c r="D272" s="124" t="n">
        <v>-16736219.4882585</v>
      </c>
      <c r="E272" s="124" t="n">
        <v>4460817.42832416</v>
      </c>
      <c r="F272" s="124"/>
      <c r="G272" s="124" t="n">
        <v>176599</v>
      </c>
      <c r="I272" s="124" t="n">
        <f aca="false">IF(MONTH($A272)=MONTH($A271),IF(G272=0,I271,G272),G272)</f>
        <v>176599</v>
      </c>
      <c r="J272" s="124" t="n">
        <f aca="false">IF(MONTH($A272)=MONTH($A271),SUM(I272-I271),I272)</f>
        <v>3</v>
      </c>
      <c r="K272" s="124" t="n">
        <f aca="false">IF(WEEKDAY(A272,3)&gt;4,0,(IF(A272&lt;K$2,0,IF(A272&lt;=K$3,1,0))))</f>
        <v>0</v>
      </c>
      <c r="L272" s="124" t="n">
        <f aca="false">J272*K272</f>
        <v>0</v>
      </c>
      <c r="M272" s="124" t="n">
        <f aca="false">SUM(J$188:J272)</f>
        <v>179806</v>
      </c>
      <c r="N272" s="124" t="n">
        <f aca="false">SUM(J$6:J272)</f>
        <v>1772741</v>
      </c>
      <c r="P272" s="124" t="n">
        <f aca="false">D272/P$3</f>
        <v>-16.7362194882585</v>
      </c>
      <c r="Q272" s="124" t="n">
        <f aca="false">E272/P$3</f>
        <v>4.46081742832416</v>
      </c>
      <c r="R272" s="124" t="n">
        <f aca="false">F272/R$3</f>
        <v>0</v>
      </c>
      <c r="S272" s="126" t="n">
        <f aca="false">J272/$R$3</f>
        <v>0.003</v>
      </c>
      <c r="T272" s="126" t="n">
        <f aca="false">L272/$R$3</f>
        <v>0</v>
      </c>
      <c r="U272" s="126" t="n">
        <f aca="false">I272/$R$3</f>
        <v>176.599</v>
      </c>
      <c r="V272" s="126" t="n">
        <f aca="false">M272/$R$3</f>
        <v>179.806</v>
      </c>
      <c r="W272" s="126" t="n">
        <f aca="false">N272/$R$3</f>
        <v>1772.741</v>
      </c>
    </row>
    <row r="273" customFormat="false" ht="12.75" hidden="true" customHeight="false" outlineLevel="0" collapsed="false">
      <c r="A273" s="120" t="n">
        <f aca="false">A272+1</f>
        <v>37159</v>
      </c>
      <c r="B273" s="131" t="str">
        <f aca="false">INDEX('Master Data'!$A$2:$B$8,MATCH(WEEKDAY('ARG Gas Firm'!A273,3),'Master Data'!$A$2:$A$8,0),2)</f>
        <v>T</v>
      </c>
      <c r="D273" s="124" t="n">
        <v>-16768447.1804158</v>
      </c>
      <c r="E273" s="124" t="n">
        <v>4469877.83849086</v>
      </c>
      <c r="F273" s="124"/>
      <c r="G273" s="124" t="n">
        <v>176599.0488</v>
      </c>
      <c r="I273" s="124" t="n">
        <f aca="false">IF(MONTH($A273)=MONTH($A272),IF(G273=0,I272,G273),G273)</f>
        <v>176599.0488</v>
      </c>
      <c r="J273" s="124" t="n">
        <f aca="false">IF(MONTH($A273)=MONTH($A272),SUM(I273-I272),I273)</f>
        <v>0.0487999999895692</v>
      </c>
      <c r="K273" s="124" t="n">
        <f aca="false">IF(WEEKDAY(A273,3)&gt;4,0,(IF(A273&lt;K$2,0,IF(A273&lt;=K$3,1,0))))</f>
        <v>0</v>
      </c>
      <c r="L273" s="124" t="n">
        <f aca="false">J273*K273</f>
        <v>0</v>
      </c>
      <c r="M273" s="124" t="n">
        <f aca="false">SUM(J$188:J273)</f>
        <v>179806.0488</v>
      </c>
      <c r="N273" s="124" t="n">
        <f aca="false">SUM(J$6:J273)</f>
        <v>1772741.0488</v>
      </c>
      <c r="P273" s="124" t="n">
        <f aca="false">D273/P$3</f>
        <v>-16.7684471804158</v>
      </c>
      <c r="Q273" s="124" t="n">
        <f aca="false">E273/P$3</f>
        <v>4.46987783849087</v>
      </c>
      <c r="R273" s="124" t="n">
        <f aca="false">F273/R$3</f>
        <v>0</v>
      </c>
      <c r="S273" s="126" t="n">
        <f aca="false">J273/$R$3</f>
        <v>4.87999999895692E-005</v>
      </c>
      <c r="T273" s="126" t="n">
        <f aca="false">L273/$R$3</f>
        <v>0</v>
      </c>
      <c r="U273" s="126" t="n">
        <f aca="false">I273/$R$3</f>
        <v>176.5990488</v>
      </c>
      <c r="V273" s="126" t="n">
        <f aca="false">M273/$R$3</f>
        <v>179.8060488</v>
      </c>
      <c r="W273" s="126" t="n">
        <f aca="false">N273/$R$3</f>
        <v>1772.7410488</v>
      </c>
    </row>
    <row r="274" customFormat="false" ht="12.75" hidden="true" customHeight="false" outlineLevel="0" collapsed="false">
      <c r="A274" s="120" t="n">
        <f aca="false">A273+1</f>
        <v>37160</v>
      </c>
      <c r="B274" s="131" t="str">
        <f aca="false">INDEX('Master Data'!$A$2:$B$8,MATCH(WEEKDAY('ARG Gas Firm'!A274,3),'Master Data'!$A$2:$A$8,0),2)</f>
        <v>W</v>
      </c>
      <c r="D274" s="124" t="n">
        <v>-16804639.9155346</v>
      </c>
      <c r="E274" s="124" t="n">
        <v>4476892.29882309</v>
      </c>
      <c r="F274" s="124"/>
      <c r="G274" s="124" t="n">
        <v>176599</v>
      </c>
      <c r="I274" s="124" t="n">
        <f aca="false">IF(MONTH($A274)=MONTH($A273),IF(G274=0,I273,G274),G274)</f>
        <v>176599</v>
      </c>
      <c r="J274" s="124" t="n">
        <f aca="false">IF(MONTH($A274)=MONTH($A273),SUM(I274-I273),I274)</f>
        <v>-0.0487999999895692</v>
      </c>
      <c r="K274" s="124" t="n">
        <f aca="false">IF(WEEKDAY(A274,3)&gt;4,0,(IF(A274&lt;K$2,0,IF(A274&lt;=K$3,1,0))))</f>
        <v>0</v>
      </c>
      <c r="L274" s="124" t="n">
        <f aca="false">J274*K274</f>
        <v>-0</v>
      </c>
      <c r="M274" s="124" t="n">
        <f aca="false">SUM(J$188:J274)</f>
        <v>179806</v>
      </c>
      <c r="N274" s="124" t="n">
        <f aca="false">SUM(J$6:J274)</f>
        <v>1772741</v>
      </c>
      <c r="P274" s="124" t="n">
        <f aca="false">D274/P$3</f>
        <v>-16.8046399155346</v>
      </c>
      <c r="Q274" s="124" t="n">
        <f aca="false">E274/P$3</f>
        <v>4.47689229882309</v>
      </c>
      <c r="R274" s="124" t="n">
        <f aca="false">F274/R$3</f>
        <v>0</v>
      </c>
      <c r="S274" s="126" t="n">
        <f aca="false">J274/$R$3</f>
        <v>-4.87999999895692E-005</v>
      </c>
      <c r="T274" s="126" t="n">
        <f aca="false">L274/$R$3</f>
        <v>-0</v>
      </c>
      <c r="U274" s="126" t="n">
        <f aca="false">I274/$R$3</f>
        <v>176.599</v>
      </c>
      <c r="V274" s="126" t="n">
        <f aca="false">M274/$R$3</f>
        <v>179.806</v>
      </c>
      <c r="W274" s="126" t="n">
        <f aca="false">N274/$R$3</f>
        <v>1772.741</v>
      </c>
    </row>
    <row r="275" customFormat="false" ht="12.75" hidden="true" customHeight="false" outlineLevel="0" collapsed="false">
      <c r="A275" s="120" t="n">
        <f aca="false">A274+1</f>
        <v>37161</v>
      </c>
      <c r="B275" s="131" t="str">
        <f aca="false">INDEX('Master Data'!$A$2:$B$8,MATCH(WEEKDAY('ARG Gas Firm'!A275,3),'Master Data'!$A$2:$A$8,0),2)</f>
        <v>Th</v>
      </c>
      <c r="D275" s="124" t="n">
        <v>-16851685.8033975</v>
      </c>
      <c r="E275" s="124" t="n">
        <v>4485403.27025092</v>
      </c>
      <c r="F275" s="124"/>
      <c r="G275" s="124" t="n">
        <v>176599</v>
      </c>
      <c r="I275" s="124" t="n">
        <f aca="false">IF(MONTH($A275)=MONTH($A274),IF(G275=0,I274,G275),G275)</f>
        <v>176599</v>
      </c>
      <c r="J275" s="124" t="n">
        <f aca="false">IF(MONTH($A275)=MONTH($A274),SUM(I275-I274),I275)</f>
        <v>0</v>
      </c>
      <c r="K275" s="124" t="n">
        <f aca="false">IF(WEEKDAY(A275,3)&gt;4,0,(IF(A275&lt;K$2,0,IF(A275&lt;=K$3,1,0))))</f>
        <v>0</v>
      </c>
      <c r="L275" s="124" t="n">
        <f aca="false">J275*K275</f>
        <v>0</v>
      </c>
      <c r="M275" s="124" t="n">
        <f aca="false">SUM(J$188:J275)</f>
        <v>179806</v>
      </c>
      <c r="N275" s="124" t="n">
        <f aca="false">SUM(J$6:J275)</f>
        <v>1772741</v>
      </c>
      <c r="P275" s="124" t="n">
        <f aca="false">D275/P$3</f>
        <v>-16.8516858033975</v>
      </c>
      <c r="Q275" s="124" t="n">
        <f aca="false">E275/P$3</f>
        <v>4.48540327025092</v>
      </c>
      <c r="R275" s="124" t="n">
        <f aca="false">F275/R$3</f>
        <v>0</v>
      </c>
      <c r="S275" s="126" t="n">
        <f aca="false">J275/$R$3</f>
        <v>0</v>
      </c>
      <c r="T275" s="126" t="n">
        <f aca="false">L275/$R$3</f>
        <v>0</v>
      </c>
      <c r="U275" s="126" t="n">
        <f aca="false">I275/$R$3</f>
        <v>176.599</v>
      </c>
      <c r="V275" s="126" t="n">
        <f aca="false">M275/$R$3</f>
        <v>179.806</v>
      </c>
      <c r="W275" s="126" t="n">
        <f aca="false">N275/$R$3</f>
        <v>1772.741</v>
      </c>
    </row>
    <row r="276" customFormat="false" ht="12.75" hidden="false" customHeight="false" outlineLevel="0" collapsed="false">
      <c r="A276" s="120" t="n">
        <f aca="false">A275+1</f>
        <v>37162</v>
      </c>
      <c r="B276" s="131" t="str">
        <f aca="false">INDEX('Master Data'!$A$2:$B$8,MATCH(WEEKDAY('ARG Gas Firm'!A276,3),'Master Data'!$A$2:$A$8,0),2)</f>
        <v>F</v>
      </c>
      <c r="D276" s="124" t="n">
        <v>-16890729.3601341</v>
      </c>
      <c r="E276" s="124" t="n">
        <v>4477734.23116809</v>
      </c>
      <c r="F276" s="124"/>
      <c r="G276" s="124" t="n">
        <v>176601</v>
      </c>
      <c r="I276" s="124" t="n">
        <f aca="false">IF(MONTH($A276)=MONTH($A275),IF(G276=0,I275,G276),G276)</f>
        <v>176601</v>
      </c>
      <c r="J276" s="124" t="n">
        <f aca="false">IF(MONTH($A276)=MONTH($A275),SUM(I276-I275),I276)</f>
        <v>2</v>
      </c>
      <c r="K276" s="124" t="n">
        <f aca="false">IF(WEEKDAY(A276,3)&gt;4,0,(IF(A276&lt;K$2,0,IF(A276&lt;=K$3,1,0))))</f>
        <v>0</v>
      </c>
      <c r="L276" s="124" t="n">
        <f aca="false">J276*K276</f>
        <v>0</v>
      </c>
      <c r="M276" s="124" t="n">
        <f aca="false">SUM(J$188:J276)</f>
        <v>179808</v>
      </c>
      <c r="N276" s="124" t="n">
        <f aca="false">SUM(J$6:J276)</f>
        <v>1772743</v>
      </c>
      <c r="P276" s="124" t="n">
        <f aca="false">D276/P$3</f>
        <v>-16.8907293601341</v>
      </c>
      <c r="Q276" s="124" t="n">
        <f aca="false">E276/P$3</f>
        <v>4.47773423116809</v>
      </c>
      <c r="R276" s="124" t="n">
        <f aca="false">F276/R$3</f>
        <v>0</v>
      </c>
      <c r="S276" s="126" t="n">
        <f aca="false">J276/$R$3</f>
        <v>0.002</v>
      </c>
      <c r="T276" s="126" t="n">
        <f aca="false">L276/$R$3</f>
        <v>0</v>
      </c>
      <c r="U276" s="126" t="n">
        <f aca="false">I276/$R$3</f>
        <v>176.601</v>
      </c>
      <c r="V276" s="126" t="n">
        <f aca="false">M276/$R$3</f>
        <v>179.808</v>
      </c>
      <c r="W276" s="126" t="n">
        <f aca="false">N276/$R$3</f>
        <v>1772.743</v>
      </c>
    </row>
    <row r="277" customFormat="false" ht="12.75" hidden="false" customHeight="false" outlineLevel="0" collapsed="false">
      <c r="A277" s="120" t="n">
        <f aca="false">A276+1</f>
        <v>37163</v>
      </c>
      <c r="B277" s="131" t="str">
        <f aca="false">INDEX('Master Data'!$A$2:$B$8,MATCH(WEEKDAY('ARG Gas Firm'!A277,3),'Master Data'!$A$2:$A$8,0),2)</f>
        <v>Sa</v>
      </c>
      <c r="D277" s="124"/>
      <c r="E277" s="124"/>
      <c r="F277" s="124"/>
      <c r="G277" s="124"/>
      <c r="I277" s="124" t="n">
        <f aca="false">IF(MONTH($A277)=MONTH($A276),IF(G277=0,I276,G277),G277)</f>
        <v>176601</v>
      </c>
      <c r="J277" s="124" t="n">
        <f aca="false">IF(MONTH($A277)=MONTH($A276),SUM(I277-I276),I277)</f>
        <v>0</v>
      </c>
      <c r="K277" s="124" t="n">
        <f aca="false">IF(WEEKDAY(A277,3)&gt;4,0,(IF(A277&lt;K$2,0,IF(A277&lt;=K$3,1,0))))</f>
        <v>0</v>
      </c>
      <c r="L277" s="124" t="n">
        <f aca="false">J277*K277</f>
        <v>0</v>
      </c>
      <c r="M277" s="124" t="n">
        <f aca="false">SUM(J$188:J277)</f>
        <v>179808</v>
      </c>
      <c r="N277" s="124" t="n">
        <f aca="false">SUM(J$6:J277)</f>
        <v>1772743</v>
      </c>
      <c r="P277" s="124" t="n">
        <f aca="false">D277/P$3</f>
        <v>0</v>
      </c>
      <c r="Q277" s="124" t="n">
        <f aca="false">E277/P$3</f>
        <v>0</v>
      </c>
      <c r="R277" s="124" t="n">
        <f aca="false">F277/R$3</f>
        <v>0</v>
      </c>
      <c r="S277" s="126" t="n">
        <f aca="false">J277/$R$3</f>
        <v>0</v>
      </c>
      <c r="T277" s="126" t="n">
        <f aca="false">L277/$R$3</f>
        <v>0</v>
      </c>
      <c r="U277" s="126" t="n">
        <f aca="false">I277/$R$3</f>
        <v>176.601</v>
      </c>
      <c r="V277" s="126" t="n">
        <f aca="false">M277/$R$3</f>
        <v>179.808</v>
      </c>
      <c r="W277" s="126" t="n">
        <f aca="false">N277/$R$3</f>
        <v>1772.743</v>
      </c>
    </row>
    <row r="278" customFormat="false" ht="12.75" hidden="false" customHeight="false" outlineLevel="0" collapsed="false">
      <c r="A278" s="120" t="n">
        <f aca="false">A277+1</f>
        <v>37164</v>
      </c>
      <c r="B278" s="131" t="str">
        <f aca="false">INDEX('Master Data'!$A$2:$B$8,MATCH(WEEKDAY('ARG Gas Firm'!A278,3),'Master Data'!$A$2:$A$8,0),2)</f>
        <v>Su</v>
      </c>
      <c r="D278" s="124"/>
      <c r="E278" s="124"/>
      <c r="F278" s="124"/>
      <c r="G278" s="124"/>
      <c r="I278" s="124" t="n">
        <f aca="false">IF(MONTH($A278)=MONTH($A277),IF(G278=0,I277,G278),G278)</f>
        <v>176601</v>
      </c>
      <c r="J278" s="124" t="n">
        <f aca="false">IF(MONTH($A278)=MONTH($A277),SUM(I278-I277),I278)</f>
        <v>0</v>
      </c>
      <c r="K278" s="124" t="n">
        <f aca="false">IF(WEEKDAY(A278,3)&gt;4,0,(IF(A278&lt;K$2,0,IF(A278&lt;=K$3,1,0))))</f>
        <v>0</v>
      </c>
      <c r="L278" s="124" t="n">
        <f aca="false">J278*K278</f>
        <v>0</v>
      </c>
      <c r="M278" s="124" t="n">
        <f aca="false">SUM(J$188:J278)</f>
        <v>179808</v>
      </c>
      <c r="N278" s="124" t="n">
        <f aca="false">SUM(J$6:J278)</f>
        <v>1772743</v>
      </c>
      <c r="P278" s="124" t="n">
        <f aca="false">D278/P$3</f>
        <v>0</v>
      </c>
      <c r="Q278" s="124" t="n">
        <f aca="false">E278/P$3</f>
        <v>0</v>
      </c>
      <c r="R278" s="124" t="n">
        <f aca="false">F278/R$3</f>
        <v>0</v>
      </c>
      <c r="S278" s="126" t="n">
        <f aca="false">J278/$R$3</f>
        <v>0</v>
      </c>
      <c r="T278" s="126" t="n">
        <f aca="false">L278/$R$3</f>
        <v>0</v>
      </c>
      <c r="U278" s="126" t="n">
        <f aca="false">I278/$R$3</f>
        <v>176.601</v>
      </c>
      <c r="V278" s="126" t="n">
        <f aca="false">M278/$R$3</f>
        <v>179.808</v>
      </c>
      <c r="W278" s="126" t="n">
        <f aca="false">N278/$R$3</f>
        <v>1772.743</v>
      </c>
    </row>
    <row r="279" customFormat="false" ht="12.75" hidden="true" customHeight="false" outlineLevel="0" collapsed="false">
      <c r="A279" s="120" t="n">
        <f aca="false">A278+1</f>
        <v>37165</v>
      </c>
      <c r="B279" s="131" t="str">
        <f aca="false">INDEX('Master Data'!$A$2:$B$8,MATCH(WEEKDAY('ARG Gas Firm'!A279,3),'Master Data'!$A$2:$A$8,0),2)</f>
        <v>M</v>
      </c>
      <c r="D279" s="124" t="n">
        <v>-16989264.0285279</v>
      </c>
      <c r="E279" s="124" t="n">
        <v>4480175.36262885</v>
      </c>
      <c r="F279" s="124"/>
      <c r="G279" s="124" t="n">
        <v>5450</v>
      </c>
      <c r="I279" s="124" t="n">
        <f aca="false">IF(MONTH($A279)=MONTH($A278),IF(G279=0,I278,G279),G279)</f>
        <v>5450</v>
      </c>
      <c r="J279" s="124" t="n">
        <f aca="false">IF(MONTH($A279)=MONTH($A278),SUM(I279-I278),I279)</f>
        <v>5450</v>
      </c>
      <c r="K279" s="124" t="n">
        <f aca="false">IF(WEEKDAY(A279,3)&gt;4,0,(IF(A279&lt;K$2,0,IF(A279&lt;=K$3,1,0))))</f>
        <v>0</v>
      </c>
      <c r="L279" s="124" t="n">
        <f aca="false">J279*K279</f>
        <v>0</v>
      </c>
      <c r="M279" s="124" t="n">
        <f aca="false">SUM(J$188:J279)</f>
        <v>185258</v>
      </c>
      <c r="N279" s="124" t="n">
        <f aca="false">SUM(J$6:J279)</f>
        <v>1778193</v>
      </c>
      <c r="P279" s="124" t="n">
        <f aca="false">D279/P$3</f>
        <v>-16.9892640285279</v>
      </c>
      <c r="Q279" s="124" t="n">
        <f aca="false">E279/P$3</f>
        <v>4.48017536262885</v>
      </c>
      <c r="R279" s="124" t="n">
        <f aca="false">F279/R$3</f>
        <v>0</v>
      </c>
      <c r="S279" s="126" t="n">
        <f aca="false">J279/$R$3</f>
        <v>5.45</v>
      </c>
      <c r="T279" s="126" t="n">
        <f aca="false">L279/$R$3</f>
        <v>0</v>
      </c>
      <c r="U279" s="126" t="n">
        <f aca="false">I279/$R$3</f>
        <v>5.45</v>
      </c>
      <c r="V279" s="126" t="n">
        <f aca="false">M279/$R$3</f>
        <v>185.258</v>
      </c>
      <c r="W279" s="126" t="n">
        <f aca="false">N279/$R$3</f>
        <v>1778.193</v>
      </c>
    </row>
    <row r="280" customFormat="false" ht="12.75" hidden="true" customHeight="false" outlineLevel="0" collapsed="false">
      <c r="A280" s="120" t="n">
        <f aca="false">A279+1</f>
        <v>37166</v>
      </c>
      <c r="B280" s="131" t="str">
        <f aca="false">INDEX('Master Data'!$A$2:$B$8,MATCH(WEEKDAY('ARG Gas Firm'!A280,3),'Master Data'!$A$2:$A$8,0),2)</f>
        <v>T</v>
      </c>
      <c r="D280" s="124" t="n">
        <v>-17026991.6119692</v>
      </c>
      <c r="E280" s="124" t="n">
        <v>4490398.31214594</v>
      </c>
      <c r="F280" s="124"/>
      <c r="G280" s="124" t="n">
        <v>-61103</v>
      </c>
      <c r="I280" s="124" t="n">
        <f aca="false">IF(MONTH($A280)=MONTH($A279),IF(G280=0,I279,G280),G280)</f>
        <v>-61103</v>
      </c>
      <c r="J280" s="124" t="n">
        <f aca="false">IF(MONTH($A280)=MONTH($A279),SUM(I280-I279),I280)</f>
        <v>-66553</v>
      </c>
      <c r="K280" s="124" t="n">
        <f aca="false">IF(WEEKDAY(A280,3)&gt;4,0,(IF(A280&lt;K$2,0,IF(A280&lt;=K$3,1,0))))</f>
        <v>0</v>
      </c>
      <c r="L280" s="124" t="n">
        <f aca="false">J280*K280</f>
        <v>-0</v>
      </c>
      <c r="M280" s="124" t="n">
        <f aca="false">SUM(J$188:J280)</f>
        <v>118705</v>
      </c>
      <c r="N280" s="124" t="n">
        <f aca="false">SUM(J$6:J280)</f>
        <v>1711640</v>
      </c>
      <c r="P280" s="124" t="n">
        <f aca="false">D280/P$3</f>
        <v>-17.0269916119692</v>
      </c>
      <c r="Q280" s="124" t="n">
        <f aca="false">E280/P$3</f>
        <v>4.49039831214594</v>
      </c>
      <c r="R280" s="124" t="n">
        <f aca="false">F280/R$3</f>
        <v>0</v>
      </c>
      <c r="S280" s="126" t="n">
        <f aca="false">J280/$R$3</f>
        <v>-66.553</v>
      </c>
      <c r="T280" s="126" t="n">
        <f aca="false">L280/$R$3</f>
        <v>-0</v>
      </c>
      <c r="U280" s="126" t="n">
        <f aca="false">I280/$R$3</f>
        <v>-61.103</v>
      </c>
      <c r="V280" s="126" t="n">
        <f aca="false">M280/$R$3</f>
        <v>118.705</v>
      </c>
      <c r="W280" s="126" t="n">
        <f aca="false">N280/$R$3</f>
        <v>1711.64</v>
      </c>
    </row>
    <row r="281" customFormat="false" ht="12.75" hidden="true" customHeight="false" outlineLevel="0" collapsed="false">
      <c r="A281" s="120" t="n">
        <f aca="false">A280+1</f>
        <v>37167</v>
      </c>
      <c r="B281" s="131" t="str">
        <f aca="false">INDEX('Master Data'!$A$2:$B$8,MATCH(WEEKDAY('ARG Gas Firm'!A281,3),'Master Data'!$A$2:$A$8,0),2)</f>
        <v>W</v>
      </c>
      <c r="D281" s="124" t="n">
        <v>-17035858.2969446</v>
      </c>
      <c r="E281" s="124" t="n">
        <v>4491585.10473386</v>
      </c>
      <c r="F281" s="124"/>
      <c r="G281" s="124" t="n">
        <v>-61104</v>
      </c>
      <c r="I281" s="124" t="n">
        <f aca="false">IF(MONTH($A281)=MONTH($A280),IF(G281=0,I280,G281),G281)</f>
        <v>-61104</v>
      </c>
      <c r="J281" s="124" t="n">
        <f aca="false">IF(MONTH($A281)=MONTH($A280),SUM(I281-I280),I281)</f>
        <v>-1</v>
      </c>
      <c r="K281" s="124" t="n">
        <f aca="false">IF(WEEKDAY(A281,3)&gt;4,0,(IF(A281&lt;K$2,0,IF(A281&lt;=K$3,1,0))))</f>
        <v>0</v>
      </c>
      <c r="L281" s="124" t="n">
        <f aca="false">J281*K281</f>
        <v>-0</v>
      </c>
      <c r="M281" s="124" t="n">
        <f aca="false">SUM(J$188:J281)</f>
        <v>118704</v>
      </c>
      <c r="N281" s="124" t="n">
        <f aca="false">SUM(J$6:J281)</f>
        <v>1711639</v>
      </c>
      <c r="P281" s="124" t="n">
        <f aca="false">D281/P$3</f>
        <v>-17.0358582969446</v>
      </c>
      <c r="Q281" s="124" t="n">
        <f aca="false">E281/P$3</f>
        <v>4.49158510473386</v>
      </c>
      <c r="R281" s="124" t="n">
        <f aca="false">F281/R$3</f>
        <v>0</v>
      </c>
      <c r="S281" s="126" t="n">
        <f aca="false">J281/$R$3</f>
        <v>-0.001</v>
      </c>
      <c r="T281" s="126" t="n">
        <f aca="false">L281/$R$3</f>
        <v>-0</v>
      </c>
      <c r="U281" s="126" t="n">
        <f aca="false">I281/$R$3</f>
        <v>-61.104</v>
      </c>
      <c r="V281" s="126" t="n">
        <f aca="false">M281/$R$3</f>
        <v>118.704</v>
      </c>
      <c r="W281" s="126" t="n">
        <f aca="false">N281/$R$3</f>
        <v>1711.639</v>
      </c>
    </row>
    <row r="282" customFormat="false" ht="12.75" hidden="true" customHeight="false" outlineLevel="0" collapsed="false">
      <c r="A282" s="120" t="n">
        <f aca="false">A281+1</f>
        <v>37168</v>
      </c>
      <c r="B282" s="131" t="str">
        <f aca="false">INDEX('Master Data'!$A$2:$B$8,MATCH(WEEKDAY('ARG Gas Firm'!A282,3),'Master Data'!$A$2:$A$8,0),2)</f>
        <v>Th</v>
      </c>
      <c r="D282" s="124" t="n">
        <v>-17042238.5617557</v>
      </c>
      <c r="E282" s="124" t="n">
        <v>4494388.43805981</v>
      </c>
      <c r="F282" s="124"/>
      <c r="G282" s="124" t="n">
        <v>-61104</v>
      </c>
      <c r="I282" s="124" t="n">
        <f aca="false">IF(MONTH($A282)=MONTH($A281),IF(G282=0,I281,G282),G282)</f>
        <v>-61104</v>
      </c>
      <c r="J282" s="124" t="n">
        <f aca="false">IF(MONTH($A282)=MONTH($A281),SUM(I282-I281),I282)</f>
        <v>0</v>
      </c>
      <c r="K282" s="124" t="n">
        <f aca="false">IF(WEEKDAY(A282,3)&gt;4,0,(IF(A282&lt;K$2,0,IF(A282&lt;=K$3,1,0))))</f>
        <v>0</v>
      </c>
      <c r="L282" s="124" t="n">
        <f aca="false">J282*K282</f>
        <v>0</v>
      </c>
      <c r="M282" s="124" t="n">
        <f aca="false">SUM(J$188:J282)</f>
        <v>118704</v>
      </c>
      <c r="N282" s="124" t="n">
        <f aca="false">SUM(J$6:J282)</f>
        <v>1711639</v>
      </c>
      <c r="P282" s="124" t="n">
        <f aca="false">D282/P$3</f>
        <v>-17.0422385617557</v>
      </c>
      <c r="Q282" s="124" t="n">
        <f aca="false">E282/P$3</f>
        <v>4.49438843805981</v>
      </c>
      <c r="R282" s="124" t="n">
        <f aca="false">F282/R$3</f>
        <v>0</v>
      </c>
      <c r="S282" s="126" t="n">
        <f aca="false">J282/$R$3</f>
        <v>0</v>
      </c>
      <c r="T282" s="126" t="n">
        <f aca="false">L282/$R$3</f>
        <v>0</v>
      </c>
      <c r="U282" s="126" t="n">
        <f aca="false">I282/$R$3</f>
        <v>-61.104</v>
      </c>
      <c r="V282" s="126" t="n">
        <f aca="false">M282/$R$3</f>
        <v>118.704</v>
      </c>
      <c r="W282" s="126" t="n">
        <f aca="false">N282/$R$3</f>
        <v>1711.639</v>
      </c>
    </row>
    <row r="283" customFormat="false" ht="12.75" hidden="true" customHeight="false" outlineLevel="0" collapsed="false">
      <c r="A283" s="120" t="n">
        <f aca="false">A282+1</f>
        <v>37169</v>
      </c>
      <c r="B283" s="131" t="str">
        <f aca="false">INDEX('Master Data'!$A$2:$B$8,MATCH(WEEKDAY('ARG Gas Firm'!A283,3),'Master Data'!$A$2:$A$8,0),2)</f>
        <v>F</v>
      </c>
      <c r="D283" s="124" t="n">
        <v>-17059384.9879172</v>
      </c>
      <c r="E283" s="124" t="n">
        <v>4500936.51112883</v>
      </c>
      <c r="F283" s="124"/>
      <c r="G283" s="124" t="n">
        <v>-61105</v>
      </c>
      <c r="I283" s="124" t="n">
        <f aca="false">IF(MONTH($A283)=MONTH($A282),IF(G283=0,I282,G283),G283)</f>
        <v>-61105</v>
      </c>
      <c r="J283" s="124" t="n">
        <f aca="false">IF(MONTH($A283)=MONTH($A282),SUM(I283-I282),I283)</f>
        <v>-1</v>
      </c>
      <c r="K283" s="124" t="n">
        <f aca="false">IF(WEEKDAY(A283,3)&gt;4,0,(IF(A283&lt;K$2,0,IF(A283&lt;=K$3,1,0))))</f>
        <v>0</v>
      </c>
      <c r="L283" s="124" t="n">
        <f aca="false">J283*K283</f>
        <v>-0</v>
      </c>
      <c r="M283" s="124" t="n">
        <f aca="false">SUM(J$188:J283)</f>
        <v>118703</v>
      </c>
      <c r="N283" s="124" t="n">
        <f aca="false">SUM(J$6:J283)</f>
        <v>1711638</v>
      </c>
      <c r="P283" s="124" t="n">
        <f aca="false">D283/P$3</f>
        <v>-17.0593849879172</v>
      </c>
      <c r="Q283" s="124" t="n">
        <f aca="false">E283/P$3</f>
        <v>4.50093651112883</v>
      </c>
      <c r="R283" s="124" t="n">
        <f aca="false">F283/R$3</f>
        <v>0</v>
      </c>
      <c r="S283" s="126" t="n">
        <f aca="false">J283/$R$3</f>
        <v>-0.001</v>
      </c>
      <c r="T283" s="126" t="n">
        <f aca="false">L283/$R$3</f>
        <v>-0</v>
      </c>
      <c r="U283" s="126" t="n">
        <f aca="false">I283/$R$3</f>
        <v>-61.105</v>
      </c>
      <c r="V283" s="126" t="n">
        <f aca="false">M283/$R$3</f>
        <v>118.703</v>
      </c>
      <c r="W283" s="126" t="n">
        <f aca="false">N283/$R$3</f>
        <v>1711.638</v>
      </c>
    </row>
    <row r="284" customFormat="false" ht="12.75" hidden="true" customHeight="false" outlineLevel="0" collapsed="false">
      <c r="A284" s="120" t="n">
        <f aca="false">A283+1</f>
        <v>37170</v>
      </c>
      <c r="B284" s="131" t="str">
        <f aca="false">INDEX('Master Data'!$A$2:$B$8,MATCH(WEEKDAY('ARG Gas Firm'!A284,3),'Master Data'!$A$2:$A$8,0),2)</f>
        <v>Sa</v>
      </c>
      <c r="D284" s="124"/>
      <c r="E284" s="124"/>
      <c r="F284" s="124"/>
      <c r="G284" s="124"/>
      <c r="I284" s="124" t="n">
        <f aca="false">IF(MONTH($A284)=MONTH($A283),IF(G284=0,I283,G284),G284)</f>
        <v>-61105</v>
      </c>
      <c r="J284" s="124" t="n">
        <f aca="false">IF(MONTH($A284)=MONTH($A283),SUM(I284-I283),I284)</f>
        <v>0</v>
      </c>
      <c r="K284" s="124" t="n">
        <f aca="false">IF(WEEKDAY(A284,3)&gt;4,0,(IF(A284&lt;K$2,0,IF(A284&lt;=K$3,1,0))))</f>
        <v>0</v>
      </c>
      <c r="L284" s="124" t="n">
        <f aca="false">J284*K284</f>
        <v>0</v>
      </c>
      <c r="M284" s="124" t="n">
        <f aca="false">SUM(J$188:J284)</f>
        <v>118703</v>
      </c>
      <c r="N284" s="124" t="n">
        <f aca="false">SUM(J$6:J284)</f>
        <v>1711638</v>
      </c>
      <c r="P284" s="124" t="n">
        <f aca="false">D284/P$3</f>
        <v>0</v>
      </c>
      <c r="Q284" s="124" t="n">
        <f aca="false">E284/P$3</f>
        <v>0</v>
      </c>
      <c r="R284" s="124" t="n">
        <f aca="false">F284/R$3</f>
        <v>0</v>
      </c>
      <c r="S284" s="126" t="n">
        <f aca="false">J284/$R$3</f>
        <v>0</v>
      </c>
      <c r="T284" s="126" t="n">
        <f aca="false">L284/$R$3</f>
        <v>0</v>
      </c>
      <c r="U284" s="126" t="n">
        <f aca="false">I284/$R$3</f>
        <v>-61.105</v>
      </c>
      <c r="V284" s="126" t="n">
        <f aca="false">M284/$R$3</f>
        <v>118.703</v>
      </c>
      <c r="W284" s="126" t="n">
        <f aca="false">N284/$R$3</f>
        <v>1711.638</v>
      </c>
    </row>
    <row r="285" customFormat="false" ht="12.75" hidden="true" customHeight="false" outlineLevel="0" collapsed="false">
      <c r="A285" s="120" t="n">
        <f aca="false">A284+1</f>
        <v>37171</v>
      </c>
      <c r="B285" s="131" t="str">
        <f aca="false">INDEX('Master Data'!$A$2:$B$8,MATCH(WEEKDAY('ARG Gas Firm'!A285,3),'Master Data'!$A$2:$A$8,0),2)</f>
        <v>Su</v>
      </c>
      <c r="D285" s="124"/>
      <c r="E285" s="124"/>
      <c r="F285" s="124"/>
      <c r="G285" s="124"/>
      <c r="I285" s="124" t="n">
        <f aca="false">IF(MONTH($A285)=MONTH($A284),IF(G285=0,I284,G285),G285)</f>
        <v>-61105</v>
      </c>
      <c r="J285" s="124" t="n">
        <f aca="false">IF(MONTH($A285)=MONTH($A284),SUM(I285-I284),I285)</f>
        <v>0</v>
      </c>
      <c r="K285" s="124" t="n">
        <f aca="false">IF(WEEKDAY(A285,3)&gt;4,0,(IF(A285&lt;K$2,0,IF(A285&lt;=K$3,1,0))))</f>
        <v>0</v>
      </c>
      <c r="L285" s="124" t="n">
        <f aca="false">J285*K285</f>
        <v>0</v>
      </c>
      <c r="M285" s="124" t="n">
        <f aca="false">SUM(J$188:J285)</f>
        <v>118703</v>
      </c>
      <c r="N285" s="124" t="n">
        <f aca="false">SUM(J$6:J285)</f>
        <v>1711638</v>
      </c>
      <c r="P285" s="124" t="n">
        <f aca="false">D285/P$3</f>
        <v>0</v>
      </c>
      <c r="Q285" s="124" t="n">
        <f aca="false">E285/P$3</f>
        <v>0</v>
      </c>
      <c r="R285" s="124" t="n">
        <f aca="false">F285/R$3</f>
        <v>0</v>
      </c>
      <c r="S285" s="126" t="n">
        <f aca="false">J285/$R$3</f>
        <v>0</v>
      </c>
      <c r="T285" s="126" t="n">
        <f aca="false">L285/$R$3</f>
        <v>0</v>
      </c>
      <c r="U285" s="126" t="n">
        <f aca="false">I285/$R$3</f>
        <v>-61.105</v>
      </c>
      <c r="V285" s="126" t="n">
        <f aca="false">M285/$R$3</f>
        <v>118.703</v>
      </c>
      <c r="W285" s="126" t="n">
        <f aca="false">N285/$R$3</f>
        <v>1711.638</v>
      </c>
    </row>
    <row r="286" customFormat="false" ht="12.75" hidden="true" customHeight="false" outlineLevel="0" collapsed="false">
      <c r="A286" s="120" t="n">
        <f aca="false">A285+1</f>
        <v>37172</v>
      </c>
      <c r="B286" s="131" t="str">
        <f aca="false">INDEX('Master Data'!$A$2:$B$8,MATCH(WEEKDAY('ARG Gas Firm'!A286,3),'Master Data'!$A$2:$A$8,0),2)</f>
        <v>M</v>
      </c>
      <c r="D286" s="124" t="n">
        <v>-17062919.8676757</v>
      </c>
      <c r="E286" s="124" t="n">
        <v>4501870.21822168</v>
      </c>
      <c r="F286" s="124"/>
      <c r="G286" s="124" t="n">
        <v>-61105</v>
      </c>
      <c r="I286" s="124" t="n">
        <f aca="false">IF(MONTH($A286)=MONTH($A285),IF(G286=0,I285,G286),G286)</f>
        <v>-61105</v>
      </c>
      <c r="J286" s="124" t="n">
        <f aca="false">IF(MONTH($A286)=MONTH($A285),SUM(I286-I285),I286)</f>
        <v>0</v>
      </c>
      <c r="K286" s="124" t="n">
        <f aca="false">IF(WEEKDAY(A286,3)&gt;4,0,(IF(A286&lt;K$2,0,IF(A286&lt;=K$3,1,0))))</f>
        <v>0</v>
      </c>
      <c r="L286" s="124" t="n">
        <f aca="false">J286*K286</f>
        <v>0</v>
      </c>
      <c r="M286" s="124" t="n">
        <f aca="false">SUM(J$188:J286)</f>
        <v>118703</v>
      </c>
      <c r="N286" s="124" t="n">
        <f aca="false">SUM(J$6:J286)</f>
        <v>1711638</v>
      </c>
      <c r="P286" s="124" t="n">
        <f aca="false">D286/P$3</f>
        <v>-17.0629198676757</v>
      </c>
      <c r="Q286" s="124" t="n">
        <f aca="false">E286/P$3</f>
        <v>4.50187021822168</v>
      </c>
      <c r="R286" s="124" t="n">
        <f aca="false">F286/R$3</f>
        <v>0</v>
      </c>
      <c r="S286" s="126" t="n">
        <f aca="false">J286/$R$3</f>
        <v>0</v>
      </c>
      <c r="T286" s="126" t="n">
        <f aca="false">L286/$R$3</f>
        <v>0</v>
      </c>
      <c r="U286" s="126" t="n">
        <f aca="false">I286/$R$3</f>
        <v>-61.105</v>
      </c>
      <c r="V286" s="126" t="n">
        <f aca="false">M286/$R$3</f>
        <v>118.703</v>
      </c>
      <c r="W286" s="126" t="n">
        <f aca="false">N286/$R$3</f>
        <v>1711.638</v>
      </c>
    </row>
    <row r="287" customFormat="false" ht="12.75" hidden="true" customHeight="false" outlineLevel="0" collapsed="false">
      <c r="A287" s="120" t="n">
        <f aca="false">A286+1</f>
        <v>37173</v>
      </c>
      <c r="B287" s="131" t="str">
        <f aca="false">INDEX('Master Data'!$A$2:$B$8,MATCH(WEEKDAY('ARG Gas Firm'!A287,3),'Master Data'!$A$2:$A$8,0),2)</f>
        <v>T</v>
      </c>
      <c r="D287" s="124" t="n">
        <v>-17031033.2193104</v>
      </c>
      <c r="E287" s="124" t="n">
        <v>4497811.90156959</v>
      </c>
      <c r="F287" s="124"/>
      <c r="G287" s="124" t="n">
        <v>-61105</v>
      </c>
      <c r="I287" s="124" t="n">
        <f aca="false">IF(MONTH($A287)=MONTH($A286),IF(G287=0,I286,G287),G287)</f>
        <v>-61105</v>
      </c>
      <c r="J287" s="124" t="n">
        <f aca="false">IF(MONTH($A287)=MONTH($A286),SUM(I287-I286),I287)</f>
        <v>0</v>
      </c>
      <c r="K287" s="124" t="n">
        <f aca="false">IF(WEEKDAY(A287,3)&gt;4,0,(IF(A287&lt;K$2,0,IF(A287&lt;=K$3,1,0))))</f>
        <v>0</v>
      </c>
      <c r="L287" s="124" t="n">
        <f aca="false">J287*K287</f>
        <v>0</v>
      </c>
      <c r="M287" s="124" t="n">
        <f aca="false">SUM(J$188:J287)</f>
        <v>118703</v>
      </c>
      <c r="N287" s="124" t="n">
        <f aca="false">SUM(J$6:J287)</f>
        <v>1711638</v>
      </c>
      <c r="P287" s="124" t="n">
        <f aca="false">D287/P$3</f>
        <v>-17.0310332193104</v>
      </c>
      <c r="Q287" s="124" t="n">
        <f aca="false">E287/P$3</f>
        <v>4.49781190156959</v>
      </c>
      <c r="R287" s="124" t="n">
        <f aca="false">F287/R$3</f>
        <v>0</v>
      </c>
      <c r="S287" s="126" t="n">
        <f aca="false">J287/$R$3</f>
        <v>0</v>
      </c>
      <c r="T287" s="126" t="n">
        <f aca="false">L287/$R$3</f>
        <v>0</v>
      </c>
      <c r="U287" s="126" t="n">
        <f aca="false">I287/$R$3</f>
        <v>-61.105</v>
      </c>
      <c r="V287" s="126" t="n">
        <f aca="false">M287/$R$3</f>
        <v>118.703</v>
      </c>
      <c r="W287" s="126" t="n">
        <f aca="false">N287/$R$3</f>
        <v>1711.638</v>
      </c>
    </row>
    <row r="288" customFormat="false" ht="12.75" hidden="true" customHeight="false" outlineLevel="0" collapsed="false">
      <c r="A288" s="120" t="n">
        <f aca="false">A287+1</f>
        <v>37174</v>
      </c>
      <c r="B288" s="131" t="str">
        <f aca="false">INDEX('Master Data'!$A$2:$B$8,MATCH(WEEKDAY('ARG Gas Firm'!A288,3),'Master Data'!$A$2:$A$8,0),2)</f>
        <v>W</v>
      </c>
      <c r="D288" s="124" t="n">
        <v>-17023359.7773128</v>
      </c>
      <c r="E288" s="124" t="n">
        <v>4495948.92656931</v>
      </c>
      <c r="F288" s="124"/>
      <c r="G288" s="124" t="n">
        <v>-61105</v>
      </c>
      <c r="I288" s="124" t="n">
        <f aca="false">IF(MONTH($A288)=MONTH($A287),IF(G288=0,I287,G288),G288)</f>
        <v>-61105</v>
      </c>
      <c r="J288" s="124" t="n">
        <f aca="false">IF(MONTH($A288)=MONTH($A287),SUM(I288-I287),I288)</f>
        <v>0</v>
      </c>
      <c r="K288" s="124" t="n">
        <f aca="false">IF(WEEKDAY(A288,3)&gt;4,0,(IF(A288&lt;K$2,0,IF(A288&lt;=K$3,1,0))))</f>
        <v>0</v>
      </c>
      <c r="L288" s="124" t="n">
        <f aca="false">J288*K288</f>
        <v>0</v>
      </c>
      <c r="M288" s="124" t="n">
        <f aca="false">SUM(J$188:J288)</f>
        <v>118703</v>
      </c>
      <c r="N288" s="124" t="n">
        <f aca="false">SUM(J$6:J288)</f>
        <v>1711638</v>
      </c>
      <c r="P288" s="124" t="n">
        <f aca="false">D288/P$3</f>
        <v>-17.0233597773128</v>
      </c>
      <c r="Q288" s="124" t="n">
        <f aca="false">E288/P$3</f>
        <v>4.49594892656931</v>
      </c>
      <c r="R288" s="124" t="n">
        <f aca="false">F288/R$3</f>
        <v>0</v>
      </c>
      <c r="S288" s="126" t="n">
        <f aca="false">J288/$R$3</f>
        <v>0</v>
      </c>
      <c r="T288" s="126" t="n">
        <f aca="false">L288/$R$3</f>
        <v>0</v>
      </c>
      <c r="U288" s="126" t="n">
        <f aca="false">I288/$R$3</f>
        <v>-61.105</v>
      </c>
      <c r="V288" s="126" t="n">
        <f aca="false">M288/$R$3</f>
        <v>118.703</v>
      </c>
      <c r="W288" s="126" t="n">
        <f aca="false">N288/$R$3</f>
        <v>1711.638</v>
      </c>
    </row>
    <row r="289" customFormat="false" ht="12.75" hidden="true" customHeight="false" outlineLevel="0" collapsed="false">
      <c r="A289" s="120" t="n">
        <f aca="false">A288+1</f>
        <v>37175</v>
      </c>
      <c r="B289" s="131" t="str">
        <f aca="false">INDEX('Master Data'!$A$2:$B$8,MATCH(WEEKDAY('ARG Gas Firm'!A289,3),'Master Data'!$A$2:$A$8,0),2)</f>
        <v>Th</v>
      </c>
      <c r="D289" s="124" t="n">
        <v>-16962481.6407332</v>
      </c>
      <c r="E289" s="124" t="n">
        <v>4481868.26824696</v>
      </c>
      <c r="F289" s="124"/>
      <c r="G289" s="124" t="n">
        <v>-61104</v>
      </c>
      <c r="I289" s="124" t="n">
        <f aca="false">IF(MONTH($A289)=MONTH($A288),IF(G289=0,I288,G289),G289)</f>
        <v>-61104</v>
      </c>
      <c r="J289" s="124" t="n">
        <f aca="false">IF(MONTH($A289)=MONTH($A288),SUM(I289-I288),I289)</f>
        <v>1</v>
      </c>
      <c r="K289" s="124" t="n">
        <f aca="false">IF(WEEKDAY(A289,3)&gt;4,0,(IF(A289&lt;K$2,0,IF(A289&lt;=K$3,1,0))))</f>
        <v>0</v>
      </c>
      <c r="L289" s="124" t="n">
        <f aca="false">J289*K289</f>
        <v>0</v>
      </c>
      <c r="M289" s="124" t="n">
        <f aca="false">SUM(J$188:J289)</f>
        <v>118704</v>
      </c>
      <c r="N289" s="124" t="n">
        <f aca="false">SUM(J$6:J289)</f>
        <v>1711639</v>
      </c>
      <c r="P289" s="124" t="n">
        <f aca="false">D289/P$3</f>
        <v>-16.9624816407332</v>
      </c>
      <c r="Q289" s="124" t="n">
        <f aca="false">E289/P$3</f>
        <v>4.48186826824696</v>
      </c>
      <c r="R289" s="124" t="n">
        <f aca="false">F289/R$3</f>
        <v>0</v>
      </c>
      <c r="S289" s="126" t="n">
        <f aca="false">J289/$R$3</f>
        <v>0.001</v>
      </c>
      <c r="T289" s="126" t="n">
        <f aca="false">L289/$R$3</f>
        <v>0</v>
      </c>
      <c r="U289" s="126" t="n">
        <f aca="false">I289/$R$3</f>
        <v>-61.104</v>
      </c>
      <c r="V289" s="126" t="n">
        <f aca="false">M289/$R$3</f>
        <v>118.704</v>
      </c>
      <c r="W289" s="126" t="n">
        <f aca="false">N289/$R$3</f>
        <v>1711.639</v>
      </c>
    </row>
    <row r="290" customFormat="false" ht="12.75" hidden="true" customHeight="false" outlineLevel="0" collapsed="false">
      <c r="A290" s="120" t="n">
        <f aca="false">A289+1</f>
        <v>37176</v>
      </c>
      <c r="B290" s="131" t="str">
        <f aca="false">INDEX('Master Data'!$A$2:$B$8,MATCH(WEEKDAY('ARG Gas Firm'!A290,3),'Master Data'!$A$2:$A$8,0),2)</f>
        <v>F</v>
      </c>
      <c r="D290" s="124" t="n">
        <v>-16981985.3095257</v>
      </c>
      <c r="E290" s="124" t="n">
        <v>4486421.9337511</v>
      </c>
      <c r="F290" s="124"/>
      <c r="G290" s="124" t="n">
        <v>-61104</v>
      </c>
      <c r="I290" s="124" t="n">
        <f aca="false">IF(MONTH($A290)=MONTH($A289),IF(G290=0,I289,G290),G290)</f>
        <v>-61104</v>
      </c>
      <c r="J290" s="124" t="n">
        <f aca="false">IF(MONTH($A290)=MONTH($A289),SUM(I290-I289),I290)</f>
        <v>0</v>
      </c>
      <c r="K290" s="124" t="n">
        <f aca="false">IF(WEEKDAY(A290,3)&gt;4,0,(IF(A290&lt;K$2,0,IF(A290&lt;=K$3,1,0))))</f>
        <v>0</v>
      </c>
      <c r="L290" s="124" t="n">
        <f aca="false">J290*K290</f>
        <v>0</v>
      </c>
      <c r="M290" s="124" t="n">
        <f aca="false">SUM(J$188:J290)</f>
        <v>118704</v>
      </c>
      <c r="N290" s="124" t="n">
        <f aca="false">SUM(J$6:J290)</f>
        <v>1711639</v>
      </c>
      <c r="P290" s="124" t="n">
        <f aca="false">D290/P$3</f>
        <v>-16.9819853095257</v>
      </c>
      <c r="Q290" s="124" t="n">
        <f aca="false">E290/P$3</f>
        <v>4.4864219337511</v>
      </c>
      <c r="R290" s="124" t="n">
        <f aca="false">F290/R$3</f>
        <v>0</v>
      </c>
      <c r="S290" s="126" t="n">
        <f aca="false">J290/$R$3</f>
        <v>0</v>
      </c>
      <c r="T290" s="126" t="n">
        <f aca="false">L290/$R$3</f>
        <v>0</v>
      </c>
      <c r="U290" s="126" t="n">
        <f aca="false">I290/$R$3</f>
        <v>-61.104</v>
      </c>
      <c r="V290" s="126" t="n">
        <f aca="false">M290/$R$3</f>
        <v>118.704</v>
      </c>
      <c r="W290" s="126" t="n">
        <f aca="false">N290/$R$3</f>
        <v>1711.639</v>
      </c>
    </row>
    <row r="291" customFormat="false" ht="12.75" hidden="true" customHeight="false" outlineLevel="0" collapsed="false">
      <c r="A291" s="120" t="n">
        <f aca="false">A290+1</f>
        <v>37177</v>
      </c>
      <c r="B291" s="131" t="str">
        <f aca="false">INDEX('Master Data'!$A$2:$B$8,MATCH(WEEKDAY('ARG Gas Firm'!A291,3),'Master Data'!$A$2:$A$8,0),2)</f>
        <v>Sa</v>
      </c>
      <c r="D291" s="124"/>
      <c r="E291" s="124"/>
      <c r="F291" s="124"/>
      <c r="G291" s="124"/>
      <c r="I291" s="124" t="n">
        <f aca="false">IF(MONTH($A291)=MONTH($A290),IF(G291=0,I290,G291),G291)</f>
        <v>-61104</v>
      </c>
      <c r="J291" s="124" t="n">
        <f aca="false">IF(MONTH($A291)=MONTH($A290),SUM(I291-I290),I291)</f>
        <v>0</v>
      </c>
      <c r="K291" s="124" t="n">
        <f aca="false">IF(WEEKDAY(A291,3)&gt;4,0,(IF(A291&lt;K$2,0,IF(A291&lt;=K$3,1,0))))</f>
        <v>0</v>
      </c>
      <c r="L291" s="124" t="n">
        <f aca="false">J291*K291</f>
        <v>0</v>
      </c>
      <c r="M291" s="124" t="n">
        <f aca="false">SUM(J$188:J291)</f>
        <v>118704</v>
      </c>
      <c r="N291" s="124" t="n">
        <f aca="false">SUM(J$6:J291)</f>
        <v>1711639</v>
      </c>
      <c r="P291" s="124" t="n">
        <f aca="false">D291/P$3</f>
        <v>0</v>
      </c>
      <c r="Q291" s="124" t="n">
        <f aca="false">E291/P$3</f>
        <v>0</v>
      </c>
      <c r="R291" s="124" t="n">
        <f aca="false">F291/R$3</f>
        <v>0</v>
      </c>
      <c r="S291" s="126" t="n">
        <f aca="false">J291/$R$3</f>
        <v>0</v>
      </c>
      <c r="T291" s="126" t="n">
        <f aca="false">L291/$R$3</f>
        <v>0</v>
      </c>
      <c r="U291" s="126" t="n">
        <f aca="false">I291/$R$3</f>
        <v>-61.104</v>
      </c>
      <c r="V291" s="126" t="n">
        <f aca="false">M291/$R$3</f>
        <v>118.704</v>
      </c>
      <c r="W291" s="126" t="n">
        <f aca="false">N291/$R$3</f>
        <v>1711.639</v>
      </c>
    </row>
    <row r="292" customFormat="false" ht="12.75" hidden="true" customHeight="false" outlineLevel="0" collapsed="false">
      <c r="A292" s="120" t="n">
        <f aca="false">A291+1</f>
        <v>37178</v>
      </c>
      <c r="B292" s="131" t="str">
        <f aca="false">INDEX('Master Data'!$A$2:$B$8,MATCH(WEEKDAY('ARG Gas Firm'!A292,3),'Master Data'!$A$2:$A$8,0),2)</f>
        <v>Su</v>
      </c>
      <c r="D292" s="124"/>
      <c r="E292" s="124"/>
      <c r="F292" s="124"/>
      <c r="G292" s="124"/>
      <c r="I292" s="124" t="n">
        <f aca="false">IF(MONTH($A292)=MONTH($A291),IF(G292=0,I291,G292),G292)</f>
        <v>-61104</v>
      </c>
      <c r="J292" s="124" t="n">
        <f aca="false">IF(MONTH($A292)=MONTH($A291),SUM(I292-I291),I292)</f>
        <v>0</v>
      </c>
      <c r="K292" s="124" t="n">
        <f aca="false">IF(WEEKDAY(A292,3)&gt;4,0,(IF(A292&lt;K$2,0,IF(A292&lt;=K$3,1,0))))</f>
        <v>0</v>
      </c>
      <c r="L292" s="124" t="n">
        <f aca="false">J292*K292</f>
        <v>0</v>
      </c>
      <c r="M292" s="124" t="n">
        <f aca="false">SUM(J$188:J292)</f>
        <v>118704</v>
      </c>
      <c r="N292" s="124" t="n">
        <f aca="false">SUM(J$6:J292)</f>
        <v>1711639</v>
      </c>
      <c r="P292" s="124" t="n">
        <f aca="false">D292/P$3</f>
        <v>0</v>
      </c>
      <c r="Q292" s="124" t="n">
        <f aca="false">E292/P$3</f>
        <v>0</v>
      </c>
      <c r="R292" s="124" t="n">
        <f aca="false">F292/R$3</f>
        <v>0</v>
      </c>
      <c r="S292" s="126" t="n">
        <f aca="false">J292/$R$3</f>
        <v>0</v>
      </c>
      <c r="T292" s="126" t="n">
        <f aca="false">L292/$R$3</f>
        <v>0</v>
      </c>
      <c r="U292" s="126" t="n">
        <f aca="false">I292/$R$3</f>
        <v>-61.104</v>
      </c>
      <c r="V292" s="126" t="n">
        <f aca="false">M292/$R$3</f>
        <v>118.704</v>
      </c>
      <c r="W292" s="126" t="n">
        <f aca="false">N292/$R$3</f>
        <v>1711.639</v>
      </c>
    </row>
    <row r="293" customFormat="false" ht="12.75" hidden="true" customHeight="false" outlineLevel="0" collapsed="false">
      <c r="A293" s="120" t="n">
        <f aca="false">A292+1</f>
        <v>37179</v>
      </c>
      <c r="B293" s="131" t="str">
        <f aca="false">INDEX('Master Data'!$A$2:$B$8,MATCH(WEEKDAY('ARG Gas Firm'!A293,3),'Master Data'!$A$2:$A$8,0),2)</f>
        <v>M</v>
      </c>
      <c r="D293" s="124" t="n">
        <v>-17017549.4359673</v>
      </c>
      <c r="E293" s="124" t="n">
        <v>4494851.40500364</v>
      </c>
      <c r="F293" s="124"/>
      <c r="G293" s="124" t="n">
        <v>-61106</v>
      </c>
      <c r="I293" s="124" t="n">
        <f aca="false">IF(MONTH($A293)=MONTH($A292),IF(G293=0,I292,G293),G293)</f>
        <v>-61106</v>
      </c>
      <c r="J293" s="124" t="n">
        <f aca="false">IF(MONTH($A293)=MONTH($A292),SUM(I293-I292),I293)</f>
        <v>-2</v>
      </c>
      <c r="K293" s="124" t="n">
        <f aca="false">IF(WEEKDAY(A293,3)&gt;4,0,(IF(A293&lt;K$2,0,IF(A293&lt;=K$3,1,0))))</f>
        <v>0</v>
      </c>
      <c r="L293" s="124" t="n">
        <f aca="false">J293*K293</f>
        <v>-0</v>
      </c>
      <c r="M293" s="124" t="n">
        <f aca="false">SUM(J$188:J293)</f>
        <v>118702</v>
      </c>
      <c r="N293" s="124" t="n">
        <f aca="false">SUM(J$6:J293)</f>
        <v>1711637</v>
      </c>
      <c r="P293" s="124" t="n">
        <f aca="false">D293/P$3</f>
        <v>-17.0175494359673</v>
      </c>
      <c r="Q293" s="124" t="n">
        <f aca="false">E293/P$3</f>
        <v>4.49485140500364</v>
      </c>
      <c r="R293" s="124" t="n">
        <f aca="false">F293/R$3</f>
        <v>0</v>
      </c>
      <c r="S293" s="126" t="n">
        <f aca="false">J293/$R$3</f>
        <v>-0.002</v>
      </c>
      <c r="T293" s="126" t="n">
        <f aca="false">L293/$R$3</f>
        <v>-0</v>
      </c>
      <c r="U293" s="126" t="n">
        <f aca="false">I293/$R$3</f>
        <v>-61.106</v>
      </c>
      <c r="V293" s="126" t="n">
        <f aca="false">M293/$R$3</f>
        <v>118.702</v>
      </c>
      <c r="W293" s="126" t="n">
        <f aca="false">N293/$R$3</f>
        <v>1711.637</v>
      </c>
    </row>
    <row r="294" customFormat="false" ht="12.75" hidden="true" customHeight="false" outlineLevel="0" collapsed="false">
      <c r="A294" s="120" t="n">
        <f aca="false">A293+1</f>
        <v>37180</v>
      </c>
      <c r="B294" s="131" t="str">
        <f aca="false">INDEX('Master Data'!$A$2:$B$8,MATCH(WEEKDAY('ARG Gas Firm'!A294,3),'Master Data'!$A$2:$A$8,0),2)</f>
        <v>T</v>
      </c>
      <c r="D294" s="124" t="n">
        <v>-17036805.8358078</v>
      </c>
      <c r="E294" s="124" t="n">
        <v>4497265.84158723</v>
      </c>
      <c r="F294" s="124"/>
      <c r="G294" s="124" t="n">
        <v>-61106</v>
      </c>
      <c r="I294" s="124" t="n">
        <f aca="false">IF(MONTH($A294)=MONTH($A293),IF(G294=0,I293,G294),G294)</f>
        <v>-61106</v>
      </c>
      <c r="J294" s="124" t="n">
        <f aca="false">IF(MONTH($A294)=MONTH($A293),SUM(I294-I293),I294)</f>
        <v>0</v>
      </c>
      <c r="K294" s="124" t="n">
        <f aca="false">IF(WEEKDAY(A294,3)&gt;4,0,(IF(A294&lt;K$2,0,IF(A294&lt;=K$3,1,0))))</f>
        <v>0</v>
      </c>
      <c r="L294" s="124" t="n">
        <f aca="false">J294*K294</f>
        <v>0</v>
      </c>
      <c r="M294" s="124" t="n">
        <f aca="false">SUM(J$188:J294)</f>
        <v>118702</v>
      </c>
      <c r="N294" s="124" t="n">
        <f aca="false">SUM(J$6:J294)</f>
        <v>1711637</v>
      </c>
      <c r="P294" s="124" t="n">
        <f aca="false">D294/P$3</f>
        <v>-17.0368058358078</v>
      </c>
      <c r="Q294" s="124" t="n">
        <f aca="false">E294/P$3</f>
        <v>4.49726584158723</v>
      </c>
      <c r="R294" s="124" t="n">
        <f aca="false">F294/R$3</f>
        <v>0</v>
      </c>
      <c r="S294" s="126" t="n">
        <f aca="false">J294/$R$3</f>
        <v>0</v>
      </c>
      <c r="T294" s="126" t="n">
        <f aca="false">L294/$R$3</f>
        <v>0</v>
      </c>
      <c r="U294" s="126" t="n">
        <f aca="false">I294/$R$3</f>
        <v>-61.106</v>
      </c>
      <c r="V294" s="126" t="n">
        <f aca="false">M294/$R$3</f>
        <v>118.702</v>
      </c>
      <c r="W294" s="126" t="n">
        <f aca="false">N294/$R$3</f>
        <v>1711.637</v>
      </c>
    </row>
    <row r="295" customFormat="false" ht="12.75" hidden="true" customHeight="false" outlineLevel="0" collapsed="false">
      <c r="A295" s="120" t="n">
        <f aca="false">A294+1</f>
        <v>37181</v>
      </c>
      <c r="B295" s="131" t="str">
        <f aca="false">INDEX('Master Data'!$A$2:$B$8,MATCH(WEEKDAY('ARG Gas Firm'!A295,3),'Master Data'!$A$2:$A$8,0),2)</f>
        <v>W</v>
      </c>
      <c r="D295" s="124" t="n">
        <v>-17040223.7556308</v>
      </c>
      <c r="E295" s="124" t="n">
        <v>4496320.08037998</v>
      </c>
      <c r="F295" s="124"/>
      <c r="G295" s="124" t="n">
        <v>-61107</v>
      </c>
      <c r="I295" s="124" t="n">
        <f aca="false">IF(MONTH($A295)=MONTH($A294),IF(G295=0,I294,G295),G295)</f>
        <v>-61107</v>
      </c>
      <c r="J295" s="124" t="n">
        <f aca="false">IF(MONTH($A295)=MONTH($A294),SUM(I295-I294),I295)</f>
        <v>-1</v>
      </c>
      <c r="K295" s="124" t="n">
        <f aca="false">IF(WEEKDAY(A295,3)&gt;4,0,(IF(A295&lt;K$2,0,IF(A295&lt;=K$3,1,0))))</f>
        <v>0</v>
      </c>
      <c r="L295" s="124" t="n">
        <f aca="false">J295*K295</f>
        <v>-0</v>
      </c>
      <c r="M295" s="124" t="n">
        <f aca="false">SUM(J$188:J295)</f>
        <v>118701</v>
      </c>
      <c r="N295" s="124" t="n">
        <f aca="false">SUM(J$6:J295)</f>
        <v>1711636</v>
      </c>
      <c r="P295" s="124" t="n">
        <f aca="false">D295/P$3</f>
        <v>-17.0402237556308</v>
      </c>
      <c r="Q295" s="124" t="n">
        <f aca="false">E295/P$3</f>
        <v>4.49632008037998</v>
      </c>
      <c r="R295" s="124" t="n">
        <f aca="false">F295/R$3</f>
        <v>0</v>
      </c>
      <c r="S295" s="126" t="n">
        <f aca="false">J295/$R$3</f>
        <v>-0.001</v>
      </c>
      <c r="T295" s="126" t="n">
        <f aca="false">L295/$R$3</f>
        <v>-0</v>
      </c>
      <c r="U295" s="126" t="n">
        <f aca="false">I295/$R$3</f>
        <v>-61.107</v>
      </c>
      <c r="V295" s="126" t="n">
        <f aca="false">M295/$R$3</f>
        <v>118.701</v>
      </c>
      <c r="W295" s="126" t="n">
        <f aca="false">N295/$R$3</f>
        <v>1711.636</v>
      </c>
    </row>
    <row r="296" customFormat="false" ht="12.75" hidden="true" customHeight="false" outlineLevel="0" collapsed="false">
      <c r="A296" s="120" t="n">
        <f aca="false">A295+1</f>
        <v>37182</v>
      </c>
      <c r="B296" s="131" t="str">
        <f aca="false">INDEX('Master Data'!$A$2:$B$8,MATCH(WEEKDAY('ARG Gas Firm'!A296,3),'Master Data'!$A$2:$A$8,0),2)</f>
        <v>Th</v>
      </c>
      <c r="D296" s="124" t="n">
        <v>-17060993.7968874</v>
      </c>
      <c r="E296" s="124" t="n">
        <v>4503511.26998889</v>
      </c>
      <c r="F296" s="124"/>
      <c r="G296" s="124" t="n">
        <v>-61107</v>
      </c>
      <c r="I296" s="124" t="n">
        <f aca="false">IF(MONTH($A296)=MONTH($A295),IF(G296=0,I295,G296),G296)</f>
        <v>-61107</v>
      </c>
      <c r="J296" s="124" t="n">
        <f aca="false">IF(MONTH($A296)=MONTH($A295),SUM(I296-I295),I296)</f>
        <v>0</v>
      </c>
      <c r="K296" s="124" t="n">
        <f aca="false">IF(WEEKDAY(A296,3)&gt;4,0,(IF(A296&lt;K$2,0,IF(A296&lt;=K$3,1,0))))</f>
        <v>0</v>
      </c>
      <c r="L296" s="124" t="n">
        <f aca="false">J296*K296</f>
        <v>0</v>
      </c>
      <c r="M296" s="124" t="n">
        <f aca="false">SUM(J$188:J296)</f>
        <v>118701</v>
      </c>
      <c r="N296" s="124" t="n">
        <f aca="false">SUM(J$6:J296)</f>
        <v>1711636</v>
      </c>
      <c r="P296" s="124" t="n">
        <f aca="false">D296/P$3</f>
        <v>-17.0609937968874</v>
      </c>
      <c r="Q296" s="124" t="n">
        <f aca="false">E296/P$3</f>
        <v>4.50351126998889</v>
      </c>
      <c r="R296" s="124" t="n">
        <f aca="false">F296/R$3</f>
        <v>0</v>
      </c>
      <c r="S296" s="126" t="n">
        <f aca="false">J296/$R$3</f>
        <v>0</v>
      </c>
      <c r="T296" s="126" t="n">
        <f aca="false">L296/$R$3</f>
        <v>0</v>
      </c>
      <c r="U296" s="126" t="n">
        <f aca="false">I296/$R$3</f>
        <v>-61.107</v>
      </c>
      <c r="V296" s="126" t="n">
        <f aca="false">M296/$R$3</f>
        <v>118.701</v>
      </c>
      <c r="W296" s="126" t="n">
        <f aca="false">N296/$R$3</f>
        <v>1711.636</v>
      </c>
    </row>
    <row r="297" customFormat="false" ht="12.75" hidden="true" customHeight="false" outlineLevel="0" collapsed="false">
      <c r="A297" s="120" t="n">
        <f aca="false">A296+1</f>
        <v>37183</v>
      </c>
      <c r="B297" s="131" t="str">
        <f aca="false">INDEX('Master Data'!$A$2:$B$8,MATCH(WEEKDAY('ARG Gas Firm'!A297,3),'Master Data'!$A$2:$A$8,0),2)</f>
        <v>F</v>
      </c>
      <c r="D297" s="124" t="n">
        <v>-17052836.5678967</v>
      </c>
      <c r="E297" s="124" t="n">
        <v>4503068.28979233</v>
      </c>
      <c r="F297" s="124"/>
      <c r="G297" s="124" t="n">
        <v>-61108</v>
      </c>
      <c r="I297" s="124" t="n">
        <f aca="false">IF(MONTH($A297)=MONTH($A296),IF(G297=0,I296,G297),G297)</f>
        <v>-61108</v>
      </c>
      <c r="J297" s="124" t="n">
        <f aca="false">IF(MONTH($A297)=MONTH($A296),SUM(I297-I296),I297)</f>
        <v>-1</v>
      </c>
      <c r="K297" s="124" t="n">
        <f aca="false">IF(WEEKDAY(A297,3)&gt;4,0,(IF(A297&lt;K$2,0,IF(A297&lt;=K$3,1,0))))</f>
        <v>0</v>
      </c>
      <c r="L297" s="124" t="n">
        <f aca="false">J297*K297</f>
        <v>-0</v>
      </c>
      <c r="M297" s="124" t="n">
        <f aca="false">SUM(J$188:J297)</f>
        <v>118700</v>
      </c>
      <c r="N297" s="124" t="n">
        <f aca="false">SUM(J$6:J297)</f>
        <v>1711635</v>
      </c>
      <c r="P297" s="124" t="n">
        <f aca="false">D297/P$3</f>
        <v>-17.0528365678967</v>
      </c>
      <c r="Q297" s="124" t="n">
        <f aca="false">E297/P$3</f>
        <v>4.50306828979233</v>
      </c>
      <c r="R297" s="124" t="n">
        <f aca="false">F297/R$3</f>
        <v>0</v>
      </c>
      <c r="S297" s="126" t="n">
        <f aca="false">J297/$R$3</f>
        <v>-0.001</v>
      </c>
      <c r="T297" s="126" t="n">
        <f aca="false">L297/$R$3</f>
        <v>-0</v>
      </c>
      <c r="U297" s="126" t="n">
        <f aca="false">I297/$R$3</f>
        <v>-61.108</v>
      </c>
      <c r="V297" s="126" t="n">
        <f aca="false">M297/$R$3</f>
        <v>118.7</v>
      </c>
      <c r="W297" s="126" t="n">
        <f aca="false">N297/$R$3</f>
        <v>1711.635</v>
      </c>
    </row>
    <row r="298" customFormat="false" ht="12.75" hidden="true" customHeight="false" outlineLevel="0" collapsed="false">
      <c r="A298" s="120" t="n">
        <f aca="false">A297+1</f>
        <v>37184</v>
      </c>
      <c r="B298" s="131" t="str">
        <f aca="false">INDEX('Master Data'!$A$2:$B$8,MATCH(WEEKDAY('ARG Gas Firm'!A298,3),'Master Data'!$A$2:$A$8,0),2)</f>
        <v>Sa</v>
      </c>
      <c r="D298" s="124"/>
      <c r="E298" s="124"/>
      <c r="F298" s="124"/>
      <c r="G298" s="124"/>
      <c r="I298" s="124" t="n">
        <f aca="false">IF(MONTH($A298)=MONTH($A297),IF(G298=0,I297,G298),G298)</f>
        <v>-61108</v>
      </c>
      <c r="J298" s="124" t="n">
        <f aca="false">IF(MONTH($A298)=MONTH($A297),SUM(I298-I297),I298)</f>
        <v>0</v>
      </c>
      <c r="K298" s="124" t="n">
        <f aca="false">IF(WEEKDAY(A298,3)&gt;4,0,(IF(A298&lt;K$2,0,IF(A298&lt;=K$3,1,0))))</f>
        <v>0</v>
      </c>
      <c r="L298" s="124" t="n">
        <f aca="false">J298*K298</f>
        <v>0</v>
      </c>
      <c r="M298" s="124" t="n">
        <f aca="false">SUM(J$188:J298)</f>
        <v>118700</v>
      </c>
      <c r="N298" s="124" t="n">
        <f aca="false">SUM(J$6:J298)</f>
        <v>1711635</v>
      </c>
      <c r="P298" s="124" t="n">
        <f aca="false">D298/P$3</f>
        <v>0</v>
      </c>
      <c r="Q298" s="124" t="n">
        <f aca="false">E298/P$3</f>
        <v>0</v>
      </c>
      <c r="R298" s="124" t="n">
        <f aca="false">F298/R$3</f>
        <v>0</v>
      </c>
      <c r="S298" s="126" t="n">
        <f aca="false">J298/$R$3</f>
        <v>0</v>
      </c>
      <c r="T298" s="126" t="n">
        <f aca="false">L298/$R$3</f>
        <v>0</v>
      </c>
      <c r="U298" s="126" t="n">
        <f aca="false">I298/$R$3</f>
        <v>-61.108</v>
      </c>
      <c r="V298" s="126" t="n">
        <f aca="false">M298/$R$3</f>
        <v>118.7</v>
      </c>
      <c r="W298" s="126" t="n">
        <f aca="false">N298/$R$3</f>
        <v>1711.635</v>
      </c>
    </row>
    <row r="299" customFormat="false" ht="12.75" hidden="true" customHeight="false" outlineLevel="0" collapsed="false">
      <c r="A299" s="120" t="n">
        <f aca="false">A298+1</f>
        <v>37185</v>
      </c>
      <c r="B299" s="131" t="str">
        <f aca="false">INDEX('Master Data'!$A$2:$B$8,MATCH(WEEKDAY('ARG Gas Firm'!A299,3),'Master Data'!$A$2:$A$8,0),2)</f>
        <v>Su</v>
      </c>
      <c r="D299" s="124"/>
      <c r="E299" s="124"/>
      <c r="F299" s="124"/>
      <c r="G299" s="124"/>
      <c r="I299" s="124" t="n">
        <f aca="false">IF(MONTH($A299)=MONTH($A298),IF(G299=0,I298,G299),G299)</f>
        <v>-61108</v>
      </c>
      <c r="J299" s="124" t="n">
        <f aca="false">IF(MONTH($A299)=MONTH($A298),SUM(I299-I298),I299)</f>
        <v>0</v>
      </c>
      <c r="K299" s="124" t="n">
        <f aca="false">IF(WEEKDAY(A299,3)&gt;4,0,(IF(A299&lt;K$2,0,IF(A299&lt;=K$3,1,0))))</f>
        <v>0</v>
      </c>
      <c r="L299" s="124" t="n">
        <f aca="false">J299*K299</f>
        <v>0</v>
      </c>
      <c r="M299" s="124" t="n">
        <f aca="false">SUM(J$188:J299)</f>
        <v>118700</v>
      </c>
      <c r="N299" s="124" t="n">
        <f aca="false">SUM(J$6:J299)</f>
        <v>1711635</v>
      </c>
      <c r="P299" s="124" t="n">
        <f aca="false">D299/P$3</f>
        <v>0</v>
      </c>
      <c r="Q299" s="124" t="n">
        <f aca="false">E299/P$3</f>
        <v>0</v>
      </c>
      <c r="R299" s="124" t="n">
        <f aca="false">F299/R$3</f>
        <v>0</v>
      </c>
      <c r="S299" s="126" t="n">
        <f aca="false">J299/$R$3</f>
        <v>0</v>
      </c>
      <c r="T299" s="126" t="n">
        <f aca="false">L299/$R$3</f>
        <v>0</v>
      </c>
      <c r="U299" s="126" t="n">
        <f aca="false">I299/$R$3</f>
        <v>-61.108</v>
      </c>
      <c r="V299" s="126" t="n">
        <f aca="false">M299/$R$3</f>
        <v>118.7</v>
      </c>
      <c r="W299" s="126" t="n">
        <f aca="false">N299/$R$3</f>
        <v>1711.635</v>
      </c>
    </row>
    <row r="300" customFormat="false" ht="12.75" hidden="true" customHeight="false" outlineLevel="0" collapsed="false">
      <c r="A300" s="120" t="n">
        <f aca="false">A299+1</f>
        <v>37186</v>
      </c>
      <c r="B300" s="131" t="str">
        <f aca="false">INDEX('Master Data'!$A$2:$B$8,MATCH(WEEKDAY('ARG Gas Firm'!A300,3),'Master Data'!$A$2:$A$8,0),2)</f>
        <v>M</v>
      </c>
      <c r="D300" s="124" t="n">
        <v>-17048429.7026458</v>
      </c>
      <c r="E300" s="124" t="n">
        <v>4502636.15339733</v>
      </c>
      <c r="F300" s="124"/>
      <c r="G300" s="124" t="n">
        <v>-61108</v>
      </c>
      <c r="I300" s="124" t="n">
        <f aca="false">IF(MONTH($A300)=MONTH($A299),IF(G300=0,I299,G300),G300)</f>
        <v>-61108</v>
      </c>
      <c r="J300" s="124" t="n">
        <f aca="false">IF(MONTH($A300)=MONTH($A299),SUM(I300-I299),I300)</f>
        <v>0</v>
      </c>
      <c r="K300" s="124" t="n">
        <f aca="false">IF(WEEKDAY(A300,3)&gt;4,0,(IF(A300&lt;K$2,0,IF(A300&lt;=K$3,1,0))))</f>
        <v>0</v>
      </c>
      <c r="L300" s="124" t="n">
        <f aca="false">J300*K300</f>
        <v>0</v>
      </c>
      <c r="M300" s="124" t="n">
        <f aca="false">SUM(J$188:J300)</f>
        <v>118700</v>
      </c>
      <c r="N300" s="124" t="n">
        <f aca="false">SUM(J$6:J300)</f>
        <v>1711635</v>
      </c>
      <c r="P300" s="124" t="n">
        <f aca="false">D300/P$3</f>
        <v>-17.0484297026458</v>
      </c>
      <c r="Q300" s="124" t="n">
        <f aca="false">E300/P$3</f>
        <v>4.50263615339733</v>
      </c>
      <c r="R300" s="124" t="n">
        <f aca="false">F300/R$3</f>
        <v>0</v>
      </c>
      <c r="S300" s="126" t="n">
        <f aca="false">J300/$R$3</f>
        <v>0</v>
      </c>
      <c r="T300" s="126" t="n">
        <f aca="false">L300/$R$3</f>
        <v>0</v>
      </c>
      <c r="U300" s="126" t="n">
        <f aca="false">I300/$R$3</f>
        <v>-61.108</v>
      </c>
      <c r="V300" s="126" t="n">
        <f aca="false">M300/$R$3</f>
        <v>118.7</v>
      </c>
      <c r="W300" s="126" t="n">
        <f aca="false">N300/$R$3</f>
        <v>1711.635</v>
      </c>
    </row>
    <row r="301" customFormat="false" ht="12.75" hidden="true" customHeight="false" outlineLevel="0" collapsed="false">
      <c r="A301" s="120" t="n">
        <f aca="false">A300+1</f>
        <v>37187</v>
      </c>
      <c r="B301" s="131" t="str">
        <f aca="false">INDEX('Master Data'!$A$2:$B$8,MATCH(WEEKDAY('ARG Gas Firm'!A301,3),'Master Data'!$A$2:$A$8,0),2)</f>
        <v>T</v>
      </c>
      <c r="D301" s="124" t="n">
        <v>-17042447.7359197</v>
      </c>
      <c r="E301" s="124" t="n">
        <v>4501863.47622738</v>
      </c>
      <c r="F301" s="124"/>
      <c r="G301" s="124" t="n">
        <v>-61108</v>
      </c>
      <c r="I301" s="124" t="n">
        <f aca="false">IF(MONTH($A301)=MONTH($A300),IF(G301=0,I300,G301),G301)</f>
        <v>-61108</v>
      </c>
      <c r="J301" s="124" t="n">
        <f aca="false">IF(MONTH($A301)=MONTH($A300),SUM(I301-I300),I301)</f>
        <v>0</v>
      </c>
      <c r="K301" s="124" t="n">
        <f aca="false">IF(WEEKDAY(A301,3)&gt;4,0,(IF(A301&lt;K$2,0,IF(A301&lt;=K$3,1,0))))</f>
        <v>0</v>
      </c>
      <c r="L301" s="124" t="n">
        <f aca="false">J301*K301</f>
        <v>0</v>
      </c>
      <c r="M301" s="124" t="n">
        <f aca="false">SUM(J$188:J301)</f>
        <v>118700</v>
      </c>
      <c r="N301" s="124" t="n">
        <f aca="false">SUM(J$6:J301)</f>
        <v>1711635</v>
      </c>
      <c r="P301" s="124" t="n">
        <f aca="false">D301/P$3</f>
        <v>-17.0424477359197</v>
      </c>
      <c r="Q301" s="124" t="n">
        <f aca="false">E301/P$3</f>
        <v>4.50186347622738</v>
      </c>
      <c r="R301" s="124" t="n">
        <f aca="false">F301/R$3</f>
        <v>0</v>
      </c>
      <c r="S301" s="126" t="n">
        <f aca="false">J301/$R$3</f>
        <v>0</v>
      </c>
      <c r="T301" s="126" t="n">
        <f aca="false">L301/$R$3</f>
        <v>0</v>
      </c>
      <c r="U301" s="126" t="n">
        <f aca="false">I301/$R$3</f>
        <v>-61.108</v>
      </c>
      <c r="V301" s="126" t="n">
        <f aca="false">M301/$R$3</f>
        <v>118.7</v>
      </c>
      <c r="W301" s="126" t="n">
        <f aca="false">N301/$R$3</f>
        <v>1711.635</v>
      </c>
    </row>
    <row r="302" customFormat="false" ht="12.75" hidden="true" customHeight="false" outlineLevel="0" collapsed="false">
      <c r="A302" s="120" t="n">
        <f aca="false">A301+1</f>
        <v>37188</v>
      </c>
      <c r="B302" s="131" t="str">
        <f aca="false">INDEX('Master Data'!$A$2:$B$8,MATCH(WEEKDAY('ARG Gas Firm'!A302,3),'Master Data'!$A$2:$A$8,0),2)</f>
        <v>W</v>
      </c>
      <c r="D302" s="124" t="n">
        <v>-17042447.7359197</v>
      </c>
      <c r="E302" s="124" t="n">
        <v>4501863.47622738</v>
      </c>
      <c r="F302" s="124"/>
      <c r="G302" s="124" t="n">
        <v>-61109</v>
      </c>
      <c r="I302" s="124" t="n">
        <f aca="false">IF(MONTH($A302)=MONTH($A301),IF(G302=0,I301,G302),G302)</f>
        <v>-61109</v>
      </c>
      <c r="J302" s="124" t="n">
        <f aca="false">IF(MONTH($A302)=MONTH($A301),SUM(I302-I301),I302)</f>
        <v>-1</v>
      </c>
      <c r="K302" s="124" t="n">
        <f aca="false">IF(WEEKDAY(A302,3)&gt;4,0,(IF(A302&lt;K$2,0,IF(A302&lt;=K$3,1,0))))</f>
        <v>0</v>
      </c>
      <c r="L302" s="124" t="n">
        <f aca="false">J302*K302</f>
        <v>-0</v>
      </c>
      <c r="M302" s="124" t="n">
        <f aca="false">SUM(J$188:J302)</f>
        <v>118699</v>
      </c>
      <c r="N302" s="124" t="n">
        <f aca="false">SUM(J$6:J302)</f>
        <v>1711634</v>
      </c>
      <c r="P302" s="124" t="n">
        <f aca="false">D302/P$3</f>
        <v>-17.0424477359197</v>
      </c>
      <c r="Q302" s="124" t="n">
        <f aca="false">E302/P$3</f>
        <v>4.50186347622738</v>
      </c>
      <c r="R302" s="124" t="n">
        <f aca="false">F302/R$3</f>
        <v>0</v>
      </c>
      <c r="S302" s="126" t="n">
        <f aca="false">J302/$R$3</f>
        <v>-0.001</v>
      </c>
      <c r="T302" s="126" t="n">
        <f aca="false">L302/$R$3</f>
        <v>-0</v>
      </c>
      <c r="U302" s="126" t="n">
        <f aca="false">I302/$R$3</f>
        <v>-61.109</v>
      </c>
      <c r="V302" s="126" t="n">
        <f aca="false">M302/$R$3</f>
        <v>118.699</v>
      </c>
      <c r="W302" s="126" t="n">
        <f aca="false">N302/$R$3</f>
        <v>1711.634</v>
      </c>
    </row>
    <row r="303" customFormat="false" ht="12.75" hidden="true" customHeight="false" outlineLevel="0" collapsed="false">
      <c r="A303" s="120" t="n">
        <f aca="false">A302+1</f>
        <v>37189</v>
      </c>
      <c r="B303" s="131" t="str">
        <f aca="false">INDEX('Master Data'!$A$2:$B$8,MATCH(WEEKDAY('ARG Gas Firm'!A303,3),'Master Data'!$A$2:$A$8,0),2)</f>
        <v>Th</v>
      </c>
      <c r="D303" s="124" t="n">
        <v>-17127487.7925436</v>
      </c>
      <c r="E303" s="124" t="n">
        <v>4522235.33606433</v>
      </c>
      <c r="F303" s="124"/>
      <c r="G303" s="124" t="n">
        <v>-61110</v>
      </c>
      <c r="I303" s="124" t="n">
        <f aca="false">IF(MONTH($A303)=MONTH($A302),IF(G303=0,I302,G303),G303)</f>
        <v>-61110</v>
      </c>
      <c r="J303" s="124" t="n">
        <f aca="false">IF(MONTH($A303)=MONTH($A302),SUM(I303-I302),I303)</f>
        <v>-1</v>
      </c>
      <c r="K303" s="124" t="n">
        <f aca="false">IF(WEEKDAY(A303,3)&gt;4,0,(IF(A303&lt;K$2,0,IF(A303&lt;=K$3,1,0))))</f>
        <v>0</v>
      </c>
      <c r="L303" s="124" t="n">
        <f aca="false">J303*K303</f>
        <v>-0</v>
      </c>
      <c r="M303" s="124" t="n">
        <f aca="false">SUM(J$188:J303)</f>
        <v>118698</v>
      </c>
      <c r="N303" s="124" t="n">
        <f aca="false">SUM(J$6:J303)</f>
        <v>1711633</v>
      </c>
      <c r="P303" s="124" t="n">
        <f aca="false">D303/P$3</f>
        <v>-17.1274877925436</v>
      </c>
      <c r="Q303" s="124" t="n">
        <f aca="false">E303/P$3</f>
        <v>4.52223533606433</v>
      </c>
      <c r="R303" s="124" t="n">
        <f aca="false">F303/R$3</f>
        <v>0</v>
      </c>
      <c r="S303" s="126" t="n">
        <f aca="false">J303/$R$3</f>
        <v>-0.001</v>
      </c>
      <c r="T303" s="126" t="n">
        <f aca="false">L303/$R$3</f>
        <v>-0</v>
      </c>
      <c r="U303" s="126" t="n">
        <f aca="false">I303/$R$3</f>
        <v>-61.11</v>
      </c>
      <c r="V303" s="126" t="n">
        <f aca="false">M303/$R$3</f>
        <v>118.698</v>
      </c>
      <c r="W303" s="126" t="n">
        <f aca="false">N303/$R$3</f>
        <v>1711.633</v>
      </c>
    </row>
    <row r="304" customFormat="false" ht="12.75" hidden="false" customHeight="false" outlineLevel="0" collapsed="false">
      <c r="A304" s="120" t="n">
        <f aca="false">A303+1</f>
        <v>37190</v>
      </c>
      <c r="B304" s="131" t="str">
        <f aca="false">INDEX('Master Data'!$A$2:$B$8,MATCH(WEEKDAY('ARG Gas Firm'!A304,3),'Master Data'!$A$2:$A$8,0),2)</f>
        <v>F</v>
      </c>
      <c r="D304" s="124" t="n">
        <v>-17132175.9466274</v>
      </c>
      <c r="E304" s="124" t="n">
        <v>4522655.00359828</v>
      </c>
      <c r="F304" s="124"/>
      <c r="G304" s="124" t="n">
        <v>-61110</v>
      </c>
      <c r="I304" s="124" t="n">
        <f aca="false">IF(MONTH($A304)=MONTH($A303),IF(G304=0,I303,G304),G304)</f>
        <v>-61110</v>
      </c>
      <c r="J304" s="124" t="n">
        <f aca="false">IF(MONTH($A304)=MONTH($A303),SUM(I304-I303),I304)</f>
        <v>0</v>
      </c>
      <c r="K304" s="124" t="n">
        <f aca="false">IF(WEEKDAY(A304,3)&gt;4,0,(IF(A304&lt;K$2,0,IF(A304&lt;=K$3,1,0))))</f>
        <v>1</v>
      </c>
      <c r="L304" s="124" t="n">
        <f aca="false">J304*K304</f>
        <v>0</v>
      </c>
      <c r="M304" s="124" t="n">
        <f aca="false">SUM(J$188:J304)</f>
        <v>118698</v>
      </c>
      <c r="N304" s="124" t="n">
        <f aca="false">SUM(J$6:J304)</f>
        <v>1711633</v>
      </c>
      <c r="P304" s="124" t="n">
        <f aca="false">D304/P$3</f>
        <v>-17.1321759466274</v>
      </c>
      <c r="Q304" s="124" t="n">
        <f aca="false">E304/P$3</f>
        <v>4.52265500359828</v>
      </c>
      <c r="R304" s="124" t="n">
        <f aca="false">F304/R$3</f>
        <v>0</v>
      </c>
      <c r="S304" s="126" t="n">
        <f aca="false">J304/$R$3</f>
        <v>0</v>
      </c>
      <c r="T304" s="126" t="n">
        <f aca="false">L304/$R$3</f>
        <v>0</v>
      </c>
      <c r="U304" s="126" t="n">
        <f aca="false">I304/$R$3</f>
        <v>-61.11</v>
      </c>
      <c r="V304" s="126" t="n">
        <f aca="false">M304/$R$3</f>
        <v>118.698</v>
      </c>
      <c r="W304" s="126" t="n">
        <f aca="false">N304/$R$3</f>
        <v>1711.633</v>
      </c>
    </row>
    <row r="305" customFormat="false" ht="12.75" hidden="false" customHeight="false" outlineLevel="0" collapsed="false">
      <c r="A305" s="120" t="n">
        <f aca="false">A304+1</f>
        <v>37191</v>
      </c>
      <c r="B305" s="131" t="str">
        <f aca="false">INDEX('Master Data'!$A$2:$B$8,MATCH(WEEKDAY('ARG Gas Firm'!A305,3),'Master Data'!$A$2:$A$8,0),2)</f>
        <v>Sa</v>
      </c>
      <c r="D305" s="124"/>
      <c r="E305" s="124"/>
      <c r="F305" s="124"/>
      <c r="G305" s="124"/>
      <c r="I305" s="124" t="n">
        <f aca="false">IF(MONTH($A305)=MONTH($A304),IF(G305=0,I304,G305),G305)</f>
        <v>-61110</v>
      </c>
      <c r="J305" s="124" t="n">
        <f aca="false">IF(MONTH($A305)=MONTH($A304),SUM(I305-I304),I305)</f>
        <v>0</v>
      </c>
      <c r="K305" s="124" t="n">
        <f aca="false">IF(WEEKDAY(A305,3)&gt;4,0,(IF(A305&lt;K$2,0,IF(A305&lt;=K$3,1,0))))</f>
        <v>0</v>
      </c>
      <c r="L305" s="124" t="n">
        <f aca="false">J305*K305</f>
        <v>0</v>
      </c>
      <c r="M305" s="124" t="n">
        <f aca="false">SUM(J$188:J305)</f>
        <v>118698</v>
      </c>
      <c r="N305" s="124" t="n">
        <f aca="false">SUM(J$6:J305)</f>
        <v>1711633</v>
      </c>
      <c r="P305" s="124" t="n">
        <f aca="false">D305/P$3</f>
        <v>0</v>
      </c>
      <c r="Q305" s="124" t="n">
        <f aca="false">E305/P$3</f>
        <v>0</v>
      </c>
      <c r="R305" s="124" t="n">
        <f aca="false">F305/R$3</f>
        <v>0</v>
      </c>
      <c r="S305" s="126" t="n">
        <f aca="false">J305/$R$3</f>
        <v>0</v>
      </c>
      <c r="T305" s="126" t="n">
        <f aca="false">L305/$R$3</f>
        <v>0</v>
      </c>
      <c r="U305" s="126" t="n">
        <f aca="false">I305/$R$3</f>
        <v>-61.11</v>
      </c>
      <c r="V305" s="126" t="n">
        <f aca="false">M305/$R$3</f>
        <v>118.698</v>
      </c>
      <c r="W305" s="126" t="n">
        <f aca="false">N305/$R$3</f>
        <v>1711.633</v>
      </c>
    </row>
    <row r="306" customFormat="false" ht="12.75" hidden="false" customHeight="false" outlineLevel="0" collapsed="false">
      <c r="A306" s="120" t="n">
        <f aca="false">A305+1</f>
        <v>37192</v>
      </c>
      <c r="B306" s="131" t="str">
        <f aca="false">INDEX('Master Data'!$A$2:$B$8,MATCH(WEEKDAY('ARG Gas Firm'!A306,3),'Master Data'!$A$2:$A$8,0),2)</f>
        <v>Su</v>
      </c>
      <c r="D306" s="124"/>
      <c r="E306" s="124"/>
      <c r="F306" s="124"/>
      <c r="G306" s="124"/>
      <c r="I306" s="124" t="n">
        <f aca="false">IF(MONTH($A306)=MONTH($A305),IF(G306=0,I305,G306),G306)</f>
        <v>-61110</v>
      </c>
      <c r="J306" s="124" t="n">
        <f aca="false">IF(MONTH($A306)=MONTH($A305),SUM(I306-I305),I306)</f>
        <v>0</v>
      </c>
      <c r="K306" s="124" t="n">
        <f aca="false">IF(WEEKDAY(A306,3)&gt;4,0,(IF(A306&lt;K$2,0,IF(A306&lt;=K$3,1,0))))</f>
        <v>0</v>
      </c>
      <c r="L306" s="124" t="n">
        <f aca="false">J306*K306</f>
        <v>0</v>
      </c>
      <c r="M306" s="124" t="n">
        <f aca="false">SUM(J$188:J306)</f>
        <v>118698</v>
      </c>
      <c r="N306" s="124" t="n">
        <f aca="false">SUM(J$6:J306)</f>
        <v>1711633</v>
      </c>
      <c r="P306" s="124" t="n">
        <f aca="false">D306/P$3</f>
        <v>0</v>
      </c>
      <c r="Q306" s="124" t="n">
        <f aca="false">E306/P$3</f>
        <v>0</v>
      </c>
      <c r="R306" s="124" t="n">
        <f aca="false">F306/R$3</f>
        <v>0</v>
      </c>
      <c r="S306" s="126" t="n">
        <f aca="false">J306/$R$3</f>
        <v>0</v>
      </c>
      <c r="T306" s="126" t="n">
        <f aca="false">L306/$R$3</f>
        <v>0</v>
      </c>
      <c r="U306" s="126" t="n">
        <f aca="false">I306/$R$3</f>
        <v>-61.11</v>
      </c>
      <c r="V306" s="126" t="n">
        <f aca="false">M306/$R$3</f>
        <v>118.698</v>
      </c>
      <c r="W306" s="126" t="n">
        <f aca="false">N306/$R$3</f>
        <v>1711.633</v>
      </c>
    </row>
    <row r="307" customFormat="false" ht="12.75" hidden="false" customHeight="false" outlineLevel="0" collapsed="false">
      <c r="A307" s="120" t="n">
        <f aca="false">A306+1</f>
        <v>37193</v>
      </c>
      <c r="B307" s="131" t="str">
        <f aca="false">INDEX('Master Data'!$A$2:$B$8,MATCH(WEEKDAY('ARG Gas Firm'!A307,3),'Master Data'!$A$2:$A$8,0),2)</f>
        <v>M</v>
      </c>
      <c r="D307" s="124" t="n">
        <v>-17174578.4818924</v>
      </c>
      <c r="E307" s="124" t="n">
        <v>4532751.14837819</v>
      </c>
      <c r="F307" s="124"/>
      <c r="G307" s="124" t="n">
        <v>-61112</v>
      </c>
      <c r="I307" s="124" t="n">
        <f aca="false">IF(MONTH($A307)=MONTH($A306),IF(G307=0,I306,G307),G307)</f>
        <v>-61112</v>
      </c>
      <c r="J307" s="124" t="n">
        <f aca="false">IF(MONTH($A307)=MONTH($A306),SUM(I307-I306),I307)</f>
        <v>-2</v>
      </c>
      <c r="K307" s="124" t="n">
        <f aca="false">IF(WEEKDAY(A307,3)&gt;4,0,(IF(A307&lt;K$2,0,IF(A307&lt;=K$3,1,0))))</f>
        <v>1</v>
      </c>
      <c r="L307" s="124" t="n">
        <f aca="false">J307*K307</f>
        <v>-2</v>
      </c>
      <c r="M307" s="124" t="n">
        <f aca="false">SUM(J$188:J307)</f>
        <v>118696</v>
      </c>
      <c r="N307" s="124" t="n">
        <f aca="false">SUM(J$6:J307)</f>
        <v>1711631</v>
      </c>
      <c r="P307" s="124" t="n">
        <f aca="false">D307/P$3</f>
        <v>-17.1745784818924</v>
      </c>
      <c r="Q307" s="124" t="n">
        <f aca="false">E307/P$3</f>
        <v>4.53275114837819</v>
      </c>
      <c r="R307" s="124" t="n">
        <f aca="false">F307/R$3</f>
        <v>0</v>
      </c>
      <c r="S307" s="126" t="n">
        <f aca="false">J307/$R$3</f>
        <v>-0.002</v>
      </c>
      <c r="T307" s="126" t="n">
        <f aca="false">L307/$R$3</f>
        <v>-0.002</v>
      </c>
      <c r="U307" s="126" t="n">
        <f aca="false">I307/$R$3</f>
        <v>-61.112</v>
      </c>
      <c r="V307" s="126" t="n">
        <f aca="false">M307/$R$3</f>
        <v>118.696</v>
      </c>
      <c r="W307" s="126" t="n">
        <f aca="false">N307/$R$3</f>
        <v>1711.631</v>
      </c>
    </row>
    <row r="308" customFormat="false" ht="12.75" hidden="false" customHeight="false" outlineLevel="0" collapsed="false">
      <c r="A308" s="120" t="n">
        <f aca="false">A307+1</f>
        <v>37194</v>
      </c>
      <c r="B308" s="131" t="str">
        <f aca="false">INDEX('Master Data'!$A$2:$B$8,MATCH(WEEKDAY('ARG Gas Firm'!A308,3),'Master Data'!$A$2:$A$8,0),2)</f>
        <v>T</v>
      </c>
      <c r="D308" s="124" t="n">
        <v>-17224307.944295</v>
      </c>
      <c r="E308" s="124" t="n">
        <v>4545097.93378432</v>
      </c>
      <c r="F308" s="124"/>
      <c r="G308" s="124" t="n">
        <v>-61113</v>
      </c>
      <c r="I308" s="124" t="n">
        <f aca="false">IF(MONTH($A308)=MONTH($A307),IF(G308=0,I307,G308),G308)</f>
        <v>-61113</v>
      </c>
      <c r="J308" s="124" t="n">
        <f aca="false">IF(MONTH($A308)=MONTH($A307),SUM(I308-I307),I308)</f>
        <v>-1</v>
      </c>
      <c r="K308" s="124" t="n">
        <f aca="false">IF(WEEKDAY(A308,3)&gt;4,0,(IF(A308&lt;K$2,0,IF(A308&lt;=K$3,1,0))))</f>
        <v>1</v>
      </c>
      <c r="L308" s="124" t="n">
        <f aca="false">J308*K308</f>
        <v>-1</v>
      </c>
      <c r="M308" s="124" t="n">
        <f aca="false">SUM(J$188:J308)</f>
        <v>118695</v>
      </c>
      <c r="N308" s="124" t="n">
        <f aca="false">SUM(J$6:J308)</f>
        <v>1711630</v>
      </c>
      <c r="P308" s="124" t="n">
        <f aca="false">D308/P$3</f>
        <v>-17.224307944295</v>
      </c>
      <c r="Q308" s="124" t="n">
        <f aca="false">E308/P$3</f>
        <v>4.54509793378432</v>
      </c>
      <c r="R308" s="124" t="n">
        <f aca="false">F308/R$3</f>
        <v>0</v>
      </c>
      <c r="S308" s="126" t="n">
        <f aca="false">J308/$R$3</f>
        <v>-0.001</v>
      </c>
      <c r="T308" s="126" t="n">
        <f aca="false">L308/$R$3</f>
        <v>-0.001</v>
      </c>
      <c r="U308" s="126" t="n">
        <f aca="false">I308/$R$3</f>
        <v>-61.113</v>
      </c>
      <c r="V308" s="126" t="n">
        <f aca="false">M308/$R$3</f>
        <v>118.695</v>
      </c>
      <c r="W308" s="126" t="n">
        <f aca="false">N308/$R$3</f>
        <v>1711.63</v>
      </c>
    </row>
    <row r="309" customFormat="false" ht="12.75" hidden="false" customHeight="false" outlineLevel="0" collapsed="false">
      <c r="A309" s="120" t="n">
        <f aca="false">A308+1</f>
        <v>37195</v>
      </c>
      <c r="B309" s="131" t="str">
        <f aca="false">INDEX('Master Data'!$A$2:$B$8,MATCH(WEEKDAY('ARG Gas Firm'!A309,3),'Master Data'!$A$2:$A$8,0),2)</f>
        <v>W</v>
      </c>
      <c r="D309" s="124" t="n">
        <v>-17284024.6584626</v>
      </c>
      <c r="E309" s="124" t="n">
        <v>4554414.59070058</v>
      </c>
      <c r="F309" s="124"/>
      <c r="G309" s="124" t="n">
        <v>-61114</v>
      </c>
      <c r="I309" s="124" t="n">
        <f aca="false">IF(MONTH($A309)=MONTH($A308),IF(G309=0,I308,G309),G309)</f>
        <v>-61114</v>
      </c>
      <c r="J309" s="124" t="n">
        <f aca="false">IF(MONTH($A309)=MONTH($A308),SUM(I309-I308),I309)</f>
        <v>-1</v>
      </c>
      <c r="K309" s="124" t="n">
        <f aca="false">IF(WEEKDAY(A309,3)&gt;4,0,(IF(A309&lt;K$2,0,IF(A309&lt;=K$3,1,0))))</f>
        <v>1</v>
      </c>
      <c r="L309" s="124" t="n">
        <f aca="false">J309*K309</f>
        <v>-1</v>
      </c>
      <c r="M309" s="124" t="n">
        <f aca="false">SUM(J$188:J309)</f>
        <v>118694</v>
      </c>
      <c r="N309" s="124" t="n">
        <f aca="false">SUM(J$6:J309)</f>
        <v>1711629</v>
      </c>
      <c r="P309" s="124" t="n">
        <f aca="false">D309/P$3</f>
        <v>-17.2840246584626</v>
      </c>
      <c r="Q309" s="124" t="n">
        <f aca="false">E309/P$3</f>
        <v>4.55441459070058</v>
      </c>
      <c r="R309" s="124" t="n">
        <f aca="false">F309/R$3</f>
        <v>0</v>
      </c>
      <c r="S309" s="126" t="n">
        <f aca="false">J309/$R$3</f>
        <v>-0.001</v>
      </c>
      <c r="T309" s="126" t="n">
        <f aca="false">L309/$R$3</f>
        <v>-0.001</v>
      </c>
      <c r="U309" s="126" t="n">
        <f aca="false">I309/$R$3</f>
        <v>-61.114</v>
      </c>
      <c r="V309" s="126" t="n">
        <f aca="false">M309/$R$3</f>
        <v>118.694</v>
      </c>
      <c r="W309" s="126" t="n">
        <f aca="false">N309/$R$3</f>
        <v>1711.629</v>
      </c>
    </row>
    <row r="310" customFormat="false" ht="12.75" hidden="false" customHeight="false" outlineLevel="0" collapsed="false">
      <c r="A310" s="120" t="n">
        <f aca="false">A309+1</f>
        <v>37196</v>
      </c>
      <c r="B310" s="131" t="str">
        <f aca="false">INDEX('Master Data'!$A$2:$B$8,MATCH(WEEKDAY('ARG Gas Firm'!A310,3),'Master Data'!$A$2:$A$8,0),2)</f>
        <v>Th</v>
      </c>
      <c r="D310" s="124" t="n">
        <v>-17294391.9499341</v>
      </c>
      <c r="E310" s="124" t="n">
        <v>4552352.98136646</v>
      </c>
      <c r="F310" s="124"/>
      <c r="G310" s="124" t="n">
        <v>0</v>
      </c>
      <c r="I310" s="124" t="n">
        <f aca="false">IF(MONTH($A310)=MONTH($A309),IF(G310=0,I309,G310),G310)</f>
        <v>0</v>
      </c>
      <c r="J310" s="124" t="n">
        <f aca="false">IF(MONTH($A310)=MONTH($A309),SUM(I310-I309),I310)</f>
        <v>0</v>
      </c>
      <c r="K310" s="124" t="n">
        <f aca="false">IF(WEEKDAY(A310,3)&gt;4,0,(IF(A310&lt;K$2,0,IF(A310&lt;=K$3,1,0))))</f>
        <v>1</v>
      </c>
      <c r="L310" s="124" t="n">
        <f aca="false">J310*K310</f>
        <v>0</v>
      </c>
      <c r="M310" s="124" t="n">
        <f aca="false">SUM(J$188:J310)</f>
        <v>118694</v>
      </c>
      <c r="N310" s="124" t="n">
        <f aca="false">SUM(J$6:J310)</f>
        <v>1711629</v>
      </c>
      <c r="P310" s="124" t="n">
        <f aca="false">D310/P$3</f>
        <v>-17.2943919499341</v>
      </c>
      <c r="Q310" s="124" t="n">
        <f aca="false">E310/P$3</f>
        <v>4.55235298136646</v>
      </c>
      <c r="R310" s="124" t="n">
        <f aca="false">F310/R$3</f>
        <v>0</v>
      </c>
      <c r="S310" s="126" t="n">
        <f aca="false">J310/$R$3</f>
        <v>0</v>
      </c>
      <c r="T310" s="126" t="n">
        <f aca="false">L310/$R$3</f>
        <v>0</v>
      </c>
      <c r="U310" s="126" t="n">
        <f aca="false">I310/$R$3</f>
        <v>0</v>
      </c>
      <c r="V310" s="126" t="n">
        <f aca="false">M310/$R$3</f>
        <v>118.694</v>
      </c>
      <c r="W310" s="126" t="n">
        <f aca="false">N310/$R$3</f>
        <v>1711.629</v>
      </c>
    </row>
    <row r="311" customFormat="false" ht="12.75" hidden="false" customHeight="false" outlineLevel="0" collapsed="false">
      <c r="A311" s="120" t="n">
        <f aca="false">A310+1</f>
        <v>37197</v>
      </c>
      <c r="B311" s="131" t="str">
        <f aca="false">INDEX('Master Data'!$A$2:$B$8,MATCH(WEEKDAY('ARG Gas Firm'!A311,3),'Master Data'!$A$2:$A$8,0),2)</f>
        <v>F</v>
      </c>
      <c r="D311" s="124"/>
      <c r="E311" s="124"/>
      <c r="F311" s="124"/>
      <c r="G311" s="124"/>
      <c r="I311" s="124" t="n">
        <f aca="false">IF(MONTH($A311)=MONTH($A310),IF(G311=0,I310,G311),G311)</f>
        <v>0</v>
      </c>
      <c r="J311" s="124" t="n">
        <f aca="false">IF(MONTH($A311)=MONTH($A310),SUM(I311-I310),I311)</f>
        <v>0</v>
      </c>
      <c r="K311" s="124" t="n">
        <f aca="false">IF(WEEKDAY(A311,3)&gt;4,0,(IF(A311&lt;K$2,0,IF(A311&lt;=K$3,1,0))))</f>
        <v>0</v>
      </c>
      <c r="L311" s="124" t="n">
        <f aca="false">J311*K311</f>
        <v>0</v>
      </c>
      <c r="M311" s="124" t="n">
        <f aca="false">SUM(J$188:J311)</f>
        <v>118694</v>
      </c>
      <c r="N311" s="124" t="n">
        <f aca="false">SUM(J$6:J311)</f>
        <v>1711629</v>
      </c>
      <c r="P311" s="124" t="n">
        <f aca="false">D311/P$3</f>
        <v>0</v>
      </c>
      <c r="Q311" s="124" t="n">
        <f aca="false">E311/P$3</f>
        <v>0</v>
      </c>
      <c r="R311" s="124" t="n">
        <f aca="false">F311/R$3</f>
        <v>0</v>
      </c>
      <c r="S311" s="126" t="n">
        <f aca="false">J311/$R$3</f>
        <v>0</v>
      </c>
      <c r="T311" s="126" t="n">
        <f aca="false">L311/$R$3</f>
        <v>0</v>
      </c>
      <c r="U311" s="126" t="n">
        <f aca="false">I311/$R$3</f>
        <v>0</v>
      </c>
      <c r="V311" s="126" t="n">
        <f aca="false">M311/$R$3</f>
        <v>118.694</v>
      </c>
      <c r="W311" s="126" t="n">
        <f aca="false">N311/$R$3</f>
        <v>1711.629</v>
      </c>
    </row>
    <row r="312" customFormat="false" ht="12.75" hidden="false" customHeight="false" outlineLevel="0" collapsed="false">
      <c r="A312" s="120" t="n">
        <f aca="false">A311+1</f>
        <v>37198</v>
      </c>
      <c r="B312" s="131" t="str">
        <f aca="false">INDEX('Master Data'!$A$2:$B$8,MATCH(WEEKDAY('ARG Gas Firm'!A312,3),'Master Data'!$A$2:$A$8,0),2)</f>
        <v>Sa</v>
      </c>
      <c r="D312" s="124"/>
      <c r="E312" s="124"/>
      <c r="F312" s="124"/>
      <c r="G312" s="124"/>
      <c r="I312" s="124" t="n">
        <f aca="false">IF(MONTH($A312)=MONTH($A311),IF(G312=0,I311,G312),G312)</f>
        <v>0</v>
      </c>
      <c r="J312" s="124" t="n">
        <f aca="false">IF(MONTH($A312)=MONTH($A311),SUM(I312-I311),I312)</f>
        <v>0</v>
      </c>
      <c r="K312" s="124" t="n">
        <f aca="false">IF(WEEKDAY(A312,3)&gt;4,0,(IF(A312&lt;K$2,0,IF(A312&lt;=K$3,1,0))))</f>
        <v>0</v>
      </c>
      <c r="L312" s="124" t="n">
        <f aca="false">J312*K312</f>
        <v>0</v>
      </c>
      <c r="M312" s="124" t="n">
        <f aca="false">SUM(J$188:J312)</f>
        <v>118694</v>
      </c>
      <c r="N312" s="124" t="n">
        <f aca="false">SUM(J$6:J312)</f>
        <v>1711629</v>
      </c>
      <c r="P312" s="124" t="n">
        <f aca="false">D312/P$3</f>
        <v>0</v>
      </c>
      <c r="Q312" s="124" t="n">
        <f aca="false">E312/P$3</f>
        <v>0</v>
      </c>
      <c r="R312" s="124" t="n">
        <f aca="false">F312/R$3</f>
        <v>0</v>
      </c>
      <c r="S312" s="126" t="n">
        <f aca="false">J312/$R$3</f>
        <v>0</v>
      </c>
      <c r="T312" s="126" t="n">
        <f aca="false">L312/$R$3</f>
        <v>0</v>
      </c>
      <c r="U312" s="126" t="n">
        <f aca="false">I312/$R$3</f>
        <v>0</v>
      </c>
      <c r="V312" s="126" t="n">
        <f aca="false">M312/$R$3</f>
        <v>118.694</v>
      </c>
      <c r="W312" s="126" t="n">
        <f aca="false">N312/$R$3</f>
        <v>1711.629</v>
      </c>
    </row>
    <row r="313" customFormat="false" ht="12.75" hidden="false" customHeight="false" outlineLevel="0" collapsed="false">
      <c r="A313" s="120" t="n">
        <f aca="false">A312+1</f>
        <v>37199</v>
      </c>
      <c r="B313" s="131" t="str">
        <f aca="false">INDEX('Master Data'!$A$2:$B$8,MATCH(WEEKDAY('ARG Gas Firm'!A313,3),'Master Data'!$A$2:$A$8,0),2)</f>
        <v>Su</v>
      </c>
      <c r="D313" s="124"/>
      <c r="E313" s="124"/>
      <c r="F313" s="124"/>
      <c r="G313" s="124"/>
      <c r="I313" s="124" t="n">
        <f aca="false">IF(MONTH($A313)=MONTH($A312),IF(G313=0,I312,G313),G313)</f>
        <v>0</v>
      </c>
      <c r="J313" s="124" t="n">
        <f aca="false">IF(MONTH($A313)=MONTH($A312),SUM(I313-I312),I313)</f>
        <v>0</v>
      </c>
      <c r="K313" s="124" t="n">
        <f aca="false">IF(WEEKDAY(A313,3)&gt;4,0,(IF(A313&lt;K$2,0,IF(A313&lt;=K$3,1,0))))</f>
        <v>0</v>
      </c>
      <c r="L313" s="124" t="n">
        <f aca="false">J313*K313</f>
        <v>0</v>
      </c>
      <c r="M313" s="124" t="n">
        <f aca="false">SUM(J$188:J313)</f>
        <v>118694</v>
      </c>
      <c r="N313" s="124" t="n">
        <f aca="false">SUM(J$6:J313)</f>
        <v>1711629</v>
      </c>
      <c r="P313" s="124" t="n">
        <f aca="false">D313/P$3</f>
        <v>0</v>
      </c>
      <c r="Q313" s="124" t="n">
        <f aca="false">E313/P$3</f>
        <v>0</v>
      </c>
      <c r="R313" s="124" t="n">
        <f aca="false">F313/R$3</f>
        <v>0</v>
      </c>
      <c r="S313" s="126" t="n">
        <f aca="false">J313/$R$3</f>
        <v>0</v>
      </c>
      <c r="T313" s="126" t="n">
        <f aca="false">L313/$R$3</f>
        <v>0</v>
      </c>
      <c r="U313" s="126" t="n">
        <f aca="false">I313/$R$3</f>
        <v>0</v>
      </c>
      <c r="V313" s="126" t="n">
        <f aca="false">M313/$R$3</f>
        <v>118.694</v>
      </c>
      <c r="W313" s="126" t="n">
        <f aca="false">N313/$R$3</f>
        <v>1711.629</v>
      </c>
    </row>
    <row r="314" customFormat="false" ht="12.75" hidden="false" customHeight="false" outlineLevel="0" collapsed="false">
      <c r="A314" s="120" t="n">
        <f aca="false">A313+1</f>
        <v>37200</v>
      </c>
      <c r="B314" s="131" t="str">
        <f aca="false">INDEX('Master Data'!$A$2:$B$8,MATCH(WEEKDAY('ARG Gas Firm'!A314,3),'Master Data'!$A$2:$A$8,0),2)</f>
        <v>M</v>
      </c>
      <c r="D314" s="124"/>
      <c r="E314" s="124"/>
      <c r="F314" s="124"/>
      <c r="G314" s="124"/>
      <c r="I314" s="124" t="n">
        <f aca="false">IF(MONTH($A314)=MONTH($A313),IF(G314=0,I313,G314),G314)</f>
        <v>0</v>
      </c>
      <c r="J314" s="124" t="n">
        <f aca="false">IF(MONTH($A314)=MONTH($A313),SUM(I314-I313),I314)</f>
        <v>0</v>
      </c>
      <c r="K314" s="124" t="n">
        <f aca="false">IF(WEEKDAY(A314,3)&gt;4,0,(IF(A314&lt;K$2,0,IF(A314&lt;=K$3,1,0))))</f>
        <v>0</v>
      </c>
      <c r="L314" s="124" t="n">
        <f aca="false">J314*K314</f>
        <v>0</v>
      </c>
      <c r="M314" s="124" t="n">
        <f aca="false">SUM(J$188:J314)</f>
        <v>118694</v>
      </c>
      <c r="N314" s="124" t="n">
        <f aca="false">SUM(J$6:J314)</f>
        <v>1711629</v>
      </c>
      <c r="P314" s="124" t="n">
        <f aca="false">D314/P$3</f>
        <v>0</v>
      </c>
      <c r="Q314" s="124" t="n">
        <f aca="false">E314/P$3</f>
        <v>0</v>
      </c>
      <c r="R314" s="124" t="n">
        <f aca="false">F314/R$3</f>
        <v>0</v>
      </c>
      <c r="S314" s="126" t="n">
        <f aca="false">J314/$R$3</f>
        <v>0</v>
      </c>
      <c r="T314" s="126" t="n">
        <f aca="false">L314/$R$3</f>
        <v>0</v>
      </c>
      <c r="U314" s="126" t="n">
        <f aca="false">I314/$R$3</f>
        <v>0</v>
      </c>
      <c r="V314" s="126" t="n">
        <f aca="false">M314/$R$3</f>
        <v>118.694</v>
      </c>
      <c r="W314" s="126" t="n">
        <f aca="false">N314/$R$3</f>
        <v>1711.629</v>
      </c>
    </row>
    <row r="315" customFormat="false" ht="12.75" hidden="false" customHeight="false" outlineLevel="0" collapsed="false">
      <c r="A315" s="120" t="n">
        <f aca="false">A314+1</f>
        <v>37201</v>
      </c>
      <c r="B315" s="131" t="str">
        <f aca="false">INDEX('Master Data'!$A$2:$B$8,MATCH(WEEKDAY('ARG Gas Firm'!A315,3),'Master Data'!$A$2:$A$8,0),2)</f>
        <v>T</v>
      </c>
      <c r="D315" s="124"/>
      <c r="E315" s="124"/>
      <c r="F315" s="124"/>
      <c r="G315" s="124"/>
      <c r="I315" s="124" t="n">
        <f aca="false">IF(MONTH($A315)=MONTH($A314),IF(G315=0,I314,G315),G315)</f>
        <v>0</v>
      </c>
      <c r="J315" s="124" t="n">
        <f aca="false">IF(MONTH($A315)=MONTH($A314),SUM(I315-I314),I315)</f>
        <v>0</v>
      </c>
      <c r="K315" s="124" t="n">
        <f aca="false">IF(WEEKDAY(A315,3)&gt;4,0,(IF(A315&lt;K$2,0,IF(A315&lt;=K$3,1,0))))</f>
        <v>0</v>
      </c>
      <c r="L315" s="124" t="n">
        <f aca="false">J315*K315</f>
        <v>0</v>
      </c>
      <c r="M315" s="124" t="n">
        <f aca="false">SUM(J$188:J315)</f>
        <v>118694</v>
      </c>
      <c r="N315" s="124" t="n">
        <f aca="false">SUM(J$6:J315)</f>
        <v>1711629</v>
      </c>
      <c r="P315" s="124" t="n">
        <f aca="false">D315/P$3</f>
        <v>0</v>
      </c>
      <c r="Q315" s="124" t="n">
        <f aca="false">E315/P$3</f>
        <v>0</v>
      </c>
      <c r="R315" s="124" t="n">
        <f aca="false">F315/R$3</f>
        <v>0</v>
      </c>
      <c r="S315" s="126" t="n">
        <f aca="false">J315/$R$3</f>
        <v>0</v>
      </c>
      <c r="T315" s="126" t="n">
        <f aca="false">L315/$R$3</f>
        <v>0</v>
      </c>
      <c r="U315" s="126" t="n">
        <f aca="false">I315/$R$3</f>
        <v>0</v>
      </c>
      <c r="V315" s="126" t="n">
        <f aca="false">M315/$R$3</f>
        <v>118.694</v>
      </c>
      <c r="W315" s="126" t="n">
        <f aca="false">N315/$R$3</f>
        <v>1711.629</v>
      </c>
    </row>
    <row r="316" customFormat="false" ht="12.75" hidden="false" customHeight="false" outlineLevel="0" collapsed="false">
      <c r="A316" s="120" t="n">
        <f aca="false">A315+1</f>
        <v>37202</v>
      </c>
      <c r="B316" s="131" t="str">
        <f aca="false">INDEX('Master Data'!$A$2:$B$8,MATCH(WEEKDAY('ARG Gas Firm'!A316,3),'Master Data'!$A$2:$A$8,0),2)</f>
        <v>W</v>
      </c>
      <c r="D316" s="124"/>
      <c r="E316" s="124"/>
      <c r="F316" s="124"/>
      <c r="G316" s="124"/>
      <c r="I316" s="124" t="n">
        <f aca="false">IF(MONTH($A316)=MONTH($A315),IF(G316=0,I315,G316),G316)</f>
        <v>0</v>
      </c>
      <c r="J316" s="124" t="n">
        <f aca="false">IF(MONTH($A316)=MONTH($A315),SUM(I316-I315),I316)</f>
        <v>0</v>
      </c>
      <c r="K316" s="124" t="n">
        <f aca="false">IF(WEEKDAY(A316,3)&gt;4,0,(IF(A316&lt;K$2,0,IF(A316&lt;=K$3,1,0))))</f>
        <v>0</v>
      </c>
      <c r="L316" s="124" t="n">
        <f aca="false">J316*K316</f>
        <v>0</v>
      </c>
      <c r="M316" s="124" t="n">
        <f aca="false">SUM(J$188:J316)</f>
        <v>118694</v>
      </c>
      <c r="N316" s="124" t="n">
        <f aca="false">SUM(J$6:J316)</f>
        <v>1711629</v>
      </c>
      <c r="P316" s="124" t="n">
        <f aca="false">D316/P$3</f>
        <v>0</v>
      </c>
      <c r="Q316" s="124" t="n">
        <f aca="false">E316/P$3</f>
        <v>0</v>
      </c>
      <c r="R316" s="124" t="n">
        <f aca="false">F316/R$3</f>
        <v>0</v>
      </c>
      <c r="S316" s="126" t="n">
        <f aca="false">J316/$R$3</f>
        <v>0</v>
      </c>
      <c r="T316" s="126" t="n">
        <f aca="false">L316/$R$3</f>
        <v>0</v>
      </c>
      <c r="U316" s="126" t="n">
        <f aca="false">I316/$R$3</f>
        <v>0</v>
      </c>
      <c r="V316" s="126" t="n">
        <f aca="false">M316/$R$3</f>
        <v>118.694</v>
      </c>
      <c r="W316" s="126" t="n">
        <f aca="false">N316/$R$3</f>
        <v>1711.629</v>
      </c>
    </row>
    <row r="317" customFormat="false" ht="12.75" hidden="false" customHeight="false" outlineLevel="0" collapsed="false">
      <c r="A317" s="120" t="n">
        <f aca="false">A316+1</f>
        <v>37203</v>
      </c>
      <c r="B317" s="131" t="str">
        <f aca="false">INDEX('Master Data'!$A$2:$B$8,MATCH(WEEKDAY('ARG Gas Firm'!A317,3),'Master Data'!$A$2:$A$8,0),2)</f>
        <v>Th</v>
      </c>
      <c r="D317" s="124"/>
      <c r="E317" s="124"/>
      <c r="F317" s="124"/>
      <c r="G317" s="124"/>
      <c r="I317" s="124" t="n">
        <f aca="false">IF(MONTH($A317)=MONTH($A316),IF(G317=0,I316,G317),G317)</f>
        <v>0</v>
      </c>
      <c r="J317" s="124" t="n">
        <f aca="false">IF(MONTH($A317)=MONTH($A316),SUM(I317-I316),I317)</f>
        <v>0</v>
      </c>
      <c r="K317" s="124" t="n">
        <f aca="false">IF(WEEKDAY(A317,3)&gt;4,0,(IF(A317&lt;K$2,0,IF(A317&lt;=K$3,1,0))))</f>
        <v>0</v>
      </c>
      <c r="L317" s="124" t="n">
        <f aca="false">J317*K317</f>
        <v>0</v>
      </c>
      <c r="M317" s="124" t="n">
        <f aca="false">SUM(J$188:J317)</f>
        <v>118694</v>
      </c>
      <c r="N317" s="124" t="n">
        <f aca="false">SUM(J$6:J317)</f>
        <v>1711629</v>
      </c>
      <c r="P317" s="124" t="n">
        <f aca="false">D317/P$3</f>
        <v>0</v>
      </c>
      <c r="Q317" s="124" t="n">
        <f aca="false">E317/P$3</f>
        <v>0</v>
      </c>
      <c r="R317" s="124" t="n">
        <f aca="false">F317/R$3</f>
        <v>0</v>
      </c>
      <c r="S317" s="126" t="n">
        <f aca="false">J317/$R$3</f>
        <v>0</v>
      </c>
      <c r="T317" s="126" t="n">
        <f aca="false">L317/$R$3</f>
        <v>0</v>
      </c>
      <c r="U317" s="126" t="n">
        <f aca="false">I317/$R$3</f>
        <v>0</v>
      </c>
      <c r="V317" s="126" t="n">
        <f aca="false">M317/$R$3</f>
        <v>118.694</v>
      </c>
      <c r="W317" s="126" t="n">
        <f aca="false">N317/$R$3</f>
        <v>1711.629</v>
      </c>
    </row>
    <row r="318" customFormat="false" ht="12.75" hidden="false" customHeight="false" outlineLevel="0" collapsed="false">
      <c r="A318" s="120" t="n">
        <f aca="false">A317+1</f>
        <v>37204</v>
      </c>
      <c r="B318" s="131" t="str">
        <f aca="false">INDEX('Master Data'!$A$2:$B$8,MATCH(WEEKDAY('ARG Gas Firm'!A318,3),'Master Data'!$A$2:$A$8,0),2)</f>
        <v>F</v>
      </c>
      <c r="D318" s="124"/>
      <c r="E318" s="124"/>
      <c r="F318" s="124"/>
      <c r="G318" s="124"/>
      <c r="I318" s="124" t="n">
        <f aca="false">IF(MONTH($A318)=MONTH($A317),IF(G318=0,I317,G318),G318)</f>
        <v>0</v>
      </c>
      <c r="J318" s="124" t="n">
        <f aca="false">IF(MONTH($A318)=MONTH($A317),SUM(I318-I317),I318)</f>
        <v>0</v>
      </c>
      <c r="K318" s="124" t="n">
        <f aca="false">IF(WEEKDAY(A318,3)&gt;4,0,(IF(A318&lt;K$2,0,IF(A318&lt;=K$3,1,0))))</f>
        <v>0</v>
      </c>
      <c r="L318" s="124" t="n">
        <f aca="false">J318*K318</f>
        <v>0</v>
      </c>
      <c r="M318" s="124" t="n">
        <f aca="false">SUM(J$188:J318)</f>
        <v>118694</v>
      </c>
      <c r="N318" s="124" t="n">
        <f aca="false">SUM(J$6:J318)</f>
        <v>1711629</v>
      </c>
      <c r="P318" s="124" t="n">
        <f aca="false">D318/P$3</f>
        <v>0</v>
      </c>
      <c r="Q318" s="124" t="n">
        <f aca="false">E318/P$3</f>
        <v>0</v>
      </c>
      <c r="R318" s="124" t="n">
        <f aca="false">F318/R$3</f>
        <v>0</v>
      </c>
      <c r="S318" s="126" t="n">
        <f aca="false">J318/$R$3</f>
        <v>0</v>
      </c>
      <c r="T318" s="126" t="n">
        <f aca="false">L318/$R$3</f>
        <v>0</v>
      </c>
      <c r="U318" s="126" t="n">
        <f aca="false">I318/$R$3</f>
        <v>0</v>
      </c>
      <c r="V318" s="126" t="n">
        <f aca="false">M318/$R$3</f>
        <v>118.694</v>
      </c>
      <c r="W318" s="126" t="n">
        <f aca="false">N318/$R$3</f>
        <v>1711.629</v>
      </c>
    </row>
    <row r="319" customFormat="false" ht="12.75" hidden="false" customHeight="false" outlineLevel="0" collapsed="false">
      <c r="A319" s="120" t="n">
        <f aca="false">A318+1</f>
        <v>37205</v>
      </c>
      <c r="B319" s="131" t="str">
        <f aca="false">INDEX('Master Data'!$A$2:$B$8,MATCH(WEEKDAY('ARG Gas Firm'!A319,3),'Master Data'!$A$2:$A$8,0),2)</f>
        <v>Sa</v>
      </c>
      <c r="D319" s="124"/>
      <c r="E319" s="124"/>
      <c r="F319" s="124"/>
      <c r="G319" s="124"/>
      <c r="I319" s="124" t="n">
        <f aca="false">IF(MONTH($A319)=MONTH($A318),IF(G319=0,I318,G319),G319)</f>
        <v>0</v>
      </c>
      <c r="J319" s="124" t="n">
        <f aca="false">IF(MONTH($A319)=MONTH($A318),SUM(I319-I318),I319)</f>
        <v>0</v>
      </c>
      <c r="K319" s="124" t="n">
        <f aca="false">IF(WEEKDAY(A319,3)&gt;4,0,(IF(A319&lt;K$2,0,IF(A319&lt;=K$3,1,0))))</f>
        <v>0</v>
      </c>
      <c r="L319" s="124" t="n">
        <f aca="false">J319*K319</f>
        <v>0</v>
      </c>
      <c r="M319" s="124" t="n">
        <f aca="false">SUM(J$188:J319)</f>
        <v>118694</v>
      </c>
      <c r="N319" s="124" t="n">
        <f aca="false">SUM(J$6:J319)</f>
        <v>1711629</v>
      </c>
      <c r="P319" s="124" t="n">
        <f aca="false">D319/P$3</f>
        <v>0</v>
      </c>
      <c r="Q319" s="124" t="n">
        <f aca="false">E319/P$3</f>
        <v>0</v>
      </c>
      <c r="R319" s="124" t="n">
        <f aca="false">F319/R$3</f>
        <v>0</v>
      </c>
      <c r="S319" s="126" t="n">
        <f aca="false">J319/$R$3</f>
        <v>0</v>
      </c>
      <c r="T319" s="126" t="n">
        <f aca="false">L319/$R$3</f>
        <v>0</v>
      </c>
      <c r="U319" s="126" t="n">
        <f aca="false">I319/$R$3</f>
        <v>0</v>
      </c>
      <c r="V319" s="126" t="n">
        <f aca="false">M319/$R$3</f>
        <v>118.694</v>
      </c>
      <c r="W319" s="126" t="n">
        <f aca="false">N319/$R$3</f>
        <v>1711.629</v>
      </c>
    </row>
    <row r="320" customFormat="false" ht="12.75" hidden="false" customHeight="false" outlineLevel="0" collapsed="false">
      <c r="A320" s="120" t="n">
        <f aca="false">A319+1</f>
        <v>37206</v>
      </c>
      <c r="B320" s="131" t="str">
        <f aca="false">INDEX('Master Data'!$A$2:$B$8,MATCH(WEEKDAY('ARG Gas Firm'!A320,3),'Master Data'!$A$2:$A$8,0),2)</f>
        <v>Su</v>
      </c>
      <c r="D320" s="124"/>
      <c r="E320" s="124"/>
      <c r="F320" s="124"/>
      <c r="G320" s="124"/>
      <c r="I320" s="124" t="n">
        <f aca="false">IF(MONTH($A320)=MONTH($A319),IF(G320=0,I319,G320),G320)</f>
        <v>0</v>
      </c>
      <c r="J320" s="124" t="n">
        <f aca="false">IF(MONTH($A320)=MONTH($A319),SUM(I320-I319),I320)</f>
        <v>0</v>
      </c>
      <c r="K320" s="124" t="n">
        <f aca="false">IF(WEEKDAY(A320,3)&gt;4,0,(IF(A320&lt;K$2,0,IF(A320&lt;=K$3,1,0))))</f>
        <v>0</v>
      </c>
      <c r="L320" s="124" t="n">
        <f aca="false">J320*K320</f>
        <v>0</v>
      </c>
      <c r="M320" s="124" t="n">
        <f aca="false">SUM(J$188:J320)</f>
        <v>118694</v>
      </c>
      <c r="N320" s="124" t="n">
        <f aca="false">SUM(J$6:J320)</f>
        <v>1711629</v>
      </c>
      <c r="P320" s="124" t="n">
        <f aca="false">D320/P$3</f>
        <v>0</v>
      </c>
      <c r="Q320" s="124" t="n">
        <f aca="false">E320/P$3</f>
        <v>0</v>
      </c>
      <c r="R320" s="124" t="n">
        <f aca="false">F320/R$3</f>
        <v>0</v>
      </c>
      <c r="S320" s="126" t="n">
        <f aca="false">J320/$R$3</f>
        <v>0</v>
      </c>
      <c r="T320" s="126" t="n">
        <f aca="false">L320/$R$3</f>
        <v>0</v>
      </c>
      <c r="U320" s="126" t="n">
        <f aca="false">I320/$R$3</f>
        <v>0</v>
      </c>
      <c r="V320" s="126" t="n">
        <f aca="false">M320/$R$3</f>
        <v>118.694</v>
      </c>
      <c r="W320" s="126" t="n">
        <f aca="false">N320/$R$3</f>
        <v>1711.629</v>
      </c>
    </row>
    <row r="321" customFormat="false" ht="12.75" hidden="false" customHeight="false" outlineLevel="0" collapsed="false">
      <c r="A321" s="120" t="n">
        <f aca="false">A320+1</f>
        <v>37207</v>
      </c>
      <c r="B321" s="131" t="str">
        <f aca="false">INDEX('Master Data'!$A$2:$B$8,MATCH(WEEKDAY('ARG Gas Firm'!A321,3),'Master Data'!$A$2:$A$8,0),2)</f>
        <v>M</v>
      </c>
      <c r="D321" s="124"/>
      <c r="E321" s="124"/>
      <c r="F321" s="124"/>
      <c r="G321" s="124"/>
      <c r="I321" s="124" t="n">
        <f aca="false">IF(MONTH($A321)=MONTH($A320),IF(G321=0,I320,G321),G321)</f>
        <v>0</v>
      </c>
      <c r="J321" s="124" t="n">
        <f aca="false">IF(MONTH($A321)=MONTH($A320),SUM(I321-I320),I321)</f>
        <v>0</v>
      </c>
      <c r="K321" s="124" t="n">
        <f aca="false">IF(WEEKDAY(A321,3)&gt;4,0,(IF(A321&lt;K$2,0,IF(A321&lt;=K$3,1,0))))</f>
        <v>0</v>
      </c>
      <c r="L321" s="124" t="n">
        <f aca="false">J321*K321</f>
        <v>0</v>
      </c>
      <c r="M321" s="124" t="n">
        <f aca="false">SUM(J$188:J321)</f>
        <v>118694</v>
      </c>
      <c r="N321" s="124" t="n">
        <f aca="false">SUM(J$6:J321)</f>
        <v>1711629</v>
      </c>
      <c r="P321" s="124" t="n">
        <f aca="false">D321/P$3</f>
        <v>0</v>
      </c>
      <c r="Q321" s="124" t="n">
        <f aca="false">E321/P$3</f>
        <v>0</v>
      </c>
      <c r="R321" s="124" t="n">
        <f aca="false">F321/R$3</f>
        <v>0</v>
      </c>
      <c r="S321" s="126" t="n">
        <f aca="false">J321/$R$3</f>
        <v>0</v>
      </c>
      <c r="T321" s="126" t="n">
        <f aca="false">L321/$R$3</f>
        <v>0</v>
      </c>
      <c r="U321" s="126" t="n">
        <f aca="false">I321/$R$3</f>
        <v>0</v>
      </c>
      <c r="V321" s="126" t="n">
        <f aca="false">M321/$R$3</f>
        <v>118.694</v>
      </c>
      <c r="W321" s="126" t="n">
        <f aca="false">N321/$R$3</f>
        <v>1711.629</v>
      </c>
    </row>
    <row r="322" customFormat="false" ht="12.75" hidden="false" customHeight="false" outlineLevel="0" collapsed="false">
      <c r="A322" s="120" t="n">
        <f aca="false">A321+1</f>
        <v>37208</v>
      </c>
      <c r="B322" s="131" t="str">
        <f aca="false">INDEX('Master Data'!$A$2:$B$8,MATCH(WEEKDAY('ARG Gas Firm'!A322,3),'Master Data'!$A$2:$A$8,0),2)</f>
        <v>T</v>
      </c>
      <c r="D322" s="124"/>
      <c r="E322" s="124"/>
      <c r="F322" s="124"/>
      <c r="G322" s="124"/>
      <c r="I322" s="124" t="n">
        <f aca="false">IF(MONTH($A322)=MONTH($A321),IF(G322=0,I321,G322),G322)</f>
        <v>0</v>
      </c>
      <c r="J322" s="124" t="n">
        <f aca="false">IF(MONTH($A322)=MONTH($A321),SUM(I322-I321),I322)</f>
        <v>0</v>
      </c>
      <c r="K322" s="124" t="n">
        <f aca="false">IF(WEEKDAY(A322,3)&gt;4,0,(IF(A322&lt;K$2,0,IF(A322&lt;=K$3,1,0))))</f>
        <v>0</v>
      </c>
      <c r="L322" s="124" t="n">
        <f aca="false">J322*K322</f>
        <v>0</v>
      </c>
      <c r="M322" s="124" t="n">
        <f aca="false">SUM(J$188:J322)</f>
        <v>118694</v>
      </c>
      <c r="N322" s="124" t="n">
        <f aca="false">SUM(J$6:J322)</f>
        <v>1711629</v>
      </c>
      <c r="P322" s="124" t="n">
        <f aca="false">D322/P$3</f>
        <v>0</v>
      </c>
      <c r="Q322" s="124" t="n">
        <f aca="false">E322/P$3</f>
        <v>0</v>
      </c>
      <c r="R322" s="124" t="n">
        <f aca="false">F322/R$3</f>
        <v>0</v>
      </c>
      <c r="S322" s="126" t="n">
        <f aca="false">J322/$R$3</f>
        <v>0</v>
      </c>
      <c r="T322" s="126" t="n">
        <f aca="false">L322/$R$3</f>
        <v>0</v>
      </c>
      <c r="U322" s="126" t="n">
        <f aca="false">I322/$R$3</f>
        <v>0</v>
      </c>
      <c r="V322" s="126" t="n">
        <f aca="false">M322/$R$3</f>
        <v>118.694</v>
      </c>
      <c r="W322" s="126" t="n">
        <f aca="false">N322/$R$3</f>
        <v>1711.629</v>
      </c>
    </row>
    <row r="323" customFormat="false" ht="12.75" hidden="false" customHeight="false" outlineLevel="0" collapsed="false">
      <c r="A323" s="120" t="n">
        <f aca="false">A322+1</f>
        <v>37209</v>
      </c>
      <c r="B323" s="131" t="str">
        <f aca="false">INDEX('Master Data'!$A$2:$B$8,MATCH(WEEKDAY('ARG Gas Firm'!A323,3),'Master Data'!$A$2:$A$8,0),2)</f>
        <v>W</v>
      </c>
      <c r="D323" s="124"/>
      <c r="E323" s="124"/>
      <c r="F323" s="124"/>
      <c r="G323" s="124"/>
      <c r="I323" s="124" t="n">
        <f aca="false">IF(MONTH($A323)=MONTH($A322),IF(G323=0,I322,G323),G323)</f>
        <v>0</v>
      </c>
      <c r="J323" s="124" t="n">
        <f aca="false">IF(MONTH($A323)=MONTH($A322),SUM(I323-I322),I323)</f>
        <v>0</v>
      </c>
      <c r="K323" s="124" t="n">
        <f aca="false">IF(WEEKDAY(A323,3)&gt;4,0,(IF(A323&lt;K$2,0,IF(A323&lt;=K$3,1,0))))</f>
        <v>0</v>
      </c>
      <c r="L323" s="124" t="n">
        <f aca="false">J323*K323</f>
        <v>0</v>
      </c>
      <c r="M323" s="124" t="n">
        <f aca="false">SUM(J$188:J323)</f>
        <v>118694</v>
      </c>
      <c r="N323" s="124" t="n">
        <f aca="false">SUM(J$6:J323)</f>
        <v>1711629</v>
      </c>
      <c r="P323" s="124" t="n">
        <f aca="false">D323/P$3</f>
        <v>0</v>
      </c>
      <c r="Q323" s="124" t="n">
        <f aca="false">E323/P$3</f>
        <v>0</v>
      </c>
      <c r="R323" s="124" t="n">
        <f aca="false">F323/R$3</f>
        <v>0</v>
      </c>
      <c r="S323" s="126" t="n">
        <f aca="false">J323/$R$3</f>
        <v>0</v>
      </c>
      <c r="T323" s="126" t="n">
        <f aca="false">L323/$R$3</f>
        <v>0</v>
      </c>
      <c r="U323" s="126" t="n">
        <f aca="false">I323/$R$3</f>
        <v>0</v>
      </c>
      <c r="V323" s="126" t="n">
        <f aca="false">M323/$R$3</f>
        <v>118.694</v>
      </c>
      <c r="W323" s="126" t="n">
        <f aca="false">N323/$R$3</f>
        <v>1711.629</v>
      </c>
    </row>
    <row r="324" customFormat="false" ht="12.75" hidden="false" customHeight="false" outlineLevel="0" collapsed="false">
      <c r="A324" s="120" t="n">
        <f aca="false">A323+1</f>
        <v>37210</v>
      </c>
      <c r="B324" s="131" t="str">
        <f aca="false">INDEX('Master Data'!$A$2:$B$8,MATCH(WEEKDAY('ARG Gas Firm'!A324,3),'Master Data'!$A$2:$A$8,0),2)</f>
        <v>Th</v>
      </c>
      <c r="D324" s="124"/>
      <c r="E324" s="124"/>
      <c r="F324" s="124"/>
      <c r="G324" s="124"/>
      <c r="I324" s="124" t="n">
        <f aca="false">IF(MONTH($A324)=MONTH($A323),IF(G324=0,I323,G324),G324)</f>
        <v>0</v>
      </c>
      <c r="J324" s="124" t="n">
        <f aca="false">IF(MONTH($A324)=MONTH($A323),SUM(I324-I323),I324)</f>
        <v>0</v>
      </c>
      <c r="K324" s="124" t="n">
        <f aca="false">IF(WEEKDAY(A324,3)&gt;4,0,(IF(A324&lt;K$2,0,IF(A324&lt;=K$3,1,0))))</f>
        <v>0</v>
      </c>
      <c r="L324" s="124" t="n">
        <f aca="false">J324*K324</f>
        <v>0</v>
      </c>
      <c r="M324" s="124" t="n">
        <f aca="false">SUM(J$188:J324)</f>
        <v>118694</v>
      </c>
      <c r="N324" s="124" t="n">
        <f aca="false">SUM(J$6:J324)</f>
        <v>1711629</v>
      </c>
      <c r="P324" s="124" t="n">
        <f aca="false">D324/P$3</f>
        <v>0</v>
      </c>
      <c r="Q324" s="124" t="n">
        <f aca="false">E324/P$3</f>
        <v>0</v>
      </c>
      <c r="R324" s="124" t="n">
        <f aca="false">F324/R$3</f>
        <v>0</v>
      </c>
      <c r="S324" s="126" t="n">
        <f aca="false">J324/$R$3</f>
        <v>0</v>
      </c>
      <c r="T324" s="126" t="n">
        <f aca="false">L324/$R$3</f>
        <v>0</v>
      </c>
      <c r="U324" s="126" t="n">
        <f aca="false">I324/$R$3</f>
        <v>0</v>
      </c>
      <c r="V324" s="126" t="n">
        <f aca="false">M324/$R$3</f>
        <v>118.694</v>
      </c>
      <c r="W324" s="126" t="n">
        <f aca="false">N324/$R$3</f>
        <v>1711.629</v>
      </c>
    </row>
    <row r="325" customFormat="false" ht="12.75" hidden="false" customHeight="false" outlineLevel="0" collapsed="false">
      <c r="A325" s="120" t="n">
        <f aca="false">A324+1</f>
        <v>37211</v>
      </c>
      <c r="B325" s="131" t="str">
        <f aca="false">INDEX('Master Data'!$A$2:$B$8,MATCH(WEEKDAY('ARG Gas Firm'!A325,3),'Master Data'!$A$2:$A$8,0),2)</f>
        <v>F</v>
      </c>
      <c r="D325" s="124"/>
      <c r="E325" s="124"/>
      <c r="F325" s="124"/>
      <c r="G325" s="124"/>
      <c r="I325" s="124" t="n">
        <f aca="false">IF(MONTH($A325)=MONTH($A324),IF(G325=0,I324,G325),G325)</f>
        <v>0</v>
      </c>
      <c r="J325" s="124" t="n">
        <f aca="false">IF(MONTH($A325)=MONTH($A324),SUM(I325-I324),I325)</f>
        <v>0</v>
      </c>
      <c r="K325" s="124" t="n">
        <f aca="false">IF(WEEKDAY(A325,3)&gt;4,0,(IF(A325&lt;K$2,0,IF(A325&lt;=K$3,1,0))))</f>
        <v>0</v>
      </c>
      <c r="L325" s="124" t="n">
        <f aca="false">J325*K325</f>
        <v>0</v>
      </c>
      <c r="M325" s="124" t="n">
        <f aca="false">SUM(J$188:J325)</f>
        <v>118694</v>
      </c>
      <c r="N325" s="124" t="n">
        <f aca="false">SUM(J$6:J325)</f>
        <v>1711629</v>
      </c>
      <c r="P325" s="124" t="n">
        <f aca="false">D325/P$3</f>
        <v>0</v>
      </c>
      <c r="Q325" s="124" t="n">
        <f aca="false">E325/P$3</f>
        <v>0</v>
      </c>
      <c r="R325" s="124" t="n">
        <f aca="false">F325/R$3</f>
        <v>0</v>
      </c>
      <c r="S325" s="126" t="n">
        <f aca="false">J325/$R$3</f>
        <v>0</v>
      </c>
      <c r="T325" s="126" t="n">
        <f aca="false">L325/$R$3</f>
        <v>0</v>
      </c>
      <c r="U325" s="126" t="n">
        <f aca="false">I325/$R$3</f>
        <v>0</v>
      </c>
      <c r="V325" s="126" t="n">
        <f aca="false">M325/$R$3</f>
        <v>118.694</v>
      </c>
      <c r="W325" s="126" t="n">
        <f aca="false">N325/$R$3</f>
        <v>1711.629</v>
      </c>
    </row>
    <row r="326" customFormat="false" ht="12.75" hidden="false" customHeight="false" outlineLevel="0" collapsed="false">
      <c r="A326" s="120" t="n">
        <f aca="false">A325+1</f>
        <v>37212</v>
      </c>
      <c r="B326" s="131" t="str">
        <f aca="false">INDEX('Master Data'!$A$2:$B$8,MATCH(WEEKDAY('ARG Gas Firm'!A326,3),'Master Data'!$A$2:$A$8,0),2)</f>
        <v>Sa</v>
      </c>
      <c r="D326" s="124"/>
      <c r="E326" s="124"/>
      <c r="F326" s="124"/>
      <c r="G326" s="124"/>
      <c r="I326" s="124" t="n">
        <f aca="false">IF(MONTH($A326)=MONTH($A325),IF(G326=0,I325,G326),G326)</f>
        <v>0</v>
      </c>
      <c r="J326" s="124" t="n">
        <f aca="false">IF(MONTH($A326)=MONTH($A325),SUM(I326-I325),I326)</f>
        <v>0</v>
      </c>
      <c r="K326" s="124" t="n">
        <f aca="false">IF(WEEKDAY(A326,3)&gt;4,0,(IF(A326&lt;K$2,0,IF(A326&lt;=K$3,1,0))))</f>
        <v>0</v>
      </c>
      <c r="L326" s="124" t="n">
        <f aca="false">J326*K326</f>
        <v>0</v>
      </c>
      <c r="M326" s="124" t="n">
        <f aca="false">SUM(J$188:J326)</f>
        <v>118694</v>
      </c>
      <c r="N326" s="124" t="n">
        <f aca="false">SUM(J$6:J326)</f>
        <v>1711629</v>
      </c>
      <c r="P326" s="124" t="n">
        <f aca="false">D326/P$3</f>
        <v>0</v>
      </c>
      <c r="Q326" s="124" t="n">
        <f aca="false">E326/P$3</f>
        <v>0</v>
      </c>
      <c r="R326" s="124" t="n">
        <f aca="false">F326/R$3</f>
        <v>0</v>
      </c>
      <c r="S326" s="126" t="n">
        <f aca="false">J326/$R$3</f>
        <v>0</v>
      </c>
      <c r="T326" s="126" t="n">
        <f aca="false">L326/$R$3</f>
        <v>0</v>
      </c>
      <c r="U326" s="126" t="n">
        <f aca="false">I326/$R$3</f>
        <v>0</v>
      </c>
      <c r="V326" s="126" t="n">
        <f aca="false">M326/$R$3</f>
        <v>118.694</v>
      </c>
      <c r="W326" s="126" t="n">
        <f aca="false">N326/$R$3</f>
        <v>1711.629</v>
      </c>
    </row>
    <row r="327" customFormat="false" ht="12.75" hidden="false" customHeight="false" outlineLevel="0" collapsed="false">
      <c r="A327" s="120" t="n">
        <f aca="false">A326+1</f>
        <v>37213</v>
      </c>
      <c r="B327" s="131" t="str">
        <f aca="false">INDEX('Master Data'!$A$2:$B$8,MATCH(WEEKDAY('ARG Gas Firm'!A327,3),'Master Data'!$A$2:$A$8,0),2)</f>
        <v>Su</v>
      </c>
      <c r="D327" s="124"/>
      <c r="E327" s="124"/>
      <c r="F327" s="124"/>
      <c r="G327" s="124"/>
      <c r="I327" s="124" t="n">
        <f aca="false">IF(MONTH($A327)=MONTH($A326),IF(G327=0,I326,G327),G327)</f>
        <v>0</v>
      </c>
      <c r="J327" s="124" t="n">
        <f aca="false">IF(MONTH($A327)=MONTH($A326),SUM(I327-I326),I327)</f>
        <v>0</v>
      </c>
      <c r="K327" s="124" t="n">
        <f aca="false">IF(WEEKDAY(A327,3)&gt;4,0,(IF(A327&lt;K$2,0,IF(A327&lt;=K$3,1,0))))</f>
        <v>0</v>
      </c>
      <c r="L327" s="124" t="n">
        <f aca="false">J327*K327</f>
        <v>0</v>
      </c>
      <c r="M327" s="124" t="n">
        <f aca="false">SUM(J$188:J327)</f>
        <v>118694</v>
      </c>
      <c r="N327" s="124" t="n">
        <f aca="false">SUM(J$6:J327)</f>
        <v>1711629</v>
      </c>
      <c r="P327" s="124" t="n">
        <f aca="false">D327/P$3</f>
        <v>0</v>
      </c>
      <c r="Q327" s="124" t="n">
        <f aca="false">E327/P$3</f>
        <v>0</v>
      </c>
      <c r="R327" s="124" t="n">
        <f aca="false">F327/R$3</f>
        <v>0</v>
      </c>
      <c r="S327" s="126" t="n">
        <f aca="false">J327/$R$3</f>
        <v>0</v>
      </c>
      <c r="T327" s="126" t="n">
        <f aca="false">L327/$R$3</f>
        <v>0</v>
      </c>
      <c r="U327" s="126" t="n">
        <f aca="false">I327/$R$3</f>
        <v>0</v>
      </c>
      <c r="V327" s="126" t="n">
        <f aca="false">M327/$R$3</f>
        <v>118.694</v>
      </c>
      <c r="W327" s="126" t="n">
        <f aca="false">N327/$R$3</f>
        <v>1711.629</v>
      </c>
    </row>
    <row r="328" customFormat="false" ht="12.75" hidden="false" customHeight="false" outlineLevel="0" collapsed="false">
      <c r="A328" s="120" t="n">
        <f aca="false">A327+1</f>
        <v>37214</v>
      </c>
      <c r="B328" s="131" t="str">
        <f aca="false">INDEX('Master Data'!$A$2:$B$8,MATCH(WEEKDAY('ARG Gas Firm'!A328,3),'Master Data'!$A$2:$A$8,0),2)</f>
        <v>M</v>
      </c>
      <c r="D328" s="124"/>
      <c r="E328" s="124"/>
      <c r="F328" s="124"/>
      <c r="G328" s="124"/>
      <c r="I328" s="124" t="n">
        <f aca="false">IF(MONTH($A328)=MONTH($A327),IF(G328=0,I327,G328),G328)</f>
        <v>0</v>
      </c>
      <c r="J328" s="124" t="n">
        <f aca="false">IF(MONTH($A328)=MONTH($A327),SUM(I328-I327),I328)</f>
        <v>0</v>
      </c>
      <c r="K328" s="124" t="n">
        <f aca="false">IF(WEEKDAY(A328,3)&gt;4,0,(IF(A328&lt;K$2,0,IF(A328&lt;=K$3,1,0))))</f>
        <v>0</v>
      </c>
      <c r="L328" s="124" t="n">
        <f aca="false">J328*K328</f>
        <v>0</v>
      </c>
      <c r="M328" s="124" t="n">
        <f aca="false">SUM(J$188:J328)</f>
        <v>118694</v>
      </c>
      <c r="N328" s="124" t="n">
        <f aca="false">SUM(J$6:J328)</f>
        <v>1711629</v>
      </c>
      <c r="P328" s="124" t="n">
        <f aca="false">D328/P$3</f>
        <v>0</v>
      </c>
      <c r="Q328" s="124" t="n">
        <f aca="false">E328/P$3</f>
        <v>0</v>
      </c>
      <c r="R328" s="124" t="n">
        <f aca="false">F328/R$3</f>
        <v>0</v>
      </c>
      <c r="S328" s="126" t="n">
        <f aca="false">J328/$R$3</f>
        <v>0</v>
      </c>
      <c r="T328" s="126" t="n">
        <f aca="false">L328/$R$3</f>
        <v>0</v>
      </c>
      <c r="U328" s="126" t="n">
        <f aca="false">I328/$R$3</f>
        <v>0</v>
      </c>
      <c r="V328" s="126" t="n">
        <f aca="false">M328/$R$3</f>
        <v>118.694</v>
      </c>
      <c r="W328" s="126" t="n">
        <f aca="false">N328/$R$3</f>
        <v>1711.629</v>
      </c>
    </row>
    <row r="329" customFormat="false" ht="12.75" hidden="false" customHeight="false" outlineLevel="0" collapsed="false">
      <c r="A329" s="120" t="n">
        <f aca="false">A328+1</f>
        <v>37215</v>
      </c>
      <c r="B329" s="131" t="str">
        <f aca="false">INDEX('Master Data'!$A$2:$B$8,MATCH(WEEKDAY('ARG Gas Firm'!A329,3),'Master Data'!$A$2:$A$8,0),2)</f>
        <v>T</v>
      </c>
      <c r="D329" s="124"/>
      <c r="E329" s="124"/>
      <c r="F329" s="124"/>
      <c r="G329" s="124"/>
      <c r="I329" s="124" t="n">
        <f aca="false">IF(MONTH($A329)=MONTH($A328),IF(G329=0,I328,G329),G329)</f>
        <v>0</v>
      </c>
      <c r="J329" s="124" t="n">
        <f aca="false">IF(MONTH($A329)=MONTH($A328),SUM(I329-I328),I329)</f>
        <v>0</v>
      </c>
      <c r="K329" s="124" t="n">
        <f aca="false">IF(WEEKDAY(A329,3)&gt;4,0,(IF(A329&lt;K$2,0,IF(A329&lt;=K$3,1,0))))</f>
        <v>0</v>
      </c>
      <c r="L329" s="124" t="n">
        <f aca="false">J329*K329</f>
        <v>0</v>
      </c>
      <c r="M329" s="124" t="n">
        <f aca="false">SUM(J$188:J329)</f>
        <v>118694</v>
      </c>
      <c r="N329" s="124" t="n">
        <f aca="false">SUM(J$6:J329)</f>
        <v>1711629</v>
      </c>
      <c r="P329" s="124" t="n">
        <f aca="false">D329/P$3</f>
        <v>0</v>
      </c>
      <c r="Q329" s="124" t="n">
        <f aca="false">E329/P$3</f>
        <v>0</v>
      </c>
      <c r="R329" s="124" t="n">
        <f aca="false">F329/R$3</f>
        <v>0</v>
      </c>
      <c r="S329" s="126" t="n">
        <f aca="false">J329/$R$3</f>
        <v>0</v>
      </c>
      <c r="T329" s="126" t="n">
        <f aca="false">L329/$R$3</f>
        <v>0</v>
      </c>
      <c r="U329" s="126" t="n">
        <f aca="false">I329/$R$3</f>
        <v>0</v>
      </c>
      <c r="V329" s="126" t="n">
        <f aca="false">M329/$R$3</f>
        <v>118.694</v>
      </c>
      <c r="W329" s="126" t="n">
        <f aca="false">N329/$R$3</f>
        <v>1711.629</v>
      </c>
    </row>
    <row r="330" customFormat="false" ht="12.75" hidden="false" customHeight="false" outlineLevel="0" collapsed="false">
      <c r="A330" s="120" t="n">
        <f aca="false">A329+1</f>
        <v>37216</v>
      </c>
      <c r="B330" s="131" t="str">
        <f aca="false">INDEX('Master Data'!$A$2:$B$8,MATCH(WEEKDAY('ARG Gas Firm'!A330,3),'Master Data'!$A$2:$A$8,0),2)</f>
        <v>W</v>
      </c>
      <c r="D330" s="124"/>
      <c r="E330" s="124"/>
      <c r="F330" s="124"/>
      <c r="G330" s="124"/>
      <c r="I330" s="124" t="n">
        <f aca="false">IF(MONTH($A330)=MONTH($A329),IF(G330=0,I329,G330),G330)</f>
        <v>0</v>
      </c>
      <c r="J330" s="124" t="n">
        <f aca="false">IF(MONTH($A330)=MONTH($A329),SUM(I330-I329),I330)</f>
        <v>0</v>
      </c>
      <c r="K330" s="124" t="n">
        <f aca="false">IF(WEEKDAY(A330,3)&gt;4,0,(IF(A330&lt;K$2,0,IF(A330&lt;=K$3,1,0))))</f>
        <v>0</v>
      </c>
      <c r="L330" s="124" t="n">
        <f aca="false">J330*K330</f>
        <v>0</v>
      </c>
      <c r="M330" s="124" t="n">
        <f aca="false">SUM(J$188:J330)</f>
        <v>118694</v>
      </c>
      <c r="N330" s="124" t="n">
        <f aca="false">SUM(J$6:J330)</f>
        <v>1711629</v>
      </c>
      <c r="P330" s="124" t="n">
        <f aca="false">D330/P$3</f>
        <v>0</v>
      </c>
      <c r="Q330" s="124" t="n">
        <f aca="false">E330/P$3</f>
        <v>0</v>
      </c>
      <c r="R330" s="124" t="n">
        <f aca="false">F330/R$3</f>
        <v>0</v>
      </c>
      <c r="S330" s="126" t="n">
        <f aca="false">J330/$R$3</f>
        <v>0</v>
      </c>
      <c r="T330" s="126" t="n">
        <f aca="false">L330/$R$3</f>
        <v>0</v>
      </c>
      <c r="U330" s="126" t="n">
        <f aca="false">I330/$R$3</f>
        <v>0</v>
      </c>
      <c r="V330" s="126" t="n">
        <f aca="false">M330/$R$3</f>
        <v>118.694</v>
      </c>
      <c r="W330" s="126" t="n">
        <f aca="false">N330/$R$3</f>
        <v>1711.629</v>
      </c>
    </row>
    <row r="331" customFormat="false" ht="12.75" hidden="false" customHeight="false" outlineLevel="0" collapsed="false">
      <c r="A331" s="120" t="n">
        <f aca="false">A330+1</f>
        <v>37217</v>
      </c>
      <c r="B331" s="131" t="str">
        <f aca="false">INDEX('Master Data'!$A$2:$B$8,MATCH(WEEKDAY('ARG Gas Firm'!A331,3),'Master Data'!$A$2:$A$8,0),2)</f>
        <v>Th</v>
      </c>
      <c r="D331" s="124"/>
      <c r="E331" s="124"/>
      <c r="F331" s="124"/>
      <c r="G331" s="124"/>
      <c r="I331" s="124" t="n">
        <f aca="false">IF(MONTH($A331)=MONTH($A330),IF(G331=0,I330,G331),G331)</f>
        <v>0</v>
      </c>
      <c r="J331" s="124" t="n">
        <f aca="false">IF(MONTH($A331)=MONTH($A330),SUM(I331-I330),I331)</f>
        <v>0</v>
      </c>
      <c r="K331" s="124" t="n">
        <f aca="false">IF(WEEKDAY(A331,3)&gt;4,0,(IF(A331&lt;K$2,0,IF(A331&lt;=K$3,1,0))))</f>
        <v>0</v>
      </c>
      <c r="L331" s="124" t="n">
        <f aca="false">J331*K331</f>
        <v>0</v>
      </c>
      <c r="M331" s="124" t="n">
        <f aca="false">SUM(J$188:J331)</f>
        <v>118694</v>
      </c>
      <c r="N331" s="124" t="n">
        <f aca="false">SUM(J$6:J331)</f>
        <v>1711629</v>
      </c>
      <c r="P331" s="124" t="n">
        <f aca="false">D331/P$3</f>
        <v>0</v>
      </c>
      <c r="Q331" s="124" t="n">
        <f aca="false">E331/P$3</f>
        <v>0</v>
      </c>
      <c r="R331" s="124" t="n">
        <f aca="false">F331/R$3</f>
        <v>0</v>
      </c>
      <c r="S331" s="126" t="n">
        <f aca="false">J331/$R$3</f>
        <v>0</v>
      </c>
      <c r="T331" s="126" t="n">
        <f aca="false">L331/$R$3</f>
        <v>0</v>
      </c>
      <c r="U331" s="126" t="n">
        <f aca="false">I331/$R$3</f>
        <v>0</v>
      </c>
      <c r="V331" s="126" t="n">
        <f aca="false">M331/$R$3</f>
        <v>118.694</v>
      </c>
      <c r="W331" s="126" t="n">
        <f aca="false">N331/$R$3</f>
        <v>1711.629</v>
      </c>
    </row>
    <row r="332" customFormat="false" ht="12.75" hidden="false" customHeight="false" outlineLevel="0" collapsed="false">
      <c r="A332" s="120" t="n">
        <f aca="false">A331+1</f>
        <v>37218</v>
      </c>
      <c r="B332" s="131" t="str">
        <f aca="false">INDEX('Master Data'!$A$2:$B$8,MATCH(WEEKDAY('ARG Gas Firm'!A332,3),'Master Data'!$A$2:$A$8,0),2)</f>
        <v>F</v>
      </c>
      <c r="D332" s="124"/>
      <c r="E332" s="124"/>
      <c r="F332" s="124"/>
      <c r="G332" s="124"/>
      <c r="I332" s="124" t="n">
        <f aca="false">IF(MONTH($A332)=MONTH($A331),IF(G332=0,I331,G332),G332)</f>
        <v>0</v>
      </c>
      <c r="J332" s="124" t="n">
        <f aca="false">IF(MONTH($A332)=MONTH($A331),SUM(I332-I331),I332)</f>
        <v>0</v>
      </c>
      <c r="K332" s="124" t="n">
        <f aca="false">IF(WEEKDAY(A332,3)&gt;4,0,(IF(A332&lt;K$2,0,IF(A332&lt;=K$3,1,0))))</f>
        <v>0</v>
      </c>
      <c r="L332" s="124" t="n">
        <f aca="false">J332*K332</f>
        <v>0</v>
      </c>
      <c r="M332" s="124" t="n">
        <f aca="false">SUM(J$188:J332)</f>
        <v>118694</v>
      </c>
      <c r="N332" s="124" t="n">
        <f aca="false">SUM(J$6:J332)</f>
        <v>1711629</v>
      </c>
      <c r="P332" s="124" t="n">
        <f aca="false">D332/P$3</f>
        <v>0</v>
      </c>
      <c r="Q332" s="124" t="n">
        <f aca="false">E332/P$3</f>
        <v>0</v>
      </c>
      <c r="R332" s="124" t="n">
        <f aca="false">F332/R$3</f>
        <v>0</v>
      </c>
      <c r="S332" s="126" t="n">
        <f aca="false">J332/$R$3</f>
        <v>0</v>
      </c>
      <c r="T332" s="126" t="n">
        <f aca="false">L332/$R$3</f>
        <v>0</v>
      </c>
      <c r="U332" s="126" t="n">
        <f aca="false">I332/$R$3</f>
        <v>0</v>
      </c>
      <c r="V332" s="126" t="n">
        <f aca="false">M332/$R$3</f>
        <v>118.694</v>
      </c>
      <c r="W332" s="126" t="n">
        <f aca="false">N332/$R$3</f>
        <v>1711.629</v>
      </c>
    </row>
    <row r="333" customFormat="false" ht="12.75" hidden="false" customHeight="false" outlineLevel="0" collapsed="false">
      <c r="A333" s="120" t="n">
        <f aca="false">A332+1</f>
        <v>37219</v>
      </c>
      <c r="B333" s="131" t="str">
        <f aca="false">INDEX('Master Data'!$A$2:$B$8,MATCH(WEEKDAY('ARG Gas Firm'!A333,3),'Master Data'!$A$2:$A$8,0),2)</f>
        <v>Sa</v>
      </c>
      <c r="D333" s="124"/>
      <c r="E333" s="124"/>
      <c r="F333" s="124"/>
      <c r="G333" s="124"/>
      <c r="I333" s="124" t="n">
        <f aca="false">IF(MONTH($A333)=MONTH($A332),IF(G333=0,I332,G333),G333)</f>
        <v>0</v>
      </c>
      <c r="J333" s="124" t="n">
        <f aca="false">IF(MONTH($A333)=MONTH($A332),SUM(I333-I332),I333)</f>
        <v>0</v>
      </c>
      <c r="K333" s="124" t="n">
        <f aca="false">IF(WEEKDAY(A333,3)&gt;4,0,(IF(A333&lt;K$2,0,IF(A333&lt;=K$3,1,0))))</f>
        <v>0</v>
      </c>
      <c r="L333" s="124" t="n">
        <f aca="false">J333*K333</f>
        <v>0</v>
      </c>
      <c r="M333" s="124" t="n">
        <f aca="false">SUM(J$188:J333)</f>
        <v>118694</v>
      </c>
      <c r="N333" s="124" t="n">
        <f aca="false">SUM(J$6:J333)</f>
        <v>1711629</v>
      </c>
      <c r="P333" s="124" t="n">
        <f aca="false">D333/P$3</f>
        <v>0</v>
      </c>
      <c r="Q333" s="124" t="n">
        <f aca="false">E333/P$3</f>
        <v>0</v>
      </c>
      <c r="R333" s="124" t="n">
        <f aca="false">F333/R$3</f>
        <v>0</v>
      </c>
      <c r="S333" s="126" t="n">
        <f aca="false">J333/$R$3</f>
        <v>0</v>
      </c>
      <c r="T333" s="126" t="n">
        <f aca="false">L333/$R$3</f>
        <v>0</v>
      </c>
      <c r="U333" s="126" t="n">
        <f aca="false">I333/$R$3</f>
        <v>0</v>
      </c>
      <c r="V333" s="126" t="n">
        <f aca="false">M333/$R$3</f>
        <v>118.694</v>
      </c>
      <c r="W333" s="126" t="n">
        <f aca="false">N333/$R$3</f>
        <v>1711.629</v>
      </c>
    </row>
    <row r="334" customFormat="false" ht="12.75" hidden="false" customHeight="false" outlineLevel="0" collapsed="false">
      <c r="A334" s="120" t="n">
        <f aca="false">A333+1</f>
        <v>37220</v>
      </c>
      <c r="B334" s="131" t="str">
        <f aca="false">INDEX('Master Data'!$A$2:$B$8,MATCH(WEEKDAY('ARG Gas Firm'!A334,3),'Master Data'!$A$2:$A$8,0),2)</f>
        <v>Su</v>
      </c>
      <c r="D334" s="124"/>
      <c r="E334" s="124"/>
      <c r="F334" s="124"/>
      <c r="G334" s="124"/>
      <c r="I334" s="124" t="n">
        <f aca="false">IF(MONTH($A334)=MONTH($A333),IF(G334=0,I333,G334),G334)</f>
        <v>0</v>
      </c>
      <c r="J334" s="124" t="n">
        <f aca="false">IF(MONTH($A334)=MONTH($A333),SUM(I334-I333),I334)</f>
        <v>0</v>
      </c>
      <c r="K334" s="124" t="n">
        <f aca="false">IF(WEEKDAY(A334,3)&gt;4,0,(IF(A334&lt;K$2,0,IF(A334&lt;=K$3,1,0))))</f>
        <v>0</v>
      </c>
      <c r="L334" s="124" t="n">
        <f aca="false">J334*K334</f>
        <v>0</v>
      </c>
      <c r="M334" s="124" t="n">
        <f aca="false">SUM(J$188:J334)</f>
        <v>118694</v>
      </c>
      <c r="N334" s="124" t="n">
        <f aca="false">SUM(J$6:J334)</f>
        <v>1711629</v>
      </c>
      <c r="P334" s="124" t="n">
        <f aca="false">D334/P$3</f>
        <v>0</v>
      </c>
      <c r="Q334" s="124" t="n">
        <f aca="false">E334/P$3</f>
        <v>0</v>
      </c>
      <c r="R334" s="124" t="n">
        <f aca="false">F334/R$3</f>
        <v>0</v>
      </c>
      <c r="S334" s="126" t="n">
        <f aca="false">J334/$R$3</f>
        <v>0</v>
      </c>
      <c r="T334" s="126" t="n">
        <f aca="false">L334/$R$3</f>
        <v>0</v>
      </c>
      <c r="U334" s="126" t="n">
        <f aca="false">I334/$R$3</f>
        <v>0</v>
      </c>
      <c r="V334" s="126" t="n">
        <f aca="false">M334/$R$3</f>
        <v>118.694</v>
      </c>
      <c r="W334" s="126" t="n">
        <f aca="false">N334/$R$3</f>
        <v>1711.629</v>
      </c>
    </row>
    <row r="335" customFormat="false" ht="12.75" hidden="false" customHeight="false" outlineLevel="0" collapsed="false">
      <c r="A335" s="120" t="n">
        <f aca="false">A334+1</f>
        <v>37221</v>
      </c>
      <c r="B335" s="131" t="str">
        <f aca="false">INDEX('Master Data'!$A$2:$B$8,MATCH(WEEKDAY('ARG Gas Firm'!A335,3),'Master Data'!$A$2:$A$8,0),2)</f>
        <v>M</v>
      </c>
      <c r="D335" s="124"/>
      <c r="E335" s="124"/>
      <c r="F335" s="124"/>
      <c r="G335" s="124"/>
      <c r="I335" s="124" t="n">
        <f aca="false">IF(MONTH($A335)=MONTH($A334),IF(G335=0,I334,G335),G335)</f>
        <v>0</v>
      </c>
      <c r="J335" s="124" t="n">
        <f aca="false">IF(MONTH($A335)=MONTH($A334),SUM(I335-I334),I335)</f>
        <v>0</v>
      </c>
      <c r="K335" s="124" t="n">
        <f aca="false">IF(WEEKDAY(A335,3)&gt;4,0,(IF(A335&lt;K$2,0,IF(A335&lt;=K$3,1,0))))</f>
        <v>0</v>
      </c>
      <c r="L335" s="124" t="n">
        <f aca="false">J335*K335</f>
        <v>0</v>
      </c>
      <c r="M335" s="124" t="n">
        <f aca="false">SUM(J$188:J335)</f>
        <v>118694</v>
      </c>
      <c r="N335" s="124" t="n">
        <f aca="false">SUM(J$6:J335)</f>
        <v>1711629</v>
      </c>
      <c r="P335" s="124" t="n">
        <f aca="false">D335/P$3</f>
        <v>0</v>
      </c>
      <c r="Q335" s="124" t="n">
        <f aca="false">E335/P$3</f>
        <v>0</v>
      </c>
      <c r="R335" s="124" t="n">
        <f aca="false">F335/R$3</f>
        <v>0</v>
      </c>
      <c r="S335" s="126" t="n">
        <f aca="false">J335/$R$3</f>
        <v>0</v>
      </c>
      <c r="T335" s="126" t="n">
        <f aca="false">L335/$R$3</f>
        <v>0</v>
      </c>
      <c r="U335" s="126" t="n">
        <f aca="false">I335/$R$3</f>
        <v>0</v>
      </c>
      <c r="V335" s="126" t="n">
        <f aca="false">M335/$R$3</f>
        <v>118.694</v>
      </c>
      <c r="W335" s="126" t="n">
        <f aca="false">N335/$R$3</f>
        <v>1711.629</v>
      </c>
    </row>
    <row r="336" customFormat="false" ht="12.75" hidden="false" customHeight="false" outlineLevel="0" collapsed="false">
      <c r="A336" s="120" t="n">
        <f aca="false">A335+1</f>
        <v>37222</v>
      </c>
      <c r="B336" s="131" t="str">
        <f aca="false">INDEX('Master Data'!$A$2:$B$8,MATCH(WEEKDAY('ARG Gas Firm'!A336,3),'Master Data'!$A$2:$A$8,0),2)</f>
        <v>T</v>
      </c>
      <c r="D336" s="124"/>
      <c r="E336" s="124"/>
      <c r="F336" s="124"/>
      <c r="G336" s="124"/>
      <c r="I336" s="124" t="n">
        <f aca="false">IF(MONTH($A336)=MONTH($A335),IF(G336=0,I335,G336),G336)</f>
        <v>0</v>
      </c>
      <c r="J336" s="124" t="n">
        <f aca="false">IF(MONTH($A336)=MONTH($A335),SUM(I336-I335),I336)</f>
        <v>0</v>
      </c>
      <c r="K336" s="124" t="n">
        <f aca="false">IF(WEEKDAY(A336,3)&gt;4,0,(IF(A336&lt;K$2,0,IF(A336&lt;=K$3,1,0))))</f>
        <v>0</v>
      </c>
      <c r="L336" s="124" t="n">
        <f aca="false">J336*K336</f>
        <v>0</v>
      </c>
      <c r="M336" s="124" t="n">
        <f aca="false">SUM(J$188:J336)</f>
        <v>118694</v>
      </c>
      <c r="N336" s="124" t="n">
        <f aca="false">SUM(J$6:J336)</f>
        <v>1711629</v>
      </c>
      <c r="P336" s="124" t="n">
        <f aca="false">D336/P$3</f>
        <v>0</v>
      </c>
      <c r="Q336" s="124" t="n">
        <f aca="false">E336/P$3</f>
        <v>0</v>
      </c>
      <c r="R336" s="124" t="n">
        <f aca="false">F336/R$3</f>
        <v>0</v>
      </c>
      <c r="S336" s="126" t="n">
        <f aca="false">J336/$R$3</f>
        <v>0</v>
      </c>
      <c r="T336" s="126" t="n">
        <f aca="false">L336/$R$3</f>
        <v>0</v>
      </c>
      <c r="U336" s="126" t="n">
        <f aca="false">I336/$R$3</f>
        <v>0</v>
      </c>
      <c r="V336" s="126" t="n">
        <f aca="false">M336/$R$3</f>
        <v>118.694</v>
      </c>
      <c r="W336" s="126" t="n">
        <f aca="false">N336/$R$3</f>
        <v>1711.629</v>
      </c>
    </row>
    <row r="337" customFormat="false" ht="12.75" hidden="false" customHeight="false" outlineLevel="0" collapsed="false">
      <c r="A337" s="120" t="n">
        <f aca="false">A336+1</f>
        <v>37223</v>
      </c>
      <c r="B337" s="131" t="str">
        <f aca="false">INDEX('Master Data'!$A$2:$B$8,MATCH(WEEKDAY('ARG Gas Firm'!A337,3),'Master Data'!$A$2:$A$8,0),2)</f>
        <v>W</v>
      </c>
      <c r="D337" s="124"/>
      <c r="E337" s="124"/>
      <c r="F337" s="124"/>
      <c r="G337" s="124"/>
      <c r="I337" s="124" t="n">
        <f aca="false">IF(MONTH($A337)=MONTH($A336),IF(G337=0,I336,G337),G337)</f>
        <v>0</v>
      </c>
      <c r="J337" s="124" t="n">
        <f aca="false">IF(MONTH($A337)=MONTH($A336),SUM(I337-I336),I337)</f>
        <v>0</v>
      </c>
      <c r="K337" s="124" t="n">
        <f aca="false">IF(WEEKDAY(A337,3)&gt;4,0,(IF(A337&lt;K$2,0,IF(A337&lt;=K$3,1,0))))</f>
        <v>0</v>
      </c>
      <c r="L337" s="124" t="n">
        <f aca="false">J337*K337</f>
        <v>0</v>
      </c>
      <c r="M337" s="124" t="n">
        <f aca="false">SUM(J$188:J337)</f>
        <v>118694</v>
      </c>
      <c r="N337" s="124" t="n">
        <f aca="false">SUM(J$6:J337)</f>
        <v>1711629</v>
      </c>
      <c r="P337" s="124" t="n">
        <f aca="false">D337/P$3</f>
        <v>0</v>
      </c>
      <c r="Q337" s="124" t="n">
        <f aca="false">E337/P$3</f>
        <v>0</v>
      </c>
      <c r="R337" s="124" t="n">
        <f aca="false">F337/R$3</f>
        <v>0</v>
      </c>
      <c r="S337" s="126" t="n">
        <f aca="false">J337/$R$3</f>
        <v>0</v>
      </c>
      <c r="T337" s="126" t="n">
        <f aca="false">L337/$R$3</f>
        <v>0</v>
      </c>
      <c r="U337" s="126" t="n">
        <f aca="false">I337/$R$3</f>
        <v>0</v>
      </c>
      <c r="V337" s="126" t="n">
        <f aca="false">M337/$R$3</f>
        <v>118.694</v>
      </c>
      <c r="W337" s="126" t="n">
        <f aca="false">N337/$R$3</f>
        <v>1711.629</v>
      </c>
    </row>
    <row r="338" customFormat="false" ht="12.75" hidden="false" customHeight="false" outlineLevel="0" collapsed="false">
      <c r="A338" s="120" t="n">
        <f aca="false">A337+1</f>
        <v>37224</v>
      </c>
      <c r="B338" s="131" t="str">
        <f aca="false">INDEX('Master Data'!$A$2:$B$8,MATCH(WEEKDAY('ARG Gas Firm'!A338,3),'Master Data'!$A$2:$A$8,0),2)</f>
        <v>Th</v>
      </c>
      <c r="D338" s="124"/>
      <c r="E338" s="124"/>
      <c r="F338" s="124"/>
      <c r="G338" s="124"/>
      <c r="I338" s="124" t="n">
        <f aca="false">IF(MONTH($A338)=MONTH($A337),IF(G338=0,I337,G338),G338)</f>
        <v>0</v>
      </c>
      <c r="J338" s="124" t="n">
        <f aca="false">IF(MONTH($A338)=MONTH($A337),SUM(I338-I337),I338)</f>
        <v>0</v>
      </c>
      <c r="K338" s="124" t="n">
        <f aca="false">IF(WEEKDAY(A338,3)&gt;4,0,(IF(A338&lt;K$2,0,IF(A338&lt;=K$3,1,0))))</f>
        <v>0</v>
      </c>
      <c r="L338" s="124" t="n">
        <f aca="false">J338*K338</f>
        <v>0</v>
      </c>
      <c r="M338" s="124" t="n">
        <f aca="false">SUM(J$188:J338)</f>
        <v>118694</v>
      </c>
      <c r="N338" s="124" t="n">
        <f aca="false">SUM(J$6:J338)</f>
        <v>1711629</v>
      </c>
      <c r="P338" s="124" t="n">
        <f aca="false">D338/P$3</f>
        <v>0</v>
      </c>
      <c r="Q338" s="124" t="n">
        <f aca="false">E338/P$3</f>
        <v>0</v>
      </c>
      <c r="R338" s="124" t="n">
        <f aca="false">F338/R$3</f>
        <v>0</v>
      </c>
      <c r="S338" s="126" t="n">
        <f aca="false">J338/$R$3</f>
        <v>0</v>
      </c>
      <c r="T338" s="126" t="n">
        <f aca="false">L338/$R$3</f>
        <v>0</v>
      </c>
      <c r="U338" s="126" t="n">
        <f aca="false">I338/$R$3</f>
        <v>0</v>
      </c>
      <c r="V338" s="126" t="n">
        <f aca="false">M338/$R$3</f>
        <v>118.694</v>
      </c>
      <c r="W338" s="126" t="n">
        <f aca="false">N338/$R$3</f>
        <v>1711.629</v>
      </c>
    </row>
    <row r="339" customFormat="false" ht="12.75" hidden="false" customHeight="false" outlineLevel="0" collapsed="false">
      <c r="A339" s="120" t="n">
        <f aca="false">A338+1</f>
        <v>37225</v>
      </c>
      <c r="B339" s="131" t="str">
        <f aca="false">INDEX('Master Data'!$A$2:$B$8,MATCH(WEEKDAY('ARG Gas Firm'!A339,3),'Master Data'!$A$2:$A$8,0),2)</f>
        <v>F</v>
      </c>
      <c r="D339" s="124"/>
      <c r="E339" s="124"/>
      <c r="F339" s="124"/>
      <c r="G339" s="124"/>
      <c r="I339" s="124" t="n">
        <f aca="false">IF(MONTH($A339)=MONTH($A338),IF(G339=0,I338,G339),G339)</f>
        <v>0</v>
      </c>
      <c r="J339" s="124" t="n">
        <f aca="false">IF(MONTH($A339)=MONTH($A338),SUM(I339-I338),I339)</f>
        <v>0</v>
      </c>
      <c r="K339" s="124" t="n">
        <f aca="false">IF(WEEKDAY(A339,3)&gt;4,0,(IF(A339&lt;K$2,0,IF(A339&lt;=K$3,1,0))))</f>
        <v>0</v>
      </c>
      <c r="L339" s="124" t="n">
        <f aca="false">J339*K339</f>
        <v>0</v>
      </c>
      <c r="M339" s="124" t="n">
        <f aca="false">SUM(J$188:J339)</f>
        <v>118694</v>
      </c>
      <c r="N339" s="124" t="n">
        <f aca="false">SUM(J$6:J339)</f>
        <v>1711629</v>
      </c>
      <c r="P339" s="124" t="n">
        <f aca="false">D339/P$3</f>
        <v>0</v>
      </c>
      <c r="Q339" s="124" t="n">
        <f aca="false">E339/P$3</f>
        <v>0</v>
      </c>
      <c r="R339" s="124" t="n">
        <f aca="false">F339/R$3</f>
        <v>0</v>
      </c>
      <c r="S339" s="126" t="n">
        <f aca="false">J339/$R$3</f>
        <v>0</v>
      </c>
      <c r="T339" s="126" t="n">
        <f aca="false">L339/$R$3</f>
        <v>0</v>
      </c>
      <c r="U339" s="126" t="n">
        <f aca="false">I339/$R$3</f>
        <v>0</v>
      </c>
      <c r="V339" s="126" t="n">
        <f aca="false">M339/$R$3</f>
        <v>118.694</v>
      </c>
      <c r="W339" s="126" t="n">
        <f aca="false">N339/$R$3</f>
        <v>1711.629</v>
      </c>
    </row>
    <row r="340" customFormat="false" ht="12.75" hidden="false" customHeight="false" outlineLevel="0" collapsed="false">
      <c r="A340" s="120" t="n">
        <f aca="false">A339+1</f>
        <v>37226</v>
      </c>
      <c r="B340" s="131" t="str">
        <f aca="false">INDEX('Master Data'!$A$2:$B$8,MATCH(WEEKDAY('ARG Gas Firm'!A340,3),'Master Data'!$A$2:$A$8,0),2)</f>
        <v>Sa</v>
      </c>
      <c r="D340" s="124"/>
      <c r="E340" s="124"/>
      <c r="F340" s="124"/>
      <c r="G340" s="124"/>
      <c r="I340" s="124" t="n">
        <f aca="false">IF(MONTH($A340)=MONTH($A339),IF(G340=0,I339,G340),G340)</f>
        <v>0</v>
      </c>
      <c r="J340" s="124" t="n">
        <f aca="false">IF(MONTH($A340)=MONTH($A339),SUM(I340-I339),I340)</f>
        <v>0</v>
      </c>
      <c r="K340" s="124" t="n">
        <f aca="false">IF(WEEKDAY(A340,3)&gt;4,0,(IF(A340&lt;K$2,0,IF(A340&lt;=K$3,1,0))))</f>
        <v>0</v>
      </c>
      <c r="L340" s="124" t="n">
        <f aca="false">J340*K340</f>
        <v>0</v>
      </c>
      <c r="M340" s="124" t="n">
        <f aca="false">SUM(J$188:J340)</f>
        <v>118694</v>
      </c>
      <c r="N340" s="124" t="n">
        <f aca="false">SUM(J$6:J340)</f>
        <v>1711629</v>
      </c>
      <c r="P340" s="124" t="n">
        <f aca="false">D340/P$3</f>
        <v>0</v>
      </c>
      <c r="Q340" s="124" t="n">
        <f aca="false">E340/P$3</f>
        <v>0</v>
      </c>
      <c r="R340" s="124" t="n">
        <f aca="false">F340/R$3</f>
        <v>0</v>
      </c>
      <c r="S340" s="126" t="n">
        <f aca="false">J340/$R$3</f>
        <v>0</v>
      </c>
      <c r="T340" s="126" t="n">
        <f aca="false">L340/$R$3</f>
        <v>0</v>
      </c>
      <c r="U340" s="126" t="n">
        <f aca="false">I340/$R$3</f>
        <v>0</v>
      </c>
      <c r="V340" s="126" t="n">
        <f aca="false">M340/$R$3</f>
        <v>118.694</v>
      </c>
      <c r="W340" s="126" t="n">
        <f aca="false">N340/$R$3</f>
        <v>1711.629</v>
      </c>
    </row>
    <row r="341" customFormat="false" ht="12.75" hidden="false" customHeight="false" outlineLevel="0" collapsed="false">
      <c r="A341" s="120" t="n">
        <f aca="false">A340+1</f>
        <v>37227</v>
      </c>
      <c r="B341" s="131" t="str">
        <f aca="false">INDEX('Master Data'!$A$2:$B$8,MATCH(WEEKDAY('ARG Gas Firm'!A341,3),'Master Data'!$A$2:$A$8,0),2)</f>
        <v>Su</v>
      </c>
      <c r="D341" s="124"/>
      <c r="E341" s="124"/>
      <c r="F341" s="124"/>
      <c r="G341" s="124"/>
      <c r="I341" s="124" t="n">
        <f aca="false">IF(MONTH($A341)=MONTH($A340),IF(G341=0,I340,G341),G341)</f>
        <v>0</v>
      </c>
      <c r="J341" s="124" t="n">
        <f aca="false">IF(MONTH($A341)=MONTH($A340),SUM(I341-I340),I341)</f>
        <v>0</v>
      </c>
      <c r="K341" s="124" t="n">
        <f aca="false">IF(WEEKDAY(A341,3)&gt;4,0,(IF(A341&lt;K$2,0,IF(A341&lt;=K$3,1,0))))</f>
        <v>0</v>
      </c>
      <c r="L341" s="124" t="n">
        <f aca="false">J341*K341</f>
        <v>0</v>
      </c>
      <c r="M341" s="124" t="n">
        <f aca="false">SUM(J$188:J341)</f>
        <v>118694</v>
      </c>
      <c r="N341" s="124" t="n">
        <f aca="false">SUM(J$6:J341)</f>
        <v>1711629</v>
      </c>
      <c r="P341" s="124" t="n">
        <f aca="false">D341/P$3</f>
        <v>0</v>
      </c>
      <c r="Q341" s="124" t="n">
        <f aca="false">E341/P$3</f>
        <v>0</v>
      </c>
      <c r="R341" s="124" t="n">
        <f aca="false">F341/R$3</f>
        <v>0</v>
      </c>
      <c r="S341" s="126" t="n">
        <f aca="false">J341/$R$3</f>
        <v>0</v>
      </c>
      <c r="T341" s="126" t="n">
        <f aca="false">L341/$R$3</f>
        <v>0</v>
      </c>
      <c r="U341" s="126" t="n">
        <f aca="false">I341/$R$3</f>
        <v>0</v>
      </c>
      <c r="V341" s="126" t="n">
        <f aca="false">M341/$R$3</f>
        <v>118.694</v>
      </c>
      <c r="W341" s="126" t="n">
        <f aca="false">N341/$R$3</f>
        <v>1711.629</v>
      </c>
    </row>
    <row r="342" customFormat="false" ht="12.75" hidden="false" customHeight="false" outlineLevel="0" collapsed="false">
      <c r="A342" s="120" t="n">
        <f aca="false">A341+1</f>
        <v>37228</v>
      </c>
      <c r="B342" s="131" t="str">
        <f aca="false">INDEX('Master Data'!$A$2:$B$8,MATCH(WEEKDAY('ARG Gas Firm'!A342,3),'Master Data'!$A$2:$A$8,0),2)</f>
        <v>M</v>
      </c>
      <c r="D342" s="124"/>
      <c r="E342" s="124"/>
      <c r="F342" s="124"/>
      <c r="G342" s="124"/>
      <c r="I342" s="124" t="n">
        <f aca="false">IF(MONTH($A342)=MONTH($A341),IF(G342=0,I341,G342),G342)</f>
        <v>0</v>
      </c>
      <c r="J342" s="124" t="n">
        <f aca="false">IF(MONTH($A342)=MONTH($A341),SUM(I342-I341),I342)</f>
        <v>0</v>
      </c>
      <c r="K342" s="124" t="n">
        <f aca="false">IF(WEEKDAY(A342,3)&gt;4,0,(IF(A342&lt;K$2,0,IF(A342&lt;=K$3,1,0))))</f>
        <v>0</v>
      </c>
      <c r="L342" s="124" t="n">
        <f aca="false">J342*K342</f>
        <v>0</v>
      </c>
      <c r="M342" s="124" t="n">
        <f aca="false">SUM(J$188:J342)</f>
        <v>118694</v>
      </c>
      <c r="N342" s="124" t="n">
        <f aca="false">SUM(J$6:J342)</f>
        <v>1711629</v>
      </c>
      <c r="P342" s="124" t="n">
        <f aca="false">D342/P$3</f>
        <v>0</v>
      </c>
      <c r="Q342" s="124" t="n">
        <f aca="false">E342/P$3</f>
        <v>0</v>
      </c>
      <c r="R342" s="124" t="n">
        <f aca="false">F342/R$3</f>
        <v>0</v>
      </c>
      <c r="S342" s="126" t="n">
        <f aca="false">J342/$R$3</f>
        <v>0</v>
      </c>
      <c r="T342" s="126" t="n">
        <f aca="false">L342/$R$3</f>
        <v>0</v>
      </c>
      <c r="U342" s="126" t="n">
        <f aca="false">I342/$R$3</f>
        <v>0</v>
      </c>
      <c r="V342" s="126" t="n">
        <f aca="false">M342/$R$3</f>
        <v>118.694</v>
      </c>
      <c r="W342" s="126" t="n">
        <f aca="false">N342/$R$3</f>
        <v>1711.629</v>
      </c>
    </row>
    <row r="343" customFormat="false" ht="12.75" hidden="false" customHeight="false" outlineLevel="0" collapsed="false">
      <c r="A343" s="120" t="n">
        <f aca="false">A342+1</f>
        <v>37229</v>
      </c>
      <c r="B343" s="131" t="str">
        <f aca="false">INDEX('Master Data'!$A$2:$B$8,MATCH(WEEKDAY('ARG Gas Firm'!A343,3),'Master Data'!$A$2:$A$8,0),2)</f>
        <v>T</v>
      </c>
      <c r="D343" s="124"/>
      <c r="E343" s="124"/>
      <c r="F343" s="124"/>
      <c r="G343" s="124"/>
      <c r="I343" s="124" t="n">
        <f aca="false">IF(MONTH($A343)=MONTH($A342),IF(G343=0,I342,G343),G343)</f>
        <v>0</v>
      </c>
      <c r="J343" s="124" t="n">
        <f aca="false">IF(MONTH($A343)=MONTH($A342),SUM(I343-I342),I343)</f>
        <v>0</v>
      </c>
      <c r="K343" s="124" t="n">
        <f aca="false">IF(WEEKDAY(A343,3)&gt;4,0,(IF(A343&lt;K$2,0,IF(A343&lt;=K$3,1,0))))</f>
        <v>0</v>
      </c>
      <c r="L343" s="124" t="n">
        <f aca="false">J343*K343</f>
        <v>0</v>
      </c>
      <c r="M343" s="124" t="n">
        <f aca="false">SUM(J$188:J343)</f>
        <v>118694</v>
      </c>
      <c r="N343" s="124" t="n">
        <f aca="false">SUM(J$6:J343)</f>
        <v>1711629</v>
      </c>
      <c r="P343" s="124" t="n">
        <f aca="false">D343/P$3</f>
        <v>0</v>
      </c>
      <c r="Q343" s="124" t="n">
        <f aca="false">E343/P$3</f>
        <v>0</v>
      </c>
      <c r="R343" s="124" t="n">
        <f aca="false">F343/R$3</f>
        <v>0</v>
      </c>
      <c r="S343" s="126" t="n">
        <f aca="false">J343/$R$3</f>
        <v>0</v>
      </c>
      <c r="T343" s="126" t="n">
        <f aca="false">L343/$R$3</f>
        <v>0</v>
      </c>
      <c r="U343" s="126" t="n">
        <f aca="false">I343/$R$3</f>
        <v>0</v>
      </c>
      <c r="V343" s="126" t="n">
        <f aca="false">M343/$R$3</f>
        <v>118.694</v>
      </c>
      <c r="W343" s="126" t="n">
        <f aca="false">N343/$R$3</f>
        <v>1711.629</v>
      </c>
    </row>
    <row r="344" customFormat="false" ht="12.75" hidden="false" customHeight="false" outlineLevel="0" collapsed="false">
      <c r="A344" s="120" t="n">
        <f aca="false">A343+1</f>
        <v>37230</v>
      </c>
      <c r="B344" s="131" t="str">
        <f aca="false">INDEX('Master Data'!$A$2:$B$8,MATCH(WEEKDAY('ARG Gas Firm'!A344,3),'Master Data'!$A$2:$A$8,0),2)</f>
        <v>W</v>
      </c>
      <c r="D344" s="124"/>
      <c r="E344" s="124"/>
      <c r="F344" s="124"/>
      <c r="G344" s="124"/>
      <c r="I344" s="124" t="n">
        <f aca="false">IF(MONTH($A344)=MONTH($A343),IF(G344=0,I343,G344),G344)</f>
        <v>0</v>
      </c>
      <c r="J344" s="124" t="n">
        <f aca="false">IF(MONTH($A344)=MONTH($A343),SUM(I344-I343),I344)</f>
        <v>0</v>
      </c>
      <c r="K344" s="124" t="n">
        <f aca="false">IF(WEEKDAY(A344,3)&gt;4,0,(IF(A344&lt;K$2,0,IF(A344&lt;=K$3,1,0))))</f>
        <v>0</v>
      </c>
      <c r="L344" s="124" t="n">
        <f aca="false">J344*K344</f>
        <v>0</v>
      </c>
      <c r="M344" s="124" t="n">
        <f aca="false">SUM(J$188:J344)</f>
        <v>118694</v>
      </c>
      <c r="N344" s="124" t="n">
        <f aca="false">SUM(J$6:J344)</f>
        <v>1711629</v>
      </c>
      <c r="P344" s="124" t="n">
        <f aca="false">D344/P$3</f>
        <v>0</v>
      </c>
      <c r="Q344" s="124" t="n">
        <f aca="false">E344/P$3</f>
        <v>0</v>
      </c>
      <c r="R344" s="124" t="n">
        <f aca="false">F344/R$3</f>
        <v>0</v>
      </c>
      <c r="S344" s="126" t="n">
        <f aca="false">J344/$R$3</f>
        <v>0</v>
      </c>
      <c r="T344" s="126" t="n">
        <f aca="false">L344/$R$3</f>
        <v>0</v>
      </c>
      <c r="U344" s="126" t="n">
        <f aca="false">I344/$R$3</f>
        <v>0</v>
      </c>
      <c r="V344" s="126" t="n">
        <f aca="false">M344/$R$3</f>
        <v>118.694</v>
      </c>
      <c r="W344" s="126" t="n">
        <f aca="false">N344/$R$3</f>
        <v>1711.629</v>
      </c>
    </row>
    <row r="345" customFormat="false" ht="12.75" hidden="false" customHeight="false" outlineLevel="0" collapsed="false">
      <c r="A345" s="120" t="n">
        <f aca="false">A344+1</f>
        <v>37231</v>
      </c>
      <c r="B345" s="131" t="str">
        <f aca="false">INDEX('Master Data'!$A$2:$B$8,MATCH(WEEKDAY('ARG Gas Firm'!A345,3),'Master Data'!$A$2:$A$8,0),2)</f>
        <v>Th</v>
      </c>
      <c r="D345" s="124"/>
      <c r="E345" s="124"/>
      <c r="F345" s="124"/>
      <c r="G345" s="124"/>
      <c r="I345" s="124" t="n">
        <f aca="false">IF(MONTH($A345)=MONTH($A344),IF(G345=0,I344,G345),G345)</f>
        <v>0</v>
      </c>
      <c r="J345" s="124" t="n">
        <f aca="false">IF(MONTH($A345)=MONTH($A344),SUM(I345-I344),I345)</f>
        <v>0</v>
      </c>
      <c r="K345" s="124" t="n">
        <f aca="false">IF(WEEKDAY(A345,3)&gt;4,0,(IF(A345&lt;K$2,0,IF(A345&lt;=K$3,1,0))))</f>
        <v>0</v>
      </c>
      <c r="L345" s="124" t="n">
        <f aca="false">J345*K345</f>
        <v>0</v>
      </c>
      <c r="M345" s="124" t="n">
        <f aca="false">SUM(J$188:J345)</f>
        <v>118694</v>
      </c>
      <c r="N345" s="124" t="n">
        <f aca="false">SUM(J$6:J345)</f>
        <v>1711629</v>
      </c>
      <c r="P345" s="124" t="n">
        <f aca="false">D345/P$3</f>
        <v>0</v>
      </c>
      <c r="Q345" s="124" t="n">
        <f aca="false">E345/P$3</f>
        <v>0</v>
      </c>
      <c r="R345" s="124" t="n">
        <f aca="false">F345/R$3</f>
        <v>0</v>
      </c>
      <c r="S345" s="126" t="n">
        <f aca="false">J345/$R$3</f>
        <v>0</v>
      </c>
      <c r="T345" s="126" t="n">
        <f aca="false">L345/$R$3</f>
        <v>0</v>
      </c>
      <c r="U345" s="126" t="n">
        <f aca="false">I345/$R$3</f>
        <v>0</v>
      </c>
      <c r="V345" s="126" t="n">
        <f aca="false">M345/$R$3</f>
        <v>118.694</v>
      </c>
      <c r="W345" s="126" t="n">
        <f aca="false">N345/$R$3</f>
        <v>1711.629</v>
      </c>
    </row>
    <row r="346" customFormat="false" ht="12.75" hidden="false" customHeight="false" outlineLevel="0" collapsed="false">
      <c r="A346" s="120" t="n">
        <f aca="false">A345+1</f>
        <v>37232</v>
      </c>
      <c r="B346" s="131" t="str">
        <f aca="false">INDEX('Master Data'!$A$2:$B$8,MATCH(WEEKDAY('ARG Gas Firm'!A346,3),'Master Data'!$A$2:$A$8,0),2)</f>
        <v>F</v>
      </c>
      <c r="D346" s="124"/>
      <c r="E346" s="124"/>
      <c r="F346" s="124"/>
      <c r="G346" s="124"/>
      <c r="I346" s="124" t="n">
        <f aca="false">IF(MONTH($A346)=MONTH($A345),IF(G346=0,I345,G346),G346)</f>
        <v>0</v>
      </c>
      <c r="J346" s="124" t="n">
        <f aca="false">IF(MONTH($A346)=MONTH($A345),SUM(I346-I345),I346)</f>
        <v>0</v>
      </c>
      <c r="K346" s="124" t="n">
        <f aca="false">IF(WEEKDAY(A346,3)&gt;4,0,(IF(A346&lt;K$2,0,IF(A346&lt;=K$3,1,0))))</f>
        <v>0</v>
      </c>
      <c r="L346" s="124" t="n">
        <f aca="false">J346*K346</f>
        <v>0</v>
      </c>
      <c r="M346" s="124" t="n">
        <f aca="false">SUM(J$188:J346)</f>
        <v>118694</v>
      </c>
      <c r="N346" s="124" t="n">
        <f aca="false">SUM(J$6:J346)</f>
        <v>1711629</v>
      </c>
      <c r="P346" s="124" t="n">
        <f aca="false">D346/P$3</f>
        <v>0</v>
      </c>
      <c r="Q346" s="124" t="n">
        <f aca="false">E346/P$3</f>
        <v>0</v>
      </c>
      <c r="R346" s="124" t="n">
        <f aca="false">F346/R$3</f>
        <v>0</v>
      </c>
      <c r="S346" s="126" t="n">
        <f aca="false">J346/$R$3</f>
        <v>0</v>
      </c>
      <c r="T346" s="126" t="n">
        <f aca="false">L346/$R$3</f>
        <v>0</v>
      </c>
      <c r="U346" s="126" t="n">
        <f aca="false">I346/$R$3</f>
        <v>0</v>
      </c>
      <c r="V346" s="126" t="n">
        <f aca="false">M346/$R$3</f>
        <v>118.694</v>
      </c>
      <c r="W346" s="126" t="n">
        <f aca="false">N346/$R$3</f>
        <v>1711.629</v>
      </c>
    </row>
    <row r="347" customFormat="false" ht="12.75" hidden="false" customHeight="false" outlineLevel="0" collapsed="false">
      <c r="A347" s="120" t="n">
        <f aca="false">A346+1</f>
        <v>37233</v>
      </c>
      <c r="B347" s="131" t="str">
        <f aca="false">INDEX('Master Data'!$A$2:$B$8,MATCH(WEEKDAY('ARG Gas Firm'!A347,3),'Master Data'!$A$2:$A$8,0),2)</f>
        <v>Sa</v>
      </c>
      <c r="D347" s="124"/>
      <c r="E347" s="124"/>
      <c r="F347" s="124"/>
      <c r="G347" s="124"/>
      <c r="I347" s="124" t="n">
        <f aca="false">IF(MONTH($A347)=MONTH($A346),IF(G347=0,I346,G347),G347)</f>
        <v>0</v>
      </c>
      <c r="J347" s="124" t="n">
        <f aca="false">IF(MONTH($A347)=MONTH($A346),SUM(I347-I346),I347)</f>
        <v>0</v>
      </c>
      <c r="K347" s="124" t="n">
        <f aca="false">IF(WEEKDAY(A347,3)&gt;4,0,(IF(A347&lt;K$2,0,IF(A347&lt;=K$3,1,0))))</f>
        <v>0</v>
      </c>
      <c r="L347" s="124" t="n">
        <f aca="false">J347*K347</f>
        <v>0</v>
      </c>
      <c r="M347" s="124" t="n">
        <f aca="false">SUM(J$188:J347)</f>
        <v>118694</v>
      </c>
      <c r="N347" s="124" t="n">
        <f aca="false">SUM(J$6:J347)</f>
        <v>1711629</v>
      </c>
      <c r="P347" s="124" t="n">
        <f aca="false">D347/P$3</f>
        <v>0</v>
      </c>
      <c r="Q347" s="124" t="n">
        <f aca="false">E347/P$3</f>
        <v>0</v>
      </c>
      <c r="R347" s="124" t="n">
        <f aca="false">F347/R$3</f>
        <v>0</v>
      </c>
      <c r="S347" s="126" t="n">
        <f aca="false">J347/$R$3</f>
        <v>0</v>
      </c>
      <c r="T347" s="126" t="n">
        <f aca="false">L347/$R$3</f>
        <v>0</v>
      </c>
      <c r="U347" s="126" t="n">
        <f aca="false">I347/$R$3</f>
        <v>0</v>
      </c>
      <c r="V347" s="126" t="n">
        <f aca="false">M347/$R$3</f>
        <v>118.694</v>
      </c>
      <c r="W347" s="126" t="n">
        <f aca="false">N347/$R$3</f>
        <v>1711.629</v>
      </c>
    </row>
    <row r="348" customFormat="false" ht="12.75" hidden="false" customHeight="false" outlineLevel="0" collapsed="false">
      <c r="A348" s="120" t="n">
        <f aca="false">A347+1</f>
        <v>37234</v>
      </c>
      <c r="B348" s="131" t="str">
        <f aca="false">INDEX('Master Data'!$A$2:$B$8,MATCH(WEEKDAY('ARG Gas Firm'!A348,3),'Master Data'!$A$2:$A$8,0),2)</f>
        <v>Su</v>
      </c>
      <c r="D348" s="124"/>
      <c r="E348" s="124"/>
      <c r="F348" s="124"/>
      <c r="G348" s="124"/>
      <c r="I348" s="124" t="n">
        <f aca="false">IF(MONTH($A348)=MONTH($A347),IF(G348=0,I347,G348),G348)</f>
        <v>0</v>
      </c>
      <c r="J348" s="124" t="n">
        <f aca="false">IF(MONTH($A348)=MONTH($A347),SUM(I348-I347),I348)</f>
        <v>0</v>
      </c>
      <c r="K348" s="124" t="n">
        <f aca="false">IF(WEEKDAY(A348,3)&gt;4,0,(IF(A348&lt;K$2,0,IF(A348&lt;=K$3,1,0))))</f>
        <v>0</v>
      </c>
      <c r="L348" s="124" t="n">
        <f aca="false">J348*K348</f>
        <v>0</v>
      </c>
      <c r="M348" s="124" t="n">
        <f aca="false">SUM(J$188:J348)</f>
        <v>118694</v>
      </c>
      <c r="N348" s="124" t="n">
        <f aca="false">SUM(J$6:J348)</f>
        <v>1711629</v>
      </c>
      <c r="P348" s="124" t="n">
        <f aca="false">D348/P$3</f>
        <v>0</v>
      </c>
      <c r="Q348" s="124" t="n">
        <f aca="false">E348/P$3</f>
        <v>0</v>
      </c>
      <c r="R348" s="124" t="n">
        <f aca="false">F348/R$3</f>
        <v>0</v>
      </c>
      <c r="S348" s="126" t="n">
        <f aca="false">J348/$R$3</f>
        <v>0</v>
      </c>
      <c r="T348" s="126" t="n">
        <f aca="false">L348/$R$3</f>
        <v>0</v>
      </c>
      <c r="U348" s="126" t="n">
        <f aca="false">I348/$R$3</f>
        <v>0</v>
      </c>
      <c r="V348" s="126" t="n">
        <f aca="false">M348/$R$3</f>
        <v>118.694</v>
      </c>
      <c r="W348" s="126" t="n">
        <f aca="false">N348/$R$3</f>
        <v>1711.629</v>
      </c>
    </row>
    <row r="349" customFormat="false" ht="12.75" hidden="false" customHeight="false" outlineLevel="0" collapsed="false">
      <c r="A349" s="120" t="n">
        <f aca="false">A348+1</f>
        <v>37235</v>
      </c>
      <c r="B349" s="131" t="str">
        <f aca="false">INDEX('Master Data'!$A$2:$B$8,MATCH(WEEKDAY('ARG Gas Firm'!A349,3),'Master Data'!$A$2:$A$8,0),2)</f>
        <v>M</v>
      </c>
      <c r="D349" s="124"/>
      <c r="E349" s="124"/>
      <c r="F349" s="124"/>
      <c r="G349" s="124"/>
      <c r="I349" s="124" t="n">
        <f aca="false">IF(MONTH($A349)=MONTH($A348),IF(G349=0,I348,G349),G349)</f>
        <v>0</v>
      </c>
      <c r="J349" s="124" t="n">
        <f aca="false">IF(MONTH($A349)=MONTH($A348),SUM(I349-I348),I349)</f>
        <v>0</v>
      </c>
      <c r="K349" s="124" t="n">
        <f aca="false">IF(WEEKDAY(A349,3)&gt;4,0,(IF(A349&lt;K$2,0,IF(A349&lt;=K$3,1,0))))</f>
        <v>0</v>
      </c>
      <c r="L349" s="124" t="n">
        <f aca="false">J349*K349</f>
        <v>0</v>
      </c>
      <c r="M349" s="124" t="n">
        <f aca="false">SUM(J$188:J349)</f>
        <v>118694</v>
      </c>
      <c r="N349" s="124" t="n">
        <f aca="false">SUM(J$6:J349)</f>
        <v>1711629</v>
      </c>
      <c r="P349" s="124" t="n">
        <f aca="false">D349/P$3</f>
        <v>0</v>
      </c>
      <c r="Q349" s="124" t="n">
        <f aca="false">E349/P$3</f>
        <v>0</v>
      </c>
      <c r="R349" s="124" t="n">
        <f aca="false">F349/R$3</f>
        <v>0</v>
      </c>
      <c r="S349" s="126" t="n">
        <f aca="false">J349/$R$3</f>
        <v>0</v>
      </c>
      <c r="T349" s="126" t="n">
        <f aca="false">L349/$R$3</f>
        <v>0</v>
      </c>
      <c r="U349" s="126" t="n">
        <f aca="false">I349/$R$3</f>
        <v>0</v>
      </c>
      <c r="V349" s="126" t="n">
        <f aca="false">M349/$R$3</f>
        <v>118.694</v>
      </c>
      <c r="W349" s="126" t="n">
        <f aca="false">N349/$R$3</f>
        <v>1711.629</v>
      </c>
    </row>
    <row r="350" customFormat="false" ht="12.75" hidden="false" customHeight="false" outlineLevel="0" collapsed="false">
      <c r="A350" s="120" t="n">
        <f aca="false">A349+1</f>
        <v>37236</v>
      </c>
      <c r="B350" s="131" t="str">
        <f aca="false">INDEX('Master Data'!$A$2:$B$8,MATCH(WEEKDAY('ARG Gas Firm'!A350,3),'Master Data'!$A$2:$A$8,0),2)</f>
        <v>T</v>
      </c>
      <c r="D350" s="124"/>
      <c r="E350" s="124"/>
      <c r="F350" s="124"/>
      <c r="G350" s="124"/>
      <c r="I350" s="124" t="n">
        <f aca="false">IF(MONTH($A350)=MONTH($A349),IF(G350=0,I349,G350),G350)</f>
        <v>0</v>
      </c>
      <c r="J350" s="124" t="n">
        <f aca="false">IF(MONTH($A350)=MONTH($A349),SUM(I350-I349),I350)</f>
        <v>0</v>
      </c>
      <c r="K350" s="124" t="n">
        <f aca="false">IF(WEEKDAY(A350,3)&gt;4,0,(IF(A350&lt;K$2,0,IF(A350&lt;=K$3,1,0))))</f>
        <v>0</v>
      </c>
      <c r="L350" s="124" t="n">
        <f aca="false">J350*K350</f>
        <v>0</v>
      </c>
      <c r="M350" s="124" t="n">
        <f aca="false">SUM(J$188:J350)</f>
        <v>118694</v>
      </c>
      <c r="N350" s="124" t="n">
        <f aca="false">SUM(J$6:J350)</f>
        <v>1711629</v>
      </c>
      <c r="P350" s="124" t="n">
        <f aca="false">D350/P$3</f>
        <v>0</v>
      </c>
      <c r="Q350" s="124" t="n">
        <f aca="false">E350/P$3</f>
        <v>0</v>
      </c>
      <c r="R350" s="124" t="n">
        <f aca="false">F350/R$3</f>
        <v>0</v>
      </c>
      <c r="S350" s="126" t="n">
        <f aca="false">J350/$R$3</f>
        <v>0</v>
      </c>
      <c r="T350" s="126" t="n">
        <f aca="false">L350/$R$3</f>
        <v>0</v>
      </c>
      <c r="U350" s="126" t="n">
        <f aca="false">I350/$R$3</f>
        <v>0</v>
      </c>
      <c r="V350" s="126" t="n">
        <f aca="false">M350/$R$3</f>
        <v>118.694</v>
      </c>
      <c r="W350" s="126" t="n">
        <f aca="false">N350/$R$3</f>
        <v>1711.629</v>
      </c>
    </row>
    <row r="351" customFormat="false" ht="12.75" hidden="false" customHeight="false" outlineLevel="0" collapsed="false">
      <c r="A351" s="120" t="n">
        <f aca="false">A350+1</f>
        <v>37237</v>
      </c>
      <c r="B351" s="131" t="str">
        <f aca="false">INDEX('Master Data'!$A$2:$B$8,MATCH(WEEKDAY('ARG Gas Firm'!A351,3),'Master Data'!$A$2:$A$8,0),2)</f>
        <v>W</v>
      </c>
      <c r="D351" s="124"/>
      <c r="E351" s="124"/>
      <c r="F351" s="124"/>
      <c r="G351" s="124"/>
      <c r="I351" s="124" t="n">
        <f aca="false">IF(MONTH($A351)=MONTH($A350),IF(G351=0,I350,G351),G351)</f>
        <v>0</v>
      </c>
      <c r="J351" s="124" t="n">
        <f aca="false">IF(MONTH($A351)=MONTH($A350),SUM(I351-I350),I351)</f>
        <v>0</v>
      </c>
      <c r="K351" s="124" t="n">
        <f aca="false">IF(WEEKDAY(A351,3)&gt;4,0,(IF(A351&lt;K$2,0,IF(A351&lt;=K$3,1,0))))</f>
        <v>0</v>
      </c>
      <c r="L351" s="124" t="n">
        <f aca="false">J351*K351</f>
        <v>0</v>
      </c>
      <c r="M351" s="124" t="n">
        <f aca="false">SUM(J$188:J351)</f>
        <v>118694</v>
      </c>
      <c r="N351" s="124" t="n">
        <f aca="false">SUM(J$6:J351)</f>
        <v>1711629</v>
      </c>
      <c r="P351" s="124" t="n">
        <f aca="false">D351/P$3</f>
        <v>0</v>
      </c>
      <c r="Q351" s="124" t="n">
        <f aca="false">E351/P$3</f>
        <v>0</v>
      </c>
      <c r="R351" s="124" t="n">
        <f aca="false">F351/R$3</f>
        <v>0</v>
      </c>
      <c r="S351" s="126" t="n">
        <f aca="false">J351/$R$3</f>
        <v>0</v>
      </c>
      <c r="T351" s="126" t="n">
        <f aca="false">L351/$R$3</f>
        <v>0</v>
      </c>
      <c r="U351" s="126" t="n">
        <f aca="false">I351/$R$3</f>
        <v>0</v>
      </c>
      <c r="V351" s="126" t="n">
        <f aca="false">M351/$R$3</f>
        <v>118.694</v>
      </c>
      <c r="W351" s="126" t="n">
        <f aca="false">N351/$R$3</f>
        <v>1711.629</v>
      </c>
    </row>
    <row r="352" customFormat="false" ht="12.75" hidden="false" customHeight="false" outlineLevel="0" collapsed="false">
      <c r="A352" s="120" t="n">
        <f aca="false">A351+1</f>
        <v>37238</v>
      </c>
      <c r="B352" s="131" t="str">
        <f aca="false">INDEX('Master Data'!$A$2:$B$8,MATCH(WEEKDAY('ARG Gas Firm'!A352,3),'Master Data'!$A$2:$A$8,0),2)</f>
        <v>Th</v>
      </c>
      <c r="D352" s="124"/>
      <c r="E352" s="124"/>
      <c r="F352" s="124"/>
      <c r="G352" s="124"/>
      <c r="I352" s="124" t="n">
        <f aca="false">IF(MONTH($A352)=MONTH($A351),IF(G352=0,I351,G352),G352)</f>
        <v>0</v>
      </c>
      <c r="J352" s="124" t="n">
        <f aca="false">IF(MONTH($A352)=MONTH($A351),SUM(I352-I351),I352)</f>
        <v>0</v>
      </c>
      <c r="K352" s="124" t="n">
        <f aca="false">IF(WEEKDAY(A352,3)&gt;4,0,(IF(A352&lt;K$2,0,IF(A352&lt;=K$3,1,0))))</f>
        <v>0</v>
      </c>
      <c r="L352" s="124" t="n">
        <f aca="false">J352*K352</f>
        <v>0</v>
      </c>
      <c r="M352" s="124" t="n">
        <f aca="false">SUM(J$188:J352)</f>
        <v>118694</v>
      </c>
      <c r="N352" s="124" t="n">
        <f aca="false">SUM(J$6:J352)</f>
        <v>1711629</v>
      </c>
      <c r="P352" s="124" t="n">
        <f aca="false">D352/P$3</f>
        <v>0</v>
      </c>
      <c r="Q352" s="124" t="n">
        <f aca="false">E352/P$3</f>
        <v>0</v>
      </c>
      <c r="R352" s="124" t="n">
        <f aca="false">F352/R$3</f>
        <v>0</v>
      </c>
      <c r="S352" s="126" t="n">
        <f aca="false">J352/$R$3</f>
        <v>0</v>
      </c>
      <c r="T352" s="126" t="n">
        <f aca="false">L352/$R$3</f>
        <v>0</v>
      </c>
      <c r="U352" s="126" t="n">
        <f aca="false">I352/$R$3</f>
        <v>0</v>
      </c>
      <c r="V352" s="126" t="n">
        <f aca="false">M352/$R$3</f>
        <v>118.694</v>
      </c>
      <c r="W352" s="126" t="n">
        <f aca="false">N352/$R$3</f>
        <v>1711.629</v>
      </c>
    </row>
    <row r="353" customFormat="false" ht="12.75" hidden="false" customHeight="false" outlineLevel="0" collapsed="false">
      <c r="A353" s="120" t="n">
        <f aca="false">A352+1</f>
        <v>37239</v>
      </c>
      <c r="B353" s="131" t="str">
        <f aca="false">INDEX('Master Data'!$A$2:$B$8,MATCH(WEEKDAY('ARG Gas Firm'!A353,3),'Master Data'!$A$2:$A$8,0),2)</f>
        <v>F</v>
      </c>
      <c r="D353" s="124"/>
      <c r="E353" s="124"/>
      <c r="F353" s="124"/>
      <c r="G353" s="124"/>
      <c r="I353" s="124" t="n">
        <f aca="false">IF(MONTH($A353)=MONTH($A352),IF(G353=0,I352,G353),G353)</f>
        <v>0</v>
      </c>
      <c r="J353" s="124" t="n">
        <f aca="false">IF(MONTH($A353)=MONTH($A352),SUM(I353-I352),I353)</f>
        <v>0</v>
      </c>
      <c r="K353" s="124" t="n">
        <f aca="false">IF(WEEKDAY(A353,3)&gt;4,0,(IF(A353&lt;K$2,0,IF(A353&lt;=K$3,1,0))))</f>
        <v>0</v>
      </c>
      <c r="L353" s="124" t="n">
        <f aca="false">J353*K353</f>
        <v>0</v>
      </c>
      <c r="M353" s="124" t="n">
        <f aca="false">SUM(J$188:J353)</f>
        <v>118694</v>
      </c>
      <c r="N353" s="124" t="n">
        <f aca="false">SUM(J$6:J353)</f>
        <v>1711629</v>
      </c>
      <c r="P353" s="124" t="n">
        <f aca="false">D353/P$3</f>
        <v>0</v>
      </c>
      <c r="Q353" s="124" t="n">
        <f aca="false">E353/P$3</f>
        <v>0</v>
      </c>
      <c r="R353" s="124" t="n">
        <f aca="false">F353/R$3</f>
        <v>0</v>
      </c>
      <c r="S353" s="126" t="n">
        <f aca="false">J353/$R$3</f>
        <v>0</v>
      </c>
      <c r="T353" s="126" t="n">
        <f aca="false">L353/$R$3</f>
        <v>0</v>
      </c>
      <c r="U353" s="126" t="n">
        <f aca="false">I353/$R$3</f>
        <v>0</v>
      </c>
      <c r="V353" s="126" t="n">
        <f aca="false">M353/$R$3</f>
        <v>118.694</v>
      </c>
      <c r="W353" s="126" t="n">
        <f aca="false">N353/$R$3</f>
        <v>1711.629</v>
      </c>
    </row>
    <row r="354" customFormat="false" ht="12.75" hidden="false" customHeight="false" outlineLevel="0" collapsed="false">
      <c r="A354" s="120" t="n">
        <f aca="false">A353+1</f>
        <v>37240</v>
      </c>
      <c r="B354" s="131" t="str">
        <f aca="false">INDEX('Master Data'!$A$2:$B$8,MATCH(WEEKDAY('ARG Gas Firm'!A354,3),'Master Data'!$A$2:$A$8,0),2)</f>
        <v>Sa</v>
      </c>
      <c r="D354" s="124"/>
      <c r="E354" s="124"/>
      <c r="F354" s="124"/>
      <c r="G354" s="124"/>
      <c r="I354" s="124" t="n">
        <f aca="false">IF(MONTH($A354)=MONTH($A353),IF(G354=0,I353,G354),G354)</f>
        <v>0</v>
      </c>
      <c r="J354" s="124" t="n">
        <f aca="false">IF(MONTH($A354)=MONTH($A353),SUM(I354-I353),I354)</f>
        <v>0</v>
      </c>
      <c r="K354" s="124" t="n">
        <f aca="false">IF(WEEKDAY(A354,3)&gt;4,0,(IF(A354&lt;K$2,0,IF(A354&lt;=K$3,1,0))))</f>
        <v>0</v>
      </c>
      <c r="L354" s="124" t="n">
        <f aca="false">J354*K354</f>
        <v>0</v>
      </c>
      <c r="M354" s="124" t="n">
        <f aca="false">SUM(J$188:J354)</f>
        <v>118694</v>
      </c>
      <c r="N354" s="124" t="n">
        <f aca="false">SUM(J$6:J354)</f>
        <v>1711629</v>
      </c>
      <c r="P354" s="124" t="n">
        <f aca="false">D354/P$3</f>
        <v>0</v>
      </c>
      <c r="Q354" s="124" t="n">
        <f aca="false">E354/P$3</f>
        <v>0</v>
      </c>
      <c r="R354" s="124" t="n">
        <f aca="false">F354/R$3</f>
        <v>0</v>
      </c>
      <c r="S354" s="126" t="n">
        <f aca="false">J354/$R$3</f>
        <v>0</v>
      </c>
      <c r="T354" s="126" t="n">
        <f aca="false">L354/$R$3</f>
        <v>0</v>
      </c>
      <c r="U354" s="126" t="n">
        <f aca="false">I354/$R$3</f>
        <v>0</v>
      </c>
      <c r="V354" s="126" t="n">
        <f aca="false">M354/$R$3</f>
        <v>118.694</v>
      </c>
      <c r="W354" s="126" t="n">
        <f aca="false">N354/$R$3</f>
        <v>1711.629</v>
      </c>
    </row>
    <row r="355" customFormat="false" ht="12.75" hidden="false" customHeight="false" outlineLevel="0" collapsed="false">
      <c r="A355" s="120" t="n">
        <f aca="false">A354+1</f>
        <v>37241</v>
      </c>
      <c r="B355" s="131" t="str">
        <f aca="false">INDEX('Master Data'!$A$2:$B$8,MATCH(WEEKDAY('ARG Gas Firm'!A355,3),'Master Data'!$A$2:$A$8,0),2)</f>
        <v>Su</v>
      </c>
      <c r="D355" s="124"/>
      <c r="E355" s="124"/>
      <c r="F355" s="124"/>
      <c r="G355" s="124"/>
      <c r="I355" s="124" t="n">
        <f aca="false">IF(MONTH($A355)=MONTH($A354),IF(G355=0,I354,G355),G355)</f>
        <v>0</v>
      </c>
      <c r="J355" s="124" t="n">
        <f aca="false">IF(MONTH($A355)=MONTH($A354),SUM(I355-I354),I355)</f>
        <v>0</v>
      </c>
      <c r="K355" s="124" t="n">
        <f aca="false">IF(WEEKDAY(A355,3)&gt;4,0,(IF(A355&lt;K$2,0,IF(A355&lt;=K$3,1,0))))</f>
        <v>0</v>
      </c>
      <c r="L355" s="124" t="n">
        <f aca="false">J355*K355</f>
        <v>0</v>
      </c>
      <c r="M355" s="124" t="n">
        <f aca="false">SUM(J$188:J355)</f>
        <v>118694</v>
      </c>
      <c r="N355" s="124" t="n">
        <f aca="false">SUM(J$6:J355)</f>
        <v>1711629</v>
      </c>
      <c r="P355" s="124" t="n">
        <f aca="false">D355/P$3</f>
        <v>0</v>
      </c>
      <c r="Q355" s="124" t="n">
        <f aca="false">E355/P$3</f>
        <v>0</v>
      </c>
      <c r="R355" s="124" t="n">
        <f aca="false">F355/R$3</f>
        <v>0</v>
      </c>
      <c r="S355" s="126" t="n">
        <f aca="false">J355/$R$3</f>
        <v>0</v>
      </c>
      <c r="T355" s="126" t="n">
        <f aca="false">L355/$R$3</f>
        <v>0</v>
      </c>
      <c r="U355" s="126" t="n">
        <f aca="false">I355/$R$3</f>
        <v>0</v>
      </c>
      <c r="V355" s="126" t="n">
        <f aca="false">M355/$R$3</f>
        <v>118.694</v>
      </c>
      <c r="W355" s="126" t="n">
        <f aca="false">N355/$R$3</f>
        <v>1711.629</v>
      </c>
    </row>
    <row r="356" customFormat="false" ht="12.75" hidden="false" customHeight="false" outlineLevel="0" collapsed="false">
      <c r="A356" s="120" t="n">
        <f aca="false">A355+1</f>
        <v>37242</v>
      </c>
      <c r="B356" s="131" t="str">
        <f aca="false">INDEX('Master Data'!$A$2:$B$8,MATCH(WEEKDAY('ARG Gas Firm'!A356,3),'Master Data'!$A$2:$A$8,0),2)</f>
        <v>M</v>
      </c>
      <c r="D356" s="124"/>
      <c r="E356" s="124"/>
      <c r="F356" s="124"/>
      <c r="G356" s="124"/>
      <c r="I356" s="124" t="n">
        <f aca="false">IF(MONTH($A356)=MONTH($A355),IF(G356=0,I355,G356),G356)</f>
        <v>0</v>
      </c>
      <c r="J356" s="124" t="n">
        <f aca="false">IF(MONTH($A356)=MONTH($A355),SUM(I356-I355),I356)</f>
        <v>0</v>
      </c>
      <c r="K356" s="124" t="n">
        <f aca="false">IF(WEEKDAY(A356,3)&gt;4,0,(IF(A356&lt;K$2,0,IF(A356&lt;=K$3,1,0))))</f>
        <v>0</v>
      </c>
      <c r="L356" s="124" t="n">
        <f aca="false">J356*K356</f>
        <v>0</v>
      </c>
      <c r="M356" s="124" t="n">
        <f aca="false">SUM(J$188:J356)</f>
        <v>118694</v>
      </c>
      <c r="N356" s="124" t="n">
        <f aca="false">SUM(J$6:J356)</f>
        <v>1711629</v>
      </c>
      <c r="P356" s="124" t="n">
        <f aca="false">D356/P$3</f>
        <v>0</v>
      </c>
      <c r="Q356" s="124" t="n">
        <f aca="false">E356/P$3</f>
        <v>0</v>
      </c>
      <c r="R356" s="124" t="n">
        <f aca="false">F356/R$3</f>
        <v>0</v>
      </c>
      <c r="S356" s="126" t="n">
        <f aca="false">J356/$R$3</f>
        <v>0</v>
      </c>
      <c r="T356" s="126" t="n">
        <f aca="false">L356/$R$3</f>
        <v>0</v>
      </c>
      <c r="U356" s="126" t="n">
        <f aca="false">I356/$R$3</f>
        <v>0</v>
      </c>
      <c r="V356" s="126" t="n">
        <f aca="false">M356/$R$3</f>
        <v>118.694</v>
      </c>
      <c r="W356" s="126" t="n">
        <f aca="false">N356/$R$3</f>
        <v>1711.629</v>
      </c>
    </row>
    <row r="357" customFormat="false" ht="12.75" hidden="false" customHeight="false" outlineLevel="0" collapsed="false">
      <c r="A357" s="120" t="n">
        <f aca="false">A356+1</f>
        <v>37243</v>
      </c>
      <c r="B357" s="131" t="str">
        <f aca="false">INDEX('Master Data'!$A$2:$B$8,MATCH(WEEKDAY('ARG Gas Firm'!A357,3),'Master Data'!$A$2:$A$8,0),2)</f>
        <v>T</v>
      </c>
      <c r="D357" s="124"/>
      <c r="E357" s="124"/>
      <c r="F357" s="124"/>
      <c r="G357" s="124"/>
      <c r="I357" s="124" t="n">
        <f aca="false">IF(MONTH($A357)=MONTH($A356),IF(G357=0,I356,G357),G357)</f>
        <v>0</v>
      </c>
      <c r="J357" s="124" t="n">
        <f aca="false">IF(MONTH($A357)=MONTH($A356),SUM(I357-I356),I357)</f>
        <v>0</v>
      </c>
      <c r="K357" s="124" t="n">
        <f aca="false">IF(WEEKDAY(A357,3)&gt;4,0,(IF(A357&lt;K$2,0,IF(A357&lt;=K$3,1,0))))</f>
        <v>0</v>
      </c>
      <c r="L357" s="124" t="n">
        <f aca="false">J357*K357</f>
        <v>0</v>
      </c>
      <c r="M357" s="124" t="n">
        <f aca="false">SUM(J$188:J357)</f>
        <v>118694</v>
      </c>
      <c r="N357" s="124" t="n">
        <f aca="false">SUM(J$6:J357)</f>
        <v>1711629</v>
      </c>
      <c r="P357" s="124" t="n">
        <f aca="false">D357/P$3</f>
        <v>0</v>
      </c>
      <c r="Q357" s="124" t="n">
        <f aca="false">E357/P$3</f>
        <v>0</v>
      </c>
      <c r="R357" s="124" t="n">
        <f aca="false">F357/R$3</f>
        <v>0</v>
      </c>
      <c r="S357" s="126" t="n">
        <f aca="false">J357/$R$3</f>
        <v>0</v>
      </c>
      <c r="T357" s="126" t="n">
        <f aca="false">L357/$R$3</f>
        <v>0</v>
      </c>
      <c r="U357" s="126" t="n">
        <f aca="false">I357/$R$3</f>
        <v>0</v>
      </c>
      <c r="V357" s="126" t="n">
        <f aca="false">M357/$R$3</f>
        <v>118.694</v>
      </c>
      <c r="W357" s="126" t="n">
        <f aca="false">N357/$R$3</f>
        <v>1711.629</v>
      </c>
    </row>
    <row r="358" customFormat="false" ht="12.75" hidden="false" customHeight="false" outlineLevel="0" collapsed="false">
      <c r="A358" s="120" t="n">
        <f aca="false">A357+1</f>
        <v>37244</v>
      </c>
      <c r="B358" s="131" t="str">
        <f aca="false">INDEX('Master Data'!$A$2:$B$8,MATCH(WEEKDAY('ARG Gas Firm'!A358,3),'Master Data'!$A$2:$A$8,0),2)</f>
        <v>W</v>
      </c>
      <c r="D358" s="124"/>
      <c r="E358" s="124"/>
      <c r="F358" s="124"/>
      <c r="G358" s="124"/>
      <c r="I358" s="124" t="n">
        <f aca="false">IF(MONTH($A358)=MONTH($A357),IF(G358=0,I357,G358),G358)</f>
        <v>0</v>
      </c>
      <c r="J358" s="124" t="n">
        <f aca="false">IF(MONTH($A358)=MONTH($A357),SUM(I358-I357),I358)</f>
        <v>0</v>
      </c>
      <c r="K358" s="124" t="n">
        <f aca="false">IF(WEEKDAY(A358,3)&gt;4,0,(IF(A358&lt;K$2,0,IF(A358&lt;=K$3,1,0))))</f>
        <v>0</v>
      </c>
      <c r="L358" s="124" t="n">
        <f aca="false">J358*K358</f>
        <v>0</v>
      </c>
      <c r="M358" s="124" t="n">
        <f aca="false">SUM(J$188:J358)</f>
        <v>118694</v>
      </c>
      <c r="N358" s="124" t="n">
        <f aca="false">SUM(J$6:J358)</f>
        <v>1711629</v>
      </c>
      <c r="P358" s="124" t="n">
        <f aca="false">D358/P$3</f>
        <v>0</v>
      </c>
      <c r="Q358" s="124" t="n">
        <f aca="false">E358/P$3</f>
        <v>0</v>
      </c>
      <c r="R358" s="124" t="n">
        <f aca="false">F358/R$3</f>
        <v>0</v>
      </c>
      <c r="S358" s="126" t="n">
        <f aca="false">J358/$R$3</f>
        <v>0</v>
      </c>
      <c r="T358" s="126" t="n">
        <f aca="false">L358/$R$3</f>
        <v>0</v>
      </c>
      <c r="U358" s="126" t="n">
        <f aca="false">I358/$R$3</f>
        <v>0</v>
      </c>
      <c r="V358" s="126" t="n">
        <f aca="false">M358/$R$3</f>
        <v>118.694</v>
      </c>
      <c r="W358" s="126" t="n">
        <f aca="false">N358/$R$3</f>
        <v>1711.629</v>
      </c>
    </row>
    <row r="359" customFormat="false" ht="12.75" hidden="false" customHeight="false" outlineLevel="0" collapsed="false">
      <c r="A359" s="120" t="n">
        <f aca="false">A358+1</f>
        <v>37245</v>
      </c>
      <c r="B359" s="131" t="str">
        <f aca="false">INDEX('Master Data'!$A$2:$B$8,MATCH(WEEKDAY('ARG Gas Firm'!A359,3),'Master Data'!$A$2:$A$8,0),2)</f>
        <v>Th</v>
      </c>
      <c r="D359" s="124"/>
      <c r="E359" s="124"/>
      <c r="F359" s="124"/>
      <c r="G359" s="124"/>
      <c r="I359" s="124" t="n">
        <f aca="false">IF(MONTH($A359)=MONTH($A358),IF(G359=0,I358,G359),G359)</f>
        <v>0</v>
      </c>
      <c r="J359" s="124" t="n">
        <f aca="false">IF(MONTH($A359)=MONTH($A358),SUM(I359-I358),I359)</f>
        <v>0</v>
      </c>
      <c r="K359" s="124" t="n">
        <f aca="false">IF(WEEKDAY(A359,3)&gt;4,0,(IF(A359&lt;K$2,0,IF(A359&lt;=K$3,1,0))))</f>
        <v>0</v>
      </c>
      <c r="L359" s="124" t="n">
        <f aca="false">J359*K359</f>
        <v>0</v>
      </c>
      <c r="M359" s="124" t="n">
        <f aca="false">SUM(J$188:J359)</f>
        <v>118694</v>
      </c>
      <c r="N359" s="124" t="n">
        <f aca="false">SUM(J$6:J359)</f>
        <v>1711629</v>
      </c>
      <c r="P359" s="124" t="n">
        <f aca="false">D359/P$3</f>
        <v>0</v>
      </c>
      <c r="Q359" s="124" t="n">
        <f aca="false">E359/P$3</f>
        <v>0</v>
      </c>
      <c r="R359" s="124" t="n">
        <f aca="false">F359/R$3</f>
        <v>0</v>
      </c>
      <c r="S359" s="126" t="n">
        <f aca="false">J359/$R$3</f>
        <v>0</v>
      </c>
      <c r="T359" s="126" t="n">
        <f aca="false">L359/$R$3</f>
        <v>0</v>
      </c>
      <c r="U359" s="126" t="n">
        <f aca="false">I359/$R$3</f>
        <v>0</v>
      </c>
      <c r="V359" s="126" t="n">
        <f aca="false">M359/$R$3</f>
        <v>118.694</v>
      </c>
      <c r="W359" s="126" t="n">
        <f aca="false">N359/$R$3</f>
        <v>1711.629</v>
      </c>
    </row>
    <row r="360" customFormat="false" ht="12.75" hidden="false" customHeight="false" outlineLevel="0" collapsed="false">
      <c r="A360" s="120" t="n">
        <f aca="false">A359+1</f>
        <v>37246</v>
      </c>
      <c r="B360" s="131" t="str">
        <f aca="false">INDEX('Master Data'!$A$2:$B$8,MATCH(WEEKDAY('ARG Gas Firm'!A360,3),'Master Data'!$A$2:$A$8,0),2)</f>
        <v>F</v>
      </c>
      <c r="D360" s="124"/>
      <c r="E360" s="124"/>
      <c r="F360" s="124"/>
      <c r="G360" s="124"/>
      <c r="I360" s="124" t="n">
        <f aca="false">IF(MONTH($A360)=MONTH($A359),IF(G360=0,I359,G360),G360)</f>
        <v>0</v>
      </c>
      <c r="J360" s="124" t="n">
        <f aca="false">IF(MONTH($A360)=MONTH($A359),SUM(I360-I359),I360)</f>
        <v>0</v>
      </c>
      <c r="K360" s="124" t="n">
        <f aca="false">IF(WEEKDAY(A360,3)&gt;4,0,(IF(A360&lt;K$2,0,IF(A360&lt;=K$3,1,0))))</f>
        <v>0</v>
      </c>
      <c r="L360" s="124" t="n">
        <f aca="false">J360*K360</f>
        <v>0</v>
      </c>
      <c r="M360" s="124" t="n">
        <f aca="false">SUM(J$188:J360)</f>
        <v>118694</v>
      </c>
      <c r="N360" s="124" t="n">
        <f aca="false">SUM(J$6:J360)</f>
        <v>1711629</v>
      </c>
      <c r="P360" s="124" t="n">
        <f aca="false">D360/P$3</f>
        <v>0</v>
      </c>
      <c r="Q360" s="124" t="n">
        <f aca="false">E360/P$3</f>
        <v>0</v>
      </c>
      <c r="R360" s="124" t="n">
        <f aca="false">F360/R$3</f>
        <v>0</v>
      </c>
      <c r="S360" s="126" t="n">
        <f aca="false">J360/$R$3</f>
        <v>0</v>
      </c>
      <c r="T360" s="126" t="n">
        <f aca="false">L360/$R$3</f>
        <v>0</v>
      </c>
      <c r="U360" s="126" t="n">
        <f aca="false">I360/$R$3</f>
        <v>0</v>
      </c>
      <c r="V360" s="126" t="n">
        <f aca="false">M360/$R$3</f>
        <v>118.694</v>
      </c>
      <c r="W360" s="126" t="n">
        <f aca="false">N360/$R$3</f>
        <v>1711.629</v>
      </c>
    </row>
    <row r="361" customFormat="false" ht="12.75" hidden="false" customHeight="false" outlineLevel="0" collapsed="false">
      <c r="A361" s="120" t="n">
        <f aca="false">A360+1</f>
        <v>37247</v>
      </c>
      <c r="B361" s="131" t="str">
        <f aca="false">INDEX('Master Data'!$A$2:$B$8,MATCH(WEEKDAY('ARG Gas Firm'!A361,3),'Master Data'!$A$2:$A$8,0),2)</f>
        <v>Sa</v>
      </c>
      <c r="D361" s="124"/>
      <c r="E361" s="124"/>
      <c r="F361" s="124"/>
      <c r="G361" s="124"/>
      <c r="I361" s="124" t="n">
        <f aca="false">IF(MONTH($A361)=MONTH($A360),IF(G361=0,I360,G361),G361)</f>
        <v>0</v>
      </c>
      <c r="J361" s="124" t="n">
        <f aca="false">IF(MONTH($A361)=MONTH($A360),SUM(I361-I360),I361)</f>
        <v>0</v>
      </c>
      <c r="K361" s="124" t="n">
        <f aca="false">IF(WEEKDAY(A361,3)&gt;4,0,(IF(A361&lt;K$2,0,IF(A361&lt;=K$3,1,0))))</f>
        <v>0</v>
      </c>
      <c r="L361" s="124" t="n">
        <f aca="false">J361*K361</f>
        <v>0</v>
      </c>
      <c r="M361" s="124" t="n">
        <f aca="false">SUM(J$188:J361)</f>
        <v>118694</v>
      </c>
      <c r="N361" s="124" t="n">
        <f aca="false">SUM(J$6:J361)</f>
        <v>1711629</v>
      </c>
      <c r="P361" s="124" t="n">
        <f aca="false">D361/P$3</f>
        <v>0</v>
      </c>
      <c r="Q361" s="124" t="n">
        <f aca="false">E361/P$3</f>
        <v>0</v>
      </c>
      <c r="R361" s="124" t="n">
        <f aca="false">F361/R$3</f>
        <v>0</v>
      </c>
      <c r="S361" s="126" t="n">
        <f aca="false">J361/$R$3</f>
        <v>0</v>
      </c>
      <c r="T361" s="126" t="n">
        <f aca="false">L361/$R$3</f>
        <v>0</v>
      </c>
      <c r="U361" s="126" t="n">
        <f aca="false">I361/$R$3</f>
        <v>0</v>
      </c>
      <c r="V361" s="126" t="n">
        <f aca="false">M361/$R$3</f>
        <v>118.694</v>
      </c>
      <c r="W361" s="126" t="n">
        <f aca="false">N361/$R$3</f>
        <v>1711.629</v>
      </c>
    </row>
    <row r="362" customFormat="false" ht="12.75" hidden="false" customHeight="false" outlineLevel="0" collapsed="false">
      <c r="A362" s="120" t="n">
        <f aca="false">A361+1</f>
        <v>37248</v>
      </c>
      <c r="B362" s="131" t="str">
        <f aca="false">INDEX('Master Data'!$A$2:$B$8,MATCH(WEEKDAY('ARG Gas Firm'!A362,3),'Master Data'!$A$2:$A$8,0),2)</f>
        <v>Su</v>
      </c>
      <c r="D362" s="124"/>
      <c r="E362" s="124"/>
      <c r="F362" s="124"/>
      <c r="G362" s="124"/>
      <c r="I362" s="124" t="n">
        <f aca="false">IF(MONTH($A362)=MONTH($A361),IF(G362=0,I361,G362),G362)</f>
        <v>0</v>
      </c>
      <c r="J362" s="124" t="n">
        <f aca="false">IF(MONTH($A362)=MONTH($A361),SUM(I362-I361),I362)</f>
        <v>0</v>
      </c>
      <c r="K362" s="124" t="n">
        <f aca="false">IF(WEEKDAY(A362,3)&gt;4,0,(IF(A362&lt;K$2,0,IF(A362&lt;=K$3,1,0))))</f>
        <v>0</v>
      </c>
      <c r="L362" s="124" t="n">
        <f aca="false">J362*K362</f>
        <v>0</v>
      </c>
      <c r="M362" s="124" t="n">
        <f aca="false">SUM(J$188:J362)</f>
        <v>118694</v>
      </c>
      <c r="N362" s="124" t="n">
        <f aca="false">SUM(J$6:J362)</f>
        <v>1711629</v>
      </c>
      <c r="P362" s="124" t="n">
        <f aca="false">D362/P$3</f>
        <v>0</v>
      </c>
      <c r="Q362" s="124" t="n">
        <f aca="false">E362/P$3</f>
        <v>0</v>
      </c>
      <c r="R362" s="124" t="n">
        <f aca="false">F362/R$3</f>
        <v>0</v>
      </c>
      <c r="S362" s="126" t="n">
        <f aca="false">J362/$R$3</f>
        <v>0</v>
      </c>
      <c r="T362" s="126" t="n">
        <f aca="false">L362/$R$3</f>
        <v>0</v>
      </c>
      <c r="U362" s="126" t="n">
        <f aca="false">I362/$R$3</f>
        <v>0</v>
      </c>
      <c r="V362" s="126" t="n">
        <f aca="false">M362/$R$3</f>
        <v>118.694</v>
      </c>
      <c r="W362" s="126" t="n">
        <f aca="false">N362/$R$3</f>
        <v>1711.629</v>
      </c>
    </row>
    <row r="363" customFormat="false" ht="12.75" hidden="false" customHeight="false" outlineLevel="0" collapsed="false">
      <c r="A363" s="120" t="n">
        <f aca="false">A362+1</f>
        <v>37249</v>
      </c>
      <c r="B363" s="131" t="str">
        <f aca="false">INDEX('Master Data'!$A$2:$B$8,MATCH(WEEKDAY('ARG Gas Firm'!A363,3),'Master Data'!$A$2:$A$8,0),2)</f>
        <v>M</v>
      </c>
      <c r="D363" s="124"/>
      <c r="E363" s="124"/>
      <c r="F363" s="124"/>
      <c r="G363" s="124"/>
      <c r="I363" s="124" t="n">
        <f aca="false">IF(MONTH($A363)=MONTH($A362),IF(G363=0,I362,G363),G363)</f>
        <v>0</v>
      </c>
      <c r="J363" s="124" t="n">
        <f aca="false">IF(MONTH($A363)=MONTH($A362),SUM(I363-I362),I363)</f>
        <v>0</v>
      </c>
      <c r="K363" s="124" t="n">
        <f aca="false">IF(WEEKDAY(A363,3)&gt;4,0,(IF(A363&lt;K$2,0,IF(A363&lt;=K$3,1,0))))</f>
        <v>0</v>
      </c>
      <c r="L363" s="124" t="n">
        <f aca="false">J363*K363</f>
        <v>0</v>
      </c>
      <c r="M363" s="124" t="n">
        <f aca="false">SUM(J$188:J363)</f>
        <v>118694</v>
      </c>
      <c r="N363" s="124" t="n">
        <f aca="false">SUM(J$6:J363)</f>
        <v>1711629</v>
      </c>
      <c r="P363" s="124" t="n">
        <f aca="false">D363/P$3</f>
        <v>0</v>
      </c>
      <c r="Q363" s="124" t="n">
        <f aca="false">E363/P$3</f>
        <v>0</v>
      </c>
      <c r="R363" s="124" t="n">
        <f aca="false">F363/R$3</f>
        <v>0</v>
      </c>
      <c r="S363" s="126" t="n">
        <f aca="false">J363/$R$3</f>
        <v>0</v>
      </c>
      <c r="T363" s="126" t="n">
        <f aca="false">L363/$R$3</f>
        <v>0</v>
      </c>
      <c r="U363" s="126" t="n">
        <f aca="false">I363/$R$3</f>
        <v>0</v>
      </c>
      <c r="V363" s="126" t="n">
        <f aca="false">M363/$R$3</f>
        <v>118.694</v>
      </c>
      <c r="W363" s="126" t="n">
        <f aca="false">N363/$R$3</f>
        <v>1711.629</v>
      </c>
    </row>
    <row r="364" customFormat="false" ht="12.75" hidden="false" customHeight="false" outlineLevel="0" collapsed="false">
      <c r="A364" s="120" t="n">
        <f aca="false">A363+1</f>
        <v>37250</v>
      </c>
      <c r="B364" s="131" t="str">
        <f aca="false">INDEX('Master Data'!$A$2:$B$8,MATCH(WEEKDAY('ARG Gas Firm'!A364,3),'Master Data'!$A$2:$A$8,0),2)</f>
        <v>T</v>
      </c>
      <c r="D364" s="124"/>
      <c r="E364" s="124"/>
      <c r="F364" s="124"/>
      <c r="G364" s="124"/>
      <c r="I364" s="124" t="n">
        <f aca="false">IF(MONTH($A364)=MONTH($A363),IF(G364=0,I363,G364),G364)</f>
        <v>0</v>
      </c>
      <c r="J364" s="124" t="n">
        <f aca="false">IF(MONTH($A364)=MONTH($A363),SUM(I364-I363),I364)</f>
        <v>0</v>
      </c>
      <c r="K364" s="124" t="n">
        <f aca="false">IF(WEEKDAY(A364,3)&gt;4,0,(IF(A364&lt;K$2,0,IF(A364&lt;=K$3,1,0))))</f>
        <v>0</v>
      </c>
      <c r="L364" s="124" t="n">
        <f aca="false">J364*K364</f>
        <v>0</v>
      </c>
      <c r="M364" s="124" t="n">
        <f aca="false">SUM(J$188:J364)</f>
        <v>118694</v>
      </c>
      <c r="N364" s="124" t="n">
        <f aca="false">SUM(J$6:J364)</f>
        <v>1711629</v>
      </c>
      <c r="P364" s="124" t="n">
        <f aca="false">D364/P$3</f>
        <v>0</v>
      </c>
      <c r="Q364" s="124" t="n">
        <f aca="false">E364/P$3</f>
        <v>0</v>
      </c>
      <c r="R364" s="124" t="n">
        <f aca="false">F364/R$3</f>
        <v>0</v>
      </c>
      <c r="S364" s="126" t="n">
        <f aca="false">J364/$R$3</f>
        <v>0</v>
      </c>
      <c r="T364" s="126" t="n">
        <f aca="false">L364/$R$3</f>
        <v>0</v>
      </c>
      <c r="U364" s="126" t="n">
        <f aca="false">I364/$R$3</f>
        <v>0</v>
      </c>
      <c r="V364" s="126" t="n">
        <f aca="false">M364/$R$3</f>
        <v>118.694</v>
      </c>
      <c r="W364" s="126" t="n">
        <f aca="false">N364/$R$3</f>
        <v>1711.629</v>
      </c>
    </row>
    <row r="365" customFormat="false" ht="12.75" hidden="false" customHeight="false" outlineLevel="0" collapsed="false">
      <c r="A365" s="120" t="n">
        <f aca="false">A364+1</f>
        <v>37251</v>
      </c>
      <c r="B365" s="131" t="str">
        <f aca="false">INDEX('Master Data'!$A$2:$B$8,MATCH(WEEKDAY('ARG Gas Firm'!A365,3),'Master Data'!$A$2:$A$8,0),2)</f>
        <v>W</v>
      </c>
      <c r="D365" s="124"/>
      <c r="E365" s="124"/>
      <c r="F365" s="124"/>
      <c r="G365" s="124"/>
      <c r="I365" s="124" t="n">
        <f aca="false">IF(MONTH($A365)=MONTH($A364),IF(G365=0,I364,G365),G365)</f>
        <v>0</v>
      </c>
      <c r="J365" s="124" t="n">
        <f aca="false">IF(MONTH($A365)=MONTH($A364),SUM(I365-I364),I365)</f>
        <v>0</v>
      </c>
      <c r="K365" s="124" t="n">
        <f aca="false">IF(WEEKDAY(A365,3)&gt;4,0,(IF(A365&lt;K$2,0,IF(A365&lt;=K$3,1,0))))</f>
        <v>0</v>
      </c>
      <c r="L365" s="124" t="n">
        <f aca="false">J365*K365</f>
        <v>0</v>
      </c>
      <c r="M365" s="124" t="n">
        <f aca="false">SUM(J$188:J365)</f>
        <v>118694</v>
      </c>
      <c r="N365" s="124" t="n">
        <f aca="false">SUM(J$6:J365)</f>
        <v>1711629</v>
      </c>
      <c r="P365" s="124" t="n">
        <f aca="false">D365/P$3</f>
        <v>0</v>
      </c>
      <c r="Q365" s="124" t="n">
        <f aca="false">E365/P$3</f>
        <v>0</v>
      </c>
      <c r="R365" s="124" t="n">
        <f aca="false">F365/R$3</f>
        <v>0</v>
      </c>
      <c r="S365" s="126" t="n">
        <f aca="false">J365/$R$3</f>
        <v>0</v>
      </c>
      <c r="T365" s="126" t="n">
        <f aca="false">L365/$R$3</f>
        <v>0</v>
      </c>
      <c r="U365" s="126" t="n">
        <f aca="false">I365/$R$3</f>
        <v>0</v>
      </c>
      <c r="V365" s="126" t="n">
        <f aca="false">M365/$R$3</f>
        <v>118.694</v>
      </c>
      <c r="W365" s="126" t="n">
        <f aca="false">N365/$R$3</f>
        <v>1711.629</v>
      </c>
    </row>
    <row r="366" customFormat="false" ht="12.75" hidden="false" customHeight="false" outlineLevel="0" collapsed="false">
      <c r="A366" s="120" t="n">
        <f aca="false">A365+1</f>
        <v>37252</v>
      </c>
      <c r="B366" s="131" t="str">
        <f aca="false">INDEX('Master Data'!$A$2:$B$8,MATCH(WEEKDAY('ARG Gas Firm'!A366,3),'Master Data'!$A$2:$A$8,0),2)</f>
        <v>Th</v>
      </c>
      <c r="D366" s="124"/>
      <c r="E366" s="124"/>
      <c r="F366" s="124"/>
      <c r="G366" s="124"/>
      <c r="I366" s="124" t="n">
        <f aca="false">IF(MONTH($A366)=MONTH($A365),IF(G366=0,I365,G366),G366)</f>
        <v>0</v>
      </c>
      <c r="J366" s="124" t="n">
        <f aca="false">IF(MONTH($A366)=MONTH($A365),SUM(I366-I365),I366)</f>
        <v>0</v>
      </c>
      <c r="K366" s="124" t="n">
        <f aca="false">IF(WEEKDAY(A366,3)&gt;4,0,(IF(A366&lt;K$2,0,IF(A366&lt;=K$3,1,0))))</f>
        <v>0</v>
      </c>
      <c r="L366" s="124" t="n">
        <f aca="false">J366*K366</f>
        <v>0</v>
      </c>
      <c r="M366" s="124" t="n">
        <f aca="false">SUM(J$188:J366)</f>
        <v>118694</v>
      </c>
      <c r="N366" s="124" t="n">
        <f aca="false">SUM(J$6:J366)</f>
        <v>1711629</v>
      </c>
      <c r="P366" s="124" t="n">
        <f aca="false">D366/P$3</f>
        <v>0</v>
      </c>
      <c r="Q366" s="124" t="n">
        <f aca="false">E366/P$3</f>
        <v>0</v>
      </c>
      <c r="R366" s="124" t="n">
        <f aca="false">F366/R$3</f>
        <v>0</v>
      </c>
      <c r="S366" s="126" t="n">
        <f aca="false">J366/$R$3</f>
        <v>0</v>
      </c>
      <c r="T366" s="126" t="n">
        <f aca="false">L366/$R$3</f>
        <v>0</v>
      </c>
      <c r="U366" s="126" t="n">
        <f aca="false">I366/$R$3</f>
        <v>0</v>
      </c>
      <c r="V366" s="126" t="n">
        <f aca="false">M366/$R$3</f>
        <v>118.694</v>
      </c>
      <c r="W366" s="126" t="n">
        <f aca="false">N366/$R$3</f>
        <v>1711.629</v>
      </c>
    </row>
    <row r="367" customFormat="false" ht="12.75" hidden="false" customHeight="false" outlineLevel="0" collapsed="false">
      <c r="A367" s="120" t="n">
        <f aca="false">A366+1</f>
        <v>37253</v>
      </c>
      <c r="B367" s="131" t="str">
        <f aca="false">INDEX('Master Data'!$A$2:$B$8,MATCH(WEEKDAY('ARG Gas Firm'!A367,3),'Master Data'!$A$2:$A$8,0),2)</f>
        <v>F</v>
      </c>
      <c r="D367" s="124"/>
      <c r="E367" s="124"/>
      <c r="F367" s="124"/>
      <c r="G367" s="124"/>
      <c r="I367" s="124" t="n">
        <f aca="false">IF(MONTH($A367)=MONTH($A366),IF(G367=0,I366,G367),G367)</f>
        <v>0</v>
      </c>
      <c r="J367" s="124" t="n">
        <f aca="false">IF(MONTH($A367)=MONTH($A366),SUM(I367-I366),I367)</f>
        <v>0</v>
      </c>
      <c r="K367" s="124" t="n">
        <f aca="false">IF(WEEKDAY(A367,3)&gt;4,0,(IF(A367&lt;K$2,0,IF(A367&lt;=K$3,1,0))))</f>
        <v>0</v>
      </c>
      <c r="L367" s="124" t="n">
        <f aca="false">J367*K367</f>
        <v>0</v>
      </c>
      <c r="M367" s="124" t="n">
        <f aca="false">SUM(J$188:J367)</f>
        <v>118694</v>
      </c>
      <c r="N367" s="124" t="n">
        <f aca="false">SUM(J$6:J367)</f>
        <v>1711629</v>
      </c>
      <c r="P367" s="124" t="n">
        <f aca="false">D367/P$3</f>
        <v>0</v>
      </c>
      <c r="Q367" s="124" t="n">
        <f aca="false">E367/P$3</f>
        <v>0</v>
      </c>
      <c r="R367" s="124" t="n">
        <f aca="false">F367/R$3</f>
        <v>0</v>
      </c>
      <c r="S367" s="126" t="n">
        <f aca="false">J367/$R$3</f>
        <v>0</v>
      </c>
      <c r="T367" s="126" t="n">
        <f aca="false">L367/$R$3</f>
        <v>0</v>
      </c>
      <c r="U367" s="126" t="n">
        <f aca="false">I367/$R$3</f>
        <v>0</v>
      </c>
      <c r="V367" s="126" t="n">
        <f aca="false">M367/$R$3</f>
        <v>118.694</v>
      </c>
      <c r="W367" s="126" t="n">
        <f aca="false">N367/$R$3</f>
        <v>1711.629</v>
      </c>
    </row>
    <row r="368" customFormat="false" ht="12.75" hidden="false" customHeight="false" outlineLevel="0" collapsed="false">
      <c r="A368" s="120" t="n">
        <f aca="false">A367+1</f>
        <v>37254</v>
      </c>
      <c r="B368" s="131" t="str">
        <f aca="false">INDEX('Master Data'!$A$2:$B$8,MATCH(WEEKDAY('ARG Gas Firm'!A368,3),'Master Data'!$A$2:$A$8,0),2)</f>
        <v>Sa</v>
      </c>
      <c r="D368" s="124"/>
      <c r="E368" s="124"/>
      <c r="F368" s="124"/>
      <c r="G368" s="124"/>
      <c r="I368" s="124" t="n">
        <f aca="false">IF(MONTH($A368)=MONTH($A367),IF(G368=0,I367,G368),G368)</f>
        <v>0</v>
      </c>
      <c r="J368" s="124" t="n">
        <f aca="false">IF(MONTH($A368)=MONTH($A367),SUM(I368-I367),I368)</f>
        <v>0</v>
      </c>
      <c r="K368" s="124" t="n">
        <f aca="false">IF(WEEKDAY(A368,3)&gt;4,0,(IF(A368&lt;K$2,0,IF(A368&lt;=K$3,1,0))))</f>
        <v>0</v>
      </c>
      <c r="L368" s="124" t="n">
        <f aca="false">J368*K368</f>
        <v>0</v>
      </c>
      <c r="M368" s="124" t="n">
        <f aca="false">SUM(J$188:J368)</f>
        <v>118694</v>
      </c>
      <c r="N368" s="124" t="n">
        <f aca="false">SUM(J$6:J368)</f>
        <v>1711629</v>
      </c>
      <c r="P368" s="124" t="n">
        <f aca="false">D368/P$3</f>
        <v>0</v>
      </c>
      <c r="Q368" s="124" t="n">
        <f aca="false">E368/P$3</f>
        <v>0</v>
      </c>
      <c r="R368" s="124" t="n">
        <f aca="false">F368/R$3</f>
        <v>0</v>
      </c>
      <c r="S368" s="126" t="n">
        <f aca="false">J368/$R$3</f>
        <v>0</v>
      </c>
      <c r="T368" s="126" t="n">
        <f aca="false">L368/$R$3</f>
        <v>0</v>
      </c>
      <c r="U368" s="126" t="n">
        <f aca="false">I368/$R$3</f>
        <v>0</v>
      </c>
      <c r="V368" s="126" t="n">
        <f aca="false">M368/$R$3</f>
        <v>118.694</v>
      </c>
      <c r="W368" s="126" t="n">
        <f aca="false">N368/$R$3</f>
        <v>1711.629</v>
      </c>
    </row>
    <row r="369" customFormat="false" ht="12.75" hidden="false" customHeight="false" outlineLevel="0" collapsed="false">
      <c r="A369" s="120" t="n">
        <f aca="false">A368+1</f>
        <v>37255</v>
      </c>
      <c r="B369" s="131" t="str">
        <f aca="false">INDEX('Master Data'!$A$2:$B$8,MATCH(WEEKDAY('ARG Gas Firm'!A369,3),'Master Data'!$A$2:$A$8,0),2)</f>
        <v>Su</v>
      </c>
      <c r="D369" s="124"/>
      <c r="E369" s="124"/>
      <c r="F369" s="124"/>
      <c r="G369" s="124"/>
      <c r="I369" s="124" t="n">
        <f aca="false">IF(MONTH($A369)=MONTH($A368),IF(G369=0,I368,G369),G369)</f>
        <v>0</v>
      </c>
      <c r="J369" s="124" t="n">
        <f aca="false">IF(MONTH($A369)=MONTH($A368),SUM(I369-I368),I369)</f>
        <v>0</v>
      </c>
      <c r="K369" s="124" t="n">
        <f aca="false">IF(WEEKDAY(A369,3)&gt;4,0,(IF(A369&lt;K$2,0,IF(A369&lt;=K$3,1,0))))</f>
        <v>0</v>
      </c>
      <c r="L369" s="124" t="n">
        <f aca="false">J369*K369</f>
        <v>0</v>
      </c>
      <c r="M369" s="124" t="n">
        <f aca="false">SUM(J$188:J369)</f>
        <v>118694</v>
      </c>
      <c r="N369" s="124" t="n">
        <f aca="false">SUM(J$6:J369)</f>
        <v>1711629</v>
      </c>
      <c r="P369" s="124" t="n">
        <f aca="false">D369/P$3</f>
        <v>0</v>
      </c>
      <c r="Q369" s="124" t="n">
        <f aca="false">E369/P$3</f>
        <v>0</v>
      </c>
      <c r="R369" s="124" t="n">
        <f aca="false">F369/R$3</f>
        <v>0</v>
      </c>
      <c r="S369" s="126" t="n">
        <f aca="false">J369/$R$3</f>
        <v>0</v>
      </c>
      <c r="T369" s="126" t="n">
        <f aca="false">L369/$R$3</f>
        <v>0</v>
      </c>
      <c r="U369" s="126" t="n">
        <f aca="false">I369/$R$3</f>
        <v>0</v>
      </c>
      <c r="V369" s="126" t="n">
        <f aca="false">M369/$R$3</f>
        <v>118.694</v>
      </c>
      <c r="W369" s="126" t="n">
        <f aca="false">N369/$R$3</f>
        <v>1711.629</v>
      </c>
    </row>
    <row r="370" customFormat="false" ht="12.75" hidden="false" customHeight="false" outlineLevel="0" collapsed="false">
      <c r="A370" s="120" t="n">
        <f aca="false">A369+1</f>
        <v>37256</v>
      </c>
      <c r="B370" s="131" t="str">
        <f aca="false">INDEX('Master Data'!$A$2:$B$8,MATCH(WEEKDAY('ARG Gas Firm'!A370,3),'Master Data'!$A$2:$A$8,0),2)</f>
        <v>M</v>
      </c>
      <c r="D370" s="124"/>
      <c r="E370" s="124"/>
      <c r="F370" s="124"/>
      <c r="G370" s="124"/>
      <c r="I370" s="124" t="n">
        <f aca="false">IF(MONTH($A370)=MONTH($A369),IF(G370=0,I369,G370),G370)</f>
        <v>0</v>
      </c>
      <c r="J370" s="124" t="n">
        <f aca="false">IF(MONTH($A370)=MONTH($A369),SUM(I370-I369),I370)</f>
        <v>0</v>
      </c>
      <c r="K370" s="124" t="n">
        <f aca="false">IF(WEEKDAY(A370,3)&gt;4,0,(IF(A370&lt;K$2,0,IF(A370&lt;=K$3,1,0))))</f>
        <v>0</v>
      </c>
      <c r="L370" s="124" t="n">
        <f aca="false">J370*K370</f>
        <v>0</v>
      </c>
      <c r="M370" s="124" t="n">
        <f aca="false">SUM(J$188:J370)</f>
        <v>118694</v>
      </c>
      <c r="N370" s="124" t="n">
        <f aca="false">SUM(J$6:J370)</f>
        <v>1711629</v>
      </c>
      <c r="P370" s="124" t="n">
        <f aca="false">D370/P$3</f>
        <v>0</v>
      </c>
      <c r="Q370" s="124" t="n">
        <f aca="false">E370/P$3</f>
        <v>0</v>
      </c>
      <c r="R370" s="124" t="n">
        <f aca="false">F370/R$3</f>
        <v>0</v>
      </c>
      <c r="S370" s="126" t="n">
        <f aca="false">J370/$R$3</f>
        <v>0</v>
      </c>
      <c r="T370" s="126" t="n">
        <f aca="false">L370/$R$3</f>
        <v>0</v>
      </c>
      <c r="U370" s="126" t="n">
        <f aca="false">I370/$R$3</f>
        <v>0</v>
      </c>
      <c r="V370" s="126" t="n">
        <f aca="false">M370/$R$3</f>
        <v>118.694</v>
      </c>
      <c r="W370" s="126" t="n">
        <f aca="false">N370/$R$3</f>
        <v>1711.629</v>
      </c>
    </row>
    <row r="371" customFormat="false" ht="12.75" hidden="false" customHeight="false" outlineLevel="0" collapsed="false">
      <c r="A371" s="120" t="n">
        <f aca="false">A370+1</f>
        <v>37257</v>
      </c>
      <c r="B371" s="131" t="str">
        <f aca="false">INDEX('Master Data'!$A$2:$B$8,MATCH(WEEKDAY('ARG Gas Firm'!A371,3),'Master Data'!$A$2:$A$8,0),2)</f>
        <v>T</v>
      </c>
      <c r="D371" s="124"/>
      <c r="E371" s="124"/>
      <c r="F371" s="124"/>
      <c r="G371" s="124"/>
      <c r="I371" s="124" t="n">
        <f aca="false">IF(MONTH($A371)=MONTH($A370),IF(G371=0,I370,G371),G371)</f>
        <v>0</v>
      </c>
      <c r="J371" s="124" t="n">
        <f aca="false">IF(MONTH($A371)=MONTH($A370),SUM(I371-I370),I371)</f>
        <v>0</v>
      </c>
      <c r="K371" s="124" t="n">
        <f aca="false">IF(WEEKDAY(A371,3)&gt;4,0,(IF(A371&lt;K$2,0,IF(A371&lt;=K$3,1,0))))</f>
        <v>0</v>
      </c>
      <c r="L371" s="124" t="n">
        <f aca="false">J371*K371</f>
        <v>0</v>
      </c>
      <c r="M371" s="124" t="n">
        <f aca="false">SUM(J$188:J371)</f>
        <v>118694</v>
      </c>
      <c r="N371" s="124" t="n">
        <f aca="false">SUM(J$6:J371)</f>
        <v>1711629</v>
      </c>
      <c r="P371" s="124" t="n">
        <f aca="false">D371/P$3</f>
        <v>0</v>
      </c>
      <c r="Q371" s="124" t="n">
        <f aca="false">E371/P$3</f>
        <v>0</v>
      </c>
      <c r="R371" s="124" t="n">
        <f aca="false">F371/R$3</f>
        <v>0</v>
      </c>
      <c r="S371" s="126" t="n">
        <f aca="false">J371/$R$3</f>
        <v>0</v>
      </c>
      <c r="T371" s="126" t="n">
        <f aca="false">L371/$R$3</f>
        <v>0</v>
      </c>
      <c r="U371" s="126" t="n">
        <f aca="false">I371/$R$3</f>
        <v>0</v>
      </c>
      <c r="V371" s="126" t="n">
        <f aca="false">M371/$R$3</f>
        <v>118.694</v>
      </c>
      <c r="W371" s="126" t="n">
        <f aca="false">N371/$R$3</f>
        <v>1711.629</v>
      </c>
    </row>
    <row r="372" customFormat="false" ht="12.75" hidden="false" customHeight="false" outlineLevel="0" collapsed="false">
      <c r="B372" s="131"/>
      <c r="D372" s="124"/>
      <c r="E372" s="124"/>
      <c r="F372" s="124"/>
      <c r="G372" s="124"/>
      <c r="I372" s="124"/>
      <c r="P372" s="124"/>
      <c r="Q372" s="124"/>
      <c r="R372" s="124"/>
    </row>
    <row r="373" customFormat="false" ht="12.75" hidden="false" customHeight="false" outlineLevel="0" collapsed="false">
      <c r="B373" s="131"/>
      <c r="D373" s="124"/>
      <c r="E373" s="124"/>
      <c r="F373" s="124"/>
      <c r="G373" s="124"/>
      <c r="I373" s="124"/>
      <c r="P373" s="124"/>
      <c r="Q373" s="124"/>
      <c r="R373" s="124"/>
    </row>
    <row r="374" customFormat="false" ht="12.75" hidden="false" customHeight="false" outlineLevel="0" collapsed="false">
      <c r="B374" s="131"/>
      <c r="D374" s="124"/>
      <c r="E374" s="124"/>
      <c r="F374" s="124"/>
      <c r="G374" s="124"/>
      <c r="I374" s="124"/>
      <c r="P374" s="124"/>
      <c r="Q374" s="124"/>
      <c r="R374" s="124"/>
    </row>
    <row r="375" customFormat="false" ht="12.75" hidden="false" customHeight="false" outlineLevel="0" collapsed="false">
      <c r="B375" s="131"/>
      <c r="D375" s="124"/>
      <c r="E375" s="124"/>
      <c r="F375" s="124"/>
      <c r="G375" s="124"/>
      <c r="I375" s="124"/>
      <c r="P375" s="124"/>
      <c r="Q375" s="124"/>
      <c r="R375" s="124"/>
    </row>
    <row r="376" customFormat="false" ht="12.75" hidden="false" customHeight="false" outlineLevel="0" collapsed="false">
      <c r="B376" s="131"/>
      <c r="D376" s="124"/>
      <c r="E376" s="124"/>
      <c r="F376" s="124"/>
      <c r="G376" s="124"/>
      <c r="I376" s="124"/>
      <c r="P376" s="124"/>
      <c r="Q376" s="124"/>
      <c r="R376" s="124"/>
    </row>
    <row r="377" customFormat="false" ht="12.75" hidden="false" customHeight="false" outlineLevel="0" collapsed="false">
      <c r="B377" s="131"/>
      <c r="D377" s="124"/>
      <c r="E377" s="124"/>
      <c r="F377" s="124"/>
      <c r="G377" s="124"/>
      <c r="I377" s="124"/>
      <c r="P377" s="124"/>
      <c r="Q377" s="124"/>
      <c r="R377" s="124"/>
    </row>
    <row r="378" customFormat="false" ht="12.75" hidden="false" customHeight="false" outlineLevel="0" collapsed="false">
      <c r="B378" s="131"/>
      <c r="D378" s="124"/>
      <c r="E378" s="124"/>
      <c r="F378" s="124"/>
      <c r="G378" s="124"/>
      <c r="I378" s="124"/>
      <c r="P378" s="124"/>
      <c r="Q378" s="124"/>
      <c r="R378" s="124"/>
    </row>
    <row r="379" customFormat="false" ht="12.75" hidden="false" customHeight="false" outlineLevel="0" collapsed="false">
      <c r="B379" s="131"/>
      <c r="D379" s="124"/>
      <c r="E379" s="124"/>
      <c r="F379" s="124"/>
      <c r="G379" s="124"/>
      <c r="I379" s="124"/>
      <c r="P379" s="124"/>
      <c r="Q379" s="124"/>
      <c r="R379" s="124"/>
    </row>
    <row r="380" customFormat="false" ht="12.75" hidden="false" customHeight="false" outlineLevel="0" collapsed="false">
      <c r="B380" s="131"/>
      <c r="D380" s="124"/>
      <c r="E380" s="124"/>
      <c r="F380" s="124"/>
      <c r="G380" s="124"/>
      <c r="I380" s="124"/>
      <c r="P380" s="124"/>
      <c r="Q380" s="124"/>
      <c r="R380" s="124"/>
    </row>
    <row r="381" customFormat="false" ht="12.75" hidden="false" customHeight="false" outlineLevel="0" collapsed="false">
      <c r="B381" s="131"/>
      <c r="D381" s="124"/>
      <c r="E381" s="124"/>
      <c r="F381" s="124"/>
      <c r="G381" s="124"/>
      <c r="I381" s="124"/>
      <c r="P381" s="124"/>
      <c r="Q381" s="124"/>
      <c r="R381" s="124"/>
    </row>
    <row r="382" customFormat="false" ht="12.75" hidden="false" customHeight="false" outlineLevel="0" collapsed="false">
      <c r="B382" s="131"/>
      <c r="D382" s="124"/>
      <c r="E382" s="124"/>
      <c r="F382" s="124"/>
      <c r="G382" s="124"/>
      <c r="I382" s="124"/>
      <c r="P382" s="124"/>
      <c r="Q382" s="124"/>
      <c r="R382" s="124"/>
    </row>
    <row r="383" customFormat="false" ht="12.75" hidden="false" customHeight="false" outlineLevel="0" collapsed="false">
      <c r="B383" s="131"/>
      <c r="D383" s="124"/>
      <c r="E383" s="124"/>
      <c r="F383" s="124"/>
      <c r="G383" s="124"/>
      <c r="I383" s="124"/>
      <c r="P383" s="124"/>
      <c r="Q383" s="124"/>
      <c r="R383" s="124"/>
    </row>
    <row r="384" customFormat="false" ht="12.75" hidden="false" customHeight="false" outlineLevel="0" collapsed="false">
      <c r="B384" s="131"/>
      <c r="D384" s="124"/>
      <c r="E384" s="124"/>
      <c r="F384" s="124"/>
      <c r="G384" s="124"/>
      <c r="I384" s="124"/>
      <c r="P384" s="124"/>
      <c r="Q384" s="124"/>
      <c r="R384" s="124"/>
    </row>
    <row r="385" customFormat="false" ht="12.75" hidden="false" customHeight="false" outlineLevel="0" collapsed="false">
      <c r="B385" s="131"/>
      <c r="D385" s="124"/>
      <c r="E385" s="124"/>
      <c r="F385" s="124"/>
      <c r="G385" s="124"/>
      <c r="I385" s="124"/>
      <c r="P385" s="124"/>
      <c r="Q385" s="124"/>
      <c r="R385" s="124"/>
    </row>
    <row r="386" customFormat="false" ht="12.75" hidden="false" customHeight="false" outlineLevel="0" collapsed="false">
      <c r="B386" s="131"/>
      <c r="D386" s="124"/>
      <c r="E386" s="124"/>
      <c r="F386" s="124"/>
      <c r="G386" s="124"/>
      <c r="I386" s="124"/>
      <c r="P386" s="124"/>
      <c r="Q386" s="124"/>
      <c r="R386" s="124"/>
    </row>
    <row r="387" customFormat="false" ht="12.75" hidden="false" customHeight="false" outlineLevel="0" collapsed="false">
      <c r="B387" s="131"/>
      <c r="D387" s="124"/>
      <c r="E387" s="124"/>
      <c r="F387" s="124"/>
      <c r="G387" s="124"/>
      <c r="I387" s="124"/>
      <c r="P387" s="124"/>
      <c r="Q387" s="124"/>
      <c r="R387" s="124"/>
    </row>
    <row r="388" customFormat="false" ht="12.75" hidden="false" customHeight="false" outlineLevel="0" collapsed="false">
      <c r="B388" s="131"/>
      <c r="D388" s="124"/>
      <c r="E388" s="124"/>
      <c r="F388" s="124"/>
      <c r="G388" s="124"/>
      <c r="I388" s="124"/>
      <c r="P388" s="124"/>
      <c r="Q388" s="124"/>
      <c r="R388" s="124"/>
    </row>
    <row r="389" customFormat="false" ht="12.75" hidden="false" customHeight="false" outlineLevel="0" collapsed="false">
      <c r="B389" s="131"/>
      <c r="D389" s="124"/>
      <c r="E389" s="124"/>
      <c r="F389" s="124"/>
      <c r="G389" s="124"/>
      <c r="I389" s="124"/>
      <c r="P389" s="124"/>
      <c r="Q389" s="124"/>
      <c r="R389" s="124"/>
    </row>
    <row r="390" customFormat="false" ht="12.75" hidden="false" customHeight="false" outlineLevel="0" collapsed="false">
      <c r="B390" s="131"/>
      <c r="D390" s="124"/>
      <c r="E390" s="124"/>
      <c r="F390" s="124"/>
      <c r="G390" s="124"/>
      <c r="I390" s="124"/>
      <c r="P390" s="124"/>
      <c r="Q390" s="124"/>
      <c r="R390" s="124"/>
    </row>
    <row r="391" customFormat="false" ht="12.75" hidden="false" customHeight="false" outlineLevel="0" collapsed="false">
      <c r="B391" s="131"/>
      <c r="D391" s="124"/>
      <c r="E391" s="124"/>
      <c r="F391" s="124"/>
      <c r="G391" s="124"/>
      <c r="I391" s="124"/>
      <c r="P391" s="124"/>
      <c r="Q391" s="124"/>
      <c r="R391" s="124"/>
    </row>
    <row r="392" customFormat="false" ht="12.75" hidden="false" customHeight="false" outlineLevel="0" collapsed="false">
      <c r="B392" s="131"/>
      <c r="D392" s="124"/>
      <c r="E392" s="124"/>
      <c r="F392" s="124"/>
      <c r="G392" s="124"/>
      <c r="I392" s="124"/>
      <c r="P392" s="124"/>
      <c r="Q392" s="124"/>
      <c r="R392" s="124"/>
    </row>
    <row r="393" customFormat="false" ht="12.75" hidden="false" customHeight="false" outlineLevel="0" collapsed="false">
      <c r="B393" s="131"/>
      <c r="D393" s="124"/>
      <c r="E393" s="124"/>
      <c r="F393" s="124"/>
      <c r="G393" s="124"/>
      <c r="I393" s="124"/>
      <c r="P393" s="124"/>
      <c r="Q393" s="124"/>
      <c r="R393" s="124"/>
    </row>
    <row r="394" customFormat="false" ht="12.75" hidden="false" customHeight="false" outlineLevel="0" collapsed="false">
      <c r="B394" s="131"/>
      <c r="D394" s="124"/>
      <c r="E394" s="124"/>
      <c r="F394" s="124"/>
      <c r="G394" s="124"/>
      <c r="I394" s="124"/>
      <c r="P394" s="124"/>
      <c r="Q394" s="124"/>
      <c r="R394" s="124"/>
    </row>
    <row r="395" customFormat="false" ht="12.75" hidden="false" customHeight="false" outlineLevel="0" collapsed="false">
      <c r="B395" s="131"/>
      <c r="D395" s="124"/>
      <c r="E395" s="124"/>
      <c r="F395" s="124"/>
      <c r="G395" s="124"/>
      <c r="I395" s="124"/>
      <c r="P395" s="124"/>
      <c r="Q395" s="124"/>
      <c r="R395" s="124"/>
    </row>
    <row r="396" customFormat="false" ht="12.75" hidden="false" customHeight="false" outlineLevel="0" collapsed="false">
      <c r="B396" s="131"/>
      <c r="D396" s="124"/>
      <c r="E396" s="124"/>
      <c r="F396" s="124"/>
      <c r="G396" s="124"/>
      <c r="I396" s="124"/>
      <c r="P396" s="124"/>
      <c r="Q396" s="124"/>
      <c r="R396" s="124"/>
    </row>
    <row r="397" customFormat="false" ht="12.75" hidden="false" customHeight="false" outlineLevel="0" collapsed="false">
      <c r="B397" s="131"/>
      <c r="D397" s="124"/>
      <c r="E397" s="124"/>
      <c r="F397" s="124"/>
      <c r="G397" s="124"/>
      <c r="I397" s="124"/>
      <c r="P397" s="124"/>
      <c r="Q397" s="124"/>
      <c r="R397" s="124"/>
    </row>
    <row r="398" customFormat="false" ht="12.75" hidden="false" customHeight="false" outlineLevel="0" collapsed="false">
      <c r="B398" s="131"/>
      <c r="D398" s="124"/>
      <c r="E398" s="124"/>
      <c r="F398" s="124"/>
      <c r="G398" s="124"/>
      <c r="I398" s="124"/>
      <c r="P398" s="124"/>
      <c r="Q398" s="124"/>
      <c r="R398" s="124"/>
    </row>
    <row r="399" customFormat="false" ht="12.75" hidden="false" customHeight="false" outlineLevel="0" collapsed="false">
      <c r="B399" s="131"/>
      <c r="D399" s="124"/>
      <c r="E399" s="124"/>
      <c r="F399" s="124"/>
      <c r="G399" s="124"/>
      <c r="I399" s="124"/>
      <c r="P399" s="124"/>
      <c r="Q399" s="124"/>
      <c r="R399" s="124"/>
    </row>
    <row r="400" customFormat="false" ht="12.75" hidden="false" customHeight="false" outlineLevel="0" collapsed="false">
      <c r="B400" s="131"/>
      <c r="D400" s="124"/>
      <c r="E400" s="124"/>
      <c r="F400" s="124"/>
      <c r="G400" s="124"/>
      <c r="I400" s="124"/>
      <c r="P400" s="124"/>
      <c r="Q400" s="124"/>
      <c r="R400" s="124"/>
    </row>
    <row r="401" customFormat="false" ht="12.75" hidden="false" customHeight="false" outlineLevel="0" collapsed="false">
      <c r="B401" s="131"/>
      <c r="D401" s="124"/>
      <c r="E401" s="124"/>
      <c r="F401" s="124"/>
      <c r="G401" s="124"/>
      <c r="I401" s="124"/>
      <c r="P401" s="124"/>
      <c r="Q401" s="124"/>
      <c r="R401" s="124"/>
    </row>
    <row r="402" customFormat="false" ht="12.75" hidden="false" customHeight="false" outlineLevel="0" collapsed="false">
      <c r="B402" s="131"/>
      <c r="D402" s="124"/>
      <c r="E402" s="124"/>
      <c r="F402" s="124"/>
      <c r="G402" s="124"/>
      <c r="I402" s="124"/>
      <c r="P402" s="124"/>
      <c r="Q402" s="124"/>
      <c r="R402" s="124"/>
    </row>
    <row r="403" customFormat="false" ht="12.75" hidden="false" customHeight="false" outlineLevel="0" collapsed="false">
      <c r="B403" s="131"/>
      <c r="D403" s="124"/>
      <c r="E403" s="124"/>
      <c r="F403" s="124"/>
      <c r="G403" s="124"/>
      <c r="I403" s="124"/>
      <c r="P403" s="124"/>
      <c r="Q403" s="124"/>
      <c r="R403" s="124"/>
    </row>
    <row r="404" customFormat="false" ht="12.75" hidden="false" customHeight="false" outlineLevel="0" collapsed="false">
      <c r="B404" s="131"/>
      <c r="D404" s="124"/>
      <c r="E404" s="124"/>
      <c r="F404" s="124"/>
      <c r="G404" s="124"/>
      <c r="I404" s="124"/>
      <c r="P404" s="124"/>
      <c r="Q404" s="124"/>
      <c r="R404" s="124"/>
    </row>
    <row r="405" customFormat="false" ht="12.75" hidden="false" customHeight="false" outlineLevel="0" collapsed="false">
      <c r="B405" s="131"/>
      <c r="D405" s="124"/>
      <c r="E405" s="124"/>
      <c r="F405" s="124"/>
      <c r="G405" s="124"/>
      <c r="I405" s="124"/>
      <c r="P405" s="124"/>
      <c r="Q405" s="124"/>
      <c r="R405" s="124"/>
    </row>
    <row r="406" customFormat="false" ht="12.75" hidden="false" customHeight="false" outlineLevel="0" collapsed="false">
      <c r="B406" s="131"/>
      <c r="D406" s="124"/>
      <c r="E406" s="124"/>
      <c r="F406" s="124"/>
      <c r="G406" s="124"/>
      <c r="I406" s="124"/>
      <c r="P406" s="124"/>
      <c r="Q406" s="124"/>
      <c r="R406" s="124"/>
    </row>
    <row r="407" customFormat="false" ht="12.75" hidden="false" customHeight="false" outlineLevel="0" collapsed="false">
      <c r="B407" s="131"/>
      <c r="D407" s="124"/>
      <c r="E407" s="124"/>
      <c r="F407" s="124"/>
      <c r="G407" s="124"/>
      <c r="I407" s="124"/>
      <c r="P407" s="124"/>
      <c r="Q407" s="124"/>
      <c r="R407" s="124"/>
    </row>
    <row r="408" customFormat="false" ht="12.75" hidden="false" customHeight="false" outlineLevel="0" collapsed="false">
      <c r="B408" s="131"/>
      <c r="D408" s="124"/>
      <c r="E408" s="124"/>
      <c r="F408" s="124"/>
      <c r="G408" s="124"/>
      <c r="I408" s="124"/>
      <c r="P408" s="124"/>
      <c r="Q408" s="124"/>
      <c r="R408" s="124"/>
    </row>
    <row r="409" customFormat="false" ht="12.75" hidden="false" customHeight="false" outlineLevel="0" collapsed="false">
      <c r="B409" s="131"/>
      <c r="D409" s="124"/>
      <c r="E409" s="124"/>
      <c r="F409" s="124"/>
      <c r="G409" s="124"/>
      <c r="I409" s="124"/>
      <c r="P409" s="124"/>
      <c r="Q409" s="124"/>
      <c r="R409" s="124"/>
    </row>
    <row r="410" customFormat="false" ht="12.75" hidden="false" customHeight="false" outlineLevel="0" collapsed="false">
      <c r="B410" s="131"/>
      <c r="D410" s="124"/>
      <c r="E410" s="124"/>
      <c r="F410" s="124"/>
      <c r="G410" s="124"/>
      <c r="I410" s="124"/>
      <c r="P410" s="124"/>
      <c r="Q410" s="124"/>
      <c r="R410" s="124"/>
    </row>
    <row r="411" customFormat="false" ht="12.75" hidden="false" customHeight="false" outlineLevel="0" collapsed="false">
      <c r="B411" s="131"/>
      <c r="D411" s="124"/>
      <c r="E411" s="124"/>
      <c r="F411" s="124"/>
      <c r="G411" s="124"/>
      <c r="I411" s="124"/>
      <c r="P411" s="124"/>
      <c r="Q411" s="124"/>
      <c r="R411" s="124"/>
    </row>
    <row r="412" customFormat="false" ht="12.75" hidden="false" customHeight="false" outlineLevel="0" collapsed="false">
      <c r="B412" s="131"/>
      <c r="D412" s="124"/>
      <c r="E412" s="124"/>
      <c r="F412" s="124"/>
      <c r="G412" s="124"/>
      <c r="I412" s="124"/>
      <c r="P412" s="124"/>
      <c r="Q412" s="124"/>
      <c r="R412" s="124"/>
    </row>
    <row r="413" customFormat="false" ht="12.75" hidden="false" customHeight="false" outlineLevel="0" collapsed="false">
      <c r="B413" s="131"/>
      <c r="D413" s="124"/>
      <c r="E413" s="124"/>
      <c r="F413" s="124"/>
      <c r="G413" s="124"/>
      <c r="I413" s="124"/>
      <c r="P413" s="124"/>
      <c r="Q413" s="124"/>
      <c r="R413" s="124"/>
    </row>
    <row r="414" customFormat="false" ht="12.75" hidden="false" customHeight="false" outlineLevel="0" collapsed="false">
      <c r="B414" s="131"/>
      <c r="D414" s="124"/>
      <c r="E414" s="124"/>
      <c r="F414" s="124"/>
      <c r="G414" s="124"/>
      <c r="I414" s="124"/>
      <c r="P414" s="124"/>
      <c r="Q414" s="124"/>
      <c r="R414" s="124"/>
    </row>
    <row r="415" customFormat="false" ht="12.75" hidden="false" customHeight="false" outlineLevel="0" collapsed="false">
      <c r="B415" s="131"/>
      <c r="D415" s="124"/>
      <c r="E415" s="124"/>
      <c r="F415" s="124"/>
      <c r="G415" s="124"/>
      <c r="I415" s="124"/>
      <c r="P415" s="124"/>
      <c r="Q415" s="124"/>
      <c r="R415" s="124"/>
    </row>
    <row r="416" customFormat="false" ht="12.75" hidden="false" customHeight="false" outlineLevel="0" collapsed="false">
      <c r="B416" s="131"/>
      <c r="D416" s="124"/>
      <c r="E416" s="124"/>
      <c r="F416" s="124"/>
      <c r="G416" s="124"/>
      <c r="I416" s="124"/>
      <c r="P416" s="124"/>
      <c r="Q416" s="124"/>
      <c r="R416" s="124"/>
    </row>
    <row r="417" customFormat="false" ht="12.75" hidden="false" customHeight="false" outlineLevel="0" collapsed="false">
      <c r="B417" s="131"/>
      <c r="D417" s="124"/>
      <c r="E417" s="124"/>
      <c r="F417" s="124"/>
      <c r="G417" s="124"/>
      <c r="I417" s="124"/>
      <c r="P417" s="124"/>
      <c r="Q417" s="124"/>
      <c r="R417" s="124"/>
    </row>
    <row r="418" customFormat="false" ht="12.75" hidden="false" customHeight="false" outlineLevel="0" collapsed="false">
      <c r="B418" s="131"/>
      <c r="D418" s="124"/>
      <c r="E418" s="124"/>
      <c r="F418" s="124"/>
      <c r="G418" s="124"/>
      <c r="I418" s="124"/>
      <c r="P418" s="124"/>
      <c r="Q418" s="124"/>
      <c r="R418" s="124"/>
    </row>
    <row r="419" customFormat="false" ht="12.75" hidden="false" customHeight="false" outlineLevel="0" collapsed="false">
      <c r="B419" s="131"/>
      <c r="D419" s="124"/>
      <c r="E419" s="124"/>
      <c r="F419" s="124"/>
      <c r="G419" s="124"/>
      <c r="I419" s="124"/>
      <c r="P419" s="124"/>
      <c r="Q419" s="124"/>
      <c r="R419" s="124"/>
    </row>
    <row r="420" customFormat="false" ht="12.75" hidden="false" customHeight="false" outlineLevel="0" collapsed="false">
      <c r="B420" s="131"/>
      <c r="D420" s="124"/>
      <c r="E420" s="124"/>
      <c r="F420" s="124"/>
      <c r="G420" s="124"/>
      <c r="I420" s="124"/>
      <c r="P420" s="124"/>
      <c r="Q420" s="124"/>
      <c r="R420" s="124"/>
    </row>
    <row r="421" customFormat="false" ht="12.75" hidden="false" customHeight="false" outlineLevel="0" collapsed="false">
      <c r="B421" s="131"/>
      <c r="D421" s="124"/>
      <c r="E421" s="124"/>
      <c r="F421" s="124"/>
      <c r="G421" s="124"/>
      <c r="I421" s="124"/>
      <c r="P421" s="124"/>
      <c r="Q421" s="124"/>
      <c r="R421" s="124"/>
    </row>
    <row r="422" customFormat="false" ht="12.75" hidden="false" customHeight="false" outlineLevel="0" collapsed="false">
      <c r="B422" s="131"/>
      <c r="D422" s="124"/>
      <c r="E422" s="124"/>
      <c r="F422" s="124"/>
      <c r="G422" s="124"/>
      <c r="I422" s="124"/>
      <c r="P422" s="124"/>
      <c r="Q422" s="124"/>
      <c r="R422" s="124"/>
    </row>
    <row r="423" customFormat="false" ht="12.75" hidden="false" customHeight="false" outlineLevel="0" collapsed="false">
      <c r="B423" s="131"/>
      <c r="D423" s="124"/>
      <c r="E423" s="124"/>
      <c r="F423" s="124"/>
      <c r="G423" s="124"/>
      <c r="I423" s="124"/>
      <c r="P423" s="124"/>
      <c r="Q423" s="124"/>
      <c r="R423" s="124"/>
    </row>
    <row r="424" customFormat="false" ht="12.75" hidden="false" customHeight="false" outlineLevel="0" collapsed="false">
      <c r="B424" s="131"/>
      <c r="D424" s="124"/>
      <c r="E424" s="124"/>
      <c r="F424" s="124"/>
      <c r="G424" s="124"/>
      <c r="I424" s="124"/>
      <c r="P424" s="124"/>
      <c r="Q424" s="124"/>
      <c r="R424" s="124"/>
    </row>
    <row r="425" customFormat="false" ht="12.75" hidden="false" customHeight="false" outlineLevel="0" collapsed="false">
      <c r="B425" s="131"/>
      <c r="D425" s="124"/>
      <c r="E425" s="124"/>
      <c r="F425" s="124"/>
      <c r="G425" s="124"/>
      <c r="I425" s="124"/>
      <c r="P425" s="124"/>
      <c r="Q425" s="124"/>
      <c r="R425" s="124"/>
    </row>
    <row r="426" customFormat="false" ht="12.75" hidden="false" customHeight="false" outlineLevel="0" collapsed="false">
      <c r="B426" s="131"/>
      <c r="D426" s="124"/>
      <c r="E426" s="124"/>
      <c r="F426" s="124"/>
      <c r="G426" s="124"/>
      <c r="I426" s="124"/>
      <c r="P426" s="124"/>
      <c r="Q426" s="124"/>
      <c r="R426" s="124"/>
    </row>
    <row r="427" customFormat="false" ht="12.75" hidden="false" customHeight="false" outlineLevel="0" collapsed="false">
      <c r="B427" s="131"/>
      <c r="D427" s="124"/>
      <c r="E427" s="124"/>
      <c r="F427" s="124"/>
      <c r="G427" s="124"/>
      <c r="I427" s="124"/>
      <c r="P427" s="124"/>
      <c r="Q427" s="124"/>
      <c r="R427" s="124"/>
    </row>
    <row r="428" customFormat="false" ht="12.75" hidden="false" customHeight="false" outlineLevel="0" collapsed="false">
      <c r="B428" s="131"/>
      <c r="D428" s="124"/>
      <c r="E428" s="124"/>
      <c r="F428" s="124"/>
      <c r="G428" s="124"/>
      <c r="I428" s="124"/>
      <c r="P428" s="124"/>
      <c r="Q428" s="124"/>
      <c r="R428" s="124"/>
    </row>
    <row r="429" customFormat="false" ht="12.75" hidden="false" customHeight="false" outlineLevel="0" collapsed="false">
      <c r="B429" s="131"/>
      <c r="D429" s="124"/>
      <c r="E429" s="124"/>
      <c r="F429" s="124"/>
      <c r="G429" s="124"/>
      <c r="I429" s="124"/>
      <c r="P429" s="124"/>
      <c r="Q429" s="124"/>
      <c r="R429" s="124"/>
    </row>
    <row r="430" customFormat="false" ht="12.75" hidden="false" customHeight="false" outlineLevel="0" collapsed="false">
      <c r="B430" s="131"/>
      <c r="D430" s="124"/>
      <c r="E430" s="124"/>
      <c r="F430" s="124"/>
      <c r="G430" s="124"/>
      <c r="I430" s="124"/>
      <c r="P430" s="124"/>
      <c r="Q430" s="124"/>
      <c r="R430" s="124"/>
    </row>
    <row r="431" customFormat="false" ht="12.75" hidden="false" customHeight="false" outlineLevel="0" collapsed="false">
      <c r="B431" s="131"/>
      <c r="D431" s="124"/>
      <c r="E431" s="124"/>
      <c r="F431" s="124"/>
      <c r="G431" s="124"/>
      <c r="I431" s="124"/>
      <c r="P431" s="124"/>
      <c r="Q431" s="124"/>
      <c r="R431" s="124"/>
    </row>
    <row r="432" customFormat="false" ht="12.75" hidden="false" customHeight="false" outlineLevel="0" collapsed="false">
      <c r="B432" s="131"/>
      <c r="D432" s="124"/>
      <c r="E432" s="124"/>
      <c r="F432" s="124"/>
      <c r="G432" s="124"/>
      <c r="I432" s="124"/>
      <c r="P432" s="124"/>
      <c r="Q432" s="124"/>
      <c r="R432" s="124"/>
    </row>
    <row r="433" customFormat="false" ht="12.75" hidden="false" customHeight="false" outlineLevel="0" collapsed="false">
      <c r="B433" s="131"/>
      <c r="D433" s="124"/>
      <c r="E433" s="124"/>
      <c r="F433" s="124"/>
      <c r="G433" s="124"/>
      <c r="I433" s="124"/>
      <c r="P433" s="124"/>
      <c r="Q433" s="124"/>
      <c r="R433" s="124"/>
    </row>
    <row r="434" customFormat="false" ht="12.75" hidden="false" customHeight="false" outlineLevel="0" collapsed="false">
      <c r="B434" s="131"/>
      <c r="D434" s="124"/>
      <c r="E434" s="124"/>
      <c r="F434" s="124"/>
      <c r="G434" s="124"/>
      <c r="I434" s="124"/>
      <c r="P434" s="124"/>
      <c r="Q434" s="124"/>
      <c r="R434" s="124"/>
    </row>
    <row r="435" customFormat="false" ht="12.75" hidden="false" customHeight="false" outlineLevel="0" collapsed="false">
      <c r="B435" s="131"/>
      <c r="D435" s="124"/>
      <c r="E435" s="124"/>
      <c r="F435" s="124"/>
      <c r="G435" s="124"/>
      <c r="I435" s="124"/>
      <c r="P435" s="124"/>
      <c r="Q435" s="124"/>
      <c r="R435" s="124"/>
    </row>
    <row r="436" customFormat="false" ht="12.75" hidden="false" customHeight="false" outlineLevel="0" collapsed="false">
      <c r="B436" s="131"/>
      <c r="D436" s="124"/>
      <c r="E436" s="124"/>
      <c r="F436" s="124"/>
      <c r="G436" s="124"/>
      <c r="I436" s="124"/>
      <c r="P436" s="124"/>
      <c r="Q436" s="124"/>
      <c r="R436" s="124"/>
    </row>
    <row r="437" customFormat="false" ht="12.75" hidden="false" customHeight="false" outlineLevel="0" collapsed="false">
      <c r="B437" s="131"/>
      <c r="D437" s="124"/>
      <c r="E437" s="124"/>
      <c r="F437" s="124"/>
      <c r="G437" s="124"/>
      <c r="I437" s="124"/>
      <c r="P437" s="124"/>
      <c r="Q437" s="124"/>
      <c r="R437" s="124"/>
    </row>
    <row r="438" customFormat="false" ht="12.75" hidden="false" customHeight="false" outlineLevel="0" collapsed="false">
      <c r="B438" s="131"/>
      <c r="D438" s="124"/>
      <c r="E438" s="124"/>
      <c r="F438" s="124"/>
      <c r="G438" s="124"/>
      <c r="I438" s="124"/>
      <c r="P438" s="124"/>
      <c r="Q438" s="124"/>
      <c r="R438" s="124"/>
    </row>
    <row r="439" customFormat="false" ht="12.75" hidden="false" customHeight="false" outlineLevel="0" collapsed="false">
      <c r="B439" s="131"/>
      <c r="D439" s="124"/>
      <c r="E439" s="124"/>
      <c r="F439" s="124"/>
      <c r="G439" s="124"/>
      <c r="I439" s="124"/>
      <c r="P439" s="124"/>
      <c r="Q439" s="124"/>
      <c r="R439" s="124"/>
    </row>
    <row r="440" customFormat="false" ht="12.75" hidden="false" customHeight="false" outlineLevel="0" collapsed="false">
      <c r="B440" s="131"/>
      <c r="D440" s="124"/>
      <c r="E440" s="124"/>
      <c r="F440" s="124"/>
      <c r="G440" s="124"/>
      <c r="I440" s="124"/>
      <c r="P440" s="124"/>
      <c r="Q440" s="124"/>
      <c r="R440" s="124"/>
    </row>
    <row r="441" customFormat="false" ht="12.75" hidden="false" customHeight="false" outlineLevel="0" collapsed="false">
      <c r="B441" s="131"/>
      <c r="D441" s="124"/>
      <c r="E441" s="124"/>
      <c r="F441" s="124"/>
      <c r="G441" s="124"/>
      <c r="I441" s="124"/>
      <c r="P441" s="124"/>
      <c r="Q441" s="124"/>
      <c r="R441" s="124"/>
    </row>
    <row r="442" customFormat="false" ht="12.75" hidden="false" customHeight="false" outlineLevel="0" collapsed="false">
      <c r="B442" s="131"/>
      <c r="D442" s="124"/>
      <c r="E442" s="124"/>
      <c r="F442" s="124"/>
      <c r="G442" s="124"/>
      <c r="I442" s="124"/>
      <c r="P442" s="124"/>
      <c r="Q442" s="124"/>
      <c r="R442" s="124"/>
    </row>
    <row r="443" customFormat="false" ht="12.75" hidden="false" customHeight="false" outlineLevel="0" collapsed="false">
      <c r="B443" s="131"/>
      <c r="D443" s="124"/>
      <c r="E443" s="124"/>
      <c r="F443" s="124"/>
      <c r="G443" s="124"/>
      <c r="I443" s="124"/>
      <c r="P443" s="124"/>
      <c r="Q443" s="124"/>
      <c r="R443" s="124"/>
    </row>
    <row r="444" customFormat="false" ht="12.75" hidden="false" customHeight="false" outlineLevel="0" collapsed="false">
      <c r="B444" s="131"/>
      <c r="D444" s="124"/>
      <c r="E444" s="124"/>
      <c r="F444" s="124"/>
      <c r="G444" s="124"/>
      <c r="I444" s="124"/>
      <c r="P444" s="124"/>
      <c r="Q444" s="124"/>
      <c r="R444" s="124"/>
    </row>
    <row r="445" customFormat="false" ht="12.75" hidden="false" customHeight="false" outlineLevel="0" collapsed="false">
      <c r="B445" s="131"/>
      <c r="D445" s="124"/>
      <c r="E445" s="124"/>
      <c r="F445" s="124"/>
      <c r="G445" s="124"/>
      <c r="I445" s="124"/>
      <c r="P445" s="124"/>
      <c r="Q445" s="124"/>
      <c r="R445" s="124"/>
    </row>
    <row r="446" customFormat="false" ht="12.75" hidden="false" customHeight="false" outlineLevel="0" collapsed="false">
      <c r="B446" s="131"/>
      <c r="D446" s="124"/>
      <c r="E446" s="124"/>
      <c r="F446" s="124"/>
      <c r="G446" s="124"/>
      <c r="I446" s="124"/>
      <c r="P446" s="124"/>
      <c r="Q446" s="124"/>
      <c r="R446" s="124"/>
    </row>
    <row r="447" customFormat="false" ht="12.75" hidden="false" customHeight="false" outlineLevel="0" collapsed="false">
      <c r="B447" s="131"/>
      <c r="D447" s="124"/>
      <c r="E447" s="124"/>
      <c r="F447" s="124"/>
      <c r="G447" s="124"/>
      <c r="I447" s="124"/>
      <c r="P447" s="124"/>
      <c r="Q447" s="124"/>
      <c r="R447" s="124"/>
    </row>
    <row r="448" customFormat="false" ht="12.75" hidden="false" customHeight="false" outlineLevel="0" collapsed="false">
      <c r="B448" s="131"/>
      <c r="D448" s="124"/>
      <c r="E448" s="124"/>
      <c r="F448" s="124"/>
      <c r="G448" s="124"/>
      <c r="I448" s="124"/>
      <c r="P448" s="124"/>
      <c r="Q448" s="124"/>
      <c r="R448" s="124"/>
    </row>
    <row r="449" customFormat="false" ht="12.75" hidden="false" customHeight="false" outlineLevel="0" collapsed="false">
      <c r="B449" s="131"/>
      <c r="D449" s="124"/>
      <c r="E449" s="124"/>
      <c r="F449" s="124"/>
      <c r="G449" s="124"/>
      <c r="I449" s="124"/>
      <c r="P449" s="124"/>
      <c r="Q449" s="124"/>
      <c r="R449" s="124"/>
    </row>
    <row r="450" customFormat="false" ht="12.75" hidden="false" customHeight="false" outlineLevel="0" collapsed="false">
      <c r="B450" s="131"/>
      <c r="D450" s="124"/>
      <c r="E450" s="124"/>
      <c r="F450" s="124"/>
      <c r="G450" s="124"/>
      <c r="I450" s="124"/>
      <c r="P450" s="124"/>
      <c r="Q450" s="124"/>
      <c r="R450" s="124"/>
    </row>
    <row r="451" customFormat="false" ht="12.75" hidden="false" customHeight="false" outlineLevel="0" collapsed="false">
      <c r="B451" s="131"/>
      <c r="D451" s="124"/>
      <c r="E451" s="124"/>
      <c r="F451" s="124"/>
      <c r="G451" s="124"/>
      <c r="I451" s="124"/>
      <c r="P451" s="124"/>
      <c r="Q451" s="124"/>
      <c r="R451" s="124"/>
    </row>
    <row r="452" customFormat="false" ht="12.75" hidden="false" customHeight="false" outlineLevel="0" collapsed="false">
      <c r="B452" s="131"/>
      <c r="D452" s="124"/>
      <c r="E452" s="124"/>
      <c r="F452" s="124"/>
      <c r="G452" s="124"/>
      <c r="I452" s="124"/>
      <c r="P452" s="124"/>
      <c r="Q452" s="124"/>
      <c r="R452" s="124"/>
    </row>
    <row r="453" customFormat="false" ht="12.75" hidden="false" customHeight="false" outlineLevel="0" collapsed="false">
      <c r="B453" s="131"/>
      <c r="D453" s="124"/>
      <c r="E453" s="124"/>
      <c r="F453" s="124"/>
      <c r="G453" s="124"/>
      <c r="I453" s="124"/>
      <c r="P453" s="124"/>
      <c r="Q453" s="124"/>
      <c r="R453" s="124"/>
    </row>
    <row r="454" customFormat="false" ht="12.75" hidden="false" customHeight="false" outlineLevel="0" collapsed="false">
      <c r="B454" s="131"/>
      <c r="D454" s="124"/>
      <c r="E454" s="124"/>
      <c r="F454" s="124"/>
      <c r="G454" s="124"/>
      <c r="I454" s="124"/>
      <c r="P454" s="124"/>
      <c r="Q454" s="124"/>
      <c r="R454" s="124"/>
    </row>
    <row r="455" customFormat="false" ht="12.75" hidden="false" customHeight="false" outlineLevel="0" collapsed="false">
      <c r="B455" s="131"/>
      <c r="D455" s="124"/>
      <c r="E455" s="124"/>
      <c r="F455" s="124"/>
      <c r="G455" s="124"/>
      <c r="I455" s="124"/>
      <c r="P455" s="124"/>
      <c r="Q455" s="124"/>
      <c r="R455" s="124"/>
    </row>
    <row r="456" customFormat="false" ht="12.75" hidden="false" customHeight="false" outlineLevel="0" collapsed="false">
      <c r="B456" s="131"/>
      <c r="D456" s="124"/>
      <c r="E456" s="124"/>
      <c r="F456" s="124"/>
      <c r="G456" s="124"/>
      <c r="I456" s="124"/>
      <c r="P456" s="124"/>
      <c r="Q456" s="124"/>
      <c r="R456" s="124"/>
    </row>
    <row r="457" customFormat="false" ht="12.75" hidden="false" customHeight="false" outlineLevel="0" collapsed="false">
      <c r="B457" s="131"/>
      <c r="D457" s="124"/>
      <c r="E457" s="124"/>
      <c r="F457" s="124"/>
      <c r="G457" s="124"/>
      <c r="I457" s="124"/>
      <c r="P457" s="124"/>
      <c r="Q457" s="124"/>
      <c r="R457" s="124"/>
    </row>
    <row r="458" customFormat="false" ht="12.75" hidden="false" customHeight="false" outlineLevel="0" collapsed="false">
      <c r="B458" s="131"/>
      <c r="D458" s="124"/>
      <c r="E458" s="124"/>
      <c r="F458" s="124"/>
      <c r="G458" s="124"/>
      <c r="I458" s="124"/>
      <c r="P458" s="124"/>
      <c r="Q458" s="124"/>
      <c r="R458" s="124"/>
    </row>
    <row r="459" customFormat="false" ht="12.75" hidden="false" customHeight="false" outlineLevel="0" collapsed="false">
      <c r="B459" s="131"/>
      <c r="D459" s="124"/>
      <c r="E459" s="124"/>
      <c r="F459" s="124"/>
      <c r="G459" s="124"/>
      <c r="I459" s="124"/>
      <c r="P459" s="124"/>
      <c r="Q459" s="124"/>
      <c r="R459" s="124"/>
    </row>
    <row r="460" customFormat="false" ht="12.75" hidden="false" customHeight="false" outlineLevel="0" collapsed="false">
      <c r="B460" s="131"/>
      <c r="D460" s="124"/>
      <c r="E460" s="124"/>
      <c r="F460" s="124"/>
      <c r="G460" s="124"/>
      <c r="I460" s="124"/>
      <c r="P460" s="124"/>
      <c r="Q460" s="124"/>
      <c r="R460" s="124"/>
    </row>
    <row r="461" customFormat="false" ht="12.75" hidden="false" customHeight="false" outlineLevel="0" collapsed="false">
      <c r="B461" s="131"/>
      <c r="D461" s="124"/>
      <c r="E461" s="124"/>
      <c r="F461" s="124"/>
      <c r="G461" s="124"/>
      <c r="I461" s="124"/>
      <c r="P461" s="124"/>
      <c r="Q461" s="124"/>
      <c r="R461" s="124"/>
    </row>
    <row r="462" customFormat="false" ht="12.75" hidden="false" customHeight="false" outlineLevel="0" collapsed="false">
      <c r="B462" s="131"/>
      <c r="D462" s="124"/>
      <c r="E462" s="124"/>
      <c r="F462" s="124"/>
      <c r="G462" s="124"/>
      <c r="I462" s="124"/>
      <c r="P462" s="124"/>
      <c r="Q462" s="124"/>
      <c r="R462" s="124"/>
    </row>
    <row r="463" customFormat="false" ht="12.75" hidden="false" customHeight="false" outlineLevel="0" collapsed="false">
      <c r="B463" s="131"/>
      <c r="D463" s="124"/>
      <c r="E463" s="124"/>
      <c r="F463" s="124"/>
      <c r="G463" s="124"/>
      <c r="I463" s="124"/>
      <c r="P463" s="124"/>
      <c r="Q463" s="124"/>
      <c r="R463" s="124"/>
    </row>
    <row r="464" customFormat="false" ht="12.75" hidden="false" customHeight="false" outlineLevel="0" collapsed="false">
      <c r="B464" s="131"/>
      <c r="D464" s="124"/>
      <c r="E464" s="124"/>
      <c r="F464" s="124"/>
      <c r="G464" s="124"/>
      <c r="I464" s="124"/>
      <c r="P464" s="124"/>
      <c r="Q464" s="124"/>
      <c r="R464" s="124"/>
    </row>
    <row r="465" customFormat="false" ht="12.75" hidden="false" customHeight="false" outlineLevel="0" collapsed="false">
      <c r="B465" s="131"/>
      <c r="D465" s="124"/>
      <c r="E465" s="124"/>
      <c r="F465" s="124"/>
      <c r="G465" s="124"/>
      <c r="I465" s="124"/>
      <c r="P465" s="124"/>
      <c r="Q465" s="124"/>
      <c r="R465" s="124"/>
    </row>
    <row r="466" customFormat="false" ht="12.75" hidden="false" customHeight="false" outlineLevel="0" collapsed="false">
      <c r="B466" s="131"/>
      <c r="D466" s="124"/>
      <c r="E466" s="124"/>
      <c r="F466" s="124"/>
      <c r="G466" s="124"/>
      <c r="I466" s="124"/>
      <c r="P466" s="124"/>
      <c r="Q466" s="124"/>
      <c r="R466" s="124"/>
    </row>
    <row r="467" customFormat="false" ht="12.75" hidden="false" customHeight="false" outlineLevel="0" collapsed="false">
      <c r="B467" s="131"/>
      <c r="D467" s="124"/>
      <c r="E467" s="124"/>
      <c r="F467" s="124"/>
      <c r="G467" s="124"/>
      <c r="I467" s="124"/>
      <c r="P467" s="124"/>
      <c r="Q467" s="124"/>
      <c r="R467" s="124"/>
    </row>
    <row r="468" customFormat="false" ht="12.75" hidden="false" customHeight="false" outlineLevel="0" collapsed="false">
      <c r="B468" s="131"/>
      <c r="D468" s="124"/>
      <c r="E468" s="124"/>
      <c r="F468" s="124"/>
      <c r="G468" s="124"/>
      <c r="I468" s="124"/>
      <c r="P468" s="124"/>
      <c r="Q468" s="124"/>
      <c r="R468" s="124"/>
    </row>
    <row r="469" customFormat="false" ht="12.75" hidden="false" customHeight="false" outlineLevel="0" collapsed="false">
      <c r="B469" s="131"/>
      <c r="D469" s="124"/>
      <c r="E469" s="124"/>
      <c r="F469" s="124"/>
      <c r="G469" s="124"/>
      <c r="I469" s="124"/>
      <c r="P469" s="124"/>
      <c r="Q469" s="124"/>
      <c r="R469" s="124"/>
    </row>
    <row r="470" customFormat="false" ht="12.75" hidden="false" customHeight="false" outlineLevel="0" collapsed="false">
      <c r="B470" s="131"/>
      <c r="D470" s="124"/>
      <c r="E470" s="124"/>
      <c r="F470" s="124"/>
      <c r="G470" s="124"/>
      <c r="I470" s="124"/>
      <c r="P470" s="124"/>
      <c r="Q470" s="124"/>
      <c r="R470" s="124"/>
    </row>
    <row r="471" customFormat="false" ht="12.75" hidden="false" customHeight="false" outlineLevel="0" collapsed="false">
      <c r="B471" s="131"/>
      <c r="D471" s="124"/>
      <c r="E471" s="124"/>
      <c r="F471" s="124"/>
      <c r="G471" s="124"/>
      <c r="I471" s="124"/>
      <c r="P471" s="124"/>
      <c r="Q471" s="124"/>
      <c r="R471" s="124"/>
    </row>
    <row r="472" customFormat="false" ht="12.75" hidden="false" customHeight="false" outlineLevel="0" collapsed="false">
      <c r="B472" s="131"/>
      <c r="D472" s="124"/>
      <c r="E472" s="124"/>
      <c r="F472" s="124"/>
      <c r="G472" s="124"/>
      <c r="I472" s="124"/>
      <c r="P472" s="124"/>
      <c r="Q472" s="124"/>
      <c r="R472" s="124"/>
    </row>
    <row r="473" customFormat="false" ht="12.75" hidden="false" customHeight="false" outlineLevel="0" collapsed="false">
      <c r="B473" s="131"/>
      <c r="D473" s="124"/>
      <c r="E473" s="124"/>
      <c r="F473" s="124"/>
      <c r="G473" s="124"/>
      <c r="I473" s="124"/>
      <c r="P473" s="124"/>
      <c r="Q473" s="124"/>
      <c r="R473" s="124"/>
    </row>
    <row r="474" customFormat="false" ht="12.75" hidden="false" customHeight="false" outlineLevel="0" collapsed="false">
      <c r="B474" s="131"/>
      <c r="D474" s="124"/>
      <c r="E474" s="124"/>
      <c r="F474" s="124"/>
      <c r="G474" s="124"/>
      <c r="I474" s="124"/>
      <c r="P474" s="124"/>
      <c r="Q474" s="124"/>
      <c r="R474" s="124"/>
    </row>
    <row r="475" customFormat="false" ht="12.75" hidden="false" customHeight="false" outlineLevel="0" collapsed="false">
      <c r="B475" s="131"/>
      <c r="D475" s="124"/>
      <c r="E475" s="124"/>
      <c r="F475" s="124"/>
      <c r="G475" s="124"/>
      <c r="I475" s="124"/>
      <c r="P475" s="124"/>
      <c r="Q475" s="124"/>
      <c r="R475" s="124"/>
    </row>
    <row r="476" customFormat="false" ht="12.75" hidden="false" customHeight="false" outlineLevel="0" collapsed="false">
      <c r="B476" s="131"/>
      <c r="D476" s="124"/>
      <c r="E476" s="124"/>
      <c r="F476" s="124"/>
      <c r="G476" s="124"/>
      <c r="I476" s="124"/>
      <c r="P476" s="124"/>
      <c r="Q476" s="124"/>
      <c r="R476" s="124"/>
    </row>
    <row r="477" customFormat="false" ht="12.75" hidden="false" customHeight="false" outlineLevel="0" collapsed="false">
      <c r="B477" s="131"/>
      <c r="D477" s="124"/>
      <c r="E477" s="124"/>
      <c r="F477" s="124"/>
      <c r="G477" s="124"/>
      <c r="I477" s="124"/>
      <c r="P477" s="124"/>
      <c r="Q477" s="124"/>
      <c r="R477" s="124"/>
    </row>
    <row r="478" customFormat="false" ht="12.75" hidden="false" customHeight="false" outlineLevel="0" collapsed="false">
      <c r="B478" s="131"/>
      <c r="D478" s="124"/>
      <c r="E478" s="124"/>
      <c r="F478" s="124"/>
      <c r="G478" s="124"/>
      <c r="I478" s="124"/>
      <c r="P478" s="124"/>
      <c r="Q478" s="124"/>
      <c r="R478" s="124"/>
    </row>
    <row r="479" customFormat="false" ht="12.75" hidden="false" customHeight="false" outlineLevel="0" collapsed="false">
      <c r="B479" s="131"/>
      <c r="D479" s="124"/>
      <c r="E479" s="124"/>
      <c r="F479" s="124"/>
      <c r="G479" s="124"/>
      <c r="I479" s="124"/>
      <c r="P479" s="124"/>
      <c r="Q479" s="124"/>
      <c r="R479" s="124"/>
    </row>
    <row r="480" customFormat="false" ht="12.75" hidden="false" customHeight="false" outlineLevel="0" collapsed="false">
      <c r="B480" s="131"/>
      <c r="D480" s="124"/>
      <c r="E480" s="124"/>
      <c r="F480" s="124"/>
      <c r="G480" s="124"/>
      <c r="I480" s="124"/>
      <c r="P480" s="124"/>
      <c r="Q480" s="124"/>
      <c r="R480" s="124"/>
    </row>
    <row r="481" customFormat="false" ht="12.75" hidden="false" customHeight="false" outlineLevel="0" collapsed="false">
      <c r="B481" s="131"/>
      <c r="D481" s="124"/>
      <c r="E481" s="124"/>
      <c r="F481" s="124"/>
      <c r="G481" s="124"/>
      <c r="I481" s="124"/>
      <c r="P481" s="124"/>
      <c r="Q481" s="124"/>
      <c r="R481" s="124"/>
    </row>
    <row r="482" customFormat="false" ht="12.75" hidden="false" customHeight="false" outlineLevel="0" collapsed="false">
      <c r="B482" s="131"/>
      <c r="D482" s="124"/>
      <c r="E482" s="124"/>
      <c r="F482" s="124"/>
      <c r="G482" s="124"/>
      <c r="I482" s="124"/>
      <c r="P482" s="124"/>
      <c r="Q482" s="124"/>
      <c r="R482" s="124"/>
    </row>
    <row r="483" customFormat="false" ht="12.75" hidden="false" customHeight="false" outlineLevel="0" collapsed="false">
      <c r="B483" s="131"/>
      <c r="D483" s="124"/>
      <c r="E483" s="124"/>
      <c r="F483" s="124"/>
      <c r="G483" s="124"/>
      <c r="I483" s="124"/>
      <c r="P483" s="124"/>
      <c r="Q483" s="124"/>
      <c r="R483" s="124"/>
    </row>
    <row r="484" customFormat="false" ht="12.75" hidden="false" customHeight="false" outlineLevel="0" collapsed="false">
      <c r="B484" s="131"/>
      <c r="D484" s="124"/>
      <c r="E484" s="124"/>
      <c r="F484" s="124"/>
      <c r="G484" s="124"/>
      <c r="I484" s="124"/>
      <c r="P484" s="124"/>
      <c r="Q484" s="124"/>
      <c r="R484" s="124"/>
    </row>
    <row r="485" customFormat="false" ht="12.75" hidden="false" customHeight="false" outlineLevel="0" collapsed="false">
      <c r="B485" s="131"/>
      <c r="D485" s="124"/>
      <c r="E485" s="124"/>
      <c r="F485" s="124"/>
      <c r="G485" s="124"/>
      <c r="I485" s="124"/>
      <c r="P485" s="124"/>
      <c r="Q485" s="124"/>
      <c r="R485" s="124"/>
    </row>
    <row r="486" customFormat="false" ht="12.75" hidden="false" customHeight="false" outlineLevel="0" collapsed="false">
      <c r="B486" s="131"/>
      <c r="D486" s="124"/>
      <c r="E486" s="124"/>
      <c r="F486" s="124"/>
      <c r="G486" s="124"/>
      <c r="I486" s="124"/>
      <c r="P486" s="124"/>
      <c r="Q486" s="124"/>
      <c r="R486" s="124"/>
    </row>
    <row r="487" customFormat="false" ht="12.75" hidden="false" customHeight="false" outlineLevel="0" collapsed="false">
      <c r="B487" s="131"/>
      <c r="D487" s="124"/>
      <c r="E487" s="124"/>
      <c r="F487" s="124"/>
      <c r="G487" s="124"/>
      <c r="I487" s="124"/>
      <c r="P487" s="124"/>
      <c r="Q487" s="124"/>
      <c r="R487" s="124"/>
    </row>
    <row r="488" customFormat="false" ht="12.75" hidden="false" customHeight="false" outlineLevel="0" collapsed="false">
      <c r="B488" s="131"/>
      <c r="D488" s="124"/>
      <c r="E488" s="124"/>
      <c r="F488" s="124"/>
      <c r="G488" s="124"/>
      <c r="I488" s="124"/>
      <c r="P488" s="124"/>
      <c r="Q488" s="124"/>
      <c r="R488" s="124"/>
    </row>
    <row r="489" customFormat="false" ht="12.75" hidden="false" customHeight="false" outlineLevel="0" collapsed="false">
      <c r="B489" s="131"/>
      <c r="D489" s="124"/>
      <c r="E489" s="124"/>
      <c r="F489" s="124"/>
      <c r="G489" s="124"/>
      <c r="I489" s="124"/>
      <c r="P489" s="124"/>
      <c r="Q489" s="124"/>
      <c r="R489" s="124"/>
    </row>
    <row r="490" customFormat="false" ht="12.75" hidden="false" customHeight="false" outlineLevel="0" collapsed="false">
      <c r="B490" s="131"/>
      <c r="D490" s="124"/>
      <c r="E490" s="124"/>
      <c r="F490" s="124"/>
      <c r="G490" s="124"/>
      <c r="I490" s="124"/>
      <c r="P490" s="124"/>
      <c r="Q490" s="124"/>
      <c r="R490" s="124"/>
    </row>
    <row r="491" customFormat="false" ht="12.75" hidden="false" customHeight="false" outlineLevel="0" collapsed="false">
      <c r="B491" s="131"/>
      <c r="D491" s="124"/>
      <c r="E491" s="124"/>
      <c r="F491" s="124"/>
      <c r="G491" s="124"/>
      <c r="I491" s="124"/>
      <c r="P491" s="124"/>
      <c r="Q491" s="124"/>
      <c r="R491" s="124"/>
    </row>
    <row r="492" customFormat="false" ht="12.75" hidden="false" customHeight="false" outlineLevel="0" collapsed="false">
      <c r="B492" s="131"/>
      <c r="D492" s="124"/>
      <c r="E492" s="124"/>
      <c r="F492" s="124"/>
      <c r="G492" s="124"/>
      <c r="I492" s="124"/>
      <c r="P492" s="124"/>
      <c r="Q492" s="124"/>
      <c r="R492" s="124"/>
    </row>
    <row r="493" customFormat="false" ht="12.75" hidden="false" customHeight="false" outlineLevel="0" collapsed="false">
      <c r="B493" s="131"/>
      <c r="D493" s="124"/>
      <c r="E493" s="124"/>
      <c r="F493" s="124"/>
      <c r="G493" s="124"/>
      <c r="I493" s="124"/>
      <c r="P493" s="124"/>
      <c r="Q493" s="124"/>
      <c r="R493" s="124"/>
    </row>
    <row r="494" customFormat="false" ht="12.75" hidden="false" customHeight="false" outlineLevel="0" collapsed="false">
      <c r="B494" s="131"/>
      <c r="D494" s="124"/>
      <c r="E494" s="124"/>
      <c r="F494" s="124"/>
      <c r="G494" s="124"/>
      <c r="I494" s="124"/>
      <c r="P494" s="124"/>
      <c r="Q494" s="124"/>
      <c r="R494" s="124"/>
    </row>
    <row r="495" customFormat="false" ht="12.75" hidden="false" customHeight="false" outlineLevel="0" collapsed="false">
      <c r="B495" s="131"/>
      <c r="D495" s="124"/>
      <c r="E495" s="124"/>
      <c r="F495" s="124"/>
      <c r="G495" s="124"/>
      <c r="I495" s="124"/>
      <c r="P495" s="124"/>
      <c r="Q495" s="124"/>
      <c r="R495" s="124"/>
    </row>
    <row r="496" customFormat="false" ht="12.75" hidden="false" customHeight="false" outlineLevel="0" collapsed="false">
      <c r="B496" s="131"/>
      <c r="D496" s="124"/>
      <c r="E496" s="124"/>
      <c r="F496" s="124"/>
      <c r="G496" s="124"/>
      <c r="I496" s="124"/>
      <c r="P496" s="124"/>
      <c r="Q496" s="124"/>
      <c r="R496" s="124"/>
    </row>
    <row r="497" customFormat="false" ht="12.75" hidden="false" customHeight="false" outlineLevel="0" collapsed="false">
      <c r="B497" s="131"/>
      <c r="D497" s="124"/>
      <c r="E497" s="124"/>
      <c r="F497" s="124"/>
      <c r="G497" s="124"/>
      <c r="I497" s="124"/>
      <c r="P497" s="124"/>
      <c r="Q497" s="124"/>
      <c r="R497" s="124"/>
    </row>
    <row r="498" customFormat="false" ht="12.75" hidden="false" customHeight="false" outlineLevel="0" collapsed="false">
      <c r="B498" s="131"/>
      <c r="D498" s="124"/>
      <c r="E498" s="124"/>
      <c r="F498" s="124"/>
      <c r="G498" s="124"/>
      <c r="I498" s="124"/>
      <c r="P498" s="124"/>
      <c r="Q498" s="124"/>
      <c r="R498" s="124"/>
    </row>
    <row r="499" customFormat="false" ht="12.75" hidden="false" customHeight="false" outlineLevel="0" collapsed="false">
      <c r="B499" s="131"/>
      <c r="D499" s="124"/>
      <c r="E499" s="124"/>
      <c r="F499" s="124"/>
      <c r="G499" s="124"/>
      <c r="I499" s="124"/>
      <c r="P499" s="124"/>
      <c r="Q499" s="124"/>
      <c r="R499" s="124"/>
    </row>
    <row r="500" customFormat="false" ht="12.75" hidden="false" customHeight="false" outlineLevel="0" collapsed="false">
      <c r="B500" s="131"/>
      <c r="D500" s="124"/>
      <c r="E500" s="124"/>
      <c r="F500" s="124"/>
      <c r="G500" s="124"/>
      <c r="I500" s="124"/>
      <c r="P500" s="124"/>
      <c r="Q500" s="124"/>
      <c r="R500" s="124"/>
    </row>
    <row r="501" customFormat="false" ht="12.75" hidden="false" customHeight="false" outlineLevel="0" collapsed="false">
      <c r="B501" s="131"/>
      <c r="D501" s="124"/>
      <c r="E501" s="124"/>
      <c r="F501" s="124"/>
      <c r="G501" s="124"/>
      <c r="I501" s="124"/>
      <c r="P501" s="124"/>
      <c r="Q501" s="124"/>
      <c r="R501" s="124"/>
    </row>
    <row r="502" customFormat="false" ht="12.75" hidden="false" customHeight="false" outlineLevel="0" collapsed="false">
      <c r="B502" s="131"/>
      <c r="D502" s="124"/>
      <c r="E502" s="124"/>
      <c r="F502" s="124"/>
      <c r="G502" s="124"/>
      <c r="I502" s="124"/>
      <c r="P502" s="124"/>
      <c r="Q502" s="124"/>
      <c r="R502" s="124"/>
    </row>
    <row r="503" customFormat="false" ht="12.75" hidden="false" customHeight="false" outlineLevel="0" collapsed="false">
      <c r="B503" s="131"/>
      <c r="D503" s="124"/>
      <c r="E503" s="124"/>
      <c r="F503" s="124"/>
      <c r="G503" s="124"/>
      <c r="I503" s="124"/>
      <c r="P503" s="124"/>
      <c r="Q503" s="124"/>
      <c r="R503" s="124"/>
    </row>
    <row r="504" customFormat="false" ht="12.75" hidden="false" customHeight="false" outlineLevel="0" collapsed="false">
      <c r="B504" s="131"/>
      <c r="D504" s="124"/>
      <c r="E504" s="124"/>
      <c r="F504" s="124"/>
      <c r="G504" s="124"/>
      <c r="I504" s="124"/>
      <c r="P504" s="124"/>
      <c r="Q504" s="124"/>
      <c r="R504" s="124"/>
    </row>
    <row r="505" customFormat="false" ht="12.75" hidden="false" customHeight="false" outlineLevel="0" collapsed="false">
      <c r="B505" s="131"/>
      <c r="D505" s="124"/>
      <c r="E505" s="124"/>
      <c r="F505" s="124"/>
      <c r="G505" s="124"/>
      <c r="I505" s="124"/>
      <c r="P505" s="124"/>
      <c r="Q505" s="124"/>
      <c r="R505" s="124"/>
    </row>
    <row r="506" customFormat="false" ht="12.75" hidden="false" customHeight="false" outlineLevel="0" collapsed="false">
      <c r="B506" s="131"/>
      <c r="D506" s="124"/>
      <c r="E506" s="124"/>
      <c r="F506" s="124"/>
      <c r="G506" s="124"/>
      <c r="I506" s="124"/>
      <c r="P506" s="124"/>
      <c r="Q506" s="124"/>
      <c r="R506" s="124"/>
    </row>
    <row r="507" customFormat="false" ht="12.75" hidden="false" customHeight="false" outlineLevel="0" collapsed="false">
      <c r="B507" s="131"/>
      <c r="D507" s="124"/>
      <c r="E507" s="124"/>
      <c r="F507" s="124"/>
      <c r="G507" s="124"/>
      <c r="I507" s="124"/>
      <c r="P507" s="124"/>
      <c r="Q507" s="124"/>
      <c r="R507" s="124"/>
    </row>
    <row r="508" customFormat="false" ht="12.75" hidden="false" customHeight="false" outlineLevel="0" collapsed="false">
      <c r="B508" s="131"/>
      <c r="D508" s="124"/>
      <c r="E508" s="124"/>
      <c r="F508" s="124"/>
      <c r="G508" s="124"/>
      <c r="I508" s="124"/>
      <c r="P508" s="124"/>
      <c r="Q508" s="124"/>
      <c r="R508" s="124"/>
    </row>
    <row r="509" customFormat="false" ht="12.75" hidden="false" customHeight="false" outlineLevel="0" collapsed="false">
      <c r="B509" s="131"/>
      <c r="D509" s="124"/>
      <c r="E509" s="124"/>
      <c r="F509" s="124"/>
      <c r="G509" s="124"/>
      <c r="I509" s="124"/>
      <c r="P509" s="124"/>
      <c r="Q509" s="124"/>
      <c r="R509" s="124"/>
    </row>
    <row r="510" customFormat="false" ht="12.75" hidden="false" customHeight="false" outlineLevel="0" collapsed="false">
      <c r="B510" s="131"/>
      <c r="D510" s="124"/>
      <c r="E510" s="124"/>
      <c r="F510" s="124"/>
      <c r="G510" s="124"/>
      <c r="I510" s="124"/>
      <c r="P510" s="124"/>
      <c r="Q510" s="124"/>
      <c r="R510" s="124"/>
    </row>
    <row r="511" customFormat="false" ht="12.75" hidden="false" customHeight="false" outlineLevel="0" collapsed="false">
      <c r="B511" s="131"/>
      <c r="D511" s="124"/>
      <c r="E511" s="124"/>
      <c r="F511" s="124"/>
      <c r="G511" s="124"/>
      <c r="I511" s="124"/>
      <c r="P511" s="124"/>
      <c r="Q511" s="124"/>
      <c r="R511" s="124"/>
    </row>
    <row r="512" customFormat="false" ht="12.75" hidden="false" customHeight="false" outlineLevel="0" collapsed="false">
      <c r="B512" s="131"/>
      <c r="D512" s="124"/>
      <c r="E512" s="124"/>
      <c r="F512" s="124"/>
      <c r="G512" s="124"/>
      <c r="I512" s="124"/>
      <c r="P512" s="124"/>
      <c r="Q512" s="124"/>
      <c r="R512" s="124"/>
    </row>
    <row r="513" customFormat="false" ht="12.75" hidden="false" customHeight="false" outlineLevel="0" collapsed="false">
      <c r="B513" s="131"/>
      <c r="D513" s="124"/>
      <c r="E513" s="124"/>
      <c r="F513" s="124"/>
      <c r="G513" s="124"/>
      <c r="I513" s="124"/>
      <c r="P513" s="124"/>
      <c r="Q513" s="124"/>
      <c r="R513" s="124"/>
    </row>
    <row r="514" customFormat="false" ht="12.75" hidden="false" customHeight="false" outlineLevel="0" collapsed="false">
      <c r="B514" s="131"/>
      <c r="D514" s="124"/>
      <c r="E514" s="124"/>
      <c r="F514" s="124"/>
      <c r="G514" s="124"/>
      <c r="I514" s="124"/>
      <c r="P514" s="124"/>
      <c r="Q514" s="124"/>
      <c r="R514" s="124"/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310" activeCellId="0" sqref="B310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20" width="7.28"/>
    <col collapsed="false" customWidth="true" hidden="false" outlineLevel="0" max="2" min="2" style="121" width="4.14"/>
    <col collapsed="false" customWidth="true" hidden="false" outlineLevel="0" max="3" min="3" style="122" width="2.7"/>
    <col collapsed="false" customWidth="true" hidden="false" outlineLevel="0" max="7" min="4" style="121" width="14.99"/>
    <col collapsed="false" customWidth="true" hidden="false" outlineLevel="0" max="8" min="8" style="122" width="2.7"/>
    <col collapsed="false" customWidth="true" hidden="false" outlineLevel="0" max="9" min="9" style="123" width="13.14"/>
    <col collapsed="false" customWidth="true" hidden="false" outlineLevel="0" max="10" min="10" style="124" width="13.14"/>
    <col collapsed="false" customWidth="true" hidden="false" outlineLevel="0" max="11" min="11" style="124" width="10.99"/>
    <col collapsed="false" customWidth="true" hidden="false" outlineLevel="0" max="14" min="12" style="124" width="13.14"/>
    <col collapsed="false" customWidth="true" hidden="false" outlineLevel="0" max="15" min="15" style="125" width="2.7"/>
    <col collapsed="false" customWidth="true" hidden="false" outlineLevel="0" max="18" min="16" style="121" width="16.13"/>
    <col collapsed="false" customWidth="true" hidden="false" outlineLevel="0" max="23" min="19" style="126" width="12.7"/>
    <col collapsed="false" customWidth="false" hidden="false" outlineLevel="0" max="257" min="24" style="121" width="9.14"/>
  </cols>
  <sheetData>
    <row r="1" customFormat="false" ht="12.75" hidden="false" customHeight="false" outlineLevel="0" collapsed="false">
      <c r="A1" s="127" t="n">
        <v>1</v>
      </c>
      <c r="B1" s="121" t="n">
        <f aca="false">+A1+1</f>
        <v>2</v>
      </c>
      <c r="C1" s="122" t="n">
        <f aca="false">+B1+1</f>
        <v>3</v>
      </c>
      <c r="D1" s="121" t="n">
        <f aca="false">+C1+1</f>
        <v>4</v>
      </c>
      <c r="E1" s="121" t="n">
        <f aca="false">+D1+1</f>
        <v>5</v>
      </c>
      <c r="F1" s="121" t="n">
        <f aca="false">+E1+1</f>
        <v>6</v>
      </c>
      <c r="G1" s="121" t="n">
        <f aca="false">+F1+1</f>
        <v>7</v>
      </c>
      <c r="H1" s="122" t="n">
        <f aca="false">+G1+1</f>
        <v>8</v>
      </c>
      <c r="I1" s="123" t="n">
        <f aca="false">+H1+1</f>
        <v>9</v>
      </c>
      <c r="J1" s="124" t="n">
        <f aca="false">+I1+1</f>
        <v>10</v>
      </c>
      <c r="K1" s="124" t="n">
        <f aca="false">+J1+1</f>
        <v>11</v>
      </c>
      <c r="L1" s="124" t="n">
        <f aca="false">+K1+1</f>
        <v>12</v>
      </c>
      <c r="M1" s="124" t="n">
        <f aca="false">+L1+1</f>
        <v>13</v>
      </c>
      <c r="N1" s="124" t="n">
        <f aca="false">+M1+1</f>
        <v>14</v>
      </c>
      <c r="O1" s="125" t="n">
        <f aca="false">+N1+1</f>
        <v>15</v>
      </c>
      <c r="P1" s="121" t="n">
        <f aca="false">+O1+1</f>
        <v>16</v>
      </c>
      <c r="Q1" s="121" t="n">
        <f aca="false">+P1+1</f>
        <v>17</v>
      </c>
      <c r="R1" s="121" t="n">
        <f aca="false">+Q1+1</f>
        <v>18</v>
      </c>
      <c r="S1" s="121" t="n">
        <f aca="false">+R1+1</f>
        <v>19</v>
      </c>
      <c r="T1" s="121" t="n">
        <f aca="false">+S1+1</f>
        <v>20</v>
      </c>
      <c r="U1" s="121" t="n">
        <f aca="false">+T1+1</f>
        <v>21</v>
      </c>
      <c r="V1" s="121" t="n">
        <f aca="false">+U1+1</f>
        <v>22</v>
      </c>
      <c r="W1" s="121" t="n">
        <f aca="false">+V1+1</f>
        <v>23</v>
      </c>
    </row>
    <row r="2" customFormat="false" ht="12.75" hidden="false" customHeight="false" outlineLevel="0" collapsed="false">
      <c r="K2" s="128" t="n">
        <f aca="false">WORKDAY(K3,-4)</f>
        <v>37190</v>
      </c>
    </row>
    <row r="3" customFormat="false" ht="12.75" hidden="false" customHeight="false" outlineLevel="0" collapsed="false">
      <c r="K3" s="128" t="n">
        <f aca="false">Summary!B8</f>
        <v>37196</v>
      </c>
      <c r="L3" s="129" t="n">
        <f aca="false">SUM(L6:L371)</f>
        <v>3</v>
      </c>
      <c r="P3" s="124" t="n">
        <v>1000000</v>
      </c>
      <c r="Q3" s="124"/>
      <c r="R3" s="124" t="n">
        <v>1000</v>
      </c>
      <c r="S3" s="121"/>
      <c r="T3" s="130" t="n">
        <f aca="false">SUM(T6:T371)</f>
        <v>0.003</v>
      </c>
    </row>
    <row r="4" customFormat="false" ht="12.75" hidden="false" customHeight="false" outlineLevel="0" collapsed="false">
      <c r="D4" s="131" t="s">
        <v>84</v>
      </c>
      <c r="E4" s="131" t="s">
        <v>84</v>
      </c>
      <c r="F4" s="131" t="s">
        <v>58</v>
      </c>
      <c r="G4" s="131" t="s">
        <v>58</v>
      </c>
      <c r="I4" s="132" t="s">
        <v>58</v>
      </c>
      <c r="J4" s="132"/>
      <c r="K4" s="132"/>
      <c r="L4" s="132"/>
      <c r="M4" s="132"/>
      <c r="N4" s="132"/>
      <c r="O4" s="133"/>
      <c r="P4" s="134" t="s">
        <v>85</v>
      </c>
      <c r="Q4" s="134"/>
      <c r="R4" s="135" t="s">
        <v>60</v>
      </c>
      <c r="S4" s="135"/>
      <c r="T4" s="135"/>
      <c r="U4" s="135"/>
      <c r="V4" s="135"/>
      <c r="W4" s="135"/>
    </row>
    <row r="5" customFormat="false" ht="12.75" hidden="false" customHeight="false" outlineLevel="0" collapsed="false">
      <c r="A5" s="136" t="s">
        <v>61</v>
      </c>
      <c r="B5" s="131" t="s">
        <v>62</v>
      </c>
      <c r="C5" s="137"/>
      <c r="D5" s="138" t="s">
        <v>63</v>
      </c>
      <c r="E5" s="138" t="s">
        <v>64</v>
      </c>
      <c r="F5" s="138" t="s">
        <v>65</v>
      </c>
      <c r="G5" s="138" t="s">
        <v>66</v>
      </c>
      <c r="H5" s="139"/>
      <c r="I5" s="138" t="s">
        <v>67</v>
      </c>
      <c r="J5" s="140" t="s">
        <v>68</v>
      </c>
      <c r="K5" s="140" t="s">
        <v>69</v>
      </c>
      <c r="L5" s="140" t="s">
        <v>70</v>
      </c>
      <c r="M5" s="140" t="s">
        <v>71</v>
      </c>
      <c r="N5" s="140" t="s">
        <v>72</v>
      </c>
      <c r="O5" s="141"/>
      <c r="P5" s="138" t="s">
        <v>63</v>
      </c>
      <c r="Q5" s="138" t="s">
        <v>64</v>
      </c>
      <c r="R5" s="138" t="s">
        <v>65</v>
      </c>
      <c r="S5" s="142" t="s">
        <v>68</v>
      </c>
      <c r="T5" s="140" t="s">
        <v>70</v>
      </c>
      <c r="U5" s="142" t="s">
        <v>66</v>
      </c>
      <c r="V5" s="142" t="s">
        <v>71</v>
      </c>
      <c r="W5" s="142" t="s">
        <v>72</v>
      </c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1"/>
      <c r="AW5" s="131"/>
      <c r="AX5" s="131"/>
      <c r="AY5" s="131"/>
      <c r="AZ5" s="131"/>
      <c r="BA5" s="131"/>
      <c r="BB5" s="131"/>
      <c r="BC5" s="131"/>
      <c r="BD5" s="131"/>
      <c r="BE5" s="131"/>
      <c r="BF5" s="131"/>
      <c r="BG5" s="131"/>
      <c r="BH5" s="131"/>
      <c r="BI5" s="131"/>
      <c r="BJ5" s="131"/>
      <c r="BK5" s="131"/>
      <c r="BL5" s="131"/>
      <c r="BM5" s="131"/>
      <c r="BN5" s="131"/>
      <c r="BO5" s="131"/>
      <c r="BP5" s="131"/>
      <c r="BQ5" s="131"/>
      <c r="BR5" s="131"/>
      <c r="BS5" s="131"/>
      <c r="BT5" s="131"/>
      <c r="BU5" s="131"/>
      <c r="BV5" s="131"/>
      <c r="BW5" s="131"/>
      <c r="BX5" s="131"/>
      <c r="BY5" s="131"/>
      <c r="BZ5" s="131"/>
      <c r="CA5" s="131"/>
      <c r="CB5" s="131"/>
      <c r="CC5" s="131"/>
      <c r="CD5" s="131"/>
      <c r="CE5" s="131"/>
      <c r="CF5" s="131"/>
      <c r="CG5" s="131"/>
      <c r="CH5" s="131"/>
      <c r="CI5" s="131"/>
      <c r="CJ5" s="131"/>
      <c r="CK5" s="131"/>
      <c r="CL5" s="131"/>
      <c r="CM5" s="131"/>
      <c r="CN5" s="131"/>
      <c r="CO5" s="131"/>
      <c r="CP5" s="131"/>
      <c r="CQ5" s="131"/>
      <c r="CR5" s="131"/>
      <c r="CS5" s="131"/>
      <c r="CT5" s="131"/>
      <c r="CU5" s="131"/>
      <c r="CV5" s="131"/>
      <c r="CW5" s="131"/>
      <c r="CX5" s="131"/>
      <c r="CY5" s="131"/>
      <c r="CZ5" s="131"/>
      <c r="DA5" s="131"/>
      <c r="DB5" s="131"/>
      <c r="DC5" s="131"/>
      <c r="DD5" s="131"/>
      <c r="DE5" s="131"/>
      <c r="DF5" s="131"/>
      <c r="DG5" s="131"/>
      <c r="DH5" s="131"/>
      <c r="DI5" s="131"/>
      <c r="DJ5" s="131"/>
      <c r="DK5" s="131"/>
      <c r="DL5" s="131"/>
      <c r="DM5" s="131"/>
      <c r="DN5" s="131"/>
      <c r="DO5" s="131"/>
      <c r="DP5" s="131"/>
      <c r="DQ5" s="131"/>
      <c r="DR5" s="131"/>
      <c r="DS5" s="131"/>
      <c r="DT5" s="131"/>
      <c r="DU5" s="131"/>
      <c r="DV5" s="131"/>
      <c r="DW5" s="131"/>
      <c r="DX5" s="131"/>
      <c r="DY5" s="131"/>
      <c r="DZ5" s="131"/>
      <c r="EA5" s="131"/>
      <c r="EB5" s="131"/>
      <c r="EC5" s="131"/>
      <c r="ED5" s="131"/>
      <c r="EE5" s="131"/>
      <c r="EF5" s="131"/>
      <c r="EG5" s="131"/>
      <c r="EH5" s="131"/>
      <c r="EI5" s="131"/>
      <c r="EJ5" s="131"/>
      <c r="EK5" s="131"/>
      <c r="EL5" s="131"/>
      <c r="EM5" s="131"/>
      <c r="EN5" s="131"/>
      <c r="EO5" s="131"/>
      <c r="EP5" s="131"/>
      <c r="EQ5" s="131"/>
      <c r="ER5" s="131"/>
      <c r="ES5" s="131"/>
      <c r="ET5" s="131"/>
      <c r="EU5" s="131"/>
      <c r="EV5" s="131"/>
      <c r="EW5" s="131"/>
      <c r="EX5" s="131"/>
      <c r="EY5" s="131"/>
      <c r="EZ5" s="131"/>
      <c r="FA5" s="131"/>
      <c r="FB5" s="131"/>
      <c r="FC5" s="131"/>
      <c r="FD5" s="131"/>
      <c r="FE5" s="131"/>
      <c r="FF5" s="131"/>
      <c r="FG5" s="131"/>
      <c r="FH5" s="131"/>
      <c r="FI5" s="131"/>
      <c r="FJ5" s="131"/>
      <c r="FK5" s="131"/>
      <c r="FL5" s="131"/>
      <c r="FM5" s="131"/>
      <c r="FN5" s="131"/>
      <c r="FO5" s="131"/>
      <c r="FP5" s="131"/>
      <c r="FQ5" s="131"/>
      <c r="FR5" s="131"/>
      <c r="FS5" s="131"/>
      <c r="FT5" s="131"/>
      <c r="FU5" s="131"/>
      <c r="FV5" s="131"/>
      <c r="FW5" s="131"/>
      <c r="FX5" s="131"/>
      <c r="FY5" s="131"/>
      <c r="FZ5" s="131"/>
      <c r="GA5" s="131"/>
      <c r="GB5" s="131"/>
      <c r="GC5" s="131"/>
      <c r="GD5" s="131"/>
      <c r="GE5" s="131"/>
      <c r="GF5" s="131"/>
      <c r="GG5" s="131"/>
      <c r="GH5" s="131"/>
      <c r="GI5" s="131"/>
      <c r="GJ5" s="131"/>
      <c r="GK5" s="131"/>
      <c r="GL5" s="131"/>
      <c r="GM5" s="131"/>
      <c r="GN5" s="131"/>
      <c r="GO5" s="131"/>
      <c r="GP5" s="131"/>
      <c r="GQ5" s="131"/>
      <c r="GR5" s="131"/>
      <c r="GS5" s="131"/>
      <c r="GT5" s="131"/>
      <c r="GU5" s="131"/>
      <c r="GV5" s="131"/>
      <c r="GW5" s="131"/>
      <c r="GX5" s="131"/>
      <c r="GY5" s="131"/>
      <c r="GZ5" s="131"/>
      <c r="HA5" s="131"/>
      <c r="HB5" s="131"/>
      <c r="HC5" s="131"/>
      <c r="HD5" s="131"/>
      <c r="HE5" s="131"/>
      <c r="HF5" s="131"/>
      <c r="HG5" s="131"/>
      <c r="HH5" s="131"/>
      <c r="HI5" s="131"/>
      <c r="HJ5" s="131"/>
      <c r="HK5" s="131"/>
      <c r="HL5" s="131"/>
      <c r="HM5" s="131"/>
      <c r="HN5" s="131"/>
      <c r="HO5" s="131"/>
      <c r="HP5" s="131"/>
      <c r="HQ5" s="131"/>
      <c r="HR5" s="131"/>
      <c r="HS5" s="131"/>
      <c r="HT5" s="131"/>
      <c r="HU5" s="131"/>
      <c r="HV5" s="131"/>
      <c r="HW5" s="131"/>
      <c r="HX5" s="131"/>
      <c r="HY5" s="131"/>
      <c r="HZ5" s="131"/>
      <c r="IA5" s="131"/>
      <c r="IB5" s="131"/>
      <c r="IC5" s="131"/>
      <c r="ID5" s="131"/>
      <c r="IE5" s="131"/>
      <c r="IF5" s="131"/>
      <c r="IG5" s="131"/>
      <c r="IH5" s="131"/>
      <c r="II5" s="131"/>
      <c r="IJ5" s="131"/>
      <c r="IK5" s="131"/>
      <c r="IL5" s="131"/>
      <c r="IM5" s="131"/>
      <c r="IN5" s="131"/>
      <c r="IO5" s="131"/>
      <c r="IP5" s="131"/>
      <c r="IQ5" s="131"/>
      <c r="IR5" s="131"/>
      <c r="IS5" s="131"/>
      <c r="IT5" s="131"/>
      <c r="IU5" s="131"/>
      <c r="IV5" s="131"/>
      <c r="IW5" s="131"/>
    </row>
    <row r="6" customFormat="false" ht="12.75" hidden="true" customHeight="false" outlineLevel="0" collapsed="false">
      <c r="A6" s="120" t="n">
        <v>36892</v>
      </c>
      <c r="B6" s="131" t="str">
        <f aca="false">INDEX('Master Data'!$A$2:$B$8,MATCH(WEEKDAY('ARG Gas Transport'!A6,3),'Master Data'!$A$2:$A$8,0),2)</f>
        <v>M</v>
      </c>
      <c r="D6" s="124" t="n">
        <v>0</v>
      </c>
      <c r="E6" s="124" t="n">
        <v>0</v>
      </c>
      <c r="F6" s="124" t="n">
        <v>0</v>
      </c>
      <c r="G6" s="124" t="n">
        <v>0</v>
      </c>
      <c r="I6" s="124" t="n">
        <f aca="false">G6</f>
        <v>0</v>
      </c>
      <c r="J6" s="124" t="n">
        <f aca="false">I6</f>
        <v>0</v>
      </c>
      <c r="K6" s="124" t="n">
        <f aca="false">IF(WEEKDAY(A6,3)&gt;4,0,(IF(A6&lt;K$2,0,IF(A6&lt;=K$3,1,0))))</f>
        <v>0</v>
      </c>
      <c r="L6" s="124" t="n">
        <f aca="false">J6*K6</f>
        <v>0</v>
      </c>
      <c r="M6" s="124" t="n">
        <f aca="false">SUM(J$6:J6)</f>
        <v>0</v>
      </c>
      <c r="N6" s="124" t="n">
        <f aca="false">SUM(J$6:J6)</f>
        <v>0</v>
      </c>
      <c r="P6" s="124" t="n">
        <f aca="false">D6/P$3</f>
        <v>0</v>
      </c>
      <c r="Q6" s="124" t="n">
        <f aca="false">E6/P$3</f>
        <v>0</v>
      </c>
      <c r="R6" s="124" t="n">
        <f aca="false">F6/R$3</f>
        <v>0</v>
      </c>
      <c r="S6" s="126" t="n">
        <f aca="false">J6/$R$3</f>
        <v>0</v>
      </c>
      <c r="T6" s="126" t="n">
        <f aca="false">L6/$R$3</f>
        <v>0</v>
      </c>
      <c r="U6" s="126" t="n">
        <f aca="false">I6/$R$3</f>
        <v>0</v>
      </c>
      <c r="V6" s="126" t="n">
        <f aca="false">M6/$R$3</f>
        <v>0</v>
      </c>
      <c r="W6" s="126" t="n">
        <f aca="false">N6/$R$3</f>
        <v>0</v>
      </c>
    </row>
    <row r="7" customFormat="false" ht="12.75" hidden="true" customHeight="false" outlineLevel="0" collapsed="false">
      <c r="A7" s="120" t="n">
        <f aca="false">A6+1</f>
        <v>36893</v>
      </c>
      <c r="B7" s="131" t="str">
        <f aca="false">INDEX('Master Data'!$A$2:$B$8,MATCH(WEEKDAY('ARG Gas Transport'!A7,3),'Master Data'!$A$2:$A$8,0),2)</f>
        <v>T</v>
      </c>
      <c r="D7" s="124" t="n">
        <v>0</v>
      </c>
      <c r="E7" s="124" t="n">
        <v>0</v>
      </c>
      <c r="F7" s="124" t="n">
        <v>0</v>
      </c>
      <c r="G7" s="124" t="n">
        <v>0</v>
      </c>
      <c r="I7" s="124" t="n">
        <f aca="false">IF(MONTH($A7)=MONTH($A6),IF(G7=0,I6,G7),0)</f>
        <v>0</v>
      </c>
      <c r="J7" s="124" t="n">
        <f aca="false">IF(MONTH($A7)=MONTH($A6),SUM(I7-I6),I7)</f>
        <v>0</v>
      </c>
      <c r="K7" s="124" t="n">
        <f aca="false">IF(WEEKDAY(A7,3)&gt;4,0,(IF(A7&lt;K$2,0,IF(A7&lt;=K$3,1,0))))</f>
        <v>0</v>
      </c>
      <c r="L7" s="124" t="n">
        <f aca="false">J7*K7</f>
        <v>0</v>
      </c>
      <c r="M7" s="124" t="n">
        <f aca="false">SUM(J$6:J7)</f>
        <v>0</v>
      </c>
      <c r="N7" s="124" t="n">
        <f aca="false">SUM(J$6:J7)</f>
        <v>0</v>
      </c>
      <c r="P7" s="124" t="n">
        <f aca="false">D7/P$3</f>
        <v>0</v>
      </c>
      <c r="Q7" s="124" t="n">
        <f aca="false">E7/P$3</f>
        <v>0</v>
      </c>
      <c r="R7" s="124" t="n">
        <f aca="false">F7/R$3</f>
        <v>0</v>
      </c>
      <c r="S7" s="126" t="n">
        <f aca="false">J7/$R$3</f>
        <v>0</v>
      </c>
      <c r="T7" s="126" t="n">
        <f aca="false">L7/$R$3</f>
        <v>0</v>
      </c>
      <c r="U7" s="126" t="n">
        <f aca="false">I7/$R$3</f>
        <v>0</v>
      </c>
      <c r="V7" s="126" t="n">
        <f aca="false">M7/$R$3</f>
        <v>0</v>
      </c>
      <c r="W7" s="126" t="n">
        <f aca="false">N7/$R$3</f>
        <v>0</v>
      </c>
    </row>
    <row r="8" customFormat="false" ht="12.75" hidden="true" customHeight="false" outlineLevel="0" collapsed="false">
      <c r="A8" s="120" t="n">
        <f aca="false">A7+1</f>
        <v>36894</v>
      </c>
      <c r="B8" s="131" t="str">
        <f aca="false">INDEX('Master Data'!$A$2:$B$8,MATCH(WEEKDAY('ARG Gas Transport'!A8,3),'Master Data'!$A$2:$A$8,0),2)</f>
        <v>W</v>
      </c>
      <c r="D8" s="124" t="n">
        <v>0</v>
      </c>
      <c r="E8" s="124" t="n">
        <v>0</v>
      </c>
      <c r="F8" s="124" t="n">
        <v>0</v>
      </c>
      <c r="G8" s="124" t="n">
        <v>0</v>
      </c>
      <c r="I8" s="124" t="n">
        <f aca="false">IF(MONTH($A8)=MONTH($A7),IF(G8=0,I7,G8),0)</f>
        <v>0</v>
      </c>
      <c r="J8" s="124" t="n">
        <f aca="false">IF(MONTH($A8)=MONTH($A7),SUM(I8-I7),I8)</f>
        <v>0</v>
      </c>
      <c r="K8" s="124" t="n">
        <f aca="false">IF(WEEKDAY(A8,3)&gt;4,0,(IF(A8&lt;K$2,0,IF(A8&lt;=K$3,1,0))))</f>
        <v>0</v>
      </c>
      <c r="L8" s="124" t="n">
        <f aca="false">J8*K8</f>
        <v>0</v>
      </c>
      <c r="M8" s="124" t="n">
        <f aca="false">SUM(J$6:J8)</f>
        <v>0</v>
      </c>
      <c r="N8" s="124" t="n">
        <f aca="false">SUM(J$6:J8)</f>
        <v>0</v>
      </c>
      <c r="P8" s="124" t="n">
        <f aca="false">D8/P$3</f>
        <v>0</v>
      </c>
      <c r="Q8" s="124" t="n">
        <f aca="false">E8/P$3</f>
        <v>0</v>
      </c>
      <c r="R8" s="124" t="n">
        <f aca="false">F8/R$3</f>
        <v>0</v>
      </c>
      <c r="S8" s="126" t="n">
        <f aca="false">J8/$R$3</f>
        <v>0</v>
      </c>
      <c r="T8" s="126" t="n">
        <f aca="false">L8/$R$3</f>
        <v>0</v>
      </c>
      <c r="U8" s="126" t="n">
        <f aca="false">I8/$R$3</f>
        <v>0</v>
      </c>
      <c r="V8" s="126" t="n">
        <f aca="false">M8/$R$3</f>
        <v>0</v>
      </c>
      <c r="W8" s="126" t="n">
        <f aca="false">N8/$R$3</f>
        <v>0</v>
      </c>
    </row>
    <row r="9" customFormat="false" ht="12.75" hidden="true" customHeight="false" outlineLevel="0" collapsed="false">
      <c r="A9" s="120" t="n">
        <f aca="false">A8+1</f>
        <v>36895</v>
      </c>
      <c r="B9" s="131" t="str">
        <f aca="false">INDEX('Master Data'!$A$2:$B$8,MATCH(WEEKDAY('ARG Gas Transport'!A9,3),'Master Data'!$A$2:$A$8,0),2)</f>
        <v>Th</v>
      </c>
      <c r="D9" s="124" t="n">
        <v>0</v>
      </c>
      <c r="E9" s="124" t="n">
        <v>0</v>
      </c>
      <c r="F9" s="124" t="n">
        <v>0</v>
      </c>
      <c r="G9" s="124" t="n">
        <v>0</v>
      </c>
      <c r="I9" s="124" t="n">
        <f aca="false">IF(MONTH($A9)=MONTH($A8),IF(G9=0,I8,G9),0)</f>
        <v>0</v>
      </c>
      <c r="J9" s="124" t="n">
        <f aca="false">IF(MONTH($A9)=MONTH($A8),SUM(I9-I8),I9)</f>
        <v>0</v>
      </c>
      <c r="K9" s="124" t="n">
        <f aca="false">IF(WEEKDAY(A9,3)&gt;4,0,(IF(A9&lt;K$2,0,IF(A9&lt;=K$3,1,0))))</f>
        <v>0</v>
      </c>
      <c r="L9" s="124" t="n">
        <f aca="false">J9*K9</f>
        <v>0</v>
      </c>
      <c r="M9" s="124" t="n">
        <f aca="false">SUM(J$6:J9)</f>
        <v>0</v>
      </c>
      <c r="N9" s="124" t="n">
        <f aca="false">SUM(J$6:J9)</f>
        <v>0</v>
      </c>
      <c r="P9" s="124" t="n">
        <f aca="false">D9/P$3</f>
        <v>0</v>
      </c>
      <c r="Q9" s="124" t="n">
        <f aca="false">E9/P$3</f>
        <v>0</v>
      </c>
      <c r="R9" s="124" t="n">
        <f aca="false">F9/R$3</f>
        <v>0</v>
      </c>
      <c r="S9" s="126" t="n">
        <f aca="false">J9/$R$3</f>
        <v>0</v>
      </c>
      <c r="T9" s="126" t="n">
        <f aca="false">L9/$R$3</f>
        <v>0</v>
      </c>
      <c r="U9" s="126" t="n">
        <f aca="false">I9/$R$3</f>
        <v>0</v>
      </c>
      <c r="V9" s="126" t="n">
        <f aca="false">M9/$R$3</f>
        <v>0</v>
      </c>
      <c r="W9" s="126" t="n">
        <f aca="false">N9/$R$3</f>
        <v>0</v>
      </c>
    </row>
    <row r="10" customFormat="false" ht="12.75" hidden="true" customHeight="false" outlineLevel="0" collapsed="false">
      <c r="A10" s="120" t="n">
        <f aca="false">A9+1</f>
        <v>36896</v>
      </c>
      <c r="B10" s="131" t="str">
        <f aca="false">INDEX('Master Data'!$A$2:$B$8,MATCH(WEEKDAY('ARG Gas Transport'!A10,3),'Master Data'!$A$2:$A$8,0),2)</f>
        <v>F</v>
      </c>
      <c r="D10" s="124" t="n">
        <v>0</v>
      </c>
      <c r="E10" s="124" t="n">
        <v>0</v>
      </c>
      <c r="F10" s="124" t="n">
        <v>0</v>
      </c>
      <c r="G10" s="124" t="n">
        <v>0</v>
      </c>
      <c r="I10" s="124" t="n">
        <f aca="false">IF(MONTH($A10)=MONTH($A9),IF(G10=0,I9,G10),0)</f>
        <v>0</v>
      </c>
      <c r="J10" s="124" t="n">
        <f aca="false">IF(MONTH($A10)=MONTH($A9),SUM(I10-I9),I10)</f>
        <v>0</v>
      </c>
      <c r="K10" s="124" t="n">
        <f aca="false">IF(WEEKDAY(A10,3)&gt;4,0,(IF(A10&lt;K$2,0,IF(A10&lt;=K$3,1,0))))</f>
        <v>0</v>
      </c>
      <c r="L10" s="124" t="n">
        <f aca="false">J10*K10</f>
        <v>0</v>
      </c>
      <c r="M10" s="124" t="n">
        <f aca="false">SUM(J$6:J10)</f>
        <v>0</v>
      </c>
      <c r="N10" s="124" t="n">
        <f aca="false">SUM(J$6:J10)</f>
        <v>0</v>
      </c>
      <c r="P10" s="124" t="n">
        <f aca="false">D10/P$3</f>
        <v>0</v>
      </c>
      <c r="Q10" s="124" t="n">
        <f aca="false">E10/P$3</f>
        <v>0</v>
      </c>
      <c r="R10" s="124" t="n">
        <f aca="false">F10/R$3</f>
        <v>0</v>
      </c>
      <c r="S10" s="126" t="n">
        <f aca="false">J10/$R$3</f>
        <v>0</v>
      </c>
      <c r="T10" s="126" t="n">
        <f aca="false">L10/$R$3</f>
        <v>0</v>
      </c>
      <c r="U10" s="126" t="n">
        <f aca="false">I10/$R$3</f>
        <v>0</v>
      </c>
      <c r="V10" s="126" t="n">
        <f aca="false">M10/$R$3</f>
        <v>0</v>
      </c>
      <c r="W10" s="126" t="n">
        <f aca="false">N10/$R$3</f>
        <v>0</v>
      </c>
    </row>
    <row r="11" customFormat="false" ht="12.75" hidden="true" customHeight="false" outlineLevel="0" collapsed="false">
      <c r="A11" s="120" t="n">
        <f aca="false">A10+1</f>
        <v>36897</v>
      </c>
      <c r="B11" s="131" t="str">
        <f aca="false">INDEX('Master Data'!$A$2:$B$8,MATCH(WEEKDAY('ARG Gas Transport'!A11,3),'Master Data'!$A$2:$A$8,0),2)</f>
        <v>Sa</v>
      </c>
      <c r="D11" s="124" t="n">
        <v>0</v>
      </c>
      <c r="E11" s="124" t="n">
        <v>0</v>
      </c>
      <c r="F11" s="124" t="n">
        <v>0</v>
      </c>
      <c r="G11" s="124" t="n">
        <v>0</v>
      </c>
      <c r="I11" s="124" t="n">
        <f aca="false">IF(MONTH($A11)=MONTH($A10),IF(G11=0,I10,G11),0)</f>
        <v>0</v>
      </c>
      <c r="J11" s="124" t="n">
        <f aca="false">IF(MONTH($A11)=MONTH($A10),SUM(I11-I10),I11)</f>
        <v>0</v>
      </c>
      <c r="K11" s="124" t="n">
        <f aca="false">IF(WEEKDAY(A11,3)&gt;4,0,(IF(A11&lt;K$2,0,IF(A11&lt;=K$3,1,0))))</f>
        <v>0</v>
      </c>
      <c r="L11" s="124" t="n">
        <f aca="false">J11*K11</f>
        <v>0</v>
      </c>
      <c r="M11" s="124" t="n">
        <f aca="false">SUM(J$6:J11)</f>
        <v>0</v>
      </c>
      <c r="N11" s="124" t="n">
        <f aca="false">SUM(J$6:J11)</f>
        <v>0</v>
      </c>
      <c r="P11" s="124" t="n">
        <f aca="false">D11/P$3</f>
        <v>0</v>
      </c>
      <c r="Q11" s="124" t="n">
        <f aca="false">E11/P$3</f>
        <v>0</v>
      </c>
      <c r="R11" s="124" t="n">
        <f aca="false">F11/R$3</f>
        <v>0</v>
      </c>
      <c r="S11" s="126" t="n">
        <f aca="false">J11/$R$3</f>
        <v>0</v>
      </c>
      <c r="T11" s="126" t="n">
        <f aca="false">L11/$R$3</f>
        <v>0</v>
      </c>
      <c r="U11" s="126" t="n">
        <f aca="false">I11/$R$3</f>
        <v>0</v>
      </c>
      <c r="V11" s="126" t="n">
        <f aca="false">M11/$R$3</f>
        <v>0</v>
      </c>
      <c r="W11" s="126" t="n">
        <f aca="false">N11/$R$3</f>
        <v>0</v>
      </c>
    </row>
    <row r="12" customFormat="false" ht="12.75" hidden="true" customHeight="false" outlineLevel="0" collapsed="false">
      <c r="A12" s="120" t="n">
        <f aca="false">A11+1</f>
        <v>36898</v>
      </c>
      <c r="B12" s="131" t="str">
        <f aca="false">INDEX('Master Data'!$A$2:$B$8,MATCH(WEEKDAY('ARG Gas Transport'!A12,3),'Master Data'!$A$2:$A$8,0),2)</f>
        <v>Su</v>
      </c>
      <c r="D12" s="124" t="n">
        <v>0</v>
      </c>
      <c r="E12" s="124" t="n">
        <v>0</v>
      </c>
      <c r="F12" s="124" t="n">
        <v>0</v>
      </c>
      <c r="G12" s="124" t="n">
        <v>0</v>
      </c>
      <c r="I12" s="124" t="n">
        <f aca="false">IF(MONTH($A12)=MONTH($A11),IF(G12=0,I11,G12),0)</f>
        <v>0</v>
      </c>
      <c r="J12" s="124" t="n">
        <f aca="false">IF(MONTH($A12)=MONTH($A11),SUM(I12-I11),I12)</f>
        <v>0</v>
      </c>
      <c r="K12" s="124" t="n">
        <f aca="false">IF(WEEKDAY(A12,3)&gt;4,0,(IF(A12&lt;K$2,0,IF(A12&lt;=K$3,1,0))))</f>
        <v>0</v>
      </c>
      <c r="L12" s="124" t="n">
        <f aca="false">J12*K12</f>
        <v>0</v>
      </c>
      <c r="M12" s="124" t="n">
        <f aca="false">SUM(J$6:J12)</f>
        <v>0</v>
      </c>
      <c r="N12" s="124" t="n">
        <f aca="false">SUM(J$6:J12)</f>
        <v>0</v>
      </c>
      <c r="P12" s="124" t="n">
        <f aca="false">D12/P$3</f>
        <v>0</v>
      </c>
      <c r="Q12" s="124" t="n">
        <f aca="false">E12/P$3</f>
        <v>0</v>
      </c>
      <c r="R12" s="124" t="n">
        <f aca="false">F12/R$3</f>
        <v>0</v>
      </c>
      <c r="S12" s="126" t="n">
        <f aca="false">J12/$R$3</f>
        <v>0</v>
      </c>
      <c r="T12" s="126" t="n">
        <f aca="false">L12/$R$3</f>
        <v>0</v>
      </c>
      <c r="U12" s="126" t="n">
        <f aca="false">I12/$R$3</f>
        <v>0</v>
      </c>
      <c r="V12" s="126" t="n">
        <f aca="false">M12/$R$3</f>
        <v>0</v>
      </c>
      <c r="W12" s="126" t="n">
        <f aca="false">N12/$R$3</f>
        <v>0</v>
      </c>
    </row>
    <row r="13" customFormat="false" ht="12.75" hidden="true" customHeight="false" outlineLevel="0" collapsed="false">
      <c r="A13" s="120" t="n">
        <f aca="false">A12+1</f>
        <v>36899</v>
      </c>
      <c r="B13" s="131" t="str">
        <f aca="false">INDEX('Master Data'!$A$2:$B$8,MATCH(WEEKDAY('ARG Gas Transport'!A13,3),'Master Data'!$A$2:$A$8,0),2)</f>
        <v>M</v>
      </c>
      <c r="D13" s="124" t="n">
        <v>0</v>
      </c>
      <c r="E13" s="124" t="n">
        <v>0</v>
      </c>
      <c r="F13" s="124" t="n">
        <v>0</v>
      </c>
      <c r="G13" s="124" t="n">
        <v>0</v>
      </c>
      <c r="I13" s="124" t="n">
        <f aca="false">IF(MONTH($A13)=MONTH($A12),IF(G13=0,I12,G13),0)</f>
        <v>0</v>
      </c>
      <c r="J13" s="124" t="n">
        <f aca="false">IF(MONTH($A13)=MONTH($A12),SUM(I13-I12),I13)</f>
        <v>0</v>
      </c>
      <c r="K13" s="124" t="n">
        <f aca="false">IF(WEEKDAY(A13,3)&gt;4,0,(IF(A13&lt;K$2,0,IF(A13&lt;=K$3,1,0))))</f>
        <v>0</v>
      </c>
      <c r="L13" s="124" t="n">
        <f aca="false">J13*K13</f>
        <v>0</v>
      </c>
      <c r="M13" s="124" t="n">
        <f aca="false">SUM(J$6:J13)</f>
        <v>0</v>
      </c>
      <c r="N13" s="124" t="n">
        <f aca="false">SUM(J$6:J13)</f>
        <v>0</v>
      </c>
      <c r="P13" s="124" t="n">
        <f aca="false">D13/P$3</f>
        <v>0</v>
      </c>
      <c r="Q13" s="124" t="n">
        <f aca="false">E13/P$3</f>
        <v>0</v>
      </c>
      <c r="R13" s="124" t="n">
        <f aca="false">F13/R$3</f>
        <v>0</v>
      </c>
      <c r="S13" s="126" t="n">
        <f aca="false">J13/$R$3</f>
        <v>0</v>
      </c>
      <c r="T13" s="126" t="n">
        <f aca="false">L13/$R$3</f>
        <v>0</v>
      </c>
      <c r="U13" s="126" t="n">
        <f aca="false">I13/$R$3</f>
        <v>0</v>
      </c>
      <c r="V13" s="126" t="n">
        <f aca="false">M13/$R$3</f>
        <v>0</v>
      </c>
      <c r="W13" s="126" t="n">
        <f aca="false">N13/$R$3</f>
        <v>0</v>
      </c>
    </row>
    <row r="14" customFormat="false" ht="12.75" hidden="true" customHeight="false" outlineLevel="0" collapsed="false">
      <c r="A14" s="120" t="n">
        <f aca="false">A13+1</f>
        <v>36900</v>
      </c>
      <c r="B14" s="131" t="str">
        <f aca="false">INDEX('Master Data'!$A$2:$B$8,MATCH(WEEKDAY('ARG Gas Transport'!A14,3),'Master Data'!$A$2:$A$8,0),2)</f>
        <v>T</v>
      </c>
      <c r="D14" s="124" t="n">
        <v>0</v>
      </c>
      <c r="E14" s="124" t="n">
        <v>0</v>
      </c>
      <c r="F14" s="124" t="n">
        <v>0</v>
      </c>
      <c r="G14" s="124" t="n">
        <v>0</v>
      </c>
      <c r="I14" s="124" t="n">
        <f aca="false">IF(MONTH($A14)=MONTH($A13),IF(G14=0,I13,G14),0)</f>
        <v>0</v>
      </c>
      <c r="J14" s="124" t="n">
        <f aca="false">IF(MONTH($A14)=MONTH($A13),SUM(I14-I13),I14)</f>
        <v>0</v>
      </c>
      <c r="K14" s="124" t="n">
        <f aca="false">IF(WEEKDAY(A14,3)&gt;4,0,(IF(A14&lt;K$2,0,IF(A14&lt;=K$3,1,0))))</f>
        <v>0</v>
      </c>
      <c r="L14" s="124" t="n">
        <f aca="false">J14*K14</f>
        <v>0</v>
      </c>
      <c r="M14" s="124" t="n">
        <f aca="false">SUM(J$6:J14)</f>
        <v>0</v>
      </c>
      <c r="N14" s="124" t="n">
        <f aca="false">SUM(J$6:J14)</f>
        <v>0</v>
      </c>
      <c r="P14" s="124" t="n">
        <f aca="false">D14/P$3</f>
        <v>0</v>
      </c>
      <c r="Q14" s="124" t="n">
        <f aca="false">E14/P$3</f>
        <v>0</v>
      </c>
      <c r="R14" s="124" t="n">
        <f aca="false">F14/R$3</f>
        <v>0</v>
      </c>
      <c r="S14" s="126" t="n">
        <f aca="false">J14/$R$3</f>
        <v>0</v>
      </c>
      <c r="T14" s="126" t="n">
        <f aca="false">L14/$R$3</f>
        <v>0</v>
      </c>
      <c r="U14" s="126" t="n">
        <f aca="false">I14/$R$3</f>
        <v>0</v>
      </c>
      <c r="V14" s="126" t="n">
        <f aca="false">M14/$R$3</f>
        <v>0</v>
      </c>
      <c r="W14" s="126" t="n">
        <f aca="false">N14/$R$3</f>
        <v>0</v>
      </c>
    </row>
    <row r="15" customFormat="false" ht="12.75" hidden="true" customHeight="false" outlineLevel="0" collapsed="false">
      <c r="A15" s="120" t="n">
        <f aca="false">A14+1</f>
        <v>36901</v>
      </c>
      <c r="B15" s="131" t="str">
        <f aca="false">INDEX('Master Data'!$A$2:$B$8,MATCH(WEEKDAY('ARG Gas Transport'!A15,3),'Master Data'!$A$2:$A$8,0),2)</f>
        <v>W</v>
      </c>
      <c r="D15" s="124" t="n">
        <v>0</v>
      </c>
      <c r="E15" s="124" t="n">
        <v>0</v>
      </c>
      <c r="F15" s="124" t="n">
        <v>0</v>
      </c>
      <c r="G15" s="124" t="n">
        <v>0</v>
      </c>
      <c r="I15" s="124" t="n">
        <f aca="false">IF(MONTH($A15)=MONTH($A14),IF(G15=0,I14,G15),0)</f>
        <v>0</v>
      </c>
      <c r="J15" s="124" t="n">
        <f aca="false">IF(MONTH($A15)=MONTH($A14),SUM(I15-I14),I15)</f>
        <v>0</v>
      </c>
      <c r="K15" s="124" t="n">
        <f aca="false">IF(WEEKDAY(A15,3)&gt;4,0,(IF(A15&lt;K$2,0,IF(A15&lt;=K$3,1,0))))</f>
        <v>0</v>
      </c>
      <c r="L15" s="124" t="n">
        <f aca="false">J15*K15</f>
        <v>0</v>
      </c>
      <c r="M15" s="124" t="n">
        <f aca="false">SUM(J$6:J15)</f>
        <v>0</v>
      </c>
      <c r="N15" s="124" t="n">
        <f aca="false">SUM(J$6:J15)</f>
        <v>0</v>
      </c>
      <c r="P15" s="124" t="n">
        <f aca="false">D15/P$3</f>
        <v>0</v>
      </c>
      <c r="Q15" s="124" t="n">
        <f aca="false">E15/P$3</f>
        <v>0</v>
      </c>
      <c r="R15" s="124" t="n">
        <f aca="false">F15/R$3</f>
        <v>0</v>
      </c>
      <c r="S15" s="126" t="n">
        <f aca="false">J15/$R$3</f>
        <v>0</v>
      </c>
      <c r="T15" s="126" t="n">
        <f aca="false">L15/$R$3</f>
        <v>0</v>
      </c>
      <c r="U15" s="126" t="n">
        <f aca="false">I15/$R$3</f>
        <v>0</v>
      </c>
      <c r="V15" s="126" t="n">
        <f aca="false">M15/$R$3</f>
        <v>0</v>
      </c>
      <c r="W15" s="126" t="n">
        <f aca="false">N15/$R$3</f>
        <v>0</v>
      </c>
    </row>
    <row r="16" customFormat="false" ht="12.75" hidden="true" customHeight="false" outlineLevel="0" collapsed="false">
      <c r="A16" s="120" t="n">
        <f aca="false">A15+1</f>
        <v>36902</v>
      </c>
      <c r="B16" s="131" t="str">
        <f aca="false">INDEX('Master Data'!$A$2:$B$8,MATCH(WEEKDAY('ARG Gas Transport'!A16,3),'Master Data'!$A$2:$A$8,0),2)</f>
        <v>Th</v>
      </c>
      <c r="D16" s="124" t="n">
        <v>0</v>
      </c>
      <c r="E16" s="124" t="n">
        <v>0</v>
      </c>
      <c r="F16" s="124" t="n">
        <v>0</v>
      </c>
      <c r="G16" s="124" t="n">
        <v>0</v>
      </c>
      <c r="I16" s="124" t="n">
        <f aca="false">IF(MONTH($A16)=MONTH($A15),IF(G16=0,I15,G16),0)</f>
        <v>0</v>
      </c>
      <c r="J16" s="124" t="n">
        <f aca="false">IF(MONTH($A16)=MONTH($A15),SUM(I16-I15),I16)</f>
        <v>0</v>
      </c>
      <c r="K16" s="124" t="n">
        <f aca="false">IF(WEEKDAY(A16,3)&gt;4,0,(IF(A16&lt;K$2,0,IF(A16&lt;=K$3,1,0))))</f>
        <v>0</v>
      </c>
      <c r="L16" s="124" t="n">
        <f aca="false">J16*K16</f>
        <v>0</v>
      </c>
      <c r="M16" s="124" t="n">
        <f aca="false">SUM(J$6:J16)</f>
        <v>0</v>
      </c>
      <c r="N16" s="124" t="n">
        <f aca="false">SUM(J$6:J16)</f>
        <v>0</v>
      </c>
      <c r="P16" s="124" t="n">
        <f aca="false">D16/P$3</f>
        <v>0</v>
      </c>
      <c r="Q16" s="124" t="n">
        <f aca="false">E16/P$3</f>
        <v>0</v>
      </c>
      <c r="R16" s="124" t="n">
        <f aca="false">F16/R$3</f>
        <v>0</v>
      </c>
      <c r="S16" s="126" t="n">
        <f aca="false">J16/$R$3</f>
        <v>0</v>
      </c>
      <c r="T16" s="126" t="n">
        <f aca="false">L16/$R$3</f>
        <v>0</v>
      </c>
      <c r="U16" s="126" t="n">
        <f aca="false">I16/$R$3</f>
        <v>0</v>
      </c>
      <c r="V16" s="126" t="n">
        <f aca="false">M16/$R$3</f>
        <v>0</v>
      </c>
      <c r="W16" s="126" t="n">
        <f aca="false">N16/$R$3</f>
        <v>0</v>
      </c>
    </row>
    <row r="17" customFormat="false" ht="12.75" hidden="true" customHeight="false" outlineLevel="0" collapsed="false">
      <c r="A17" s="120" t="n">
        <f aca="false">A16+1</f>
        <v>36903</v>
      </c>
      <c r="B17" s="131" t="str">
        <f aca="false">INDEX('Master Data'!$A$2:$B$8,MATCH(WEEKDAY('ARG Gas Transport'!A17,3),'Master Data'!$A$2:$A$8,0),2)</f>
        <v>F</v>
      </c>
      <c r="D17" s="124" t="n">
        <v>0</v>
      </c>
      <c r="E17" s="124" t="n">
        <v>0</v>
      </c>
      <c r="F17" s="124" t="n">
        <v>0</v>
      </c>
      <c r="G17" s="124" t="n">
        <v>0</v>
      </c>
      <c r="I17" s="124" t="n">
        <f aca="false">IF(MONTH($A17)=MONTH($A16),IF(G17=0,I16,G17),0)</f>
        <v>0</v>
      </c>
      <c r="J17" s="124" t="n">
        <f aca="false">IF(MONTH($A17)=MONTH($A16),SUM(I17-I16),I17)</f>
        <v>0</v>
      </c>
      <c r="K17" s="124" t="n">
        <f aca="false">IF(WEEKDAY(A17,3)&gt;4,0,(IF(A17&lt;K$2,0,IF(A17&lt;=K$3,1,0))))</f>
        <v>0</v>
      </c>
      <c r="L17" s="124" t="n">
        <f aca="false">J17*K17</f>
        <v>0</v>
      </c>
      <c r="M17" s="124" t="n">
        <f aca="false">SUM(J$6:J17)</f>
        <v>0</v>
      </c>
      <c r="N17" s="124" t="n">
        <f aca="false">SUM(J$6:J17)</f>
        <v>0</v>
      </c>
      <c r="P17" s="124" t="n">
        <f aca="false">D17/P$3</f>
        <v>0</v>
      </c>
      <c r="Q17" s="124" t="n">
        <f aca="false">E17/P$3</f>
        <v>0</v>
      </c>
      <c r="R17" s="124" t="n">
        <f aca="false">F17/R$3</f>
        <v>0</v>
      </c>
      <c r="S17" s="126" t="n">
        <f aca="false">J17/$R$3</f>
        <v>0</v>
      </c>
      <c r="T17" s="126" t="n">
        <f aca="false">L17/$R$3</f>
        <v>0</v>
      </c>
      <c r="U17" s="126" t="n">
        <f aca="false">I17/$R$3</f>
        <v>0</v>
      </c>
      <c r="V17" s="126" t="n">
        <f aca="false">M17/$R$3</f>
        <v>0</v>
      </c>
      <c r="W17" s="126" t="n">
        <f aca="false">N17/$R$3</f>
        <v>0</v>
      </c>
    </row>
    <row r="18" customFormat="false" ht="12.75" hidden="true" customHeight="false" outlineLevel="0" collapsed="false">
      <c r="A18" s="120" t="n">
        <f aca="false">A17+1</f>
        <v>36904</v>
      </c>
      <c r="B18" s="131" t="str">
        <f aca="false">INDEX('Master Data'!$A$2:$B$8,MATCH(WEEKDAY('ARG Gas Transport'!A18,3),'Master Data'!$A$2:$A$8,0),2)</f>
        <v>Sa</v>
      </c>
      <c r="D18" s="124" t="n">
        <v>0</v>
      </c>
      <c r="E18" s="124" t="n">
        <v>0</v>
      </c>
      <c r="F18" s="124" t="n">
        <v>0</v>
      </c>
      <c r="G18" s="124" t="n">
        <v>0</v>
      </c>
      <c r="I18" s="124" t="n">
        <f aca="false">IF(MONTH($A18)=MONTH($A17),IF(G18=0,I17,G18),0)</f>
        <v>0</v>
      </c>
      <c r="J18" s="124" t="n">
        <f aca="false">IF(MONTH($A18)=MONTH($A17),SUM(I18-I17),I18)</f>
        <v>0</v>
      </c>
      <c r="K18" s="124" t="n">
        <f aca="false">IF(WEEKDAY(A18,3)&gt;4,0,(IF(A18&lt;K$2,0,IF(A18&lt;=K$3,1,0))))</f>
        <v>0</v>
      </c>
      <c r="L18" s="124" t="n">
        <f aca="false">J18*K18</f>
        <v>0</v>
      </c>
      <c r="M18" s="124" t="n">
        <f aca="false">SUM(J$6:J18)</f>
        <v>0</v>
      </c>
      <c r="N18" s="124" t="n">
        <f aca="false">SUM(J$6:J18)</f>
        <v>0</v>
      </c>
      <c r="P18" s="124" t="n">
        <f aca="false">D18/P$3</f>
        <v>0</v>
      </c>
      <c r="Q18" s="124" t="n">
        <f aca="false">E18/P$3</f>
        <v>0</v>
      </c>
      <c r="R18" s="124" t="n">
        <f aca="false">F18/R$3</f>
        <v>0</v>
      </c>
      <c r="S18" s="126" t="n">
        <f aca="false">J18/$R$3</f>
        <v>0</v>
      </c>
      <c r="T18" s="126" t="n">
        <f aca="false">L18/$R$3</f>
        <v>0</v>
      </c>
      <c r="U18" s="126" t="n">
        <f aca="false">I18/$R$3</f>
        <v>0</v>
      </c>
      <c r="V18" s="126" t="n">
        <f aca="false">M18/$R$3</f>
        <v>0</v>
      </c>
      <c r="W18" s="126" t="n">
        <f aca="false">N18/$R$3</f>
        <v>0</v>
      </c>
    </row>
    <row r="19" customFormat="false" ht="12.75" hidden="true" customHeight="false" outlineLevel="0" collapsed="false">
      <c r="A19" s="120" t="n">
        <f aca="false">A18+1</f>
        <v>36905</v>
      </c>
      <c r="B19" s="131" t="str">
        <f aca="false">INDEX('Master Data'!$A$2:$B$8,MATCH(WEEKDAY('ARG Gas Transport'!A19,3),'Master Data'!$A$2:$A$8,0),2)</f>
        <v>Su</v>
      </c>
      <c r="D19" s="124" t="n">
        <v>0</v>
      </c>
      <c r="E19" s="124" t="n">
        <v>0</v>
      </c>
      <c r="F19" s="124" t="n">
        <v>0</v>
      </c>
      <c r="G19" s="124" t="n">
        <v>0</v>
      </c>
      <c r="I19" s="124" t="n">
        <f aca="false">IF(MONTH($A19)=MONTH($A18),IF(G19=0,I18,G19),0)</f>
        <v>0</v>
      </c>
      <c r="J19" s="124" t="n">
        <f aca="false">IF(MONTH($A19)=MONTH($A18),SUM(I19-I18),I19)</f>
        <v>0</v>
      </c>
      <c r="K19" s="124" t="n">
        <f aca="false">IF(WEEKDAY(A19,3)&gt;4,0,(IF(A19&lt;K$2,0,IF(A19&lt;=K$3,1,0))))</f>
        <v>0</v>
      </c>
      <c r="L19" s="124" t="n">
        <f aca="false">J19*K19</f>
        <v>0</v>
      </c>
      <c r="M19" s="124" t="n">
        <f aca="false">SUM(J$6:J19)</f>
        <v>0</v>
      </c>
      <c r="N19" s="124" t="n">
        <f aca="false">SUM(J$6:J19)</f>
        <v>0</v>
      </c>
      <c r="P19" s="124" t="n">
        <f aca="false">D19/P$3</f>
        <v>0</v>
      </c>
      <c r="Q19" s="124" t="n">
        <f aca="false">E19/P$3</f>
        <v>0</v>
      </c>
      <c r="R19" s="124" t="n">
        <f aca="false">F19/R$3</f>
        <v>0</v>
      </c>
      <c r="S19" s="126" t="n">
        <f aca="false">J19/$R$3</f>
        <v>0</v>
      </c>
      <c r="T19" s="126" t="n">
        <f aca="false">L19/$R$3</f>
        <v>0</v>
      </c>
      <c r="U19" s="126" t="n">
        <f aca="false">I19/$R$3</f>
        <v>0</v>
      </c>
      <c r="V19" s="126" t="n">
        <f aca="false">M19/$R$3</f>
        <v>0</v>
      </c>
      <c r="W19" s="126" t="n">
        <f aca="false">N19/$R$3</f>
        <v>0</v>
      </c>
    </row>
    <row r="20" customFormat="false" ht="12.75" hidden="true" customHeight="false" outlineLevel="0" collapsed="false">
      <c r="A20" s="120" t="n">
        <f aca="false">A19+1</f>
        <v>36906</v>
      </c>
      <c r="B20" s="131" t="str">
        <f aca="false">INDEX('Master Data'!$A$2:$B$8,MATCH(WEEKDAY('ARG Gas Transport'!A20,3),'Master Data'!$A$2:$A$8,0),2)</f>
        <v>M</v>
      </c>
      <c r="D20" s="124" t="n">
        <v>0</v>
      </c>
      <c r="E20" s="124" t="n">
        <v>0</v>
      </c>
      <c r="F20" s="124" t="n">
        <v>0</v>
      </c>
      <c r="G20" s="124" t="n">
        <v>0</v>
      </c>
      <c r="I20" s="124" t="n">
        <f aca="false">IF(MONTH($A20)=MONTH($A19),IF(G20=0,I19,G20),0)</f>
        <v>0</v>
      </c>
      <c r="J20" s="124" t="n">
        <f aca="false">IF(MONTH($A20)=MONTH($A19),SUM(I20-I19),I20)</f>
        <v>0</v>
      </c>
      <c r="K20" s="124" t="n">
        <f aca="false">IF(WEEKDAY(A20,3)&gt;4,0,(IF(A20&lt;K$2,0,IF(A20&lt;=K$3,1,0))))</f>
        <v>0</v>
      </c>
      <c r="L20" s="124" t="n">
        <f aca="false">J20*K20</f>
        <v>0</v>
      </c>
      <c r="M20" s="124" t="n">
        <f aca="false">SUM(J$6:J20)</f>
        <v>0</v>
      </c>
      <c r="N20" s="124" t="n">
        <f aca="false">SUM(J$6:J20)</f>
        <v>0</v>
      </c>
      <c r="P20" s="124" t="n">
        <f aca="false">D20/P$3</f>
        <v>0</v>
      </c>
      <c r="Q20" s="124" t="n">
        <f aca="false">E20/P$3</f>
        <v>0</v>
      </c>
      <c r="R20" s="124" t="n">
        <f aca="false">F20/R$3</f>
        <v>0</v>
      </c>
      <c r="S20" s="126" t="n">
        <f aca="false">J20/$R$3</f>
        <v>0</v>
      </c>
      <c r="T20" s="126" t="n">
        <f aca="false">L20/$R$3</f>
        <v>0</v>
      </c>
      <c r="U20" s="126" t="n">
        <f aca="false">I20/$R$3</f>
        <v>0</v>
      </c>
      <c r="V20" s="126" t="n">
        <f aca="false">M20/$R$3</f>
        <v>0</v>
      </c>
      <c r="W20" s="126" t="n">
        <f aca="false">N20/$R$3</f>
        <v>0</v>
      </c>
    </row>
    <row r="21" customFormat="false" ht="12.75" hidden="true" customHeight="false" outlineLevel="0" collapsed="false">
      <c r="A21" s="120" t="n">
        <f aca="false">A20+1</f>
        <v>36907</v>
      </c>
      <c r="B21" s="131" t="str">
        <f aca="false">INDEX('Master Data'!$A$2:$B$8,MATCH(WEEKDAY('ARG Gas Transport'!A21,3),'Master Data'!$A$2:$A$8,0),2)</f>
        <v>T</v>
      </c>
      <c r="D21" s="124" t="n">
        <v>0</v>
      </c>
      <c r="E21" s="124" t="n">
        <v>0</v>
      </c>
      <c r="F21" s="124" t="n">
        <v>0</v>
      </c>
      <c r="G21" s="124" t="n">
        <v>0</v>
      </c>
      <c r="I21" s="124" t="n">
        <f aca="false">IF(MONTH($A21)=MONTH($A20),IF(G21=0,I20,G21),0)</f>
        <v>0</v>
      </c>
      <c r="J21" s="124" t="n">
        <f aca="false">IF(MONTH($A21)=MONTH($A20),SUM(I21-I20),I21)</f>
        <v>0</v>
      </c>
      <c r="K21" s="124" t="n">
        <f aca="false">IF(WEEKDAY(A21,3)&gt;4,0,(IF(A21&lt;K$2,0,IF(A21&lt;=K$3,1,0))))</f>
        <v>0</v>
      </c>
      <c r="L21" s="124" t="n">
        <f aca="false">J21*K21</f>
        <v>0</v>
      </c>
      <c r="M21" s="124" t="n">
        <f aca="false">SUM(J$6:J21)</f>
        <v>0</v>
      </c>
      <c r="N21" s="124" t="n">
        <f aca="false">SUM(J$6:J21)</f>
        <v>0</v>
      </c>
      <c r="P21" s="124" t="n">
        <f aca="false">D21/P$3</f>
        <v>0</v>
      </c>
      <c r="Q21" s="124" t="n">
        <f aca="false">E21/P$3</f>
        <v>0</v>
      </c>
      <c r="R21" s="124" t="n">
        <f aca="false">F21/R$3</f>
        <v>0</v>
      </c>
      <c r="S21" s="126" t="n">
        <f aca="false">J21/$R$3</f>
        <v>0</v>
      </c>
      <c r="T21" s="126" t="n">
        <f aca="false">L21/$R$3</f>
        <v>0</v>
      </c>
      <c r="U21" s="126" t="n">
        <f aca="false">I21/$R$3</f>
        <v>0</v>
      </c>
      <c r="V21" s="126" t="n">
        <f aca="false">M21/$R$3</f>
        <v>0</v>
      </c>
      <c r="W21" s="126" t="n">
        <f aca="false">N21/$R$3</f>
        <v>0</v>
      </c>
    </row>
    <row r="22" customFormat="false" ht="12.75" hidden="true" customHeight="false" outlineLevel="0" collapsed="false">
      <c r="A22" s="120" t="n">
        <f aca="false">A21+1</f>
        <v>36908</v>
      </c>
      <c r="B22" s="131" t="str">
        <f aca="false">INDEX('Master Data'!$A$2:$B$8,MATCH(WEEKDAY('ARG Gas Transport'!A22,3),'Master Data'!$A$2:$A$8,0),2)</f>
        <v>W</v>
      </c>
      <c r="D22" s="124" t="n">
        <v>0</v>
      </c>
      <c r="E22" s="124" t="n">
        <v>0</v>
      </c>
      <c r="F22" s="124" t="n">
        <v>0</v>
      </c>
      <c r="G22" s="124" t="n">
        <v>0</v>
      </c>
      <c r="I22" s="124" t="n">
        <f aca="false">IF(MONTH($A22)=MONTH($A21),IF(G22=0,I21,G22),0)</f>
        <v>0</v>
      </c>
      <c r="J22" s="124" t="n">
        <f aca="false">IF(MONTH($A22)=MONTH($A21),SUM(I22-I21),I22)</f>
        <v>0</v>
      </c>
      <c r="K22" s="124" t="n">
        <f aca="false">IF(WEEKDAY(A22,3)&gt;4,0,(IF(A22&lt;K$2,0,IF(A22&lt;=K$3,1,0))))</f>
        <v>0</v>
      </c>
      <c r="L22" s="124" t="n">
        <f aca="false">J22*K22</f>
        <v>0</v>
      </c>
      <c r="M22" s="124" t="n">
        <f aca="false">SUM(J$6:J22)</f>
        <v>0</v>
      </c>
      <c r="N22" s="124" t="n">
        <f aca="false">SUM(J$6:J22)</f>
        <v>0</v>
      </c>
      <c r="P22" s="124" t="n">
        <f aca="false">D22/P$3</f>
        <v>0</v>
      </c>
      <c r="Q22" s="124" t="n">
        <f aca="false">E22/P$3</f>
        <v>0</v>
      </c>
      <c r="R22" s="124" t="n">
        <f aca="false">F22/R$3</f>
        <v>0</v>
      </c>
      <c r="S22" s="126" t="n">
        <f aca="false">J22/$R$3</f>
        <v>0</v>
      </c>
      <c r="T22" s="126" t="n">
        <f aca="false">L22/$R$3</f>
        <v>0</v>
      </c>
      <c r="U22" s="126" t="n">
        <f aca="false">I22/$R$3</f>
        <v>0</v>
      </c>
      <c r="V22" s="126" t="n">
        <f aca="false">M22/$R$3</f>
        <v>0</v>
      </c>
      <c r="W22" s="126" t="n">
        <f aca="false">N22/$R$3</f>
        <v>0</v>
      </c>
    </row>
    <row r="23" customFormat="false" ht="12.75" hidden="true" customHeight="false" outlineLevel="0" collapsed="false">
      <c r="A23" s="120" t="n">
        <f aca="false">A22+1</f>
        <v>36909</v>
      </c>
      <c r="B23" s="131" t="str">
        <f aca="false">INDEX('Master Data'!$A$2:$B$8,MATCH(WEEKDAY('ARG Gas Transport'!A23,3),'Master Data'!$A$2:$A$8,0),2)</f>
        <v>Th</v>
      </c>
      <c r="D23" s="124" t="n">
        <v>0</v>
      </c>
      <c r="E23" s="124" t="n">
        <v>0</v>
      </c>
      <c r="F23" s="124" t="n">
        <v>0</v>
      </c>
      <c r="G23" s="124" t="n">
        <v>0</v>
      </c>
      <c r="I23" s="124" t="n">
        <f aca="false">IF(MONTH($A23)=MONTH($A22),IF(G23=0,I22,G23),0)</f>
        <v>0</v>
      </c>
      <c r="J23" s="124" t="n">
        <f aca="false">IF(MONTH($A23)=MONTH($A22),SUM(I23-I22),I23)</f>
        <v>0</v>
      </c>
      <c r="K23" s="124" t="n">
        <f aca="false">IF(WEEKDAY(A23,3)&gt;4,0,(IF(A23&lt;K$2,0,IF(A23&lt;=K$3,1,0))))</f>
        <v>0</v>
      </c>
      <c r="L23" s="124" t="n">
        <f aca="false">J23*K23</f>
        <v>0</v>
      </c>
      <c r="M23" s="124" t="n">
        <f aca="false">SUM(J$6:J23)</f>
        <v>0</v>
      </c>
      <c r="N23" s="124" t="n">
        <f aca="false">SUM(J$6:J23)</f>
        <v>0</v>
      </c>
      <c r="P23" s="124" t="n">
        <f aca="false">D23/P$3</f>
        <v>0</v>
      </c>
      <c r="Q23" s="124" t="n">
        <f aca="false">E23/P$3</f>
        <v>0</v>
      </c>
      <c r="R23" s="124" t="n">
        <f aca="false">F23/R$3</f>
        <v>0</v>
      </c>
      <c r="S23" s="126" t="n">
        <f aca="false">J23/$R$3</f>
        <v>0</v>
      </c>
      <c r="T23" s="126" t="n">
        <f aca="false">L23/$R$3</f>
        <v>0</v>
      </c>
      <c r="U23" s="126" t="n">
        <f aca="false">I23/$R$3</f>
        <v>0</v>
      </c>
      <c r="V23" s="126" t="n">
        <f aca="false">M23/$R$3</f>
        <v>0</v>
      </c>
      <c r="W23" s="126" t="n">
        <f aca="false">N23/$R$3</f>
        <v>0</v>
      </c>
    </row>
    <row r="24" customFormat="false" ht="12.75" hidden="true" customHeight="false" outlineLevel="0" collapsed="false">
      <c r="A24" s="120" t="n">
        <f aca="false">A23+1</f>
        <v>36910</v>
      </c>
      <c r="B24" s="131" t="str">
        <f aca="false">INDEX('Master Data'!$A$2:$B$8,MATCH(WEEKDAY('ARG Gas Transport'!A24,3),'Master Data'!$A$2:$A$8,0),2)</f>
        <v>F</v>
      </c>
      <c r="D24" s="124" t="n">
        <v>0</v>
      </c>
      <c r="E24" s="124" t="n">
        <v>0</v>
      </c>
      <c r="F24" s="124" t="n">
        <v>0</v>
      </c>
      <c r="G24" s="124" t="n">
        <v>0</v>
      </c>
      <c r="I24" s="124" t="n">
        <f aca="false">IF(MONTH($A24)=MONTH($A23),IF(G24=0,I23,G24),0)</f>
        <v>0</v>
      </c>
      <c r="J24" s="124" t="n">
        <f aca="false">IF(MONTH($A24)=MONTH($A23),SUM(I24-I23),I24)</f>
        <v>0</v>
      </c>
      <c r="K24" s="124" t="n">
        <f aca="false">IF(WEEKDAY(A24,3)&gt;4,0,(IF(A24&lt;K$2,0,IF(A24&lt;=K$3,1,0))))</f>
        <v>0</v>
      </c>
      <c r="L24" s="124" t="n">
        <f aca="false">J24*K24</f>
        <v>0</v>
      </c>
      <c r="M24" s="124" t="n">
        <f aca="false">SUM(J$6:J24)</f>
        <v>0</v>
      </c>
      <c r="N24" s="124" t="n">
        <f aca="false">SUM(J$6:J24)</f>
        <v>0</v>
      </c>
      <c r="P24" s="124" t="n">
        <f aca="false">D24/P$3</f>
        <v>0</v>
      </c>
      <c r="Q24" s="124" t="n">
        <f aca="false">E24/P$3</f>
        <v>0</v>
      </c>
      <c r="R24" s="124" t="n">
        <f aca="false">F24/R$3</f>
        <v>0</v>
      </c>
      <c r="S24" s="126" t="n">
        <f aca="false">J24/$R$3</f>
        <v>0</v>
      </c>
      <c r="T24" s="126" t="n">
        <f aca="false">L24/$R$3</f>
        <v>0</v>
      </c>
      <c r="U24" s="126" t="n">
        <f aca="false">I24/$R$3</f>
        <v>0</v>
      </c>
      <c r="V24" s="126" t="n">
        <f aca="false">M24/$R$3</f>
        <v>0</v>
      </c>
      <c r="W24" s="126" t="n">
        <f aca="false">N24/$R$3</f>
        <v>0</v>
      </c>
    </row>
    <row r="25" customFormat="false" ht="12.75" hidden="true" customHeight="false" outlineLevel="0" collapsed="false">
      <c r="A25" s="120" t="n">
        <f aca="false">A24+1</f>
        <v>36911</v>
      </c>
      <c r="B25" s="131" t="str">
        <f aca="false">INDEX('Master Data'!$A$2:$B$8,MATCH(WEEKDAY('ARG Gas Transport'!A25,3),'Master Data'!$A$2:$A$8,0),2)</f>
        <v>Sa</v>
      </c>
      <c r="D25" s="124" t="n">
        <v>0</v>
      </c>
      <c r="E25" s="124" t="n">
        <v>0</v>
      </c>
      <c r="F25" s="124" t="n">
        <v>0</v>
      </c>
      <c r="G25" s="124" t="n">
        <v>0</v>
      </c>
      <c r="I25" s="124" t="n">
        <f aca="false">IF(MONTH($A25)=MONTH($A24),IF(G25=0,I24,G25),0)</f>
        <v>0</v>
      </c>
      <c r="J25" s="124" t="n">
        <f aca="false">IF(MONTH($A25)=MONTH($A24),SUM(I25-I24),I25)</f>
        <v>0</v>
      </c>
      <c r="K25" s="124" t="n">
        <f aca="false">IF(WEEKDAY(A25,3)&gt;4,0,(IF(A25&lt;K$2,0,IF(A25&lt;=K$3,1,0))))</f>
        <v>0</v>
      </c>
      <c r="L25" s="124" t="n">
        <f aca="false">J25*K25</f>
        <v>0</v>
      </c>
      <c r="M25" s="124" t="n">
        <f aca="false">SUM(J$6:J25)</f>
        <v>0</v>
      </c>
      <c r="N25" s="124" t="n">
        <f aca="false">SUM(J$6:J25)</f>
        <v>0</v>
      </c>
      <c r="P25" s="124" t="n">
        <f aca="false">D25/P$3</f>
        <v>0</v>
      </c>
      <c r="Q25" s="124" t="n">
        <f aca="false">E25/P$3</f>
        <v>0</v>
      </c>
      <c r="R25" s="124" t="n">
        <f aca="false">F25/R$3</f>
        <v>0</v>
      </c>
      <c r="S25" s="126" t="n">
        <f aca="false">J25/$R$3</f>
        <v>0</v>
      </c>
      <c r="T25" s="126" t="n">
        <f aca="false">L25/$R$3</f>
        <v>0</v>
      </c>
      <c r="U25" s="126" t="n">
        <f aca="false">I25/$R$3</f>
        <v>0</v>
      </c>
      <c r="V25" s="126" t="n">
        <f aca="false">M25/$R$3</f>
        <v>0</v>
      </c>
      <c r="W25" s="126" t="n">
        <f aca="false">N25/$R$3</f>
        <v>0</v>
      </c>
    </row>
    <row r="26" customFormat="false" ht="12.75" hidden="true" customHeight="false" outlineLevel="0" collapsed="false">
      <c r="A26" s="120" t="n">
        <f aca="false">A25+1</f>
        <v>36912</v>
      </c>
      <c r="B26" s="131" t="str">
        <f aca="false">INDEX('Master Data'!$A$2:$B$8,MATCH(WEEKDAY('ARG Gas Transport'!A26,3),'Master Data'!$A$2:$A$8,0),2)</f>
        <v>Su</v>
      </c>
      <c r="D26" s="124" t="n">
        <v>0</v>
      </c>
      <c r="E26" s="124" t="n">
        <v>0</v>
      </c>
      <c r="F26" s="124" t="n">
        <v>0</v>
      </c>
      <c r="G26" s="124" t="n">
        <v>0</v>
      </c>
      <c r="I26" s="124" t="n">
        <f aca="false">IF(MONTH($A26)=MONTH($A25),IF(G26=0,I25,G26),0)</f>
        <v>0</v>
      </c>
      <c r="J26" s="124" t="n">
        <f aca="false">IF(MONTH($A26)=MONTH($A25),SUM(I26-I25),I26)</f>
        <v>0</v>
      </c>
      <c r="K26" s="124" t="n">
        <f aca="false">IF(WEEKDAY(A26,3)&gt;4,0,(IF(A26&lt;K$2,0,IF(A26&lt;=K$3,1,0))))</f>
        <v>0</v>
      </c>
      <c r="L26" s="124" t="n">
        <f aca="false">J26*K26</f>
        <v>0</v>
      </c>
      <c r="M26" s="124" t="n">
        <f aca="false">SUM(J$6:J26)</f>
        <v>0</v>
      </c>
      <c r="N26" s="124" t="n">
        <f aca="false">SUM(J$6:J26)</f>
        <v>0</v>
      </c>
      <c r="P26" s="124" t="n">
        <f aca="false">D26/P$3</f>
        <v>0</v>
      </c>
      <c r="Q26" s="124" t="n">
        <f aca="false">E26/P$3</f>
        <v>0</v>
      </c>
      <c r="R26" s="124" t="n">
        <f aca="false">F26/R$3</f>
        <v>0</v>
      </c>
      <c r="S26" s="126" t="n">
        <f aca="false">J26/$R$3</f>
        <v>0</v>
      </c>
      <c r="T26" s="126" t="n">
        <f aca="false">L26/$R$3</f>
        <v>0</v>
      </c>
      <c r="U26" s="126" t="n">
        <f aca="false">I26/$R$3</f>
        <v>0</v>
      </c>
      <c r="V26" s="126" t="n">
        <f aca="false">M26/$R$3</f>
        <v>0</v>
      </c>
      <c r="W26" s="126" t="n">
        <f aca="false">N26/$R$3</f>
        <v>0</v>
      </c>
    </row>
    <row r="27" customFormat="false" ht="12.75" hidden="true" customHeight="false" outlineLevel="0" collapsed="false">
      <c r="A27" s="120" t="n">
        <f aca="false">A26+1</f>
        <v>36913</v>
      </c>
      <c r="B27" s="131" t="str">
        <f aca="false">INDEX('Master Data'!$A$2:$B$8,MATCH(WEEKDAY('ARG Gas Transport'!A27,3),'Master Data'!$A$2:$A$8,0),2)</f>
        <v>M</v>
      </c>
      <c r="D27" s="124" t="n">
        <v>0</v>
      </c>
      <c r="E27" s="124" t="n">
        <v>0</v>
      </c>
      <c r="F27" s="124" t="n">
        <v>0</v>
      </c>
      <c r="G27" s="124" t="n">
        <v>0</v>
      </c>
      <c r="I27" s="124" t="n">
        <f aca="false">IF(MONTH($A27)=MONTH($A26),IF(G27=0,I26,G27),0)</f>
        <v>0</v>
      </c>
      <c r="J27" s="124" t="n">
        <f aca="false">IF(MONTH($A27)=MONTH($A26),SUM(I27-I26),I27)</f>
        <v>0</v>
      </c>
      <c r="K27" s="124" t="n">
        <f aca="false">IF(WEEKDAY(A27,3)&gt;4,0,(IF(A27&lt;K$2,0,IF(A27&lt;=K$3,1,0))))</f>
        <v>0</v>
      </c>
      <c r="L27" s="124" t="n">
        <f aca="false">J27*K27</f>
        <v>0</v>
      </c>
      <c r="M27" s="124" t="n">
        <f aca="false">SUM(J$6:J27)</f>
        <v>0</v>
      </c>
      <c r="N27" s="124" t="n">
        <f aca="false">SUM(J$6:J27)</f>
        <v>0</v>
      </c>
      <c r="P27" s="124" t="n">
        <f aca="false">D27/P$3</f>
        <v>0</v>
      </c>
      <c r="Q27" s="124" t="n">
        <f aca="false">E27/P$3</f>
        <v>0</v>
      </c>
      <c r="R27" s="124" t="n">
        <f aca="false">F27/R$3</f>
        <v>0</v>
      </c>
      <c r="S27" s="126" t="n">
        <f aca="false">J27/$R$3</f>
        <v>0</v>
      </c>
      <c r="T27" s="126" t="n">
        <f aca="false">L27/$R$3</f>
        <v>0</v>
      </c>
      <c r="U27" s="126" t="n">
        <f aca="false">I27/$R$3</f>
        <v>0</v>
      </c>
      <c r="V27" s="126" t="n">
        <f aca="false">M27/$R$3</f>
        <v>0</v>
      </c>
      <c r="W27" s="126" t="n">
        <f aca="false">N27/$R$3</f>
        <v>0</v>
      </c>
    </row>
    <row r="28" customFormat="false" ht="12.75" hidden="true" customHeight="false" outlineLevel="0" collapsed="false">
      <c r="A28" s="120" t="n">
        <f aca="false">A27+1</f>
        <v>36914</v>
      </c>
      <c r="B28" s="131" t="str">
        <f aca="false">INDEX('Master Data'!$A$2:$B$8,MATCH(WEEKDAY('ARG Gas Transport'!A28,3),'Master Data'!$A$2:$A$8,0),2)</f>
        <v>T</v>
      </c>
      <c r="D28" s="124" t="n">
        <v>0</v>
      </c>
      <c r="E28" s="124" t="n">
        <v>0</v>
      </c>
      <c r="F28" s="124" t="n">
        <v>0</v>
      </c>
      <c r="G28" s="124" t="n">
        <v>0</v>
      </c>
      <c r="I28" s="124" t="n">
        <f aca="false">IF(MONTH($A28)=MONTH($A27),IF(G28=0,I27,G28),0)</f>
        <v>0</v>
      </c>
      <c r="J28" s="124" t="n">
        <f aca="false">IF(MONTH($A28)=MONTH($A27),SUM(I28-I27),I28)</f>
        <v>0</v>
      </c>
      <c r="K28" s="124" t="n">
        <f aca="false">IF(WEEKDAY(A28,3)&gt;4,0,(IF(A28&lt;K$2,0,IF(A28&lt;=K$3,1,0))))</f>
        <v>0</v>
      </c>
      <c r="L28" s="124" t="n">
        <f aca="false">J28*K28</f>
        <v>0</v>
      </c>
      <c r="M28" s="124" t="n">
        <f aca="false">SUM(J$6:J28)</f>
        <v>0</v>
      </c>
      <c r="N28" s="124" t="n">
        <f aca="false">SUM(J$6:J28)</f>
        <v>0</v>
      </c>
      <c r="P28" s="124" t="n">
        <f aca="false">D28/P$3</f>
        <v>0</v>
      </c>
      <c r="Q28" s="124" t="n">
        <f aca="false">E28/P$3</f>
        <v>0</v>
      </c>
      <c r="R28" s="124" t="n">
        <f aca="false">F28/R$3</f>
        <v>0</v>
      </c>
      <c r="S28" s="126" t="n">
        <f aca="false">J28/$R$3</f>
        <v>0</v>
      </c>
      <c r="T28" s="126" t="n">
        <f aca="false">L28/$R$3</f>
        <v>0</v>
      </c>
      <c r="U28" s="126" t="n">
        <f aca="false">I28/$R$3</f>
        <v>0</v>
      </c>
      <c r="V28" s="126" t="n">
        <f aca="false">M28/$R$3</f>
        <v>0</v>
      </c>
      <c r="W28" s="126" t="n">
        <f aca="false">N28/$R$3</f>
        <v>0</v>
      </c>
    </row>
    <row r="29" customFormat="false" ht="12.75" hidden="true" customHeight="false" outlineLevel="0" collapsed="false">
      <c r="A29" s="120" t="n">
        <f aca="false">A28+1</f>
        <v>36915</v>
      </c>
      <c r="B29" s="131" t="str">
        <f aca="false">INDEX('Master Data'!$A$2:$B$8,MATCH(WEEKDAY('ARG Gas Transport'!A29,3),'Master Data'!$A$2:$A$8,0),2)</f>
        <v>W</v>
      </c>
      <c r="D29" s="124" t="n">
        <v>0</v>
      </c>
      <c r="E29" s="124" t="n">
        <v>0</v>
      </c>
      <c r="F29" s="124" t="n">
        <v>0</v>
      </c>
      <c r="G29" s="124" t="n">
        <v>0</v>
      </c>
      <c r="I29" s="124" t="n">
        <f aca="false">IF(MONTH($A29)=MONTH($A28),IF(G29=0,I28,G29),0)</f>
        <v>0</v>
      </c>
      <c r="J29" s="124" t="n">
        <f aca="false">IF(MONTH($A29)=MONTH($A28),SUM(I29-I28),I29)</f>
        <v>0</v>
      </c>
      <c r="K29" s="124" t="n">
        <f aca="false">IF(WEEKDAY(A29,3)&gt;4,0,(IF(A29&lt;K$2,0,IF(A29&lt;=K$3,1,0))))</f>
        <v>0</v>
      </c>
      <c r="L29" s="124" t="n">
        <f aca="false">J29*K29</f>
        <v>0</v>
      </c>
      <c r="M29" s="124" t="n">
        <f aca="false">SUM(J$6:J29)</f>
        <v>0</v>
      </c>
      <c r="N29" s="124" t="n">
        <f aca="false">SUM(J$6:J29)</f>
        <v>0</v>
      </c>
      <c r="P29" s="124" t="n">
        <f aca="false">D29/P$3</f>
        <v>0</v>
      </c>
      <c r="Q29" s="124" t="n">
        <f aca="false">E29/P$3</f>
        <v>0</v>
      </c>
      <c r="R29" s="124" t="n">
        <f aca="false">F29/R$3</f>
        <v>0</v>
      </c>
      <c r="S29" s="126" t="n">
        <f aca="false">J29/$R$3</f>
        <v>0</v>
      </c>
      <c r="T29" s="126" t="n">
        <f aca="false">L29/$R$3</f>
        <v>0</v>
      </c>
      <c r="U29" s="126" t="n">
        <f aca="false">I29/$R$3</f>
        <v>0</v>
      </c>
      <c r="V29" s="126" t="n">
        <f aca="false">M29/$R$3</f>
        <v>0</v>
      </c>
      <c r="W29" s="126" t="n">
        <f aca="false">N29/$R$3</f>
        <v>0</v>
      </c>
    </row>
    <row r="30" customFormat="false" ht="12.75" hidden="true" customHeight="false" outlineLevel="0" collapsed="false">
      <c r="A30" s="120" t="n">
        <f aca="false">A29+1</f>
        <v>36916</v>
      </c>
      <c r="B30" s="131" t="str">
        <f aca="false">INDEX('Master Data'!$A$2:$B$8,MATCH(WEEKDAY('ARG Gas Transport'!A30,3),'Master Data'!$A$2:$A$8,0),2)</f>
        <v>Th</v>
      </c>
      <c r="D30" s="124" t="n">
        <v>0</v>
      </c>
      <c r="E30" s="124" t="n">
        <v>0</v>
      </c>
      <c r="F30" s="124" t="n">
        <v>0</v>
      </c>
      <c r="G30" s="124" t="n">
        <v>0</v>
      </c>
      <c r="I30" s="124" t="n">
        <f aca="false">IF(MONTH($A30)=MONTH($A29),IF(G30=0,I29,G30),0)</f>
        <v>0</v>
      </c>
      <c r="J30" s="124" t="n">
        <f aca="false">IF(MONTH($A30)=MONTH($A29),SUM(I30-I29),I30)</f>
        <v>0</v>
      </c>
      <c r="K30" s="124" t="n">
        <f aca="false">IF(WEEKDAY(A30,3)&gt;4,0,(IF(A30&lt;K$2,0,IF(A30&lt;=K$3,1,0))))</f>
        <v>0</v>
      </c>
      <c r="L30" s="124" t="n">
        <f aca="false">J30*K30</f>
        <v>0</v>
      </c>
      <c r="M30" s="124" t="n">
        <f aca="false">SUM(J$6:J30)</f>
        <v>0</v>
      </c>
      <c r="N30" s="124" t="n">
        <f aca="false">SUM(J$6:J30)</f>
        <v>0</v>
      </c>
      <c r="P30" s="124" t="n">
        <f aca="false">D30/P$3</f>
        <v>0</v>
      </c>
      <c r="Q30" s="124" t="n">
        <f aca="false">E30/P$3</f>
        <v>0</v>
      </c>
      <c r="R30" s="124" t="n">
        <f aca="false">F30/R$3</f>
        <v>0</v>
      </c>
      <c r="S30" s="126" t="n">
        <f aca="false">J30/$R$3</f>
        <v>0</v>
      </c>
      <c r="T30" s="126" t="n">
        <f aca="false">L30/$R$3</f>
        <v>0</v>
      </c>
      <c r="U30" s="126" t="n">
        <f aca="false">I30/$R$3</f>
        <v>0</v>
      </c>
      <c r="V30" s="126" t="n">
        <f aca="false">M30/$R$3</f>
        <v>0</v>
      </c>
      <c r="W30" s="126" t="n">
        <f aca="false">N30/$R$3</f>
        <v>0</v>
      </c>
    </row>
    <row r="31" customFormat="false" ht="12.75" hidden="true" customHeight="false" outlineLevel="0" collapsed="false">
      <c r="A31" s="120" t="n">
        <f aca="false">A30+1</f>
        <v>36917</v>
      </c>
      <c r="B31" s="131" t="str">
        <f aca="false">INDEX('Master Data'!$A$2:$B$8,MATCH(WEEKDAY('ARG Gas Transport'!A31,3),'Master Data'!$A$2:$A$8,0),2)</f>
        <v>F</v>
      </c>
      <c r="D31" s="124" t="n">
        <v>0</v>
      </c>
      <c r="E31" s="124" t="n">
        <v>0</v>
      </c>
      <c r="F31" s="124" t="n">
        <v>0</v>
      </c>
      <c r="G31" s="124" t="n">
        <v>0</v>
      </c>
      <c r="I31" s="124" t="n">
        <f aca="false">IF(MONTH($A31)=MONTH($A30),IF(G31=0,I30,G31),0)</f>
        <v>0</v>
      </c>
      <c r="J31" s="124" t="n">
        <f aca="false">IF(MONTH($A31)=MONTH($A30),SUM(I31-I30),I31)</f>
        <v>0</v>
      </c>
      <c r="K31" s="124" t="n">
        <f aca="false">IF(WEEKDAY(A31,3)&gt;4,0,(IF(A31&lt;K$2,0,IF(A31&lt;=K$3,1,0))))</f>
        <v>0</v>
      </c>
      <c r="L31" s="124" t="n">
        <f aca="false">J31*K31</f>
        <v>0</v>
      </c>
      <c r="M31" s="124" t="n">
        <f aca="false">SUM(J$6:J31)</f>
        <v>0</v>
      </c>
      <c r="N31" s="124" t="n">
        <f aca="false">SUM(J$6:J31)</f>
        <v>0</v>
      </c>
      <c r="P31" s="124" t="n">
        <f aca="false">D31/P$3</f>
        <v>0</v>
      </c>
      <c r="Q31" s="124" t="n">
        <f aca="false">E31/P$3</f>
        <v>0</v>
      </c>
      <c r="R31" s="124" t="n">
        <f aca="false">F31/R$3</f>
        <v>0</v>
      </c>
      <c r="S31" s="126" t="n">
        <f aca="false">J31/$R$3</f>
        <v>0</v>
      </c>
      <c r="T31" s="126" t="n">
        <f aca="false">L31/$R$3</f>
        <v>0</v>
      </c>
      <c r="U31" s="126" t="n">
        <f aca="false">I31/$R$3</f>
        <v>0</v>
      </c>
      <c r="V31" s="126" t="n">
        <f aca="false">M31/$R$3</f>
        <v>0</v>
      </c>
      <c r="W31" s="126" t="n">
        <f aca="false">N31/$R$3</f>
        <v>0</v>
      </c>
    </row>
    <row r="32" customFormat="false" ht="12.75" hidden="true" customHeight="false" outlineLevel="0" collapsed="false">
      <c r="A32" s="120" t="n">
        <f aca="false">A31+1</f>
        <v>36918</v>
      </c>
      <c r="B32" s="131" t="str">
        <f aca="false">INDEX('Master Data'!$A$2:$B$8,MATCH(WEEKDAY('ARG Gas Transport'!A32,3),'Master Data'!$A$2:$A$8,0),2)</f>
        <v>Sa</v>
      </c>
      <c r="D32" s="124" t="n">
        <v>0</v>
      </c>
      <c r="E32" s="124" t="n">
        <v>0</v>
      </c>
      <c r="F32" s="124" t="n">
        <v>0</v>
      </c>
      <c r="G32" s="124" t="n">
        <v>0</v>
      </c>
      <c r="I32" s="124" t="n">
        <f aca="false">IF(MONTH($A32)=MONTH($A31),IF(G32=0,I31,G32),0)</f>
        <v>0</v>
      </c>
      <c r="J32" s="124" t="n">
        <f aca="false">IF(MONTH($A32)=MONTH($A31),SUM(I32-I31),I32)</f>
        <v>0</v>
      </c>
      <c r="K32" s="124" t="n">
        <f aca="false">IF(WEEKDAY(A32,3)&gt;4,0,(IF(A32&lt;K$2,0,IF(A32&lt;=K$3,1,0))))</f>
        <v>0</v>
      </c>
      <c r="L32" s="124" t="n">
        <f aca="false">J32*K32</f>
        <v>0</v>
      </c>
      <c r="M32" s="124" t="n">
        <f aca="false">SUM(J$6:J32)</f>
        <v>0</v>
      </c>
      <c r="N32" s="124" t="n">
        <f aca="false">SUM(J$6:J32)</f>
        <v>0</v>
      </c>
      <c r="P32" s="124" t="n">
        <f aca="false">D32/P$3</f>
        <v>0</v>
      </c>
      <c r="Q32" s="124" t="n">
        <f aca="false">E32/P$3</f>
        <v>0</v>
      </c>
      <c r="R32" s="124" t="n">
        <f aca="false">F32/R$3</f>
        <v>0</v>
      </c>
      <c r="S32" s="126" t="n">
        <f aca="false">J32/$R$3</f>
        <v>0</v>
      </c>
      <c r="T32" s="126" t="n">
        <f aca="false">L32/$R$3</f>
        <v>0</v>
      </c>
      <c r="U32" s="126" t="n">
        <f aca="false">I32/$R$3</f>
        <v>0</v>
      </c>
      <c r="V32" s="126" t="n">
        <f aca="false">M32/$R$3</f>
        <v>0</v>
      </c>
      <c r="W32" s="126" t="n">
        <f aca="false">N32/$R$3</f>
        <v>0</v>
      </c>
    </row>
    <row r="33" customFormat="false" ht="12.75" hidden="true" customHeight="false" outlineLevel="0" collapsed="false">
      <c r="A33" s="120" t="n">
        <f aca="false">A32+1</f>
        <v>36919</v>
      </c>
      <c r="B33" s="131" t="str">
        <f aca="false">INDEX('Master Data'!$A$2:$B$8,MATCH(WEEKDAY('ARG Gas Transport'!A33,3),'Master Data'!$A$2:$A$8,0),2)</f>
        <v>Su</v>
      </c>
      <c r="D33" s="124" t="n">
        <v>0</v>
      </c>
      <c r="E33" s="124" t="n">
        <v>0</v>
      </c>
      <c r="F33" s="124" t="n">
        <v>0</v>
      </c>
      <c r="G33" s="124" t="n">
        <v>0</v>
      </c>
      <c r="I33" s="124" t="n">
        <f aca="false">IF(MONTH($A33)=MONTH($A32),IF(G33=0,I32,G33),0)</f>
        <v>0</v>
      </c>
      <c r="J33" s="124" t="n">
        <f aca="false">IF(MONTH($A33)=MONTH($A32),SUM(I33-I32),I33)</f>
        <v>0</v>
      </c>
      <c r="K33" s="124" t="n">
        <f aca="false">IF(WEEKDAY(A33,3)&gt;4,0,(IF(A33&lt;K$2,0,IF(A33&lt;=K$3,1,0))))</f>
        <v>0</v>
      </c>
      <c r="L33" s="124" t="n">
        <f aca="false">J33*K33</f>
        <v>0</v>
      </c>
      <c r="M33" s="124" t="n">
        <f aca="false">SUM(J$6:J33)</f>
        <v>0</v>
      </c>
      <c r="N33" s="124" t="n">
        <f aca="false">SUM(J$6:J33)</f>
        <v>0</v>
      </c>
      <c r="P33" s="124" t="n">
        <f aca="false">D33/P$3</f>
        <v>0</v>
      </c>
      <c r="Q33" s="124" t="n">
        <f aca="false">E33/P$3</f>
        <v>0</v>
      </c>
      <c r="R33" s="124" t="n">
        <f aca="false">F33/R$3</f>
        <v>0</v>
      </c>
      <c r="S33" s="126" t="n">
        <f aca="false">J33/$R$3</f>
        <v>0</v>
      </c>
      <c r="T33" s="126" t="n">
        <f aca="false">L33/$R$3</f>
        <v>0</v>
      </c>
      <c r="U33" s="126" t="n">
        <f aca="false">I33/$R$3</f>
        <v>0</v>
      </c>
      <c r="V33" s="126" t="n">
        <f aca="false">M33/$R$3</f>
        <v>0</v>
      </c>
      <c r="W33" s="126" t="n">
        <f aca="false">N33/$R$3</f>
        <v>0</v>
      </c>
    </row>
    <row r="34" customFormat="false" ht="12.75" hidden="true" customHeight="false" outlineLevel="0" collapsed="false">
      <c r="A34" s="120" t="n">
        <f aca="false">A33+1</f>
        <v>36920</v>
      </c>
      <c r="B34" s="131" t="str">
        <f aca="false">INDEX('Master Data'!$A$2:$B$8,MATCH(WEEKDAY('ARG Gas Transport'!A34,3),'Master Data'!$A$2:$A$8,0),2)</f>
        <v>M</v>
      </c>
      <c r="D34" s="124" t="n">
        <v>0</v>
      </c>
      <c r="E34" s="124" t="n">
        <v>0</v>
      </c>
      <c r="F34" s="124" t="n">
        <v>0</v>
      </c>
      <c r="G34" s="124" t="n">
        <v>0</v>
      </c>
      <c r="I34" s="124" t="n">
        <f aca="false">IF(MONTH($A34)=MONTH($A33),IF(G34=0,I33,G34),0)</f>
        <v>0</v>
      </c>
      <c r="J34" s="124" t="n">
        <f aca="false">IF(MONTH($A34)=MONTH($A33),SUM(I34-I33),I34)</f>
        <v>0</v>
      </c>
      <c r="K34" s="124" t="n">
        <f aca="false">IF(WEEKDAY(A34,3)&gt;4,0,(IF(A34&lt;K$2,0,IF(A34&lt;=K$3,1,0))))</f>
        <v>0</v>
      </c>
      <c r="L34" s="124" t="n">
        <f aca="false">J34*K34</f>
        <v>0</v>
      </c>
      <c r="M34" s="124" t="n">
        <f aca="false">SUM(J$6:J34)</f>
        <v>0</v>
      </c>
      <c r="N34" s="124" t="n">
        <f aca="false">SUM(J$6:J34)</f>
        <v>0</v>
      </c>
      <c r="P34" s="124" t="n">
        <f aca="false">D34/P$3</f>
        <v>0</v>
      </c>
      <c r="Q34" s="124" t="n">
        <f aca="false">E34/P$3</f>
        <v>0</v>
      </c>
      <c r="R34" s="124" t="n">
        <f aca="false">F34/R$3</f>
        <v>0</v>
      </c>
      <c r="S34" s="126" t="n">
        <f aca="false">J34/$R$3</f>
        <v>0</v>
      </c>
      <c r="T34" s="126" t="n">
        <f aca="false">L34/$R$3</f>
        <v>0</v>
      </c>
      <c r="U34" s="126" t="n">
        <f aca="false">I34/$R$3</f>
        <v>0</v>
      </c>
      <c r="V34" s="126" t="n">
        <f aca="false">M34/$R$3</f>
        <v>0</v>
      </c>
      <c r="W34" s="126" t="n">
        <f aca="false">N34/$R$3</f>
        <v>0</v>
      </c>
    </row>
    <row r="35" customFormat="false" ht="12.75" hidden="true" customHeight="false" outlineLevel="0" collapsed="false">
      <c r="A35" s="120" t="n">
        <f aca="false">A34+1</f>
        <v>36921</v>
      </c>
      <c r="B35" s="131" t="str">
        <f aca="false">INDEX('Master Data'!$A$2:$B$8,MATCH(WEEKDAY('ARG Gas Transport'!A35,3),'Master Data'!$A$2:$A$8,0),2)</f>
        <v>T</v>
      </c>
      <c r="D35" s="124" t="n">
        <v>0</v>
      </c>
      <c r="E35" s="124" t="n">
        <v>0</v>
      </c>
      <c r="F35" s="124" t="n">
        <v>0</v>
      </c>
      <c r="G35" s="124" t="n">
        <v>0</v>
      </c>
      <c r="I35" s="124" t="n">
        <f aca="false">IF(MONTH($A35)=MONTH($A34),IF(G35=0,I34,G35),0)</f>
        <v>0</v>
      </c>
      <c r="J35" s="124" t="n">
        <f aca="false">IF(MONTH($A35)=MONTH($A34),SUM(I35-I34),I35)</f>
        <v>0</v>
      </c>
      <c r="K35" s="124" t="n">
        <f aca="false">IF(WEEKDAY(A35,3)&gt;4,0,(IF(A35&lt;K$2,0,IF(A35&lt;=K$3,1,0))))</f>
        <v>0</v>
      </c>
      <c r="L35" s="124" t="n">
        <f aca="false">J35*K35</f>
        <v>0</v>
      </c>
      <c r="M35" s="124" t="n">
        <f aca="false">SUM(J$6:J35)</f>
        <v>0</v>
      </c>
      <c r="N35" s="124" t="n">
        <f aca="false">SUM(J$6:J35)</f>
        <v>0</v>
      </c>
      <c r="P35" s="124" t="n">
        <f aca="false">D35/P$3</f>
        <v>0</v>
      </c>
      <c r="Q35" s="124" t="n">
        <f aca="false">E35/P$3</f>
        <v>0</v>
      </c>
      <c r="R35" s="124" t="n">
        <f aca="false">F35/R$3</f>
        <v>0</v>
      </c>
      <c r="S35" s="126" t="n">
        <f aca="false">J35/$R$3</f>
        <v>0</v>
      </c>
      <c r="T35" s="126" t="n">
        <f aca="false">L35/$R$3</f>
        <v>0</v>
      </c>
      <c r="U35" s="126" t="n">
        <f aca="false">I35/$R$3</f>
        <v>0</v>
      </c>
      <c r="V35" s="126" t="n">
        <f aca="false">M35/$R$3</f>
        <v>0</v>
      </c>
      <c r="W35" s="126" t="n">
        <f aca="false">N35/$R$3</f>
        <v>0</v>
      </c>
    </row>
    <row r="36" customFormat="false" ht="12.75" hidden="false" customHeight="false" outlineLevel="0" collapsed="false">
      <c r="A36" s="120" t="n">
        <f aca="false">A35+1</f>
        <v>36922</v>
      </c>
      <c r="B36" s="131" t="str">
        <f aca="false">INDEX('Master Data'!$A$2:$B$8,MATCH(WEEKDAY('ARG Gas Transport'!A36,3),'Master Data'!$A$2:$A$8,0),2)</f>
        <v>W</v>
      </c>
      <c r="D36" s="124" t="n">
        <v>0</v>
      </c>
      <c r="E36" s="124" t="n">
        <v>0</v>
      </c>
      <c r="F36" s="124" t="n">
        <v>0</v>
      </c>
      <c r="G36" s="124" t="n">
        <v>-256232</v>
      </c>
      <c r="I36" s="124" t="n">
        <f aca="false">IF(MONTH($A36)=MONTH($A35),IF(G36=0,I35,G36),0)</f>
        <v>-256232</v>
      </c>
      <c r="J36" s="124" t="n">
        <f aca="false">IF(MONTH($A36)=MONTH($A35),SUM(I36-I35),I36)</f>
        <v>-256232</v>
      </c>
      <c r="K36" s="124" t="n">
        <f aca="false">IF(WEEKDAY(A36,3)&gt;4,0,(IF(A36&lt;K$2,0,IF(A36&lt;=K$3,1,0))))</f>
        <v>0</v>
      </c>
      <c r="L36" s="124" t="n">
        <f aca="false">J36*K36</f>
        <v>-0</v>
      </c>
      <c r="M36" s="124" t="n">
        <f aca="false">SUM(J$6:J36)</f>
        <v>-256232</v>
      </c>
      <c r="N36" s="124" t="n">
        <f aca="false">SUM(J$6:J36)</f>
        <v>-256232</v>
      </c>
      <c r="P36" s="124" t="n">
        <f aca="false">D36/P$3</f>
        <v>0</v>
      </c>
      <c r="Q36" s="124" t="n">
        <f aca="false">E36/P$3</f>
        <v>0</v>
      </c>
      <c r="R36" s="124" t="n">
        <f aca="false">F36/R$3</f>
        <v>0</v>
      </c>
      <c r="S36" s="126" t="n">
        <f aca="false">J36/$R$3</f>
        <v>-256.232</v>
      </c>
      <c r="T36" s="126" t="n">
        <f aca="false">L36/$R$3</f>
        <v>-0</v>
      </c>
      <c r="U36" s="126" t="n">
        <f aca="false">I36/$R$3</f>
        <v>-256.232</v>
      </c>
      <c r="V36" s="126" t="n">
        <f aca="false">M36/$R$3</f>
        <v>-256.232</v>
      </c>
      <c r="W36" s="126" t="n">
        <f aca="false">N36/$R$3</f>
        <v>-256.232</v>
      </c>
    </row>
    <row r="37" customFormat="false" ht="12.75" hidden="true" customHeight="false" outlineLevel="0" collapsed="false">
      <c r="A37" s="120" t="n">
        <f aca="false">A36+1</f>
        <v>36923</v>
      </c>
      <c r="B37" s="131" t="str">
        <f aca="false">INDEX('Master Data'!$A$2:$B$8,MATCH(WEEKDAY('ARG Gas Transport'!A37,3),'Master Data'!$A$2:$A$8,0),2)</f>
        <v>Th</v>
      </c>
      <c r="D37" s="124" t="n">
        <v>0</v>
      </c>
      <c r="E37" s="124" t="n">
        <v>0</v>
      </c>
      <c r="F37" s="124" t="n">
        <v>0</v>
      </c>
      <c r="G37" s="124" t="n">
        <v>0</v>
      </c>
      <c r="I37" s="124" t="n">
        <f aca="false">IF(MONTH($A37)=MONTH($A36),IF(G37=0,I36,G37),G37)</f>
        <v>0</v>
      </c>
      <c r="J37" s="124" t="n">
        <f aca="false">IF(MONTH($A37)=MONTH($A36),SUM(I37-I36),I37)</f>
        <v>0</v>
      </c>
      <c r="K37" s="124" t="n">
        <f aca="false">IF(WEEKDAY(A37,3)&gt;4,0,(IF(A37&lt;K$2,0,IF(A37&lt;=K$3,1,0))))</f>
        <v>0</v>
      </c>
      <c r="L37" s="124" t="n">
        <f aca="false">J37*K37</f>
        <v>0</v>
      </c>
      <c r="M37" s="124" t="n">
        <f aca="false">SUM(J$6:J37)</f>
        <v>-256232</v>
      </c>
      <c r="N37" s="124" t="n">
        <f aca="false">SUM(J$6:J37)</f>
        <v>-256232</v>
      </c>
      <c r="P37" s="124" t="n">
        <f aca="false">D37/P$3</f>
        <v>0</v>
      </c>
      <c r="Q37" s="124" t="n">
        <f aca="false">E37/P$3</f>
        <v>0</v>
      </c>
      <c r="R37" s="124" t="n">
        <f aca="false">F37/R$3</f>
        <v>0</v>
      </c>
      <c r="S37" s="126" t="n">
        <f aca="false">J37/$R$3</f>
        <v>0</v>
      </c>
      <c r="T37" s="126" t="n">
        <f aca="false">L37/$R$3</f>
        <v>0</v>
      </c>
      <c r="U37" s="126" t="n">
        <f aca="false">I37/$R$3</f>
        <v>0</v>
      </c>
      <c r="V37" s="126" t="n">
        <f aca="false">M37/$R$3</f>
        <v>-256.232</v>
      </c>
      <c r="W37" s="126" t="n">
        <f aca="false">N37/$R$3</f>
        <v>-256.232</v>
      </c>
    </row>
    <row r="38" customFormat="false" ht="12.75" hidden="true" customHeight="false" outlineLevel="0" collapsed="false">
      <c r="A38" s="120" t="n">
        <f aca="false">A37+1</f>
        <v>36924</v>
      </c>
      <c r="B38" s="131" t="str">
        <f aca="false">INDEX('Master Data'!$A$2:$B$8,MATCH(WEEKDAY('ARG Gas Transport'!A38,3),'Master Data'!$A$2:$A$8,0),2)</f>
        <v>F</v>
      </c>
      <c r="D38" s="124" t="n">
        <v>0</v>
      </c>
      <c r="E38" s="124" t="n">
        <v>0</v>
      </c>
      <c r="F38" s="124" t="n">
        <v>0</v>
      </c>
      <c r="G38" s="124" t="n">
        <v>0</v>
      </c>
      <c r="I38" s="124" t="n">
        <f aca="false">IF(MONTH($A38)=MONTH($A37),IF(G38=0,I37,G38),G38)</f>
        <v>0</v>
      </c>
      <c r="J38" s="124" t="n">
        <f aca="false">IF(MONTH($A38)=MONTH($A37),SUM(I38-I37),I38)</f>
        <v>0</v>
      </c>
      <c r="K38" s="124" t="n">
        <f aca="false">IF(WEEKDAY(A38,3)&gt;4,0,(IF(A38&lt;K$2,0,IF(A38&lt;=K$3,1,0))))</f>
        <v>0</v>
      </c>
      <c r="L38" s="124" t="n">
        <f aca="false">J38*K38</f>
        <v>0</v>
      </c>
      <c r="M38" s="124" t="n">
        <f aca="false">SUM(J$6:J38)</f>
        <v>-256232</v>
      </c>
      <c r="N38" s="124" t="n">
        <f aca="false">SUM(J$6:J38)</f>
        <v>-256232</v>
      </c>
      <c r="P38" s="124" t="n">
        <f aca="false">D38/P$3</f>
        <v>0</v>
      </c>
      <c r="Q38" s="124" t="n">
        <f aca="false">E38/P$3</f>
        <v>0</v>
      </c>
      <c r="R38" s="124" t="n">
        <f aca="false">F38/R$3</f>
        <v>0</v>
      </c>
      <c r="S38" s="126" t="n">
        <f aca="false">J38/$R$3</f>
        <v>0</v>
      </c>
      <c r="T38" s="126" t="n">
        <f aca="false">L38/$R$3</f>
        <v>0</v>
      </c>
      <c r="U38" s="126" t="n">
        <f aca="false">I38/$R$3</f>
        <v>0</v>
      </c>
      <c r="V38" s="126" t="n">
        <f aca="false">M38/$R$3</f>
        <v>-256.232</v>
      </c>
      <c r="W38" s="126" t="n">
        <f aca="false">N38/$R$3</f>
        <v>-256.232</v>
      </c>
    </row>
    <row r="39" customFormat="false" ht="12.75" hidden="true" customHeight="false" outlineLevel="0" collapsed="false">
      <c r="A39" s="120" t="n">
        <f aca="false">A38+1</f>
        <v>36925</v>
      </c>
      <c r="B39" s="131" t="str">
        <f aca="false">INDEX('Master Data'!$A$2:$B$8,MATCH(WEEKDAY('ARG Gas Transport'!A39,3),'Master Data'!$A$2:$A$8,0),2)</f>
        <v>Sa</v>
      </c>
      <c r="D39" s="124" t="n">
        <v>0</v>
      </c>
      <c r="E39" s="124" t="n">
        <v>0</v>
      </c>
      <c r="F39" s="124" t="n">
        <v>0</v>
      </c>
      <c r="G39" s="124" t="n">
        <v>0</v>
      </c>
      <c r="I39" s="124" t="n">
        <f aca="false">IF(MONTH($A39)=MONTH($A38),IF(G39=0,I38,G39),G39)</f>
        <v>0</v>
      </c>
      <c r="J39" s="124" t="n">
        <f aca="false">IF(MONTH($A39)=MONTH($A38),SUM(I39-I38),I39)</f>
        <v>0</v>
      </c>
      <c r="K39" s="124" t="n">
        <f aca="false">IF(WEEKDAY(A39,3)&gt;4,0,(IF(A39&lt;K$2,0,IF(A39&lt;=K$3,1,0))))</f>
        <v>0</v>
      </c>
      <c r="L39" s="124" t="n">
        <f aca="false">J39*K39</f>
        <v>0</v>
      </c>
      <c r="M39" s="124" t="n">
        <f aca="false">SUM(J$6:J39)</f>
        <v>-256232</v>
      </c>
      <c r="N39" s="124" t="n">
        <f aca="false">SUM(J$6:J39)</f>
        <v>-256232</v>
      </c>
      <c r="P39" s="124" t="n">
        <f aca="false">D39/P$3</f>
        <v>0</v>
      </c>
      <c r="Q39" s="124" t="n">
        <f aca="false">E39/P$3</f>
        <v>0</v>
      </c>
      <c r="R39" s="124" t="n">
        <f aca="false">F39/R$3</f>
        <v>0</v>
      </c>
      <c r="S39" s="126" t="n">
        <f aca="false">J39/$R$3</f>
        <v>0</v>
      </c>
      <c r="T39" s="126" t="n">
        <f aca="false">L39/$R$3</f>
        <v>0</v>
      </c>
      <c r="U39" s="126" t="n">
        <f aca="false">I39/$R$3</f>
        <v>0</v>
      </c>
      <c r="V39" s="126" t="n">
        <f aca="false">M39/$R$3</f>
        <v>-256.232</v>
      </c>
      <c r="W39" s="126" t="n">
        <f aca="false">N39/$R$3</f>
        <v>-256.232</v>
      </c>
    </row>
    <row r="40" customFormat="false" ht="12.75" hidden="true" customHeight="false" outlineLevel="0" collapsed="false">
      <c r="A40" s="120" t="n">
        <f aca="false">A39+1</f>
        <v>36926</v>
      </c>
      <c r="B40" s="131" t="str">
        <f aca="false">INDEX('Master Data'!$A$2:$B$8,MATCH(WEEKDAY('ARG Gas Transport'!A40,3),'Master Data'!$A$2:$A$8,0),2)</f>
        <v>Su</v>
      </c>
      <c r="D40" s="124" t="n">
        <v>0</v>
      </c>
      <c r="E40" s="124" t="n">
        <v>0</v>
      </c>
      <c r="F40" s="124" t="n">
        <v>0</v>
      </c>
      <c r="G40" s="124" t="n">
        <v>0</v>
      </c>
      <c r="I40" s="124" t="n">
        <f aca="false">IF(MONTH($A40)=MONTH($A39),IF(G40=0,I39,G40),G40)</f>
        <v>0</v>
      </c>
      <c r="J40" s="124" t="n">
        <f aca="false">IF(MONTH($A40)=MONTH($A39),SUM(I40-I39),I40)</f>
        <v>0</v>
      </c>
      <c r="K40" s="124" t="n">
        <f aca="false">IF(WEEKDAY(A40,3)&gt;4,0,(IF(A40&lt;K$2,0,IF(A40&lt;=K$3,1,0))))</f>
        <v>0</v>
      </c>
      <c r="L40" s="124" t="n">
        <f aca="false">J40*K40</f>
        <v>0</v>
      </c>
      <c r="M40" s="124" t="n">
        <f aca="false">SUM(J$6:J40)</f>
        <v>-256232</v>
      </c>
      <c r="N40" s="124" t="n">
        <f aca="false">SUM(J$6:J40)</f>
        <v>-256232</v>
      </c>
      <c r="P40" s="124" t="n">
        <f aca="false">D40/P$3</f>
        <v>0</v>
      </c>
      <c r="Q40" s="124" t="n">
        <f aca="false">E40/P$3</f>
        <v>0</v>
      </c>
      <c r="R40" s="124" t="n">
        <f aca="false">F40/R$3</f>
        <v>0</v>
      </c>
      <c r="S40" s="126" t="n">
        <f aca="false">J40/$R$3</f>
        <v>0</v>
      </c>
      <c r="T40" s="126" t="n">
        <f aca="false">L40/$R$3</f>
        <v>0</v>
      </c>
      <c r="U40" s="126" t="n">
        <f aca="false">I40/$R$3</f>
        <v>0</v>
      </c>
      <c r="V40" s="126" t="n">
        <f aca="false">M40/$R$3</f>
        <v>-256.232</v>
      </c>
      <c r="W40" s="126" t="n">
        <f aca="false">N40/$R$3</f>
        <v>-256.232</v>
      </c>
    </row>
    <row r="41" customFormat="false" ht="12.75" hidden="true" customHeight="false" outlineLevel="0" collapsed="false">
      <c r="A41" s="120" t="n">
        <f aca="false">A40+1</f>
        <v>36927</v>
      </c>
      <c r="B41" s="131" t="str">
        <f aca="false">INDEX('Master Data'!$A$2:$B$8,MATCH(WEEKDAY('ARG Gas Transport'!A41,3),'Master Data'!$A$2:$A$8,0),2)</f>
        <v>M</v>
      </c>
      <c r="D41" s="124" t="n">
        <v>0</v>
      </c>
      <c r="E41" s="124" t="n">
        <v>0</v>
      </c>
      <c r="F41" s="124" t="n">
        <v>0</v>
      </c>
      <c r="G41" s="124" t="n">
        <v>0</v>
      </c>
      <c r="I41" s="124" t="n">
        <f aca="false">IF(MONTH($A41)=MONTH($A40),IF(G41=0,I40,G41),G41)</f>
        <v>0</v>
      </c>
      <c r="J41" s="124" t="n">
        <f aca="false">IF(MONTH($A41)=MONTH($A40),SUM(I41-I40),I41)</f>
        <v>0</v>
      </c>
      <c r="K41" s="124" t="n">
        <f aca="false">IF(WEEKDAY(A41,3)&gt;4,0,(IF(A41&lt;K$2,0,IF(A41&lt;=K$3,1,0))))</f>
        <v>0</v>
      </c>
      <c r="L41" s="124" t="n">
        <f aca="false">J41*K41</f>
        <v>0</v>
      </c>
      <c r="M41" s="124" t="n">
        <f aca="false">SUM(J$6:J41)</f>
        <v>-256232</v>
      </c>
      <c r="N41" s="124" t="n">
        <f aca="false">SUM(J$6:J41)</f>
        <v>-256232</v>
      </c>
      <c r="P41" s="124" t="n">
        <f aca="false">D41/P$3</f>
        <v>0</v>
      </c>
      <c r="Q41" s="124" t="n">
        <f aca="false">E41/P$3</f>
        <v>0</v>
      </c>
      <c r="R41" s="124" t="n">
        <f aca="false">F41/R$3</f>
        <v>0</v>
      </c>
      <c r="S41" s="126" t="n">
        <f aca="false">J41/$R$3</f>
        <v>0</v>
      </c>
      <c r="T41" s="126" t="n">
        <f aca="false">L41/$R$3</f>
        <v>0</v>
      </c>
      <c r="U41" s="126" t="n">
        <f aca="false">I41/$R$3</f>
        <v>0</v>
      </c>
      <c r="V41" s="126" t="n">
        <f aca="false">M41/$R$3</f>
        <v>-256.232</v>
      </c>
      <c r="W41" s="126" t="n">
        <f aca="false">N41/$R$3</f>
        <v>-256.232</v>
      </c>
    </row>
    <row r="42" customFormat="false" ht="12.75" hidden="true" customHeight="false" outlineLevel="0" collapsed="false">
      <c r="A42" s="120" t="n">
        <f aca="false">A41+1</f>
        <v>36928</v>
      </c>
      <c r="B42" s="131" t="str">
        <f aca="false">INDEX('Master Data'!$A$2:$B$8,MATCH(WEEKDAY('ARG Gas Transport'!A42,3),'Master Data'!$A$2:$A$8,0),2)</f>
        <v>T</v>
      </c>
      <c r="D42" s="124" t="n">
        <v>0</v>
      </c>
      <c r="E42" s="124" t="n">
        <v>0</v>
      </c>
      <c r="F42" s="124" t="n">
        <v>0</v>
      </c>
      <c r="G42" s="124" t="n">
        <v>0</v>
      </c>
      <c r="I42" s="124" t="n">
        <f aca="false">IF(MONTH($A42)=MONTH($A41),IF(G42=0,I41,G42),G42)</f>
        <v>0</v>
      </c>
      <c r="J42" s="124" t="n">
        <f aca="false">IF(MONTH($A42)=MONTH($A41),SUM(I42-I41),I42)</f>
        <v>0</v>
      </c>
      <c r="K42" s="124" t="n">
        <f aca="false">IF(WEEKDAY(A42,3)&gt;4,0,(IF(A42&lt;K$2,0,IF(A42&lt;=K$3,1,0))))</f>
        <v>0</v>
      </c>
      <c r="L42" s="124" t="n">
        <f aca="false">J42*K42</f>
        <v>0</v>
      </c>
      <c r="M42" s="124" t="n">
        <f aca="false">SUM(J$6:J42)</f>
        <v>-256232</v>
      </c>
      <c r="N42" s="124" t="n">
        <f aca="false">SUM(J$6:J42)</f>
        <v>-256232</v>
      </c>
      <c r="P42" s="124" t="n">
        <f aca="false">D42/P$3</f>
        <v>0</v>
      </c>
      <c r="Q42" s="124" t="n">
        <f aca="false">E42/P$3</f>
        <v>0</v>
      </c>
      <c r="R42" s="124" t="n">
        <f aca="false">F42/R$3</f>
        <v>0</v>
      </c>
      <c r="S42" s="126" t="n">
        <f aca="false">J42/$R$3</f>
        <v>0</v>
      </c>
      <c r="T42" s="126" t="n">
        <f aca="false">L42/$R$3</f>
        <v>0</v>
      </c>
      <c r="U42" s="126" t="n">
        <f aca="false">I42/$R$3</f>
        <v>0</v>
      </c>
      <c r="V42" s="126" t="n">
        <f aca="false">M42/$R$3</f>
        <v>-256.232</v>
      </c>
      <c r="W42" s="126" t="n">
        <f aca="false">N42/$R$3</f>
        <v>-256.232</v>
      </c>
    </row>
    <row r="43" customFormat="false" ht="12.75" hidden="true" customHeight="false" outlineLevel="0" collapsed="false">
      <c r="A43" s="120" t="n">
        <f aca="false">A42+1</f>
        <v>36929</v>
      </c>
      <c r="B43" s="131" t="str">
        <f aca="false">INDEX('Master Data'!$A$2:$B$8,MATCH(WEEKDAY('ARG Gas Transport'!A43,3),'Master Data'!$A$2:$A$8,0),2)</f>
        <v>W</v>
      </c>
      <c r="D43" s="124" t="n">
        <v>0</v>
      </c>
      <c r="E43" s="124" t="n">
        <v>0</v>
      </c>
      <c r="F43" s="124" t="n">
        <v>0</v>
      </c>
      <c r="G43" s="124" t="n">
        <v>0</v>
      </c>
      <c r="I43" s="124" t="n">
        <f aca="false">IF(MONTH($A43)=MONTH($A42),IF(G43=0,I42,G43),G43)</f>
        <v>0</v>
      </c>
      <c r="J43" s="124" t="n">
        <f aca="false">IF(MONTH($A43)=MONTH($A42),SUM(I43-I42),I43)</f>
        <v>0</v>
      </c>
      <c r="K43" s="124" t="n">
        <f aca="false">IF(WEEKDAY(A43,3)&gt;4,0,(IF(A43&lt;K$2,0,IF(A43&lt;=K$3,1,0))))</f>
        <v>0</v>
      </c>
      <c r="L43" s="124" t="n">
        <f aca="false">J43*K43</f>
        <v>0</v>
      </c>
      <c r="M43" s="124" t="n">
        <f aca="false">SUM(J$6:J43)</f>
        <v>-256232</v>
      </c>
      <c r="N43" s="124" t="n">
        <f aca="false">SUM(J$6:J43)</f>
        <v>-256232</v>
      </c>
      <c r="P43" s="124" t="n">
        <f aca="false">D43/P$3</f>
        <v>0</v>
      </c>
      <c r="Q43" s="124" t="n">
        <f aca="false">E43/P$3</f>
        <v>0</v>
      </c>
      <c r="R43" s="124" t="n">
        <f aca="false">F43/R$3</f>
        <v>0</v>
      </c>
      <c r="S43" s="126" t="n">
        <f aca="false">J43/$R$3</f>
        <v>0</v>
      </c>
      <c r="T43" s="126" t="n">
        <f aca="false">L43/$R$3</f>
        <v>0</v>
      </c>
      <c r="U43" s="126" t="n">
        <f aca="false">I43/$R$3</f>
        <v>0</v>
      </c>
      <c r="V43" s="126" t="n">
        <f aca="false">M43/$R$3</f>
        <v>-256.232</v>
      </c>
      <c r="W43" s="126" t="n">
        <f aca="false">N43/$R$3</f>
        <v>-256.232</v>
      </c>
    </row>
    <row r="44" customFormat="false" ht="12.75" hidden="true" customHeight="false" outlineLevel="0" collapsed="false">
      <c r="A44" s="120" t="n">
        <f aca="false">A43+1</f>
        <v>36930</v>
      </c>
      <c r="B44" s="131" t="str">
        <f aca="false">INDEX('Master Data'!$A$2:$B$8,MATCH(WEEKDAY('ARG Gas Transport'!A44,3),'Master Data'!$A$2:$A$8,0),2)</f>
        <v>Th</v>
      </c>
      <c r="D44" s="124" t="n">
        <v>0</v>
      </c>
      <c r="E44" s="124" t="n">
        <v>0</v>
      </c>
      <c r="F44" s="124" t="n">
        <v>0</v>
      </c>
      <c r="G44" s="124" t="n">
        <v>0</v>
      </c>
      <c r="I44" s="124" t="n">
        <f aca="false">IF(MONTH($A44)=MONTH($A43),IF(G44=0,I43,G44),G44)</f>
        <v>0</v>
      </c>
      <c r="J44" s="124" t="n">
        <f aca="false">IF(MONTH($A44)=MONTH($A43),SUM(I44-I43),I44)</f>
        <v>0</v>
      </c>
      <c r="K44" s="124" t="n">
        <f aca="false">IF(WEEKDAY(A44,3)&gt;4,0,(IF(A44&lt;K$2,0,IF(A44&lt;=K$3,1,0))))</f>
        <v>0</v>
      </c>
      <c r="L44" s="124" t="n">
        <f aca="false">J44*K44</f>
        <v>0</v>
      </c>
      <c r="M44" s="124" t="n">
        <f aca="false">SUM(J$6:J44)</f>
        <v>-256232</v>
      </c>
      <c r="N44" s="124" t="n">
        <f aca="false">SUM(J$6:J44)</f>
        <v>-256232</v>
      </c>
      <c r="P44" s="124" t="n">
        <f aca="false">D44/P$3</f>
        <v>0</v>
      </c>
      <c r="Q44" s="124" t="n">
        <f aca="false">E44/P$3</f>
        <v>0</v>
      </c>
      <c r="R44" s="124" t="n">
        <f aca="false">F44/R$3</f>
        <v>0</v>
      </c>
      <c r="S44" s="126" t="n">
        <f aca="false">J44/$R$3</f>
        <v>0</v>
      </c>
      <c r="T44" s="126" t="n">
        <f aca="false">L44/$R$3</f>
        <v>0</v>
      </c>
      <c r="U44" s="126" t="n">
        <f aca="false">I44/$R$3</f>
        <v>0</v>
      </c>
      <c r="V44" s="126" t="n">
        <f aca="false">M44/$R$3</f>
        <v>-256.232</v>
      </c>
      <c r="W44" s="126" t="n">
        <f aca="false">N44/$R$3</f>
        <v>-256.232</v>
      </c>
    </row>
    <row r="45" customFormat="false" ht="12.75" hidden="true" customHeight="false" outlineLevel="0" collapsed="false">
      <c r="A45" s="120" t="n">
        <f aca="false">A44+1</f>
        <v>36931</v>
      </c>
      <c r="B45" s="131" t="str">
        <f aca="false">INDEX('Master Data'!$A$2:$B$8,MATCH(WEEKDAY('ARG Gas Transport'!A45,3),'Master Data'!$A$2:$A$8,0),2)</f>
        <v>F</v>
      </c>
      <c r="D45" s="124" t="n">
        <v>0</v>
      </c>
      <c r="E45" s="124" t="n">
        <v>0</v>
      </c>
      <c r="F45" s="124" t="n">
        <v>0</v>
      </c>
      <c r="G45" s="124" t="n">
        <v>0</v>
      </c>
      <c r="I45" s="124" t="n">
        <f aca="false">IF(MONTH($A45)=MONTH($A44),IF(G45=0,I44,G45),G45)</f>
        <v>0</v>
      </c>
      <c r="J45" s="124" t="n">
        <f aca="false">IF(MONTH($A45)=MONTH($A44),SUM(I45-I44),I45)</f>
        <v>0</v>
      </c>
      <c r="K45" s="124" t="n">
        <f aca="false">IF(WEEKDAY(A45,3)&gt;4,0,(IF(A45&lt;K$2,0,IF(A45&lt;=K$3,1,0))))</f>
        <v>0</v>
      </c>
      <c r="L45" s="124" t="n">
        <f aca="false">J45*K45</f>
        <v>0</v>
      </c>
      <c r="M45" s="124" t="n">
        <f aca="false">SUM(J$6:J45)</f>
        <v>-256232</v>
      </c>
      <c r="N45" s="124" t="n">
        <f aca="false">SUM(J$6:J45)</f>
        <v>-256232</v>
      </c>
      <c r="P45" s="124" t="n">
        <f aca="false">D45/P$3</f>
        <v>0</v>
      </c>
      <c r="Q45" s="124" t="n">
        <f aca="false">E45/P$3</f>
        <v>0</v>
      </c>
      <c r="R45" s="124" t="n">
        <f aca="false">F45/R$3</f>
        <v>0</v>
      </c>
      <c r="S45" s="126" t="n">
        <f aca="false">J45/$R$3</f>
        <v>0</v>
      </c>
      <c r="T45" s="126" t="n">
        <f aca="false">L45/$R$3</f>
        <v>0</v>
      </c>
      <c r="U45" s="126" t="n">
        <f aca="false">I45/$R$3</f>
        <v>0</v>
      </c>
      <c r="V45" s="126" t="n">
        <f aca="false">M45/$R$3</f>
        <v>-256.232</v>
      </c>
      <c r="W45" s="126" t="n">
        <f aca="false">N45/$R$3</f>
        <v>-256.232</v>
      </c>
    </row>
    <row r="46" customFormat="false" ht="12.75" hidden="true" customHeight="false" outlineLevel="0" collapsed="false">
      <c r="A46" s="120" t="n">
        <f aca="false">A45+1</f>
        <v>36932</v>
      </c>
      <c r="B46" s="131" t="str">
        <f aca="false">INDEX('Master Data'!$A$2:$B$8,MATCH(WEEKDAY('ARG Gas Transport'!A46,3),'Master Data'!$A$2:$A$8,0),2)</f>
        <v>Sa</v>
      </c>
      <c r="D46" s="124" t="n">
        <v>0</v>
      </c>
      <c r="E46" s="124" t="n">
        <v>0</v>
      </c>
      <c r="F46" s="124" t="n">
        <v>0</v>
      </c>
      <c r="G46" s="124" t="n">
        <v>0</v>
      </c>
      <c r="I46" s="124" t="n">
        <f aca="false">IF(MONTH($A46)=MONTH($A45),IF(G46=0,I45,G46),G46)</f>
        <v>0</v>
      </c>
      <c r="J46" s="124" t="n">
        <f aca="false">IF(MONTH($A46)=MONTH($A45),SUM(I46-I45),I46)</f>
        <v>0</v>
      </c>
      <c r="K46" s="124" t="n">
        <f aca="false">IF(WEEKDAY(A46,3)&gt;4,0,(IF(A46&lt;K$2,0,IF(A46&lt;=K$3,1,0))))</f>
        <v>0</v>
      </c>
      <c r="L46" s="124" t="n">
        <f aca="false">J46*K46</f>
        <v>0</v>
      </c>
      <c r="M46" s="124" t="n">
        <f aca="false">SUM(J$6:J46)</f>
        <v>-256232</v>
      </c>
      <c r="N46" s="124" t="n">
        <f aca="false">SUM(J$6:J46)</f>
        <v>-256232</v>
      </c>
      <c r="P46" s="124" t="n">
        <f aca="false">D46/P$3</f>
        <v>0</v>
      </c>
      <c r="Q46" s="124" t="n">
        <f aca="false">E46/P$3</f>
        <v>0</v>
      </c>
      <c r="R46" s="124" t="n">
        <f aca="false">F46/R$3</f>
        <v>0</v>
      </c>
      <c r="S46" s="126" t="n">
        <f aca="false">J46/$R$3</f>
        <v>0</v>
      </c>
      <c r="T46" s="126" t="n">
        <f aca="false">L46/$R$3</f>
        <v>0</v>
      </c>
      <c r="U46" s="126" t="n">
        <f aca="false">I46/$R$3</f>
        <v>0</v>
      </c>
      <c r="V46" s="126" t="n">
        <f aca="false">M46/$R$3</f>
        <v>-256.232</v>
      </c>
      <c r="W46" s="126" t="n">
        <f aca="false">N46/$R$3</f>
        <v>-256.232</v>
      </c>
    </row>
    <row r="47" customFormat="false" ht="12.75" hidden="true" customHeight="false" outlineLevel="0" collapsed="false">
      <c r="A47" s="120" t="n">
        <f aca="false">A46+1</f>
        <v>36933</v>
      </c>
      <c r="B47" s="131" t="str">
        <f aca="false">INDEX('Master Data'!$A$2:$B$8,MATCH(WEEKDAY('ARG Gas Transport'!A47,3),'Master Data'!$A$2:$A$8,0),2)</f>
        <v>Su</v>
      </c>
      <c r="D47" s="124" t="n">
        <v>0</v>
      </c>
      <c r="E47" s="124" t="n">
        <v>0</v>
      </c>
      <c r="F47" s="124" t="n">
        <v>0</v>
      </c>
      <c r="G47" s="124" t="n">
        <v>0</v>
      </c>
      <c r="I47" s="124" t="n">
        <f aca="false">IF(MONTH($A47)=MONTH($A46),IF(G47=0,I46,G47),G47)</f>
        <v>0</v>
      </c>
      <c r="J47" s="124" t="n">
        <f aca="false">IF(MONTH($A47)=MONTH($A46),SUM(I47-I46),I47)</f>
        <v>0</v>
      </c>
      <c r="K47" s="124" t="n">
        <f aca="false">IF(WEEKDAY(A47,3)&gt;4,0,(IF(A47&lt;K$2,0,IF(A47&lt;=K$3,1,0))))</f>
        <v>0</v>
      </c>
      <c r="L47" s="124" t="n">
        <f aca="false">J47*K47</f>
        <v>0</v>
      </c>
      <c r="M47" s="124" t="n">
        <f aca="false">SUM(J$6:J47)</f>
        <v>-256232</v>
      </c>
      <c r="N47" s="124" t="n">
        <f aca="false">SUM(J$6:J47)</f>
        <v>-256232</v>
      </c>
      <c r="P47" s="124" t="n">
        <f aca="false">D47/P$3</f>
        <v>0</v>
      </c>
      <c r="Q47" s="124" t="n">
        <f aca="false">E47/P$3</f>
        <v>0</v>
      </c>
      <c r="R47" s="124" t="n">
        <f aca="false">F47/R$3</f>
        <v>0</v>
      </c>
      <c r="S47" s="126" t="n">
        <f aca="false">J47/$R$3</f>
        <v>0</v>
      </c>
      <c r="T47" s="126" t="n">
        <f aca="false">L47/$R$3</f>
        <v>0</v>
      </c>
      <c r="U47" s="126" t="n">
        <f aca="false">I47/$R$3</f>
        <v>0</v>
      </c>
      <c r="V47" s="126" t="n">
        <f aca="false">M47/$R$3</f>
        <v>-256.232</v>
      </c>
      <c r="W47" s="126" t="n">
        <f aca="false">N47/$R$3</f>
        <v>-256.232</v>
      </c>
    </row>
    <row r="48" customFormat="false" ht="12.75" hidden="true" customHeight="false" outlineLevel="0" collapsed="false">
      <c r="A48" s="120" t="n">
        <f aca="false">A47+1</f>
        <v>36934</v>
      </c>
      <c r="B48" s="131" t="str">
        <f aca="false">INDEX('Master Data'!$A$2:$B$8,MATCH(WEEKDAY('ARG Gas Transport'!A48,3),'Master Data'!$A$2:$A$8,0),2)</f>
        <v>M</v>
      </c>
      <c r="D48" s="124" t="n">
        <v>0</v>
      </c>
      <c r="E48" s="124" t="n">
        <v>0</v>
      </c>
      <c r="F48" s="124" t="n">
        <v>0</v>
      </c>
      <c r="G48" s="124" t="n">
        <v>0</v>
      </c>
      <c r="I48" s="124" t="n">
        <f aca="false">IF(MONTH($A48)=MONTH($A47),IF(G48=0,I47,G48),G48)</f>
        <v>0</v>
      </c>
      <c r="J48" s="124" t="n">
        <f aca="false">IF(MONTH($A48)=MONTH($A47),SUM(I48-I47),I48)</f>
        <v>0</v>
      </c>
      <c r="K48" s="124" t="n">
        <f aca="false">IF(WEEKDAY(A48,3)&gt;4,0,(IF(A48&lt;K$2,0,IF(A48&lt;=K$3,1,0))))</f>
        <v>0</v>
      </c>
      <c r="L48" s="124" t="n">
        <f aca="false">J48*K48</f>
        <v>0</v>
      </c>
      <c r="M48" s="124" t="n">
        <f aca="false">SUM(J$6:J48)</f>
        <v>-256232</v>
      </c>
      <c r="N48" s="124" t="n">
        <f aca="false">SUM(J$6:J48)</f>
        <v>-256232</v>
      </c>
      <c r="P48" s="124" t="n">
        <f aca="false">D48/P$3</f>
        <v>0</v>
      </c>
      <c r="Q48" s="124" t="n">
        <f aca="false">E48/P$3</f>
        <v>0</v>
      </c>
      <c r="R48" s="124" t="n">
        <f aca="false">F48/R$3</f>
        <v>0</v>
      </c>
      <c r="S48" s="126" t="n">
        <f aca="false">J48/$R$3</f>
        <v>0</v>
      </c>
      <c r="T48" s="126" t="n">
        <f aca="false">L48/$R$3</f>
        <v>0</v>
      </c>
      <c r="U48" s="126" t="n">
        <f aca="false">I48/$R$3</f>
        <v>0</v>
      </c>
      <c r="V48" s="126" t="n">
        <f aca="false">M48/$R$3</f>
        <v>-256.232</v>
      </c>
      <c r="W48" s="126" t="n">
        <f aca="false">N48/$R$3</f>
        <v>-256.232</v>
      </c>
    </row>
    <row r="49" customFormat="false" ht="12.75" hidden="true" customHeight="false" outlineLevel="0" collapsed="false">
      <c r="A49" s="120" t="n">
        <f aca="false">A48+1</f>
        <v>36935</v>
      </c>
      <c r="B49" s="131" t="str">
        <f aca="false">INDEX('Master Data'!$A$2:$B$8,MATCH(WEEKDAY('ARG Gas Transport'!A49,3),'Master Data'!$A$2:$A$8,0),2)</f>
        <v>T</v>
      </c>
      <c r="D49" s="124" t="n">
        <v>0</v>
      </c>
      <c r="E49" s="124" t="n">
        <v>0</v>
      </c>
      <c r="F49" s="124" t="n">
        <v>0</v>
      </c>
      <c r="G49" s="124" t="n">
        <v>0</v>
      </c>
      <c r="I49" s="124" t="n">
        <f aca="false">IF(MONTH($A49)=MONTH($A48),IF(G49=0,I48,G49),G49)</f>
        <v>0</v>
      </c>
      <c r="J49" s="124" t="n">
        <f aca="false">IF(MONTH($A49)=MONTH($A48),SUM(I49-I48),I49)</f>
        <v>0</v>
      </c>
      <c r="K49" s="124" t="n">
        <f aca="false">IF(WEEKDAY(A49,3)&gt;4,0,(IF(A49&lt;K$2,0,IF(A49&lt;=K$3,1,0))))</f>
        <v>0</v>
      </c>
      <c r="L49" s="124" t="n">
        <f aca="false">J49*K49</f>
        <v>0</v>
      </c>
      <c r="M49" s="124" t="n">
        <f aca="false">SUM(J$6:J49)</f>
        <v>-256232</v>
      </c>
      <c r="N49" s="124" t="n">
        <f aca="false">SUM(J$6:J49)</f>
        <v>-256232</v>
      </c>
      <c r="P49" s="124" t="n">
        <f aca="false">D49/P$3</f>
        <v>0</v>
      </c>
      <c r="Q49" s="124" t="n">
        <f aca="false">E49/P$3</f>
        <v>0</v>
      </c>
      <c r="R49" s="124" t="n">
        <f aca="false">F49/R$3</f>
        <v>0</v>
      </c>
      <c r="S49" s="126" t="n">
        <f aca="false">J49/$R$3</f>
        <v>0</v>
      </c>
      <c r="T49" s="126" t="n">
        <f aca="false">L49/$R$3</f>
        <v>0</v>
      </c>
      <c r="U49" s="126" t="n">
        <f aca="false">I49/$R$3</f>
        <v>0</v>
      </c>
      <c r="V49" s="126" t="n">
        <f aca="false">M49/$R$3</f>
        <v>-256.232</v>
      </c>
      <c r="W49" s="126" t="n">
        <f aca="false">N49/$R$3</f>
        <v>-256.232</v>
      </c>
    </row>
    <row r="50" customFormat="false" ht="12.75" hidden="true" customHeight="false" outlineLevel="0" collapsed="false">
      <c r="A50" s="120" t="n">
        <f aca="false">A49+1</f>
        <v>36936</v>
      </c>
      <c r="B50" s="131" t="str">
        <f aca="false">INDEX('Master Data'!$A$2:$B$8,MATCH(WEEKDAY('ARG Gas Transport'!A50,3),'Master Data'!$A$2:$A$8,0),2)</f>
        <v>W</v>
      </c>
      <c r="D50" s="124" t="n">
        <v>0</v>
      </c>
      <c r="E50" s="124" t="n">
        <v>0</v>
      </c>
      <c r="F50" s="124" t="n">
        <v>0</v>
      </c>
      <c r="G50" s="124" t="n">
        <v>0</v>
      </c>
      <c r="I50" s="124" t="n">
        <f aca="false">IF(MONTH($A50)=MONTH($A49),IF(G50=0,I49,G50),G50)</f>
        <v>0</v>
      </c>
      <c r="J50" s="124" t="n">
        <f aca="false">IF(MONTH($A50)=MONTH($A49),SUM(I50-I49),I50)</f>
        <v>0</v>
      </c>
      <c r="K50" s="124" t="n">
        <f aca="false">IF(WEEKDAY(A50,3)&gt;4,0,(IF(A50&lt;K$2,0,IF(A50&lt;=K$3,1,0))))</f>
        <v>0</v>
      </c>
      <c r="L50" s="124" t="n">
        <f aca="false">J50*K50</f>
        <v>0</v>
      </c>
      <c r="M50" s="124" t="n">
        <f aca="false">SUM(J$6:J50)</f>
        <v>-256232</v>
      </c>
      <c r="N50" s="124" t="n">
        <f aca="false">SUM(J$6:J50)</f>
        <v>-256232</v>
      </c>
      <c r="P50" s="124" t="n">
        <f aca="false">D50/P$3</f>
        <v>0</v>
      </c>
      <c r="Q50" s="124" t="n">
        <f aca="false">E50/P$3</f>
        <v>0</v>
      </c>
      <c r="R50" s="124" t="n">
        <f aca="false">F50/R$3</f>
        <v>0</v>
      </c>
      <c r="S50" s="126" t="n">
        <f aca="false">J50/$R$3</f>
        <v>0</v>
      </c>
      <c r="T50" s="126" t="n">
        <f aca="false">L50/$R$3</f>
        <v>0</v>
      </c>
      <c r="U50" s="126" t="n">
        <f aca="false">I50/$R$3</f>
        <v>0</v>
      </c>
      <c r="V50" s="126" t="n">
        <f aca="false">M50/$R$3</f>
        <v>-256.232</v>
      </c>
      <c r="W50" s="126" t="n">
        <f aca="false">N50/$R$3</f>
        <v>-256.232</v>
      </c>
    </row>
    <row r="51" customFormat="false" ht="12.75" hidden="true" customHeight="false" outlineLevel="0" collapsed="false">
      <c r="A51" s="120" t="n">
        <f aca="false">A50+1</f>
        <v>36937</v>
      </c>
      <c r="B51" s="131" t="str">
        <f aca="false">INDEX('Master Data'!$A$2:$B$8,MATCH(WEEKDAY('ARG Gas Transport'!A51,3),'Master Data'!$A$2:$A$8,0),2)</f>
        <v>Th</v>
      </c>
      <c r="D51" s="124" t="n">
        <v>0</v>
      </c>
      <c r="E51" s="124" t="n">
        <v>0</v>
      </c>
      <c r="F51" s="124" t="n">
        <v>0</v>
      </c>
      <c r="G51" s="124" t="n">
        <v>0</v>
      </c>
      <c r="I51" s="124" t="n">
        <f aca="false">IF(MONTH($A51)=MONTH($A50),IF(G51=0,I50,G51),G51)</f>
        <v>0</v>
      </c>
      <c r="J51" s="124" t="n">
        <f aca="false">IF(MONTH($A51)=MONTH($A50),SUM(I51-I50),I51)</f>
        <v>0</v>
      </c>
      <c r="K51" s="124" t="n">
        <f aca="false">IF(WEEKDAY(A51,3)&gt;4,0,(IF(A51&lt;K$2,0,IF(A51&lt;=K$3,1,0))))</f>
        <v>0</v>
      </c>
      <c r="L51" s="124" t="n">
        <f aca="false">J51*K51</f>
        <v>0</v>
      </c>
      <c r="M51" s="124" t="n">
        <f aca="false">SUM(J$6:J51)</f>
        <v>-256232</v>
      </c>
      <c r="N51" s="124" t="n">
        <f aca="false">SUM(J$6:J51)</f>
        <v>-256232</v>
      </c>
      <c r="P51" s="124" t="n">
        <f aca="false">D51/P$3</f>
        <v>0</v>
      </c>
      <c r="Q51" s="124" t="n">
        <f aca="false">E51/P$3</f>
        <v>0</v>
      </c>
      <c r="R51" s="124" t="n">
        <f aca="false">F51/R$3</f>
        <v>0</v>
      </c>
      <c r="S51" s="126" t="n">
        <f aca="false">J51/$R$3</f>
        <v>0</v>
      </c>
      <c r="T51" s="126" t="n">
        <f aca="false">L51/$R$3</f>
        <v>0</v>
      </c>
      <c r="U51" s="126" t="n">
        <f aca="false">I51/$R$3</f>
        <v>0</v>
      </c>
      <c r="V51" s="126" t="n">
        <f aca="false">M51/$R$3</f>
        <v>-256.232</v>
      </c>
      <c r="W51" s="126" t="n">
        <f aca="false">N51/$R$3</f>
        <v>-256.232</v>
      </c>
    </row>
    <row r="52" customFormat="false" ht="12.75" hidden="true" customHeight="false" outlineLevel="0" collapsed="false">
      <c r="A52" s="120" t="n">
        <f aca="false">A51+1</f>
        <v>36938</v>
      </c>
      <c r="B52" s="131" t="str">
        <f aca="false">INDEX('Master Data'!$A$2:$B$8,MATCH(WEEKDAY('ARG Gas Transport'!A52,3),'Master Data'!$A$2:$A$8,0),2)</f>
        <v>F</v>
      </c>
      <c r="D52" s="124" t="n">
        <v>0</v>
      </c>
      <c r="E52" s="124" t="n">
        <v>0</v>
      </c>
      <c r="F52" s="124" t="n">
        <v>0</v>
      </c>
      <c r="G52" s="124" t="n">
        <v>0</v>
      </c>
      <c r="I52" s="124" t="n">
        <f aca="false">IF(MONTH($A52)=MONTH($A51),IF(G52=0,I51,G52),G52)</f>
        <v>0</v>
      </c>
      <c r="J52" s="124" t="n">
        <f aca="false">IF(MONTH($A52)=MONTH($A51),SUM(I52-I51),I52)</f>
        <v>0</v>
      </c>
      <c r="K52" s="124" t="n">
        <f aca="false">IF(WEEKDAY(A52,3)&gt;4,0,(IF(A52&lt;K$2,0,IF(A52&lt;=K$3,1,0))))</f>
        <v>0</v>
      </c>
      <c r="L52" s="124" t="n">
        <f aca="false">J52*K52</f>
        <v>0</v>
      </c>
      <c r="M52" s="124" t="n">
        <f aca="false">SUM(J$6:J52)</f>
        <v>-256232</v>
      </c>
      <c r="N52" s="124" t="n">
        <f aca="false">SUM(J$6:J52)</f>
        <v>-256232</v>
      </c>
      <c r="P52" s="124" t="n">
        <f aca="false">D52/P$3</f>
        <v>0</v>
      </c>
      <c r="Q52" s="124" t="n">
        <f aca="false">E52/P$3</f>
        <v>0</v>
      </c>
      <c r="R52" s="124" t="n">
        <f aca="false">F52/R$3</f>
        <v>0</v>
      </c>
      <c r="S52" s="126" t="n">
        <f aca="false">J52/$R$3</f>
        <v>0</v>
      </c>
      <c r="T52" s="126" t="n">
        <f aca="false">L52/$R$3</f>
        <v>0</v>
      </c>
      <c r="U52" s="126" t="n">
        <f aca="false">I52/$R$3</f>
        <v>0</v>
      </c>
      <c r="V52" s="126" t="n">
        <f aca="false">M52/$R$3</f>
        <v>-256.232</v>
      </c>
      <c r="W52" s="126" t="n">
        <f aca="false">N52/$R$3</f>
        <v>-256.232</v>
      </c>
    </row>
    <row r="53" customFormat="false" ht="12.75" hidden="true" customHeight="false" outlineLevel="0" collapsed="false">
      <c r="A53" s="120" t="n">
        <f aca="false">A52+1</f>
        <v>36939</v>
      </c>
      <c r="B53" s="131" t="str">
        <f aca="false">INDEX('Master Data'!$A$2:$B$8,MATCH(WEEKDAY('ARG Gas Transport'!A53,3),'Master Data'!$A$2:$A$8,0),2)</f>
        <v>Sa</v>
      </c>
      <c r="D53" s="124" t="n">
        <v>0</v>
      </c>
      <c r="E53" s="124" t="n">
        <v>0</v>
      </c>
      <c r="F53" s="124" t="n">
        <v>0</v>
      </c>
      <c r="G53" s="124" t="n">
        <v>0</v>
      </c>
      <c r="I53" s="124" t="n">
        <f aca="false">IF(MONTH($A53)=MONTH($A52),IF(G53=0,I52,G53),G53)</f>
        <v>0</v>
      </c>
      <c r="J53" s="124" t="n">
        <f aca="false">IF(MONTH($A53)=MONTH($A52),SUM(I53-I52),I53)</f>
        <v>0</v>
      </c>
      <c r="K53" s="124" t="n">
        <f aca="false">IF(WEEKDAY(A53,3)&gt;4,0,(IF(A53&lt;K$2,0,IF(A53&lt;=K$3,1,0))))</f>
        <v>0</v>
      </c>
      <c r="L53" s="124" t="n">
        <f aca="false">J53*K53</f>
        <v>0</v>
      </c>
      <c r="M53" s="124" t="n">
        <f aca="false">SUM(J$6:J53)</f>
        <v>-256232</v>
      </c>
      <c r="N53" s="124" t="n">
        <f aca="false">SUM(J$6:J53)</f>
        <v>-256232</v>
      </c>
      <c r="P53" s="124" t="n">
        <f aca="false">D53/P$3</f>
        <v>0</v>
      </c>
      <c r="Q53" s="124" t="n">
        <f aca="false">E53/P$3</f>
        <v>0</v>
      </c>
      <c r="R53" s="124" t="n">
        <f aca="false">F53/R$3</f>
        <v>0</v>
      </c>
      <c r="S53" s="126" t="n">
        <f aca="false">J53/$R$3</f>
        <v>0</v>
      </c>
      <c r="T53" s="126" t="n">
        <f aca="false">L53/$R$3</f>
        <v>0</v>
      </c>
      <c r="U53" s="126" t="n">
        <f aca="false">I53/$R$3</f>
        <v>0</v>
      </c>
      <c r="V53" s="126" t="n">
        <f aca="false">M53/$R$3</f>
        <v>-256.232</v>
      </c>
      <c r="W53" s="126" t="n">
        <f aca="false">N53/$R$3</f>
        <v>-256.232</v>
      </c>
    </row>
    <row r="54" customFormat="false" ht="12.75" hidden="true" customHeight="false" outlineLevel="0" collapsed="false">
      <c r="A54" s="120" t="n">
        <f aca="false">A53+1</f>
        <v>36940</v>
      </c>
      <c r="B54" s="131" t="str">
        <f aca="false">INDEX('Master Data'!$A$2:$B$8,MATCH(WEEKDAY('ARG Gas Transport'!A54,3),'Master Data'!$A$2:$A$8,0),2)</f>
        <v>Su</v>
      </c>
      <c r="D54" s="124" t="n">
        <v>0</v>
      </c>
      <c r="E54" s="124" t="n">
        <v>0</v>
      </c>
      <c r="F54" s="124" t="n">
        <v>0</v>
      </c>
      <c r="G54" s="124" t="n">
        <v>0</v>
      </c>
      <c r="I54" s="124" t="n">
        <f aca="false">IF(MONTH($A54)=MONTH($A53),IF(G54=0,I53,G54),G54)</f>
        <v>0</v>
      </c>
      <c r="J54" s="124" t="n">
        <f aca="false">IF(MONTH($A54)=MONTH($A53),SUM(I54-I53),I54)</f>
        <v>0</v>
      </c>
      <c r="K54" s="124" t="n">
        <f aca="false">IF(WEEKDAY(A54,3)&gt;4,0,(IF(A54&lt;K$2,0,IF(A54&lt;=K$3,1,0))))</f>
        <v>0</v>
      </c>
      <c r="L54" s="124" t="n">
        <f aca="false">J54*K54</f>
        <v>0</v>
      </c>
      <c r="M54" s="124" t="n">
        <f aca="false">SUM(J$6:J54)</f>
        <v>-256232</v>
      </c>
      <c r="N54" s="124" t="n">
        <f aca="false">SUM(J$6:J54)</f>
        <v>-256232</v>
      </c>
      <c r="P54" s="124" t="n">
        <f aca="false">D54/P$3</f>
        <v>0</v>
      </c>
      <c r="Q54" s="124" t="n">
        <f aca="false">E54/P$3</f>
        <v>0</v>
      </c>
      <c r="R54" s="124" t="n">
        <f aca="false">F54/R$3</f>
        <v>0</v>
      </c>
      <c r="S54" s="126" t="n">
        <f aca="false">J54/$R$3</f>
        <v>0</v>
      </c>
      <c r="T54" s="126" t="n">
        <f aca="false">L54/$R$3</f>
        <v>0</v>
      </c>
      <c r="U54" s="126" t="n">
        <f aca="false">I54/$R$3</f>
        <v>0</v>
      </c>
      <c r="V54" s="126" t="n">
        <f aca="false">M54/$R$3</f>
        <v>-256.232</v>
      </c>
      <c r="W54" s="126" t="n">
        <f aca="false">N54/$R$3</f>
        <v>-256.232</v>
      </c>
    </row>
    <row r="55" customFormat="false" ht="12.75" hidden="true" customHeight="false" outlineLevel="0" collapsed="false">
      <c r="A55" s="120" t="n">
        <f aca="false">A54+1</f>
        <v>36941</v>
      </c>
      <c r="B55" s="131" t="str">
        <f aca="false">INDEX('Master Data'!$A$2:$B$8,MATCH(WEEKDAY('ARG Gas Transport'!A55,3),'Master Data'!$A$2:$A$8,0),2)</f>
        <v>M</v>
      </c>
      <c r="D55" s="124" t="n">
        <v>0</v>
      </c>
      <c r="E55" s="124" t="n">
        <v>0</v>
      </c>
      <c r="F55" s="124" t="n">
        <v>0</v>
      </c>
      <c r="G55" s="124" t="n">
        <v>0</v>
      </c>
      <c r="I55" s="124" t="n">
        <f aca="false">IF(MONTH($A55)=MONTH($A54),IF(G55=0,I54,G55),G55)</f>
        <v>0</v>
      </c>
      <c r="J55" s="124" t="n">
        <f aca="false">IF(MONTH($A55)=MONTH($A54),SUM(I55-I54),I55)</f>
        <v>0</v>
      </c>
      <c r="K55" s="124" t="n">
        <f aca="false">IF(WEEKDAY(A55,3)&gt;4,0,(IF(A55&lt;K$2,0,IF(A55&lt;=K$3,1,0))))</f>
        <v>0</v>
      </c>
      <c r="L55" s="124" t="n">
        <f aca="false">J55*K55</f>
        <v>0</v>
      </c>
      <c r="M55" s="124" t="n">
        <f aca="false">SUM(J$6:J55)</f>
        <v>-256232</v>
      </c>
      <c r="N55" s="124" t="n">
        <f aca="false">SUM(J$6:J55)</f>
        <v>-256232</v>
      </c>
      <c r="P55" s="124" t="n">
        <f aca="false">D55/P$3</f>
        <v>0</v>
      </c>
      <c r="Q55" s="124" t="n">
        <f aca="false">E55/P$3</f>
        <v>0</v>
      </c>
      <c r="R55" s="124" t="n">
        <f aca="false">F55/R$3</f>
        <v>0</v>
      </c>
      <c r="S55" s="126" t="n">
        <f aca="false">J55/$R$3</f>
        <v>0</v>
      </c>
      <c r="T55" s="126" t="n">
        <f aca="false">L55/$R$3</f>
        <v>0</v>
      </c>
      <c r="U55" s="126" t="n">
        <f aca="false">I55/$R$3</f>
        <v>0</v>
      </c>
      <c r="V55" s="126" t="n">
        <f aca="false">M55/$R$3</f>
        <v>-256.232</v>
      </c>
      <c r="W55" s="126" t="n">
        <f aca="false">N55/$R$3</f>
        <v>-256.232</v>
      </c>
    </row>
    <row r="56" customFormat="false" ht="12.75" hidden="true" customHeight="false" outlineLevel="0" collapsed="false">
      <c r="A56" s="120" t="n">
        <f aca="false">A55+1</f>
        <v>36942</v>
      </c>
      <c r="B56" s="131" t="str">
        <f aca="false">INDEX('Master Data'!$A$2:$B$8,MATCH(WEEKDAY('ARG Gas Transport'!A56,3),'Master Data'!$A$2:$A$8,0),2)</f>
        <v>T</v>
      </c>
      <c r="D56" s="124" t="n">
        <v>0</v>
      </c>
      <c r="E56" s="124" t="n">
        <v>0</v>
      </c>
      <c r="F56" s="124" t="n">
        <v>0</v>
      </c>
      <c r="G56" s="124" t="n">
        <v>0</v>
      </c>
      <c r="I56" s="124" t="n">
        <f aca="false">IF(MONTH($A56)=MONTH($A55),IF(G56=0,I55,G56),G56)</f>
        <v>0</v>
      </c>
      <c r="J56" s="124" t="n">
        <f aca="false">IF(MONTH($A56)=MONTH($A55),SUM(I56-I55),I56)</f>
        <v>0</v>
      </c>
      <c r="K56" s="124" t="n">
        <f aca="false">IF(WEEKDAY(A56,3)&gt;4,0,(IF(A56&lt;K$2,0,IF(A56&lt;=K$3,1,0))))</f>
        <v>0</v>
      </c>
      <c r="L56" s="124" t="n">
        <f aca="false">J56*K56</f>
        <v>0</v>
      </c>
      <c r="M56" s="124" t="n">
        <f aca="false">SUM(J$6:J56)</f>
        <v>-256232</v>
      </c>
      <c r="N56" s="124" t="n">
        <f aca="false">SUM(J$6:J56)</f>
        <v>-256232</v>
      </c>
      <c r="P56" s="124" t="n">
        <f aca="false">D56/P$3</f>
        <v>0</v>
      </c>
      <c r="Q56" s="124" t="n">
        <f aca="false">E56/P$3</f>
        <v>0</v>
      </c>
      <c r="R56" s="124" t="n">
        <f aca="false">F56/R$3</f>
        <v>0</v>
      </c>
      <c r="S56" s="126" t="n">
        <f aca="false">J56/$R$3</f>
        <v>0</v>
      </c>
      <c r="T56" s="126" t="n">
        <f aca="false">L56/$R$3</f>
        <v>0</v>
      </c>
      <c r="U56" s="126" t="n">
        <f aca="false">I56/$R$3</f>
        <v>0</v>
      </c>
      <c r="V56" s="126" t="n">
        <f aca="false">M56/$R$3</f>
        <v>-256.232</v>
      </c>
      <c r="W56" s="126" t="n">
        <f aca="false">N56/$R$3</f>
        <v>-256.232</v>
      </c>
    </row>
    <row r="57" customFormat="false" ht="12.75" hidden="true" customHeight="false" outlineLevel="0" collapsed="false">
      <c r="A57" s="120" t="n">
        <f aca="false">A56+1</f>
        <v>36943</v>
      </c>
      <c r="B57" s="131" t="str">
        <f aca="false">INDEX('Master Data'!$A$2:$B$8,MATCH(WEEKDAY('ARG Gas Transport'!A57,3),'Master Data'!$A$2:$A$8,0),2)</f>
        <v>W</v>
      </c>
      <c r="D57" s="124" t="n">
        <v>0</v>
      </c>
      <c r="E57" s="124" t="n">
        <v>0</v>
      </c>
      <c r="F57" s="124" t="n">
        <v>0</v>
      </c>
      <c r="G57" s="124" t="n">
        <v>0</v>
      </c>
      <c r="I57" s="124" t="n">
        <f aca="false">IF(MONTH($A57)=MONTH($A56),IF(G57=0,I56,G57),G57)</f>
        <v>0</v>
      </c>
      <c r="J57" s="124" t="n">
        <f aca="false">IF(MONTH($A57)=MONTH($A56),SUM(I57-I56),I57)</f>
        <v>0</v>
      </c>
      <c r="K57" s="124" t="n">
        <f aca="false">IF(WEEKDAY(A57,3)&gt;4,0,(IF(A57&lt;K$2,0,IF(A57&lt;=K$3,1,0))))</f>
        <v>0</v>
      </c>
      <c r="L57" s="124" t="n">
        <f aca="false">J57*K57</f>
        <v>0</v>
      </c>
      <c r="M57" s="124" t="n">
        <f aca="false">SUM(J$6:J57)</f>
        <v>-256232</v>
      </c>
      <c r="N57" s="124" t="n">
        <f aca="false">SUM(J$6:J57)</f>
        <v>-256232</v>
      </c>
      <c r="P57" s="124" t="n">
        <f aca="false">D57/P$3</f>
        <v>0</v>
      </c>
      <c r="Q57" s="124" t="n">
        <f aca="false">E57/P$3</f>
        <v>0</v>
      </c>
      <c r="R57" s="124" t="n">
        <f aca="false">F57/R$3</f>
        <v>0</v>
      </c>
      <c r="S57" s="126" t="n">
        <f aca="false">J57/$R$3</f>
        <v>0</v>
      </c>
      <c r="T57" s="126" t="n">
        <f aca="false">L57/$R$3</f>
        <v>0</v>
      </c>
      <c r="U57" s="126" t="n">
        <f aca="false">I57/$R$3</f>
        <v>0</v>
      </c>
      <c r="V57" s="126" t="n">
        <f aca="false">M57/$R$3</f>
        <v>-256.232</v>
      </c>
      <c r="W57" s="126" t="n">
        <f aca="false">N57/$R$3</f>
        <v>-256.232</v>
      </c>
    </row>
    <row r="58" customFormat="false" ht="12.75" hidden="true" customHeight="false" outlineLevel="0" collapsed="false">
      <c r="A58" s="120" t="n">
        <f aca="false">A57+1</f>
        <v>36944</v>
      </c>
      <c r="B58" s="131" t="str">
        <f aca="false">INDEX('Master Data'!$A$2:$B$8,MATCH(WEEKDAY('ARG Gas Transport'!A58,3),'Master Data'!$A$2:$A$8,0),2)</f>
        <v>Th</v>
      </c>
      <c r="D58" s="124" t="n">
        <v>0</v>
      </c>
      <c r="E58" s="124" t="n">
        <v>0</v>
      </c>
      <c r="F58" s="124" t="n">
        <v>0</v>
      </c>
      <c r="G58" s="124" t="n">
        <v>0</v>
      </c>
      <c r="I58" s="124" t="n">
        <f aca="false">IF(MONTH($A58)=MONTH($A57),IF(G58=0,I57,G58),G58)</f>
        <v>0</v>
      </c>
      <c r="J58" s="124" t="n">
        <f aca="false">IF(MONTH($A58)=MONTH($A57),SUM(I58-I57),I58)</f>
        <v>0</v>
      </c>
      <c r="K58" s="124" t="n">
        <f aca="false">IF(WEEKDAY(A58,3)&gt;4,0,(IF(A58&lt;K$2,0,IF(A58&lt;=K$3,1,0))))</f>
        <v>0</v>
      </c>
      <c r="L58" s="124" t="n">
        <f aca="false">J58*K58</f>
        <v>0</v>
      </c>
      <c r="M58" s="124" t="n">
        <f aca="false">SUM(J$6:J58)</f>
        <v>-256232</v>
      </c>
      <c r="N58" s="124" t="n">
        <f aca="false">SUM(J$6:J58)</f>
        <v>-256232</v>
      </c>
      <c r="P58" s="124" t="n">
        <f aca="false">D58/P$3</f>
        <v>0</v>
      </c>
      <c r="Q58" s="124" t="n">
        <f aca="false">E58/P$3</f>
        <v>0</v>
      </c>
      <c r="R58" s="124" t="n">
        <f aca="false">F58/R$3</f>
        <v>0</v>
      </c>
      <c r="S58" s="126" t="n">
        <f aca="false">J58/$R$3</f>
        <v>0</v>
      </c>
      <c r="T58" s="126" t="n">
        <f aca="false">L58/$R$3</f>
        <v>0</v>
      </c>
      <c r="U58" s="126" t="n">
        <f aca="false">I58/$R$3</f>
        <v>0</v>
      </c>
      <c r="V58" s="126" t="n">
        <f aca="false">M58/$R$3</f>
        <v>-256.232</v>
      </c>
      <c r="W58" s="126" t="n">
        <f aca="false">N58/$R$3</f>
        <v>-256.232</v>
      </c>
    </row>
    <row r="59" customFormat="false" ht="12.75" hidden="true" customHeight="false" outlineLevel="0" collapsed="false">
      <c r="A59" s="120" t="n">
        <f aca="false">A58+1</f>
        <v>36945</v>
      </c>
      <c r="B59" s="131" t="str">
        <f aca="false">INDEX('Master Data'!$A$2:$B$8,MATCH(WEEKDAY('ARG Gas Transport'!A59,3),'Master Data'!$A$2:$A$8,0),2)</f>
        <v>F</v>
      </c>
      <c r="D59" s="124" t="n">
        <v>0</v>
      </c>
      <c r="E59" s="124" t="n">
        <v>0</v>
      </c>
      <c r="F59" s="124" t="n">
        <v>0</v>
      </c>
      <c r="G59" s="124" t="n">
        <v>0</v>
      </c>
      <c r="I59" s="124" t="n">
        <f aca="false">IF(MONTH($A59)=MONTH($A58),IF(G59=0,I58,G59),G59)</f>
        <v>0</v>
      </c>
      <c r="J59" s="124" t="n">
        <f aca="false">IF(MONTH($A59)=MONTH($A58),SUM(I59-I58),I59)</f>
        <v>0</v>
      </c>
      <c r="K59" s="124" t="n">
        <f aca="false">IF(WEEKDAY(A59,3)&gt;4,0,(IF(A59&lt;K$2,0,IF(A59&lt;=K$3,1,0))))</f>
        <v>0</v>
      </c>
      <c r="L59" s="124" t="n">
        <f aca="false">J59*K59</f>
        <v>0</v>
      </c>
      <c r="M59" s="124" t="n">
        <f aca="false">SUM(J$6:J59)</f>
        <v>-256232</v>
      </c>
      <c r="N59" s="124" t="n">
        <f aca="false">SUM(J$6:J59)</f>
        <v>-256232</v>
      </c>
      <c r="P59" s="124" t="n">
        <f aca="false">D59/P$3</f>
        <v>0</v>
      </c>
      <c r="Q59" s="124" t="n">
        <f aca="false">E59/P$3</f>
        <v>0</v>
      </c>
      <c r="R59" s="124" t="n">
        <f aca="false">F59/R$3</f>
        <v>0</v>
      </c>
      <c r="S59" s="126" t="n">
        <f aca="false">J59/$R$3</f>
        <v>0</v>
      </c>
      <c r="T59" s="126" t="n">
        <f aca="false">L59/$R$3</f>
        <v>0</v>
      </c>
      <c r="U59" s="126" t="n">
        <f aca="false">I59/$R$3</f>
        <v>0</v>
      </c>
      <c r="V59" s="126" t="n">
        <f aca="false">M59/$R$3</f>
        <v>-256.232</v>
      </c>
      <c r="W59" s="126" t="n">
        <f aca="false">N59/$R$3</f>
        <v>-256.232</v>
      </c>
    </row>
    <row r="60" customFormat="false" ht="12.75" hidden="true" customHeight="false" outlineLevel="0" collapsed="false">
      <c r="A60" s="120" t="n">
        <f aca="false">A59+1</f>
        <v>36946</v>
      </c>
      <c r="B60" s="131" t="str">
        <f aca="false">INDEX('Master Data'!$A$2:$B$8,MATCH(WEEKDAY('ARG Gas Transport'!A60,3),'Master Data'!$A$2:$A$8,0),2)</f>
        <v>Sa</v>
      </c>
      <c r="D60" s="124" t="n">
        <v>0</v>
      </c>
      <c r="E60" s="124" t="n">
        <v>0</v>
      </c>
      <c r="F60" s="124" t="n">
        <v>0</v>
      </c>
      <c r="G60" s="124" t="n">
        <v>0</v>
      </c>
      <c r="I60" s="124" t="n">
        <f aca="false">IF(MONTH($A60)=MONTH($A59),IF(G60=0,I59,G60),G60)</f>
        <v>0</v>
      </c>
      <c r="J60" s="124" t="n">
        <f aca="false">IF(MONTH($A60)=MONTH($A59),SUM(I60-I59),I60)</f>
        <v>0</v>
      </c>
      <c r="K60" s="124" t="n">
        <f aca="false">IF(WEEKDAY(A60,3)&gt;4,0,(IF(A60&lt;K$2,0,IF(A60&lt;=K$3,1,0))))</f>
        <v>0</v>
      </c>
      <c r="L60" s="124" t="n">
        <f aca="false">J60*K60</f>
        <v>0</v>
      </c>
      <c r="M60" s="124" t="n">
        <f aca="false">SUM(J$6:J60)</f>
        <v>-256232</v>
      </c>
      <c r="N60" s="124" t="n">
        <f aca="false">SUM(J$6:J60)</f>
        <v>-256232</v>
      </c>
      <c r="P60" s="124" t="n">
        <f aca="false">D60/P$3</f>
        <v>0</v>
      </c>
      <c r="Q60" s="124" t="n">
        <f aca="false">E60/P$3</f>
        <v>0</v>
      </c>
      <c r="R60" s="124" t="n">
        <f aca="false">F60/R$3</f>
        <v>0</v>
      </c>
      <c r="S60" s="126" t="n">
        <f aca="false">J60/$R$3</f>
        <v>0</v>
      </c>
      <c r="T60" s="126" t="n">
        <f aca="false">L60/$R$3</f>
        <v>0</v>
      </c>
      <c r="U60" s="126" t="n">
        <f aca="false">I60/$R$3</f>
        <v>0</v>
      </c>
      <c r="V60" s="126" t="n">
        <f aca="false">M60/$R$3</f>
        <v>-256.232</v>
      </c>
      <c r="W60" s="126" t="n">
        <f aca="false">N60/$R$3</f>
        <v>-256.232</v>
      </c>
    </row>
    <row r="61" customFormat="false" ht="12.75" hidden="true" customHeight="false" outlineLevel="0" collapsed="false">
      <c r="A61" s="120" t="n">
        <f aca="false">A60+1</f>
        <v>36947</v>
      </c>
      <c r="B61" s="131" t="str">
        <f aca="false">INDEX('Master Data'!$A$2:$B$8,MATCH(WEEKDAY('ARG Gas Transport'!A61,3),'Master Data'!$A$2:$A$8,0),2)</f>
        <v>Su</v>
      </c>
      <c r="D61" s="124" t="n">
        <v>0</v>
      </c>
      <c r="E61" s="124" t="n">
        <v>0</v>
      </c>
      <c r="F61" s="124" t="n">
        <v>0</v>
      </c>
      <c r="G61" s="124" t="n">
        <v>0</v>
      </c>
      <c r="I61" s="124" t="n">
        <f aca="false">IF(MONTH($A61)=MONTH($A60),IF(G61=0,I60,G61),G61)</f>
        <v>0</v>
      </c>
      <c r="J61" s="124" t="n">
        <f aca="false">IF(MONTH($A61)=MONTH($A60),SUM(I61-I60),I61)</f>
        <v>0</v>
      </c>
      <c r="K61" s="124" t="n">
        <f aca="false">IF(WEEKDAY(A61,3)&gt;4,0,(IF(A61&lt;K$2,0,IF(A61&lt;=K$3,1,0))))</f>
        <v>0</v>
      </c>
      <c r="L61" s="124" t="n">
        <f aca="false">J61*K61</f>
        <v>0</v>
      </c>
      <c r="M61" s="124" t="n">
        <f aca="false">SUM(J$6:J61)</f>
        <v>-256232</v>
      </c>
      <c r="N61" s="124" t="n">
        <f aca="false">SUM(J$6:J61)</f>
        <v>-256232</v>
      </c>
      <c r="P61" s="124" t="n">
        <f aca="false">D61/P$3</f>
        <v>0</v>
      </c>
      <c r="Q61" s="124" t="n">
        <f aca="false">E61/P$3</f>
        <v>0</v>
      </c>
      <c r="R61" s="124" t="n">
        <f aca="false">F61/R$3</f>
        <v>0</v>
      </c>
      <c r="S61" s="126" t="n">
        <f aca="false">J61/$R$3</f>
        <v>0</v>
      </c>
      <c r="T61" s="126" t="n">
        <f aca="false">L61/$R$3</f>
        <v>0</v>
      </c>
      <c r="U61" s="126" t="n">
        <f aca="false">I61/$R$3</f>
        <v>0</v>
      </c>
      <c r="V61" s="126" t="n">
        <f aca="false">M61/$R$3</f>
        <v>-256.232</v>
      </c>
      <c r="W61" s="126" t="n">
        <f aca="false">N61/$R$3</f>
        <v>-256.232</v>
      </c>
    </row>
    <row r="62" customFormat="false" ht="12.75" hidden="true" customHeight="false" outlineLevel="0" collapsed="false">
      <c r="A62" s="120" t="n">
        <f aca="false">A61+1</f>
        <v>36948</v>
      </c>
      <c r="B62" s="131" t="str">
        <f aca="false">INDEX('Master Data'!$A$2:$B$8,MATCH(WEEKDAY('ARG Gas Transport'!A62,3),'Master Data'!$A$2:$A$8,0),2)</f>
        <v>M</v>
      </c>
      <c r="D62" s="124" t="n">
        <v>0</v>
      </c>
      <c r="E62" s="124" t="n">
        <v>0</v>
      </c>
      <c r="F62" s="124" t="n">
        <v>0</v>
      </c>
      <c r="G62" s="124" t="n">
        <v>0</v>
      </c>
      <c r="I62" s="124" t="n">
        <f aca="false">IF(MONTH($A62)=MONTH($A61),IF(G62=0,I61,G62),G62)</f>
        <v>0</v>
      </c>
      <c r="J62" s="124" t="n">
        <f aca="false">IF(MONTH($A62)=MONTH($A61),SUM(I62-I61),I62)</f>
        <v>0</v>
      </c>
      <c r="K62" s="124" t="n">
        <f aca="false">IF(WEEKDAY(A62,3)&gt;4,0,(IF(A62&lt;K$2,0,IF(A62&lt;=K$3,1,0))))</f>
        <v>0</v>
      </c>
      <c r="L62" s="124" t="n">
        <f aca="false">J62*K62</f>
        <v>0</v>
      </c>
      <c r="M62" s="124" t="n">
        <f aca="false">SUM(J$6:J62)</f>
        <v>-256232</v>
      </c>
      <c r="N62" s="124" t="n">
        <f aca="false">SUM(J$6:J62)</f>
        <v>-256232</v>
      </c>
      <c r="P62" s="124" t="n">
        <f aca="false">D62/P$3</f>
        <v>0</v>
      </c>
      <c r="Q62" s="124" t="n">
        <f aca="false">E62/P$3</f>
        <v>0</v>
      </c>
      <c r="R62" s="124" t="n">
        <f aca="false">F62/R$3</f>
        <v>0</v>
      </c>
      <c r="S62" s="126" t="n">
        <f aca="false">J62/$R$3</f>
        <v>0</v>
      </c>
      <c r="T62" s="126" t="n">
        <f aca="false">L62/$R$3</f>
        <v>0</v>
      </c>
      <c r="U62" s="126" t="n">
        <f aca="false">I62/$R$3</f>
        <v>0</v>
      </c>
      <c r="V62" s="126" t="n">
        <f aca="false">M62/$R$3</f>
        <v>-256.232</v>
      </c>
      <c r="W62" s="126" t="n">
        <f aca="false">N62/$R$3</f>
        <v>-256.232</v>
      </c>
    </row>
    <row r="63" customFormat="false" ht="12.75" hidden="true" customHeight="false" outlineLevel="0" collapsed="false">
      <c r="A63" s="120" t="n">
        <f aca="false">A62+1</f>
        <v>36949</v>
      </c>
      <c r="B63" s="131" t="str">
        <f aca="false">INDEX('Master Data'!$A$2:$B$8,MATCH(WEEKDAY('ARG Gas Transport'!A63,3),'Master Data'!$A$2:$A$8,0),2)</f>
        <v>T</v>
      </c>
      <c r="D63" s="124" t="n">
        <v>0</v>
      </c>
      <c r="E63" s="124" t="n">
        <v>0</v>
      </c>
      <c r="F63" s="124" t="n">
        <v>0</v>
      </c>
      <c r="G63" s="124" t="n">
        <v>0</v>
      </c>
      <c r="I63" s="124" t="n">
        <f aca="false">IF(MONTH($A63)=MONTH($A62),IF(G63=0,I62,G63),G63)</f>
        <v>0</v>
      </c>
      <c r="J63" s="124" t="n">
        <f aca="false">IF(MONTH($A63)=MONTH($A62),SUM(I63-I62),I63)</f>
        <v>0</v>
      </c>
      <c r="K63" s="124" t="n">
        <f aca="false">IF(WEEKDAY(A63,3)&gt;4,0,(IF(A63&lt;K$2,0,IF(A63&lt;=K$3,1,0))))</f>
        <v>0</v>
      </c>
      <c r="L63" s="124" t="n">
        <f aca="false">J63*K63</f>
        <v>0</v>
      </c>
      <c r="M63" s="124" t="n">
        <f aca="false">SUM(J$6:J63)</f>
        <v>-256232</v>
      </c>
      <c r="N63" s="124" t="n">
        <f aca="false">SUM(J$6:J63)</f>
        <v>-256232</v>
      </c>
      <c r="P63" s="124" t="n">
        <f aca="false">D63/P$3</f>
        <v>0</v>
      </c>
      <c r="Q63" s="124" t="n">
        <f aca="false">E63/P$3</f>
        <v>0</v>
      </c>
      <c r="R63" s="124" t="n">
        <f aca="false">F63/R$3</f>
        <v>0</v>
      </c>
      <c r="S63" s="126" t="n">
        <f aca="false">J63/$R$3</f>
        <v>0</v>
      </c>
      <c r="T63" s="126" t="n">
        <f aca="false">L63/$R$3</f>
        <v>0</v>
      </c>
      <c r="U63" s="126" t="n">
        <f aca="false">I63/$R$3</f>
        <v>0</v>
      </c>
      <c r="V63" s="126" t="n">
        <f aca="false">M63/$R$3</f>
        <v>-256.232</v>
      </c>
      <c r="W63" s="126" t="n">
        <f aca="false">N63/$R$3</f>
        <v>-256.232</v>
      </c>
    </row>
    <row r="64" customFormat="false" ht="12.75" hidden="false" customHeight="false" outlineLevel="0" collapsed="false">
      <c r="A64" s="120" t="n">
        <f aca="false">A63+1</f>
        <v>36950</v>
      </c>
      <c r="B64" s="131" t="str">
        <f aca="false">INDEX('Master Data'!$A$2:$B$8,MATCH(WEEKDAY('ARG Gas Transport'!A64,3),'Master Data'!$A$2:$A$8,0),2)</f>
        <v>W</v>
      </c>
      <c r="D64" s="124" t="n">
        <v>0</v>
      </c>
      <c r="E64" s="124" t="n">
        <v>0</v>
      </c>
      <c r="F64" s="124" t="n">
        <v>0</v>
      </c>
      <c r="G64" s="124" t="n">
        <v>-256232</v>
      </c>
      <c r="I64" s="124" t="n">
        <f aca="false">IF(MONTH($A64)=MONTH($A63),IF(G64=0,I63,G64),G64)</f>
        <v>-256232</v>
      </c>
      <c r="J64" s="124" t="n">
        <f aca="false">IF(MONTH($A64)=MONTH($A63),SUM(I64-I63),I64)</f>
        <v>-256232</v>
      </c>
      <c r="K64" s="124" t="n">
        <f aca="false">IF(WEEKDAY(A64,3)&gt;4,0,(IF(A64&lt;K$2,0,IF(A64&lt;=K$3,1,0))))</f>
        <v>0</v>
      </c>
      <c r="L64" s="124" t="n">
        <f aca="false">J64*K64</f>
        <v>-0</v>
      </c>
      <c r="M64" s="124" t="n">
        <f aca="false">SUM(J$6:J64)</f>
        <v>-512464</v>
      </c>
      <c r="N64" s="124" t="n">
        <f aca="false">SUM(J$6:J64)</f>
        <v>-512464</v>
      </c>
      <c r="P64" s="124" t="n">
        <f aca="false">D64/P$3</f>
        <v>0</v>
      </c>
      <c r="Q64" s="124" t="n">
        <f aca="false">E64/P$3</f>
        <v>0</v>
      </c>
      <c r="R64" s="124" t="n">
        <f aca="false">F64/R$3</f>
        <v>0</v>
      </c>
      <c r="S64" s="126" t="n">
        <f aca="false">J64/$R$3</f>
        <v>-256.232</v>
      </c>
      <c r="T64" s="126" t="n">
        <f aca="false">L64/$R$3</f>
        <v>-0</v>
      </c>
      <c r="U64" s="126" t="n">
        <f aca="false">I64/$R$3</f>
        <v>-256.232</v>
      </c>
      <c r="V64" s="126" t="n">
        <f aca="false">M64/$R$3</f>
        <v>-512.464</v>
      </c>
      <c r="W64" s="126" t="n">
        <f aca="false">N64/$R$3</f>
        <v>-512.464</v>
      </c>
    </row>
    <row r="65" customFormat="false" ht="12.75" hidden="true" customHeight="false" outlineLevel="0" collapsed="false">
      <c r="A65" s="120" t="n">
        <f aca="false">A64+1</f>
        <v>36951</v>
      </c>
      <c r="B65" s="131" t="str">
        <f aca="false">INDEX('Master Data'!$A$2:$B$8,MATCH(WEEKDAY('ARG Gas Transport'!A65,3),'Master Data'!$A$2:$A$8,0),2)</f>
        <v>Th</v>
      </c>
      <c r="D65" s="124" t="n">
        <v>0</v>
      </c>
      <c r="E65" s="124" t="n">
        <v>0</v>
      </c>
      <c r="F65" s="124" t="n">
        <v>0</v>
      </c>
      <c r="G65" s="124" t="n">
        <v>0</v>
      </c>
      <c r="I65" s="124" t="n">
        <f aca="false">IF(MONTH($A65)=MONTH($A64),IF(G65=0,I64,G65),G65)</f>
        <v>0</v>
      </c>
      <c r="J65" s="124" t="n">
        <f aca="false">IF(MONTH($A65)=MONTH($A64),SUM(I65-I64),I65)</f>
        <v>0</v>
      </c>
      <c r="K65" s="124" t="n">
        <f aca="false">IF(WEEKDAY(A65,3)&gt;4,0,(IF(A65&lt;K$2,0,IF(A65&lt;=K$3,1,0))))</f>
        <v>0</v>
      </c>
      <c r="L65" s="124" t="n">
        <f aca="false">J65*K65</f>
        <v>0</v>
      </c>
      <c r="M65" s="124" t="n">
        <f aca="false">SUM(J$6:J65)</f>
        <v>-512464</v>
      </c>
      <c r="N65" s="124" t="n">
        <f aca="false">SUM(J$6:J65)</f>
        <v>-512464</v>
      </c>
      <c r="P65" s="124" t="n">
        <f aca="false">D65/P$3</f>
        <v>0</v>
      </c>
      <c r="Q65" s="124" t="n">
        <f aca="false">E65/P$3</f>
        <v>0</v>
      </c>
      <c r="R65" s="124" t="n">
        <f aca="false">F65/R$3</f>
        <v>0</v>
      </c>
      <c r="S65" s="126" t="n">
        <f aca="false">J65/$R$3</f>
        <v>0</v>
      </c>
      <c r="T65" s="126" t="n">
        <f aca="false">L65/$R$3</f>
        <v>0</v>
      </c>
      <c r="U65" s="126" t="n">
        <f aca="false">I65/$R$3</f>
        <v>0</v>
      </c>
      <c r="V65" s="126" t="n">
        <f aca="false">M65/$R$3</f>
        <v>-512.464</v>
      </c>
      <c r="W65" s="126" t="n">
        <f aca="false">N65/$R$3</f>
        <v>-512.464</v>
      </c>
    </row>
    <row r="66" customFormat="false" ht="12.75" hidden="true" customHeight="false" outlineLevel="0" collapsed="false">
      <c r="A66" s="120" t="n">
        <f aca="false">A65+1</f>
        <v>36952</v>
      </c>
      <c r="B66" s="131" t="str">
        <f aca="false">INDEX('Master Data'!$A$2:$B$8,MATCH(WEEKDAY('ARG Gas Transport'!A66,3),'Master Data'!$A$2:$A$8,0),2)</f>
        <v>F</v>
      </c>
      <c r="D66" s="124" t="n">
        <v>0</v>
      </c>
      <c r="E66" s="124" t="n">
        <v>0</v>
      </c>
      <c r="F66" s="124" t="n">
        <v>0</v>
      </c>
      <c r="G66" s="124" t="n">
        <v>0</v>
      </c>
      <c r="I66" s="124" t="n">
        <f aca="false">IF(MONTH($A66)=MONTH($A65),IF(G66=0,I65,G66),G66)</f>
        <v>0</v>
      </c>
      <c r="J66" s="124" t="n">
        <f aca="false">IF(MONTH($A66)=MONTH($A65),SUM(I66-I65),I66)</f>
        <v>0</v>
      </c>
      <c r="K66" s="124" t="n">
        <f aca="false">IF(WEEKDAY(A66,3)&gt;4,0,(IF(A66&lt;K$2,0,IF(A66&lt;=K$3,1,0))))</f>
        <v>0</v>
      </c>
      <c r="L66" s="124" t="n">
        <f aca="false">J66*K66</f>
        <v>0</v>
      </c>
      <c r="M66" s="124" t="n">
        <f aca="false">SUM(J$6:J66)</f>
        <v>-512464</v>
      </c>
      <c r="N66" s="124" t="n">
        <f aca="false">SUM(J$6:J66)</f>
        <v>-512464</v>
      </c>
      <c r="P66" s="124" t="n">
        <f aca="false">D66/P$3</f>
        <v>0</v>
      </c>
      <c r="Q66" s="124" t="n">
        <f aca="false">E66/P$3</f>
        <v>0</v>
      </c>
      <c r="R66" s="124" t="n">
        <f aca="false">F66/R$3</f>
        <v>0</v>
      </c>
      <c r="S66" s="126" t="n">
        <f aca="false">J66/$R$3</f>
        <v>0</v>
      </c>
      <c r="T66" s="126" t="n">
        <f aca="false">L66/$R$3</f>
        <v>0</v>
      </c>
      <c r="U66" s="126" t="n">
        <f aca="false">I66/$R$3</f>
        <v>0</v>
      </c>
      <c r="V66" s="126" t="n">
        <f aca="false">M66/$R$3</f>
        <v>-512.464</v>
      </c>
      <c r="W66" s="126" t="n">
        <f aca="false">N66/$R$3</f>
        <v>-512.464</v>
      </c>
    </row>
    <row r="67" customFormat="false" ht="12.75" hidden="true" customHeight="false" outlineLevel="0" collapsed="false">
      <c r="A67" s="120" t="n">
        <f aca="false">A66+1</f>
        <v>36953</v>
      </c>
      <c r="B67" s="131" t="str">
        <f aca="false">INDEX('Master Data'!$A$2:$B$8,MATCH(WEEKDAY('ARG Gas Transport'!A67,3),'Master Data'!$A$2:$A$8,0),2)</f>
        <v>Sa</v>
      </c>
      <c r="D67" s="124" t="n">
        <v>0</v>
      </c>
      <c r="E67" s="124" t="n">
        <v>0</v>
      </c>
      <c r="F67" s="124" t="n">
        <v>0</v>
      </c>
      <c r="G67" s="124" t="n">
        <v>0</v>
      </c>
      <c r="I67" s="124" t="n">
        <f aca="false">IF(MONTH($A67)=MONTH($A66),IF(G67=0,I66,G67),G67)</f>
        <v>0</v>
      </c>
      <c r="J67" s="124" t="n">
        <f aca="false">IF(MONTH($A67)=MONTH($A66),SUM(I67-I66),I67)</f>
        <v>0</v>
      </c>
      <c r="K67" s="124" t="n">
        <f aca="false">IF(WEEKDAY(A67,3)&gt;4,0,(IF(A67&lt;K$2,0,IF(A67&lt;=K$3,1,0))))</f>
        <v>0</v>
      </c>
      <c r="L67" s="124" t="n">
        <f aca="false">J67*K67</f>
        <v>0</v>
      </c>
      <c r="M67" s="124" t="n">
        <f aca="false">SUM(J$6:J67)</f>
        <v>-512464</v>
      </c>
      <c r="N67" s="124" t="n">
        <f aca="false">SUM(J$6:J67)</f>
        <v>-512464</v>
      </c>
      <c r="P67" s="124" t="n">
        <f aca="false">D67/P$3</f>
        <v>0</v>
      </c>
      <c r="Q67" s="124" t="n">
        <f aca="false">E67/P$3</f>
        <v>0</v>
      </c>
      <c r="R67" s="124" t="n">
        <f aca="false">F67/R$3</f>
        <v>0</v>
      </c>
      <c r="S67" s="126" t="n">
        <f aca="false">J67/$R$3</f>
        <v>0</v>
      </c>
      <c r="T67" s="126" t="n">
        <f aca="false">L67/$R$3</f>
        <v>0</v>
      </c>
      <c r="U67" s="126" t="n">
        <f aca="false">I67/$R$3</f>
        <v>0</v>
      </c>
      <c r="V67" s="126" t="n">
        <f aca="false">M67/$R$3</f>
        <v>-512.464</v>
      </c>
      <c r="W67" s="126" t="n">
        <f aca="false">N67/$R$3</f>
        <v>-512.464</v>
      </c>
    </row>
    <row r="68" customFormat="false" ht="12.75" hidden="true" customHeight="false" outlineLevel="0" collapsed="false">
      <c r="A68" s="120" t="n">
        <f aca="false">A67+1</f>
        <v>36954</v>
      </c>
      <c r="B68" s="131" t="str">
        <f aca="false">INDEX('Master Data'!$A$2:$B$8,MATCH(WEEKDAY('ARG Gas Transport'!A68,3),'Master Data'!$A$2:$A$8,0),2)</f>
        <v>Su</v>
      </c>
      <c r="D68" s="124" t="n">
        <v>0</v>
      </c>
      <c r="E68" s="124" t="n">
        <v>0</v>
      </c>
      <c r="F68" s="124" t="n">
        <v>0</v>
      </c>
      <c r="G68" s="124" t="n">
        <v>0</v>
      </c>
      <c r="I68" s="124" t="n">
        <f aca="false">IF(MONTH($A68)=MONTH($A67),IF(G68=0,I67,G68),G68)</f>
        <v>0</v>
      </c>
      <c r="J68" s="124" t="n">
        <f aca="false">IF(MONTH($A68)=MONTH($A67),SUM(I68-I67),I68)</f>
        <v>0</v>
      </c>
      <c r="K68" s="124" t="n">
        <f aca="false">IF(WEEKDAY(A68,3)&gt;4,0,(IF(A68&lt;K$2,0,IF(A68&lt;=K$3,1,0))))</f>
        <v>0</v>
      </c>
      <c r="L68" s="124" t="n">
        <f aca="false">J68*K68</f>
        <v>0</v>
      </c>
      <c r="M68" s="124" t="n">
        <f aca="false">SUM(J$6:J68)</f>
        <v>-512464</v>
      </c>
      <c r="N68" s="124" t="n">
        <f aca="false">SUM(J$6:J68)</f>
        <v>-512464</v>
      </c>
      <c r="P68" s="124" t="n">
        <f aca="false">D68/P$3</f>
        <v>0</v>
      </c>
      <c r="Q68" s="124" t="n">
        <f aca="false">E68/P$3</f>
        <v>0</v>
      </c>
      <c r="R68" s="124" t="n">
        <f aca="false">F68/R$3</f>
        <v>0</v>
      </c>
      <c r="S68" s="126" t="n">
        <f aca="false">J68/$R$3</f>
        <v>0</v>
      </c>
      <c r="T68" s="126" t="n">
        <f aca="false">L68/$R$3</f>
        <v>0</v>
      </c>
      <c r="U68" s="126" t="n">
        <f aca="false">I68/$R$3</f>
        <v>0</v>
      </c>
      <c r="V68" s="126" t="n">
        <f aca="false">M68/$R$3</f>
        <v>-512.464</v>
      </c>
      <c r="W68" s="126" t="n">
        <f aca="false">N68/$R$3</f>
        <v>-512.464</v>
      </c>
    </row>
    <row r="69" customFormat="false" ht="12.75" hidden="true" customHeight="false" outlineLevel="0" collapsed="false">
      <c r="A69" s="120" t="n">
        <f aca="false">A68+1</f>
        <v>36955</v>
      </c>
      <c r="B69" s="131" t="str">
        <f aca="false">INDEX('Master Data'!$A$2:$B$8,MATCH(WEEKDAY('ARG Gas Transport'!A69,3),'Master Data'!$A$2:$A$8,0),2)</f>
        <v>M</v>
      </c>
      <c r="D69" s="124" t="n">
        <v>0</v>
      </c>
      <c r="E69" s="124" t="n">
        <v>0</v>
      </c>
      <c r="F69" s="124" t="n">
        <v>0</v>
      </c>
      <c r="G69" s="124" t="n">
        <v>0</v>
      </c>
      <c r="I69" s="124" t="n">
        <f aca="false">IF(MONTH($A69)=MONTH($A68),IF(G69=0,I68,G69),G69)</f>
        <v>0</v>
      </c>
      <c r="J69" s="124" t="n">
        <f aca="false">IF(MONTH($A69)=MONTH($A68),SUM(I69-I68),I69)</f>
        <v>0</v>
      </c>
      <c r="K69" s="124" t="n">
        <f aca="false">IF(WEEKDAY(A69,3)&gt;4,0,(IF(A69&lt;K$2,0,IF(A69&lt;=K$3,1,0))))</f>
        <v>0</v>
      </c>
      <c r="L69" s="124" t="n">
        <f aca="false">J69*K69</f>
        <v>0</v>
      </c>
      <c r="M69" s="124" t="n">
        <f aca="false">SUM(J$6:J69)</f>
        <v>-512464</v>
      </c>
      <c r="N69" s="124" t="n">
        <f aca="false">SUM(J$6:J69)</f>
        <v>-512464</v>
      </c>
      <c r="P69" s="124" t="n">
        <f aca="false">D69/P$3</f>
        <v>0</v>
      </c>
      <c r="Q69" s="124" t="n">
        <f aca="false">E69/P$3</f>
        <v>0</v>
      </c>
      <c r="R69" s="124" t="n">
        <f aca="false">F69/R$3</f>
        <v>0</v>
      </c>
      <c r="S69" s="126" t="n">
        <f aca="false">J69/$R$3</f>
        <v>0</v>
      </c>
      <c r="T69" s="126" t="n">
        <f aca="false">L69/$R$3</f>
        <v>0</v>
      </c>
      <c r="U69" s="126" t="n">
        <f aca="false">I69/$R$3</f>
        <v>0</v>
      </c>
      <c r="V69" s="126" t="n">
        <f aca="false">M69/$R$3</f>
        <v>-512.464</v>
      </c>
      <c r="W69" s="126" t="n">
        <f aca="false">N69/$R$3</f>
        <v>-512.464</v>
      </c>
    </row>
    <row r="70" customFormat="false" ht="12.75" hidden="true" customHeight="false" outlineLevel="0" collapsed="false">
      <c r="A70" s="120" t="n">
        <f aca="false">A69+1</f>
        <v>36956</v>
      </c>
      <c r="B70" s="131" t="str">
        <f aca="false">INDEX('Master Data'!$A$2:$B$8,MATCH(WEEKDAY('ARG Gas Transport'!A70,3),'Master Data'!$A$2:$A$8,0),2)</f>
        <v>T</v>
      </c>
      <c r="D70" s="124" t="n">
        <v>0</v>
      </c>
      <c r="E70" s="124" t="n">
        <v>0</v>
      </c>
      <c r="F70" s="124" t="n">
        <v>0</v>
      </c>
      <c r="G70" s="124" t="n">
        <v>0</v>
      </c>
      <c r="I70" s="124" t="n">
        <f aca="false">IF(MONTH($A70)=MONTH($A69),IF(G70=0,I69,G70),G70)</f>
        <v>0</v>
      </c>
      <c r="J70" s="124" t="n">
        <f aca="false">IF(MONTH($A70)=MONTH($A69),SUM(I70-I69),I70)</f>
        <v>0</v>
      </c>
      <c r="K70" s="124" t="n">
        <f aca="false">IF(WEEKDAY(A70,3)&gt;4,0,(IF(A70&lt;K$2,0,IF(A70&lt;=K$3,1,0))))</f>
        <v>0</v>
      </c>
      <c r="L70" s="124" t="n">
        <f aca="false">J70*K70</f>
        <v>0</v>
      </c>
      <c r="M70" s="124" t="n">
        <f aca="false">SUM(J$6:J70)</f>
        <v>-512464</v>
      </c>
      <c r="N70" s="124" t="n">
        <f aca="false">SUM(J$6:J70)</f>
        <v>-512464</v>
      </c>
      <c r="P70" s="124" t="n">
        <f aca="false">D70/P$3</f>
        <v>0</v>
      </c>
      <c r="Q70" s="124" t="n">
        <f aca="false">E70/P$3</f>
        <v>0</v>
      </c>
      <c r="R70" s="124" t="n">
        <f aca="false">F70/R$3</f>
        <v>0</v>
      </c>
      <c r="S70" s="126" t="n">
        <f aca="false">J70/$R$3</f>
        <v>0</v>
      </c>
      <c r="T70" s="126" t="n">
        <f aca="false">L70/$R$3</f>
        <v>0</v>
      </c>
      <c r="U70" s="126" t="n">
        <f aca="false">I70/$R$3</f>
        <v>0</v>
      </c>
      <c r="V70" s="126" t="n">
        <f aca="false">M70/$R$3</f>
        <v>-512.464</v>
      </c>
      <c r="W70" s="126" t="n">
        <f aca="false">N70/$R$3</f>
        <v>-512.464</v>
      </c>
    </row>
    <row r="71" customFormat="false" ht="12.75" hidden="true" customHeight="false" outlineLevel="0" collapsed="false">
      <c r="A71" s="120" t="n">
        <f aca="false">A70+1</f>
        <v>36957</v>
      </c>
      <c r="B71" s="131" t="str">
        <f aca="false">INDEX('Master Data'!$A$2:$B$8,MATCH(WEEKDAY('ARG Gas Transport'!A71,3),'Master Data'!$A$2:$A$8,0),2)</f>
        <v>W</v>
      </c>
      <c r="D71" s="124" t="n">
        <v>0</v>
      </c>
      <c r="E71" s="124" t="n">
        <v>0</v>
      </c>
      <c r="F71" s="124" t="n">
        <v>0</v>
      </c>
      <c r="G71" s="124" t="n">
        <v>0</v>
      </c>
      <c r="I71" s="124" t="n">
        <f aca="false">IF(MONTH($A71)=MONTH($A70),IF(G71=0,I70,G71),G71)</f>
        <v>0</v>
      </c>
      <c r="J71" s="124" t="n">
        <f aca="false">IF(MONTH($A71)=MONTH($A70),SUM(I71-I70),I71)</f>
        <v>0</v>
      </c>
      <c r="K71" s="124" t="n">
        <f aca="false">IF(WEEKDAY(A71,3)&gt;4,0,(IF(A71&lt;K$2,0,IF(A71&lt;=K$3,1,0))))</f>
        <v>0</v>
      </c>
      <c r="L71" s="124" t="n">
        <f aca="false">J71*K71</f>
        <v>0</v>
      </c>
      <c r="M71" s="124" t="n">
        <f aca="false">SUM(J$6:J71)</f>
        <v>-512464</v>
      </c>
      <c r="N71" s="124" t="n">
        <f aca="false">SUM(J$6:J71)</f>
        <v>-512464</v>
      </c>
      <c r="P71" s="124" t="n">
        <f aca="false">D71/P$3</f>
        <v>0</v>
      </c>
      <c r="Q71" s="124" t="n">
        <f aca="false">E71/P$3</f>
        <v>0</v>
      </c>
      <c r="R71" s="124" t="n">
        <f aca="false">F71/R$3</f>
        <v>0</v>
      </c>
      <c r="S71" s="126" t="n">
        <f aca="false">J71/$R$3</f>
        <v>0</v>
      </c>
      <c r="T71" s="126" t="n">
        <f aca="false">L71/$R$3</f>
        <v>0</v>
      </c>
      <c r="U71" s="126" t="n">
        <f aca="false">I71/$R$3</f>
        <v>0</v>
      </c>
      <c r="V71" s="126" t="n">
        <f aca="false">M71/$R$3</f>
        <v>-512.464</v>
      </c>
      <c r="W71" s="126" t="n">
        <f aca="false">N71/$R$3</f>
        <v>-512.464</v>
      </c>
    </row>
    <row r="72" customFormat="false" ht="12.75" hidden="true" customHeight="false" outlineLevel="0" collapsed="false">
      <c r="A72" s="120" t="n">
        <f aca="false">A71+1</f>
        <v>36958</v>
      </c>
      <c r="B72" s="131" t="str">
        <f aca="false">INDEX('Master Data'!$A$2:$B$8,MATCH(WEEKDAY('ARG Gas Transport'!A72,3),'Master Data'!$A$2:$A$8,0),2)</f>
        <v>Th</v>
      </c>
      <c r="D72" s="124" t="n">
        <v>0</v>
      </c>
      <c r="E72" s="124" t="n">
        <v>0</v>
      </c>
      <c r="F72" s="124" t="n">
        <v>0</v>
      </c>
      <c r="G72" s="124" t="n">
        <v>0</v>
      </c>
      <c r="I72" s="124" t="n">
        <f aca="false">IF(MONTH($A72)=MONTH($A71),IF(G72=0,I71,G72),G72)</f>
        <v>0</v>
      </c>
      <c r="J72" s="124" t="n">
        <f aca="false">IF(MONTH($A72)=MONTH($A71),SUM(I72-I71),I72)</f>
        <v>0</v>
      </c>
      <c r="K72" s="124" t="n">
        <f aca="false">IF(WEEKDAY(A72,3)&gt;4,0,(IF(A72&lt;K$2,0,IF(A72&lt;=K$3,1,0))))</f>
        <v>0</v>
      </c>
      <c r="L72" s="124" t="n">
        <f aca="false">J72*K72</f>
        <v>0</v>
      </c>
      <c r="M72" s="124" t="n">
        <f aca="false">SUM(J$6:J72)</f>
        <v>-512464</v>
      </c>
      <c r="N72" s="124" t="n">
        <f aca="false">SUM(J$6:J72)</f>
        <v>-512464</v>
      </c>
      <c r="P72" s="124" t="n">
        <f aca="false">D72/P$3</f>
        <v>0</v>
      </c>
      <c r="Q72" s="124" t="n">
        <f aca="false">E72/P$3</f>
        <v>0</v>
      </c>
      <c r="R72" s="124" t="n">
        <f aca="false">F72/R$3</f>
        <v>0</v>
      </c>
      <c r="S72" s="126" t="n">
        <f aca="false">J72/$R$3</f>
        <v>0</v>
      </c>
      <c r="T72" s="126" t="n">
        <f aca="false">L72/$R$3</f>
        <v>0</v>
      </c>
      <c r="U72" s="126" t="n">
        <f aca="false">I72/$R$3</f>
        <v>0</v>
      </c>
      <c r="V72" s="126" t="n">
        <f aca="false">M72/$R$3</f>
        <v>-512.464</v>
      </c>
      <c r="W72" s="126" t="n">
        <f aca="false">N72/$R$3</f>
        <v>-512.464</v>
      </c>
    </row>
    <row r="73" customFormat="false" ht="12.75" hidden="true" customHeight="false" outlineLevel="0" collapsed="false">
      <c r="A73" s="120" t="n">
        <f aca="false">A72+1</f>
        <v>36959</v>
      </c>
      <c r="B73" s="131" t="str">
        <f aca="false">INDEX('Master Data'!$A$2:$B$8,MATCH(WEEKDAY('ARG Gas Transport'!A73,3),'Master Data'!$A$2:$A$8,0),2)</f>
        <v>F</v>
      </c>
      <c r="D73" s="124" t="n">
        <v>0</v>
      </c>
      <c r="E73" s="124" t="n">
        <v>0</v>
      </c>
      <c r="F73" s="124" t="n">
        <v>0</v>
      </c>
      <c r="G73" s="124" t="n">
        <v>0</v>
      </c>
      <c r="I73" s="124" t="n">
        <f aca="false">IF(MONTH($A73)=MONTH($A72),IF(G73=0,I72,G73),G73)</f>
        <v>0</v>
      </c>
      <c r="J73" s="124" t="n">
        <f aca="false">IF(MONTH($A73)=MONTH($A72),SUM(I73-I72),I73)</f>
        <v>0</v>
      </c>
      <c r="K73" s="124" t="n">
        <f aca="false">IF(WEEKDAY(A73,3)&gt;4,0,(IF(A73&lt;K$2,0,IF(A73&lt;=K$3,1,0))))</f>
        <v>0</v>
      </c>
      <c r="L73" s="124" t="n">
        <f aca="false">J73*K73</f>
        <v>0</v>
      </c>
      <c r="M73" s="124" t="n">
        <f aca="false">SUM(J$6:J73)</f>
        <v>-512464</v>
      </c>
      <c r="N73" s="124" t="n">
        <f aca="false">SUM(J$6:J73)</f>
        <v>-512464</v>
      </c>
      <c r="P73" s="124" t="n">
        <f aca="false">D73/P$3</f>
        <v>0</v>
      </c>
      <c r="Q73" s="124" t="n">
        <f aca="false">E73/P$3</f>
        <v>0</v>
      </c>
      <c r="R73" s="124" t="n">
        <f aca="false">F73/R$3</f>
        <v>0</v>
      </c>
      <c r="S73" s="126" t="n">
        <f aca="false">J73/$R$3</f>
        <v>0</v>
      </c>
      <c r="T73" s="126" t="n">
        <f aca="false">L73/$R$3</f>
        <v>0</v>
      </c>
      <c r="U73" s="126" t="n">
        <f aca="false">I73/$R$3</f>
        <v>0</v>
      </c>
      <c r="V73" s="126" t="n">
        <f aca="false">M73/$R$3</f>
        <v>-512.464</v>
      </c>
      <c r="W73" s="126" t="n">
        <f aca="false">N73/$R$3</f>
        <v>-512.464</v>
      </c>
    </row>
    <row r="74" customFormat="false" ht="12.75" hidden="true" customHeight="false" outlineLevel="0" collapsed="false">
      <c r="A74" s="120" t="n">
        <f aca="false">A73+1</f>
        <v>36960</v>
      </c>
      <c r="B74" s="131" t="str">
        <f aca="false">INDEX('Master Data'!$A$2:$B$8,MATCH(WEEKDAY('ARG Gas Transport'!A74,3),'Master Data'!$A$2:$A$8,0),2)</f>
        <v>Sa</v>
      </c>
      <c r="D74" s="124" t="n">
        <v>0</v>
      </c>
      <c r="E74" s="124" t="n">
        <v>0</v>
      </c>
      <c r="F74" s="124" t="n">
        <v>0</v>
      </c>
      <c r="G74" s="124" t="n">
        <v>0</v>
      </c>
      <c r="I74" s="124" t="n">
        <f aca="false">IF(MONTH($A74)=MONTH($A73),IF(G74=0,I73,G74),G74)</f>
        <v>0</v>
      </c>
      <c r="J74" s="124" t="n">
        <f aca="false">IF(MONTH($A74)=MONTH($A73),SUM(I74-I73),I74)</f>
        <v>0</v>
      </c>
      <c r="K74" s="124" t="n">
        <f aca="false">IF(WEEKDAY(A74,3)&gt;4,0,(IF(A74&lt;K$2,0,IF(A74&lt;=K$3,1,0))))</f>
        <v>0</v>
      </c>
      <c r="L74" s="124" t="n">
        <f aca="false">J74*K74</f>
        <v>0</v>
      </c>
      <c r="M74" s="124" t="n">
        <f aca="false">SUM(J$6:J74)</f>
        <v>-512464</v>
      </c>
      <c r="N74" s="124" t="n">
        <f aca="false">SUM(J$6:J74)</f>
        <v>-512464</v>
      </c>
      <c r="P74" s="124" t="n">
        <f aca="false">D74/P$3</f>
        <v>0</v>
      </c>
      <c r="Q74" s="124" t="n">
        <f aca="false">E74/P$3</f>
        <v>0</v>
      </c>
      <c r="R74" s="124" t="n">
        <f aca="false">F74/R$3</f>
        <v>0</v>
      </c>
      <c r="S74" s="126" t="n">
        <f aca="false">J74/$R$3</f>
        <v>0</v>
      </c>
      <c r="T74" s="126" t="n">
        <f aca="false">L74/$R$3</f>
        <v>0</v>
      </c>
      <c r="U74" s="126" t="n">
        <f aca="false">I74/$R$3</f>
        <v>0</v>
      </c>
      <c r="V74" s="126" t="n">
        <f aca="false">M74/$R$3</f>
        <v>-512.464</v>
      </c>
      <c r="W74" s="126" t="n">
        <f aca="false">N74/$R$3</f>
        <v>-512.464</v>
      </c>
    </row>
    <row r="75" customFormat="false" ht="12.75" hidden="true" customHeight="false" outlineLevel="0" collapsed="false">
      <c r="A75" s="120" t="n">
        <f aca="false">A74+1</f>
        <v>36961</v>
      </c>
      <c r="B75" s="131" t="str">
        <f aca="false">INDEX('Master Data'!$A$2:$B$8,MATCH(WEEKDAY('ARG Gas Transport'!A75,3),'Master Data'!$A$2:$A$8,0),2)</f>
        <v>Su</v>
      </c>
      <c r="D75" s="124" t="n">
        <v>0</v>
      </c>
      <c r="E75" s="124" t="n">
        <v>0</v>
      </c>
      <c r="F75" s="124" t="n">
        <v>0</v>
      </c>
      <c r="G75" s="124" t="n">
        <v>0</v>
      </c>
      <c r="I75" s="124" t="n">
        <f aca="false">IF(MONTH($A75)=MONTH($A74),IF(G75=0,I74,G75),G75)</f>
        <v>0</v>
      </c>
      <c r="J75" s="124" t="n">
        <f aca="false">IF(MONTH($A75)=MONTH($A74),SUM(I75-I74),I75)</f>
        <v>0</v>
      </c>
      <c r="K75" s="124" t="n">
        <f aca="false">IF(WEEKDAY(A75,3)&gt;4,0,(IF(A75&lt;K$2,0,IF(A75&lt;=K$3,1,0))))</f>
        <v>0</v>
      </c>
      <c r="L75" s="124" t="n">
        <f aca="false">J75*K75</f>
        <v>0</v>
      </c>
      <c r="M75" s="124" t="n">
        <f aca="false">SUM(J$6:J75)</f>
        <v>-512464</v>
      </c>
      <c r="N75" s="124" t="n">
        <f aca="false">SUM(J$6:J75)</f>
        <v>-512464</v>
      </c>
      <c r="P75" s="124" t="n">
        <f aca="false">D75/P$3</f>
        <v>0</v>
      </c>
      <c r="Q75" s="124" t="n">
        <f aca="false">E75/P$3</f>
        <v>0</v>
      </c>
      <c r="R75" s="124" t="n">
        <f aca="false">F75/R$3</f>
        <v>0</v>
      </c>
      <c r="S75" s="126" t="n">
        <f aca="false">J75/$R$3</f>
        <v>0</v>
      </c>
      <c r="T75" s="126" t="n">
        <f aca="false">L75/$R$3</f>
        <v>0</v>
      </c>
      <c r="U75" s="126" t="n">
        <f aca="false">I75/$R$3</f>
        <v>0</v>
      </c>
      <c r="V75" s="126" t="n">
        <f aca="false">M75/$R$3</f>
        <v>-512.464</v>
      </c>
      <c r="W75" s="126" t="n">
        <f aca="false">N75/$R$3</f>
        <v>-512.464</v>
      </c>
    </row>
    <row r="76" customFormat="false" ht="12.75" hidden="true" customHeight="false" outlineLevel="0" collapsed="false">
      <c r="A76" s="120" t="n">
        <f aca="false">A75+1</f>
        <v>36962</v>
      </c>
      <c r="B76" s="131" t="str">
        <f aca="false">INDEX('Master Data'!$A$2:$B$8,MATCH(WEEKDAY('ARG Gas Transport'!A76,3),'Master Data'!$A$2:$A$8,0),2)</f>
        <v>M</v>
      </c>
      <c r="D76" s="124" t="n">
        <v>0</v>
      </c>
      <c r="E76" s="124" t="n">
        <v>0</v>
      </c>
      <c r="F76" s="124" t="n">
        <v>0</v>
      </c>
      <c r="G76" s="124" t="n">
        <v>0</v>
      </c>
      <c r="I76" s="124" t="n">
        <f aca="false">IF(MONTH($A76)=MONTH($A75),IF(G76=0,I75,G76),G76)</f>
        <v>0</v>
      </c>
      <c r="J76" s="124" t="n">
        <f aca="false">IF(MONTH($A76)=MONTH($A75),SUM(I76-I75),I76)</f>
        <v>0</v>
      </c>
      <c r="K76" s="124" t="n">
        <f aca="false">IF(WEEKDAY(A76,3)&gt;4,0,(IF(A76&lt;K$2,0,IF(A76&lt;=K$3,1,0))))</f>
        <v>0</v>
      </c>
      <c r="L76" s="124" t="n">
        <f aca="false">J76*K76</f>
        <v>0</v>
      </c>
      <c r="M76" s="124" t="n">
        <f aca="false">SUM(J$6:J76)</f>
        <v>-512464</v>
      </c>
      <c r="N76" s="124" t="n">
        <f aca="false">SUM(J$6:J76)</f>
        <v>-512464</v>
      </c>
      <c r="P76" s="124" t="n">
        <f aca="false">D76/P$3</f>
        <v>0</v>
      </c>
      <c r="Q76" s="124" t="n">
        <f aca="false">E76/P$3</f>
        <v>0</v>
      </c>
      <c r="R76" s="124" t="n">
        <f aca="false">F76/R$3</f>
        <v>0</v>
      </c>
      <c r="S76" s="126" t="n">
        <f aca="false">J76/$R$3</f>
        <v>0</v>
      </c>
      <c r="T76" s="126" t="n">
        <f aca="false">L76/$R$3</f>
        <v>0</v>
      </c>
      <c r="U76" s="126" t="n">
        <f aca="false">I76/$R$3</f>
        <v>0</v>
      </c>
      <c r="V76" s="126" t="n">
        <f aca="false">M76/$R$3</f>
        <v>-512.464</v>
      </c>
      <c r="W76" s="126" t="n">
        <f aca="false">N76/$R$3</f>
        <v>-512.464</v>
      </c>
    </row>
    <row r="77" customFormat="false" ht="12.75" hidden="true" customHeight="false" outlineLevel="0" collapsed="false">
      <c r="A77" s="120" t="n">
        <f aca="false">A76+1</f>
        <v>36963</v>
      </c>
      <c r="B77" s="131" t="str">
        <f aca="false">INDEX('Master Data'!$A$2:$B$8,MATCH(WEEKDAY('ARG Gas Transport'!A77,3),'Master Data'!$A$2:$A$8,0),2)</f>
        <v>T</v>
      </c>
      <c r="D77" s="124" t="n">
        <v>0</v>
      </c>
      <c r="E77" s="124" t="n">
        <v>0</v>
      </c>
      <c r="F77" s="124" t="n">
        <v>0</v>
      </c>
      <c r="G77" s="124" t="n">
        <v>0</v>
      </c>
      <c r="I77" s="124" t="n">
        <f aca="false">IF(MONTH($A77)=MONTH($A76),IF(G77=0,I76,G77),G77)</f>
        <v>0</v>
      </c>
      <c r="J77" s="124" t="n">
        <f aca="false">IF(MONTH($A77)=MONTH($A76),SUM(I77-I76),I77)</f>
        <v>0</v>
      </c>
      <c r="K77" s="124" t="n">
        <f aca="false">IF(WEEKDAY(A77,3)&gt;4,0,(IF(A77&lt;K$2,0,IF(A77&lt;=K$3,1,0))))</f>
        <v>0</v>
      </c>
      <c r="L77" s="124" t="n">
        <f aca="false">J77*K77</f>
        <v>0</v>
      </c>
      <c r="M77" s="124" t="n">
        <f aca="false">SUM(J$6:J77)</f>
        <v>-512464</v>
      </c>
      <c r="N77" s="124" t="n">
        <f aca="false">SUM(J$6:J77)</f>
        <v>-512464</v>
      </c>
      <c r="P77" s="124" t="n">
        <f aca="false">D77/P$3</f>
        <v>0</v>
      </c>
      <c r="Q77" s="124" t="n">
        <f aca="false">E77/P$3</f>
        <v>0</v>
      </c>
      <c r="R77" s="124" t="n">
        <f aca="false">F77/R$3</f>
        <v>0</v>
      </c>
      <c r="S77" s="126" t="n">
        <f aca="false">J77/$R$3</f>
        <v>0</v>
      </c>
      <c r="T77" s="126" t="n">
        <f aca="false">L77/$R$3</f>
        <v>0</v>
      </c>
      <c r="U77" s="126" t="n">
        <f aca="false">I77/$R$3</f>
        <v>0</v>
      </c>
      <c r="V77" s="126" t="n">
        <f aca="false">M77/$R$3</f>
        <v>-512.464</v>
      </c>
      <c r="W77" s="126" t="n">
        <f aca="false">N77/$R$3</f>
        <v>-512.464</v>
      </c>
    </row>
    <row r="78" customFormat="false" ht="12.75" hidden="true" customHeight="false" outlineLevel="0" collapsed="false">
      <c r="A78" s="120" t="n">
        <f aca="false">A77+1</f>
        <v>36964</v>
      </c>
      <c r="B78" s="131" t="str">
        <f aca="false">INDEX('Master Data'!$A$2:$B$8,MATCH(WEEKDAY('ARG Gas Transport'!A78,3),'Master Data'!$A$2:$A$8,0),2)</f>
        <v>W</v>
      </c>
      <c r="D78" s="124" t="n">
        <v>0</v>
      </c>
      <c r="E78" s="124" t="n">
        <v>0</v>
      </c>
      <c r="F78" s="124" t="n">
        <v>0</v>
      </c>
      <c r="G78" s="124" t="n">
        <v>0</v>
      </c>
      <c r="I78" s="124" t="n">
        <f aca="false">IF(MONTH($A78)=MONTH($A77),IF(G78=0,I77,G78),G78)</f>
        <v>0</v>
      </c>
      <c r="J78" s="124" t="n">
        <f aca="false">IF(MONTH($A78)=MONTH($A77),SUM(I78-I77),I78)</f>
        <v>0</v>
      </c>
      <c r="K78" s="124" t="n">
        <f aca="false">IF(WEEKDAY(A78,3)&gt;4,0,(IF(A78&lt;K$2,0,IF(A78&lt;=K$3,1,0))))</f>
        <v>0</v>
      </c>
      <c r="L78" s="124" t="n">
        <f aca="false">J78*K78</f>
        <v>0</v>
      </c>
      <c r="M78" s="124" t="n">
        <f aca="false">SUM(J$6:J78)</f>
        <v>-512464</v>
      </c>
      <c r="N78" s="124" t="n">
        <f aca="false">SUM(J$6:J78)</f>
        <v>-512464</v>
      </c>
      <c r="P78" s="124" t="n">
        <f aca="false">D78/P$3</f>
        <v>0</v>
      </c>
      <c r="Q78" s="124" t="n">
        <f aca="false">E78/P$3</f>
        <v>0</v>
      </c>
      <c r="R78" s="124" t="n">
        <f aca="false">F78/R$3</f>
        <v>0</v>
      </c>
      <c r="S78" s="126" t="n">
        <f aca="false">J78/$R$3</f>
        <v>0</v>
      </c>
      <c r="T78" s="126" t="n">
        <f aca="false">L78/$R$3</f>
        <v>0</v>
      </c>
      <c r="U78" s="126" t="n">
        <f aca="false">I78/$R$3</f>
        <v>0</v>
      </c>
      <c r="V78" s="126" t="n">
        <f aca="false">M78/$R$3</f>
        <v>-512.464</v>
      </c>
      <c r="W78" s="126" t="n">
        <f aca="false">N78/$R$3</f>
        <v>-512.464</v>
      </c>
    </row>
    <row r="79" customFormat="false" ht="12.75" hidden="true" customHeight="false" outlineLevel="0" collapsed="false">
      <c r="A79" s="120" t="n">
        <f aca="false">A78+1</f>
        <v>36965</v>
      </c>
      <c r="B79" s="131" t="str">
        <f aca="false">INDEX('Master Data'!$A$2:$B$8,MATCH(WEEKDAY('ARG Gas Transport'!A79,3),'Master Data'!$A$2:$A$8,0),2)</f>
        <v>Th</v>
      </c>
      <c r="D79" s="124" t="n">
        <v>0</v>
      </c>
      <c r="E79" s="124" t="n">
        <v>0</v>
      </c>
      <c r="F79" s="124" t="n">
        <v>0</v>
      </c>
      <c r="G79" s="124" t="n">
        <v>0</v>
      </c>
      <c r="I79" s="124" t="n">
        <f aca="false">IF(MONTH($A79)=MONTH($A78),IF(G79=0,I78,G79),G79)</f>
        <v>0</v>
      </c>
      <c r="J79" s="124" t="n">
        <f aca="false">IF(MONTH($A79)=MONTH($A78),SUM(I79-I78),I79)</f>
        <v>0</v>
      </c>
      <c r="K79" s="124" t="n">
        <f aca="false">IF(WEEKDAY(A79,3)&gt;4,0,(IF(A79&lt;K$2,0,IF(A79&lt;=K$3,1,0))))</f>
        <v>0</v>
      </c>
      <c r="L79" s="124" t="n">
        <f aca="false">J79*K79</f>
        <v>0</v>
      </c>
      <c r="M79" s="124" t="n">
        <f aca="false">SUM(J$6:J79)</f>
        <v>-512464</v>
      </c>
      <c r="N79" s="124" t="n">
        <f aca="false">SUM(J$6:J79)</f>
        <v>-512464</v>
      </c>
      <c r="P79" s="124" t="n">
        <f aca="false">D79/P$3</f>
        <v>0</v>
      </c>
      <c r="Q79" s="124" t="n">
        <f aca="false">E79/P$3</f>
        <v>0</v>
      </c>
      <c r="R79" s="124" t="n">
        <f aca="false">F79/R$3</f>
        <v>0</v>
      </c>
      <c r="S79" s="126" t="n">
        <f aca="false">J79/$R$3</f>
        <v>0</v>
      </c>
      <c r="T79" s="126" t="n">
        <f aca="false">L79/$R$3</f>
        <v>0</v>
      </c>
      <c r="U79" s="126" t="n">
        <f aca="false">I79/$R$3</f>
        <v>0</v>
      </c>
      <c r="V79" s="126" t="n">
        <f aca="false">M79/$R$3</f>
        <v>-512.464</v>
      </c>
      <c r="W79" s="126" t="n">
        <f aca="false">N79/$R$3</f>
        <v>-512.464</v>
      </c>
    </row>
    <row r="80" customFormat="false" ht="12.75" hidden="true" customHeight="false" outlineLevel="0" collapsed="false">
      <c r="A80" s="120" t="n">
        <f aca="false">A79+1</f>
        <v>36966</v>
      </c>
      <c r="B80" s="131" t="str">
        <f aca="false">INDEX('Master Data'!$A$2:$B$8,MATCH(WEEKDAY('ARG Gas Transport'!A80,3),'Master Data'!$A$2:$A$8,0),2)</f>
        <v>F</v>
      </c>
      <c r="D80" s="124" t="n">
        <v>0</v>
      </c>
      <c r="E80" s="124" t="n">
        <v>0</v>
      </c>
      <c r="F80" s="124" t="n">
        <v>0</v>
      </c>
      <c r="G80" s="124" t="n">
        <v>0</v>
      </c>
      <c r="I80" s="124" t="n">
        <f aca="false">IF(MONTH($A80)=MONTH($A79),IF(G80=0,I79,G80),G80)</f>
        <v>0</v>
      </c>
      <c r="J80" s="124" t="n">
        <f aca="false">IF(MONTH($A80)=MONTH($A79),SUM(I80-I79),I80)</f>
        <v>0</v>
      </c>
      <c r="K80" s="124" t="n">
        <f aca="false">IF(WEEKDAY(A80,3)&gt;4,0,(IF(A80&lt;K$2,0,IF(A80&lt;=K$3,1,0))))</f>
        <v>0</v>
      </c>
      <c r="L80" s="124" t="n">
        <f aca="false">J80*K80</f>
        <v>0</v>
      </c>
      <c r="M80" s="124" t="n">
        <f aca="false">SUM(J$6:J80)</f>
        <v>-512464</v>
      </c>
      <c r="N80" s="124" t="n">
        <f aca="false">SUM(J$6:J80)</f>
        <v>-512464</v>
      </c>
      <c r="P80" s="124" t="n">
        <f aca="false">D80/P$3</f>
        <v>0</v>
      </c>
      <c r="Q80" s="124" t="n">
        <f aca="false">E80/P$3</f>
        <v>0</v>
      </c>
      <c r="R80" s="124" t="n">
        <f aca="false">F80/R$3</f>
        <v>0</v>
      </c>
      <c r="S80" s="126" t="n">
        <f aca="false">J80/$R$3</f>
        <v>0</v>
      </c>
      <c r="T80" s="126" t="n">
        <f aca="false">L80/$R$3</f>
        <v>0</v>
      </c>
      <c r="U80" s="126" t="n">
        <f aca="false">I80/$R$3</f>
        <v>0</v>
      </c>
      <c r="V80" s="126" t="n">
        <f aca="false">M80/$R$3</f>
        <v>-512.464</v>
      </c>
      <c r="W80" s="126" t="n">
        <f aca="false">N80/$R$3</f>
        <v>-512.464</v>
      </c>
    </row>
    <row r="81" customFormat="false" ht="12.75" hidden="true" customHeight="false" outlineLevel="0" collapsed="false">
      <c r="A81" s="120" t="n">
        <f aca="false">A80+1</f>
        <v>36967</v>
      </c>
      <c r="B81" s="131" t="str">
        <f aca="false">INDEX('Master Data'!$A$2:$B$8,MATCH(WEEKDAY('ARG Gas Transport'!A81,3),'Master Data'!$A$2:$A$8,0),2)</f>
        <v>Sa</v>
      </c>
      <c r="D81" s="124" t="n">
        <v>0</v>
      </c>
      <c r="E81" s="124" t="n">
        <v>0</v>
      </c>
      <c r="F81" s="124" t="n">
        <v>0</v>
      </c>
      <c r="G81" s="124" t="n">
        <v>0</v>
      </c>
      <c r="I81" s="124" t="n">
        <f aca="false">IF(MONTH($A81)=MONTH($A80),IF(G81=0,I80,G81),G81)</f>
        <v>0</v>
      </c>
      <c r="J81" s="124" t="n">
        <f aca="false">IF(MONTH($A81)=MONTH($A80),SUM(I81-I80),I81)</f>
        <v>0</v>
      </c>
      <c r="K81" s="124" t="n">
        <f aca="false">IF(WEEKDAY(A81,3)&gt;4,0,(IF(A81&lt;K$2,0,IF(A81&lt;=K$3,1,0))))</f>
        <v>0</v>
      </c>
      <c r="L81" s="124" t="n">
        <f aca="false">J81*K81</f>
        <v>0</v>
      </c>
      <c r="M81" s="124" t="n">
        <f aca="false">SUM(J$6:J81)</f>
        <v>-512464</v>
      </c>
      <c r="N81" s="124" t="n">
        <f aca="false">SUM(J$6:J81)</f>
        <v>-512464</v>
      </c>
      <c r="P81" s="124" t="n">
        <f aca="false">D81/P$3</f>
        <v>0</v>
      </c>
      <c r="Q81" s="124" t="n">
        <f aca="false">E81/P$3</f>
        <v>0</v>
      </c>
      <c r="R81" s="124" t="n">
        <f aca="false">F81/R$3</f>
        <v>0</v>
      </c>
      <c r="S81" s="126" t="n">
        <f aca="false">J81/$R$3</f>
        <v>0</v>
      </c>
      <c r="T81" s="126" t="n">
        <f aca="false">L81/$R$3</f>
        <v>0</v>
      </c>
      <c r="U81" s="126" t="n">
        <f aca="false">I81/$R$3</f>
        <v>0</v>
      </c>
      <c r="V81" s="126" t="n">
        <f aca="false">M81/$R$3</f>
        <v>-512.464</v>
      </c>
      <c r="W81" s="126" t="n">
        <f aca="false">N81/$R$3</f>
        <v>-512.464</v>
      </c>
    </row>
    <row r="82" customFormat="false" ht="12.75" hidden="true" customHeight="false" outlineLevel="0" collapsed="false">
      <c r="A82" s="120" t="n">
        <f aca="false">A81+1</f>
        <v>36968</v>
      </c>
      <c r="B82" s="131" t="str">
        <f aca="false">INDEX('Master Data'!$A$2:$B$8,MATCH(WEEKDAY('ARG Gas Transport'!A82,3),'Master Data'!$A$2:$A$8,0),2)</f>
        <v>Su</v>
      </c>
      <c r="D82" s="124" t="n">
        <v>0</v>
      </c>
      <c r="E82" s="124" t="n">
        <v>0</v>
      </c>
      <c r="F82" s="124" t="n">
        <v>0</v>
      </c>
      <c r="G82" s="124" t="n">
        <v>0</v>
      </c>
      <c r="I82" s="124" t="n">
        <f aca="false">IF(MONTH($A82)=MONTH($A81),IF(G82=0,I81,G82),G82)</f>
        <v>0</v>
      </c>
      <c r="J82" s="124" t="n">
        <f aca="false">IF(MONTH($A82)=MONTH($A81),SUM(I82-I81),I82)</f>
        <v>0</v>
      </c>
      <c r="K82" s="124" t="n">
        <f aca="false">IF(WEEKDAY(A82,3)&gt;4,0,(IF(A82&lt;K$2,0,IF(A82&lt;=K$3,1,0))))</f>
        <v>0</v>
      </c>
      <c r="L82" s="124" t="n">
        <f aca="false">J82*K82</f>
        <v>0</v>
      </c>
      <c r="M82" s="124" t="n">
        <f aca="false">SUM(J$6:J82)</f>
        <v>-512464</v>
      </c>
      <c r="N82" s="124" t="n">
        <f aca="false">SUM(J$6:J82)</f>
        <v>-512464</v>
      </c>
      <c r="P82" s="124" t="n">
        <f aca="false">D82/P$3</f>
        <v>0</v>
      </c>
      <c r="Q82" s="124" t="n">
        <f aca="false">E82/P$3</f>
        <v>0</v>
      </c>
      <c r="R82" s="124" t="n">
        <f aca="false">F82/R$3</f>
        <v>0</v>
      </c>
      <c r="S82" s="126" t="n">
        <f aca="false">J82/$R$3</f>
        <v>0</v>
      </c>
      <c r="T82" s="126" t="n">
        <f aca="false">L82/$R$3</f>
        <v>0</v>
      </c>
      <c r="U82" s="126" t="n">
        <f aca="false">I82/$R$3</f>
        <v>0</v>
      </c>
      <c r="V82" s="126" t="n">
        <f aca="false">M82/$R$3</f>
        <v>-512.464</v>
      </c>
      <c r="W82" s="126" t="n">
        <f aca="false">N82/$R$3</f>
        <v>-512.464</v>
      </c>
    </row>
    <row r="83" customFormat="false" ht="12.75" hidden="true" customHeight="false" outlineLevel="0" collapsed="false">
      <c r="A83" s="120" t="n">
        <f aca="false">A82+1</f>
        <v>36969</v>
      </c>
      <c r="B83" s="131" t="str">
        <f aca="false">INDEX('Master Data'!$A$2:$B$8,MATCH(WEEKDAY('ARG Gas Transport'!A83,3),'Master Data'!$A$2:$A$8,0),2)</f>
        <v>M</v>
      </c>
      <c r="D83" s="124" t="n">
        <v>0</v>
      </c>
      <c r="E83" s="124" t="n">
        <v>0</v>
      </c>
      <c r="F83" s="124" t="n">
        <v>0</v>
      </c>
      <c r="G83" s="124" t="n">
        <v>0</v>
      </c>
      <c r="I83" s="124" t="n">
        <f aca="false">IF(MONTH($A83)=MONTH($A82),IF(G83=0,I82,G83),G83)</f>
        <v>0</v>
      </c>
      <c r="J83" s="124" t="n">
        <f aca="false">IF(MONTH($A83)=MONTH($A82),SUM(I83-I82),I83)</f>
        <v>0</v>
      </c>
      <c r="K83" s="124" t="n">
        <f aca="false">IF(WEEKDAY(A83,3)&gt;4,0,(IF(A83&lt;K$2,0,IF(A83&lt;=K$3,1,0))))</f>
        <v>0</v>
      </c>
      <c r="L83" s="124" t="n">
        <f aca="false">J83*K83</f>
        <v>0</v>
      </c>
      <c r="M83" s="124" t="n">
        <f aca="false">SUM(J$6:J83)</f>
        <v>-512464</v>
      </c>
      <c r="N83" s="124" t="n">
        <f aca="false">SUM(J$6:J83)</f>
        <v>-512464</v>
      </c>
      <c r="P83" s="124" t="n">
        <f aca="false">D83/P$3</f>
        <v>0</v>
      </c>
      <c r="Q83" s="124" t="n">
        <f aca="false">E83/P$3</f>
        <v>0</v>
      </c>
      <c r="R83" s="124" t="n">
        <f aca="false">F83/R$3</f>
        <v>0</v>
      </c>
      <c r="S83" s="126" t="n">
        <f aca="false">J83/$R$3</f>
        <v>0</v>
      </c>
      <c r="T83" s="126" t="n">
        <f aca="false">L83/$R$3</f>
        <v>0</v>
      </c>
      <c r="U83" s="126" t="n">
        <f aca="false">I83/$R$3</f>
        <v>0</v>
      </c>
      <c r="V83" s="126" t="n">
        <f aca="false">M83/$R$3</f>
        <v>-512.464</v>
      </c>
      <c r="W83" s="126" t="n">
        <f aca="false">N83/$R$3</f>
        <v>-512.464</v>
      </c>
    </row>
    <row r="84" customFormat="false" ht="12.75" hidden="true" customHeight="false" outlineLevel="0" collapsed="false">
      <c r="A84" s="120" t="n">
        <f aca="false">A83+1</f>
        <v>36970</v>
      </c>
      <c r="B84" s="131" t="str">
        <f aca="false">INDEX('Master Data'!$A$2:$B$8,MATCH(WEEKDAY('ARG Gas Transport'!A84,3),'Master Data'!$A$2:$A$8,0),2)</f>
        <v>T</v>
      </c>
      <c r="D84" s="124" t="n">
        <v>0</v>
      </c>
      <c r="E84" s="124" t="n">
        <v>0</v>
      </c>
      <c r="F84" s="124" t="n">
        <v>0</v>
      </c>
      <c r="G84" s="124" t="n">
        <v>0</v>
      </c>
      <c r="I84" s="124" t="n">
        <f aca="false">IF(MONTH($A84)=MONTH($A83),IF(G84=0,I83,G84),G84)</f>
        <v>0</v>
      </c>
      <c r="J84" s="124" t="n">
        <f aca="false">IF(MONTH($A84)=MONTH($A83),SUM(I84-I83),I84)</f>
        <v>0</v>
      </c>
      <c r="K84" s="124" t="n">
        <f aca="false">IF(WEEKDAY(A84,3)&gt;4,0,(IF(A84&lt;K$2,0,IF(A84&lt;=K$3,1,0))))</f>
        <v>0</v>
      </c>
      <c r="L84" s="124" t="n">
        <f aca="false">J84*K84</f>
        <v>0</v>
      </c>
      <c r="M84" s="124" t="n">
        <f aca="false">SUM(J$6:J84)</f>
        <v>-512464</v>
      </c>
      <c r="N84" s="124" t="n">
        <f aca="false">SUM(J$6:J84)</f>
        <v>-512464</v>
      </c>
      <c r="P84" s="124" t="n">
        <f aca="false">D84/P$3</f>
        <v>0</v>
      </c>
      <c r="Q84" s="124" t="n">
        <f aca="false">E84/P$3</f>
        <v>0</v>
      </c>
      <c r="R84" s="124" t="n">
        <f aca="false">F84/R$3</f>
        <v>0</v>
      </c>
      <c r="S84" s="126" t="n">
        <f aca="false">J84/$R$3</f>
        <v>0</v>
      </c>
      <c r="T84" s="126" t="n">
        <f aca="false">L84/$R$3</f>
        <v>0</v>
      </c>
      <c r="U84" s="126" t="n">
        <f aca="false">I84/$R$3</f>
        <v>0</v>
      </c>
      <c r="V84" s="126" t="n">
        <f aca="false">M84/$R$3</f>
        <v>-512.464</v>
      </c>
      <c r="W84" s="126" t="n">
        <f aca="false">N84/$R$3</f>
        <v>-512.464</v>
      </c>
    </row>
    <row r="85" customFormat="false" ht="12.75" hidden="true" customHeight="false" outlineLevel="0" collapsed="false">
      <c r="A85" s="120" t="n">
        <f aca="false">A84+1</f>
        <v>36971</v>
      </c>
      <c r="B85" s="131" t="str">
        <f aca="false">INDEX('Master Data'!$A$2:$B$8,MATCH(WEEKDAY('ARG Gas Transport'!A85,3),'Master Data'!$A$2:$A$8,0),2)</f>
        <v>W</v>
      </c>
      <c r="D85" s="124" t="n">
        <v>0</v>
      </c>
      <c r="E85" s="124" t="n">
        <v>0</v>
      </c>
      <c r="F85" s="124" t="n">
        <v>0</v>
      </c>
      <c r="G85" s="124" t="n">
        <v>0</v>
      </c>
      <c r="I85" s="124" t="n">
        <f aca="false">IF(MONTH($A85)=MONTH($A84),IF(G85=0,I84,G85),G85)</f>
        <v>0</v>
      </c>
      <c r="J85" s="124" t="n">
        <f aca="false">IF(MONTH($A85)=MONTH($A84),SUM(I85-I84),I85)</f>
        <v>0</v>
      </c>
      <c r="K85" s="124" t="n">
        <f aca="false">IF(WEEKDAY(A85,3)&gt;4,0,(IF(A85&lt;K$2,0,IF(A85&lt;=K$3,1,0))))</f>
        <v>0</v>
      </c>
      <c r="L85" s="124" t="n">
        <f aca="false">J85*K85</f>
        <v>0</v>
      </c>
      <c r="M85" s="124" t="n">
        <f aca="false">SUM(J$6:J85)</f>
        <v>-512464</v>
      </c>
      <c r="N85" s="124" t="n">
        <f aca="false">SUM(J$6:J85)</f>
        <v>-512464</v>
      </c>
      <c r="P85" s="124" t="n">
        <f aca="false">D85/P$3</f>
        <v>0</v>
      </c>
      <c r="Q85" s="124" t="n">
        <f aca="false">E85/P$3</f>
        <v>0</v>
      </c>
      <c r="R85" s="124" t="n">
        <f aca="false">F85/R$3</f>
        <v>0</v>
      </c>
      <c r="S85" s="126" t="n">
        <f aca="false">J85/$R$3</f>
        <v>0</v>
      </c>
      <c r="T85" s="126" t="n">
        <f aca="false">L85/$R$3</f>
        <v>0</v>
      </c>
      <c r="U85" s="126" t="n">
        <f aca="false">I85/$R$3</f>
        <v>0</v>
      </c>
      <c r="V85" s="126" t="n">
        <f aca="false">M85/$R$3</f>
        <v>-512.464</v>
      </c>
      <c r="W85" s="126" t="n">
        <f aca="false">N85/$R$3</f>
        <v>-512.464</v>
      </c>
    </row>
    <row r="86" customFormat="false" ht="12.75" hidden="true" customHeight="false" outlineLevel="0" collapsed="false">
      <c r="A86" s="120" t="n">
        <f aca="false">A85+1</f>
        <v>36972</v>
      </c>
      <c r="B86" s="131" t="str">
        <f aca="false">INDEX('Master Data'!$A$2:$B$8,MATCH(WEEKDAY('ARG Gas Transport'!A86,3),'Master Data'!$A$2:$A$8,0),2)</f>
        <v>Th</v>
      </c>
      <c r="D86" s="124" t="n">
        <v>0</v>
      </c>
      <c r="E86" s="124" t="n">
        <v>0</v>
      </c>
      <c r="F86" s="124" t="n">
        <v>0</v>
      </c>
      <c r="G86" s="124" t="n">
        <v>0</v>
      </c>
      <c r="I86" s="124" t="n">
        <f aca="false">IF(MONTH($A86)=MONTH($A85),IF(G86=0,I85,G86),G86)</f>
        <v>0</v>
      </c>
      <c r="J86" s="124" t="n">
        <f aca="false">IF(MONTH($A86)=MONTH($A85),SUM(I86-I85),I86)</f>
        <v>0</v>
      </c>
      <c r="K86" s="124" t="n">
        <f aca="false">IF(WEEKDAY(A86,3)&gt;4,0,(IF(A86&lt;K$2,0,IF(A86&lt;=K$3,1,0))))</f>
        <v>0</v>
      </c>
      <c r="L86" s="124" t="n">
        <f aca="false">J86*K86</f>
        <v>0</v>
      </c>
      <c r="M86" s="124" t="n">
        <f aca="false">SUM(J$6:J86)</f>
        <v>-512464</v>
      </c>
      <c r="N86" s="124" t="n">
        <f aca="false">SUM(J$6:J86)</f>
        <v>-512464</v>
      </c>
      <c r="P86" s="124" t="n">
        <f aca="false">D86/P$3</f>
        <v>0</v>
      </c>
      <c r="Q86" s="124" t="n">
        <f aca="false">E86/P$3</f>
        <v>0</v>
      </c>
      <c r="R86" s="124" t="n">
        <f aca="false">F86/R$3</f>
        <v>0</v>
      </c>
      <c r="S86" s="126" t="n">
        <f aca="false">J86/$R$3</f>
        <v>0</v>
      </c>
      <c r="T86" s="126" t="n">
        <f aca="false">L86/$R$3</f>
        <v>0</v>
      </c>
      <c r="U86" s="126" t="n">
        <f aca="false">I86/$R$3</f>
        <v>0</v>
      </c>
      <c r="V86" s="126" t="n">
        <f aca="false">M86/$R$3</f>
        <v>-512.464</v>
      </c>
      <c r="W86" s="126" t="n">
        <f aca="false">N86/$R$3</f>
        <v>-512.464</v>
      </c>
    </row>
    <row r="87" customFormat="false" ht="12.75" hidden="true" customHeight="false" outlineLevel="0" collapsed="false">
      <c r="A87" s="120" t="n">
        <f aca="false">A86+1</f>
        <v>36973</v>
      </c>
      <c r="B87" s="131" t="str">
        <f aca="false">INDEX('Master Data'!$A$2:$B$8,MATCH(WEEKDAY('ARG Gas Transport'!A87,3),'Master Data'!$A$2:$A$8,0),2)</f>
        <v>F</v>
      </c>
      <c r="D87" s="124" t="n">
        <v>0</v>
      </c>
      <c r="E87" s="124" t="n">
        <v>0</v>
      </c>
      <c r="F87" s="124" t="n">
        <v>0</v>
      </c>
      <c r="G87" s="124" t="n">
        <v>0</v>
      </c>
      <c r="I87" s="124" t="n">
        <f aca="false">IF(MONTH($A87)=MONTH($A86),IF(G87=0,I86,G87),G87)</f>
        <v>0</v>
      </c>
      <c r="J87" s="124" t="n">
        <f aca="false">IF(MONTH($A87)=MONTH($A86),SUM(I87-I86),I87)</f>
        <v>0</v>
      </c>
      <c r="K87" s="124" t="n">
        <f aca="false">IF(WEEKDAY(A87,3)&gt;4,0,(IF(A87&lt;K$2,0,IF(A87&lt;=K$3,1,0))))</f>
        <v>0</v>
      </c>
      <c r="L87" s="124" t="n">
        <f aca="false">J87*K87</f>
        <v>0</v>
      </c>
      <c r="M87" s="124" t="n">
        <f aca="false">SUM(J$6:J87)</f>
        <v>-512464</v>
      </c>
      <c r="N87" s="124" t="n">
        <f aca="false">SUM(J$6:J87)</f>
        <v>-512464</v>
      </c>
      <c r="P87" s="124" t="n">
        <f aca="false">D87/P$3</f>
        <v>0</v>
      </c>
      <c r="Q87" s="124" t="n">
        <f aca="false">E87/P$3</f>
        <v>0</v>
      </c>
      <c r="R87" s="124" t="n">
        <f aca="false">F87/R$3</f>
        <v>0</v>
      </c>
      <c r="S87" s="126" t="n">
        <f aca="false">J87/$R$3</f>
        <v>0</v>
      </c>
      <c r="T87" s="126" t="n">
        <f aca="false">L87/$R$3</f>
        <v>0</v>
      </c>
      <c r="U87" s="126" t="n">
        <f aca="false">I87/$R$3</f>
        <v>0</v>
      </c>
      <c r="V87" s="126" t="n">
        <f aca="false">M87/$R$3</f>
        <v>-512.464</v>
      </c>
      <c r="W87" s="126" t="n">
        <f aca="false">N87/$R$3</f>
        <v>-512.464</v>
      </c>
    </row>
    <row r="88" customFormat="false" ht="12.75" hidden="true" customHeight="false" outlineLevel="0" collapsed="false">
      <c r="A88" s="120" t="n">
        <f aca="false">A87+1</f>
        <v>36974</v>
      </c>
      <c r="B88" s="131" t="str">
        <f aca="false">INDEX('Master Data'!$A$2:$B$8,MATCH(WEEKDAY('ARG Gas Transport'!A88,3),'Master Data'!$A$2:$A$8,0),2)</f>
        <v>Sa</v>
      </c>
      <c r="D88" s="124" t="n">
        <v>0</v>
      </c>
      <c r="E88" s="124" t="n">
        <v>0</v>
      </c>
      <c r="F88" s="124" t="n">
        <v>0</v>
      </c>
      <c r="G88" s="124" t="n">
        <v>0</v>
      </c>
      <c r="I88" s="124" t="n">
        <f aca="false">IF(MONTH($A88)=MONTH($A87),IF(G88=0,I87,G88),G88)</f>
        <v>0</v>
      </c>
      <c r="J88" s="124" t="n">
        <f aca="false">IF(MONTH($A88)=MONTH($A87),SUM(I88-I87),I88)</f>
        <v>0</v>
      </c>
      <c r="K88" s="124" t="n">
        <f aca="false">IF(WEEKDAY(A88,3)&gt;4,0,(IF(A88&lt;K$2,0,IF(A88&lt;=K$3,1,0))))</f>
        <v>0</v>
      </c>
      <c r="L88" s="124" t="n">
        <f aca="false">J88*K88</f>
        <v>0</v>
      </c>
      <c r="M88" s="124" t="n">
        <f aca="false">SUM(J$6:J88)</f>
        <v>-512464</v>
      </c>
      <c r="N88" s="124" t="n">
        <f aca="false">SUM(J$6:J88)</f>
        <v>-512464</v>
      </c>
      <c r="P88" s="124" t="n">
        <f aca="false">D88/P$3</f>
        <v>0</v>
      </c>
      <c r="Q88" s="124" t="n">
        <f aca="false">E88/P$3</f>
        <v>0</v>
      </c>
      <c r="R88" s="124" t="n">
        <f aca="false">F88/R$3</f>
        <v>0</v>
      </c>
      <c r="S88" s="126" t="n">
        <f aca="false">J88/$R$3</f>
        <v>0</v>
      </c>
      <c r="T88" s="126" t="n">
        <f aca="false">L88/$R$3</f>
        <v>0</v>
      </c>
      <c r="U88" s="126" t="n">
        <f aca="false">I88/$R$3</f>
        <v>0</v>
      </c>
      <c r="V88" s="126" t="n">
        <f aca="false">M88/$R$3</f>
        <v>-512.464</v>
      </c>
      <c r="W88" s="126" t="n">
        <f aca="false">N88/$R$3</f>
        <v>-512.464</v>
      </c>
    </row>
    <row r="89" customFormat="false" ht="12.75" hidden="true" customHeight="false" outlineLevel="0" collapsed="false">
      <c r="A89" s="120" t="n">
        <f aca="false">A88+1</f>
        <v>36975</v>
      </c>
      <c r="B89" s="131" t="str">
        <f aca="false">INDEX('Master Data'!$A$2:$B$8,MATCH(WEEKDAY('ARG Gas Transport'!A89,3),'Master Data'!$A$2:$A$8,0),2)</f>
        <v>Su</v>
      </c>
      <c r="D89" s="124" t="n">
        <v>0</v>
      </c>
      <c r="E89" s="124" t="n">
        <v>0</v>
      </c>
      <c r="F89" s="124" t="n">
        <v>0</v>
      </c>
      <c r="G89" s="124" t="n">
        <v>0</v>
      </c>
      <c r="I89" s="124" t="n">
        <f aca="false">IF(MONTH($A89)=MONTH($A88),IF(G89=0,I88,G89),G89)</f>
        <v>0</v>
      </c>
      <c r="J89" s="124" t="n">
        <f aca="false">IF(MONTH($A89)=MONTH($A88),SUM(I89-I88),I89)</f>
        <v>0</v>
      </c>
      <c r="K89" s="124" t="n">
        <f aca="false">IF(WEEKDAY(A89,3)&gt;4,0,(IF(A89&lt;K$2,0,IF(A89&lt;=K$3,1,0))))</f>
        <v>0</v>
      </c>
      <c r="L89" s="124" t="n">
        <f aca="false">J89*K89</f>
        <v>0</v>
      </c>
      <c r="M89" s="124" t="n">
        <f aca="false">SUM(J$6:J89)</f>
        <v>-512464</v>
      </c>
      <c r="N89" s="124" t="n">
        <f aca="false">SUM(J$6:J89)</f>
        <v>-512464</v>
      </c>
      <c r="P89" s="124" t="n">
        <f aca="false">D89/P$3</f>
        <v>0</v>
      </c>
      <c r="Q89" s="124" t="n">
        <f aca="false">E89/P$3</f>
        <v>0</v>
      </c>
      <c r="R89" s="124" t="n">
        <f aca="false">F89/R$3</f>
        <v>0</v>
      </c>
      <c r="S89" s="126" t="n">
        <f aca="false">J89/$R$3</f>
        <v>0</v>
      </c>
      <c r="T89" s="126" t="n">
        <f aca="false">L89/$R$3</f>
        <v>0</v>
      </c>
      <c r="U89" s="126" t="n">
        <f aca="false">I89/$R$3</f>
        <v>0</v>
      </c>
      <c r="V89" s="126" t="n">
        <f aca="false">M89/$R$3</f>
        <v>-512.464</v>
      </c>
      <c r="W89" s="126" t="n">
        <f aca="false">N89/$R$3</f>
        <v>-512.464</v>
      </c>
    </row>
    <row r="90" customFormat="false" ht="12.75" hidden="true" customHeight="false" outlineLevel="0" collapsed="false">
      <c r="A90" s="120" t="n">
        <f aca="false">A89+1</f>
        <v>36976</v>
      </c>
      <c r="B90" s="131" t="str">
        <f aca="false">INDEX('Master Data'!$A$2:$B$8,MATCH(WEEKDAY('ARG Gas Transport'!A90,3),'Master Data'!$A$2:$A$8,0),2)</f>
        <v>M</v>
      </c>
      <c r="D90" s="124" t="n">
        <v>0</v>
      </c>
      <c r="E90" s="124" t="n">
        <v>0</v>
      </c>
      <c r="F90" s="124" t="n">
        <v>0</v>
      </c>
      <c r="G90" s="124" t="n">
        <v>0</v>
      </c>
      <c r="I90" s="124" t="n">
        <f aca="false">IF(MONTH($A90)=MONTH($A89),IF(G90=0,I89,G90),G90)</f>
        <v>0</v>
      </c>
      <c r="J90" s="124" t="n">
        <f aca="false">IF(MONTH($A90)=MONTH($A89),SUM(I90-I89),I90)</f>
        <v>0</v>
      </c>
      <c r="K90" s="124" t="n">
        <f aca="false">IF(WEEKDAY(A90,3)&gt;4,0,(IF(A90&lt;K$2,0,IF(A90&lt;=K$3,1,0))))</f>
        <v>0</v>
      </c>
      <c r="L90" s="124" t="n">
        <f aca="false">J90*K90</f>
        <v>0</v>
      </c>
      <c r="M90" s="124" t="n">
        <f aca="false">SUM(J$6:J90)</f>
        <v>-512464</v>
      </c>
      <c r="N90" s="124" t="n">
        <f aca="false">SUM(J$6:J90)</f>
        <v>-512464</v>
      </c>
      <c r="P90" s="124" t="n">
        <f aca="false">D90/P$3</f>
        <v>0</v>
      </c>
      <c r="Q90" s="124" t="n">
        <f aca="false">E90/P$3</f>
        <v>0</v>
      </c>
      <c r="R90" s="124" t="n">
        <f aca="false">F90/R$3</f>
        <v>0</v>
      </c>
      <c r="S90" s="126" t="n">
        <f aca="false">J90/$R$3</f>
        <v>0</v>
      </c>
      <c r="T90" s="126" t="n">
        <f aca="false">L90/$R$3</f>
        <v>0</v>
      </c>
      <c r="U90" s="126" t="n">
        <f aca="false">I90/$R$3</f>
        <v>0</v>
      </c>
      <c r="V90" s="126" t="n">
        <f aca="false">M90/$R$3</f>
        <v>-512.464</v>
      </c>
      <c r="W90" s="126" t="n">
        <f aca="false">N90/$R$3</f>
        <v>-512.464</v>
      </c>
    </row>
    <row r="91" customFormat="false" ht="12.75" hidden="true" customHeight="false" outlineLevel="0" collapsed="false">
      <c r="A91" s="120" t="n">
        <f aca="false">A90+1</f>
        <v>36977</v>
      </c>
      <c r="B91" s="131" t="str">
        <f aca="false">INDEX('Master Data'!$A$2:$B$8,MATCH(WEEKDAY('ARG Gas Transport'!A91,3),'Master Data'!$A$2:$A$8,0),2)</f>
        <v>T</v>
      </c>
      <c r="D91" s="124" t="n">
        <v>0</v>
      </c>
      <c r="E91" s="124" t="n">
        <v>0</v>
      </c>
      <c r="F91" s="124" t="n">
        <v>0</v>
      </c>
      <c r="G91" s="124" t="n">
        <v>0</v>
      </c>
      <c r="I91" s="124" t="n">
        <f aca="false">IF(MONTH($A91)=MONTH($A90),IF(G91=0,I90,G91),G91)</f>
        <v>0</v>
      </c>
      <c r="J91" s="124" t="n">
        <f aca="false">IF(MONTH($A91)=MONTH($A90),SUM(I91-I90),I91)</f>
        <v>0</v>
      </c>
      <c r="K91" s="124" t="n">
        <f aca="false">IF(WEEKDAY(A91,3)&gt;4,0,(IF(A91&lt;K$2,0,IF(A91&lt;=K$3,1,0))))</f>
        <v>0</v>
      </c>
      <c r="L91" s="124" t="n">
        <f aca="false">J91*K91</f>
        <v>0</v>
      </c>
      <c r="M91" s="124" t="n">
        <f aca="false">SUM(J$6:J91)</f>
        <v>-512464</v>
      </c>
      <c r="N91" s="124" t="n">
        <f aca="false">SUM(J$6:J91)</f>
        <v>-512464</v>
      </c>
      <c r="P91" s="124" t="n">
        <f aca="false">D91/P$3</f>
        <v>0</v>
      </c>
      <c r="Q91" s="124" t="n">
        <f aca="false">E91/P$3</f>
        <v>0</v>
      </c>
      <c r="R91" s="124" t="n">
        <f aca="false">F91/R$3</f>
        <v>0</v>
      </c>
      <c r="S91" s="126" t="n">
        <f aca="false">J91/$R$3</f>
        <v>0</v>
      </c>
      <c r="T91" s="126" t="n">
        <f aca="false">L91/$R$3</f>
        <v>0</v>
      </c>
      <c r="U91" s="126" t="n">
        <f aca="false">I91/$R$3</f>
        <v>0</v>
      </c>
      <c r="V91" s="126" t="n">
        <f aca="false">M91/$R$3</f>
        <v>-512.464</v>
      </c>
      <c r="W91" s="126" t="n">
        <f aca="false">N91/$R$3</f>
        <v>-512.464</v>
      </c>
    </row>
    <row r="92" customFormat="false" ht="12.75" hidden="true" customHeight="false" outlineLevel="0" collapsed="false">
      <c r="A92" s="120" t="n">
        <f aca="false">A91+1</f>
        <v>36978</v>
      </c>
      <c r="B92" s="131" t="str">
        <f aca="false">INDEX('Master Data'!$A$2:$B$8,MATCH(WEEKDAY('ARG Gas Transport'!A92,3),'Master Data'!$A$2:$A$8,0),2)</f>
        <v>W</v>
      </c>
      <c r="D92" s="124" t="n">
        <v>0</v>
      </c>
      <c r="E92" s="124" t="n">
        <v>0</v>
      </c>
      <c r="F92" s="124" t="n">
        <v>0</v>
      </c>
      <c r="G92" s="124" t="n">
        <v>0</v>
      </c>
      <c r="I92" s="124" t="n">
        <f aca="false">IF(MONTH($A92)=MONTH($A91),IF(G92=0,I91,G92),G92)</f>
        <v>0</v>
      </c>
      <c r="J92" s="124" t="n">
        <f aca="false">IF(MONTH($A92)=MONTH($A91),SUM(I92-I91),I92)</f>
        <v>0</v>
      </c>
      <c r="K92" s="124" t="n">
        <f aca="false">IF(WEEKDAY(A92,3)&gt;4,0,(IF(A92&lt;K$2,0,IF(A92&lt;=K$3,1,0))))</f>
        <v>0</v>
      </c>
      <c r="L92" s="124" t="n">
        <f aca="false">J92*K92</f>
        <v>0</v>
      </c>
      <c r="M92" s="124" t="n">
        <f aca="false">SUM(J$6:J92)</f>
        <v>-512464</v>
      </c>
      <c r="N92" s="124" t="n">
        <f aca="false">SUM(J$6:J92)</f>
        <v>-512464</v>
      </c>
      <c r="P92" s="124" t="n">
        <f aca="false">D92/P$3</f>
        <v>0</v>
      </c>
      <c r="Q92" s="124" t="n">
        <f aca="false">E92/P$3</f>
        <v>0</v>
      </c>
      <c r="R92" s="124" t="n">
        <f aca="false">F92/R$3</f>
        <v>0</v>
      </c>
      <c r="S92" s="126" t="n">
        <f aca="false">J92/$R$3</f>
        <v>0</v>
      </c>
      <c r="T92" s="126" t="n">
        <f aca="false">L92/$R$3</f>
        <v>0</v>
      </c>
      <c r="U92" s="126" t="n">
        <f aca="false">I92/$R$3</f>
        <v>0</v>
      </c>
      <c r="V92" s="126" t="n">
        <f aca="false">M92/$R$3</f>
        <v>-512.464</v>
      </c>
      <c r="W92" s="126" t="n">
        <f aca="false">N92/$R$3</f>
        <v>-512.464</v>
      </c>
    </row>
    <row r="93" customFormat="false" ht="12.75" hidden="true" customHeight="false" outlineLevel="0" collapsed="false">
      <c r="A93" s="120" t="n">
        <f aca="false">A92+1</f>
        <v>36979</v>
      </c>
      <c r="B93" s="131" t="str">
        <f aca="false">INDEX('Master Data'!$A$2:$B$8,MATCH(WEEKDAY('ARG Gas Transport'!A93,3),'Master Data'!$A$2:$A$8,0),2)</f>
        <v>Th</v>
      </c>
      <c r="D93" s="124" t="n">
        <v>0</v>
      </c>
      <c r="E93" s="124" t="n">
        <v>0</v>
      </c>
      <c r="F93" s="124" t="n">
        <v>0</v>
      </c>
      <c r="G93" s="124" t="n">
        <v>0</v>
      </c>
      <c r="I93" s="124" t="n">
        <f aca="false">IF(MONTH($A93)=MONTH($A92),IF(G93=0,I92,G93),G93)</f>
        <v>0</v>
      </c>
      <c r="J93" s="124" t="n">
        <f aca="false">IF(MONTH($A93)=MONTH($A92),SUM(I93-I92),I93)</f>
        <v>0</v>
      </c>
      <c r="K93" s="124" t="n">
        <f aca="false">IF(WEEKDAY(A93,3)&gt;4,0,(IF(A93&lt;K$2,0,IF(A93&lt;=K$3,1,0))))</f>
        <v>0</v>
      </c>
      <c r="L93" s="124" t="n">
        <f aca="false">J93*K93</f>
        <v>0</v>
      </c>
      <c r="M93" s="124" t="n">
        <f aca="false">SUM(J$6:J93)</f>
        <v>-512464</v>
      </c>
      <c r="N93" s="124" t="n">
        <f aca="false">SUM(J$6:J93)</f>
        <v>-512464</v>
      </c>
      <c r="P93" s="124" t="n">
        <f aca="false">D93/P$3</f>
        <v>0</v>
      </c>
      <c r="Q93" s="124" t="n">
        <f aca="false">E93/P$3</f>
        <v>0</v>
      </c>
      <c r="R93" s="124" t="n">
        <f aca="false">F93/R$3</f>
        <v>0</v>
      </c>
      <c r="S93" s="126" t="n">
        <f aca="false">J93/$R$3</f>
        <v>0</v>
      </c>
      <c r="T93" s="126" t="n">
        <f aca="false">L93/$R$3</f>
        <v>0</v>
      </c>
      <c r="U93" s="126" t="n">
        <f aca="false">I93/$R$3</f>
        <v>0</v>
      </c>
      <c r="V93" s="126" t="n">
        <f aca="false">M93/$R$3</f>
        <v>-512.464</v>
      </c>
      <c r="W93" s="126" t="n">
        <f aca="false">N93/$R$3</f>
        <v>-512.464</v>
      </c>
    </row>
    <row r="94" customFormat="false" ht="12.75" hidden="false" customHeight="false" outlineLevel="0" collapsed="false">
      <c r="A94" s="120" t="n">
        <f aca="false">A93+1</f>
        <v>36980</v>
      </c>
      <c r="B94" s="131" t="str">
        <f aca="false">INDEX('Master Data'!$A$2:$B$8,MATCH(WEEKDAY('ARG Gas Transport'!A94,3),'Master Data'!$A$2:$A$8,0),2)</f>
        <v>F</v>
      </c>
      <c r="D94" s="124" t="n">
        <v>0</v>
      </c>
      <c r="E94" s="124" t="n">
        <v>0</v>
      </c>
      <c r="F94" s="124" t="n">
        <v>0</v>
      </c>
      <c r="G94" s="124" t="n">
        <v>-256232</v>
      </c>
      <c r="I94" s="124" t="n">
        <f aca="false">IF(MONTH($A94)=MONTH($A93),IF(G94=0,I93,G94),G94)</f>
        <v>-256232</v>
      </c>
      <c r="J94" s="124" t="n">
        <f aca="false">IF(MONTH($A94)=MONTH($A93),SUM(I94-I93),I94)</f>
        <v>-256232</v>
      </c>
      <c r="K94" s="124" t="n">
        <f aca="false">IF(WEEKDAY(A94,3)&gt;4,0,(IF(A94&lt;K$2,0,IF(A94&lt;=K$3,1,0))))</f>
        <v>0</v>
      </c>
      <c r="L94" s="124" t="n">
        <f aca="false">J94*K94</f>
        <v>-0</v>
      </c>
      <c r="M94" s="124" t="n">
        <f aca="false">SUM(J$6:J94)</f>
        <v>-768696</v>
      </c>
      <c r="N94" s="124" t="n">
        <f aca="false">SUM(J$6:J94)</f>
        <v>-768696</v>
      </c>
      <c r="P94" s="124" t="n">
        <f aca="false">D94/P$3</f>
        <v>0</v>
      </c>
      <c r="Q94" s="124" t="n">
        <f aca="false">E94/P$3</f>
        <v>0</v>
      </c>
      <c r="R94" s="124" t="n">
        <f aca="false">F94/R$3</f>
        <v>0</v>
      </c>
      <c r="S94" s="126" t="n">
        <f aca="false">J94/$R$3</f>
        <v>-256.232</v>
      </c>
      <c r="T94" s="126" t="n">
        <f aca="false">L94/$R$3</f>
        <v>-0</v>
      </c>
      <c r="U94" s="126" t="n">
        <f aca="false">I94/$R$3</f>
        <v>-256.232</v>
      </c>
      <c r="V94" s="126" t="n">
        <f aca="false">M94/$R$3</f>
        <v>-768.696</v>
      </c>
      <c r="W94" s="126" t="n">
        <f aca="false">N94/$R$3</f>
        <v>-768.696</v>
      </c>
    </row>
    <row r="95" customFormat="false" ht="12.75" hidden="true" customHeight="false" outlineLevel="0" collapsed="false">
      <c r="A95" s="120" t="n">
        <f aca="false">A94+1</f>
        <v>36981</v>
      </c>
      <c r="B95" s="131" t="str">
        <f aca="false">INDEX('Master Data'!$A$2:$B$8,MATCH(WEEKDAY('ARG Gas Transport'!A95,3),'Master Data'!$A$2:$A$8,0),2)</f>
        <v>Sa</v>
      </c>
      <c r="D95" s="124" t="n">
        <v>0</v>
      </c>
      <c r="E95" s="124" t="n">
        <v>0</v>
      </c>
      <c r="F95" s="124" t="n">
        <v>0</v>
      </c>
      <c r="G95" s="121" t="n">
        <v>0</v>
      </c>
      <c r="I95" s="124" t="n">
        <f aca="false">IF(MONTH($A95)=MONTH($A94),IF(G95=0,I94,G95),G95)</f>
        <v>-256232</v>
      </c>
      <c r="J95" s="124" t="n">
        <f aca="false">IF(MONTH($A95)=MONTH($A94),SUM(I95-I94),I95)</f>
        <v>0</v>
      </c>
      <c r="K95" s="124" t="n">
        <f aca="false">IF(WEEKDAY(A95,3)&gt;4,0,(IF(A95&lt;K$2,0,IF(A95&lt;=K$3,1,0))))</f>
        <v>0</v>
      </c>
      <c r="L95" s="124" t="n">
        <f aca="false">J95*K95</f>
        <v>0</v>
      </c>
      <c r="M95" s="124" t="n">
        <f aca="false">SUM(J$6:J95)</f>
        <v>-768696</v>
      </c>
      <c r="N95" s="124" t="n">
        <f aca="false">SUM(J$6:J95)</f>
        <v>-768696</v>
      </c>
      <c r="P95" s="124" t="n">
        <f aca="false">D95/P$3</f>
        <v>0</v>
      </c>
      <c r="Q95" s="124" t="n">
        <f aca="false">E95/P$3</f>
        <v>0</v>
      </c>
      <c r="R95" s="124" t="n">
        <f aca="false">F95/R$3</f>
        <v>0</v>
      </c>
      <c r="S95" s="126" t="n">
        <f aca="false">J95/$R$3</f>
        <v>0</v>
      </c>
      <c r="T95" s="126" t="n">
        <f aca="false">L95/$R$3</f>
        <v>0</v>
      </c>
      <c r="U95" s="126" t="n">
        <f aca="false">I95/$R$3</f>
        <v>-256.232</v>
      </c>
      <c r="V95" s="126" t="n">
        <f aca="false">M95/$R$3</f>
        <v>-768.696</v>
      </c>
      <c r="W95" s="126" t="n">
        <f aca="false">N95/$R$3</f>
        <v>-768.696</v>
      </c>
    </row>
    <row r="96" customFormat="false" ht="13.5" hidden="true" customHeight="true" outlineLevel="0" collapsed="false">
      <c r="A96" s="120" t="n">
        <f aca="false">A95+1</f>
        <v>36982</v>
      </c>
      <c r="B96" s="131" t="str">
        <f aca="false">INDEX('Master Data'!$A$2:$B$8,MATCH(WEEKDAY('ARG Gas Transport'!A96,3),'Master Data'!$A$2:$A$8,0),2)</f>
        <v>Su</v>
      </c>
      <c r="D96" s="124" t="n">
        <v>0</v>
      </c>
      <c r="E96" s="124" t="n">
        <v>0</v>
      </c>
      <c r="F96" s="124" t="n">
        <v>0</v>
      </c>
      <c r="G96" s="124" t="n">
        <v>0</v>
      </c>
      <c r="I96" s="124" t="n">
        <f aca="false">IF(MONTH($A96)=MONTH($A95),IF(G96=0,I95,G96),G96)</f>
        <v>0</v>
      </c>
      <c r="J96" s="124" t="n">
        <f aca="false">IF(MONTH($A96)=MONTH($A95),SUM(I96-I95),I96)</f>
        <v>0</v>
      </c>
      <c r="K96" s="124" t="n">
        <f aca="false">IF(WEEKDAY(A96,3)&gt;4,0,(IF(A96&lt;K$2,0,IF(A96&lt;=K$3,1,0))))</f>
        <v>0</v>
      </c>
      <c r="L96" s="124" t="n">
        <f aca="false">J96*K96</f>
        <v>0</v>
      </c>
      <c r="M96" s="124" t="n">
        <f aca="false">SUM(J$6:J96)</f>
        <v>-768696</v>
      </c>
      <c r="N96" s="124" t="n">
        <f aca="false">SUM(J$6:J96)</f>
        <v>-768696</v>
      </c>
      <c r="P96" s="124" t="n">
        <f aca="false">D96/P$3</f>
        <v>0</v>
      </c>
      <c r="Q96" s="124" t="n">
        <f aca="false">E96/P$3</f>
        <v>0</v>
      </c>
      <c r="R96" s="124" t="n">
        <f aca="false">F96/R$3</f>
        <v>0</v>
      </c>
      <c r="S96" s="126" t="n">
        <f aca="false">J96/$R$3</f>
        <v>0</v>
      </c>
      <c r="T96" s="126" t="n">
        <f aca="false">L96/$R$3</f>
        <v>0</v>
      </c>
      <c r="U96" s="126" t="n">
        <f aca="false">I96/$R$3</f>
        <v>0</v>
      </c>
      <c r="V96" s="126" t="n">
        <f aca="false">M96/$R$3</f>
        <v>-768.696</v>
      </c>
      <c r="W96" s="126" t="n">
        <f aca="false">N96/$R$3</f>
        <v>-768.696</v>
      </c>
    </row>
    <row r="97" customFormat="false" ht="13.5" hidden="true" customHeight="true" outlineLevel="0" collapsed="false">
      <c r="A97" s="120" t="n">
        <f aca="false">A96+1</f>
        <v>36983</v>
      </c>
      <c r="B97" s="131" t="str">
        <f aca="false">INDEX('Master Data'!$A$2:$B$8,MATCH(WEEKDAY('ARG Gas Transport'!A97,3),'Master Data'!$A$2:$A$8,0),2)</f>
        <v>M</v>
      </c>
      <c r="D97" s="124" t="n">
        <v>0</v>
      </c>
      <c r="E97" s="124" t="n">
        <v>0</v>
      </c>
      <c r="F97" s="124" t="n">
        <v>0</v>
      </c>
      <c r="G97" s="124" t="n">
        <v>0</v>
      </c>
      <c r="I97" s="124" t="n">
        <f aca="false">IF(MONTH($A97)=MONTH($A96),IF(G97=0,I96,G97),G97)</f>
        <v>0</v>
      </c>
      <c r="J97" s="124" t="n">
        <f aca="false">IF(MONTH($A97)=MONTH($A96),SUM(I97-I96),I97)</f>
        <v>0</v>
      </c>
      <c r="K97" s="124" t="n">
        <f aca="false">IF(WEEKDAY(A97,3)&gt;4,0,(IF(A97&lt;K$2,0,IF(A97&lt;=K$3,1,0))))</f>
        <v>0</v>
      </c>
      <c r="L97" s="124" t="n">
        <f aca="false">J97*K97</f>
        <v>0</v>
      </c>
      <c r="M97" s="124" t="n">
        <f aca="false">SUM(J$97:J97)</f>
        <v>0</v>
      </c>
      <c r="N97" s="124" t="n">
        <f aca="false">SUM(J$6:J97)</f>
        <v>-768696</v>
      </c>
      <c r="P97" s="124" t="n">
        <f aca="false">D97/P$3</f>
        <v>0</v>
      </c>
      <c r="Q97" s="124" t="n">
        <f aca="false">E97/P$3</f>
        <v>0</v>
      </c>
      <c r="R97" s="124" t="n">
        <f aca="false">F97/R$3</f>
        <v>0</v>
      </c>
      <c r="S97" s="126" t="n">
        <f aca="false">J97/$R$3</f>
        <v>0</v>
      </c>
      <c r="T97" s="126" t="n">
        <f aca="false">L97/$R$3</f>
        <v>0</v>
      </c>
      <c r="U97" s="126" t="n">
        <f aca="false">I97/$R$3</f>
        <v>0</v>
      </c>
      <c r="V97" s="126" t="n">
        <f aca="false">M97/$R$3</f>
        <v>0</v>
      </c>
      <c r="W97" s="126" t="n">
        <f aca="false">N97/$R$3</f>
        <v>-768.696</v>
      </c>
    </row>
    <row r="98" customFormat="false" ht="13.5" hidden="true" customHeight="true" outlineLevel="0" collapsed="false">
      <c r="A98" s="120" t="n">
        <f aca="false">A97+1</f>
        <v>36984</v>
      </c>
      <c r="B98" s="131" t="str">
        <f aca="false">INDEX('Master Data'!$A$2:$B$8,MATCH(WEEKDAY('ARG Gas Transport'!A98,3),'Master Data'!$A$2:$A$8,0),2)</f>
        <v>T</v>
      </c>
      <c r="D98" s="124" t="n">
        <v>0</v>
      </c>
      <c r="E98" s="124" t="n">
        <v>0</v>
      </c>
      <c r="F98" s="124" t="n">
        <v>0</v>
      </c>
      <c r="G98" s="124" t="n">
        <v>-716070</v>
      </c>
      <c r="I98" s="124" t="n">
        <f aca="false">IF(MONTH($A98)=MONTH($A97),IF(G98=0,I97,G98),G98)</f>
        <v>-716070</v>
      </c>
      <c r="J98" s="124" t="n">
        <f aca="false">IF(MONTH($A98)=MONTH($A97),SUM(I98-I97),I98)</f>
        <v>-716070</v>
      </c>
      <c r="K98" s="124" t="n">
        <f aca="false">IF(WEEKDAY(A98,3)&gt;4,0,(IF(A98&lt;K$2,0,IF(A98&lt;=K$3,1,0))))</f>
        <v>0</v>
      </c>
      <c r="L98" s="124" t="n">
        <f aca="false">J98*K98</f>
        <v>-0</v>
      </c>
      <c r="M98" s="124" t="n">
        <f aca="false">SUM(J$97:J98)</f>
        <v>-716070</v>
      </c>
      <c r="N98" s="124" t="n">
        <f aca="false">SUM(J$6:J98)</f>
        <v>-1484766</v>
      </c>
      <c r="P98" s="124" t="n">
        <f aca="false">D98/P$3</f>
        <v>0</v>
      </c>
      <c r="Q98" s="124" t="n">
        <f aca="false">E98/P$3</f>
        <v>0</v>
      </c>
      <c r="R98" s="124" t="n">
        <f aca="false">F98/R$3</f>
        <v>0</v>
      </c>
      <c r="S98" s="126" t="n">
        <f aca="false">J98/$R$3</f>
        <v>-716.07</v>
      </c>
      <c r="T98" s="126" t="n">
        <f aca="false">L98/$R$3</f>
        <v>-0</v>
      </c>
      <c r="U98" s="126" t="n">
        <f aca="false">I98/$R$3</f>
        <v>-716.07</v>
      </c>
      <c r="V98" s="126" t="n">
        <f aca="false">M98/$R$3</f>
        <v>-716.07</v>
      </c>
      <c r="W98" s="126" t="n">
        <f aca="false">N98/$R$3</f>
        <v>-1484.766</v>
      </c>
    </row>
    <row r="99" customFormat="false" ht="13.5" hidden="true" customHeight="true" outlineLevel="0" collapsed="false">
      <c r="A99" s="120" t="n">
        <f aca="false">A98+1</f>
        <v>36985</v>
      </c>
      <c r="B99" s="131" t="str">
        <f aca="false">INDEX('Master Data'!$A$2:$B$8,MATCH(WEEKDAY('ARG Gas Transport'!A99,3),'Master Data'!$A$2:$A$8,0),2)</f>
        <v>W</v>
      </c>
      <c r="D99" s="124" t="n">
        <v>0</v>
      </c>
      <c r="E99" s="124" t="n">
        <v>0</v>
      </c>
      <c r="F99" s="124" t="n">
        <v>0</v>
      </c>
      <c r="G99" s="124" t="n">
        <v>-716070</v>
      </c>
      <c r="I99" s="124" t="n">
        <f aca="false">IF(MONTH($A99)=MONTH($A98),IF(G99=0,I98,G99),G99)</f>
        <v>-716070</v>
      </c>
      <c r="J99" s="124" t="n">
        <f aca="false">IF(MONTH($A99)=MONTH($A98),SUM(I99-I98),I99)</f>
        <v>0</v>
      </c>
      <c r="K99" s="124" t="n">
        <f aca="false">IF(WEEKDAY(A99,3)&gt;4,0,(IF(A99&lt;K$2,0,IF(A99&lt;=K$3,1,0))))</f>
        <v>0</v>
      </c>
      <c r="L99" s="124" t="n">
        <f aca="false">J99*K99</f>
        <v>0</v>
      </c>
      <c r="M99" s="124" t="n">
        <f aca="false">SUM(J$97:J99)</f>
        <v>-716070</v>
      </c>
      <c r="N99" s="124" t="n">
        <f aca="false">SUM(J$6:J99)</f>
        <v>-1484766</v>
      </c>
      <c r="P99" s="124" t="n">
        <f aca="false">D99/P$3</f>
        <v>0</v>
      </c>
      <c r="Q99" s="124" t="n">
        <f aca="false">E99/P$3</f>
        <v>0</v>
      </c>
      <c r="R99" s="124" t="n">
        <f aca="false">F99/R$3</f>
        <v>0</v>
      </c>
      <c r="S99" s="126" t="n">
        <f aca="false">J99/$R$3</f>
        <v>0</v>
      </c>
      <c r="T99" s="126" t="n">
        <f aca="false">L99/$R$3</f>
        <v>0</v>
      </c>
      <c r="U99" s="126" t="n">
        <f aca="false">I99/$R$3</f>
        <v>-716.07</v>
      </c>
      <c r="V99" s="126" t="n">
        <f aca="false">M99/$R$3</f>
        <v>-716.07</v>
      </c>
      <c r="W99" s="126" t="n">
        <f aca="false">N99/$R$3</f>
        <v>-1484.766</v>
      </c>
    </row>
    <row r="100" customFormat="false" ht="13.5" hidden="true" customHeight="true" outlineLevel="0" collapsed="false">
      <c r="A100" s="120" t="n">
        <f aca="false">A99+1</f>
        <v>36986</v>
      </c>
      <c r="B100" s="131" t="str">
        <f aca="false">INDEX('Master Data'!$A$2:$B$8,MATCH(WEEKDAY('ARG Gas Transport'!A100,3),'Master Data'!$A$2:$A$8,0),2)</f>
        <v>Th</v>
      </c>
      <c r="D100" s="124" t="n">
        <v>0</v>
      </c>
      <c r="E100" s="124" t="n">
        <v>0</v>
      </c>
      <c r="F100" s="124" t="n">
        <v>0</v>
      </c>
      <c r="G100" s="124" t="n">
        <v>-716069</v>
      </c>
      <c r="I100" s="124" t="n">
        <f aca="false">IF(MONTH($A100)=MONTH($A99),IF(G100=0,I99,G100),G100)</f>
        <v>-716069</v>
      </c>
      <c r="J100" s="124" t="n">
        <f aca="false">IF(MONTH($A100)=MONTH($A99),SUM(I100-I99),I100)</f>
        <v>1</v>
      </c>
      <c r="K100" s="124" t="n">
        <f aca="false">IF(WEEKDAY(A100,3)&gt;4,0,(IF(A100&lt;K$2,0,IF(A100&lt;=K$3,1,0))))</f>
        <v>0</v>
      </c>
      <c r="L100" s="124" t="n">
        <f aca="false">J100*K100</f>
        <v>0</v>
      </c>
      <c r="M100" s="124" t="n">
        <f aca="false">SUM(J$97:J100)</f>
        <v>-716069</v>
      </c>
      <c r="N100" s="124" t="n">
        <f aca="false">SUM(J$6:J100)</f>
        <v>-1484765</v>
      </c>
      <c r="P100" s="124" t="n">
        <f aca="false">D100/P$3</f>
        <v>0</v>
      </c>
      <c r="Q100" s="124" t="n">
        <f aca="false">E100/P$3</f>
        <v>0</v>
      </c>
      <c r="R100" s="124" t="n">
        <f aca="false">F100/R$3</f>
        <v>0</v>
      </c>
      <c r="S100" s="126" t="n">
        <f aca="false">J100/$R$3</f>
        <v>0.001</v>
      </c>
      <c r="T100" s="126" t="n">
        <f aca="false">L100/$R$3</f>
        <v>0</v>
      </c>
      <c r="U100" s="126" t="n">
        <f aca="false">I100/$R$3</f>
        <v>-716.069</v>
      </c>
      <c r="V100" s="126" t="n">
        <f aca="false">M100/$R$3</f>
        <v>-716.069</v>
      </c>
      <c r="W100" s="126" t="n">
        <f aca="false">N100/$R$3</f>
        <v>-1484.765</v>
      </c>
    </row>
    <row r="101" customFormat="false" ht="13.5" hidden="true" customHeight="true" outlineLevel="0" collapsed="false">
      <c r="A101" s="120" t="n">
        <f aca="false">A100+1</f>
        <v>36987</v>
      </c>
      <c r="B101" s="131" t="str">
        <f aca="false">INDEX('Master Data'!$A$2:$B$8,MATCH(WEEKDAY('ARG Gas Transport'!A101,3),'Master Data'!$A$2:$A$8,0),2)</f>
        <v>F</v>
      </c>
      <c r="D101" s="124" t="n">
        <v>0</v>
      </c>
      <c r="E101" s="124" t="n">
        <v>0</v>
      </c>
      <c r="F101" s="124" t="n">
        <v>0</v>
      </c>
      <c r="G101" s="124" t="n">
        <v>-716065</v>
      </c>
      <c r="I101" s="124" t="n">
        <f aca="false">IF(MONTH($A101)=MONTH($A100),IF(G101=0,I100,G101),G101)</f>
        <v>-716065</v>
      </c>
      <c r="J101" s="124" t="n">
        <f aca="false">IF(MONTH($A101)=MONTH($A100),SUM(I101-I100),I101)</f>
        <v>4</v>
      </c>
      <c r="K101" s="124" t="n">
        <f aca="false">IF(WEEKDAY(A101,3)&gt;4,0,(IF(A101&lt;K$2,0,IF(A101&lt;=K$3,1,0))))</f>
        <v>0</v>
      </c>
      <c r="L101" s="124" t="n">
        <f aca="false">J101*K101</f>
        <v>0</v>
      </c>
      <c r="M101" s="124" t="n">
        <f aca="false">SUM(J$97:J101)</f>
        <v>-716065</v>
      </c>
      <c r="N101" s="124" t="n">
        <f aca="false">SUM(J$6:J101)</f>
        <v>-1484761</v>
      </c>
      <c r="P101" s="124" t="n">
        <f aca="false">D101/P$3</f>
        <v>0</v>
      </c>
      <c r="Q101" s="124" t="n">
        <f aca="false">E101/P$3</f>
        <v>0</v>
      </c>
      <c r="R101" s="124" t="n">
        <f aca="false">F101/R$3</f>
        <v>0</v>
      </c>
      <c r="S101" s="126" t="n">
        <f aca="false">J101/$R$3</f>
        <v>0.004</v>
      </c>
      <c r="T101" s="126" t="n">
        <f aca="false">L101/$R$3</f>
        <v>0</v>
      </c>
      <c r="U101" s="126" t="n">
        <f aca="false">I101/$R$3</f>
        <v>-716.065</v>
      </c>
      <c r="V101" s="126" t="n">
        <f aca="false">M101/$R$3</f>
        <v>-716.065</v>
      </c>
      <c r="W101" s="126" t="n">
        <f aca="false">N101/$R$3</f>
        <v>-1484.761</v>
      </c>
    </row>
    <row r="102" customFormat="false" ht="13.5" hidden="true" customHeight="true" outlineLevel="0" collapsed="false">
      <c r="A102" s="120" t="n">
        <f aca="false">A101+1</f>
        <v>36988</v>
      </c>
      <c r="B102" s="131" t="str">
        <f aca="false">INDEX('Master Data'!$A$2:$B$8,MATCH(WEEKDAY('ARG Gas Transport'!A102,3),'Master Data'!$A$2:$A$8,0),2)</f>
        <v>Sa</v>
      </c>
      <c r="D102" s="124" t="n">
        <v>0</v>
      </c>
      <c r="E102" s="124" t="n">
        <v>0</v>
      </c>
      <c r="F102" s="124" t="n">
        <v>0</v>
      </c>
      <c r="G102" s="124" t="n">
        <v>0</v>
      </c>
      <c r="I102" s="124" t="n">
        <f aca="false">IF(MONTH($A102)=MONTH($A101),IF(G102=0,I101,G102),G102)</f>
        <v>-716065</v>
      </c>
      <c r="J102" s="124" t="n">
        <f aca="false">IF(MONTH($A102)=MONTH($A101),SUM(I102-I101),I102)</f>
        <v>0</v>
      </c>
      <c r="K102" s="124" t="n">
        <f aca="false">IF(WEEKDAY(A102,3)&gt;4,0,(IF(A102&lt;K$2,0,IF(A102&lt;=K$3,1,0))))</f>
        <v>0</v>
      </c>
      <c r="L102" s="124" t="n">
        <f aca="false">J102*K102</f>
        <v>0</v>
      </c>
      <c r="M102" s="124" t="n">
        <f aca="false">SUM(J$97:J102)</f>
        <v>-716065</v>
      </c>
      <c r="N102" s="124" t="n">
        <f aca="false">SUM(J$6:J102)</f>
        <v>-1484761</v>
      </c>
      <c r="P102" s="124" t="n">
        <f aca="false">D102/P$3</f>
        <v>0</v>
      </c>
      <c r="Q102" s="124" t="n">
        <f aca="false">E102/P$3</f>
        <v>0</v>
      </c>
      <c r="R102" s="124" t="n">
        <f aca="false">F102/R$3</f>
        <v>0</v>
      </c>
      <c r="S102" s="126" t="n">
        <f aca="false">J102/$R$3</f>
        <v>0</v>
      </c>
      <c r="T102" s="126" t="n">
        <f aca="false">L102/$R$3</f>
        <v>0</v>
      </c>
      <c r="U102" s="126" t="n">
        <f aca="false">I102/$R$3</f>
        <v>-716.065</v>
      </c>
      <c r="V102" s="126" t="n">
        <f aca="false">M102/$R$3</f>
        <v>-716.065</v>
      </c>
      <c r="W102" s="126" t="n">
        <f aca="false">N102/$R$3</f>
        <v>-1484.761</v>
      </c>
    </row>
    <row r="103" customFormat="false" ht="13.5" hidden="true" customHeight="true" outlineLevel="0" collapsed="false">
      <c r="A103" s="120" t="n">
        <f aca="false">A102+1</f>
        <v>36989</v>
      </c>
      <c r="B103" s="131" t="str">
        <f aca="false">INDEX('Master Data'!$A$2:$B$8,MATCH(WEEKDAY('ARG Gas Transport'!A103,3),'Master Data'!$A$2:$A$8,0),2)</f>
        <v>Su</v>
      </c>
      <c r="D103" s="124" t="n">
        <v>0</v>
      </c>
      <c r="E103" s="124" t="n">
        <v>0</v>
      </c>
      <c r="F103" s="124" t="n">
        <v>0</v>
      </c>
      <c r="G103" s="124" t="n">
        <v>0</v>
      </c>
      <c r="I103" s="124" t="n">
        <f aca="false">IF(MONTH($A103)=MONTH($A102),IF(G103=0,I102,G103),G103)</f>
        <v>-716065</v>
      </c>
      <c r="J103" s="124" t="n">
        <f aca="false">IF(MONTH($A103)=MONTH($A102),SUM(I103-I102),I103)</f>
        <v>0</v>
      </c>
      <c r="K103" s="124" t="n">
        <f aca="false">IF(WEEKDAY(A103,3)&gt;4,0,(IF(A103&lt;K$2,0,IF(A103&lt;=K$3,1,0))))</f>
        <v>0</v>
      </c>
      <c r="L103" s="124" t="n">
        <f aca="false">J103*K103</f>
        <v>0</v>
      </c>
      <c r="M103" s="124" t="n">
        <f aca="false">SUM(J$97:J103)</f>
        <v>-716065</v>
      </c>
      <c r="N103" s="124" t="n">
        <f aca="false">SUM(J$6:J103)</f>
        <v>-1484761</v>
      </c>
      <c r="P103" s="124" t="n">
        <f aca="false">D103/P$3</f>
        <v>0</v>
      </c>
      <c r="Q103" s="124" t="n">
        <f aca="false">E103/P$3</f>
        <v>0</v>
      </c>
      <c r="R103" s="124" t="n">
        <f aca="false">F103/R$3</f>
        <v>0</v>
      </c>
      <c r="S103" s="126" t="n">
        <f aca="false">J103/$R$3</f>
        <v>0</v>
      </c>
      <c r="T103" s="126" t="n">
        <f aca="false">L103/$R$3</f>
        <v>0</v>
      </c>
      <c r="U103" s="126" t="n">
        <f aca="false">I103/$R$3</f>
        <v>-716.065</v>
      </c>
      <c r="V103" s="126" t="n">
        <f aca="false">M103/$R$3</f>
        <v>-716.065</v>
      </c>
      <c r="W103" s="126" t="n">
        <f aca="false">N103/$R$3</f>
        <v>-1484.761</v>
      </c>
    </row>
    <row r="104" customFormat="false" ht="13.5" hidden="true" customHeight="true" outlineLevel="0" collapsed="false">
      <c r="A104" s="120" t="n">
        <f aca="false">A103+1</f>
        <v>36990</v>
      </c>
      <c r="B104" s="131" t="str">
        <f aca="false">INDEX('Master Data'!$A$2:$B$8,MATCH(WEEKDAY('ARG Gas Transport'!A104,3),'Master Data'!$A$2:$A$8,0),2)</f>
        <v>M</v>
      </c>
      <c r="D104" s="124" t="n">
        <v>0</v>
      </c>
      <c r="E104" s="124" t="n">
        <v>0</v>
      </c>
      <c r="F104" s="124" t="n">
        <v>0</v>
      </c>
      <c r="G104" s="124" t="n">
        <v>-716068</v>
      </c>
      <c r="I104" s="124" t="n">
        <f aca="false">IF(MONTH($A104)=MONTH($A103),IF(G104=0,I103,G104),G104)</f>
        <v>-716068</v>
      </c>
      <c r="J104" s="124" t="n">
        <f aca="false">IF(MONTH($A104)=MONTH($A103),SUM(I104-I103),I104)</f>
        <v>-3</v>
      </c>
      <c r="K104" s="124" t="n">
        <f aca="false">IF(WEEKDAY(A104,3)&gt;4,0,(IF(A104&lt;K$2,0,IF(A104&lt;=K$3,1,0))))</f>
        <v>0</v>
      </c>
      <c r="L104" s="124" t="n">
        <f aca="false">J104*K104</f>
        <v>-0</v>
      </c>
      <c r="M104" s="124" t="n">
        <f aca="false">SUM(J$97:J104)</f>
        <v>-716068</v>
      </c>
      <c r="N104" s="124" t="n">
        <f aca="false">SUM(J$6:J104)</f>
        <v>-1484764</v>
      </c>
      <c r="P104" s="124" t="n">
        <f aca="false">D104/P$3</f>
        <v>0</v>
      </c>
      <c r="Q104" s="124" t="n">
        <f aca="false">E104/P$3</f>
        <v>0</v>
      </c>
      <c r="R104" s="124" t="n">
        <f aca="false">F104/R$3</f>
        <v>0</v>
      </c>
      <c r="S104" s="126" t="n">
        <f aca="false">J104/$R$3</f>
        <v>-0.003</v>
      </c>
      <c r="T104" s="126" t="n">
        <f aca="false">L104/$R$3</f>
        <v>-0</v>
      </c>
      <c r="U104" s="126" t="n">
        <f aca="false">I104/$R$3</f>
        <v>-716.068</v>
      </c>
      <c r="V104" s="126" t="n">
        <f aca="false">M104/$R$3</f>
        <v>-716.068</v>
      </c>
      <c r="W104" s="126" t="n">
        <f aca="false">N104/$R$3</f>
        <v>-1484.764</v>
      </c>
    </row>
    <row r="105" customFormat="false" ht="13.5" hidden="true" customHeight="true" outlineLevel="0" collapsed="false">
      <c r="A105" s="120" t="n">
        <f aca="false">A104+1</f>
        <v>36991</v>
      </c>
      <c r="B105" s="131" t="str">
        <f aca="false">INDEX('Master Data'!$A$2:$B$8,MATCH(WEEKDAY('ARG Gas Transport'!A105,3),'Master Data'!$A$2:$A$8,0),2)</f>
        <v>T</v>
      </c>
      <c r="D105" s="124" t="n">
        <v>0</v>
      </c>
      <c r="E105" s="124" t="n">
        <v>0</v>
      </c>
      <c r="F105" s="124" t="n">
        <v>0</v>
      </c>
      <c r="G105" s="124" t="n">
        <v>-716072</v>
      </c>
      <c r="I105" s="124" t="n">
        <f aca="false">IF(MONTH($A105)=MONTH($A104),IF(G105=0,I104,G105),G105)</f>
        <v>-716072</v>
      </c>
      <c r="J105" s="124" t="n">
        <f aca="false">IF(MONTH($A105)=MONTH($A104),SUM(I105-I104),I105)</f>
        <v>-4</v>
      </c>
      <c r="K105" s="124" t="n">
        <f aca="false">IF(WEEKDAY(A105,3)&gt;4,0,(IF(A105&lt;K$2,0,IF(A105&lt;=K$3,1,0))))</f>
        <v>0</v>
      </c>
      <c r="L105" s="124" t="n">
        <f aca="false">J105*K105</f>
        <v>-0</v>
      </c>
      <c r="M105" s="124" t="n">
        <f aca="false">SUM(J$97:J105)</f>
        <v>-716072</v>
      </c>
      <c r="N105" s="124" t="n">
        <f aca="false">SUM(J$6:J105)</f>
        <v>-1484768</v>
      </c>
      <c r="P105" s="124" t="n">
        <f aca="false">D105/P$3</f>
        <v>0</v>
      </c>
      <c r="Q105" s="124" t="n">
        <f aca="false">E105/P$3</f>
        <v>0</v>
      </c>
      <c r="R105" s="124" t="n">
        <f aca="false">F105/R$3</f>
        <v>0</v>
      </c>
      <c r="S105" s="126" t="n">
        <f aca="false">J105/$R$3</f>
        <v>-0.004</v>
      </c>
      <c r="T105" s="126" t="n">
        <f aca="false">L105/$R$3</f>
        <v>-0</v>
      </c>
      <c r="U105" s="126" t="n">
        <f aca="false">I105/$R$3</f>
        <v>-716.072</v>
      </c>
      <c r="V105" s="126" t="n">
        <f aca="false">M105/$R$3</f>
        <v>-716.072</v>
      </c>
      <c r="W105" s="126" t="n">
        <f aca="false">N105/$R$3</f>
        <v>-1484.768</v>
      </c>
    </row>
    <row r="106" customFormat="false" ht="13.5" hidden="true" customHeight="true" outlineLevel="0" collapsed="false">
      <c r="A106" s="120" t="n">
        <f aca="false">A105+1</f>
        <v>36992</v>
      </c>
      <c r="B106" s="131" t="str">
        <f aca="false">INDEX('Master Data'!$A$2:$B$8,MATCH(WEEKDAY('ARG Gas Transport'!A106,3),'Master Data'!$A$2:$A$8,0),2)</f>
        <v>W</v>
      </c>
      <c r="D106" s="124" t="n">
        <v>0</v>
      </c>
      <c r="E106" s="124" t="n">
        <v>0</v>
      </c>
      <c r="F106" s="124" t="n">
        <v>0</v>
      </c>
      <c r="G106" s="124" t="n">
        <v>-716071</v>
      </c>
      <c r="I106" s="124" t="n">
        <f aca="false">IF(MONTH($A106)=MONTH($A105),IF(G106=0,I105,G106),G106)</f>
        <v>-716071</v>
      </c>
      <c r="J106" s="124" t="n">
        <f aca="false">IF(MONTH($A106)=MONTH($A105),SUM(I106-I105),I106)</f>
        <v>1</v>
      </c>
      <c r="K106" s="124" t="n">
        <f aca="false">IF(WEEKDAY(A106,3)&gt;4,0,(IF(A106&lt;K$2,0,IF(A106&lt;=K$3,1,0))))</f>
        <v>0</v>
      </c>
      <c r="L106" s="124" t="n">
        <f aca="false">J106*K106</f>
        <v>0</v>
      </c>
      <c r="M106" s="124" t="n">
        <f aca="false">SUM(J$97:J106)</f>
        <v>-716071</v>
      </c>
      <c r="N106" s="124" t="n">
        <f aca="false">SUM(J$6:J106)</f>
        <v>-1484767</v>
      </c>
      <c r="P106" s="124" t="n">
        <f aca="false">D106/P$3</f>
        <v>0</v>
      </c>
      <c r="Q106" s="124" t="n">
        <f aca="false">E106/P$3</f>
        <v>0</v>
      </c>
      <c r="R106" s="124" t="n">
        <f aca="false">F106/R$3</f>
        <v>0</v>
      </c>
      <c r="S106" s="126" t="n">
        <f aca="false">J106/$R$3</f>
        <v>0.001</v>
      </c>
      <c r="T106" s="126" t="n">
        <f aca="false">L106/$R$3</f>
        <v>0</v>
      </c>
      <c r="U106" s="126" t="n">
        <f aca="false">I106/$R$3</f>
        <v>-716.071</v>
      </c>
      <c r="V106" s="126" t="n">
        <f aca="false">M106/$R$3</f>
        <v>-716.071</v>
      </c>
      <c r="W106" s="126" t="n">
        <f aca="false">N106/$R$3</f>
        <v>-1484.767</v>
      </c>
    </row>
    <row r="107" customFormat="false" ht="13.5" hidden="true" customHeight="true" outlineLevel="0" collapsed="false">
      <c r="A107" s="120" t="n">
        <f aca="false">A106+1</f>
        <v>36993</v>
      </c>
      <c r="B107" s="131" t="str">
        <f aca="false">INDEX('Master Data'!$A$2:$B$8,MATCH(WEEKDAY('ARG Gas Transport'!A107,3),'Master Data'!$A$2:$A$8,0),2)</f>
        <v>Th</v>
      </c>
      <c r="D107" s="124" t="n">
        <v>0</v>
      </c>
      <c r="E107" s="124" t="n">
        <v>0</v>
      </c>
      <c r="F107" s="124" t="n">
        <v>0</v>
      </c>
      <c r="G107" s="124" t="n">
        <v>-716072</v>
      </c>
      <c r="I107" s="124" t="n">
        <f aca="false">IF(MONTH($A107)=MONTH($A106),IF(G107=0,I106,G107),G107)</f>
        <v>-716072</v>
      </c>
      <c r="J107" s="124" t="n">
        <f aca="false">IF(MONTH($A107)=MONTH($A106),SUM(I107-I106),I107)</f>
        <v>-1</v>
      </c>
      <c r="K107" s="124" t="n">
        <f aca="false">IF(WEEKDAY(A107,3)&gt;4,0,(IF(A107&lt;K$2,0,IF(A107&lt;=K$3,1,0))))</f>
        <v>0</v>
      </c>
      <c r="L107" s="124" t="n">
        <f aca="false">J107*K107</f>
        <v>-0</v>
      </c>
      <c r="M107" s="124" t="n">
        <f aca="false">SUM(J$97:J107)</f>
        <v>-716072</v>
      </c>
      <c r="N107" s="124" t="n">
        <f aca="false">SUM(J$6:J107)</f>
        <v>-1484768</v>
      </c>
      <c r="P107" s="124" t="n">
        <f aca="false">D107/P$3</f>
        <v>0</v>
      </c>
      <c r="Q107" s="124" t="n">
        <f aca="false">E107/P$3</f>
        <v>0</v>
      </c>
      <c r="R107" s="124" t="n">
        <f aca="false">F107/R$3</f>
        <v>0</v>
      </c>
      <c r="S107" s="126" t="n">
        <f aca="false">J107/$R$3</f>
        <v>-0.001</v>
      </c>
      <c r="T107" s="126" t="n">
        <f aca="false">L107/$R$3</f>
        <v>-0</v>
      </c>
      <c r="U107" s="126" t="n">
        <f aca="false">I107/$R$3</f>
        <v>-716.072</v>
      </c>
      <c r="V107" s="126" t="n">
        <f aca="false">M107/$R$3</f>
        <v>-716.072</v>
      </c>
      <c r="W107" s="126" t="n">
        <f aca="false">N107/$R$3</f>
        <v>-1484.768</v>
      </c>
    </row>
    <row r="108" customFormat="false" ht="13.5" hidden="true" customHeight="true" outlineLevel="0" collapsed="false">
      <c r="A108" s="120" t="n">
        <f aca="false">A107+1</f>
        <v>36994</v>
      </c>
      <c r="B108" s="131" t="str">
        <f aca="false">INDEX('Master Data'!$A$2:$B$8,MATCH(WEEKDAY('ARG Gas Transport'!A108,3),'Master Data'!$A$2:$A$8,0),2)</f>
        <v>F</v>
      </c>
      <c r="D108" s="124" t="n">
        <v>0</v>
      </c>
      <c r="E108" s="124" t="n">
        <v>0</v>
      </c>
      <c r="F108" s="124" t="n">
        <v>0</v>
      </c>
      <c r="G108" s="124" t="n">
        <v>0</v>
      </c>
      <c r="I108" s="124" t="n">
        <f aca="false">IF(MONTH($A108)=MONTH($A107),IF(G108=0,I107,G108),G108)</f>
        <v>-716072</v>
      </c>
      <c r="J108" s="124" t="n">
        <f aca="false">IF(MONTH($A108)=MONTH($A107),SUM(I108-I107),I108)</f>
        <v>0</v>
      </c>
      <c r="K108" s="124" t="n">
        <f aca="false">IF(WEEKDAY(A108,3)&gt;4,0,(IF(A108&lt;K$2,0,IF(A108&lt;=K$3,1,0))))</f>
        <v>0</v>
      </c>
      <c r="L108" s="124" t="n">
        <f aca="false">J108*K108</f>
        <v>0</v>
      </c>
      <c r="M108" s="124" t="n">
        <f aca="false">SUM(J$97:J108)</f>
        <v>-716072</v>
      </c>
      <c r="N108" s="124" t="n">
        <f aca="false">SUM(J$6:J108)</f>
        <v>-1484768</v>
      </c>
      <c r="P108" s="124" t="n">
        <f aca="false">D108/P$3</f>
        <v>0</v>
      </c>
      <c r="Q108" s="124" t="n">
        <f aca="false">E108/P$3</f>
        <v>0</v>
      </c>
      <c r="R108" s="124" t="n">
        <f aca="false">F108/R$3</f>
        <v>0</v>
      </c>
      <c r="S108" s="126" t="n">
        <f aca="false">J108/$R$3</f>
        <v>0</v>
      </c>
      <c r="T108" s="126" t="n">
        <f aca="false">L108/$R$3</f>
        <v>0</v>
      </c>
      <c r="U108" s="126" t="n">
        <f aca="false">I108/$R$3</f>
        <v>-716.072</v>
      </c>
      <c r="V108" s="126" t="n">
        <f aca="false">M108/$R$3</f>
        <v>-716.072</v>
      </c>
      <c r="W108" s="126" t="n">
        <f aca="false">N108/$R$3</f>
        <v>-1484.768</v>
      </c>
    </row>
    <row r="109" customFormat="false" ht="13.5" hidden="true" customHeight="true" outlineLevel="0" collapsed="false">
      <c r="A109" s="120" t="n">
        <f aca="false">A108+1</f>
        <v>36995</v>
      </c>
      <c r="B109" s="131" t="str">
        <f aca="false">INDEX('Master Data'!$A$2:$B$8,MATCH(WEEKDAY('ARG Gas Transport'!A109,3),'Master Data'!$A$2:$A$8,0),2)</f>
        <v>Sa</v>
      </c>
      <c r="D109" s="124" t="n">
        <v>0</v>
      </c>
      <c r="E109" s="124" t="n">
        <v>0</v>
      </c>
      <c r="F109" s="124" t="n">
        <v>0</v>
      </c>
      <c r="G109" s="124" t="n">
        <v>0</v>
      </c>
      <c r="I109" s="124" t="n">
        <f aca="false">IF(MONTH($A109)=MONTH($A108),IF(G109=0,I108,G109),G109)</f>
        <v>-716072</v>
      </c>
      <c r="J109" s="124" t="n">
        <f aca="false">IF(MONTH($A109)=MONTH($A108),SUM(I109-I108),I109)</f>
        <v>0</v>
      </c>
      <c r="K109" s="124" t="n">
        <f aca="false">IF(WEEKDAY(A109,3)&gt;4,0,(IF(A109&lt;K$2,0,IF(A109&lt;=K$3,1,0))))</f>
        <v>0</v>
      </c>
      <c r="L109" s="124" t="n">
        <f aca="false">J109*K109</f>
        <v>0</v>
      </c>
      <c r="M109" s="124" t="n">
        <f aca="false">SUM(J$97:J109)</f>
        <v>-716072</v>
      </c>
      <c r="N109" s="124" t="n">
        <f aca="false">SUM(J$6:J109)</f>
        <v>-1484768</v>
      </c>
      <c r="P109" s="124" t="n">
        <f aca="false">D109/P$3</f>
        <v>0</v>
      </c>
      <c r="Q109" s="124" t="n">
        <f aca="false">E109/P$3</f>
        <v>0</v>
      </c>
      <c r="R109" s="124" t="n">
        <f aca="false">F109/R$3</f>
        <v>0</v>
      </c>
      <c r="S109" s="126" t="n">
        <f aca="false">J109/$R$3</f>
        <v>0</v>
      </c>
      <c r="T109" s="126" t="n">
        <f aca="false">L109/$R$3</f>
        <v>0</v>
      </c>
      <c r="U109" s="126" t="n">
        <f aca="false">I109/$R$3</f>
        <v>-716.072</v>
      </c>
      <c r="V109" s="126" t="n">
        <f aca="false">M109/$R$3</f>
        <v>-716.072</v>
      </c>
      <c r="W109" s="126" t="n">
        <f aca="false">N109/$R$3</f>
        <v>-1484.768</v>
      </c>
    </row>
    <row r="110" customFormat="false" ht="13.5" hidden="true" customHeight="true" outlineLevel="0" collapsed="false">
      <c r="A110" s="120" t="n">
        <f aca="false">A109+1</f>
        <v>36996</v>
      </c>
      <c r="B110" s="131" t="str">
        <f aca="false">INDEX('Master Data'!$A$2:$B$8,MATCH(WEEKDAY('ARG Gas Transport'!A110,3),'Master Data'!$A$2:$A$8,0),2)</f>
        <v>Su</v>
      </c>
      <c r="D110" s="124" t="n">
        <v>0</v>
      </c>
      <c r="E110" s="124" t="n">
        <v>0</v>
      </c>
      <c r="F110" s="124" t="n">
        <v>0</v>
      </c>
      <c r="G110" s="124" t="n">
        <v>0</v>
      </c>
      <c r="I110" s="124" t="n">
        <f aca="false">IF(MONTH($A110)=MONTH($A109),IF(G110=0,I109,G110),G110)</f>
        <v>-716072</v>
      </c>
      <c r="J110" s="124" t="n">
        <f aca="false">IF(MONTH($A110)=MONTH($A109),SUM(I110-I109),I110)</f>
        <v>0</v>
      </c>
      <c r="K110" s="124" t="n">
        <f aca="false">IF(WEEKDAY(A110,3)&gt;4,0,(IF(A110&lt;K$2,0,IF(A110&lt;=K$3,1,0))))</f>
        <v>0</v>
      </c>
      <c r="L110" s="124" t="n">
        <f aca="false">J110*K110</f>
        <v>0</v>
      </c>
      <c r="M110" s="124" t="n">
        <f aca="false">SUM(J$97:J110)</f>
        <v>-716072</v>
      </c>
      <c r="N110" s="124" t="n">
        <f aca="false">SUM(J$6:J110)</f>
        <v>-1484768</v>
      </c>
      <c r="P110" s="124" t="n">
        <f aca="false">D110/P$3</f>
        <v>0</v>
      </c>
      <c r="Q110" s="124" t="n">
        <f aca="false">E110/P$3</f>
        <v>0</v>
      </c>
      <c r="R110" s="124" t="n">
        <f aca="false">F110/R$3</f>
        <v>0</v>
      </c>
      <c r="S110" s="126" t="n">
        <f aca="false">J110/$R$3</f>
        <v>0</v>
      </c>
      <c r="T110" s="126" t="n">
        <f aca="false">L110/$R$3</f>
        <v>0</v>
      </c>
      <c r="U110" s="126" t="n">
        <f aca="false">I110/$R$3</f>
        <v>-716.072</v>
      </c>
      <c r="V110" s="126" t="n">
        <f aca="false">M110/$R$3</f>
        <v>-716.072</v>
      </c>
      <c r="W110" s="126" t="n">
        <f aca="false">N110/$R$3</f>
        <v>-1484.768</v>
      </c>
    </row>
    <row r="111" customFormat="false" ht="13.5" hidden="true" customHeight="true" outlineLevel="0" collapsed="false">
      <c r="A111" s="120" t="n">
        <f aca="false">A110+1</f>
        <v>36997</v>
      </c>
      <c r="B111" s="131" t="str">
        <f aca="false">INDEX('Master Data'!$A$2:$B$8,MATCH(WEEKDAY('ARG Gas Transport'!A111,3),'Master Data'!$A$2:$A$8,0),2)</f>
        <v>M</v>
      </c>
      <c r="D111" s="124" t="n">
        <v>0</v>
      </c>
      <c r="E111" s="124" t="n">
        <v>0</v>
      </c>
      <c r="F111" s="124" t="n">
        <v>0</v>
      </c>
      <c r="G111" s="124" t="n">
        <v>-716079</v>
      </c>
      <c r="I111" s="124" t="n">
        <f aca="false">IF(MONTH($A111)=MONTH($A110),IF(G111=0,I110,G111),G111)</f>
        <v>-716079</v>
      </c>
      <c r="J111" s="124" t="n">
        <f aca="false">IF(MONTH($A111)=MONTH($A110),SUM(I111-I110),I111)</f>
        <v>-7</v>
      </c>
      <c r="K111" s="124" t="n">
        <f aca="false">IF(WEEKDAY(A111,3)&gt;4,0,(IF(A111&lt;K$2,0,IF(A111&lt;=K$3,1,0))))</f>
        <v>0</v>
      </c>
      <c r="L111" s="124" t="n">
        <f aca="false">J111*K111</f>
        <v>-0</v>
      </c>
      <c r="M111" s="124" t="n">
        <f aca="false">SUM(J$97:J111)</f>
        <v>-716079</v>
      </c>
      <c r="N111" s="124" t="n">
        <f aca="false">SUM(J$6:J111)</f>
        <v>-1484775</v>
      </c>
      <c r="P111" s="124" t="n">
        <f aca="false">D111/P$3</f>
        <v>0</v>
      </c>
      <c r="Q111" s="124" t="n">
        <f aca="false">E111/P$3</f>
        <v>0</v>
      </c>
      <c r="R111" s="124" t="n">
        <f aca="false">F111/R$3</f>
        <v>0</v>
      </c>
      <c r="S111" s="126" t="n">
        <f aca="false">J111/$R$3</f>
        <v>-0.007</v>
      </c>
      <c r="T111" s="126" t="n">
        <f aca="false">L111/$R$3</f>
        <v>-0</v>
      </c>
      <c r="U111" s="126" t="n">
        <f aca="false">I111/$R$3</f>
        <v>-716.079</v>
      </c>
      <c r="V111" s="126" t="n">
        <f aca="false">M111/$R$3</f>
        <v>-716.079</v>
      </c>
      <c r="W111" s="126" t="n">
        <f aca="false">N111/$R$3</f>
        <v>-1484.775</v>
      </c>
    </row>
    <row r="112" customFormat="false" ht="13.5" hidden="true" customHeight="true" outlineLevel="0" collapsed="false">
      <c r="A112" s="120" t="n">
        <f aca="false">A111+1</f>
        <v>36998</v>
      </c>
      <c r="B112" s="131" t="str">
        <f aca="false">INDEX('Master Data'!$A$2:$B$8,MATCH(WEEKDAY('ARG Gas Transport'!A112,3),'Master Data'!$A$2:$A$8,0),2)</f>
        <v>T</v>
      </c>
      <c r="D112" s="124" t="n">
        <v>0</v>
      </c>
      <c r="E112" s="124" t="n">
        <v>0</v>
      </c>
      <c r="F112" s="124" t="n">
        <v>0</v>
      </c>
      <c r="G112" s="124" t="n">
        <v>-716078</v>
      </c>
      <c r="I112" s="124" t="n">
        <f aca="false">IF(MONTH($A112)=MONTH($A111),IF(G112=0,I111,G112),G112)</f>
        <v>-716078</v>
      </c>
      <c r="J112" s="124" t="n">
        <f aca="false">IF(MONTH($A112)=MONTH($A111),SUM(I112-I111),I112)</f>
        <v>1</v>
      </c>
      <c r="K112" s="124" t="n">
        <f aca="false">IF(WEEKDAY(A112,3)&gt;4,0,(IF(A112&lt;K$2,0,IF(A112&lt;=K$3,1,0))))</f>
        <v>0</v>
      </c>
      <c r="L112" s="124" t="n">
        <f aca="false">J112*K112</f>
        <v>0</v>
      </c>
      <c r="M112" s="124" t="n">
        <f aca="false">SUM(J$97:J112)</f>
        <v>-716078</v>
      </c>
      <c r="N112" s="124" t="n">
        <f aca="false">SUM(J$6:J112)</f>
        <v>-1484774</v>
      </c>
      <c r="P112" s="124" t="n">
        <f aca="false">D112/P$3</f>
        <v>0</v>
      </c>
      <c r="Q112" s="124" t="n">
        <f aca="false">E112/P$3</f>
        <v>0</v>
      </c>
      <c r="R112" s="124" t="n">
        <f aca="false">F112/R$3</f>
        <v>0</v>
      </c>
      <c r="S112" s="126" t="n">
        <f aca="false">J112/$R$3</f>
        <v>0.001</v>
      </c>
      <c r="T112" s="126" t="n">
        <f aca="false">L112/$R$3</f>
        <v>0</v>
      </c>
      <c r="U112" s="126" t="n">
        <f aca="false">I112/$R$3</f>
        <v>-716.078</v>
      </c>
      <c r="V112" s="126" t="n">
        <f aca="false">M112/$R$3</f>
        <v>-716.078</v>
      </c>
      <c r="W112" s="126" t="n">
        <f aca="false">N112/$R$3</f>
        <v>-1484.774</v>
      </c>
    </row>
    <row r="113" customFormat="false" ht="13.5" hidden="true" customHeight="true" outlineLevel="0" collapsed="false">
      <c r="A113" s="120" t="n">
        <f aca="false">A112+1</f>
        <v>36999</v>
      </c>
      <c r="B113" s="131" t="str">
        <f aca="false">INDEX('Master Data'!$A$2:$B$8,MATCH(WEEKDAY('ARG Gas Transport'!A113,3),'Master Data'!$A$2:$A$8,0),2)</f>
        <v>W</v>
      </c>
      <c r="D113" s="124" t="n">
        <v>0</v>
      </c>
      <c r="E113" s="124" t="n">
        <v>0</v>
      </c>
      <c r="F113" s="124" t="n">
        <v>0</v>
      </c>
      <c r="G113" s="124" t="n">
        <v>-716074</v>
      </c>
      <c r="I113" s="124" t="n">
        <f aca="false">IF(MONTH($A113)=MONTH($A112),IF(G113=0,I112,G113),G113)</f>
        <v>-716074</v>
      </c>
      <c r="J113" s="124" t="n">
        <f aca="false">IF(MONTH($A113)=MONTH($A112),SUM(I113-I112),I113)</f>
        <v>4</v>
      </c>
      <c r="K113" s="124" t="n">
        <f aca="false">IF(WEEKDAY(A113,3)&gt;4,0,(IF(A113&lt;K$2,0,IF(A113&lt;=K$3,1,0))))</f>
        <v>0</v>
      </c>
      <c r="L113" s="124" t="n">
        <f aca="false">J113*K113</f>
        <v>0</v>
      </c>
      <c r="M113" s="124" t="n">
        <f aca="false">SUM(J$97:J113)</f>
        <v>-716074</v>
      </c>
      <c r="N113" s="124" t="n">
        <f aca="false">SUM(J$6:J113)</f>
        <v>-1484770</v>
      </c>
      <c r="P113" s="124" t="n">
        <f aca="false">D113/P$3</f>
        <v>0</v>
      </c>
      <c r="Q113" s="124" t="n">
        <f aca="false">E113/P$3</f>
        <v>0</v>
      </c>
      <c r="R113" s="124" t="n">
        <f aca="false">F113/R$3</f>
        <v>0</v>
      </c>
      <c r="S113" s="126" t="n">
        <f aca="false">J113/$R$3</f>
        <v>0.004</v>
      </c>
      <c r="T113" s="126" t="n">
        <f aca="false">L113/$R$3</f>
        <v>0</v>
      </c>
      <c r="U113" s="126" t="n">
        <f aca="false">I113/$R$3</f>
        <v>-716.074</v>
      </c>
      <c r="V113" s="126" t="n">
        <f aca="false">M113/$R$3</f>
        <v>-716.074</v>
      </c>
      <c r="W113" s="126" t="n">
        <f aca="false">N113/$R$3</f>
        <v>-1484.77</v>
      </c>
    </row>
    <row r="114" customFormat="false" ht="13.5" hidden="true" customHeight="true" outlineLevel="0" collapsed="false">
      <c r="A114" s="120" t="n">
        <f aca="false">A113+1</f>
        <v>37000</v>
      </c>
      <c r="B114" s="131" t="str">
        <f aca="false">INDEX('Master Data'!$A$2:$B$8,MATCH(WEEKDAY('ARG Gas Transport'!A114,3),'Master Data'!$A$2:$A$8,0),2)</f>
        <v>Th</v>
      </c>
      <c r="D114" s="124" t="n">
        <v>0</v>
      </c>
      <c r="E114" s="124" t="n">
        <v>0</v>
      </c>
      <c r="F114" s="124" t="n">
        <v>0</v>
      </c>
      <c r="G114" s="124" t="n">
        <v>-716074</v>
      </c>
      <c r="I114" s="124" t="n">
        <f aca="false">IF(MONTH($A114)=MONTH($A113),IF(G114=0,I113,G114),G114)</f>
        <v>-716074</v>
      </c>
      <c r="J114" s="124" t="n">
        <f aca="false">IF(MONTH($A114)=MONTH($A113),SUM(I114-I113),I114)</f>
        <v>0</v>
      </c>
      <c r="K114" s="124" t="n">
        <f aca="false">IF(WEEKDAY(A114,3)&gt;4,0,(IF(A114&lt;K$2,0,IF(A114&lt;=K$3,1,0))))</f>
        <v>0</v>
      </c>
      <c r="L114" s="124" t="n">
        <f aca="false">J114*K114</f>
        <v>0</v>
      </c>
      <c r="M114" s="124" t="n">
        <f aca="false">SUM(J$97:J114)</f>
        <v>-716074</v>
      </c>
      <c r="N114" s="124" t="n">
        <f aca="false">SUM(J$6:J114)</f>
        <v>-1484770</v>
      </c>
      <c r="P114" s="124" t="n">
        <f aca="false">D114/P$3</f>
        <v>0</v>
      </c>
      <c r="Q114" s="124" t="n">
        <f aca="false">E114/P$3</f>
        <v>0</v>
      </c>
      <c r="R114" s="124" t="n">
        <f aca="false">F114/R$3</f>
        <v>0</v>
      </c>
      <c r="S114" s="126" t="n">
        <f aca="false">J114/$R$3</f>
        <v>0</v>
      </c>
      <c r="T114" s="126" t="n">
        <f aca="false">L114/$R$3</f>
        <v>0</v>
      </c>
      <c r="U114" s="126" t="n">
        <f aca="false">I114/$R$3</f>
        <v>-716.074</v>
      </c>
      <c r="V114" s="126" t="n">
        <f aca="false">M114/$R$3</f>
        <v>-716.074</v>
      </c>
      <c r="W114" s="126" t="n">
        <f aca="false">N114/$R$3</f>
        <v>-1484.77</v>
      </c>
    </row>
    <row r="115" customFormat="false" ht="13.5" hidden="true" customHeight="true" outlineLevel="0" collapsed="false">
      <c r="A115" s="120" t="n">
        <f aca="false">A114+1</f>
        <v>37001</v>
      </c>
      <c r="B115" s="131" t="str">
        <f aca="false">INDEX('Master Data'!$A$2:$B$8,MATCH(WEEKDAY('ARG Gas Transport'!A115,3),'Master Data'!$A$2:$A$8,0),2)</f>
        <v>F</v>
      </c>
      <c r="D115" s="124" t="n">
        <v>0</v>
      </c>
      <c r="E115" s="124" t="n">
        <v>0</v>
      </c>
      <c r="F115" s="124" t="n">
        <v>0</v>
      </c>
      <c r="G115" s="124" t="n">
        <v>-716073</v>
      </c>
      <c r="I115" s="124" t="n">
        <f aca="false">IF(MONTH($A115)=MONTH($A114),IF(G115=0,I114,G115),G115)</f>
        <v>-716073</v>
      </c>
      <c r="J115" s="124" t="n">
        <f aca="false">IF(MONTH($A115)=MONTH($A114),SUM(I115-I114),I115)</f>
        <v>1</v>
      </c>
      <c r="K115" s="124" t="n">
        <f aca="false">IF(WEEKDAY(A115,3)&gt;4,0,(IF(A115&lt;K$2,0,IF(A115&lt;=K$3,1,0))))</f>
        <v>0</v>
      </c>
      <c r="L115" s="124" t="n">
        <f aca="false">J115*K115</f>
        <v>0</v>
      </c>
      <c r="M115" s="124" t="n">
        <f aca="false">SUM(J$97:J115)</f>
        <v>-716073</v>
      </c>
      <c r="N115" s="124" t="n">
        <f aca="false">SUM(J$6:J115)</f>
        <v>-1484769</v>
      </c>
      <c r="P115" s="124" t="n">
        <f aca="false">D115/P$3</f>
        <v>0</v>
      </c>
      <c r="Q115" s="124" t="n">
        <f aca="false">E115/P$3</f>
        <v>0</v>
      </c>
      <c r="R115" s="124" t="n">
        <f aca="false">F115/R$3</f>
        <v>0</v>
      </c>
      <c r="S115" s="126" t="n">
        <f aca="false">J115/$R$3</f>
        <v>0.001</v>
      </c>
      <c r="T115" s="126" t="n">
        <f aca="false">L115/$R$3</f>
        <v>0</v>
      </c>
      <c r="U115" s="126" t="n">
        <f aca="false">I115/$R$3</f>
        <v>-716.073</v>
      </c>
      <c r="V115" s="126" t="n">
        <f aca="false">M115/$R$3</f>
        <v>-716.073</v>
      </c>
      <c r="W115" s="126" t="n">
        <f aca="false">N115/$R$3</f>
        <v>-1484.769</v>
      </c>
    </row>
    <row r="116" customFormat="false" ht="13.5" hidden="true" customHeight="true" outlineLevel="0" collapsed="false">
      <c r="A116" s="120" t="n">
        <f aca="false">A115+1</f>
        <v>37002</v>
      </c>
      <c r="B116" s="131" t="str">
        <f aca="false">INDEX('Master Data'!$A$2:$B$8,MATCH(WEEKDAY('ARG Gas Transport'!A116,3),'Master Data'!$A$2:$A$8,0),2)</f>
        <v>Sa</v>
      </c>
      <c r="D116" s="124" t="n">
        <v>0</v>
      </c>
      <c r="E116" s="124" t="n">
        <v>0</v>
      </c>
      <c r="F116" s="124" t="n">
        <v>0</v>
      </c>
      <c r="G116" s="124" t="n">
        <v>0</v>
      </c>
      <c r="I116" s="124" t="n">
        <f aca="false">IF(MONTH($A116)=MONTH($A115),IF(G116=0,I115,G116),G116)</f>
        <v>-716073</v>
      </c>
      <c r="J116" s="124" t="n">
        <f aca="false">IF(MONTH($A116)=MONTH($A115),SUM(I116-I115),I116)</f>
        <v>0</v>
      </c>
      <c r="K116" s="124" t="n">
        <f aca="false">IF(WEEKDAY(A116,3)&gt;4,0,(IF(A116&lt;K$2,0,IF(A116&lt;=K$3,1,0))))</f>
        <v>0</v>
      </c>
      <c r="L116" s="124" t="n">
        <f aca="false">J116*K116</f>
        <v>0</v>
      </c>
      <c r="M116" s="124" t="n">
        <f aca="false">SUM(J$97:J116)</f>
        <v>-716073</v>
      </c>
      <c r="N116" s="124" t="n">
        <f aca="false">SUM(J$6:J116)</f>
        <v>-1484769</v>
      </c>
      <c r="P116" s="124" t="n">
        <f aca="false">D116/P$3</f>
        <v>0</v>
      </c>
      <c r="Q116" s="124" t="n">
        <f aca="false">E116/P$3</f>
        <v>0</v>
      </c>
      <c r="R116" s="124" t="n">
        <f aca="false">F116/R$3</f>
        <v>0</v>
      </c>
      <c r="S116" s="126" t="n">
        <f aca="false">J116/$R$3</f>
        <v>0</v>
      </c>
      <c r="T116" s="126" t="n">
        <f aca="false">L116/$R$3</f>
        <v>0</v>
      </c>
      <c r="U116" s="126" t="n">
        <f aca="false">I116/$R$3</f>
        <v>-716.073</v>
      </c>
      <c r="V116" s="126" t="n">
        <f aca="false">M116/$R$3</f>
        <v>-716.073</v>
      </c>
      <c r="W116" s="126" t="n">
        <f aca="false">N116/$R$3</f>
        <v>-1484.769</v>
      </c>
    </row>
    <row r="117" customFormat="false" ht="13.5" hidden="true" customHeight="true" outlineLevel="0" collapsed="false">
      <c r="A117" s="120" t="n">
        <f aca="false">A116+1</f>
        <v>37003</v>
      </c>
      <c r="B117" s="131" t="str">
        <f aca="false">INDEX('Master Data'!$A$2:$B$8,MATCH(WEEKDAY('ARG Gas Transport'!A117,3),'Master Data'!$A$2:$A$8,0),2)</f>
        <v>Su</v>
      </c>
      <c r="D117" s="124" t="n">
        <v>0</v>
      </c>
      <c r="E117" s="124" t="n">
        <v>0</v>
      </c>
      <c r="F117" s="124" t="n">
        <v>0</v>
      </c>
      <c r="G117" s="124" t="n">
        <v>0</v>
      </c>
      <c r="I117" s="124" t="n">
        <f aca="false">IF(MONTH($A117)=MONTH($A116),IF(G117=0,I116,G117),G117)</f>
        <v>-716073</v>
      </c>
      <c r="J117" s="124" t="n">
        <f aca="false">IF(MONTH($A117)=MONTH($A116),SUM(I117-I116),I117)</f>
        <v>0</v>
      </c>
      <c r="K117" s="124" t="n">
        <f aca="false">IF(WEEKDAY(A117,3)&gt;4,0,(IF(A117&lt;K$2,0,IF(A117&lt;=K$3,1,0))))</f>
        <v>0</v>
      </c>
      <c r="L117" s="124" t="n">
        <f aca="false">J117*K117</f>
        <v>0</v>
      </c>
      <c r="M117" s="124" t="n">
        <f aca="false">SUM(J$97:J117)</f>
        <v>-716073</v>
      </c>
      <c r="N117" s="124" t="n">
        <f aca="false">SUM(J$6:J117)</f>
        <v>-1484769</v>
      </c>
      <c r="P117" s="124" t="n">
        <f aca="false">D117/P$3</f>
        <v>0</v>
      </c>
      <c r="Q117" s="124" t="n">
        <f aca="false">E117/P$3</f>
        <v>0</v>
      </c>
      <c r="R117" s="124" t="n">
        <f aca="false">F117/R$3</f>
        <v>0</v>
      </c>
      <c r="S117" s="126" t="n">
        <f aca="false">J117/$R$3</f>
        <v>0</v>
      </c>
      <c r="T117" s="126" t="n">
        <f aca="false">L117/$R$3</f>
        <v>0</v>
      </c>
      <c r="U117" s="126" t="n">
        <f aca="false">I117/$R$3</f>
        <v>-716.073</v>
      </c>
      <c r="V117" s="126" t="n">
        <f aca="false">M117/$R$3</f>
        <v>-716.073</v>
      </c>
      <c r="W117" s="126" t="n">
        <f aca="false">N117/$R$3</f>
        <v>-1484.769</v>
      </c>
    </row>
    <row r="118" customFormat="false" ht="13.5" hidden="true" customHeight="true" outlineLevel="0" collapsed="false">
      <c r="A118" s="120" t="n">
        <f aca="false">A117+1</f>
        <v>37004</v>
      </c>
      <c r="B118" s="131" t="str">
        <f aca="false">INDEX('Master Data'!$A$2:$B$8,MATCH(WEEKDAY('ARG Gas Transport'!A118,3),'Master Data'!$A$2:$A$8,0),2)</f>
        <v>M</v>
      </c>
      <c r="D118" s="124" t="n">
        <v>0</v>
      </c>
      <c r="E118" s="124" t="n">
        <v>0</v>
      </c>
      <c r="F118" s="124" t="n">
        <v>0</v>
      </c>
      <c r="G118" s="124" t="n">
        <v>-703216</v>
      </c>
      <c r="I118" s="124" t="n">
        <f aca="false">IF(MONTH($A118)=MONTH($A117),IF(G118=0,I117,G118),G118)</f>
        <v>-703216</v>
      </c>
      <c r="J118" s="124" t="n">
        <f aca="false">IF(MONTH($A118)=MONTH($A117),SUM(I118-I117),I118)</f>
        <v>12857</v>
      </c>
      <c r="K118" s="124" t="n">
        <f aca="false">IF(WEEKDAY(A118,3)&gt;4,0,(IF(A118&lt;K$2,0,IF(A118&lt;=K$3,1,0))))</f>
        <v>0</v>
      </c>
      <c r="L118" s="124" t="n">
        <f aca="false">J118*K118</f>
        <v>0</v>
      </c>
      <c r="M118" s="124" t="n">
        <f aca="false">SUM(J$97:J118)</f>
        <v>-703216</v>
      </c>
      <c r="N118" s="124" t="n">
        <f aca="false">SUM(J$6:J118)</f>
        <v>-1471912</v>
      </c>
      <c r="P118" s="124" t="n">
        <f aca="false">D118/P$3</f>
        <v>0</v>
      </c>
      <c r="Q118" s="124" t="n">
        <f aca="false">E118/P$3</f>
        <v>0</v>
      </c>
      <c r="R118" s="124" t="n">
        <f aca="false">F118/R$3</f>
        <v>0</v>
      </c>
      <c r="S118" s="126" t="n">
        <f aca="false">J118/$R$3</f>
        <v>12.857</v>
      </c>
      <c r="T118" s="126" t="n">
        <f aca="false">L118/$R$3</f>
        <v>0</v>
      </c>
      <c r="U118" s="126" t="n">
        <f aca="false">I118/$R$3</f>
        <v>-703.216</v>
      </c>
      <c r="V118" s="126" t="n">
        <f aca="false">M118/$R$3</f>
        <v>-703.216</v>
      </c>
      <c r="W118" s="126" t="n">
        <f aca="false">N118/$R$3</f>
        <v>-1471.912</v>
      </c>
    </row>
    <row r="119" customFormat="false" ht="13.5" hidden="true" customHeight="true" outlineLevel="0" collapsed="false">
      <c r="A119" s="120" t="n">
        <f aca="false">A118+1</f>
        <v>37005</v>
      </c>
      <c r="B119" s="131" t="str">
        <f aca="false">INDEX('Master Data'!$A$2:$B$8,MATCH(WEEKDAY('ARG Gas Transport'!A119,3),'Master Data'!$A$2:$A$8,0),2)</f>
        <v>T</v>
      </c>
      <c r="D119" s="124" t="n">
        <v>0</v>
      </c>
      <c r="E119" s="124" t="n">
        <v>0</v>
      </c>
      <c r="F119" s="124" t="n">
        <v>0</v>
      </c>
      <c r="G119" s="124" t="n">
        <v>-703219</v>
      </c>
      <c r="I119" s="124" t="n">
        <f aca="false">IF(MONTH($A119)=MONTH($A118),IF(G119=0,I118,G119),G119)</f>
        <v>-703219</v>
      </c>
      <c r="J119" s="124" t="n">
        <f aca="false">IF(MONTH($A119)=MONTH($A118),SUM(I119-I118),I119)</f>
        <v>-3</v>
      </c>
      <c r="K119" s="124" t="n">
        <f aca="false">IF(WEEKDAY(A119,3)&gt;4,0,(IF(A119&lt;K$2,0,IF(A119&lt;=K$3,1,0))))</f>
        <v>0</v>
      </c>
      <c r="L119" s="124" t="n">
        <f aca="false">J119*K119</f>
        <v>-0</v>
      </c>
      <c r="M119" s="124" t="n">
        <f aca="false">SUM(J$97:J119)</f>
        <v>-703219</v>
      </c>
      <c r="N119" s="124" t="n">
        <f aca="false">SUM(J$6:J119)</f>
        <v>-1471915</v>
      </c>
      <c r="P119" s="124" t="n">
        <f aca="false">D119/P$3</f>
        <v>0</v>
      </c>
      <c r="Q119" s="124" t="n">
        <f aca="false">E119/P$3</f>
        <v>0</v>
      </c>
      <c r="R119" s="124" t="n">
        <f aca="false">F119/R$3</f>
        <v>0</v>
      </c>
      <c r="S119" s="126" t="n">
        <f aca="false">J119/$R$3</f>
        <v>-0.003</v>
      </c>
      <c r="T119" s="126" t="n">
        <f aca="false">L119/$R$3</f>
        <v>-0</v>
      </c>
      <c r="U119" s="126" t="n">
        <f aca="false">I119/$R$3</f>
        <v>-703.219</v>
      </c>
      <c r="V119" s="126" t="n">
        <f aca="false">M119/$R$3</f>
        <v>-703.219</v>
      </c>
      <c r="W119" s="126" t="n">
        <f aca="false">N119/$R$3</f>
        <v>-1471.915</v>
      </c>
    </row>
    <row r="120" customFormat="false" ht="13.5" hidden="true" customHeight="true" outlineLevel="0" collapsed="false">
      <c r="A120" s="120" t="n">
        <f aca="false">A119+1</f>
        <v>37006</v>
      </c>
      <c r="B120" s="131" t="str">
        <f aca="false">INDEX('Master Data'!$A$2:$B$8,MATCH(WEEKDAY('ARG Gas Transport'!A120,3),'Master Data'!$A$2:$A$8,0),2)</f>
        <v>W</v>
      </c>
      <c r="D120" s="124" t="n">
        <v>0</v>
      </c>
      <c r="E120" s="124" t="n">
        <v>0</v>
      </c>
      <c r="F120" s="124" t="n">
        <v>0</v>
      </c>
      <c r="G120" s="124" t="n">
        <v>-703221</v>
      </c>
      <c r="I120" s="124" t="n">
        <f aca="false">IF(MONTH($A120)=MONTH($A119),IF(G120=0,I119,G120),G120)</f>
        <v>-703221</v>
      </c>
      <c r="J120" s="124" t="n">
        <f aca="false">IF(MONTH($A120)=MONTH($A119),SUM(I120-I119),I120)</f>
        <v>-2</v>
      </c>
      <c r="K120" s="124" t="n">
        <f aca="false">IF(WEEKDAY(A120,3)&gt;4,0,(IF(A120&lt;K$2,0,IF(A120&lt;=K$3,1,0))))</f>
        <v>0</v>
      </c>
      <c r="L120" s="124" t="n">
        <f aca="false">J120*K120</f>
        <v>-0</v>
      </c>
      <c r="M120" s="124" t="n">
        <f aca="false">SUM(J$97:J120)</f>
        <v>-703221</v>
      </c>
      <c r="N120" s="124" t="n">
        <f aca="false">SUM(J$6:J120)</f>
        <v>-1471917</v>
      </c>
      <c r="P120" s="124" t="n">
        <f aca="false">D120/P$3</f>
        <v>0</v>
      </c>
      <c r="Q120" s="124" t="n">
        <f aca="false">E120/P$3</f>
        <v>0</v>
      </c>
      <c r="R120" s="124" t="n">
        <f aca="false">F120/R$3</f>
        <v>0</v>
      </c>
      <c r="S120" s="126" t="n">
        <f aca="false">J120/$R$3</f>
        <v>-0.002</v>
      </c>
      <c r="T120" s="126" t="n">
        <f aca="false">L120/$R$3</f>
        <v>-0</v>
      </c>
      <c r="U120" s="126" t="n">
        <f aca="false">I120/$R$3</f>
        <v>-703.221</v>
      </c>
      <c r="V120" s="126" t="n">
        <f aca="false">M120/$R$3</f>
        <v>-703.221</v>
      </c>
      <c r="W120" s="126" t="n">
        <f aca="false">N120/$R$3</f>
        <v>-1471.917</v>
      </c>
    </row>
    <row r="121" customFormat="false" ht="13.5" hidden="true" customHeight="true" outlineLevel="0" collapsed="false">
      <c r="A121" s="120" t="n">
        <f aca="false">A120+1</f>
        <v>37007</v>
      </c>
      <c r="B121" s="131" t="str">
        <f aca="false">INDEX('Master Data'!$A$2:$B$8,MATCH(WEEKDAY('ARG Gas Transport'!A121,3),'Master Data'!$A$2:$A$8,0),2)</f>
        <v>Th</v>
      </c>
      <c r="D121" s="124" t="n">
        <v>0</v>
      </c>
      <c r="E121" s="124" t="n">
        <v>0</v>
      </c>
      <c r="F121" s="124" t="n">
        <v>0</v>
      </c>
      <c r="G121" s="124" t="n">
        <v>-703221</v>
      </c>
      <c r="I121" s="124" t="n">
        <f aca="false">IF(MONTH($A121)=MONTH($A120),IF(G121=0,I120,G121),G121)</f>
        <v>-703221</v>
      </c>
      <c r="J121" s="124" t="n">
        <f aca="false">IF(MONTH($A121)=MONTH($A120),SUM(I121-I120),I121)</f>
        <v>0</v>
      </c>
      <c r="K121" s="124" t="n">
        <f aca="false">IF(WEEKDAY(A121,3)&gt;4,0,(IF(A121&lt;K$2,0,IF(A121&lt;=K$3,1,0))))</f>
        <v>0</v>
      </c>
      <c r="L121" s="124" t="n">
        <f aca="false">J121*K121</f>
        <v>0</v>
      </c>
      <c r="M121" s="124" t="n">
        <f aca="false">SUM(J$97:J121)</f>
        <v>-703221</v>
      </c>
      <c r="N121" s="124" t="n">
        <f aca="false">SUM(J$6:J121)</f>
        <v>-1471917</v>
      </c>
      <c r="P121" s="124" t="n">
        <f aca="false">D121/P$3</f>
        <v>0</v>
      </c>
      <c r="Q121" s="124" t="n">
        <f aca="false">E121/P$3</f>
        <v>0</v>
      </c>
      <c r="R121" s="124" t="n">
        <f aca="false">F121/R$3</f>
        <v>0</v>
      </c>
      <c r="S121" s="126" t="n">
        <f aca="false">J121/$R$3</f>
        <v>0</v>
      </c>
      <c r="T121" s="126" t="n">
        <f aca="false">L121/$R$3</f>
        <v>0</v>
      </c>
      <c r="U121" s="126" t="n">
        <f aca="false">I121/$R$3</f>
        <v>-703.221</v>
      </c>
      <c r="V121" s="126" t="n">
        <f aca="false">M121/$R$3</f>
        <v>-703.221</v>
      </c>
      <c r="W121" s="126" t="n">
        <f aca="false">N121/$R$3</f>
        <v>-1471.917</v>
      </c>
    </row>
    <row r="122" customFormat="false" ht="13.5" hidden="true" customHeight="true" outlineLevel="0" collapsed="false">
      <c r="A122" s="120" t="n">
        <f aca="false">A121+1</f>
        <v>37008</v>
      </c>
      <c r="B122" s="131" t="str">
        <f aca="false">INDEX('Master Data'!$A$2:$B$8,MATCH(WEEKDAY('ARG Gas Transport'!A122,3),'Master Data'!$A$2:$A$8,0),2)</f>
        <v>F</v>
      </c>
      <c r="D122" s="124" t="n">
        <v>0</v>
      </c>
      <c r="E122" s="124" t="n">
        <v>0</v>
      </c>
      <c r="F122" s="124" t="n">
        <v>0</v>
      </c>
      <c r="G122" s="124" t="n">
        <v>-703222</v>
      </c>
      <c r="I122" s="124" t="n">
        <f aca="false">IF(MONTH($A122)=MONTH($A121),IF(G122=0,I121,G122),G122)</f>
        <v>-703222</v>
      </c>
      <c r="J122" s="124" t="n">
        <f aca="false">IF(MONTH($A122)=MONTH($A121),SUM(I122-I121),I122)</f>
        <v>-1</v>
      </c>
      <c r="K122" s="124" t="n">
        <f aca="false">IF(WEEKDAY(A122,3)&gt;4,0,(IF(A122&lt;K$2,0,IF(A122&lt;=K$3,1,0))))</f>
        <v>0</v>
      </c>
      <c r="L122" s="124" t="n">
        <f aca="false">J122*K122</f>
        <v>-0</v>
      </c>
      <c r="M122" s="124" t="n">
        <f aca="false">SUM(J$97:J122)</f>
        <v>-703222</v>
      </c>
      <c r="N122" s="124" t="n">
        <f aca="false">SUM(J$6:J122)</f>
        <v>-1471918</v>
      </c>
      <c r="P122" s="124" t="n">
        <f aca="false">D122/P$3</f>
        <v>0</v>
      </c>
      <c r="Q122" s="124" t="n">
        <f aca="false">E122/P$3</f>
        <v>0</v>
      </c>
      <c r="R122" s="124" t="n">
        <f aca="false">F122/R$3</f>
        <v>0</v>
      </c>
      <c r="S122" s="126" t="n">
        <f aca="false">J122/$R$3</f>
        <v>-0.001</v>
      </c>
      <c r="T122" s="126" t="n">
        <f aca="false">L122/$R$3</f>
        <v>-0</v>
      </c>
      <c r="U122" s="126" t="n">
        <f aca="false">I122/$R$3</f>
        <v>-703.222</v>
      </c>
      <c r="V122" s="126" t="n">
        <f aca="false">M122/$R$3</f>
        <v>-703.222</v>
      </c>
      <c r="W122" s="126" t="n">
        <f aca="false">N122/$R$3</f>
        <v>-1471.918</v>
      </c>
    </row>
    <row r="123" customFormat="false" ht="13.5" hidden="true" customHeight="true" outlineLevel="0" collapsed="false">
      <c r="A123" s="120" t="n">
        <f aca="false">A122+1</f>
        <v>37009</v>
      </c>
      <c r="B123" s="131" t="str">
        <f aca="false">INDEX('Master Data'!$A$2:$B$8,MATCH(WEEKDAY('ARG Gas Transport'!A123,3),'Master Data'!$A$2:$A$8,0),2)</f>
        <v>Sa</v>
      </c>
      <c r="D123" s="124" t="n">
        <v>0</v>
      </c>
      <c r="E123" s="124" t="n">
        <v>0</v>
      </c>
      <c r="F123" s="124" t="n">
        <v>0</v>
      </c>
      <c r="G123" s="124" t="n">
        <v>0</v>
      </c>
      <c r="I123" s="124" t="n">
        <f aca="false">IF(MONTH($A123)=MONTH($A122),IF(G123=0,I122,G123),G123)</f>
        <v>-703222</v>
      </c>
      <c r="J123" s="124" t="n">
        <f aca="false">IF(MONTH($A123)=MONTH($A122),SUM(I123-I122),I123)</f>
        <v>0</v>
      </c>
      <c r="K123" s="124" t="n">
        <f aca="false">IF(WEEKDAY(A123,3)&gt;4,0,(IF(A123&lt;K$2,0,IF(A123&lt;=K$3,1,0))))</f>
        <v>0</v>
      </c>
      <c r="L123" s="124" t="n">
        <f aca="false">J123*K123</f>
        <v>0</v>
      </c>
      <c r="M123" s="124" t="n">
        <f aca="false">SUM(J$97:J123)</f>
        <v>-703222</v>
      </c>
      <c r="N123" s="124" t="n">
        <f aca="false">SUM(J$6:J123)</f>
        <v>-1471918</v>
      </c>
      <c r="P123" s="124" t="n">
        <f aca="false">D123/P$3</f>
        <v>0</v>
      </c>
      <c r="Q123" s="124" t="n">
        <f aca="false">E123/P$3</f>
        <v>0</v>
      </c>
      <c r="R123" s="124" t="n">
        <f aca="false">F123/R$3</f>
        <v>0</v>
      </c>
      <c r="S123" s="126" t="n">
        <f aca="false">J123/$R$3</f>
        <v>0</v>
      </c>
      <c r="T123" s="126" t="n">
        <f aca="false">L123/$R$3</f>
        <v>0</v>
      </c>
      <c r="U123" s="126" t="n">
        <f aca="false">I123/$R$3</f>
        <v>-703.222</v>
      </c>
      <c r="V123" s="126" t="n">
        <f aca="false">M123/$R$3</f>
        <v>-703.222</v>
      </c>
      <c r="W123" s="126" t="n">
        <f aca="false">N123/$R$3</f>
        <v>-1471.918</v>
      </c>
    </row>
    <row r="124" customFormat="false" ht="13.5" hidden="true" customHeight="true" outlineLevel="0" collapsed="false">
      <c r="A124" s="120" t="n">
        <f aca="false">A123+1</f>
        <v>37010</v>
      </c>
      <c r="B124" s="131" t="str">
        <f aca="false">INDEX('Master Data'!$A$2:$B$8,MATCH(WEEKDAY('ARG Gas Transport'!A124,3),'Master Data'!$A$2:$A$8,0),2)</f>
        <v>Su</v>
      </c>
      <c r="D124" s="124" t="n">
        <v>0</v>
      </c>
      <c r="E124" s="124" t="n">
        <v>0</v>
      </c>
      <c r="F124" s="124" t="n">
        <v>0</v>
      </c>
      <c r="G124" s="124" t="n">
        <v>0</v>
      </c>
      <c r="I124" s="124" t="n">
        <f aca="false">IF(MONTH($A124)=MONTH($A123),IF(G124=0,I123,G124),G124)</f>
        <v>-703222</v>
      </c>
      <c r="J124" s="124" t="n">
        <f aca="false">IF(MONTH($A124)=MONTH($A123),SUM(I124-I123),I124)</f>
        <v>0</v>
      </c>
      <c r="K124" s="124" t="n">
        <f aca="false">IF(WEEKDAY(A124,3)&gt;4,0,(IF(A124&lt;K$2,0,IF(A124&lt;=K$3,1,0))))</f>
        <v>0</v>
      </c>
      <c r="L124" s="124" t="n">
        <f aca="false">J124*K124</f>
        <v>0</v>
      </c>
      <c r="M124" s="124" t="n">
        <f aca="false">SUM(J$97:J124)</f>
        <v>-703222</v>
      </c>
      <c r="N124" s="124" t="n">
        <f aca="false">SUM(J$6:J124)</f>
        <v>-1471918</v>
      </c>
      <c r="P124" s="124" t="n">
        <f aca="false">D124/P$3</f>
        <v>0</v>
      </c>
      <c r="Q124" s="124" t="n">
        <f aca="false">E124/P$3</f>
        <v>0</v>
      </c>
      <c r="R124" s="124" t="n">
        <f aca="false">F124/R$3</f>
        <v>0</v>
      </c>
      <c r="S124" s="126" t="n">
        <f aca="false">J124/$R$3</f>
        <v>0</v>
      </c>
      <c r="T124" s="126" t="n">
        <f aca="false">L124/$R$3</f>
        <v>0</v>
      </c>
      <c r="U124" s="126" t="n">
        <f aca="false">I124/$R$3</f>
        <v>-703.222</v>
      </c>
      <c r="V124" s="126" t="n">
        <f aca="false">M124/$R$3</f>
        <v>-703.222</v>
      </c>
      <c r="W124" s="126" t="n">
        <f aca="false">N124/$R$3</f>
        <v>-1471.918</v>
      </c>
    </row>
    <row r="125" customFormat="false" ht="13.5" hidden="false" customHeight="true" outlineLevel="0" collapsed="false">
      <c r="A125" s="120" t="n">
        <f aca="false">A124+1</f>
        <v>37011</v>
      </c>
      <c r="B125" s="131" t="str">
        <f aca="false">INDEX('Master Data'!$A$2:$B$8,MATCH(WEEKDAY('ARG Gas Transport'!A125,3),'Master Data'!$A$2:$A$8,0),2)</f>
        <v>M</v>
      </c>
      <c r="D125" s="124" t="n">
        <v>0</v>
      </c>
      <c r="E125" s="124" t="n">
        <v>0</v>
      </c>
      <c r="F125" s="124" t="n">
        <v>0</v>
      </c>
      <c r="G125" s="124" t="n">
        <v>-703222</v>
      </c>
      <c r="I125" s="124" t="n">
        <f aca="false">IF(MONTH($A125)=MONTH($A124),IF(G125=0,I124,G125),G125)</f>
        <v>-703222</v>
      </c>
      <c r="J125" s="124" t="n">
        <f aca="false">IF(MONTH($A125)=MONTH($A124),SUM(I125-I124),I125)</f>
        <v>0</v>
      </c>
      <c r="K125" s="124" t="n">
        <f aca="false">IF(WEEKDAY(A125,3)&gt;4,0,(IF(A125&lt;K$2,0,IF(A125&lt;=K$3,1,0))))</f>
        <v>0</v>
      </c>
      <c r="L125" s="124" t="n">
        <f aca="false">J125*K125</f>
        <v>0</v>
      </c>
      <c r="M125" s="124" t="n">
        <f aca="false">SUM(J$97:J125)</f>
        <v>-703222</v>
      </c>
      <c r="N125" s="124" t="n">
        <f aca="false">SUM(J$6:J125)</f>
        <v>-1471918</v>
      </c>
      <c r="P125" s="124" t="n">
        <f aca="false">D125/P$3</f>
        <v>0</v>
      </c>
      <c r="Q125" s="124" t="n">
        <f aca="false">E125/P$3</f>
        <v>0</v>
      </c>
      <c r="R125" s="124" t="n">
        <f aca="false">F125/R$3</f>
        <v>0</v>
      </c>
      <c r="S125" s="126" t="n">
        <f aca="false">J125/$R$3</f>
        <v>0</v>
      </c>
      <c r="T125" s="126" t="n">
        <f aca="false">L125/$R$3</f>
        <v>0</v>
      </c>
      <c r="U125" s="126" t="n">
        <f aca="false">I125/$R$3</f>
        <v>-703.222</v>
      </c>
      <c r="V125" s="126" t="n">
        <f aca="false">M125/$R$3</f>
        <v>-703.222</v>
      </c>
      <c r="W125" s="126" t="n">
        <f aca="false">N125/$R$3</f>
        <v>-1471.918</v>
      </c>
    </row>
    <row r="126" customFormat="false" ht="13.5" hidden="true" customHeight="true" outlineLevel="0" collapsed="false">
      <c r="A126" s="120" t="n">
        <f aca="false">A125+1</f>
        <v>37012</v>
      </c>
      <c r="B126" s="131" t="str">
        <f aca="false">INDEX('Master Data'!$A$2:$B$8,MATCH(WEEKDAY('ARG Gas Transport'!A126,3),'Master Data'!$A$2:$A$8,0),2)</f>
        <v>T</v>
      </c>
      <c r="D126" s="124" t="n">
        <v>0</v>
      </c>
      <c r="E126" s="124" t="n">
        <v>0</v>
      </c>
      <c r="F126" s="124" t="n">
        <v>0</v>
      </c>
      <c r="G126" s="124" t="n">
        <v>19</v>
      </c>
      <c r="I126" s="124" t="n">
        <f aca="false">IF(MONTH($A126)=MONTH($A125),IF(G126=0,I125,G126),G126)</f>
        <v>19</v>
      </c>
      <c r="J126" s="124" t="n">
        <f aca="false">IF(MONTH($A126)=MONTH($A125),SUM(I126-I125),I126)</f>
        <v>19</v>
      </c>
      <c r="K126" s="124" t="n">
        <f aca="false">IF(WEEKDAY(A126,3)&gt;4,0,(IF(A126&lt;K$2,0,IF(A126&lt;=K$3,1,0))))</f>
        <v>0</v>
      </c>
      <c r="L126" s="124" t="n">
        <f aca="false">J126*K126</f>
        <v>0</v>
      </c>
      <c r="M126" s="124" t="n">
        <f aca="false">SUM(J$97:J126)</f>
        <v>-703203</v>
      </c>
      <c r="N126" s="124" t="n">
        <f aca="false">SUM(J$6:J126)</f>
        <v>-1471899</v>
      </c>
      <c r="P126" s="124" t="n">
        <f aca="false">D126/P$3</f>
        <v>0</v>
      </c>
      <c r="Q126" s="124" t="n">
        <f aca="false">E126/P$3</f>
        <v>0</v>
      </c>
      <c r="R126" s="124" t="n">
        <f aca="false">F126/R$3</f>
        <v>0</v>
      </c>
      <c r="S126" s="126" t="n">
        <f aca="false">J126/$R$3</f>
        <v>0.019</v>
      </c>
      <c r="T126" s="126" t="n">
        <f aca="false">L126/$R$3</f>
        <v>0</v>
      </c>
      <c r="U126" s="126" t="n">
        <f aca="false">I126/$R$3</f>
        <v>0.019</v>
      </c>
      <c r="V126" s="126" t="n">
        <f aca="false">M126/$R$3</f>
        <v>-703.203</v>
      </c>
      <c r="W126" s="126" t="n">
        <f aca="false">N126/$R$3</f>
        <v>-1471.899</v>
      </c>
    </row>
    <row r="127" customFormat="false" ht="13.5" hidden="true" customHeight="true" outlineLevel="0" collapsed="false">
      <c r="A127" s="120" t="n">
        <f aca="false">A126+1</f>
        <v>37013</v>
      </c>
      <c r="B127" s="131" t="str">
        <f aca="false">INDEX('Master Data'!$A$2:$B$8,MATCH(WEEKDAY('ARG Gas Transport'!A127,3),'Master Data'!$A$2:$A$8,0),2)</f>
        <v>W</v>
      </c>
      <c r="D127" s="124" t="n">
        <v>0</v>
      </c>
      <c r="E127" s="124" t="n">
        <v>0</v>
      </c>
      <c r="F127" s="124" t="n">
        <v>0</v>
      </c>
      <c r="G127" s="124" t="n">
        <v>19</v>
      </c>
      <c r="I127" s="124" t="n">
        <f aca="false">IF(MONTH($A127)=MONTH($A126),IF(G127=0,I126,G127),G127)</f>
        <v>19</v>
      </c>
      <c r="J127" s="124" t="n">
        <f aca="false">IF(MONTH($A127)=MONTH($A126),SUM(I127-I126),I127)</f>
        <v>0</v>
      </c>
      <c r="K127" s="124" t="n">
        <f aca="false">IF(WEEKDAY(A127,3)&gt;4,0,(IF(A127&lt;K$2,0,IF(A127&lt;=K$3,1,0))))</f>
        <v>0</v>
      </c>
      <c r="L127" s="124" t="n">
        <f aca="false">J127*K127</f>
        <v>0</v>
      </c>
      <c r="M127" s="124" t="n">
        <f aca="false">SUM(J$97:J127)</f>
        <v>-703203</v>
      </c>
      <c r="N127" s="124" t="n">
        <f aca="false">SUM(J$6:J127)</f>
        <v>-1471899</v>
      </c>
      <c r="P127" s="124" t="n">
        <f aca="false">D127/P$3</f>
        <v>0</v>
      </c>
      <c r="Q127" s="124" t="n">
        <f aca="false">E127/P$3</f>
        <v>0</v>
      </c>
      <c r="R127" s="124" t="n">
        <f aca="false">F127/R$3</f>
        <v>0</v>
      </c>
      <c r="S127" s="126" t="n">
        <f aca="false">J127/$R$3</f>
        <v>0</v>
      </c>
      <c r="T127" s="126" t="n">
        <f aca="false">L127/$R$3</f>
        <v>0</v>
      </c>
      <c r="U127" s="126" t="n">
        <f aca="false">I127/$R$3</f>
        <v>0.019</v>
      </c>
      <c r="V127" s="126" t="n">
        <f aca="false">M127/$R$3</f>
        <v>-703.203</v>
      </c>
      <c r="W127" s="126" t="n">
        <f aca="false">N127/$R$3</f>
        <v>-1471.899</v>
      </c>
    </row>
    <row r="128" customFormat="false" ht="13.5" hidden="true" customHeight="true" outlineLevel="0" collapsed="false">
      <c r="A128" s="120" t="n">
        <f aca="false">A127+1</f>
        <v>37014</v>
      </c>
      <c r="B128" s="131" t="str">
        <f aca="false">INDEX('Master Data'!$A$2:$B$8,MATCH(WEEKDAY('ARG Gas Transport'!A128,3),'Master Data'!$A$2:$A$8,0),2)</f>
        <v>Th</v>
      </c>
      <c r="D128" s="124" t="n">
        <v>0</v>
      </c>
      <c r="E128" s="124" t="n">
        <v>0</v>
      </c>
      <c r="F128" s="124" t="n">
        <v>0</v>
      </c>
      <c r="G128" s="124" t="n">
        <v>22</v>
      </c>
      <c r="I128" s="124" t="n">
        <f aca="false">IF(MONTH($A128)=MONTH($A127),IF(G128=0,I127,G128),G128)</f>
        <v>22</v>
      </c>
      <c r="J128" s="124" t="n">
        <f aca="false">IF(MONTH($A128)=MONTH($A127),SUM(I128-I127),I128)</f>
        <v>3</v>
      </c>
      <c r="K128" s="124" t="n">
        <f aca="false">IF(WEEKDAY(A128,3)&gt;4,0,(IF(A128&lt;K$2,0,IF(A128&lt;=K$3,1,0))))</f>
        <v>0</v>
      </c>
      <c r="L128" s="124" t="n">
        <f aca="false">J128*K128</f>
        <v>0</v>
      </c>
      <c r="M128" s="124" t="n">
        <f aca="false">SUM(J$97:J128)</f>
        <v>-703200</v>
      </c>
      <c r="N128" s="124" t="n">
        <f aca="false">SUM(J$6:J128)</f>
        <v>-1471896</v>
      </c>
      <c r="P128" s="124" t="n">
        <f aca="false">D128/P$3</f>
        <v>0</v>
      </c>
      <c r="Q128" s="124" t="n">
        <f aca="false">E128/P$3</f>
        <v>0</v>
      </c>
      <c r="R128" s="124" t="n">
        <f aca="false">F128/R$3</f>
        <v>0</v>
      </c>
      <c r="S128" s="126" t="n">
        <f aca="false">J128/$R$3</f>
        <v>0.003</v>
      </c>
      <c r="T128" s="126" t="n">
        <f aca="false">L128/$R$3</f>
        <v>0</v>
      </c>
      <c r="U128" s="126" t="n">
        <f aca="false">I128/$R$3</f>
        <v>0.022</v>
      </c>
      <c r="V128" s="126" t="n">
        <f aca="false">M128/$R$3</f>
        <v>-703.2</v>
      </c>
      <c r="W128" s="126" t="n">
        <f aca="false">N128/$R$3</f>
        <v>-1471.896</v>
      </c>
    </row>
    <row r="129" customFormat="false" ht="13.5" hidden="true" customHeight="true" outlineLevel="0" collapsed="false">
      <c r="A129" s="120" t="n">
        <f aca="false">A128+1</f>
        <v>37015</v>
      </c>
      <c r="B129" s="131" t="str">
        <f aca="false">INDEX('Master Data'!$A$2:$B$8,MATCH(WEEKDAY('ARG Gas Transport'!A129,3),'Master Data'!$A$2:$A$8,0),2)</f>
        <v>F</v>
      </c>
      <c r="D129" s="124" t="n">
        <v>0</v>
      </c>
      <c r="E129" s="124" t="n">
        <v>0</v>
      </c>
      <c r="F129" s="124" t="n">
        <v>0</v>
      </c>
      <c r="G129" s="124" t="n">
        <v>22</v>
      </c>
      <c r="I129" s="124" t="n">
        <f aca="false">IF(MONTH($A129)=MONTH($A128),IF(G129=0,I128,G129),G129)</f>
        <v>22</v>
      </c>
      <c r="J129" s="124" t="n">
        <f aca="false">IF(MONTH($A129)=MONTH($A128),SUM(I129-I128),I129)</f>
        <v>0</v>
      </c>
      <c r="K129" s="124" t="n">
        <f aca="false">IF(WEEKDAY(A129,3)&gt;4,0,(IF(A129&lt;K$2,0,IF(A129&lt;=K$3,1,0))))</f>
        <v>0</v>
      </c>
      <c r="L129" s="124" t="n">
        <f aca="false">J129*K129</f>
        <v>0</v>
      </c>
      <c r="M129" s="124" t="n">
        <f aca="false">SUM(J$97:J129)</f>
        <v>-703200</v>
      </c>
      <c r="N129" s="124" t="n">
        <f aca="false">SUM(J$6:J129)</f>
        <v>-1471896</v>
      </c>
      <c r="P129" s="124" t="n">
        <f aca="false">D129/P$3</f>
        <v>0</v>
      </c>
      <c r="Q129" s="124" t="n">
        <f aca="false">E129/P$3</f>
        <v>0</v>
      </c>
      <c r="R129" s="124" t="n">
        <f aca="false">F129/R$3</f>
        <v>0</v>
      </c>
      <c r="S129" s="126" t="n">
        <f aca="false">J129/$R$3</f>
        <v>0</v>
      </c>
      <c r="T129" s="126" t="n">
        <f aca="false">L129/$R$3</f>
        <v>0</v>
      </c>
      <c r="U129" s="126" t="n">
        <f aca="false">I129/$R$3</f>
        <v>0.022</v>
      </c>
      <c r="V129" s="126" t="n">
        <f aca="false">M129/$R$3</f>
        <v>-703.2</v>
      </c>
      <c r="W129" s="126" t="n">
        <f aca="false">N129/$R$3</f>
        <v>-1471.896</v>
      </c>
    </row>
    <row r="130" customFormat="false" ht="13.5" hidden="true" customHeight="true" outlineLevel="0" collapsed="false">
      <c r="A130" s="120" t="n">
        <f aca="false">A129+1</f>
        <v>37016</v>
      </c>
      <c r="B130" s="131" t="str">
        <f aca="false">INDEX('Master Data'!$A$2:$B$8,MATCH(WEEKDAY('ARG Gas Transport'!A130,3),'Master Data'!$A$2:$A$8,0),2)</f>
        <v>Sa</v>
      </c>
      <c r="D130" s="124" t="n">
        <v>0</v>
      </c>
      <c r="E130" s="124" t="n">
        <v>0</v>
      </c>
      <c r="F130" s="124" t="n">
        <v>0</v>
      </c>
      <c r="G130" s="124" t="n">
        <v>0</v>
      </c>
      <c r="I130" s="124" t="n">
        <f aca="false">IF(MONTH($A130)=MONTH($A129),IF(G130=0,I129,G130),G130)</f>
        <v>22</v>
      </c>
      <c r="J130" s="124" t="n">
        <f aca="false">IF(MONTH($A130)=MONTH($A129),SUM(I130-I129),I130)</f>
        <v>0</v>
      </c>
      <c r="K130" s="124" t="n">
        <f aca="false">IF(WEEKDAY(A130,3)&gt;4,0,(IF(A130&lt;K$2,0,IF(A130&lt;=K$3,1,0))))</f>
        <v>0</v>
      </c>
      <c r="L130" s="124" t="n">
        <f aca="false">J130*K130</f>
        <v>0</v>
      </c>
      <c r="M130" s="124" t="n">
        <f aca="false">SUM(J$97:J130)</f>
        <v>-703200</v>
      </c>
      <c r="N130" s="124" t="n">
        <f aca="false">SUM(J$6:J130)</f>
        <v>-1471896</v>
      </c>
      <c r="P130" s="124" t="n">
        <f aca="false">D130/P$3</f>
        <v>0</v>
      </c>
      <c r="Q130" s="124" t="n">
        <f aca="false">E130/P$3</f>
        <v>0</v>
      </c>
      <c r="R130" s="124" t="n">
        <f aca="false">F130/R$3</f>
        <v>0</v>
      </c>
      <c r="S130" s="126" t="n">
        <f aca="false">J130/$R$3</f>
        <v>0</v>
      </c>
      <c r="T130" s="126" t="n">
        <f aca="false">L130/$R$3</f>
        <v>0</v>
      </c>
      <c r="U130" s="126" t="n">
        <f aca="false">I130/$R$3</f>
        <v>0.022</v>
      </c>
      <c r="V130" s="126" t="n">
        <f aca="false">M130/$R$3</f>
        <v>-703.2</v>
      </c>
      <c r="W130" s="126" t="n">
        <f aca="false">N130/$R$3</f>
        <v>-1471.896</v>
      </c>
    </row>
    <row r="131" customFormat="false" ht="13.5" hidden="true" customHeight="true" outlineLevel="0" collapsed="false">
      <c r="A131" s="120" t="n">
        <f aca="false">A130+1</f>
        <v>37017</v>
      </c>
      <c r="B131" s="131" t="str">
        <f aca="false">INDEX('Master Data'!$A$2:$B$8,MATCH(WEEKDAY('ARG Gas Transport'!A131,3),'Master Data'!$A$2:$A$8,0),2)</f>
        <v>Su</v>
      </c>
      <c r="D131" s="124" t="n">
        <v>0</v>
      </c>
      <c r="E131" s="124" t="n">
        <v>0</v>
      </c>
      <c r="F131" s="124" t="n">
        <v>0</v>
      </c>
      <c r="G131" s="124" t="n">
        <v>0</v>
      </c>
      <c r="I131" s="124" t="n">
        <f aca="false">IF(MONTH($A131)=MONTH($A130),IF(G131=0,I130,G131),G131)</f>
        <v>22</v>
      </c>
      <c r="J131" s="124" t="n">
        <f aca="false">IF(MONTH($A131)=MONTH($A130),SUM(I131-I130),I131)</f>
        <v>0</v>
      </c>
      <c r="K131" s="124" t="n">
        <f aca="false">IF(WEEKDAY(A131,3)&gt;4,0,(IF(A131&lt;K$2,0,IF(A131&lt;=K$3,1,0))))</f>
        <v>0</v>
      </c>
      <c r="L131" s="124" t="n">
        <f aca="false">J131*K131</f>
        <v>0</v>
      </c>
      <c r="M131" s="124" t="n">
        <f aca="false">SUM(J$97:J131)</f>
        <v>-703200</v>
      </c>
      <c r="N131" s="124" t="n">
        <f aca="false">SUM(J$6:J131)</f>
        <v>-1471896</v>
      </c>
      <c r="P131" s="124" t="n">
        <f aca="false">D131/P$3</f>
        <v>0</v>
      </c>
      <c r="Q131" s="124" t="n">
        <f aca="false">E131/P$3</f>
        <v>0</v>
      </c>
      <c r="R131" s="124" t="n">
        <f aca="false">F131/R$3</f>
        <v>0</v>
      </c>
      <c r="S131" s="126" t="n">
        <f aca="false">J131/$R$3</f>
        <v>0</v>
      </c>
      <c r="T131" s="126" t="n">
        <f aca="false">L131/$R$3</f>
        <v>0</v>
      </c>
      <c r="U131" s="126" t="n">
        <f aca="false">I131/$R$3</f>
        <v>0.022</v>
      </c>
      <c r="V131" s="126" t="n">
        <f aca="false">M131/$R$3</f>
        <v>-703.2</v>
      </c>
      <c r="W131" s="126" t="n">
        <f aca="false">N131/$R$3</f>
        <v>-1471.896</v>
      </c>
    </row>
    <row r="132" customFormat="false" ht="13.5" hidden="true" customHeight="true" outlineLevel="0" collapsed="false">
      <c r="A132" s="120" t="n">
        <f aca="false">A131+1</f>
        <v>37018</v>
      </c>
      <c r="B132" s="131" t="str">
        <f aca="false">INDEX('Master Data'!$A$2:$B$8,MATCH(WEEKDAY('ARG Gas Transport'!A132,3),'Master Data'!$A$2:$A$8,0),2)</f>
        <v>M</v>
      </c>
      <c r="D132" s="124" t="n">
        <v>0</v>
      </c>
      <c r="E132" s="124" t="n">
        <v>0</v>
      </c>
      <c r="F132" s="124" t="n">
        <v>0</v>
      </c>
      <c r="G132" s="124" t="n">
        <v>24</v>
      </c>
      <c r="I132" s="124" t="n">
        <f aca="false">IF(MONTH($A132)=MONTH($A131),IF(G132=0,I131,G132),G132)</f>
        <v>24</v>
      </c>
      <c r="J132" s="124" t="n">
        <f aca="false">IF(MONTH($A132)=MONTH($A131),SUM(I132-I131),I132)</f>
        <v>2</v>
      </c>
      <c r="K132" s="124" t="n">
        <f aca="false">IF(WEEKDAY(A132,3)&gt;4,0,(IF(A132&lt;K$2,0,IF(A132&lt;=K$3,1,0))))</f>
        <v>0</v>
      </c>
      <c r="L132" s="124" t="n">
        <f aca="false">J132*K132</f>
        <v>0</v>
      </c>
      <c r="M132" s="124" t="n">
        <f aca="false">SUM(J$97:J132)</f>
        <v>-703198</v>
      </c>
      <c r="N132" s="124" t="n">
        <f aca="false">SUM(J$6:J132)</f>
        <v>-1471894</v>
      </c>
      <c r="P132" s="124" t="n">
        <f aca="false">D132/P$3</f>
        <v>0</v>
      </c>
      <c r="Q132" s="124" t="n">
        <f aca="false">E132/P$3</f>
        <v>0</v>
      </c>
      <c r="R132" s="124" t="n">
        <f aca="false">F132/R$3</f>
        <v>0</v>
      </c>
      <c r="S132" s="126" t="n">
        <f aca="false">J132/$R$3</f>
        <v>0.002</v>
      </c>
      <c r="T132" s="126" t="n">
        <f aca="false">L132/$R$3</f>
        <v>0</v>
      </c>
      <c r="U132" s="126" t="n">
        <f aca="false">I132/$R$3</f>
        <v>0.024</v>
      </c>
      <c r="V132" s="126" t="n">
        <f aca="false">M132/$R$3</f>
        <v>-703.198</v>
      </c>
      <c r="W132" s="126" t="n">
        <f aca="false">N132/$R$3</f>
        <v>-1471.894</v>
      </c>
    </row>
    <row r="133" customFormat="false" ht="13.5" hidden="true" customHeight="true" outlineLevel="0" collapsed="false">
      <c r="A133" s="120" t="n">
        <f aca="false">A132+1</f>
        <v>37019</v>
      </c>
      <c r="B133" s="131" t="str">
        <f aca="false">INDEX('Master Data'!$A$2:$B$8,MATCH(WEEKDAY('ARG Gas Transport'!A133,3),'Master Data'!$A$2:$A$8,0),2)</f>
        <v>T</v>
      </c>
      <c r="D133" s="124" t="n">
        <v>0</v>
      </c>
      <c r="E133" s="124" t="n">
        <v>0</v>
      </c>
      <c r="F133" s="124" t="n">
        <v>0</v>
      </c>
      <c r="G133" s="124" t="n">
        <v>25</v>
      </c>
      <c r="I133" s="124" t="n">
        <f aca="false">IF(MONTH($A133)=MONTH($A132),IF(G133=0,I132,G133),G133)</f>
        <v>25</v>
      </c>
      <c r="J133" s="124" t="n">
        <f aca="false">IF(MONTH($A133)=MONTH($A132),SUM(I133-I132),I133)</f>
        <v>1</v>
      </c>
      <c r="K133" s="124" t="n">
        <f aca="false">IF(WEEKDAY(A133,3)&gt;4,0,(IF(A133&lt;K$2,0,IF(A133&lt;=K$3,1,0))))</f>
        <v>0</v>
      </c>
      <c r="L133" s="124" t="n">
        <f aca="false">J133*K133</f>
        <v>0</v>
      </c>
      <c r="M133" s="124" t="n">
        <f aca="false">SUM(J$97:J133)</f>
        <v>-703197</v>
      </c>
      <c r="N133" s="124" t="n">
        <f aca="false">SUM(J$6:J133)</f>
        <v>-1471893</v>
      </c>
      <c r="P133" s="124" t="n">
        <f aca="false">D133/P$3</f>
        <v>0</v>
      </c>
      <c r="Q133" s="124" t="n">
        <f aca="false">E133/P$3</f>
        <v>0</v>
      </c>
      <c r="R133" s="124" t="n">
        <f aca="false">F133/R$3</f>
        <v>0</v>
      </c>
      <c r="S133" s="126" t="n">
        <f aca="false">J133/$R$3</f>
        <v>0.001</v>
      </c>
      <c r="T133" s="126" t="n">
        <f aca="false">L133/$R$3</f>
        <v>0</v>
      </c>
      <c r="U133" s="126" t="n">
        <f aca="false">I133/$R$3</f>
        <v>0.025</v>
      </c>
      <c r="V133" s="126" t="n">
        <f aca="false">M133/$R$3</f>
        <v>-703.197</v>
      </c>
      <c r="W133" s="126" t="n">
        <f aca="false">N133/$R$3</f>
        <v>-1471.893</v>
      </c>
    </row>
    <row r="134" customFormat="false" ht="13.5" hidden="true" customHeight="true" outlineLevel="0" collapsed="false">
      <c r="A134" s="120" t="n">
        <f aca="false">A133+1</f>
        <v>37020</v>
      </c>
      <c r="B134" s="131" t="str">
        <f aca="false">INDEX('Master Data'!$A$2:$B$8,MATCH(WEEKDAY('ARG Gas Transport'!A134,3),'Master Data'!$A$2:$A$8,0),2)</f>
        <v>W</v>
      </c>
      <c r="D134" s="124" t="n">
        <v>0</v>
      </c>
      <c r="E134" s="124" t="n">
        <v>0</v>
      </c>
      <c r="F134" s="124" t="n">
        <v>0</v>
      </c>
      <c r="G134" s="124" t="n">
        <v>25</v>
      </c>
      <c r="I134" s="124" t="n">
        <f aca="false">IF(MONTH($A134)=MONTH($A133),IF(G134=0,I133,G134),G134)</f>
        <v>25</v>
      </c>
      <c r="J134" s="124" t="n">
        <f aca="false">IF(MONTH($A134)=MONTH($A133),SUM(I134-I133),I134)</f>
        <v>0</v>
      </c>
      <c r="K134" s="124" t="n">
        <f aca="false">IF(WEEKDAY(A134,3)&gt;4,0,(IF(A134&lt;K$2,0,IF(A134&lt;=K$3,1,0))))</f>
        <v>0</v>
      </c>
      <c r="L134" s="124" t="n">
        <f aca="false">J134*K134</f>
        <v>0</v>
      </c>
      <c r="M134" s="124" t="n">
        <f aca="false">SUM(J$97:J134)</f>
        <v>-703197</v>
      </c>
      <c r="N134" s="124" t="n">
        <f aca="false">SUM(J$6:J134)</f>
        <v>-1471893</v>
      </c>
      <c r="P134" s="124" t="n">
        <f aca="false">D134/P$3</f>
        <v>0</v>
      </c>
      <c r="Q134" s="124" t="n">
        <f aca="false">E134/P$3</f>
        <v>0</v>
      </c>
      <c r="R134" s="124" t="n">
        <f aca="false">F134/R$3</f>
        <v>0</v>
      </c>
      <c r="S134" s="126" t="n">
        <f aca="false">J134/$R$3</f>
        <v>0</v>
      </c>
      <c r="T134" s="126" t="n">
        <f aca="false">L134/$R$3</f>
        <v>0</v>
      </c>
      <c r="U134" s="126" t="n">
        <f aca="false">I134/$R$3</f>
        <v>0.025</v>
      </c>
      <c r="V134" s="126" t="n">
        <f aca="false">M134/$R$3</f>
        <v>-703.197</v>
      </c>
      <c r="W134" s="126" t="n">
        <f aca="false">N134/$R$3</f>
        <v>-1471.893</v>
      </c>
    </row>
    <row r="135" customFormat="false" ht="13.5" hidden="true" customHeight="true" outlineLevel="0" collapsed="false">
      <c r="A135" s="120" t="n">
        <f aca="false">A134+1</f>
        <v>37021</v>
      </c>
      <c r="B135" s="131" t="str">
        <f aca="false">INDEX('Master Data'!$A$2:$B$8,MATCH(WEEKDAY('ARG Gas Transport'!A135,3),'Master Data'!$A$2:$A$8,0),2)</f>
        <v>Th</v>
      </c>
      <c r="D135" s="124" t="n">
        <v>0</v>
      </c>
      <c r="E135" s="124" t="n">
        <v>0</v>
      </c>
      <c r="F135" s="124" t="n">
        <v>0</v>
      </c>
      <c r="G135" s="124" t="n">
        <v>24</v>
      </c>
      <c r="I135" s="124" t="n">
        <f aca="false">IF(MONTH($A135)=MONTH($A134),IF(G135=0,I134,G135),G135)</f>
        <v>24</v>
      </c>
      <c r="J135" s="124" t="n">
        <f aca="false">IF(MONTH($A135)=MONTH($A134),SUM(I135-I134),I135)</f>
        <v>-1</v>
      </c>
      <c r="K135" s="124" t="n">
        <f aca="false">IF(WEEKDAY(A135,3)&gt;4,0,(IF(A135&lt;K$2,0,IF(A135&lt;=K$3,1,0))))</f>
        <v>0</v>
      </c>
      <c r="L135" s="124" t="n">
        <f aca="false">J135*K135</f>
        <v>-0</v>
      </c>
      <c r="M135" s="124" t="n">
        <f aca="false">SUM(J$97:J135)</f>
        <v>-703198</v>
      </c>
      <c r="N135" s="124" t="n">
        <f aca="false">SUM(J$6:J135)</f>
        <v>-1471894</v>
      </c>
      <c r="P135" s="124" t="n">
        <f aca="false">D135/P$3</f>
        <v>0</v>
      </c>
      <c r="Q135" s="124" t="n">
        <f aca="false">E135/P$3</f>
        <v>0</v>
      </c>
      <c r="R135" s="124" t="n">
        <f aca="false">F135/R$3</f>
        <v>0</v>
      </c>
      <c r="S135" s="126" t="n">
        <f aca="false">J135/$R$3</f>
        <v>-0.001</v>
      </c>
      <c r="T135" s="126" t="n">
        <f aca="false">L135/$R$3</f>
        <v>-0</v>
      </c>
      <c r="U135" s="126" t="n">
        <f aca="false">I135/$R$3</f>
        <v>0.024</v>
      </c>
      <c r="V135" s="126" t="n">
        <f aca="false">M135/$R$3</f>
        <v>-703.198</v>
      </c>
      <c r="W135" s="126" t="n">
        <f aca="false">N135/$R$3</f>
        <v>-1471.894</v>
      </c>
    </row>
    <row r="136" customFormat="false" ht="13.5" hidden="true" customHeight="true" outlineLevel="0" collapsed="false">
      <c r="A136" s="120" t="n">
        <f aca="false">A135+1</f>
        <v>37022</v>
      </c>
      <c r="B136" s="131" t="str">
        <f aca="false">INDEX('Master Data'!$A$2:$B$8,MATCH(WEEKDAY('ARG Gas Transport'!A136,3),'Master Data'!$A$2:$A$8,0),2)</f>
        <v>F</v>
      </c>
      <c r="D136" s="124" t="n">
        <v>0</v>
      </c>
      <c r="E136" s="124" t="n">
        <v>0</v>
      </c>
      <c r="F136" s="124" t="n">
        <v>0</v>
      </c>
      <c r="G136" s="124" t="n">
        <v>22</v>
      </c>
      <c r="I136" s="124" t="n">
        <f aca="false">IF(MONTH($A136)=MONTH($A135),IF(G136=0,I135,G136),G136)</f>
        <v>22</v>
      </c>
      <c r="J136" s="124" t="n">
        <f aca="false">IF(MONTH($A136)=MONTH($A135),SUM(I136-I135),I136)</f>
        <v>-2</v>
      </c>
      <c r="K136" s="124" t="n">
        <f aca="false">IF(WEEKDAY(A136,3)&gt;4,0,(IF(A136&lt;K$2,0,IF(A136&lt;=K$3,1,0))))</f>
        <v>0</v>
      </c>
      <c r="L136" s="124" t="n">
        <f aca="false">J136*K136</f>
        <v>-0</v>
      </c>
      <c r="M136" s="124" t="n">
        <f aca="false">SUM(J$97:J136)</f>
        <v>-703200</v>
      </c>
      <c r="N136" s="124" t="n">
        <f aca="false">SUM(J$6:J136)</f>
        <v>-1471896</v>
      </c>
      <c r="P136" s="124" t="n">
        <f aca="false">D136/P$3</f>
        <v>0</v>
      </c>
      <c r="Q136" s="124" t="n">
        <f aca="false">E136/P$3</f>
        <v>0</v>
      </c>
      <c r="R136" s="124" t="n">
        <f aca="false">F136/R$3</f>
        <v>0</v>
      </c>
      <c r="S136" s="126" t="n">
        <f aca="false">J136/$R$3</f>
        <v>-0.002</v>
      </c>
      <c r="T136" s="126" t="n">
        <f aca="false">L136/$R$3</f>
        <v>-0</v>
      </c>
      <c r="U136" s="126" t="n">
        <f aca="false">I136/$R$3</f>
        <v>0.022</v>
      </c>
      <c r="V136" s="126" t="n">
        <f aca="false">M136/$R$3</f>
        <v>-703.2</v>
      </c>
      <c r="W136" s="126" t="n">
        <f aca="false">N136/$R$3</f>
        <v>-1471.896</v>
      </c>
    </row>
    <row r="137" customFormat="false" ht="13.5" hidden="true" customHeight="true" outlineLevel="0" collapsed="false">
      <c r="A137" s="120" t="n">
        <f aca="false">A136+1</f>
        <v>37023</v>
      </c>
      <c r="B137" s="131" t="str">
        <f aca="false">INDEX('Master Data'!$A$2:$B$8,MATCH(WEEKDAY('ARG Gas Transport'!A137,3),'Master Data'!$A$2:$A$8,0),2)</f>
        <v>Sa</v>
      </c>
      <c r="D137" s="124"/>
      <c r="E137" s="124"/>
      <c r="F137" s="124"/>
      <c r="G137" s="124"/>
      <c r="I137" s="124" t="n">
        <f aca="false">IF(MONTH($A137)=MONTH($A136),IF(G137=0,I136,G137),G137)</f>
        <v>22</v>
      </c>
      <c r="J137" s="124" t="n">
        <f aca="false">IF(MONTH($A137)=MONTH($A136),SUM(I137-I136),I137)</f>
        <v>0</v>
      </c>
      <c r="K137" s="124" t="n">
        <f aca="false">IF(WEEKDAY(A137,3)&gt;4,0,(IF(A137&lt;K$2,0,IF(A137&lt;=K$3,1,0))))</f>
        <v>0</v>
      </c>
      <c r="L137" s="124" t="n">
        <f aca="false">J137*K137</f>
        <v>0</v>
      </c>
      <c r="M137" s="124" t="n">
        <f aca="false">SUM(J$97:J137)</f>
        <v>-703200</v>
      </c>
      <c r="N137" s="124" t="n">
        <f aca="false">SUM(J$6:J137)</f>
        <v>-1471896</v>
      </c>
      <c r="P137" s="124" t="n">
        <f aca="false">D137/P$3</f>
        <v>0</v>
      </c>
      <c r="Q137" s="124" t="n">
        <f aca="false">E137/P$3</f>
        <v>0</v>
      </c>
      <c r="R137" s="124" t="n">
        <f aca="false">F137/R$3</f>
        <v>0</v>
      </c>
      <c r="S137" s="126" t="n">
        <f aca="false">J137/$R$3</f>
        <v>0</v>
      </c>
      <c r="T137" s="126" t="n">
        <f aca="false">L137/$R$3</f>
        <v>0</v>
      </c>
      <c r="U137" s="126" t="n">
        <f aca="false">I137/$R$3</f>
        <v>0.022</v>
      </c>
      <c r="V137" s="126" t="n">
        <f aca="false">M137/$R$3</f>
        <v>-703.2</v>
      </c>
      <c r="W137" s="126" t="n">
        <f aca="false">N137/$R$3</f>
        <v>-1471.896</v>
      </c>
    </row>
    <row r="138" customFormat="false" ht="13.5" hidden="true" customHeight="true" outlineLevel="0" collapsed="false">
      <c r="A138" s="120" t="n">
        <f aca="false">A137+1</f>
        <v>37024</v>
      </c>
      <c r="B138" s="131" t="str">
        <f aca="false">INDEX('Master Data'!$A$2:$B$8,MATCH(WEEKDAY('ARG Gas Transport'!A138,3),'Master Data'!$A$2:$A$8,0),2)</f>
        <v>Su</v>
      </c>
      <c r="D138" s="124"/>
      <c r="E138" s="124"/>
      <c r="F138" s="124"/>
      <c r="G138" s="124"/>
      <c r="I138" s="124" t="n">
        <f aca="false">IF(MONTH($A138)=MONTH($A137),IF(G138=0,I137,G138),G138)</f>
        <v>22</v>
      </c>
      <c r="J138" s="124" t="n">
        <f aca="false">IF(MONTH($A138)=MONTH($A137),SUM(I138-I137),I138)</f>
        <v>0</v>
      </c>
      <c r="K138" s="124" t="n">
        <f aca="false">IF(WEEKDAY(A138,3)&gt;4,0,(IF(A138&lt;K$2,0,IF(A138&lt;=K$3,1,0))))</f>
        <v>0</v>
      </c>
      <c r="L138" s="124" t="n">
        <f aca="false">J138*K138</f>
        <v>0</v>
      </c>
      <c r="M138" s="124" t="n">
        <f aca="false">SUM(J$97:J138)</f>
        <v>-703200</v>
      </c>
      <c r="N138" s="124" t="n">
        <f aca="false">SUM(J$6:J138)</f>
        <v>-1471896</v>
      </c>
      <c r="P138" s="124" t="n">
        <f aca="false">D138/P$3</f>
        <v>0</v>
      </c>
      <c r="Q138" s="124" t="n">
        <f aca="false">E138/P$3</f>
        <v>0</v>
      </c>
      <c r="R138" s="124" t="n">
        <f aca="false">F138/R$3</f>
        <v>0</v>
      </c>
      <c r="S138" s="126" t="n">
        <f aca="false">J138/$R$3</f>
        <v>0</v>
      </c>
      <c r="T138" s="126" t="n">
        <f aca="false">L138/$R$3</f>
        <v>0</v>
      </c>
      <c r="U138" s="126" t="n">
        <f aca="false">I138/$R$3</f>
        <v>0.022</v>
      </c>
      <c r="V138" s="126" t="n">
        <f aca="false">M138/$R$3</f>
        <v>-703.2</v>
      </c>
      <c r="W138" s="126" t="n">
        <f aca="false">N138/$R$3</f>
        <v>-1471.896</v>
      </c>
    </row>
    <row r="139" customFormat="false" ht="13.5" hidden="true" customHeight="true" outlineLevel="0" collapsed="false">
      <c r="A139" s="120" t="n">
        <f aca="false">A138+1</f>
        <v>37025</v>
      </c>
      <c r="B139" s="131" t="str">
        <f aca="false">INDEX('Master Data'!$A$2:$B$8,MATCH(WEEKDAY('ARG Gas Transport'!A139,3),'Master Data'!$A$2:$A$8,0),2)</f>
        <v>M</v>
      </c>
      <c r="D139" s="124" t="n">
        <v>0</v>
      </c>
      <c r="E139" s="124" t="n">
        <v>0</v>
      </c>
      <c r="F139" s="124" t="n">
        <v>0</v>
      </c>
      <c r="G139" s="124" t="n">
        <v>26</v>
      </c>
      <c r="I139" s="124" t="n">
        <f aca="false">IF(MONTH($A139)=MONTH($A138),IF(G139=0,I138,G139),G139)</f>
        <v>26</v>
      </c>
      <c r="J139" s="124" t="n">
        <f aca="false">IF(MONTH($A139)=MONTH($A138),SUM(I139-I138),I139)</f>
        <v>4</v>
      </c>
      <c r="K139" s="124" t="n">
        <f aca="false">IF(WEEKDAY(A139,3)&gt;4,0,(IF(A139&lt;K$2,0,IF(A139&lt;=K$3,1,0))))</f>
        <v>0</v>
      </c>
      <c r="L139" s="124" t="n">
        <f aca="false">J139*K139</f>
        <v>0</v>
      </c>
      <c r="M139" s="124" t="n">
        <f aca="false">SUM(J$97:J139)</f>
        <v>-703196</v>
      </c>
      <c r="N139" s="124" t="n">
        <f aca="false">SUM(J$6:J139)</f>
        <v>-1471892</v>
      </c>
      <c r="P139" s="124" t="n">
        <f aca="false">D139/P$3</f>
        <v>0</v>
      </c>
      <c r="Q139" s="124" t="n">
        <f aca="false">E139/P$3</f>
        <v>0</v>
      </c>
      <c r="R139" s="124" t="n">
        <f aca="false">F139/R$3</f>
        <v>0</v>
      </c>
      <c r="S139" s="126" t="n">
        <f aca="false">J139/$R$3</f>
        <v>0.004</v>
      </c>
      <c r="T139" s="126" t="n">
        <f aca="false">L139/$R$3</f>
        <v>0</v>
      </c>
      <c r="U139" s="126" t="n">
        <f aca="false">I139/$R$3</f>
        <v>0.026</v>
      </c>
      <c r="V139" s="126" t="n">
        <f aca="false">M139/$R$3</f>
        <v>-703.196</v>
      </c>
      <c r="W139" s="126" t="n">
        <f aca="false">N139/$R$3</f>
        <v>-1471.892</v>
      </c>
    </row>
    <row r="140" customFormat="false" ht="13.5" hidden="true" customHeight="true" outlineLevel="0" collapsed="false">
      <c r="A140" s="120" t="n">
        <f aca="false">A139+1</f>
        <v>37026</v>
      </c>
      <c r="B140" s="131" t="str">
        <f aca="false">INDEX('Master Data'!$A$2:$B$8,MATCH(WEEKDAY('ARG Gas Transport'!A140,3),'Master Data'!$A$2:$A$8,0),2)</f>
        <v>T</v>
      </c>
      <c r="D140" s="124" t="n">
        <v>0</v>
      </c>
      <c r="E140" s="124" t="n">
        <v>0</v>
      </c>
      <c r="F140" s="124" t="n">
        <v>0</v>
      </c>
      <c r="G140" s="124" t="n">
        <v>27</v>
      </c>
      <c r="I140" s="124" t="n">
        <f aca="false">IF(MONTH($A140)=MONTH($A139),IF(G140=0,I139,G140),G140)</f>
        <v>27</v>
      </c>
      <c r="J140" s="124" t="n">
        <f aca="false">IF(MONTH($A140)=MONTH($A139),SUM(I140-I139),I140)</f>
        <v>1</v>
      </c>
      <c r="K140" s="124" t="n">
        <f aca="false">IF(WEEKDAY(A140,3)&gt;4,0,(IF(A140&lt;K$2,0,IF(A140&lt;=K$3,1,0))))</f>
        <v>0</v>
      </c>
      <c r="L140" s="124" t="n">
        <f aca="false">J140*K140</f>
        <v>0</v>
      </c>
      <c r="M140" s="124" t="n">
        <f aca="false">SUM(J$97:J140)</f>
        <v>-703195</v>
      </c>
      <c r="N140" s="124" t="n">
        <f aca="false">SUM(J$6:J140)</f>
        <v>-1471891</v>
      </c>
      <c r="P140" s="124" t="n">
        <f aca="false">D140/P$3</f>
        <v>0</v>
      </c>
      <c r="Q140" s="124" t="n">
        <f aca="false">E140/P$3</f>
        <v>0</v>
      </c>
      <c r="R140" s="124" t="n">
        <f aca="false">F140/R$3</f>
        <v>0</v>
      </c>
      <c r="S140" s="126" t="n">
        <f aca="false">J140/$R$3</f>
        <v>0.001</v>
      </c>
      <c r="T140" s="126" t="n">
        <f aca="false">L140/$R$3</f>
        <v>0</v>
      </c>
      <c r="U140" s="126" t="n">
        <f aca="false">I140/$R$3</f>
        <v>0.027</v>
      </c>
      <c r="V140" s="126" t="n">
        <f aca="false">M140/$R$3</f>
        <v>-703.195</v>
      </c>
      <c r="W140" s="126" t="n">
        <f aca="false">N140/$R$3</f>
        <v>-1471.891</v>
      </c>
    </row>
    <row r="141" customFormat="false" ht="13.5" hidden="true" customHeight="true" outlineLevel="0" collapsed="false">
      <c r="A141" s="120" t="n">
        <f aca="false">A140+1</f>
        <v>37027</v>
      </c>
      <c r="B141" s="131" t="str">
        <f aca="false">INDEX('Master Data'!$A$2:$B$8,MATCH(WEEKDAY('ARG Gas Transport'!A141,3),'Master Data'!$A$2:$A$8,0),2)</f>
        <v>W</v>
      </c>
      <c r="D141" s="124" t="n">
        <v>0</v>
      </c>
      <c r="E141" s="124" t="n">
        <v>0</v>
      </c>
      <c r="F141" s="124" t="n">
        <v>0</v>
      </c>
      <c r="G141" s="124" t="n">
        <v>27</v>
      </c>
      <c r="I141" s="124" t="n">
        <f aca="false">IF(MONTH($A141)=MONTH($A140),IF(G141=0,I140,G141),G141)</f>
        <v>27</v>
      </c>
      <c r="J141" s="124" t="n">
        <f aca="false">IF(MONTH($A141)=MONTH($A140),SUM(I141-I140),I141)</f>
        <v>0</v>
      </c>
      <c r="K141" s="124" t="n">
        <f aca="false">IF(WEEKDAY(A141,3)&gt;4,0,(IF(A141&lt;K$2,0,IF(A141&lt;=K$3,1,0))))</f>
        <v>0</v>
      </c>
      <c r="L141" s="124" t="n">
        <f aca="false">J141*K141</f>
        <v>0</v>
      </c>
      <c r="M141" s="124" t="n">
        <f aca="false">SUM(J$97:J141)</f>
        <v>-703195</v>
      </c>
      <c r="N141" s="124" t="n">
        <f aca="false">SUM(J$6:J141)</f>
        <v>-1471891</v>
      </c>
      <c r="P141" s="124" t="n">
        <f aca="false">D141/P$3</f>
        <v>0</v>
      </c>
      <c r="Q141" s="124" t="n">
        <f aca="false">E141/P$3</f>
        <v>0</v>
      </c>
      <c r="R141" s="124" t="n">
        <f aca="false">F141/R$3</f>
        <v>0</v>
      </c>
      <c r="S141" s="126" t="n">
        <f aca="false">J141/$R$3</f>
        <v>0</v>
      </c>
      <c r="T141" s="126" t="n">
        <f aca="false">L141/$R$3</f>
        <v>0</v>
      </c>
      <c r="U141" s="126" t="n">
        <f aca="false">I141/$R$3</f>
        <v>0.027</v>
      </c>
      <c r="V141" s="126" t="n">
        <f aca="false">M141/$R$3</f>
        <v>-703.195</v>
      </c>
      <c r="W141" s="126" t="n">
        <f aca="false">N141/$R$3</f>
        <v>-1471.891</v>
      </c>
    </row>
    <row r="142" customFormat="false" ht="13.5" hidden="true" customHeight="true" outlineLevel="0" collapsed="false">
      <c r="A142" s="120" t="n">
        <f aca="false">A141+1</f>
        <v>37028</v>
      </c>
      <c r="B142" s="131" t="str">
        <f aca="false">INDEX('Master Data'!$A$2:$B$8,MATCH(WEEKDAY('ARG Gas Transport'!A142,3),'Master Data'!$A$2:$A$8,0),2)</f>
        <v>Th</v>
      </c>
      <c r="D142" s="124" t="n">
        <v>0</v>
      </c>
      <c r="E142" s="124" t="n">
        <v>0</v>
      </c>
      <c r="F142" s="124" t="n">
        <v>0</v>
      </c>
      <c r="G142" s="124" t="n">
        <v>26</v>
      </c>
      <c r="I142" s="124" t="n">
        <f aca="false">IF(MONTH($A142)=MONTH($A141),IF(G142=0,I141,G142),G142)</f>
        <v>26</v>
      </c>
      <c r="J142" s="124" t="n">
        <f aca="false">IF(MONTH($A142)=MONTH($A141),SUM(I142-I141),I142)</f>
        <v>-1</v>
      </c>
      <c r="K142" s="124" t="n">
        <f aca="false">IF(WEEKDAY(A142,3)&gt;4,0,(IF(A142&lt;K$2,0,IF(A142&lt;=K$3,1,0))))</f>
        <v>0</v>
      </c>
      <c r="L142" s="124" t="n">
        <f aca="false">J142*K142</f>
        <v>-0</v>
      </c>
      <c r="M142" s="124" t="n">
        <f aca="false">SUM(J$97:J142)</f>
        <v>-703196</v>
      </c>
      <c r="N142" s="124" t="n">
        <f aca="false">SUM(J$6:J142)</f>
        <v>-1471892</v>
      </c>
      <c r="P142" s="124" t="n">
        <f aca="false">D142/P$3</f>
        <v>0</v>
      </c>
      <c r="Q142" s="124" t="n">
        <f aca="false">E142/P$3</f>
        <v>0</v>
      </c>
      <c r="R142" s="124" t="n">
        <f aca="false">F142/R$3</f>
        <v>0</v>
      </c>
      <c r="S142" s="126" t="n">
        <f aca="false">J142/$R$3</f>
        <v>-0.001</v>
      </c>
      <c r="T142" s="126" t="n">
        <f aca="false">L142/$R$3</f>
        <v>-0</v>
      </c>
      <c r="U142" s="126" t="n">
        <f aca="false">I142/$R$3</f>
        <v>0.026</v>
      </c>
      <c r="V142" s="126" t="n">
        <f aca="false">M142/$R$3</f>
        <v>-703.196</v>
      </c>
      <c r="W142" s="126" t="n">
        <f aca="false">N142/$R$3</f>
        <v>-1471.892</v>
      </c>
    </row>
    <row r="143" customFormat="false" ht="13.5" hidden="true" customHeight="true" outlineLevel="0" collapsed="false">
      <c r="A143" s="120" t="n">
        <f aca="false">A142+1</f>
        <v>37029</v>
      </c>
      <c r="B143" s="131" t="str">
        <f aca="false">INDEX('Master Data'!$A$2:$B$8,MATCH(WEEKDAY('ARG Gas Transport'!A143,3),'Master Data'!$A$2:$A$8,0),2)</f>
        <v>F</v>
      </c>
      <c r="D143" s="124" t="n">
        <v>0</v>
      </c>
      <c r="E143" s="124" t="n">
        <v>0</v>
      </c>
      <c r="F143" s="124" t="n">
        <v>0</v>
      </c>
      <c r="G143" s="124" t="n">
        <v>-62011</v>
      </c>
      <c r="I143" s="124" t="n">
        <f aca="false">IF(MONTH($A143)=MONTH($A142),IF(G143=0,I142,G143),G143)</f>
        <v>-62011</v>
      </c>
      <c r="J143" s="124" t="n">
        <f aca="false">IF(MONTH($A143)=MONTH($A142),SUM(I143-I142),I143)</f>
        <v>-62037</v>
      </c>
      <c r="K143" s="124" t="n">
        <f aca="false">IF(WEEKDAY(A143,3)&gt;4,0,(IF(A143&lt;K$2,0,IF(A143&lt;=K$3,1,0))))</f>
        <v>0</v>
      </c>
      <c r="L143" s="124" t="n">
        <f aca="false">J143*K143</f>
        <v>-0</v>
      </c>
      <c r="M143" s="124" t="n">
        <f aca="false">SUM(J$97:J143)</f>
        <v>-765233</v>
      </c>
      <c r="N143" s="124" t="n">
        <f aca="false">SUM(J$6:J143)</f>
        <v>-1533929</v>
      </c>
      <c r="P143" s="124" t="n">
        <f aca="false">D143/P$3</f>
        <v>0</v>
      </c>
      <c r="Q143" s="124" t="n">
        <f aca="false">E143/P$3</f>
        <v>0</v>
      </c>
      <c r="R143" s="124" t="n">
        <f aca="false">F143/R$3</f>
        <v>0</v>
      </c>
      <c r="S143" s="126" t="n">
        <f aca="false">J143/$R$3</f>
        <v>-62.037</v>
      </c>
      <c r="T143" s="126" t="n">
        <f aca="false">L143/$R$3</f>
        <v>-0</v>
      </c>
      <c r="U143" s="126" t="n">
        <f aca="false">I143/$R$3</f>
        <v>-62.011</v>
      </c>
      <c r="V143" s="126" t="n">
        <f aca="false">M143/$R$3</f>
        <v>-765.233</v>
      </c>
      <c r="W143" s="126" t="n">
        <f aca="false">N143/$R$3</f>
        <v>-1533.929</v>
      </c>
    </row>
    <row r="144" customFormat="false" ht="13.5" hidden="true" customHeight="true" outlineLevel="0" collapsed="false">
      <c r="A144" s="120" t="n">
        <f aca="false">A143+1</f>
        <v>37030</v>
      </c>
      <c r="B144" s="131" t="str">
        <f aca="false">INDEX('Master Data'!$A$2:$B$8,MATCH(WEEKDAY('ARG Gas Transport'!A144,3),'Master Data'!$A$2:$A$8,0),2)</f>
        <v>Sa</v>
      </c>
      <c r="D144" s="124"/>
      <c r="E144" s="124"/>
      <c r="F144" s="124"/>
      <c r="G144" s="124"/>
      <c r="I144" s="124" t="n">
        <f aca="false">IF(MONTH($A144)=MONTH($A143),IF(G144=0,I143,G144),G144)</f>
        <v>-62011</v>
      </c>
      <c r="J144" s="124" t="n">
        <f aca="false">IF(MONTH($A144)=MONTH($A143),SUM(I144-I143),I144)</f>
        <v>0</v>
      </c>
      <c r="K144" s="124" t="n">
        <f aca="false">IF(WEEKDAY(A144,3)&gt;4,0,(IF(A144&lt;K$2,0,IF(A144&lt;=K$3,1,0))))</f>
        <v>0</v>
      </c>
      <c r="L144" s="124" t="n">
        <f aca="false">J144*K144</f>
        <v>0</v>
      </c>
      <c r="M144" s="124" t="n">
        <f aca="false">SUM(J$97:J144)</f>
        <v>-765233</v>
      </c>
      <c r="N144" s="124" t="n">
        <f aca="false">SUM(J$6:J144)</f>
        <v>-1533929</v>
      </c>
      <c r="P144" s="124" t="n">
        <f aca="false">D144/P$3</f>
        <v>0</v>
      </c>
      <c r="Q144" s="124" t="n">
        <f aca="false">E144/P$3</f>
        <v>0</v>
      </c>
      <c r="R144" s="124" t="n">
        <f aca="false">F144/R$3</f>
        <v>0</v>
      </c>
      <c r="S144" s="126" t="n">
        <f aca="false">J144/$R$3</f>
        <v>0</v>
      </c>
      <c r="T144" s="126" t="n">
        <f aca="false">L144/$R$3</f>
        <v>0</v>
      </c>
      <c r="U144" s="126" t="n">
        <f aca="false">I144/$R$3</f>
        <v>-62.011</v>
      </c>
      <c r="V144" s="126" t="n">
        <f aca="false">M144/$R$3</f>
        <v>-765.233</v>
      </c>
      <c r="W144" s="126" t="n">
        <f aca="false">N144/$R$3</f>
        <v>-1533.929</v>
      </c>
    </row>
    <row r="145" customFormat="false" ht="13.5" hidden="true" customHeight="true" outlineLevel="0" collapsed="false">
      <c r="A145" s="120" t="n">
        <f aca="false">A144+1</f>
        <v>37031</v>
      </c>
      <c r="B145" s="131" t="str">
        <f aca="false">INDEX('Master Data'!$A$2:$B$8,MATCH(WEEKDAY('ARG Gas Transport'!A145,3),'Master Data'!$A$2:$A$8,0),2)</f>
        <v>Su</v>
      </c>
      <c r="D145" s="124"/>
      <c r="E145" s="124"/>
      <c r="F145" s="124"/>
      <c r="G145" s="124"/>
      <c r="I145" s="124" t="n">
        <f aca="false">IF(MONTH($A145)=MONTH($A144),IF(G145=0,I144,G145),G145)</f>
        <v>-62011</v>
      </c>
      <c r="J145" s="124" t="n">
        <f aca="false">IF(MONTH($A145)=MONTH($A144),SUM(I145-I144),I145)</f>
        <v>0</v>
      </c>
      <c r="K145" s="124" t="n">
        <f aca="false">IF(WEEKDAY(A145,3)&gt;4,0,(IF(A145&lt;K$2,0,IF(A145&lt;=K$3,1,0))))</f>
        <v>0</v>
      </c>
      <c r="L145" s="124" t="n">
        <f aca="false">J145*K145</f>
        <v>0</v>
      </c>
      <c r="M145" s="124" t="n">
        <f aca="false">SUM(J$97:J145)</f>
        <v>-765233</v>
      </c>
      <c r="N145" s="124" t="n">
        <f aca="false">SUM(J$6:J145)</f>
        <v>-1533929</v>
      </c>
      <c r="P145" s="124" t="n">
        <f aca="false">D145/P$3</f>
        <v>0</v>
      </c>
      <c r="Q145" s="124" t="n">
        <f aca="false">E145/P$3</f>
        <v>0</v>
      </c>
      <c r="R145" s="124" t="n">
        <f aca="false">F145/R$3</f>
        <v>0</v>
      </c>
      <c r="S145" s="126" t="n">
        <f aca="false">J145/$R$3</f>
        <v>0</v>
      </c>
      <c r="T145" s="126" t="n">
        <f aca="false">L145/$R$3</f>
        <v>0</v>
      </c>
      <c r="U145" s="126" t="n">
        <f aca="false">I145/$R$3</f>
        <v>-62.011</v>
      </c>
      <c r="V145" s="126" t="n">
        <f aca="false">M145/$R$3</f>
        <v>-765.233</v>
      </c>
      <c r="W145" s="126" t="n">
        <f aca="false">N145/$R$3</f>
        <v>-1533.929</v>
      </c>
    </row>
    <row r="146" customFormat="false" ht="13.5" hidden="true" customHeight="true" outlineLevel="0" collapsed="false">
      <c r="A146" s="120" t="n">
        <f aca="false">A145+1</f>
        <v>37032</v>
      </c>
      <c r="B146" s="131" t="str">
        <f aca="false">INDEX('Master Data'!$A$2:$B$8,MATCH(WEEKDAY('ARG Gas Transport'!A146,3),'Master Data'!$A$2:$A$8,0),2)</f>
        <v>M</v>
      </c>
      <c r="D146" s="124" t="n">
        <v>0</v>
      </c>
      <c r="E146" s="124" t="n">
        <v>0</v>
      </c>
      <c r="F146" s="124" t="n">
        <v>0</v>
      </c>
      <c r="G146" s="124" t="n">
        <v>-62011</v>
      </c>
      <c r="I146" s="124" t="n">
        <f aca="false">IF(MONTH($A146)=MONTH($A145),IF(G146=0,I145,G146),G146)</f>
        <v>-62011</v>
      </c>
      <c r="J146" s="124" t="n">
        <f aca="false">IF(MONTH($A146)=MONTH($A145),SUM(I146-I145),I146)</f>
        <v>0</v>
      </c>
      <c r="K146" s="124" t="n">
        <f aca="false">IF(WEEKDAY(A146,3)&gt;4,0,(IF(A146&lt;K$2,0,IF(A146&lt;=K$3,1,0))))</f>
        <v>0</v>
      </c>
      <c r="L146" s="124" t="n">
        <f aca="false">J146*K146</f>
        <v>0</v>
      </c>
      <c r="M146" s="124" t="n">
        <f aca="false">SUM(J$97:J146)</f>
        <v>-765233</v>
      </c>
      <c r="N146" s="124" t="n">
        <f aca="false">SUM(J$6:J146)</f>
        <v>-1533929</v>
      </c>
      <c r="P146" s="124" t="n">
        <f aca="false">D146/P$3</f>
        <v>0</v>
      </c>
      <c r="Q146" s="124" t="n">
        <f aca="false">E146/P$3</f>
        <v>0</v>
      </c>
      <c r="R146" s="124" t="n">
        <f aca="false">F146/R$3</f>
        <v>0</v>
      </c>
      <c r="S146" s="126" t="n">
        <f aca="false">J146/$R$3</f>
        <v>0</v>
      </c>
      <c r="T146" s="126" t="n">
        <f aca="false">L146/$R$3</f>
        <v>0</v>
      </c>
      <c r="U146" s="126" t="n">
        <f aca="false">I146/$R$3</f>
        <v>-62.011</v>
      </c>
      <c r="V146" s="126" t="n">
        <f aca="false">M146/$R$3</f>
        <v>-765.233</v>
      </c>
      <c r="W146" s="126" t="n">
        <f aca="false">N146/$R$3</f>
        <v>-1533.929</v>
      </c>
    </row>
    <row r="147" customFormat="false" ht="13.5" hidden="true" customHeight="true" outlineLevel="0" collapsed="false">
      <c r="A147" s="120" t="n">
        <f aca="false">A146+1</f>
        <v>37033</v>
      </c>
      <c r="B147" s="131" t="str">
        <f aca="false">INDEX('Master Data'!$A$2:$B$8,MATCH(WEEKDAY('ARG Gas Transport'!A147,3),'Master Data'!$A$2:$A$8,0),2)</f>
        <v>T</v>
      </c>
      <c r="D147" s="124" t="n">
        <v>0</v>
      </c>
      <c r="E147" s="124" t="n">
        <v>0</v>
      </c>
      <c r="F147" s="124" t="n">
        <v>0</v>
      </c>
      <c r="G147" s="124" t="n">
        <v>-62011</v>
      </c>
      <c r="I147" s="124" t="n">
        <f aca="false">IF(MONTH($A147)=MONTH($A146),IF(G147=0,I146,G147),G147)</f>
        <v>-62011</v>
      </c>
      <c r="J147" s="124" t="n">
        <f aca="false">IF(MONTH($A147)=MONTH($A146),SUM(I147-I146),I147)</f>
        <v>0</v>
      </c>
      <c r="K147" s="124" t="n">
        <f aca="false">IF(WEEKDAY(A147,3)&gt;4,0,(IF(A147&lt;K$2,0,IF(A147&lt;=K$3,1,0))))</f>
        <v>0</v>
      </c>
      <c r="L147" s="124" t="n">
        <f aca="false">J147*K147</f>
        <v>0</v>
      </c>
      <c r="M147" s="124" t="n">
        <f aca="false">SUM(J$97:J147)</f>
        <v>-765233</v>
      </c>
      <c r="N147" s="124" t="n">
        <f aca="false">SUM(J$6:J147)</f>
        <v>-1533929</v>
      </c>
      <c r="P147" s="124" t="n">
        <f aca="false">D147/P$3</f>
        <v>0</v>
      </c>
      <c r="Q147" s="124" t="n">
        <f aca="false">E147/P$3</f>
        <v>0</v>
      </c>
      <c r="R147" s="124" t="n">
        <f aca="false">F147/R$3</f>
        <v>0</v>
      </c>
      <c r="S147" s="126" t="n">
        <f aca="false">J147/$R$3</f>
        <v>0</v>
      </c>
      <c r="T147" s="126" t="n">
        <f aca="false">L147/$R$3</f>
        <v>0</v>
      </c>
      <c r="U147" s="126" t="n">
        <f aca="false">I147/$R$3</f>
        <v>-62.011</v>
      </c>
      <c r="V147" s="126" t="n">
        <f aca="false">M147/$R$3</f>
        <v>-765.233</v>
      </c>
      <c r="W147" s="126" t="n">
        <f aca="false">N147/$R$3</f>
        <v>-1533.929</v>
      </c>
    </row>
    <row r="148" customFormat="false" ht="13.5" hidden="true" customHeight="true" outlineLevel="0" collapsed="false">
      <c r="A148" s="120" t="n">
        <f aca="false">A147+1</f>
        <v>37034</v>
      </c>
      <c r="B148" s="131" t="str">
        <f aca="false">INDEX('Master Data'!$A$2:$B$8,MATCH(WEEKDAY('ARG Gas Transport'!A148,3),'Master Data'!$A$2:$A$8,0),2)</f>
        <v>W</v>
      </c>
      <c r="D148" s="124" t="n">
        <v>0</v>
      </c>
      <c r="E148" s="124" t="n">
        <v>0</v>
      </c>
      <c r="F148" s="124" t="n">
        <v>0</v>
      </c>
      <c r="G148" s="124" t="n">
        <v>-62010</v>
      </c>
      <c r="I148" s="124" t="n">
        <f aca="false">IF(MONTH($A148)=MONTH($A147),IF(G148=0,I147,G148),G148)</f>
        <v>-62010</v>
      </c>
      <c r="J148" s="124" t="n">
        <f aca="false">IF(MONTH($A148)=MONTH($A147),SUM(I148-I147),I148)</f>
        <v>1</v>
      </c>
      <c r="K148" s="124" t="n">
        <f aca="false">IF(WEEKDAY(A148,3)&gt;4,0,(IF(A148&lt;K$2,0,IF(A148&lt;=K$3,1,0))))</f>
        <v>0</v>
      </c>
      <c r="L148" s="124" t="n">
        <f aca="false">J148*K148</f>
        <v>0</v>
      </c>
      <c r="M148" s="124" t="n">
        <f aca="false">SUM(J$97:J148)</f>
        <v>-765232</v>
      </c>
      <c r="N148" s="124" t="n">
        <f aca="false">SUM(J$6:J148)</f>
        <v>-1533928</v>
      </c>
      <c r="P148" s="124" t="n">
        <f aca="false">D148/P$3</f>
        <v>0</v>
      </c>
      <c r="Q148" s="124" t="n">
        <f aca="false">E148/P$3</f>
        <v>0</v>
      </c>
      <c r="R148" s="124" t="n">
        <f aca="false">F148/R$3</f>
        <v>0</v>
      </c>
      <c r="S148" s="126" t="n">
        <f aca="false">J148/$R$3</f>
        <v>0.001</v>
      </c>
      <c r="T148" s="126" t="n">
        <f aca="false">L148/$R$3</f>
        <v>0</v>
      </c>
      <c r="U148" s="126" t="n">
        <f aca="false">I148/$R$3</f>
        <v>-62.01</v>
      </c>
      <c r="V148" s="126" t="n">
        <f aca="false">M148/$R$3</f>
        <v>-765.232</v>
      </c>
      <c r="W148" s="126" t="n">
        <f aca="false">N148/$R$3</f>
        <v>-1533.928</v>
      </c>
    </row>
    <row r="149" customFormat="false" ht="13.5" hidden="true" customHeight="true" outlineLevel="0" collapsed="false">
      <c r="A149" s="120" t="n">
        <f aca="false">A148+1</f>
        <v>37035</v>
      </c>
      <c r="B149" s="131" t="str">
        <f aca="false">INDEX('Master Data'!$A$2:$B$8,MATCH(WEEKDAY('ARG Gas Transport'!A149,3),'Master Data'!$A$2:$A$8,0),2)</f>
        <v>Th</v>
      </c>
      <c r="D149" s="124"/>
      <c r="E149" s="124"/>
      <c r="F149" s="124"/>
      <c r="G149" s="124" t="n">
        <v>-62011</v>
      </c>
      <c r="I149" s="124" t="n">
        <f aca="false">IF(MONTH($A149)=MONTH($A148),IF(G149=0,I148,G149),G149)</f>
        <v>-62011</v>
      </c>
      <c r="J149" s="124" t="n">
        <f aca="false">IF(MONTH($A149)=MONTH($A148),SUM(I149-I148),I149)</f>
        <v>-1</v>
      </c>
      <c r="K149" s="124" t="n">
        <f aca="false">IF(WEEKDAY(A149,3)&gt;4,0,(IF(A149&lt;K$2,0,IF(A149&lt;=K$3,1,0))))</f>
        <v>0</v>
      </c>
      <c r="L149" s="124" t="n">
        <f aca="false">J149*K149</f>
        <v>-0</v>
      </c>
      <c r="M149" s="124" t="n">
        <f aca="false">SUM(J$97:J149)</f>
        <v>-765233</v>
      </c>
      <c r="N149" s="124" t="n">
        <f aca="false">SUM(J$6:J149)</f>
        <v>-1533929</v>
      </c>
      <c r="P149" s="124" t="n">
        <f aca="false">D149/P$3</f>
        <v>0</v>
      </c>
      <c r="Q149" s="124" t="n">
        <f aca="false">E149/P$3</f>
        <v>0</v>
      </c>
      <c r="R149" s="124" t="n">
        <f aca="false">F149/R$3</f>
        <v>0</v>
      </c>
      <c r="S149" s="126" t="n">
        <f aca="false">J149/$R$3</f>
        <v>-0.001</v>
      </c>
      <c r="T149" s="126" t="n">
        <f aca="false">L149/$R$3</f>
        <v>-0</v>
      </c>
      <c r="U149" s="126" t="n">
        <f aca="false">I149/$R$3</f>
        <v>-62.011</v>
      </c>
      <c r="V149" s="126" t="n">
        <f aca="false">M149/$R$3</f>
        <v>-765.233</v>
      </c>
      <c r="W149" s="126" t="n">
        <f aca="false">N149/$R$3</f>
        <v>-1533.929</v>
      </c>
    </row>
    <row r="150" customFormat="false" ht="13.5" hidden="true" customHeight="true" outlineLevel="0" collapsed="false">
      <c r="A150" s="120" t="n">
        <f aca="false">A149+1</f>
        <v>37036</v>
      </c>
      <c r="B150" s="131" t="str">
        <f aca="false">INDEX('Master Data'!$A$2:$B$8,MATCH(WEEKDAY('ARG Gas Transport'!A150,3),'Master Data'!$A$2:$A$8,0),2)</f>
        <v>F</v>
      </c>
      <c r="D150" s="124"/>
      <c r="E150" s="124"/>
      <c r="F150" s="124"/>
      <c r="G150" s="124" t="n">
        <v>-62009</v>
      </c>
      <c r="I150" s="124" t="n">
        <f aca="false">IF(MONTH($A150)=MONTH($A149),IF(G150=0,I149,G150),G150)</f>
        <v>-62009</v>
      </c>
      <c r="J150" s="124" t="n">
        <f aca="false">IF(MONTH($A150)=MONTH($A149),SUM(I150-I149),I150)</f>
        <v>2</v>
      </c>
      <c r="K150" s="124" t="n">
        <f aca="false">IF(WEEKDAY(A150,3)&gt;4,0,(IF(A150&lt;K$2,0,IF(A150&lt;=K$3,1,0))))</f>
        <v>0</v>
      </c>
      <c r="L150" s="124" t="n">
        <f aca="false">J150*K150</f>
        <v>0</v>
      </c>
      <c r="M150" s="124" t="n">
        <f aca="false">SUM(J$97:J150)</f>
        <v>-765231</v>
      </c>
      <c r="N150" s="124" t="n">
        <f aca="false">SUM(J$6:J150)</f>
        <v>-1533927</v>
      </c>
      <c r="P150" s="124" t="n">
        <f aca="false">D150/P$3</f>
        <v>0</v>
      </c>
      <c r="Q150" s="124" t="n">
        <f aca="false">E150/P$3</f>
        <v>0</v>
      </c>
      <c r="R150" s="124" t="n">
        <f aca="false">F150/R$3</f>
        <v>0</v>
      </c>
      <c r="S150" s="126" t="n">
        <f aca="false">J150/$R$3</f>
        <v>0.002</v>
      </c>
      <c r="T150" s="126" t="n">
        <f aca="false">L150/$R$3</f>
        <v>0</v>
      </c>
      <c r="U150" s="126" t="n">
        <f aca="false">I150/$R$3</f>
        <v>-62.009</v>
      </c>
      <c r="V150" s="126" t="n">
        <f aca="false">M150/$R$3</f>
        <v>-765.231</v>
      </c>
      <c r="W150" s="126" t="n">
        <f aca="false">N150/$R$3</f>
        <v>-1533.927</v>
      </c>
    </row>
    <row r="151" customFormat="false" ht="13.5" hidden="true" customHeight="true" outlineLevel="0" collapsed="false">
      <c r="A151" s="120" t="n">
        <f aca="false">A150+1</f>
        <v>37037</v>
      </c>
      <c r="B151" s="131" t="str">
        <f aca="false">INDEX('Master Data'!$A$2:$B$8,MATCH(WEEKDAY('ARG Gas Transport'!A151,3),'Master Data'!$A$2:$A$8,0),2)</f>
        <v>Sa</v>
      </c>
      <c r="D151" s="124"/>
      <c r="E151" s="124"/>
      <c r="F151" s="124"/>
      <c r="G151" s="124"/>
      <c r="I151" s="124" t="n">
        <f aca="false">IF(MONTH($A151)=MONTH($A150),IF(G151=0,I150,G151),G151)</f>
        <v>-62009</v>
      </c>
      <c r="J151" s="124" t="n">
        <f aca="false">IF(MONTH($A151)=MONTH($A150),SUM(I151-I150),I151)</f>
        <v>0</v>
      </c>
      <c r="K151" s="124" t="n">
        <f aca="false">IF(WEEKDAY(A151,3)&gt;4,0,(IF(A151&lt;K$2,0,IF(A151&lt;=K$3,1,0))))</f>
        <v>0</v>
      </c>
      <c r="L151" s="124" t="n">
        <f aca="false">J151*K151</f>
        <v>0</v>
      </c>
      <c r="M151" s="124" t="n">
        <f aca="false">SUM(J$97:J151)</f>
        <v>-765231</v>
      </c>
      <c r="N151" s="124" t="n">
        <f aca="false">SUM(J$6:J151)</f>
        <v>-1533927</v>
      </c>
      <c r="P151" s="124" t="n">
        <f aca="false">D151/P$3</f>
        <v>0</v>
      </c>
      <c r="Q151" s="124" t="n">
        <f aca="false">E151/P$3</f>
        <v>0</v>
      </c>
      <c r="R151" s="124" t="n">
        <f aca="false">F151/R$3</f>
        <v>0</v>
      </c>
      <c r="S151" s="126" t="n">
        <f aca="false">J151/$R$3</f>
        <v>0</v>
      </c>
      <c r="T151" s="126" t="n">
        <f aca="false">L151/$R$3</f>
        <v>0</v>
      </c>
      <c r="U151" s="126" t="n">
        <f aca="false">I151/$R$3</f>
        <v>-62.009</v>
      </c>
      <c r="V151" s="126" t="n">
        <f aca="false">M151/$R$3</f>
        <v>-765.231</v>
      </c>
      <c r="W151" s="126" t="n">
        <f aca="false">N151/$R$3</f>
        <v>-1533.927</v>
      </c>
    </row>
    <row r="152" customFormat="false" ht="13.5" hidden="true" customHeight="true" outlineLevel="0" collapsed="false">
      <c r="A152" s="120" t="n">
        <f aca="false">A151+1</f>
        <v>37038</v>
      </c>
      <c r="B152" s="131" t="str">
        <f aca="false">INDEX('Master Data'!$A$2:$B$8,MATCH(WEEKDAY('ARG Gas Transport'!A152,3),'Master Data'!$A$2:$A$8,0),2)</f>
        <v>Su</v>
      </c>
      <c r="D152" s="124"/>
      <c r="E152" s="124"/>
      <c r="F152" s="124"/>
      <c r="G152" s="124"/>
      <c r="I152" s="124" t="n">
        <f aca="false">IF(MONTH($A152)=MONTH($A151),IF(G152=0,I151,G152),G152)</f>
        <v>-62009</v>
      </c>
      <c r="J152" s="124" t="n">
        <f aca="false">IF(MONTH($A152)=MONTH($A151),SUM(I152-I151),I152)</f>
        <v>0</v>
      </c>
      <c r="K152" s="124" t="n">
        <f aca="false">IF(WEEKDAY(A152,3)&gt;4,0,(IF(A152&lt;K$2,0,IF(A152&lt;=K$3,1,0))))</f>
        <v>0</v>
      </c>
      <c r="L152" s="124" t="n">
        <f aca="false">J152*K152</f>
        <v>0</v>
      </c>
      <c r="M152" s="124" t="n">
        <f aca="false">SUM(J$97:J152)</f>
        <v>-765231</v>
      </c>
      <c r="N152" s="124" t="n">
        <f aca="false">SUM(J$6:J152)</f>
        <v>-1533927</v>
      </c>
      <c r="P152" s="124" t="n">
        <f aca="false">D152/P$3</f>
        <v>0</v>
      </c>
      <c r="Q152" s="124" t="n">
        <f aca="false">E152/P$3</f>
        <v>0</v>
      </c>
      <c r="R152" s="124" t="n">
        <f aca="false">F152/R$3</f>
        <v>0</v>
      </c>
      <c r="S152" s="126" t="n">
        <f aca="false">J152/$R$3</f>
        <v>0</v>
      </c>
      <c r="T152" s="126" t="n">
        <f aca="false">L152/$R$3</f>
        <v>0</v>
      </c>
      <c r="U152" s="126" t="n">
        <f aca="false">I152/$R$3</f>
        <v>-62.009</v>
      </c>
      <c r="V152" s="126" t="n">
        <f aca="false">M152/$R$3</f>
        <v>-765.231</v>
      </c>
      <c r="W152" s="126" t="n">
        <f aca="false">N152/$R$3</f>
        <v>-1533.927</v>
      </c>
    </row>
    <row r="153" customFormat="false" ht="13.5" hidden="true" customHeight="true" outlineLevel="0" collapsed="false">
      <c r="A153" s="120" t="n">
        <f aca="false">A152+1</f>
        <v>37039</v>
      </c>
      <c r="B153" s="131" t="str">
        <f aca="false">INDEX('Master Data'!$A$2:$B$8,MATCH(WEEKDAY('ARG Gas Transport'!A153,3),'Master Data'!$A$2:$A$8,0),2)</f>
        <v>M</v>
      </c>
      <c r="D153" s="124"/>
      <c r="E153" s="124"/>
      <c r="F153" s="124"/>
      <c r="G153" s="124"/>
      <c r="I153" s="124" t="n">
        <f aca="false">IF(MONTH($A153)=MONTH($A152),IF(G153=0,I152,G153),G153)</f>
        <v>-62009</v>
      </c>
      <c r="J153" s="124" t="n">
        <f aca="false">IF(MONTH($A153)=MONTH($A152),SUM(I153-I152),I153)</f>
        <v>0</v>
      </c>
      <c r="K153" s="124" t="n">
        <f aca="false">IF(WEEKDAY(A153,3)&gt;4,0,(IF(A153&lt;K$2,0,IF(A153&lt;=K$3,1,0))))</f>
        <v>0</v>
      </c>
      <c r="L153" s="124" t="n">
        <f aca="false">J153*K153</f>
        <v>0</v>
      </c>
      <c r="M153" s="124" t="n">
        <f aca="false">SUM(J$97:J153)</f>
        <v>-765231</v>
      </c>
      <c r="N153" s="124" t="n">
        <f aca="false">SUM(J$6:J153)</f>
        <v>-1533927</v>
      </c>
      <c r="P153" s="124" t="n">
        <f aca="false">D153/P$3</f>
        <v>0</v>
      </c>
      <c r="Q153" s="124" t="n">
        <f aca="false">E153/P$3</f>
        <v>0</v>
      </c>
      <c r="R153" s="124" t="n">
        <f aca="false">F153/R$3</f>
        <v>0</v>
      </c>
      <c r="S153" s="126" t="n">
        <f aca="false">J153/$R$3</f>
        <v>0</v>
      </c>
      <c r="T153" s="126" t="n">
        <f aca="false">L153/$R$3</f>
        <v>0</v>
      </c>
      <c r="U153" s="126" t="n">
        <f aca="false">I153/$R$3</f>
        <v>-62.009</v>
      </c>
      <c r="V153" s="126" t="n">
        <f aca="false">M153/$R$3</f>
        <v>-765.231</v>
      </c>
      <c r="W153" s="126" t="n">
        <f aca="false">N153/$R$3</f>
        <v>-1533.927</v>
      </c>
    </row>
    <row r="154" customFormat="false" ht="13.5" hidden="true" customHeight="true" outlineLevel="0" collapsed="false">
      <c r="A154" s="120" t="n">
        <f aca="false">A153+1</f>
        <v>37040</v>
      </c>
      <c r="B154" s="131" t="str">
        <f aca="false">INDEX('Master Data'!$A$2:$B$8,MATCH(WEEKDAY('ARG Gas Transport'!A154,3),'Master Data'!$A$2:$A$8,0),2)</f>
        <v>T</v>
      </c>
      <c r="D154" s="124"/>
      <c r="E154" s="124"/>
      <c r="F154" s="124"/>
      <c r="G154" s="124" t="n">
        <v>-62010</v>
      </c>
      <c r="I154" s="124" t="n">
        <f aca="false">IF(MONTH($A154)=MONTH($A153),IF(G154=0,I153,G154),G154)</f>
        <v>-62010</v>
      </c>
      <c r="J154" s="124" t="n">
        <f aca="false">IF(MONTH($A154)=MONTH($A153),SUM(I154-I153),I154)</f>
        <v>-1</v>
      </c>
      <c r="K154" s="124" t="n">
        <f aca="false">IF(WEEKDAY(A154,3)&gt;4,0,(IF(A154&lt;K$2,0,IF(A154&lt;=K$3,1,0))))</f>
        <v>0</v>
      </c>
      <c r="L154" s="124" t="n">
        <f aca="false">J154*K154</f>
        <v>-0</v>
      </c>
      <c r="M154" s="124" t="n">
        <f aca="false">SUM(J$97:J154)</f>
        <v>-765232</v>
      </c>
      <c r="N154" s="124" t="n">
        <f aca="false">SUM(J$6:J154)</f>
        <v>-1533928</v>
      </c>
      <c r="P154" s="124" t="n">
        <f aca="false">D154/P$3</f>
        <v>0</v>
      </c>
      <c r="Q154" s="124" t="n">
        <f aca="false">E154/P$3</f>
        <v>0</v>
      </c>
      <c r="R154" s="124" t="n">
        <f aca="false">F154/R$3</f>
        <v>0</v>
      </c>
      <c r="S154" s="126" t="n">
        <f aca="false">J154/$R$3</f>
        <v>-0.001</v>
      </c>
      <c r="T154" s="126" t="n">
        <f aca="false">L154/$R$3</f>
        <v>-0</v>
      </c>
      <c r="U154" s="126" t="n">
        <f aca="false">I154/$R$3</f>
        <v>-62.01</v>
      </c>
      <c r="V154" s="126" t="n">
        <f aca="false">M154/$R$3</f>
        <v>-765.232</v>
      </c>
      <c r="W154" s="126" t="n">
        <f aca="false">N154/$R$3</f>
        <v>-1533.928</v>
      </c>
    </row>
    <row r="155" customFormat="false" ht="13.5" hidden="true" customHeight="true" outlineLevel="0" collapsed="false">
      <c r="A155" s="120" t="n">
        <f aca="false">A154+1</f>
        <v>37041</v>
      </c>
      <c r="B155" s="131" t="str">
        <f aca="false">INDEX('Master Data'!$A$2:$B$8,MATCH(WEEKDAY('ARG Gas Transport'!A155,3),'Master Data'!$A$2:$A$8,0),2)</f>
        <v>W</v>
      </c>
      <c r="D155" s="124"/>
      <c r="E155" s="124"/>
      <c r="F155" s="124"/>
      <c r="G155" s="124" t="n">
        <v>-62009</v>
      </c>
      <c r="I155" s="124" t="n">
        <f aca="false">IF(MONTH($A155)=MONTH($A154),IF(G155=0,I154,G155),G155)</f>
        <v>-62009</v>
      </c>
      <c r="J155" s="124" t="n">
        <f aca="false">IF(MONTH($A155)=MONTH($A154),SUM(I155-I154),I155)</f>
        <v>1</v>
      </c>
      <c r="K155" s="124" t="n">
        <f aca="false">IF(WEEKDAY(A155,3)&gt;4,0,(IF(A155&lt;K$2,0,IF(A155&lt;=K$3,1,0))))</f>
        <v>0</v>
      </c>
      <c r="L155" s="124" t="n">
        <f aca="false">J155*K155</f>
        <v>0</v>
      </c>
      <c r="M155" s="124" t="n">
        <f aca="false">SUM(J$97:J155)</f>
        <v>-765231</v>
      </c>
      <c r="N155" s="124" t="n">
        <f aca="false">SUM(J$6:J155)</f>
        <v>-1533927</v>
      </c>
      <c r="P155" s="124" t="n">
        <f aca="false">D155/P$3</f>
        <v>0</v>
      </c>
      <c r="Q155" s="124" t="n">
        <f aca="false">E155/P$3</f>
        <v>0</v>
      </c>
      <c r="R155" s="124" t="n">
        <f aca="false">F155/R$3</f>
        <v>0</v>
      </c>
      <c r="S155" s="126" t="n">
        <f aca="false">J155/$R$3</f>
        <v>0.001</v>
      </c>
      <c r="T155" s="126" t="n">
        <f aca="false">L155/$R$3</f>
        <v>0</v>
      </c>
      <c r="U155" s="126" t="n">
        <f aca="false">I155/$R$3</f>
        <v>-62.009</v>
      </c>
      <c r="V155" s="126" t="n">
        <f aca="false">M155/$R$3</f>
        <v>-765.231</v>
      </c>
      <c r="W155" s="126" t="n">
        <f aca="false">N155/$R$3</f>
        <v>-1533.927</v>
      </c>
    </row>
    <row r="156" customFormat="false" ht="13.5" hidden="false" customHeight="true" outlineLevel="0" collapsed="false">
      <c r="A156" s="120" t="n">
        <f aca="false">A155+1</f>
        <v>37042</v>
      </c>
      <c r="B156" s="131" t="str">
        <f aca="false">INDEX('Master Data'!$A$2:$B$8,MATCH(WEEKDAY('ARG Gas Transport'!A156,3),'Master Data'!$A$2:$A$8,0),2)</f>
        <v>Th</v>
      </c>
      <c r="D156" s="124"/>
      <c r="E156" s="124"/>
      <c r="F156" s="124"/>
      <c r="G156" s="124" t="n">
        <v>-62007</v>
      </c>
      <c r="I156" s="124" t="n">
        <f aca="false">IF(MONTH($A156)=MONTH($A155),IF(G156=0,I155,G156),G156)</f>
        <v>-62007</v>
      </c>
      <c r="J156" s="124" t="n">
        <f aca="false">IF(MONTH($A156)=MONTH($A155),SUM(I156-I155),I156)</f>
        <v>2</v>
      </c>
      <c r="K156" s="124" t="n">
        <f aca="false">IF(WEEKDAY(A156,3)&gt;4,0,(IF(A156&lt;K$2,0,IF(A156&lt;=K$3,1,0))))</f>
        <v>0</v>
      </c>
      <c r="L156" s="124" t="n">
        <f aca="false">J156*K156</f>
        <v>0</v>
      </c>
      <c r="M156" s="124" t="n">
        <f aca="false">SUM(J$97:J156)</f>
        <v>-765229</v>
      </c>
      <c r="N156" s="124" t="n">
        <f aca="false">SUM(J$6:J156)</f>
        <v>-1533925</v>
      </c>
      <c r="P156" s="124" t="n">
        <f aca="false">D156/P$3</f>
        <v>0</v>
      </c>
      <c r="Q156" s="124" t="n">
        <f aca="false">E156/P$3</f>
        <v>0</v>
      </c>
      <c r="R156" s="124" t="n">
        <f aca="false">F156/R$3</f>
        <v>0</v>
      </c>
      <c r="S156" s="126" t="n">
        <f aca="false">J156/$R$3</f>
        <v>0.002</v>
      </c>
      <c r="T156" s="126" t="n">
        <f aca="false">L156/$R$3</f>
        <v>0</v>
      </c>
      <c r="U156" s="126" t="n">
        <f aca="false">I156/$R$3</f>
        <v>-62.007</v>
      </c>
      <c r="V156" s="126" t="n">
        <f aca="false">M156/$R$3</f>
        <v>-765.229</v>
      </c>
      <c r="W156" s="126" t="n">
        <f aca="false">N156/$R$3</f>
        <v>-1533.925</v>
      </c>
    </row>
    <row r="157" customFormat="false" ht="13.5" hidden="true" customHeight="true" outlineLevel="0" collapsed="false">
      <c r="A157" s="120" t="n">
        <f aca="false">A156+1</f>
        <v>37043</v>
      </c>
      <c r="B157" s="131" t="str">
        <f aca="false">INDEX('Master Data'!$A$2:$B$8,MATCH(WEEKDAY('ARG Gas Transport'!A157,3),'Master Data'!$A$2:$A$8,0),2)</f>
        <v>F</v>
      </c>
      <c r="D157" s="124"/>
      <c r="E157" s="124"/>
      <c r="F157" s="124"/>
      <c r="G157" s="124" t="n">
        <v>-2</v>
      </c>
      <c r="I157" s="124" t="n">
        <f aca="false">IF(MONTH($A157)=MONTH($A156),IF(G157=0,I156,G157),G157)</f>
        <v>-2</v>
      </c>
      <c r="J157" s="124" t="n">
        <f aca="false">IF(MONTH($A157)=MONTH($A156),SUM(I157-I156),I157)</f>
        <v>-2</v>
      </c>
      <c r="K157" s="124" t="n">
        <f aca="false">IF(WEEKDAY(A157,3)&gt;4,0,(IF(A157&lt;K$2,0,IF(A157&lt;=K$3,1,0))))</f>
        <v>0</v>
      </c>
      <c r="L157" s="124" t="n">
        <f aca="false">J157*K157</f>
        <v>-0</v>
      </c>
      <c r="M157" s="124" t="n">
        <f aca="false">SUM(J$97:J157)</f>
        <v>-765231</v>
      </c>
      <c r="N157" s="124" t="n">
        <f aca="false">SUM(J$6:J157)</f>
        <v>-1533927</v>
      </c>
      <c r="P157" s="124" t="n">
        <f aca="false">D157/P$3</f>
        <v>0</v>
      </c>
      <c r="Q157" s="124" t="n">
        <f aca="false">E157/P$3</f>
        <v>0</v>
      </c>
      <c r="R157" s="124" t="n">
        <f aca="false">F157/R$3</f>
        <v>0</v>
      </c>
      <c r="S157" s="126" t="n">
        <f aca="false">J157/$R$3</f>
        <v>-0.002</v>
      </c>
      <c r="T157" s="126" t="n">
        <f aca="false">L157/$R$3</f>
        <v>-0</v>
      </c>
      <c r="U157" s="126" t="n">
        <f aca="false">I157/$R$3</f>
        <v>-0.002</v>
      </c>
      <c r="V157" s="126" t="n">
        <f aca="false">M157/$R$3</f>
        <v>-765.231</v>
      </c>
      <c r="W157" s="126" t="n">
        <f aca="false">N157/$R$3</f>
        <v>-1533.927</v>
      </c>
    </row>
    <row r="158" customFormat="false" ht="12.75" hidden="true" customHeight="false" outlineLevel="0" collapsed="false">
      <c r="A158" s="120" t="n">
        <f aca="false">A157+1</f>
        <v>37044</v>
      </c>
      <c r="B158" s="131" t="str">
        <f aca="false">INDEX('Master Data'!$A$2:$B$8,MATCH(WEEKDAY('ARG Gas Transport'!A158,3),'Master Data'!$A$2:$A$8,0),2)</f>
        <v>Sa</v>
      </c>
      <c r="D158" s="124"/>
      <c r="E158" s="124"/>
      <c r="F158" s="124"/>
      <c r="G158" s="124"/>
      <c r="I158" s="124" t="n">
        <f aca="false">IF(MONTH($A158)=MONTH($A157),IF(G158=0,I157,G158),G158)</f>
        <v>-2</v>
      </c>
      <c r="J158" s="124" t="n">
        <f aca="false">IF(MONTH($A158)=MONTH($A157),SUM(I158-I157),I158)</f>
        <v>0</v>
      </c>
      <c r="K158" s="124" t="n">
        <f aca="false">IF(WEEKDAY(A158,3)&gt;4,0,(IF(A158&lt;K$2,0,IF(A158&lt;=K$3,1,0))))</f>
        <v>0</v>
      </c>
      <c r="L158" s="124" t="n">
        <f aca="false">J158*K158</f>
        <v>0</v>
      </c>
      <c r="M158" s="124" t="n">
        <f aca="false">SUM(J$97:J158)</f>
        <v>-765231</v>
      </c>
      <c r="N158" s="124" t="n">
        <f aca="false">SUM(J$6:J158)</f>
        <v>-1533927</v>
      </c>
      <c r="P158" s="124" t="n">
        <f aca="false">D158/P$3</f>
        <v>0</v>
      </c>
      <c r="Q158" s="124" t="n">
        <f aca="false">E158/P$3</f>
        <v>0</v>
      </c>
      <c r="R158" s="124" t="n">
        <f aca="false">F158/R$3</f>
        <v>0</v>
      </c>
      <c r="S158" s="126" t="n">
        <f aca="false">J158/$R$3</f>
        <v>0</v>
      </c>
      <c r="T158" s="126" t="n">
        <f aca="false">L158/$R$3</f>
        <v>0</v>
      </c>
      <c r="U158" s="126" t="n">
        <f aca="false">I158/$R$3</f>
        <v>-0.002</v>
      </c>
      <c r="V158" s="126" t="n">
        <f aca="false">M158/$R$3</f>
        <v>-765.231</v>
      </c>
      <c r="W158" s="126" t="n">
        <f aca="false">N158/$R$3</f>
        <v>-1533.927</v>
      </c>
    </row>
    <row r="159" customFormat="false" ht="12.75" hidden="true" customHeight="false" outlineLevel="0" collapsed="false">
      <c r="A159" s="120" t="n">
        <f aca="false">A158+1</f>
        <v>37045</v>
      </c>
      <c r="B159" s="131" t="str">
        <f aca="false">INDEX('Master Data'!$A$2:$B$8,MATCH(WEEKDAY('ARG Gas Transport'!A159,3),'Master Data'!$A$2:$A$8,0),2)</f>
        <v>Su</v>
      </c>
      <c r="D159" s="124"/>
      <c r="E159" s="124"/>
      <c r="F159" s="124"/>
      <c r="G159" s="124"/>
      <c r="I159" s="124" t="n">
        <f aca="false">IF(MONTH($A159)=MONTH($A158),IF(G159=0,I158,G159),G159)</f>
        <v>-2</v>
      </c>
      <c r="J159" s="124" t="n">
        <f aca="false">IF(MONTH($A159)=MONTH($A158),SUM(I159-I158),I159)</f>
        <v>0</v>
      </c>
      <c r="K159" s="124" t="n">
        <f aca="false">IF(WEEKDAY(A159,3)&gt;4,0,(IF(A159&lt;K$2,0,IF(A159&lt;=K$3,1,0))))</f>
        <v>0</v>
      </c>
      <c r="L159" s="124" t="n">
        <f aca="false">J159*K159</f>
        <v>0</v>
      </c>
      <c r="M159" s="124" t="n">
        <f aca="false">SUM(J$97:J159)</f>
        <v>-765231</v>
      </c>
      <c r="N159" s="124" t="n">
        <f aca="false">SUM(J$6:J159)</f>
        <v>-1533927</v>
      </c>
      <c r="P159" s="124" t="n">
        <f aca="false">D159/P$3</f>
        <v>0</v>
      </c>
      <c r="Q159" s="124" t="n">
        <f aca="false">E159/P$3</f>
        <v>0</v>
      </c>
      <c r="R159" s="124" t="n">
        <f aca="false">F159/R$3</f>
        <v>0</v>
      </c>
      <c r="S159" s="126" t="n">
        <f aca="false">J159/$R$3</f>
        <v>0</v>
      </c>
      <c r="T159" s="126" t="n">
        <f aca="false">L159/$R$3</f>
        <v>0</v>
      </c>
      <c r="U159" s="126" t="n">
        <f aca="false">I159/$R$3</f>
        <v>-0.002</v>
      </c>
      <c r="V159" s="126" t="n">
        <f aca="false">M159/$R$3</f>
        <v>-765.231</v>
      </c>
      <c r="W159" s="126" t="n">
        <f aca="false">N159/$R$3</f>
        <v>-1533.927</v>
      </c>
    </row>
    <row r="160" customFormat="false" ht="12.75" hidden="true" customHeight="false" outlineLevel="0" collapsed="false">
      <c r="A160" s="120" t="n">
        <f aca="false">A159+1</f>
        <v>37046</v>
      </c>
      <c r="B160" s="131" t="str">
        <f aca="false">INDEX('Master Data'!$A$2:$B$8,MATCH(WEEKDAY('ARG Gas Transport'!A160,3),'Master Data'!$A$2:$A$8,0),2)</f>
        <v>M</v>
      </c>
      <c r="D160" s="124"/>
      <c r="E160" s="124"/>
      <c r="F160" s="124"/>
      <c r="G160" s="124" t="n">
        <v>-1</v>
      </c>
      <c r="I160" s="124" t="n">
        <f aca="false">IF(MONTH($A160)=MONTH($A159),IF(G160=0,I159,G160),G160)</f>
        <v>-1</v>
      </c>
      <c r="J160" s="124" t="n">
        <f aca="false">IF(MONTH($A160)=MONTH($A159),SUM(I160-I159),I160)</f>
        <v>1</v>
      </c>
      <c r="K160" s="124" t="n">
        <f aca="false">IF(WEEKDAY(A160,3)&gt;4,0,(IF(A160&lt;K$2,0,IF(A160&lt;=K$3,1,0))))</f>
        <v>0</v>
      </c>
      <c r="L160" s="124" t="n">
        <f aca="false">J160*K160</f>
        <v>0</v>
      </c>
      <c r="M160" s="124" t="n">
        <f aca="false">SUM(J$97:J160)</f>
        <v>-765230</v>
      </c>
      <c r="N160" s="124" t="n">
        <f aca="false">SUM(J$6:J160)</f>
        <v>-1533926</v>
      </c>
      <c r="P160" s="124" t="n">
        <f aca="false">D160/P$3</f>
        <v>0</v>
      </c>
      <c r="Q160" s="124" t="n">
        <f aca="false">E160/P$3</f>
        <v>0</v>
      </c>
      <c r="R160" s="124" t="n">
        <f aca="false">F160/R$3</f>
        <v>0</v>
      </c>
      <c r="S160" s="126" t="n">
        <f aca="false">J160/$R$3</f>
        <v>0.001</v>
      </c>
      <c r="T160" s="126" t="n">
        <f aca="false">L160/$R$3</f>
        <v>0</v>
      </c>
      <c r="U160" s="126" t="n">
        <f aca="false">I160/$R$3</f>
        <v>-0.001</v>
      </c>
      <c r="V160" s="126" t="n">
        <f aca="false">M160/$R$3</f>
        <v>-765.23</v>
      </c>
      <c r="W160" s="126" t="n">
        <f aca="false">N160/$R$3</f>
        <v>-1533.926</v>
      </c>
    </row>
    <row r="161" customFormat="false" ht="12.75" hidden="true" customHeight="false" outlineLevel="0" collapsed="false">
      <c r="A161" s="120" t="n">
        <f aca="false">A160+1</f>
        <v>37047</v>
      </c>
      <c r="B161" s="131" t="str">
        <f aca="false">INDEX('Master Data'!$A$2:$B$8,MATCH(WEEKDAY('ARG Gas Transport'!A161,3),'Master Data'!$A$2:$A$8,0),2)</f>
        <v>T</v>
      </c>
      <c r="D161" s="124"/>
      <c r="E161" s="124"/>
      <c r="F161" s="124"/>
      <c r="G161" s="124" t="n">
        <v>-1</v>
      </c>
      <c r="I161" s="124" t="n">
        <f aca="false">IF(MONTH($A161)=MONTH($A160),IF(G161=0,I160,G161),G161)</f>
        <v>-1</v>
      </c>
      <c r="J161" s="124" t="n">
        <f aca="false">IF(MONTH($A161)=MONTH($A160),SUM(I161-I160),I161)</f>
        <v>0</v>
      </c>
      <c r="K161" s="124" t="n">
        <f aca="false">IF(WEEKDAY(A161,3)&gt;4,0,(IF(A161&lt;K$2,0,IF(A161&lt;=K$3,1,0))))</f>
        <v>0</v>
      </c>
      <c r="L161" s="124" t="n">
        <f aca="false">J161*K161</f>
        <v>0</v>
      </c>
      <c r="M161" s="124" t="n">
        <f aca="false">SUM(J$97:J161)</f>
        <v>-765230</v>
      </c>
      <c r="N161" s="124" t="n">
        <f aca="false">SUM(J$6:J161)</f>
        <v>-1533926</v>
      </c>
      <c r="P161" s="124" t="n">
        <f aca="false">D161/P$3</f>
        <v>0</v>
      </c>
      <c r="Q161" s="124" t="n">
        <f aca="false">E161/P$3</f>
        <v>0</v>
      </c>
      <c r="R161" s="124" t="n">
        <f aca="false">F161/R$3</f>
        <v>0</v>
      </c>
      <c r="S161" s="126" t="n">
        <f aca="false">J161/$R$3</f>
        <v>0</v>
      </c>
      <c r="T161" s="126" t="n">
        <f aca="false">L161/$R$3</f>
        <v>0</v>
      </c>
      <c r="U161" s="126" t="n">
        <f aca="false">I161/$R$3</f>
        <v>-0.001</v>
      </c>
      <c r="V161" s="126" t="n">
        <f aca="false">M161/$R$3</f>
        <v>-765.23</v>
      </c>
      <c r="W161" s="126" t="n">
        <f aca="false">N161/$R$3</f>
        <v>-1533.926</v>
      </c>
    </row>
    <row r="162" customFormat="false" ht="12.75" hidden="true" customHeight="false" outlineLevel="0" collapsed="false">
      <c r="A162" s="120" t="n">
        <f aca="false">A161+1</f>
        <v>37048</v>
      </c>
      <c r="B162" s="131" t="str">
        <f aca="false">INDEX('Master Data'!$A$2:$B$8,MATCH(WEEKDAY('ARG Gas Transport'!A162,3),'Master Data'!$A$2:$A$8,0),2)</f>
        <v>W</v>
      </c>
      <c r="D162" s="124"/>
      <c r="E162" s="124"/>
      <c r="F162" s="124"/>
      <c r="G162" s="124" t="n">
        <v>-1</v>
      </c>
      <c r="I162" s="124" t="n">
        <f aca="false">IF(MONTH($A162)=MONTH($A161),IF(G162=0,I161,G162),G162)</f>
        <v>-1</v>
      </c>
      <c r="J162" s="124" t="n">
        <f aca="false">IF(MONTH($A162)=MONTH($A161),SUM(I162-I161),I162)</f>
        <v>0</v>
      </c>
      <c r="K162" s="124" t="n">
        <f aca="false">IF(WEEKDAY(A162,3)&gt;4,0,(IF(A162&lt;K$2,0,IF(A162&lt;=K$3,1,0))))</f>
        <v>0</v>
      </c>
      <c r="L162" s="124" t="n">
        <f aca="false">J162*K162</f>
        <v>0</v>
      </c>
      <c r="M162" s="124" t="n">
        <f aca="false">SUM(J$97:J162)</f>
        <v>-765230</v>
      </c>
      <c r="N162" s="124" t="n">
        <f aca="false">SUM(J$6:J162)</f>
        <v>-1533926</v>
      </c>
      <c r="P162" s="124" t="n">
        <f aca="false">D162/P$3</f>
        <v>0</v>
      </c>
      <c r="Q162" s="124" t="n">
        <f aca="false">E162/P$3</f>
        <v>0</v>
      </c>
      <c r="R162" s="124" t="n">
        <f aca="false">F162/R$3</f>
        <v>0</v>
      </c>
      <c r="S162" s="126" t="n">
        <f aca="false">J162/$R$3</f>
        <v>0</v>
      </c>
      <c r="T162" s="126" t="n">
        <f aca="false">L162/$R$3</f>
        <v>0</v>
      </c>
      <c r="U162" s="126" t="n">
        <f aca="false">I162/$R$3</f>
        <v>-0.001</v>
      </c>
      <c r="V162" s="126" t="n">
        <f aca="false">M162/$R$3</f>
        <v>-765.23</v>
      </c>
      <c r="W162" s="126" t="n">
        <f aca="false">N162/$R$3</f>
        <v>-1533.926</v>
      </c>
    </row>
    <row r="163" customFormat="false" ht="12.75" hidden="true" customHeight="false" outlineLevel="0" collapsed="false">
      <c r="A163" s="120" t="n">
        <f aca="false">A162+1</f>
        <v>37049</v>
      </c>
      <c r="B163" s="131" t="str">
        <f aca="false">INDEX('Master Data'!$A$2:$B$8,MATCH(WEEKDAY('ARG Gas Transport'!A163,3),'Master Data'!$A$2:$A$8,0),2)</f>
        <v>Th</v>
      </c>
      <c r="D163" s="124"/>
      <c r="E163" s="124"/>
      <c r="F163" s="124"/>
      <c r="G163" s="124" t="n">
        <v>0</v>
      </c>
      <c r="I163" s="124" t="n">
        <f aca="false">IF(MONTH($A163)=MONTH($A162),IF(G163=0,I162,G163),G163)</f>
        <v>-1</v>
      </c>
      <c r="J163" s="124" t="n">
        <f aca="false">IF(MONTH($A163)=MONTH($A162),SUM(I163-I162),I163)</f>
        <v>0</v>
      </c>
      <c r="K163" s="124" t="n">
        <f aca="false">IF(WEEKDAY(A163,3)&gt;4,0,(IF(A163&lt;K$2,0,IF(A163&lt;=K$3,1,0))))</f>
        <v>0</v>
      </c>
      <c r="L163" s="124" t="n">
        <f aca="false">J163*K163</f>
        <v>0</v>
      </c>
      <c r="M163" s="124" t="n">
        <f aca="false">SUM(J$97:J163)</f>
        <v>-765230</v>
      </c>
      <c r="N163" s="124" t="n">
        <f aca="false">SUM(J$6:J163)</f>
        <v>-1533926</v>
      </c>
      <c r="P163" s="124" t="n">
        <f aca="false">D163/P$3</f>
        <v>0</v>
      </c>
      <c r="Q163" s="124" t="n">
        <f aca="false">E163/P$3</f>
        <v>0</v>
      </c>
      <c r="R163" s="124" t="n">
        <f aca="false">F163/R$3</f>
        <v>0</v>
      </c>
      <c r="S163" s="126" t="n">
        <f aca="false">J163/$R$3</f>
        <v>0</v>
      </c>
      <c r="T163" s="126" t="n">
        <f aca="false">L163/$R$3</f>
        <v>0</v>
      </c>
      <c r="U163" s="126" t="n">
        <f aca="false">I163/$R$3</f>
        <v>-0.001</v>
      </c>
      <c r="V163" s="126" t="n">
        <f aca="false">M163/$R$3</f>
        <v>-765.23</v>
      </c>
      <c r="W163" s="126" t="n">
        <f aca="false">N163/$R$3</f>
        <v>-1533.926</v>
      </c>
    </row>
    <row r="164" customFormat="false" ht="12.75" hidden="true" customHeight="false" outlineLevel="0" collapsed="false">
      <c r="A164" s="120" t="n">
        <f aca="false">A163+1</f>
        <v>37050</v>
      </c>
      <c r="B164" s="131" t="str">
        <f aca="false">INDEX('Master Data'!$A$2:$B$8,MATCH(WEEKDAY('ARG Gas Transport'!A164,3),'Master Data'!$A$2:$A$8,0),2)</f>
        <v>F</v>
      </c>
      <c r="D164" s="124"/>
      <c r="E164" s="124"/>
      <c r="F164" s="124"/>
      <c r="G164" s="124" t="n">
        <v>-2</v>
      </c>
      <c r="I164" s="124" t="n">
        <f aca="false">IF(MONTH($A164)=MONTH($A163),IF(G164=0,I163,G164),G164)</f>
        <v>-2</v>
      </c>
      <c r="J164" s="124" t="n">
        <f aca="false">IF(MONTH($A164)=MONTH($A163),SUM(I164-I163),I164)</f>
        <v>-1</v>
      </c>
      <c r="K164" s="124" t="n">
        <f aca="false">IF(WEEKDAY(A164,3)&gt;4,0,(IF(A164&lt;K$2,0,IF(A164&lt;=K$3,1,0))))</f>
        <v>0</v>
      </c>
      <c r="L164" s="124" t="n">
        <f aca="false">J164*K164</f>
        <v>-0</v>
      </c>
      <c r="M164" s="124" t="n">
        <f aca="false">SUM(J$97:J164)</f>
        <v>-765231</v>
      </c>
      <c r="N164" s="124" t="n">
        <f aca="false">SUM(J$6:J164)</f>
        <v>-1533927</v>
      </c>
      <c r="P164" s="124" t="n">
        <f aca="false">D164/P$3</f>
        <v>0</v>
      </c>
      <c r="Q164" s="124" t="n">
        <f aca="false">E164/P$3</f>
        <v>0</v>
      </c>
      <c r="R164" s="124" t="n">
        <f aca="false">F164/R$3</f>
        <v>0</v>
      </c>
      <c r="S164" s="126" t="n">
        <f aca="false">J164/$R$3</f>
        <v>-0.001</v>
      </c>
      <c r="T164" s="126" t="n">
        <f aca="false">L164/$R$3</f>
        <v>-0</v>
      </c>
      <c r="U164" s="126" t="n">
        <f aca="false">I164/$R$3</f>
        <v>-0.002</v>
      </c>
      <c r="V164" s="126" t="n">
        <f aca="false">M164/$R$3</f>
        <v>-765.231</v>
      </c>
      <c r="W164" s="126" t="n">
        <f aca="false">N164/$R$3</f>
        <v>-1533.927</v>
      </c>
    </row>
    <row r="165" customFormat="false" ht="12.75" hidden="true" customHeight="false" outlineLevel="0" collapsed="false">
      <c r="A165" s="120" t="n">
        <f aca="false">A164+1</f>
        <v>37051</v>
      </c>
      <c r="B165" s="131" t="str">
        <f aca="false">INDEX('Master Data'!$A$2:$B$8,MATCH(WEEKDAY('ARG Gas Transport'!A165,3),'Master Data'!$A$2:$A$8,0),2)</f>
        <v>Sa</v>
      </c>
      <c r="D165" s="124"/>
      <c r="E165" s="124"/>
      <c r="F165" s="124"/>
      <c r="G165" s="124"/>
      <c r="I165" s="124" t="n">
        <f aca="false">IF(MONTH($A165)=MONTH($A164),IF(G165=0,I164,G165),G165)</f>
        <v>-2</v>
      </c>
      <c r="J165" s="124" t="n">
        <f aca="false">IF(MONTH($A165)=MONTH($A164),SUM(I165-I164),I165)</f>
        <v>0</v>
      </c>
      <c r="K165" s="124" t="n">
        <f aca="false">IF(WEEKDAY(A165,3)&gt;4,0,(IF(A165&lt;K$2,0,IF(A165&lt;=K$3,1,0))))</f>
        <v>0</v>
      </c>
      <c r="L165" s="124" t="n">
        <f aca="false">J165*K165</f>
        <v>0</v>
      </c>
      <c r="M165" s="124" t="n">
        <f aca="false">SUM(J$97:J165)</f>
        <v>-765231</v>
      </c>
      <c r="N165" s="124" t="n">
        <f aca="false">SUM(J$6:J165)</f>
        <v>-1533927</v>
      </c>
      <c r="P165" s="124" t="n">
        <f aca="false">D165/P$3</f>
        <v>0</v>
      </c>
      <c r="Q165" s="124" t="n">
        <f aca="false">E165/P$3</f>
        <v>0</v>
      </c>
      <c r="R165" s="124" t="n">
        <f aca="false">F165/R$3</f>
        <v>0</v>
      </c>
      <c r="S165" s="126" t="n">
        <f aca="false">J165/$R$3</f>
        <v>0</v>
      </c>
      <c r="T165" s="126" t="n">
        <f aca="false">L165/$R$3</f>
        <v>0</v>
      </c>
      <c r="U165" s="126" t="n">
        <f aca="false">I165/$R$3</f>
        <v>-0.002</v>
      </c>
      <c r="V165" s="126" t="n">
        <f aca="false">M165/$R$3</f>
        <v>-765.231</v>
      </c>
      <c r="W165" s="126" t="n">
        <f aca="false">N165/$R$3</f>
        <v>-1533.927</v>
      </c>
    </row>
    <row r="166" customFormat="false" ht="12.75" hidden="true" customHeight="false" outlineLevel="0" collapsed="false">
      <c r="A166" s="120" t="n">
        <f aca="false">A165+1</f>
        <v>37052</v>
      </c>
      <c r="B166" s="131" t="str">
        <f aca="false">INDEX('Master Data'!$A$2:$B$8,MATCH(WEEKDAY('ARG Gas Transport'!A166,3),'Master Data'!$A$2:$A$8,0),2)</f>
        <v>Su</v>
      </c>
      <c r="D166" s="124"/>
      <c r="E166" s="124"/>
      <c r="F166" s="124"/>
      <c r="G166" s="124"/>
      <c r="I166" s="124" t="n">
        <f aca="false">IF(MONTH($A166)=MONTH($A165),IF(G166=0,I165,G166),G166)</f>
        <v>-2</v>
      </c>
      <c r="J166" s="124" t="n">
        <f aca="false">IF(MONTH($A166)=MONTH($A165),SUM(I166-I165),I166)</f>
        <v>0</v>
      </c>
      <c r="K166" s="124" t="n">
        <f aca="false">IF(WEEKDAY(A166,3)&gt;4,0,(IF(A166&lt;K$2,0,IF(A166&lt;=K$3,1,0))))</f>
        <v>0</v>
      </c>
      <c r="L166" s="124" t="n">
        <f aca="false">J166*K166</f>
        <v>0</v>
      </c>
      <c r="M166" s="124" t="n">
        <f aca="false">SUM(J$97:J166)</f>
        <v>-765231</v>
      </c>
      <c r="N166" s="124" t="n">
        <f aca="false">SUM(J$6:J166)</f>
        <v>-1533927</v>
      </c>
      <c r="P166" s="124" t="n">
        <f aca="false">D166/P$3</f>
        <v>0</v>
      </c>
      <c r="Q166" s="124" t="n">
        <f aca="false">E166/P$3</f>
        <v>0</v>
      </c>
      <c r="R166" s="124" t="n">
        <f aca="false">F166/R$3</f>
        <v>0</v>
      </c>
      <c r="S166" s="126" t="n">
        <f aca="false">J166/$R$3</f>
        <v>0</v>
      </c>
      <c r="T166" s="126" t="n">
        <f aca="false">L166/$R$3</f>
        <v>0</v>
      </c>
      <c r="U166" s="126" t="n">
        <f aca="false">I166/$R$3</f>
        <v>-0.002</v>
      </c>
      <c r="V166" s="126" t="n">
        <f aca="false">M166/$R$3</f>
        <v>-765.231</v>
      </c>
      <c r="W166" s="126" t="n">
        <f aca="false">N166/$R$3</f>
        <v>-1533.927</v>
      </c>
    </row>
    <row r="167" customFormat="false" ht="12.75" hidden="true" customHeight="false" outlineLevel="0" collapsed="false">
      <c r="A167" s="120" t="n">
        <f aca="false">A166+1</f>
        <v>37053</v>
      </c>
      <c r="B167" s="131" t="str">
        <f aca="false">INDEX('Master Data'!$A$2:$B$8,MATCH(WEEKDAY('ARG Gas Transport'!A167,3),'Master Data'!$A$2:$A$8,0),2)</f>
        <v>M</v>
      </c>
      <c r="D167" s="124"/>
      <c r="E167" s="124"/>
      <c r="F167" s="124"/>
      <c r="G167" s="124" t="n">
        <v>1</v>
      </c>
      <c r="I167" s="124" t="n">
        <f aca="false">IF(MONTH($A167)=MONTH($A166),IF(G167=0,I166,G167),G167)</f>
        <v>1</v>
      </c>
      <c r="J167" s="124" t="n">
        <f aca="false">IF(MONTH($A167)=MONTH($A166),SUM(I167-I166),I167)</f>
        <v>3</v>
      </c>
      <c r="K167" s="124" t="n">
        <f aca="false">IF(WEEKDAY(A167,3)&gt;4,0,(IF(A167&lt;K$2,0,IF(A167&lt;=K$3,1,0))))</f>
        <v>0</v>
      </c>
      <c r="L167" s="124" t="n">
        <f aca="false">J167*K167</f>
        <v>0</v>
      </c>
      <c r="M167" s="124" t="n">
        <f aca="false">SUM(J$97:J167)</f>
        <v>-765228</v>
      </c>
      <c r="N167" s="124" t="n">
        <f aca="false">SUM(J$6:J167)</f>
        <v>-1533924</v>
      </c>
      <c r="P167" s="124" t="n">
        <f aca="false">D167/P$3</f>
        <v>0</v>
      </c>
      <c r="Q167" s="124" t="n">
        <f aca="false">E167/P$3</f>
        <v>0</v>
      </c>
      <c r="R167" s="124" t="n">
        <f aca="false">F167/R$3</f>
        <v>0</v>
      </c>
      <c r="S167" s="126" t="n">
        <f aca="false">J167/$R$3</f>
        <v>0.003</v>
      </c>
      <c r="T167" s="126" t="n">
        <f aca="false">L167/$R$3</f>
        <v>0</v>
      </c>
      <c r="U167" s="126" t="n">
        <f aca="false">I167/$R$3</f>
        <v>0.001</v>
      </c>
      <c r="V167" s="126" t="n">
        <f aca="false">M167/$R$3</f>
        <v>-765.228</v>
      </c>
      <c r="W167" s="126" t="n">
        <f aca="false">N167/$R$3</f>
        <v>-1533.924</v>
      </c>
    </row>
    <row r="168" customFormat="false" ht="12.75" hidden="true" customHeight="false" outlineLevel="0" collapsed="false">
      <c r="A168" s="120" t="n">
        <f aca="false">A167+1</f>
        <v>37054</v>
      </c>
      <c r="B168" s="131" t="str">
        <f aca="false">INDEX('Master Data'!$A$2:$B$8,MATCH(WEEKDAY('ARG Gas Transport'!A168,3),'Master Data'!$A$2:$A$8,0),2)</f>
        <v>T</v>
      </c>
      <c r="D168" s="124"/>
      <c r="E168" s="124"/>
      <c r="F168" s="124"/>
      <c r="G168" s="124" t="n">
        <v>2</v>
      </c>
      <c r="I168" s="124" t="n">
        <f aca="false">IF(MONTH($A168)=MONTH($A167),IF(G168=0,I167,G168),G168)</f>
        <v>2</v>
      </c>
      <c r="J168" s="124" t="n">
        <f aca="false">IF(MONTH($A168)=MONTH($A167),SUM(I168-I167),I168)</f>
        <v>1</v>
      </c>
      <c r="K168" s="124" t="n">
        <f aca="false">IF(WEEKDAY(A168,3)&gt;4,0,(IF(A168&lt;K$2,0,IF(A168&lt;=K$3,1,0))))</f>
        <v>0</v>
      </c>
      <c r="L168" s="124" t="n">
        <f aca="false">J168*K168</f>
        <v>0</v>
      </c>
      <c r="M168" s="124" t="n">
        <f aca="false">SUM(J$97:J168)</f>
        <v>-765227</v>
      </c>
      <c r="N168" s="124" t="n">
        <f aca="false">SUM(J$6:J168)</f>
        <v>-1533923</v>
      </c>
      <c r="P168" s="124" t="n">
        <f aca="false">D168/P$3</f>
        <v>0</v>
      </c>
      <c r="Q168" s="124" t="n">
        <f aca="false">E168/P$3</f>
        <v>0</v>
      </c>
      <c r="R168" s="124" t="n">
        <f aca="false">F168/R$3</f>
        <v>0</v>
      </c>
      <c r="S168" s="126" t="n">
        <f aca="false">J168/$R$3</f>
        <v>0.001</v>
      </c>
      <c r="T168" s="126" t="n">
        <f aca="false">L168/$R$3</f>
        <v>0</v>
      </c>
      <c r="U168" s="126" t="n">
        <f aca="false">I168/$R$3</f>
        <v>0.002</v>
      </c>
      <c r="V168" s="126" t="n">
        <f aca="false">M168/$R$3</f>
        <v>-765.227</v>
      </c>
      <c r="W168" s="126" t="n">
        <f aca="false">N168/$R$3</f>
        <v>-1533.923</v>
      </c>
    </row>
    <row r="169" customFormat="false" ht="12.75" hidden="true" customHeight="false" outlineLevel="0" collapsed="false">
      <c r="A169" s="120" t="n">
        <f aca="false">A168+1</f>
        <v>37055</v>
      </c>
      <c r="B169" s="131" t="str">
        <f aca="false">INDEX('Master Data'!$A$2:$B$8,MATCH(WEEKDAY('ARG Gas Transport'!A169,3),'Master Data'!$A$2:$A$8,0),2)</f>
        <v>W</v>
      </c>
      <c r="D169" s="124"/>
      <c r="E169" s="124"/>
      <c r="F169" s="124"/>
      <c r="G169" s="124" t="n">
        <v>3</v>
      </c>
      <c r="I169" s="124" t="n">
        <f aca="false">IF(MONTH($A169)=MONTH($A168),IF(G169=0,I168,G169),G169)</f>
        <v>3</v>
      </c>
      <c r="J169" s="124" t="n">
        <f aca="false">IF(MONTH($A169)=MONTH($A168),SUM(I169-I168),I169)</f>
        <v>1</v>
      </c>
      <c r="K169" s="124" t="n">
        <f aca="false">IF(WEEKDAY(A169,3)&gt;4,0,(IF(A169&lt;K$2,0,IF(A169&lt;=K$3,1,0))))</f>
        <v>0</v>
      </c>
      <c r="L169" s="124" t="n">
        <f aca="false">J169*K169</f>
        <v>0</v>
      </c>
      <c r="M169" s="124" t="n">
        <f aca="false">SUM(J$97:J169)</f>
        <v>-765226</v>
      </c>
      <c r="N169" s="124" t="n">
        <f aca="false">SUM(J$6:J169)</f>
        <v>-1533922</v>
      </c>
      <c r="P169" s="124" t="n">
        <f aca="false">D169/P$3</f>
        <v>0</v>
      </c>
      <c r="Q169" s="124" t="n">
        <f aca="false">E169/P$3</f>
        <v>0</v>
      </c>
      <c r="R169" s="124" t="n">
        <f aca="false">F169/R$3</f>
        <v>0</v>
      </c>
      <c r="S169" s="126" t="n">
        <f aca="false">J169/$R$3</f>
        <v>0.001</v>
      </c>
      <c r="T169" s="126" t="n">
        <f aca="false">L169/$R$3</f>
        <v>0</v>
      </c>
      <c r="U169" s="126" t="n">
        <f aca="false">I169/$R$3</f>
        <v>0.003</v>
      </c>
      <c r="V169" s="126" t="n">
        <f aca="false">M169/$R$3</f>
        <v>-765.226</v>
      </c>
      <c r="W169" s="126" t="n">
        <f aca="false">N169/$R$3</f>
        <v>-1533.922</v>
      </c>
    </row>
    <row r="170" customFormat="false" ht="12.75" hidden="true" customHeight="false" outlineLevel="0" collapsed="false">
      <c r="A170" s="120" t="n">
        <f aca="false">A169+1</f>
        <v>37056</v>
      </c>
      <c r="B170" s="131" t="str">
        <f aca="false">INDEX('Master Data'!$A$2:$B$8,MATCH(WEEKDAY('ARG Gas Transport'!A170,3),'Master Data'!$A$2:$A$8,0),2)</f>
        <v>Th</v>
      </c>
      <c r="D170" s="124"/>
      <c r="E170" s="124"/>
      <c r="F170" s="124"/>
      <c r="G170" s="124" t="n">
        <v>3</v>
      </c>
      <c r="I170" s="124" t="n">
        <f aca="false">IF(MONTH($A170)=MONTH($A169),IF(G170=0,I169,G170),G170)</f>
        <v>3</v>
      </c>
      <c r="J170" s="124" t="n">
        <f aca="false">IF(MONTH($A170)=MONTH($A169),SUM(I170-I169),I170)</f>
        <v>0</v>
      </c>
      <c r="K170" s="124" t="n">
        <f aca="false">IF(WEEKDAY(A170,3)&gt;4,0,(IF(A170&lt;K$2,0,IF(A170&lt;=K$3,1,0))))</f>
        <v>0</v>
      </c>
      <c r="L170" s="124" t="n">
        <f aca="false">J170*K170</f>
        <v>0</v>
      </c>
      <c r="M170" s="124" t="n">
        <f aca="false">SUM(J$97:J170)</f>
        <v>-765226</v>
      </c>
      <c r="N170" s="124" t="n">
        <f aca="false">SUM(J$6:J170)</f>
        <v>-1533922</v>
      </c>
      <c r="P170" s="124" t="n">
        <f aca="false">D170/P$3</f>
        <v>0</v>
      </c>
      <c r="Q170" s="124" t="n">
        <f aca="false">E170/P$3</f>
        <v>0</v>
      </c>
      <c r="R170" s="124" t="n">
        <f aca="false">F170/R$3</f>
        <v>0</v>
      </c>
      <c r="S170" s="126" t="n">
        <f aca="false">J170/$R$3</f>
        <v>0</v>
      </c>
      <c r="T170" s="126" t="n">
        <f aca="false">L170/$R$3</f>
        <v>0</v>
      </c>
      <c r="U170" s="126" t="n">
        <f aca="false">I170/$R$3</f>
        <v>0.003</v>
      </c>
      <c r="V170" s="126" t="n">
        <f aca="false">M170/$R$3</f>
        <v>-765.226</v>
      </c>
      <c r="W170" s="126" t="n">
        <f aca="false">N170/$R$3</f>
        <v>-1533.922</v>
      </c>
    </row>
    <row r="171" customFormat="false" ht="12.75" hidden="true" customHeight="false" outlineLevel="0" collapsed="false">
      <c r="A171" s="120" t="n">
        <f aca="false">A170+1</f>
        <v>37057</v>
      </c>
      <c r="B171" s="131" t="str">
        <f aca="false">INDEX('Master Data'!$A$2:$B$8,MATCH(WEEKDAY('ARG Gas Transport'!A171,3),'Master Data'!$A$2:$A$8,0),2)</f>
        <v>F</v>
      </c>
      <c r="D171" s="124"/>
      <c r="E171" s="124"/>
      <c r="F171" s="124"/>
      <c r="G171" s="124" t="n">
        <v>4</v>
      </c>
      <c r="I171" s="124" t="n">
        <f aca="false">IF(MONTH($A171)=MONTH($A170),IF(G171=0,I170,G171),G171)</f>
        <v>4</v>
      </c>
      <c r="J171" s="124" t="n">
        <f aca="false">IF(MONTH($A171)=MONTH($A170),SUM(I171-I170),I171)</f>
        <v>1</v>
      </c>
      <c r="K171" s="124" t="n">
        <f aca="false">IF(WEEKDAY(A171,3)&gt;4,0,(IF(A171&lt;K$2,0,IF(A171&lt;=K$3,1,0))))</f>
        <v>0</v>
      </c>
      <c r="L171" s="124" t="n">
        <f aca="false">J171*K171</f>
        <v>0</v>
      </c>
      <c r="M171" s="124" t="n">
        <f aca="false">SUM(J$97:J171)</f>
        <v>-765225</v>
      </c>
      <c r="N171" s="124" t="n">
        <f aca="false">SUM(J$6:J171)</f>
        <v>-1533921</v>
      </c>
      <c r="P171" s="124" t="n">
        <f aca="false">D171/P$3</f>
        <v>0</v>
      </c>
      <c r="Q171" s="124" t="n">
        <f aca="false">E171/P$3</f>
        <v>0</v>
      </c>
      <c r="R171" s="124" t="n">
        <f aca="false">F171/R$3</f>
        <v>0</v>
      </c>
      <c r="S171" s="126" t="n">
        <f aca="false">J171/$R$3</f>
        <v>0.001</v>
      </c>
      <c r="T171" s="126" t="n">
        <f aca="false">L171/$R$3</f>
        <v>0</v>
      </c>
      <c r="U171" s="126" t="n">
        <f aca="false">I171/$R$3</f>
        <v>0.004</v>
      </c>
      <c r="V171" s="126" t="n">
        <f aca="false">M171/$R$3</f>
        <v>-765.225</v>
      </c>
      <c r="W171" s="126" t="n">
        <f aca="false">N171/$R$3</f>
        <v>-1533.921</v>
      </c>
    </row>
    <row r="172" customFormat="false" ht="12.75" hidden="true" customHeight="false" outlineLevel="0" collapsed="false">
      <c r="A172" s="120" t="n">
        <f aca="false">A171+1</f>
        <v>37058</v>
      </c>
      <c r="B172" s="131" t="str">
        <f aca="false">INDEX('Master Data'!$A$2:$B$8,MATCH(WEEKDAY('ARG Gas Transport'!A172,3),'Master Data'!$A$2:$A$8,0),2)</f>
        <v>Sa</v>
      </c>
      <c r="D172" s="124"/>
      <c r="E172" s="124"/>
      <c r="F172" s="124"/>
      <c r="G172" s="124"/>
      <c r="I172" s="124" t="n">
        <f aca="false">IF(MONTH($A172)=MONTH($A171),IF(G172=0,I171,G172),G172)</f>
        <v>4</v>
      </c>
      <c r="J172" s="124" t="n">
        <f aca="false">IF(MONTH($A172)=MONTH($A171),SUM(I172-I171),I172)</f>
        <v>0</v>
      </c>
      <c r="K172" s="124" t="n">
        <f aca="false">IF(WEEKDAY(A172,3)&gt;4,0,(IF(A172&lt;K$2,0,IF(A172&lt;=K$3,1,0))))</f>
        <v>0</v>
      </c>
      <c r="L172" s="124" t="n">
        <f aca="false">J172*K172</f>
        <v>0</v>
      </c>
      <c r="M172" s="124" t="n">
        <f aca="false">SUM(J$97:J172)</f>
        <v>-765225</v>
      </c>
      <c r="N172" s="124" t="n">
        <f aca="false">SUM(J$6:J172)</f>
        <v>-1533921</v>
      </c>
      <c r="P172" s="124" t="n">
        <f aca="false">D172/P$3</f>
        <v>0</v>
      </c>
      <c r="Q172" s="124" t="n">
        <f aca="false">E172/P$3</f>
        <v>0</v>
      </c>
      <c r="R172" s="124" t="n">
        <f aca="false">F172/R$3</f>
        <v>0</v>
      </c>
      <c r="S172" s="126" t="n">
        <f aca="false">J172/$R$3</f>
        <v>0</v>
      </c>
      <c r="T172" s="126" t="n">
        <f aca="false">L172/$R$3</f>
        <v>0</v>
      </c>
      <c r="U172" s="126" t="n">
        <f aca="false">I172/$R$3</f>
        <v>0.004</v>
      </c>
      <c r="V172" s="126" t="n">
        <f aca="false">M172/$R$3</f>
        <v>-765.225</v>
      </c>
      <c r="W172" s="126" t="n">
        <f aca="false">N172/$R$3</f>
        <v>-1533.921</v>
      </c>
    </row>
    <row r="173" customFormat="false" ht="12.75" hidden="true" customHeight="false" outlineLevel="0" collapsed="false">
      <c r="A173" s="120" t="n">
        <f aca="false">A172+1</f>
        <v>37059</v>
      </c>
      <c r="B173" s="131" t="str">
        <f aca="false">INDEX('Master Data'!$A$2:$B$8,MATCH(WEEKDAY('ARG Gas Transport'!A173,3),'Master Data'!$A$2:$A$8,0),2)</f>
        <v>Su</v>
      </c>
      <c r="D173" s="124"/>
      <c r="E173" s="124"/>
      <c r="F173" s="124"/>
      <c r="G173" s="124"/>
      <c r="I173" s="124" t="n">
        <f aca="false">IF(MONTH($A173)=MONTH($A172),IF(G173=0,I172,G173),G173)</f>
        <v>4</v>
      </c>
      <c r="J173" s="124" t="n">
        <f aca="false">IF(MONTH($A173)=MONTH($A172),SUM(I173-I172),I173)</f>
        <v>0</v>
      </c>
      <c r="K173" s="124" t="n">
        <f aca="false">IF(WEEKDAY(A173,3)&gt;4,0,(IF(A173&lt;K$2,0,IF(A173&lt;=K$3,1,0))))</f>
        <v>0</v>
      </c>
      <c r="L173" s="124" t="n">
        <f aca="false">J173*K173</f>
        <v>0</v>
      </c>
      <c r="M173" s="124" t="n">
        <f aca="false">SUM(J$97:J173)</f>
        <v>-765225</v>
      </c>
      <c r="N173" s="124" t="n">
        <f aca="false">SUM(J$6:J173)</f>
        <v>-1533921</v>
      </c>
      <c r="P173" s="124" t="n">
        <f aca="false">D173/P$3</f>
        <v>0</v>
      </c>
      <c r="Q173" s="124" t="n">
        <f aca="false">E173/P$3</f>
        <v>0</v>
      </c>
      <c r="R173" s="124" t="n">
        <f aca="false">F173/R$3</f>
        <v>0</v>
      </c>
      <c r="S173" s="126" t="n">
        <f aca="false">J173/$R$3</f>
        <v>0</v>
      </c>
      <c r="T173" s="126" t="n">
        <f aca="false">L173/$R$3</f>
        <v>0</v>
      </c>
      <c r="U173" s="126" t="n">
        <f aca="false">I173/$R$3</f>
        <v>0.004</v>
      </c>
      <c r="V173" s="126" t="n">
        <f aca="false">M173/$R$3</f>
        <v>-765.225</v>
      </c>
      <c r="W173" s="126" t="n">
        <f aca="false">N173/$R$3</f>
        <v>-1533.921</v>
      </c>
    </row>
    <row r="174" customFormat="false" ht="12.75" hidden="true" customHeight="false" outlineLevel="0" collapsed="false">
      <c r="A174" s="120" t="n">
        <f aca="false">A173+1</f>
        <v>37060</v>
      </c>
      <c r="B174" s="131" t="str">
        <f aca="false">INDEX('Master Data'!$A$2:$B$8,MATCH(WEEKDAY('ARG Gas Transport'!A174,3),'Master Data'!$A$2:$A$8,0),2)</f>
        <v>M</v>
      </c>
      <c r="D174" s="124"/>
      <c r="E174" s="124"/>
      <c r="F174" s="124"/>
      <c r="G174" s="124" t="n">
        <v>8</v>
      </c>
      <c r="I174" s="124" t="n">
        <f aca="false">IF(MONTH($A174)=MONTH($A173),IF(G174=0,I173,G174),G174)</f>
        <v>8</v>
      </c>
      <c r="J174" s="124" t="n">
        <f aca="false">IF(MONTH($A174)=MONTH($A173),SUM(I174-I173),I174)</f>
        <v>4</v>
      </c>
      <c r="K174" s="124" t="n">
        <f aca="false">IF(WEEKDAY(A174,3)&gt;4,0,(IF(A174&lt;K$2,0,IF(A174&lt;=K$3,1,0))))</f>
        <v>0</v>
      </c>
      <c r="L174" s="124" t="n">
        <f aca="false">J174*K174</f>
        <v>0</v>
      </c>
      <c r="M174" s="124" t="n">
        <f aca="false">SUM(J$97:J174)</f>
        <v>-765221</v>
      </c>
      <c r="N174" s="124" t="n">
        <f aca="false">SUM(J$6:J174)</f>
        <v>-1533917</v>
      </c>
      <c r="P174" s="124" t="n">
        <f aca="false">D174/P$3</f>
        <v>0</v>
      </c>
      <c r="Q174" s="124" t="n">
        <f aca="false">E174/P$3</f>
        <v>0</v>
      </c>
      <c r="R174" s="124" t="n">
        <f aca="false">F174/R$3</f>
        <v>0</v>
      </c>
      <c r="S174" s="126" t="n">
        <f aca="false">J174/$R$3</f>
        <v>0.004</v>
      </c>
      <c r="T174" s="126" t="n">
        <f aca="false">L174/$R$3</f>
        <v>0</v>
      </c>
      <c r="U174" s="126" t="n">
        <f aca="false">I174/$R$3</f>
        <v>0.008</v>
      </c>
      <c r="V174" s="126" t="n">
        <f aca="false">M174/$R$3</f>
        <v>-765.221</v>
      </c>
      <c r="W174" s="126" t="n">
        <f aca="false">N174/$R$3</f>
        <v>-1533.917</v>
      </c>
    </row>
    <row r="175" customFormat="false" ht="12.75" hidden="true" customHeight="false" outlineLevel="0" collapsed="false">
      <c r="A175" s="120" t="n">
        <f aca="false">A174+1</f>
        <v>37061</v>
      </c>
      <c r="B175" s="131" t="str">
        <f aca="false">INDEX('Master Data'!$A$2:$B$8,MATCH(WEEKDAY('ARG Gas Transport'!A175,3),'Master Data'!$A$2:$A$8,0),2)</f>
        <v>T</v>
      </c>
      <c r="D175" s="124"/>
      <c r="E175" s="124"/>
      <c r="F175" s="124"/>
      <c r="G175" s="124" t="n">
        <v>8</v>
      </c>
      <c r="I175" s="124" t="n">
        <f aca="false">IF(MONTH($A175)=MONTH($A174),IF(G175=0,I174,G175),G175)</f>
        <v>8</v>
      </c>
      <c r="J175" s="124" t="n">
        <f aca="false">IF(MONTH($A175)=MONTH($A174),SUM(I175-I174),I175)</f>
        <v>0</v>
      </c>
      <c r="K175" s="124" t="n">
        <f aca="false">IF(WEEKDAY(A175,3)&gt;4,0,(IF(A175&lt;K$2,0,IF(A175&lt;=K$3,1,0))))</f>
        <v>0</v>
      </c>
      <c r="L175" s="124" t="n">
        <f aca="false">J175*K175</f>
        <v>0</v>
      </c>
      <c r="M175" s="124" t="n">
        <f aca="false">SUM(J$97:J175)</f>
        <v>-765221</v>
      </c>
      <c r="N175" s="124" t="n">
        <f aca="false">SUM(J$6:J175)</f>
        <v>-1533917</v>
      </c>
      <c r="P175" s="124" t="n">
        <f aca="false">D175/P$3</f>
        <v>0</v>
      </c>
      <c r="Q175" s="124" t="n">
        <f aca="false">E175/P$3</f>
        <v>0</v>
      </c>
      <c r="R175" s="124" t="n">
        <f aca="false">F175/R$3</f>
        <v>0</v>
      </c>
      <c r="S175" s="126" t="n">
        <f aca="false">J175/$R$3</f>
        <v>0</v>
      </c>
      <c r="T175" s="126" t="n">
        <f aca="false">L175/$R$3</f>
        <v>0</v>
      </c>
      <c r="U175" s="126" t="n">
        <f aca="false">I175/$R$3</f>
        <v>0.008</v>
      </c>
      <c r="V175" s="126" t="n">
        <f aca="false">M175/$R$3</f>
        <v>-765.221</v>
      </c>
      <c r="W175" s="126" t="n">
        <f aca="false">N175/$R$3</f>
        <v>-1533.917</v>
      </c>
    </row>
    <row r="176" customFormat="false" ht="12.75" hidden="true" customHeight="false" outlineLevel="0" collapsed="false">
      <c r="A176" s="120" t="n">
        <f aca="false">A175+1</f>
        <v>37062</v>
      </c>
      <c r="B176" s="131" t="str">
        <f aca="false">INDEX('Master Data'!$A$2:$B$8,MATCH(WEEKDAY('ARG Gas Transport'!A176,3),'Master Data'!$A$2:$A$8,0),2)</f>
        <v>W</v>
      </c>
      <c r="D176" s="124"/>
      <c r="E176" s="124"/>
      <c r="F176" s="124"/>
      <c r="G176" s="124" t="n">
        <v>9</v>
      </c>
      <c r="I176" s="124" t="n">
        <f aca="false">IF(MONTH($A176)=MONTH($A175),IF(G176=0,I175,G176),G176)</f>
        <v>9</v>
      </c>
      <c r="J176" s="124" t="n">
        <f aca="false">IF(MONTH($A176)=MONTH($A175),SUM(I176-I175),I176)</f>
        <v>1</v>
      </c>
      <c r="K176" s="124" t="n">
        <f aca="false">IF(WEEKDAY(A176,3)&gt;4,0,(IF(A176&lt;K$2,0,IF(A176&lt;=K$3,1,0))))</f>
        <v>0</v>
      </c>
      <c r="L176" s="124" t="n">
        <f aca="false">J176*K176</f>
        <v>0</v>
      </c>
      <c r="M176" s="124" t="n">
        <f aca="false">SUM(J$97:J176)</f>
        <v>-765220</v>
      </c>
      <c r="N176" s="124" t="n">
        <f aca="false">SUM(J$6:J176)</f>
        <v>-1533916</v>
      </c>
      <c r="P176" s="124" t="n">
        <f aca="false">D176/P$3</f>
        <v>0</v>
      </c>
      <c r="Q176" s="124" t="n">
        <f aca="false">E176/P$3</f>
        <v>0</v>
      </c>
      <c r="R176" s="124" t="n">
        <f aca="false">F176/R$3</f>
        <v>0</v>
      </c>
      <c r="S176" s="126" t="n">
        <f aca="false">J176/$R$3</f>
        <v>0.001</v>
      </c>
      <c r="T176" s="126" t="n">
        <f aca="false">L176/$R$3</f>
        <v>0</v>
      </c>
      <c r="U176" s="126" t="n">
        <f aca="false">I176/$R$3</f>
        <v>0.009</v>
      </c>
      <c r="V176" s="126" t="n">
        <f aca="false">M176/$R$3</f>
        <v>-765.22</v>
      </c>
      <c r="W176" s="126" t="n">
        <f aca="false">N176/$R$3</f>
        <v>-1533.916</v>
      </c>
    </row>
    <row r="177" customFormat="false" ht="12.75" hidden="true" customHeight="false" outlineLevel="0" collapsed="false">
      <c r="A177" s="120" t="n">
        <f aca="false">A176+1</f>
        <v>37063</v>
      </c>
      <c r="B177" s="131" t="str">
        <f aca="false">INDEX('Master Data'!$A$2:$B$8,MATCH(WEEKDAY('ARG Gas Transport'!A177,3),'Master Data'!$A$2:$A$8,0),2)</f>
        <v>Th</v>
      </c>
      <c r="D177" s="124"/>
      <c r="E177" s="124"/>
      <c r="F177" s="124"/>
      <c r="G177" s="124" t="n">
        <v>8</v>
      </c>
      <c r="I177" s="124" t="n">
        <f aca="false">IF(MONTH($A177)=MONTH($A176),IF(G177=0,I176,G177),G177)</f>
        <v>8</v>
      </c>
      <c r="J177" s="124" t="n">
        <f aca="false">IF(MONTH($A177)=MONTH($A176),SUM(I177-I176),I177)</f>
        <v>-1</v>
      </c>
      <c r="K177" s="124" t="n">
        <f aca="false">IF(WEEKDAY(A177,3)&gt;4,0,(IF(A177&lt;K$2,0,IF(A177&lt;=K$3,1,0))))</f>
        <v>0</v>
      </c>
      <c r="L177" s="124" t="n">
        <f aca="false">J177*K177</f>
        <v>-0</v>
      </c>
      <c r="M177" s="124" t="n">
        <f aca="false">SUM(J$97:J177)</f>
        <v>-765221</v>
      </c>
      <c r="N177" s="124" t="n">
        <f aca="false">SUM(J$6:J177)</f>
        <v>-1533917</v>
      </c>
      <c r="P177" s="124" t="n">
        <f aca="false">D177/P$3</f>
        <v>0</v>
      </c>
      <c r="Q177" s="124" t="n">
        <f aca="false">E177/P$3</f>
        <v>0</v>
      </c>
      <c r="R177" s="124" t="n">
        <f aca="false">F177/R$3</f>
        <v>0</v>
      </c>
      <c r="S177" s="126" t="n">
        <f aca="false">J177/$R$3</f>
        <v>-0.001</v>
      </c>
      <c r="T177" s="126" t="n">
        <f aca="false">L177/$R$3</f>
        <v>-0</v>
      </c>
      <c r="U177" s="126" t="n">
        <f aca="false">I177/$R$3</f>
        <v>0.008</v>
      </c>
      <c r="V177" s="126" t="n">
        <f aca="false">M177/$R$3</f>
        <v>-765.221</v>
      </c>
      <c r="W177" s="126" t="n">
        <f aca="false">N177/$R$3</f>
        <v>-1533.917</v>
      </c>
    </row>
    <row r="178" customFormat="false" ht="12.75" hidden="true" customHeight="false" outlineLevel="0" collapsed="false">
      <c r="A178" s="120" t="n">
        <f aca="false">A177+1</f>
        <v>37064</v>
      </c>
      <c r="B178" s="131" t="str">
        <f aca="false">INDEX('Master Data'!$A$2:$B$8,MATCH(WEEKDAY('ARG Gas Transport'!A178,3),'Master Data'!$A$2:$A$8,0),2)</f>
        <v>F</v>
      </c>
      <c r="D178" s="124"/>
      <c r="E178" s="124"/>
      <c r="F178" s="124"/>
      <c r="G178" s="124" t="n">
        <v>9</v>
      </c>
      <c r="I178" s="124" t="n">
        <f aca="false">IF(MONTH($A178)=MONTH($A177),IF(G178=0,I177,G178),G178)</f>
        <v>9</v>
      </c>
      <c r="J178" s="124" t="n">
        <f aca="false">IF(MONTH($A178)=MONTH($A177),SUM(I178-I177),I178)</f>
        <v>1</v>
      </c>
      <c r="K178" s="124" t="n">
        <f aca="false">IF(WEEKDAY(A178,3)&gt;4,0,(IF(A178&lt;K$2,0,IF(A178&lt;=K$3,1,0))))</f>
        <v>0</v>
      </c>
      <c r="L178" s="124" t="n">
        <f aca="false">J178*K178</f>
        <v>0</v>
      </c>
      <c r="M178" s="124" t="n">
        <f aca="false">SUM(J$97:J178)</f>
        <v>-765220</v>
      </c>
      <c r="N178" s="124" t="n">
        <f aca="false">SUM(J$6:J178)</f>
        <v>-1533916</v>
      </c>
      <c r="P178" s="124" t="n">
        <f aca="false">D178/P$3</f>
        <v>0</v>
      </c>
      <c r="Q178" s="124" t="n">
        <f aca="false">E178/P$3</f>
        <v>0</v>
      </c>
      <c r="R178" s="124" t="n">
        <f aca="false">F178/R$3</f>
        <v>0</v>
      </c>
      <c r="S178" s="126" t="n">
        <f aca="false">J178/$R$3</f>
        <v>0.001</v>
      </c>
      <c r="T178" s="126" t="n">
        <f aca="false">L178/$R$3</f>
        <v>0</v>
      </c>
      <c r="U178" s="126" t="n">
        <f aca="false">I178/$R$3</f>
        <v>0.009</v>
      </c>
      <c r="V178" s="126" t="n">
        <f aca="false">M178/$R$3</f>
        <v>-765.22</v>
      </c>
      <c r="W178" s="126" t="n">
        <f aca="false">N178/$R$3</f>
        <v>-1533.916</v>
      </c>
    </row>
    <row r="179" customFormat="false" ht="12.75" hidden="true" customHeight="false" outlineLevel="0" collapsed="false">
      <c r="A179" s="120" t="n">
        <f aca="false">A178+1</f>
        <v>37065</v>
      </c>
      <c r="B179" s="131" t="str">
        <f aca="false">INDEX('Master Data'!$A$2:$B$8,MATCH(WEEKDAY('ARG Gas Transport'!A179,3),'Master Data'!$A$2:$A$8,0),2)</f>
        <v>Sa</v>
      </c>
      <c r="D179" s="124"/>
      <c r="E179" s="124"/>
      <c r="F179" s="124"/>
      <c r="G179" s="124"/>
      <c r="I179" s="124" t="n">
        <f aca="false">IF(MONTH($A179)=MONTH($A178),IF(G179=0,I178,G179),G179)</f>
        <v>9</v>
      </c>
      <c r="J179" s="124" t="n">
        <f aca="false">IF(MONTH($A179)=MONTH($A178),SUM(I179-I178),I179)</f>
        <v>0</v>
      </c>
      <c r="K179" s="124" t="n">
        <f aca="false">IF(WEEKDAY(A179,3)&gt;4,0,(IF(A179&lt;K$2,0,IF(A179&lt;=K$3,1,0))))</f>
        <v>0</v>
      </c>
      <c r="L179" s="124" t="n">
        <f aca="false">J179*K179</f>
        <v>0</v>
      </c>
      <c r="M179" s="124" t="n">
        <f aca="false">SUM(J$97:J179)</f>
        <v>-765220</v>
      </c>
      <c r="N179" s="124" t="n">
        <f aca="false">SUM(J$6:J179)</f>
        <v>-1533916</v>
      </c>
      <c r="P179" s="124" t="n">
        <f aca="false">D179/P$3</f>
        <v>0</v>
      </c>
      <c r="Q179" s="124" t="n">
        <f aca="false">E179/P$3</f>
        <v>0</v>
      </c>
      <c r="R179" s="124" t="n">
        <f aca="false">F179/R$3</f>
        <v>0</v>
      </c>
      <c r="S179" s="126" t="n">
        <f aca="false">J179/$R$3</f>
        <v>0</v>
      </c>
      <c r="T179" s="126" t="n">
        <f aca="false">L179/$R$3</f>
        <v>0</v>
      </c>
      <c r="U179" s="126" t="n">
        <f aca="false">I179/$R$3</f>
        <v>0.009</v>
      </c>
      <c r="V179" s="126" t="n">
        <f aca="false">M179/$R$3</f>
        <v>-765.22</v>
      </c>
      <c r="W179" s="126" t="n">
        <f aca="false">N179/$R$3</f>
        <v>-1533.916</v>
      </c>
    </row>
    <row r="180" customFormat="false" ht="12.75" hidden="true" customHeight="false" outlineLevel="0" collapsed="false">
      <c r="A180" s="120" t="n">
        <f aca="false">A179+1</f>
        <v>37066</v>
      </c>
      <c r="B180" s="131" t="str">
        <f aca="false">INDEX('Master Data'!$A$2:$B$8,MATCH(WEEKDAY('ARG Gas Transport'!A180,3),'Master Data'!$A$2:$A$8,0),2)</f>
        <v>Su</v>
      </c>
      <c r="D180" s="124"/>
      <c r="E180" s="124"/>
      <c r="F180" s="124"/>
      <c r="G180" s="124"/>
      <c r="I180" s="124" t="n">
        <f aca="false">IF(MONTH($A180)=MONTH($A179),IF(G180=0,I179,G180),G180)</f>
        <v>9</v>
      </c>
      <c r="J180" s="124" t="n">
        <f aca="false">IF(MONTH($A180)=MONTH($A179),SUM(I180-I179),I180)</f>
        <v>0</v>
      </c>
      <c r="K180" s="124" t="n">
        <f aca="false">IF(WEEKDAY(A180,3)&gt;4,0,(IF(A180&lt;K$2,0,IF(A180&lt;=K$3,1,0))))</f>
        <v>0</v>
      </c>
      <c r="L180" s="124" t="n">
        <f aca="false">J180*K180</f>
        <v>0</v>
      </c>
      <c r="M180" s="124" t="n">
        <f aca="false">SUM(J$97:J180)</f>
        <v>-765220</v>
      </c>
      <c r="N180" s="124" t="n">
        <f aca="false">SUM(J$6:J180)</f>
        <v>-1533916</v>
      </c>
      <c r="P180" s="124" t="n">
        <f aca="false">D180/P$3</f>
        <v>0</v>
      </c>
      <c r="Q180" s="124" t="n">
        <f aca="false">E180/P$3</f>
        <v>0</v>
      </c>
      <c r="R180" s="124" t="n">
        <f aca="false">F180/R$3</f>
        <v>0</v>
      </c>
      <c r="S180" s="126" t="n">
        <f aca="false">J180/$R$3</f>
        <v>0</v>
      </c>
      <c r="T180" s="126" t="n">
        <f aca="false">L180/$R$3</f>
        <v>0</v>
      </c>
      <c r="U180" s="126" t="n">
        <f aca="false">I180/$R$3</f>
        <v>0.009</v>
      </c>
      <c r="V180" s="126" t="n">
        <f aca="false">M180/$R$3</f>
        <v>-765.22</v>
      </c>
      <c r="W180" s="126" t="n">
        <f aca="false">N180/$R$3</f>
        <v>-1533.916</v>
      </c>
    </row>
    <row r="181" customFormat="false" ht="12.75" hidden="true" customHeight="false" outlineLevel="0" collapsed="false">
      <c r="A181" s="120" t="n">
        <f aca="false">A180+1</f>
        <v>37067</v>
      </c>
      <c r="B181" s="131" t="str">
        <f aca="false">INDEX('Master Data'!$A$2:$B$8,MATCH(WEEKDAY('ARG Gas Transport'!A181,3),'Master Data'!$A$2:$A$8,0),2)</f>
        <v>M</v>
      </c>
      <c r="D181" s="124"/>
      <c r="E181" s="124"/>
      <c r="F181" s="124"/>
      <c r="G181" s="124" t="n">
        <v>10</v>
      </c>
      <c r="I181" s="124" t="n">
        <f aca="false">IF(MONTH($A181)=MONTH($A180),IF(G181=0,I180,G181),G181)</f>
        <v>10</v>
      </c>
      <c r="J181" s="124" t="n">
        <f aca="false">IF(MONTH($A181)=MONTH($A180),SUM(I181-I180),I181)</f>
        <v>1</v>
      </c>
      <c r="K181" s="124" t="n">
        <f aca="false">IF(WEEKDAY(A181,3)&gt;4,0,(IF(A181&lt;K$2,0,IF(A181&lt;=K$3,1,0))))</f>
        <v>0</v>
      </c>
      <c r="L181" s="124" t="n">
        <f aca="false">J181*K181</f>
        <v>0</v>
      </c>
      <c r="M181" s="124" t="n">
        <f aca="false">SUM(J$97:J181)</f>
        <v>-765219</v>
      </c>
      <c r="N181" s="124" t="n">
        <f aca="false">SUM(J$6:J181)</f>
        <v>-1533915</v>
      </c>
      <c r="P181" s="124" t="n">
        <f aca="false">D181/P$3</f>
        <v>0</v>
      </c>
      <c r="Q181" s="124" t="n">
        <f aca="false">E181/P$3</f>
        <v>0</v>
      </c>
      <c r="R181" s="124" t="n">
        <f aca="false">F181/R$3</f>
        <v>0</v>
      </c>
      <c r="S181" s="126" t="n">
        <f aca="false">J181/$R$3</f>
        <v>0.001</v>
      </c>
      <c r="T181" s="126" t="n">
        <f aca="false">L181/$R$3</f>
        <v>0</v>
      </c>
      <c r="U181" s="126" t="n">
        <f aca="false">I181/$R$3</f>
        <v>0.01</v>
      </c>
      <c r="V181" s="126" t="n">
        <f aca="false">M181/$R$3</f>
        <v>-765.219</v>
      </c>
      <c r="W181" s="126" t="n">
        <f aca="false">N181/$R$3</f>
        <v>-1533.915</v>
      </c>
    </row>
    <row r="182" customFormat="false" ht="12.75" hidden="true" customHeight="false" outlineLevel="0" collapsed="false">
      <c r="A182" s="120" t="n">
        <f aca="false">A181+1</f>
        <v>37068</v>
      </c>
      <c r="B182" s="131" t="str">
        <f aca="false">INDEX('Master Data'!$A$2:$B$8,MATCH(WEEKDAY('ARG Gas Transport'!A182,3),'Master Data'!$A$2:$A$8,0),2)</f>
        <v>T</v>
      </c>
      <c r="D182" s="124"/>
      <c r="E182" s="124"/>
      <c r="F182" s="124"/>
      <c r="G182" s="124" t="n">
        <v>9</v>
      </c>
      <c r="I182" s="124" t="n">
        <f aca="false">IF(MONTH($A182)=MONTH($A181),IF(G182=0,I181,G182),G182)</f>
        <v>9</v>
      </c>
      <c r="J182" s="124" t="n">
        <f aca="false">IF(MONTH($A182)=MONTH($A181),SUM(I182-I181),I182)</f>
        <v>-1</v>
      </c>
      <c r="K182" s="124" t="n">
        <f aca="false">IF(WEEKDAY(A182,3)&gt;4,0,(IF(A182&lt;K$2,0,IF(A182&lt;=K$3,1,0))))</f>
        <v>0</v>
      </c>
      <c r="L182" s="124" t="n">
        <f aca="false">J182*K182</f>
        <v>-0</v>
      </c>
      <c r="M182" s="124" t="n">
        <f aca="false">SUM(J$97:J182)</f>
        <v>-765220</v>
      </c>
      <c r="N182" s="124" t="n">
        <f aca="false">SUM(J$6:J182)</f>
        <v>-1533916</v>
      </c>
      <c r="P182" s="124" t="n">
        <f aca="false">D182/P$3</f>
        <v>0</v>
      </c>
      <c r="Q182" s="124" t="n">
        <f aca="false">E182/P$3</f>
        <v>0</v>
      </c>
      <c r="R182" s="124" t="n">
        <f aca="false">F182/R$3</f>
        <v>0</v>
      </c>
      <c r="S182" s="126" t="n">
        <f aca="false">J182/$R$3</f>
        <v>-0.001</v>
      </c>
      <c r="T182" s="126" t="n">
        <f aca="false">L182/$R$3</f>
        <v>-0</v>
      </c>
      <c r="U182" s="126" t="n">
        <f aca="false">I182/$R$3</f>
        <v>0.009</v>
      </c>
      <c r="V182" s="126" t="n">
        <f aca="false">M182/$R$3</f>
        <v>-765.22</v>
      </c>
      <c r="W182" s="126" t="n">
        <f aca="false">N182/$R$3</f>
        <v>-1533.916</v>
      </c>
    </row>
    <row r="183" customFormat="false" ht="12.75" hidden="true" customHeight="false" outlineLevel="0" collapsed="false">
      <c r="A183" s="120" t="n">
        <f aca="false">A182+1</f>
        <v>37069</v>
      </c>
      <c r="B183" s="131" t="str">
        <f aca="false">INDEX('Master Data'!$A$2:$B$8,MATCH(WEEKDAY('ARG Gas Transport'!A183,3),'Master Data'!$A$2:$A$8,0),2)</f>
        <v>W</v>
      </c>
      <c r="D183" s="124"/>
      <c r="E183" s="124"/>
      <c r="F183" s="124"/>
      <c r="G183" s="124" t="n">
        <v>9</v>
      </c>
      <c r="I183" s="124" t="n">
        <f aca="false">IF(MONTH($A183)=MONTH($A182),IF(G183=0,I182,G183),G183)</f>
        <v>9</v>
      </c>
      <c r="J183" s="124" t="n">
        <f aca="false">IF(MONTH($A183)=MONTH($A182),SUM(I183-I182),I183)</f>
        <v>0</v>
      </c>
      <c r="K183" s="124" t="n">
        <f aca="false">IF(WEEKDAY(A183,3)&gt;4,0,(IF(A183&lt;K$2,0,IF(A183&lt;=K$3,1,0))))</f>
        <v>0</v>
      </c>
      <c r="L183" s="124" t="n">
        <f aca="false">J183*K183</f>
        <v>0</v>
      </c>
      <c r="M183" s="124" t="n">
        <f aca="false">SUM(J$97:J183)</f>
        <v>-765220</v>
      </c>
      <c r="N183" s="124" t="n">
        <f aca="false">SUM(J$6:J183)</f>
        <v>-1533916</v>
      </c>
      <c r="P183" s="124" t="n">
        <f aca="false">D183/P$3</f>
        <v>0</v>
      </c>
      <c r="Q183" s="124" t="n">
        <f aca="false">E183/P$3</f>
        <v>0</v>
      </c>
      <c r="R183" s="124" t="n">
        <f aca="false">F183/R$3</f>
        <v>0</v>
      </c>
      <c r="S183" s="126" t="n">
        <f aca="false">J183/$R$3</f>
        <v>0</v>
      </c>
      <c r="T183" s="126" t="n">
        <f aca="false">L183/$R$3</f>
        <v>0</v>
      </c>
      <c r="U183" s="126" t="n">
        <f aca="false">I183/$R$3</f>
        <v>0.009</v>
      </c>
      <c r="V183" s="126" t="n">
        <f aca="false">M183/$R$3</f>
        <v>-765.22</v>
      </c>
      <c r="W183" s="126" t="n">
        <f aca="false">N183/$R$3</f>
        <v>-1533.916</v>
      </c>
    </row>
    <row r="184" customFormat="false" ht="12.75" hidden="true" customHeight="false" outlineLevel="0" collapsed="false">
      <c r="A184" s="120" t="n">
        <f aca="false">A183+1</f>
        <v>37070</v>
      </c>
      <c r="B184" s="131" t="str">
        <f aca="false">INDEX('Master Data'!$A$2:$B$8,MATCH(WEEKDAY('ARG Gas Transport'!A184,3),'Master Data'!$A$2:$A$8,0),2)</f>
        <v>Th</v>
      </c>
      <c r="D184" s="124"/>
      <c r="E184" s="124"/>
      <c r="F184" s="124"/>
      <c r="G184" s="124" t="n">
        <v>7</v>
      </c>
      <c r="I184" s="124" t="n">
        <f aca="false">IF(MONTH($A184)=MONTH($A183),IF(G184=0,I183,G184),G184)</f>
        <v>7</v>
      </c>
      <c r="J184" s="124" t="n">
        <f aca="false">IF(MONTH($A184)=MONTH($A183),SUM(I184-I183),I184)</f>
        <v>-2</v>
      </c>
      <c r="K184" s="124" t="n">
        <f aca="false">IF(WEEKDAY(A184,3)&gt;4,0,(IF(A184&lt;K$2,0,IF(A184&lt;=K$3,1,0))))</f>
        <v>0</v>
      </c>
      <c r="L184" s="124" t="n">
        <f aca="false">J184*K184</f>
        <v>-0</v>
      </c>
      <c r="M184" s="124" t="n">
        <f aca="false">SUM(J$97:J184)</f>
        <v>-765222</v>
      </c>
      <c r="N184" s="124" t="n">
        <f aca="false">SUM(J$6:J184)</f>
        <v>-1533918</v>
      </c>
      <c r="P184" s="124" t="n">
        <f aca="false">D184/P$3</f>
        <v>0</v>
      </c>
      <c r="Q184" s="124" t="n">
        <f aca="false">E184/P$3</f>
        <v>0</v>
      </c>
      <c r="R184" s="124" t="n">
        <f aca="false">F184/R$3</f>
        <v>0</v>
      </c>
      <c r="S184" s="126" t="n">
        <f aca="false">J184/$R$3</f>
        <v>-0.002</v>
      </c>
      <c r="T184" s="126" t="n">
        <f aca="false">L184/$R$3</f>
        <v>-0</v>
      </c>
      <c r="U184" s="126" t="n">
        <f aca="false">I184/$R$3</f>
        <v>0.007</v>
      </c>
      <c r="V184" s="126" t="n">
        <f aca="false">M184/$R$3</f>
        <v>-765.222</v>
      </c>
      <c r="W184" s="126" t="n">
        <f aca="false">N184/$R$3</f>
        <v>-1533.918</v>
      </c>
    </row>
    <row r="185" customFormat="false" ht="12.75" hidden="true" customHeight="false" outlineLevel="0" collapsed="false">
      <c r="A185" s="120" t="n">
        <f aca="false">A184+1</f>
        <v>37071</v>
      </c>
      <c r="B185" s="131" t="str">
        <f aca="false">INDEX('Master Data'!$A$2:$B$8,MATCH(WEEKDAY('ARG Gas Transport'!A185,3),'Master Data'!$A$2:$A$8,0),2)</f>
        <v>F</v>
      </c>
      <c r="D185" s="124"/>
      <c r="E185" s="124"/>
      <c r="F185" s="124"/>
      <c r="G185" s="124" t="n">
        <v>-143</v>
      </c>
      <c r="I185" s="124" t="n">
        <f aca="false">IF(MONTH($A185)=MONTH($A184),IF(G185=0,I184,G185),G185)</f>
        <v>-143</v>
      </c>
      <c r="J185" s="124" t="n">
        <f aca="false">IF(MONTH($A185)=MONTH($A184),SUM(I185-I184),I185)</f>
        <v>-150</v>
      </c>
      <c r="K185" s="124" t="n">
        <f aca="false">IF(WEEKDAY(A185,3)&gt;4,0,(IF(A185&lt;K$2,0,IF(A185&lt;=K$3,1,0))))</f>
        <v>0</v>
      </c>
      <c r="L185" s="124" t="n">
        <f aca="false">J185*K185</f>
        <v>-0</v>
      </c>
      <c r="M185" s="124" t="n">
        <f aca="false">SUM(J$97:J185)</f>
        <v>-765372</v>
      </c>
      <c r="N185" s="124" t="n">
        <f aca="false">SUM(J$6:J185)</f>
        <v>-1534068</v>
      </c>
      <c r="P185" s="124" t="n">
        <f aca="false">D185/P$3</f>
        <v>0</v>
      </c>
      <c r="Q185" s="124" t="n">
        <f aca="false">E185/P$3</f>
        <v>0</v>
      </c>
      <c r="R185" s="124" t="n">
        <f aca="false">F185/R$3</f>
        <v>0</v>
      </c>
      <c r="S185" s="126" t="n">
        <f aca="false">J185/$R$3</f>
        <v>-0.15</v>
      </c>
      <c r="T185" s="126" t="n">
        <f aca="false">L185/$R$3</f>
        <v>-0</v>
      </c>
      <c r="U185" s="126" t="n">
        <f aca="false">I185/$R$3</f>
        <v>-0.143</v>
      </c>
      <c r="V185" s="126" t="n">
        <f aca="false">M185/$R$3</f>
        <v>-765.372</v>
      </c>
      <c r="W185" s="126" t="n">
        <f aca="false">N185/$R$3</f>
        <v>-1534.068</v>
      </c>
    </row>
    <row r="186" customFormat="false" ht="12.75" hidden="false" customHeight="false" outlineLevel="0" collapsed="false">
      <c r="A186" s="120" t="n">
        <f aca="false">A185+1</f>
        <v>37072</v>
      </c>
      <c r="B186" s="131" t="str">
        <f aca="false">INDEX('Master Data'!$A$2:$B$8,MATCH(WEEKDAY('ARG Gas Transport'!A186,3),'Master Data'!$A$2:$A$8,0),2)</f>
        <v>Sa</v>
      </c>
      <c r="D186" s="124"/>
      <c r="E186" s="124"/>
      <c r="F186" s="124"/>
      <c r="G186" s="124"/>
      <c r="I186" s="124" t="n">
        <f aca="false">IF(MONTH($A186)=MONTH($A185),IF(G186=0,I185,G186),G186)</f>
        <v>-143</v>
      </c>
      <c r="J186" s="124" t="n">
        <f aca="false">IF(MONTH($A186)=MONTH($A185),SUM(I186-I185),I186)</f>
        <v>0</v>
      </c>
      <c r="K186" s="124" t="n">
        <f aca="false">IF(WEEKDAY(A186,3)&gt;4,0,(IF(A186&lt;K$2,0,IF(A186&lt;=K$3,1,0))))</f>
        <v>0</v>
      </c>
      <c r="L186" s="124" t="n">
        <f aca="false">J186*K186</f>
        <v>0</v>
      </c>
      <c r="M186" s="124" t="n">
        <f aca="false">SUM(J$97:J186)</f>
        <v>-765372</v>
      </c>
      <c r="N186" s="124" t="n">
        <f aca="false">SUM(J$6:J186)</f>
        <v>-1534068</v>
      </c>
      <c r="P186" s="124" t="n">
        <f aca="false">D186/P$3</f>
        <v>0</v>
      </c>
      <c r="Q186" s="124" t="n">
        <f aca="false">E186/P$3</f>
        <v>0</v>
      </c>
      <c r="R186" s="124" t="n">
        <f aca="false">F186/R$3</f>
        <v>0</v>
      </c>
      <c r="S186" s="126" t="n">
        <f aca="false">J186/$R$3</f>
        <v>0</v>
      </c>
      <c r="T186" s="126" t="n">
        <f aca="false">L186/$R$3</f>
        <v>0</v>
      </c>
      <c r="U186" s="126" t="n">
        <f aca="false">I186/$R$3</f>
        <v>-0.143</v>
      </c>
      <c r="V186" s="126" t="n">
        <f aca="false">M186/$R$3</f>
        <v>-765.372</v>
      </c>
      <c r="W186" s="126" t="n">
        <f aca="false">N186/$R$3</f>
        <v>-1534.068</v>
      </c>
    </row>
    <row r="187" customFormat="false" ht="12.75" hidden="true" customHeight="false" outlineLevel="0" collapsed="false">
      <c r="A187" s="120" t="n">
        <f aca="false">A186+1</f>
        <v>37073</v>
      </c>
      <c r="B187" s="131" t="str">
        <f aca="false">INDEX('Master Data'!$A$2:$B$8,MATCH(WEEKDAY('ARG Gas Transport'!A187,3),'Master Data'!$A$2:$A$8,0),2)</f>
        <v>Su</v>
      </c>
      <c r="D187" s="124"/>
      <c r="E187" s="124"/>
      <c r="F187" s="124"/>
      <c r="G187" s="124"/>
      <c r="I187" s="124" t="n">
        <f aca="false">IF(MONTH($A187)=MONTH($A186),IF(G187=0,I186,G187),G187)</f>
        <v>0</v>
      </c>
      <c r="J187" s="124" t="n">
        <f aca="false">IF(MONTH($A187)=MONTH($A186),SUM(I187-I186),I187)</f>
        <v>0</v>
      </c>
      <c r="K187" s="124" t="n">
        <f aca="false">IF(WEEKDAY(A187,3)&gt;4,0,(IF(A187&lt;K$2,0,IF(A187&lt;=K$3,1,0))))</f>
        <v>0</v>
      </c>
      <c r="L187" s="124" t="n">
        <f aca="false">J187*K187</f>
        <v>0</v>
      </c>
      <c r="M187" s="124" t="n">
        <f aca="false">SUM(J$97:J187)</f>
        <v>-765372</v>
      </c>
      <c r="N187" s="124" t="n">
        <f aca="false">SUM(J$6:J187)</f>
        <v>-1534068</v>
      </c>
      <c r="P187" s="124" t="n">
        <f aca="false">D187/P$3</f>
        <v>0</v>
      </c>
      <c r="Q187" s="124" t="n">
        <f aca="false">E187/P$3</f>
        <v>0</v>
      </c>
      <c r="R187" s="124" t="n">
        <f aca="false">F187/R$3</f>
        <v>0</v>
      </c>
      <c r="S187" s="126" t="n">
        <f aca="false">J187/$R$3</f>
        <v>0</v>
      </c>
      <c r="T187" s="126" t="n">
        <f aca="false">L187/$R$3</f>
        <v>0</v>
      </c>
      <c r="U187" s="126" t="n">
        <f aca="false">I187/$R$3</f>
        <v>0</v>
      </c>
      <c r="V187" s="126" t="n">
        <f aca="false">M187/$R$3</f>
        <v>-765.372</v>
      </c>
      <c r="W187" s="126" t="n">
        <f aca="false">N187/$R$3</f>
        <v>-1534.068</v>
      </c>
    </row>
    <row r="188" customFormat="false" ht="12.75" hidden="true" customHeight="false" outlineLevel="0" collapsed="false">
      <c r="A188" s="120" t="n">
        <f aca="false">A187+1</f>
        <v>37074</v>
      </c>
      <c r="B188" s="131" t="str">
        <f aca="false">INDEX('Master Data'!$A$2:$B$8,MATCH(WEEKDAY('ARG Gas Transport'!A188,3),'Master Data'!$A$2:$A$8,0),2)</f>
        <v>M</v>
      </c>
      <c r="D188" s="124"/>
      <c r="E188" s="124"/>
      <c r="F188" s="124"/>
      <c r="G188" s="124" t="n">
        <v>184</v>
      </c>
      <c r="I188" s="124" t="n">
        <f aca="false">IF(MONTH($A188)=MONTH($A187),IF(G188=0,I187,G188),G188)</f>
        <v>184</v>
      </c>
      <c r="J188" s="124" t="n">
        <f aca="false">IF(MONTH($A188)=MONTH($A187),SUM(I188-I187),I188)</f>
        <v>184</v>
      </c>
      <c r="K188" s="124" t="n">
        <f aca="false">IF(WEEKDAY(A188,3)&gt;4,0,(IF(A188&lt;K$2,0,IF(A188&lt;=K$3,1,0))))</f>
        <v>0</v>
      </c>
      <c r="L188" s="124" t="n">
        <f aca="false">J188*K188</f>
        <v>0</v>
      </c>
      <c r="M188" s="124" t="n">
        <f aca="false">SUM(J$188:J188)</f>
        <v>184</v>
      </c>
      <c r="N188" s="124" t="n">
        <f aca="false">SUM(J$6:J188)</f>
        <v>-1533884</v>
      </c>
      <c r="P188" s="124" t="n">
        <f aca="false">D188/P$3</f>
        <v>0</v>
      </c>
      <c r="Q188" s="124" t="n">
        <f aca="false">E188/P$3</f>
        <v>0</v>
      </c>
      <c r="R188" s="124" t="n">
        <f aca="false">F188/R$3</f>
        <v>0</v>
      </c>
      <c r="S188" s="126" t="n">
        <f aca="false">J188/$R$3</f>
        <v>0.184</v>
      </c>
      <c r="T188" s="126" t="n">
        <f aca="false">L188/$R$3</f>
        <v>0</v>
      </c>
      <c r="U188" s="126" t="n">
        <f aca="false">I188/$R$3</f>
        <v>0.184</v>
      </c>
      <c r="V188" s="126" t="n">
        <f aca="false">M188/$R$3</f>
        <v>0.184</v>
      </c>
      <c r="W188" s="126" t="n">
        <f aca="false">N188/$R$3</f>
        <v>-1533.884</v>
      </c>
    </row>
    <row r="189" customFormat="false" ht="12.75" hidden="true" customHeight="false" outlineLevel="0" collapsed="false">
      <c r="A189" s="120" t="n">
        <f aca="false">A188+1</f>
        <v>37075</v>
      </c>
      <c r="B189" s="131" t="str">
        <f aca="false">INDEX('Master Data'!$A$2:$B$8,MATCH(WEEKDAY('ARG Gas Transport'!A189,3),'Master Data'!$A$2:$A$8,0),2)</f>
        <v>T</v>
      </c>
      <c r="D189" s="124"/>
      <c r="E189" s="124"/>
      <c r="F189" s="124"/>
      <c r="G189" s="124" t="n">
        <v>184</v>
      </c>
      <c r="I189" s="124" t="n">
        <f aca="false">IF(MONTH($A189)=MONTH($A188),IF(G189=0,I188,G189),G189)</f>
        <v>184</v>
      </c>
      <c r="J189" s="124" t="n">
        <f aca="false">IF(MONTH($A189)=MONTH($A188),SUM(I189-I188),I189)</f>
        <v>0</v>
      </c>
      <c r="K189" s="124" t="n">
        <f aca="false">IF(WEEKDAY(A189,3)&gt;4,0,(IF(A189&lt;K$2,0,IF(A189&lt;=K$3,1,0))))</f>
        <v>0</v>
      </c>
      <c r="L189" s="124" t="n">
        <f aca="false">J189*K189</f>
        <v>0</v>
      </c>
      <c r="M189" s="124" t="n">
        <f aca="false">SUM(J$188:J189)</f>
        <v>184</v>
      </c>
      <c r="N189" s="124" t="n">
        <f aca="false">SUM(J$6:J189)</f>
        <v>-1533884</v>
      </c>
      <c r="P189" s="124" t="n">
        <f aca="false">D189/P$3</f>
        <v>0</v>
      </c>
      <c r="Q189" s="124" t="n">
        <f aca="false">E189/P$3</f>
        <v>0</v>
      </c>
      <c r="R189" s="124" t="n">
        <f aca="false">F189/R$3</f>
        <v>0</v>
      </c>
      <c r="S189" s="126" t="n">
        <f aca="false">J189/$R$3</f>
        <v>0</v>
      </c>
      <c r="T189" s="126" t="n">
        <f aca="false">L189/$R$3</f>
        <v>0</v>
      </c>
      <c r="U189" s="126" t="n">
        <f aca="false">I189/$R$3</f>
        <v>0.184</v>
      </c>
      <c r="V189" s="126" t="n">
        <f aca="false">M189/$R$3</f>
        <v>0.184</v>
      </c>
      <c r="W189" s="126" t="n">
        <f aca="false">N189/$R$3</f>
        <v>-1533.884</v>
      </c>
    </row>
    <row r="190" customFormat="false" ht="12.75" hidden="true" customHeight="false" outlineLevel="0" collapsed="false">
      <c r="A190" s="120" t="n">
        <f aca="false">A189+1</f>
        <v>37076</v>
      </c>
      <c r="B190" s="131" t="str">
        <f aca="false">INDEX('Master Data'!$A$2:$B$8,MATCH(WEEKDAY('ARG Gas Transport'!A190,3),'Master Data'!$A$2:$A$8,0),2)</f>
        <v>W</v>
      </c>
      <c r="D190" s="124"/>
      <c r="E190" s="124"/>
      <c r="F190" s="124"/>
      <c r="G190" s="124"/>
      <c r="I190" s="124" t="n">
        <f aca="false">IF(MONTH($A190)=MONTH($A189),IF(G190=0,I189,G190),G190)</f>
        <v>184</v>
      </c>
      <c r="J190" s="124" t="n">
        <f aca="false">IF(MONTH($A190)=MONTH($A189),SUM(I190-I189),I190)</f>
        <v>0</v>
      </c>
      <c r="K190" s="124" t="n">
        <f aca="false">IF(WEEKDAY(A190,3)&gt;4,0,(IF(A190&lt;K$2,0,IF(A190&lt;=K$3,1,0))))</f>
        <v>0</v>
      </c>
      <c r="L190" s="124" t="n">
        <f aca="false">J190*K190</f>
        <v>0</v>
      </c>
      <c r="M190" s="124" t="n">
        <f aca="false">SUM(J$188:J190)</f>
        <v>184</v>
      </c>
      <c r="N190" s="124" t="n">
        <f aca="false">SUM(J$6:J190)</f>
        <v>-1533884</v>
      </c>
      <c r="P190" s="124" t="n">
        <f aca="false">D190/P$3</f>
        <v>0</v>
      </c>
      <c r="Q190" s="124" t="n">
        <f aca="false">E190/P$3</f>
        <v>0</v>
      </c>
      <c r="R190" s="124" t="n">
        <f aca="false">F190/R$3</f>
        <v>0</v>
      </c>
      <c r="S190" s="126" t="n">
        <f aca="false">J190/$R$3</f>
        <v>0</v>
      </c>
      <c r="T190" s="126" t="n">
        <f aca="false">L190/$R$3</f>
        <v>0</v>
      </c>
      <c r="U190" s="126" t="n">
        <f aca="false">I190/$R$3</f>
        <v>0.184</v>
      </c>
      <c r="V190" s="126" t="n">
        <f aca="false">M190/$R$3</f>
        <v>0.184</v>
      </c>
      <c r="W190" s="126" t="n">
        <f aca="false">N190/$R$3</f>
        <v>-1533.884</v>
      </c>
    </row>
    <row r="191" customFormat="false" ht="12.75" hidden="true" customHeight="false" outlineLevel="0" collapsed="false">
      <c r="A191" s="120" t="n">
        <f aca="false">A190+1</f>
        <v>37077</v>
      </c>
      <c r="B191" s="131" t="str">
        <f aca="false">INDEX('Master Data'!$A$2:$B$8,MATCH(WEEKDAY('ARG Gas Transport'!A191,3),'Master Data'!$A$2:$A$8,0),2)</f>
        <v>Th</v>
      </c>
      <c r="D191" s="124"/>
      <c r="E191" s="124"/>
      <c r="F191" s="124"/>
      <c r="G191" s="124" t="n">
        <v>184</v>
      </c>
      <c r="I191" s="124" t="n">
        <f aca="false">IF(MONTH($A191)=MONTH($A190),IF(G191=0,I190,G191),G191)</f>
        <v>184</v>
      </c>
      <c r="J191" s="124" t="n">
        <f aca="false">IF(MONTH($A191)=MONTH($A190),SUM(I191-I190),I191)</f>
        <v>0</v>
      </c>
      <c r="K191" s="124" t="n">
        <f aca="false">IF(WEEKDAY(A191,3)&gt;4,0,(IF(A191&lt;K$2,0,IF(A191&lt;=K$3,1,0))))</f>
        <v>0</v>
      </c>
      <c r="L191" s="124" t="n">
        <f aca="false">J191*K191</f>
        <v>0</v>
      </c>
      <c r="M191" s="124" t="n">
        <f aca="false">SUM(J$188:J191)</f>
        <v>184</v>
      </c>
      <c r="N191" s="124" t="n">
        <f aca="false">SUM(J$6:J191)</f>
        <v>-1533884</v>
      </c>
      <c r="P191" s="124" t="n">
        <f aca="false">D191/P$3</f>
        <v>0</v>
      </c>
      <c r="Q191" s="124" t="n">
        <f aca="false">E191/P$3</f>
        <v>0</v>
      </c>
      <c r="R191" s="124" t="n">
        <f aca="false">F191/R$3</f>
        <v>0</v>
      </c>
      <c r="S191" s="126" t="n">
        <f aca="false">J191/$R$3</f>
        <v>0</v>
      </c>
      <c r="T191" s="126" t="n">
        <f aca="false">L191/$R$3</f>
        <v>0</v>
      </c>
      <c r="U191" s="126" t="n">
        <f aca="false">I191/$R$3</f>
        <v>0.184</v>
      </c>
      <c r="V191" s="126" t="n">
        <f aca="false">M191/$R$3</f>
        <v>0.184</v>
      </c>
      <c r="W191" s="126" t="n">
        <f aca="false">N191/$R$3</f>
        <v>-1533.884</v>
      </c>
    </row>
    <row r="192" customFormat="false" ht="12.75" hidden="true" customHeight="false" outlineLevel="0" collapsed="false">
      <c r="A192" s="120" t="n">
        <f aca="false">A191+1</f>
        <v>37078</v>
      </c>
      <c r="B192" s="131" t="str">
        <f aca="false">INDEX('Master Data'!$A$2:$B$8,MATCH(WEEKDAY('ARG Gas Transport'!A192,3),'Master Data'!$A$2:$A$8,0),2)</f>
        <v>F</v>
      </c>
      <c r="D192" s="124"/>
      <c r="E192" s="124"/>
      <c r="F192" s="124"/>
      <c r="G192" s="124" t="n">
        <v>185</v>
      </c>
      <c r="I192" s="124" t="n">
        <f aca="false">IF(MONTH($A192)=MONTH($A191),IF(G192=0,I191,G192),G192)</f>
        <v>185</v>
      </c>
      <c r="J192" s="124" t="n">
        <f aca="false">IF(MONTH($A192)=MONTH($A191),SUM(I192-I191),I192)</f>
        <v>1</v>
      </c>
      <c r="K192" s="124" t="n">
        <f aca="false">IF(WEEKDAY(A192,3)&gt;4,0,(IF(A192&lt;K$2,0,IF(A192&lt;=K$3,1,0))))</f>
        <v>0</v>
      </c>
      <c r="L192" s="124" t="n">
        <f aca="false">J192*K192</f>
        <v>0</v>
      </c>
      <c r="M192" s="124" t="n">
        <f aca="false">SUM(J$188:J192)</f>
        <v>185</v>
      </c>
      <c r="N192" s="124" t="n">
        <f aca="false">SUM(J$6:J192)</f>
        <v>-1533883</v>
      </c>
      <c r="P192" s="124" t="n">
        <f aca="false">D192/P$3</f>
        <v>0</v>
      </c>
      <c r="Q192" s="124" t="n">
        <f aca="false">E192/P$3</f>
        <v>0</v>
      </c>
      <c r="R192" s="124" t="n">
        <f aca="false">F192/R$3</f>
        <v>0</v>
      </c>
      <c r="S192" s="126" t="n">
        <f aca="false">J192/$R$3</f>
        <v>0.001</v>
      </c>
      <c r="T192" s="126" t="n">
        <f aca="false">L192/$R$3</f>
        <v>0</v>
      </c>
      <c r="U192" s="126" t="n">
        <f aca="false">I192/$R$3</f>
        <v>0.185</v>
      </c>
      <c r="V192" s="126" t="n">
        <f aca="false">M192/$R$3</f>
        <v>0.185</v>
      </c>
      <c r="W192" s="126" t="n">
        <f aca="false">N192/$R$3</f>
        <v>-1533.883</v>
      </c>
    </row>
    <row r="193" customFormat="false" ht="12.75" hidden="true" customHeight="false" outlineLevel="0" collapsed="false">
      <c r="A193" s="120" t="n">
        <f aca="false">A192+1</f>
        <v>37079</v>
      </c>
      <c r="B193" s="131" t="str">
        <f aca="false">INDEX('Master Data'!$A$2:$B$8,MATCH(WEEKDAY('ARG Gas Transport'!A193,3),'Master Data'!$A$2:$A$8,0),2)</f>
        <v>Sa</v>
      </c>
      <c r="D193" s="124"/>
      <c r="E193" s="124"/>
      <c r="F193" s="124"/>
      <c r="G193" s="124"/>
      <c r="I193" s="124" t="n">
        <f aca="false">IF(MONTH($A193)=MONTH($A192),IF(G193=0,I192,G193),G193)</f>
        <v>185</v>
      </c>
      <c r="J193" s="124" t="n">
        <f aca="false">IF(MONTH($A193)=MONTH($A192),SUM(I193-I192),I193)</f>
        <v>0</v>
      </c>
      <c r="K193" s="124" t="n">
        <f aca="false">IF(WEEKDAY(A193,3)&gt;4,0,(IF(A193&lt;K$2,0,IF(A193&lt;=K$3,1,0))))</f>
        <v>0</v>
      </c>
      <c r="L193" s="124" t="n">
        <f aca="false">J193*K193</f>
        <v>0</v>
      </c>
      <c r="M193" s="124" t="n">
        <f aca="false">SUM(J$188:J193)</f>
        <v>185</v>
      </c>
      <c r="N193" s="124" t="n">
        <f aca="false">SUM(J$6:J193)</f>
        <v>-1533883</v>
      </c>
      <c r="P193" s="124" t="n">
        <f aca="false">D193/P$3</f>
        <v>0</v>
      </c>
      <c r="Q193" s="124" t="n">
        <f aca="false">E193/P$3</f>
        <v>0</v>
      </c>
      <c r="R193" s="124" t="n">
        <f aca="false">F193/R$3</f>
        <v>0</v>
      </c>
      <c r="S193" s="126" t="n">
        <f aca="false">J193/$R$3</f>
        <v>0</v>
      </c>
      <c r="T193" s="126" t="n">
        <f aca="false">L193/$R$3</f>
        <v>0</v>
      </c>
      <c r="U193" s="126" t="n">
        <f aca="false">I193/$R$3</f>
        <v>0.185</v>
      </c>
      <c r="V193" s="126" t="n">
        <f aca="false">M193/$R$3</f>
        <v>0.185</v>
      </c>
      <c r="W193" s="126" t="n">
        <f aca="false">N193/$R$3</f>
        <v>-1533.883</v>
      </c>
    </row>
    <row r="194" customFormat="false" ht="12.75" hidden="true" customHeight="false" outlineLevel="0" collapsed="false">
      <c r="A194" s="120" t="n">
        <f aca="false">A193+1</f>
        <v>37080</v>
      </c>
      <c r="B194" s="131" t="str">
        <f aca="false">INDEX('Master Data'!$A$2:$B$8,MATCH(WEEKDAY('ARG Gas Transport'!A194,3),'Master Data'!$A$2:$A$8,0),2)</f>
        <v>Su</v>
      </c>
      <c r="D194" s="124"/>
      <c r="E194" s="124"/>
      <c r="F194" s="124"/>
      <c r="G194" s="124"/>
      <c r="I194" s="124" t="n">
        <f aca="false">IF(MONTH($A194)=MONTH($A193),IF(G194=0,I193,G194),G194)</f>
        <v>185</v>
      </c>
      <c r="J194" s="124" t="n">
        <f aca="false">IF(MONTH($A194)=MONTH($A193),SUM(I194-I193),I194)</f>
        <v>0</v>
      </c>
      <c r="K194" s="124" t="n">
        <f aca="false">IF(WEEKDAY(A194,3)&gt;4,0,(IF(A194&lt;K$2,0,IF(A194&lt;=K$3,1,0))))</f>
        <v>0</v>
      </c>
      <c r="L194" s="124" t="n">
        <f aca="false">J194*K194</f>
        <v>0</v>
      </c>
      <c r="M194" s="124" t="n">
        <f aca="false">SUM(J$188:J194)</f>
        <v>185</v>
      </c>
      <c r="N194" s="124" t="n">
        <f aca="false">SUM(J$6:J194)</f>
        <v>-1533883</v>
      </c>
      <c r="P194" s="124" t="n">
        <f aca="false">D194/P$3</f>
        <v>0</v>
      </c>
      <c r="Q194" s="124" t="n">
        <f aca="false">E194/P$3</f>
        <v>0</v>
      </c>
      <c r="R194" s="124" t="n">
        <f aca="false">F194/R$3</f>
        <v>0</v>
      </c>
      <c r="S194" s="126" t="n">
        <f aca="false">J194/$R$3</f>
        <v>0</v>
      </c>
      <c r="T194" s="126" t="n">
        <f aca="false">L194/$R$3</f>
        <v>0</v>
      </c>
      <c r="U194" s="126" t="n">
        <f aca="false">I194/$R$3</f>
        <v>0.185</v>
      </c>
      <c r="V194" s="126" t="n">
        <f aca="false">M194/$R$3</f>
        <v>0.185</v>
      </c>
      <c r="W194" s="126" t="n">
        <f aca="false">N194/$R$3</f>
        <v>-1533.883</v>
      </c>
    </row>
    <row r="195" customFormat="false" ht="12.75" hidden="true" customHeight="false" outlineLevel="0" collapsed="false">
      <c r="A195" s="120" t="n">
        <f aca="false">A194+1</f>
        <v>37081</v>
      </c>
      <c r="B195" s="131" t="str">
        <f aca="false">INDEX('Master Data'!$A$2:$B$8,MATCH(WEEKDAY('ARG Gas Transport'!A195,3),'Master Data'!$A$2:$A$8,0),2)</f>
        <v>M</v>
      </c>
      <c r="D195" s="124"/>
      <c r="E195" s="124"/>
      <c r="F195" s="124"/>
      <c r="G195" s="124" t="n">
        <v>186</v>
      </c>
      <c r="I195" s="124" t="n">
        <f aca="false">IF(MONTH($A195)=MONTH($A194),IF(G195=0,I194,G195),G195)</f>
        <v>186</v>
      </c>
      <c r="J195" s="124" t="n">
        <f aca="false">IF(MONTH($A195)=MONTH($A194),SUM(I195-I194),I195)</f>
        <v>1</v>
      </c>
      <c r="K195" s="124" t="n">
        <f aca="false">IF(WEEKDAY(A195,3)&gt;4,0,(IF(A195&lt;K$2,0,IF(A195&lt;=K$3,1,0))))</f>
        <v>0</v>
      </c>
      <c r="L195" s="124" t="n">
        <f aca="false">J195*K195</f>
        <v>0</v>
      </c>
      <c r="M195" s="124" t="n">
        <f aca="false">SUM(J$188:J195)</f>
        <v>186</v>
      </c>
      <c r="N195" s="124" t="n">
        <f aca="false">SUM(J$6:J195)</f>
        <v>-1533882</v>
      </c>
      <c r="P195" s="124" t="n">
        <f aca="false">D195/P$3</f>
        <v>0</v>
      </c>
      <c r="Q195" s="124" t="n">
        <f aca="false">E195/P$3</f>
        <v>0</v>
      </c>
      <c r="R195" s="124" t="n">
        <f aca="false">F195/R$3</f>
        <v>0</v>
      </c>
      <c r="S195" s="126" t="n">
        <f aca="false">J195/$R$3</f>
        <v>0.001</v>
      </c>
      <c r="T195" s="126" t="n">
        <f aca="false">L195/$R$3</f>
        <v>0</v>
      </c>
      <c r="U195" s="126" t="n">
        <f aca="false">I195/$R$3</f>
        <v>0.186</v>
      </c>
      <c r="V195" s="126" t="n">
        <f aca="false">M195/$R$3</f>
        <v>0.186</v>
      </c>
      <c r="W195" s="126" t="n">
        <f aca="false">N195/$R$3</f>
        <v>-1533.882</v>
      </c>
    </row>
    <row r="196" customFormat="false" ht="12.75" hidden="true" customHeight="false" outlineLevel="0" collapsed="false">
      <c r="A196" s="120" t="n">
        <f aca="false">A195+1</f>
        <v>37082</v>
      </c>
      <c r="B196" s="131" t="str">
        <f aca="false">INDEX('Master Data'!$A$2:$B$8,MATCH(WEEKDAY('ARG Gas Transport'!A196,3),'Master Data'!$A$2:$A$8,0),2)</f>
        <v>T</v>
      </c>
      <c r="D196" s="124"/>
      <c r="E196" s="124"/>
      <c r="F196" s="124"/>
      <c r="G196" s="124" t="n">
        <v>187</v>
      </c>
      <c r="I196" s="124" t="n">
        <f aca="false">IF(MONTH($A196)=MONTH($A195),IF(G196=0,I195,G196),G196)</f>
        <v>187</v>
      </c>
      <c r="J196" s="124" t="n">
        <f aca="false">IF(MONTH($A196)=MONTH($A195),SUM(I196-I195),I196)</f>
        <v>1</v>
      </c>
      <c r="K196" s="124" t="n">
        <f aca="false">IF(WEEKDAY(A196,3)&gt;4,0,(IF(A196&lt;K$2,0,IF(A196&lt;=K$3,1,0))))</f>
        <v>0</v>
      </c>
      <c r="L196" s="124" t="n">
        <f aca="false">J196*K196</f>
        <v>0</v>
      </c>
      <c r="M196" s="124" t="n">
        <f aca="false">SUM(J$188:J196)</f>
        <v>187</v>
      </c>
      <c r="N196" s="124" t="n">
        <f aca="false">SUM(J$6:J196)</f>
        <v>-1533881</v>
      </c>
      <c r="P196" s="124" t="n">
        <f aca="false">D196/P$3</f>
        <v>0</v>
      </c>
      <c r="Q196" s="124" t="n">
        <f aca="false">E196/P$3</f>
        <v>0</v>
      </c>
      <c r="R196" s="124" t="n">
        <f aca="false">F196/R$3</f>
        <v>0</v>
      </c>
      <c r="S196" s="126" t="n">
        <f aca="false">J196/$R$3</f>
        <v>0.001</v>
      </c>
      <c r="T196" s="126" t="n">
        <f aca="false">L196/$R$3</f>
        <v>0</v>
      </c>
      <c r="U196" s="126" t="n">
        <f aca="false">I196/$R$3</f>
        <v>0.187</v>
      </c>
      <c r="V196" s="126" t="n">
        <f aca="false">M196/$R$3</f>
        <v>0.187</v>
      </c>
      <c r="W196" s="126" t="n">
        <f aca="false">N196/$R$3</f>
        <v>-1533.881</v>
      </c>
    </row>
    <row r="197" customFormat="false" ht="12.75" hidden="true" customHeight="false" outlineLevel="0" collapsed="false">
      <c r="A197" s="120" t="n">
        <f aca="false">A196+1</f>
        <v>37083</v>
      </c>
      <c r="B197" s="131" t="str">
        <f aca="false">INDEX('Master Data'!$A$2:$B$8,MATCH(WEEKDAY('ARG Gas Transport'!A197,3),'Master Data'!$A$2:$A$8,0),2)</f>
        <v>W</v>
      </c>
      <c r="D197" s="124"/>
      <c r="E197" s="124"/>
      <c r="F197" s="124"/>
      <c r="G197" s="124" t="n">
        <v>187</v>
      </c>
      <c r="I197" s="124" t="n">
        <f aca="false">IF(MONTH($A197)=MONTH($A196),IF(G197=0,I196,G197),G197)</f>
        <v>187</v>
      </c>
      <c r="J197" s="124" t="n">
        <f aca="false">IF(MONTH($A197)=MONTH($A196),SUM(I197-I196),I197)</f>
        <v>0</v>
      </c>
      <c r="K197" s="124" t="n">
        <f aca="false">IF(WEEKDAY(A197,3)&gt;4,0,(IF(A197&lt;K$2,0,IF(A197&lt;=K$3,1,0))))</f>
        <v>0</v>
      </c>
      <c r="L197" s="124" t="n">
        <f aca="false">J197*K197</f>
        <v>0</v>
      </c>
      <c r="M197" s="124" t="n">
        <f aca="false">SUM(J$188:J197)</f>
        <v>187</v>
      </c>
      <c r="N197" s="124" t="n">
        <f aca="false">SUM(J$6:J197)</f>
        <v>-1533881</v>
      </c>
      <c r="P197" s="124" t="n">
        <f aca="false">D197/P$3</f>
        <v>0</v>
      </c>
      <c r="Q197" s="124" t="n">
        <f aca="false">E197/P$3</f>
        <v>0</v>
      </c>
      <c r="R197" s="124" t="n">
        <f aca="false">F197/R$3</f>
        <v>0</v>
      </c>
      <c r="S197" s="126" t="n">
        <f aca="false">J197/$R$3</f>
        <v>0</v>
      </c>
      <c r="T197" s="126" t="n">
        <f aca="false">L197/$R$3</f>
        <v>0</v>
      </c>
      <c r="U197" s="126" t="n">
        <f aca="false">I197/$R$3</f>
        <v>0.187</v>
      </c>
      <c r="V197" s="126" t="n">
        <f aca="false">M197/$R$3</f>
        <v>0.187</v>
      </c>
      <c r="W197" s="126" t="n">
        <f aca="false">N197/$R$3</f>
        <v>-1533.881</v>
      </c>
    </row>
    <row r="198" customFormat="false" ht="12.75" hidden="true" customHeight="false" outlineLevel="0" collapsed="false">
      <c r="A198" s="120" t="n">
        <f aca="false">A197+1</f>
        <v>37084</v>
      </c>
      <c r="B198" s="131" t="str">
        <f aca="false">INDEX('Master Data'!$A$2:$B$8,MATCH(WEEKDAY('ARG Gas Transport'!A198,3),'Master Data'!$A$2:$A$8,0),2)</f>
        <v>Th</v>
      </c>
      <c r="D198" s="124"/>
      <c r="E198" s="124"/>
      <c r="F198" s="124"/>
      <c r="G198" s="124" t="n">
        <v>187</v>
      </c>
      <c r="I198" s="124" t="n">
        <f aca="false">IF(MONTH($A198)=MONTH($A197),IF(G198=0,I197,G198),G198)</f>
        <v>187</v>
      </c>
      <c r="J198" s="124" t="n">
        <f aca="false">IF(MONTH($A198)=MONTH($A197),SUM(I198-I197),I198)</f>
        <v>0</v>
      </c>
      <c r="K198" s="124" t="n">
        <f aca="false">IF(WEEKDAY(A198,3)&gt;4,0,(IF(A198&lt;K$2,0,IF(A198&lt;=K$3,1,0))))</f>
        <v>0</v>
      </c>
      <c r="L198" s="124" t="n">
        <f aca="false">J198*K198</f>
        <v>0</v>
      </c>
      <c r="M198" s="124" t="n">
        <f aca="false">SUM(J$188:J198)</f>
        <v>187</v>
      </c>
      <c r="N198" s="124" t="n">
        <f aca="false">SUM(J$6:J198)</f>
        <v>-1533881</v>
      </c>
      <c r="P198" s="124" t="n">
        <f aca="false">D198/P$3</f>
        <v>0</v>
      </c>
      <c r="Q198" s="124" t="n">
        <f aca="false">E198/P$3</f>
        <v>0</v>
      </c>
      <c r="R198" s="124" t="n">
        <f aca="false">F198/R$3</f>
        <v>0</v>
      </c>
      <c r="S198" s="126" t="n">
        <f aca="false">J198/$R$3</f>
        <v>0</v>
      </c>
      <c r="T198" s="126" t="n">
        <f aca="false">L198/$R$3</f>
        <v>0</v>
      </c>
      <c r="U198" s="126" t="n">
        <f aca="false">I198/$R$3</f>
        <v>0.187</v>
      </c>
      <c r="V198" s="126" t="n">
        <f aca="false">M198/$R$3</f>
        <v>0.187</v>
      </c>
      <c r="W198" s="126" t="n">
        <f aca="false">N198/$R$3</f>
        <v>-1533.881</v>
      </c>
    </row>
    <row r="199" customFormat="false" ht="12.75" hidden="true" customHeight="false" outlineLevel="0" collapsed="false">
      <c r="A199" s="120" t="n">
        <f aca="false">A198+1</f>
        <v>37085</v>
      </c>
      <c r="B199" s="131" t="str">
        <f aca="false">INDEX('Master Data'!$A$2:$B$8,MATCH(WEEKDAY('ARG Gas Transport'!A199,3),'Master Data'!$A$2:$A$8,0),2)</f>
        <v>F</v>
      </c>
      <c r="D199" s="124"/>
      <c r="E199" s="124"/>
      <c r="F199" s="124"/>
      <c r="G199" s="124" t="n">
        <v>187</v>
      </c>
      <c r="I199" s="124" t="n">
        <f aca="false">IF(MONTH($A199)=MONTH($A198),IF(G199=0,I198,G199),G199)</f>
        <v>187</v>
      </c>
      <c r="J199" s="124" t="n">
        <f aca="false">IF(MONTH($A199)=MONTH($A198),SUM(I199-I198),I199)</f>
        <v>0</v>
      </c>
      <c r="K199" s="124" t="n">
        <f aca="false">IF(WEEKDAY(A199,3)&gt;4,0,(IF(A199&lt;K$2,0,IF(A199&lt;=K$3,1,0))))</f>
        <v>0</v>
      </c>
      <c r="L199" s="124" t="n">
        <f aca="false">J199*K199</f>
        <v>0</v>
      </c>
      <c r="M199" s="124" t="n">
        <f aca="false">SUM(J$188:J199)</f>
        <v>187</v>
      </c>
      <c r="N199" s="124" t="n">
        <f aca="false">SUM(J$6:J199)</f>
        <v>-1533881</v>
      </c>
      <c r="P199" s="124" t="n">
        <f aca="false">D199/P$3</f>
        <v>0</v>
      </c>
      <c r="Q199" s="124" t="n">
        <f aca="false">E199/P$3</f>
        <v>0</v>
      </c>
      <c r="R199" s="124" t="n">
        <f aca="false">F199/R$3</f>
        <v>0</v>
      </c>
      <c r="S199" s="126" t="n">
        <f aca="false">J199/$R$3</f>
        <v>0</v>
      </c>
      <c r="T199" s="126" t="n">
        <f aca="false">L199/$R$3</f>
        <v>0</v>
      </c>
      <c r="U199" s="126" t="n">
        <f aca="false">I199/$R$3</f>
        <v>0.187</v>
      </c>
      <c r="V199" s="126" t="n">
        <f aca="false">M199/$R$3</f>
        <v>0.187</v>
      </c>
      <c r="W199" s="126" t="n">
        <f aca="false">N199/$R$3</f>
        <v>-1533.881</v>
      </c>
    </row>
    <row r="200" customFormat="false" ht="12.75" hidden="true" customHeight="false" outlineLevel="0" collapsed="false">
      <c r="A200" s="120" t="n">
        <f aca="false">A199+1</f>
        <v>37086</v>
      </c>
      <c r="B200" s="131" t="str">
        <f aca="false">INDEX('Master Data'!$A$2:$B$8,MATCH(WEEKDAY('ARG Gas Transport'!A200,3),'Master Data'!$A$2:$A$8,0),2)</f>
        <v>Sa</v>
      </c>
      <c r="D200" s="124"/>
      <c r="E200" s="124"/>
      <c r="F200" s="124"/>
      <c r="G200" s="124"/>
      <c r="I200" s="124" t="n">
        <f aca="false">IF(MONTH($A200)=MONTH($A199),IF(G200=0,I199,G200),G200)</f>
        <v>187</v>
      </c>
      <c r="J200" s="124" t="n">
        <f aca="false">IF(MONTH($A200)=MONTH($A199),SUM(I200-I199),I200)</f>
        <v>0</v>
      </c>
      <c r="K200" s="124" t="n">
        <f aca="false">IF(WEEKDAY(A200,3)&gt;4,0,(IF(A200&lt;K$2,0,IF(A200&lt;=K$3,1,0))))</f>
        <v>0</v>
      </c>
      <c r="L200" s="124" t="n">
        <f aca="false">J200*K200</f>
        <v>0</v>
      </c>
      <c r="M200" s="124" t="n">
        <f aca="false">SUM(J$188:J200)</f>
        <v>187</v>
      </c>
      <c r="N200" s="124" t="n">
        <f aca="false">SUM(J$6:J200)</f>
        <v>-1533881</v>
      </c>
      <c r="P200" s="124" t="n">
        <f aca="false">D200/P$3</f>
        <v>0</v>
      </c>
      <c r="Q200" s="124" t="n">
        <f aca="false">E200/P$3</f>
        <v>0</v>
      </c>
      <c r="R200" s="124" t="n">
        <f aca="false">F200/R$3</f>
        <v>0</v>
      </c>
      <c r="S200" s="126" t="n">
        <f aca="false">J200/$R$3</f>
        <v>0</v>
      </c>
      <c r="T200" s="126" t="n">
        <f aca="false">L200/$R$3</f>
        <v>0</v>
      </c>
      <c r="U200" s="126" t="n">
        <f aca="false">I200/$R$3</f>
        <v>0.187</v>
      </c>
      <c r="V200" s="126" t="n">
        <f aca="false">M200/$R$3</f>
        <v>0.187</v>
      </c>
      <c r="W200" s="126" t="n">
        <f aca="false">N200/$R$3</f>
        <v>-1533.881</v>
      </c>
    </row>
    <row r="201" customFormat="false" ht="12.75" hidden="true" customHeight="false" outlineLevel="0" collapsed="false">
      <c r="A201" s="120" t="n">
        <f aca="false">A200+1</f>
        <v>37087</v>
      </c>
      <c r="B201" s="131" t="str">
        <f aca="false">INDEX('Master Data'!$A$2:$B$8,MATCH(WEEKDAY('ARG Gas Transport'!A201,3),'Master Data'!$A$2:$A$8,0),2)</f>
        <v>Su</v>
      </c>
      <c r="D201" s="124"/>
      <c r="E201" s="124"/>
      <c r="F201" s="124"/>
      <c r="G201" s="124"/>
      <c r="I201" s="124" t="n">
        <f aca="false">IF(MONTH($A201)=MONTH($A200),IF(G201=0,I200,G201),G201)</f>
        <v>187</v>
      </c>
      <c r="J201" s="124" t="n">
        <f aca="false">IF(MONTH($A201)=MONTH($A200),SUM(I201-I200),I201)</f>
        <v>0</v>
      </c>
      <c r="K201" s="124" t="n">
        <f aca="false">IF(WEEKDAY(A201,3)&gt;4,0,(IF(A201&lt;K$2,0,IF(A201&lt;=K$3,1,0))))</f>
        <v>0</v>
      </c>
      <c r="L201" s="124" t="n">
        <f aca="false">J201*K201</f>
        <v>0</v>
      </c>
      <c r="M201" s="124" t="n">
        <f aca="false">SUM(J$188:J201)</f>
        <v>187</v>
      </c>
      <c r="N201" s="124" t="n">
        <f aca="false">SUM(J$6:J201)</f>
        <v>-1533881</v>
      </c>
      <c r="P201" s="124" t="n">
        <f aca="false">D201/P$3</f>
        <v>0</v>
      </c>
      <c r="Q201" s="124" t="n">
        <f aca="false">E201/P$3</f>
        <v>0</v>
      </c>
      <c r="R201" s="124" t="n">
        <f aca="false">F201/R$3</f>
        <v>0</v>
      </c>
      <c r="S201" s="126" t="n">
        <f aca="false">J201/$R$3</f>
        <v>0</v>
      </c>
      <c r="T201" s="126" t="n">
        <f aca="false">L201/$R$3</f>
        <v>0</v>
      </c>
      <c r="U201" s="126" t="n">
        <f aca="false">I201/$R$3</f>
        <v>0.187</v>
      </c>
      <c r="V201" s="126" t="n">
        <f aca="false">M201/$R$3</f>
        <v>0.187</v>
      </c>
      <c r="W201" s="126" t="n">
        <f aca="false">N201/$R$3</f>
        <v>-1533.881</v>
      </c>
    </row>
    <row r="202" customFormat="false" ht="12.75" hidden="true" customHeight="false" outlineLevel="0" collapsed="false">
      <c r="A202" s="120" t="n">
        <f aca="false">A201+1</f>
        <v>37088</v>
      </c>
      <c r="B202" s="131" t="str">
        <f aca="false">INDEX('Master Data'!$A$2:$B$8,MATCH(WEEKDAY('ARG Gas Transport'!A202,3),'Master Data'!$A$2:$A$8,0),2)</f>
        <v>M</v>
      </c>
      <c r="D202" s="124"/>
      <c r="E202" s="124"/>
      <c r="F202" s="124"/>
      <c r="G202" s="124" t="n">
        <v>187</v>
      </c>
      <c r="I202" s="124" t="n">
        <f aca="false">IF(MONTH($A202)=MONTH($A201),IF(G202=0,I201,G202),G202)</f>
        <v>187</v>
      </c>
      <c r="J202" s="124" t="n">
        <f aca="false">IF(MONTH($A202)=MONTH($A201),SUM(I202-I201),I202)</f>
        <v>0</v>
      </c>
      <c r="K202" s="124" t="n">
        <f aca="false">IF(WEEKDAY(A202,3)&gt;4,0,(IF(A202&lt;K$2,0,IF(A202&lt;=K$3,1,0))))</f>
        <v>0</v>
      </c>
      <c r="L202" s="124" t="n">
        <f aca="false">J202*K202</f>
        <v>0</v>
      </c>
      <c r="M202" s="124" t="n">
        <f aca="false">SUM(J$188:J202)</f>
        <v>187</v>
      </c>
      <c r="N202" s="124" t="n">
        <f aca="false">SUM(J$6:J202)</f>
        <v>-1533881</v>
      </c>
      <c r="P202" s="124" t="n">
        <f aca="false">D202/P$3</f>
        <v>0</v>
      </c>
      <c r="Q202" s="124" t="n">
        <f aca="false">E202/P$3</f>
        <v>0</v>
      </c>
      <c r="R202" s="124" t="n">
        <f aca="false">F202/R$3</f>
        <v>0</v>
      </c>
      <c r="S202" s="126" t="n">
        <f aca="false">J202/$R$3</f>
        <v>0</v>
      </c>
      <c r="T202" s="126" t="n">
        <f aca="false">L202/$R$3</f>
        <v>0</v>
      </c>
      <c r="U202" s="126" t="n">
        <f aca="false">I202/$R$3</f>
        <v>0.187</v>
      </c>
      <c r="V202" s="126" t="n">
        <f aca="false">M202/$R$3</f>
        <v>0.187</v>
      </c>
      <c r="W202" s="126" t="n">
        <f aca="false">N202/$R$3</f>
        <v>-1533.881</v>
      </c>
    </row>
    <row r="203" customFormat="false" ht="12.75" hidden="true" customHeight="false" outlineLevel="0" collapsed="false">
      <c r="A203" s="120" t="n">
        <f aca="false">A202+1</f>
        <v>37089</v>
      </c>
      <c r="B203" s="131" t="str">
        <f aca="false">INDEX('Master Data'!$A$2:$B$8,MATCH(WEEKDAY('ARG Gas Transport'!A203,3),'Master Data'!$A$2:$A$8,0),2)</f>
        <v>T</v>
      </c>
      <c r="D203" s="124"/>
      <c r="E203" s="124"/>
      <c r="F203" s="124"/>
      <c r="G203" s="124" t="n">
        <v>187</v>
      </c>
      <c r="I203" s="124" t="n">
        <f aca="false">IF(MONTH($A203)=MONTH($A202),IF(G203=0,I202,G203),G203)</f>
        <v>187</v>
      </c>
      <c r="J203" s="124" t="n">
        <f aca="false">IF(MONTH($A203)=MONTH($A202),SUM(I203-I202),I203)</f>
        <v>0</v>
      </c>
      <c r="K203" s="124" t="n">
        <f aca="false">IF(WEEKDAY(A203,3)&gt;4,0,(IF(A203&lt;K$2,0,IF(A203&lt;=K$3,1,0))))</f>
        <v>0</v>
      </c>
      <c r="L203" s="124" t="n">
        <f aca="false">J203*K203</f>
        <v>0</v>
      </c>
      <c r="M203" s="124" t="n">
        <f aca="false">SUM(J$188:J203)</f>
        <v>187</v>
      </c>
      <c r="N203" s="124" t="n">
        <f aca="false">SUM(J$6:J203)</f>
        <v>-1533881</v>
      </c>
      <c r="P203" s="124" t="n">
        <f aca="false">D203/P$3</f>
        <v>0</v>
      </c>
      <c r="Q203" s="124" t="n">
        <f aca="false">E203/P$3</f>
        <v>0</v>
      </c>
      <c r="R203" s="124" t="n">
        <f aca="false">F203/R$3</f>
        <v>0</v>
      </c>
      <c r="S203" s="126" t="n">
        <f aca="false">J203/$R$3</f>
        <v>0</v>
      </c>
      <c r="T203" s="126" t="n">
        <f aca="false">L203/$R$3</f>
        <v>0</v>
      </c>
      <c r="U203" s="126" t="n">
        <f aca="false">I203/$R$3</f>
        <v>0.187</v>
      </c>
      <c r="V203" s="126" t="n">
        <f aca="false">M203/$R$3</f>
        <v>0.187</v>
      </c>
      <c r="W203" s="126" t="n">
        <f aca="false">N203/$R$3</f>
        <v>-1533.881</v>
      </c>
    </row>
    <row r="204" customFormat="false" ht="12.75" hidden="true" customHeight="false" outlineLevel="0" collapsed="false">
      <c r="A204" s="120" t="n">
        <f aca="false">A203+1</f>
        <v>37090</v>
      </c>
      <c r="B204" s="131" t="str">
        <f aca="false">INDEX('Master Data'!$A$2:$B$8,MATCH(WEEKDAY('ARG Gas Transport'!A204,3),'Master Data'!$A$2:$A$8,0),2)</f>
        <v>W</v>
      </c>
      <c r="D204" s="124"/>
      <c r="E204" s="124"/>
      <c r="F204" s="124"/>
      <c r="G204" s="124" t="n">
        <v>188</v>
      </c>
      <c r="I204" s="124" t="n">
        <f aca="false">IF(MONTH($A204)=MONTH($A203),IF(G204=0,I203,G204),G204)</f>
        <v>188</v>
      </c>
      <c r="J204" s="124" t="n">
        <f aca="false">IF(MONTH($A204)=MONTH($A203),SUM(I204-I203),I204)</f>
        <v>1</v>
      </c>
      <c r="K204" s="124" t="n">
        <f aca="false">IF(WEEKDAY(A204,3)&gt;4,0,(IF(A204&lt;K$2,0,IF(A204&lt;=K$3,1,0))))</f>
        <v>0</v>
      </c>
      <c r="L204" s="124" t="n">
        <f aca="false">J204*K204</f>
        <v>0</v>
      </c>
      <c r="M204" s="124" t="n">
        <f aca="false">SUM(J$188:J204)</f>
        <v>188</v>
      </c>
      <c r="N204" s="124" t="n">
        <f aca="false">SUM(J$6:J204)</f>
        <v>-1533880</v>
      </c>
      <c r="P204" s="124" t="n">
        <f aca="false">D204/P$3</f>
        <v>0</v>
      </c>
      <c r="Q204" s="124" t="n">
        <f aca="false">E204/P$3</f>
        <v>0</v>
      </c>
      <c r="R204" s="124" t="n">
        <f aca="false">F204/R$3</f>
        <v>0</v>
      </c>
      <c r="S204" s="126" t="n">
        <f aca="false">J204/$R$3</f>
        <v>0.001</v>
      </c>
      <c r="T204" s="126" t="n">
        <f aca="false">L204/$R$3</f>
        <v>0</v>
      </c>
      <c r="U204" s="126" t="n">
        <f aca="false">I204/$R$3</f>
        <v>0.188</v>
      </c>
      <c r="V204" s="126" t="n">
        <f aca="false">M204/$R$3</f>
        <v>0.188</v>
      </c>
      <c r="W204" s="126" t="n">
        <f aca="false">N204/$R$3</f>
        <v>-1533.88</v>
      </c>
    </row>
    <row r="205" customFormat="false" ht="12.75" hidden="true" customHeight="false" outlineLevel="0" collapsed="false">
      <c r="A205" s="120" t="n">
        <f aca="false">A204+1</f>
        <v>37091</v>
      </c>
      <c r="B205" s="131" t="str">
        <f aca="false">INDEX('Master Data'!$A$2:$B$8,MATCH(WEEKDAY('ARG Gas Transport'!A205,3),'Master Data'!$A$2:$A$8,0),2)</f>
        <v>Th</v>
      </c>
      <c r="D205" s="124"/>
      <c r="E205" s="124"/>
      <c r="F205" s="124"/>
      <c r="G205" s="124" t="n">
        <v>189</v>
      </c>
      <c r="I205" s="124" t="n">
        <f aca="false">IF(MONTH($A205)=MONTH($A204),IF(G205=0,I204,G205),G205)</f>
        <v>189</v>
      </c>
      <c r="J205" s="124" t="n">
        <f aca="false">IF(MONTH($A205)=MONTH($A204),SUM(I205-I204),I205)</f>
        <v>1</v>
      </c>
      <c r="K205" s="124" t="n">
        <f aca="false">IF(WEEKDAY(A205,3)&gt;4,0,(IF(A205&lt;K$2,0,IF(A205&lt;=K$3,1,0))))</f>
        <v>0</v>
      </c>
      <c r="L205" s="124" t="n">
        <f aca="false">J205*K205</f>
        <v>0</v>
      </c>
      <c r="M205" s="124" t="n">
        <f aca="false">SUM(J$188:J205)</f>
        <v>189</v>
      </c>
      <c r="N205" s="124" t="n">
        <f aca="false">SUM(J$6:J205)</f>
        <v>-1533879</v>
      </c>
      <c r="P205" s="124" t="n">
        <f aca="false">D205/P$3</f>
        <v>0</v>
      </c>
      <c r="Q205" s="124" t="n">
        <f aca="false">E205/P$3</f>
        <v>0</v>
      </c>
      <c r="R205" s="124" t="n">
        <f aca="false">F205/R$3</f>
        <v>0</v>
      </c>
      <c r="S205" s="126" t="n">
        <f aca="false">J205/$R$3</f>
        <v>0.001</v>
      </c>
      <c r="T205" s="126" t="n">
        <f aca="false">L205/$R$3</f>
        <v>0</v>
      </c>
      <c r="U205" s="126" t="n">
        <f aca="false">I205/$R$3</f>
        <v>0.189</v>
      </c>
      <c r="V205" s="126" t="n">
        <f aca="false">M205/$R$3</f>
        <v>0.189</v>
      </c>
      <c r="W205" s="126" t="n">
        <f aca="false">N205/$R$3</f>
        <v>-1533.879</v>
      </c>
    </row>
    <row r="206" customFormat="false" ht="12.75" hidden="true" customHeight="false" outlineLevel="0" collapsed="false">
      <c r="A206" s="120" t="n">
        <f aca="false">A205+1</f>
        <v>37092</v>
      </c>
      <c r="B206" s="131" t="str">
        <f aca="false">INDEX('Master Data'!$A$2:$B$8,MATCH(WEEKDAY('ARG Gas Transport'!A206,3),'Master Data'!$A$2:$A$8,0),2)</f>
        <v>F</v>
      </c>
      <c r="D206" s="124"/>
      <c r="E206" s="124"/>
      <c r="F206" s="124"/>
      <c r="G206" s="124" t="n">
        <v>189</v>
      </c>
      <c r="I206" s="124" t="n">
        <f aca="false">IF(MONTH($A206)=MONTH($A205),IF(G206=0,I205,G206),G206)</f>
        <v>189</v>
      </c>
      <c r="J206" s="124" t="n">
        <f aca="false">IF(MONTH($A206)=MONTH($A205),SUM(I206-I205),I206)</f>
        <v>0</v>
      </c>
      <c r="K206" s="124" t="n">
        <f aca="false">IF(WEEKDAY(A206,3)&gt;4,0,(IF(A206&lt;K$2,0,IF(A206&lt;=K$3,1,0))))</f>
        <v>0</v>
      </c>
      <c r="L206" s="124" t="n">
        <f aca="false">J206*K206</f>
        <v>0</v>
      </c>
      <c r="M206" s="124" t="n">
        <f aca="false">SUM(J$188:J206)</f>
        <v>189</v>
      </c>
      <c r="N206" s="124" t="n">
        <f aca="false">SUM(J$6:J206)</f>
        <v>-1533879</v>
      </c>
      <c r="P206" s="124" t="n">
        <f aca="false">D206/P$3</f>
        <v>0</v>
      </c>
      <c r="Q206" s="124" t="n">
        <f aca="false">E206/P$3</f>
        <v>0</v>
      </c>
      <c r="R206" s="124" t="n">
        <f aca="false">F206/R$3</f>
        <v>0</v>
      </c>
      <c r="S206" s="126" t="n">
        <f aca="false">J206/$R$3</f>
        <v>0</v>
      </c>
      <c r="T206" s="126" t="n">
        <f aca="false">L206/$R$3</f>
        <v>0</v>
      </c>
      <c r="U206" s="126" t="n">
        <f aca="false">I206/$R$3</f>
        <v>0.189</v>
      </c>
      <c r="V206" s="126" t="n">
        <f aca="false">M206/$R$3</f>
        <v>0.189</v>
      </c>
      <c r="W206" s="126" t="n">
        <f aca="false">N206/$R$3</f>
        <v>-1533.879</v>
      </c>
    </row>
    <row r="207" customFormat="false" ht="12.75" hidden="true" customHeight="false" outlineLevel="0" collapsed="false">
      <c r="A207" s="120" t="n">
        <f aca="false">A206+1</f>
        <v>37093</v>
      </c>
      <c r="B207" s="131" t="str">
        <f aca="false">INDEX('Master Data'!$A$2:$B$8,MATCH(WEEKDAY('ARG Gas Transport'!A207,3),'Master Data'!$A$2:$A$8,0),2)</f>
        <v>Sa</v>
      </c>
      <c r="D207" s="124"/>
      <c r="E207" s="124"/>
      <c r="F207" s="124"/>
      <c r="G207" s="124"/>
      <c r="I207" s="124" t="n">
        <f aca="false">IF(MONTH($A207)=MONTH($A206),IF(G207=0,I206,G207),G207)</f>
        <v>189</v>
      </c>
      <c r="J207" s="124" t="n">
        <f aca="false">IF(MONTH($A207)=MONTH($A206),SUM(I207-I206),I207)</f>
        <v>0</v>
      </c>
      <c r="K207" s="124" t="n">
        <f aca="false">IF(WEEKDAY(A207,3)&gt;4,0,(IF(A207&lt;K$2,0,IF(A207&lt;=K$3,1,0))))</f>
        <v>0</v>
      </c>
      <c r="L207" s="124" t="n">
        <f aca="false">J207*K207</f>
        <v>0</v>
      </c>
      <c r="M207" s="124" t="n">
        <f aca="false">SUM(J$188:J207)</f>
        <v>189</v>
      </c>
      <c r="N207" s="124" t="n">
        <f aca="false">SUM(J$6:J207)</f>
        <v>-1533879</v>
      </c>
      <c r="P207" s="124" t="n">
        <f aca="false">D207/P$3</f>
        <v>0</v>
      </c>
      <c r="Q207" s="124" t="n">
        <f aca="false">E207/P$3</f>
        <v>0</v>
      </c>
      <c r="R207" s="124" t="n">
        <f aca="false">F207/R$3</f>
        <v>0</v>
      </c>
      <c r="S207" s="126" t="n">
        <f aca="false">J207/$R$3</f>
        <v>0</v>
      </c>
      <c r="T207" s="126" t="n">
        <f aca="false">L207/$R$3</f>
        <v>0</v>
      </c>
      <c r="U207" s="126" t="n">
        <f aca="false">I207/$R$3</f>
        <v>0.189</v>
      </c>
      <c r="V207" s="126" t="n">
        <f aca="false">M207/$R$3</f>
        <v>0.189</v>
      </c>
      <c r="W207" s="126" t="n">
        <f aca="false">N207/$R$3</f>
        <v>-1533.879</v>
      </c>
    </row>
    <row r="208" customFormat="false" ht="12.75" hidden="true" customHeight="false" outlineLevel="0" collapsed="false">
      <c r="A208" s="120" t="n">
        <f aca="false">A207+1</f>
        <v>37094</v>
      </c>
      <c r="B208" s="131" t="str">
        <f aca="false">INDEX('Master Data'!$A$2:$B$8,MATCH(WEEKDAY('ARG Gas Transport'!A208,3),'Master Data'!$A$2:$A$8,0),2)</f>
        <v>Su</v>
      </c>
      <c r="D208" s="124"/>
      <c r="E208" s="124"/>
      <c r="F208" s="124"/>
      <c r="G208" s="124"/>
      <c r="I208" s="124" t="n">
        <f aca="false">IF(MONTH($A208)=MONTH($A207),IF(G208=0,I207,G208),G208)</f>
        <v>189</v>
      </c>
      <c r="J208" s="124" t="n">
        <f aca="false">IF(MONTH($A208)=MONTH($A207),SUM(I208-I207),I208)</f>
        <v>0</v>
      </c>
      <c r="K208" s="124" t="n">
        <f aca="false">IF(WEEKDAY(A208,3)&gt;4,0,(IF(A208&lt;K$2,0,IF(A208&lt;=K$3,1,0))))</f>
        <v>0</v>
      </c>
      <c r="L208" s="124" t="n">
        <f aca="false">J208*K208</f>
        <v>0</v>
      </c>
      <c r="M208" s="124" t="n">
        <f aca="false">SUM(J$188:J208)</f>
        <v>189</v>
      </c>
      <c r="N208" s="124" t="n">
        <f aca="false">SUM(J$6:J208)</f>
        <v>-1533879</v>
      </c>
      <c r="P208" s="124" t="n">
        <f aca="false">D208/P$3</f>
        <v>0</v>
      </c>
      <c r="Q208" s="124" t="n">
        <f aca="false">E208/P$3</f>
        <v>0</v>
      </c>
      <c r="R208" s="124" t="n">
        <f aca="false">F208/R$3</f>
        <v>0</v>
      </c>
      <c r="S208" s="126" t="n">
        <f aca="false">J208/$R$3</f>
        <v>0</v>
      </c>
      <c r="T208" s="126" t="n">
        <f aca="false">L208/$R$3</f>
        <v>0</v>
      </c>
      <c r="U208" s="126" t="n">
        <f aca="false">I208/$R$3</f>
        <v>0.189</v>
      </c>
      <c r="V208" s="126" t="n">
        <f aca="false">M208/$R$3</f>
        <v>0.189</v>
      </c>
      <c r="W208" s="126" t="n">
        <f aca="false">N208/$R$3</f>
        <v>-1533.879</v>
      </c>
    </row>
    <row r="209" customFormat="false" ht="12.75" hidden="true" customHeight="false" outlineLevel="0" collapsed="false">
      <c r="A209" s="120" t="n">
        <f aca="false">A208+1</f>
        <v>37095</v>
      </c>
      <c r="B209" s="131" t="str">
        <f aca="false">INDEX('Master Data'!$A$2:$B$8,MATCH(WEEKDAY('ARG Gas Transport'!A209,3),'Master Data'!$A$2:$A$8,0),2)</f>
        <v>M</v>
      </c>
      <c r="D209" s="124"/>
      <c r="E209" s="124"/>
      <c r="F209" s="124"/>
      <c r="G209" s="124" t="n">
        <v>189</v>
      </c>
      <c r="I209" s="124" t="n">
        <f aca="false">IF(MONTH($A209)=MONTH($A208),IF(G209=0,I208,G209),G209)</f>
        <v>189</v>
      </c>
      <c r="J209" s="124" t="n">
        <f aca="false">IF(MONTH($A209)=MONTH($A208),SUM(I209-I208),I209)</f>
        <v>0</v>
      </c>
      <c r="K209" s="124" t="n">
        <f aca="false">IF(WEEKDAY(A209,3)&gt;4,0,(IF(A209&lt;K$2,0,IF(A209&lt;=K$3,1,0))))</f>
        <v>0</v>
      </c>
      <c r="L209" s="124" t="n">
        <f aca="false">J209*K209</f>
        <v>0</v>
      </c>
      <c r="M209" s="124" t="n">
        <f aca="false">SUM(J$188:J209)</f>
        <v>189</v>
      </c>
      <c r="N209" s="124" t="n">
        <f aca="false">SUM(J$6:J209)</f>
        <v>-1533879</v>
      </c>
      <c r="P209" s="124" t="n">
        <f aca="false">D209/P$3</f>
        <v>0</v>
      </c>
      <c r="Q209" s="124" t="n">
        <f aca="false">E209/P$3</f>
        <v>0</v>
      </c>
      <c r="R209" s="124" t="n">
        <f aca="false">F209/R$3</f>
        <v>0</v>
      </c>
      <c r="S209" s="126" t="n">
        <f aca="false">J209/$R$3</f>
        <v>0</v>
      </c>
      <c r="T209" s="126" t="n">
        <f aca="false">L209/$R$3</f>
        <v>0</v>
      </c>
      <c r="U209" s="126" t="n">
        <f aca="false">I209/$R$3</f>
        <v>0.189</v>
      </c>
      <c r="V209" s="126" t="n">
        <f aca="false">M209/$R$3</f>
        <v>0.189</v>
      </c>
      <c r="W209" s="126" t="n">
        <f aca="false">N209/$R$3</f>
        <v>-1533.879</v>
      </c>
    </row>
    <row r="210" customFormat="false" ht="12.75" hidden="true" customHeight="false" outlineLevel="0" collapsed="false">
      <c r="A210" s="120" t="n">
        <f aca="false">A209+1</f>
        <v>37096</v>
      </c>
      <c r="B210" s="131" t="str">
        <f aca="false">INDEX('Master Data'!$A$2:$B$8,MATCH(WEEKDAY('ARG Gas Transport'!A210,3),'Master Data'!$A$2:$A$8,0),2)</f>
        <v>T</v>
      </c>
      <c r="D210" s="124"/>
      <c r="E210" s="124"/>
      <c r="F210" s="124"/>
      <c r="G210" s="124" t="n">
        <v>189</v>
      </c>
      <c r="I210" s="124" t="n">
        <f aca="false">IF(MONTH($A210)=MONTH($A209),IF(G210=0,I209,G210),G210)</f>
        <v>189</v>
      </c>
      <c r="J210" s="124" t="n">
        <f aca="false">IF(MONTH($A210)=MONTH($A209),SUM(I210-I209),I210)</f>
        <v>0</v>
      </c>
      <c r="K210" s="124" t="n">
        <f aca="false">IF(WEEKDAY(A210,3)&gt;4,0,(IF(A210&lt;K$2,0,IF(A210&lt;=K$3,1,0))))</f>
        <v>0</v>
      </c>
      <c r="L210" s="124" t="n">
        <f aca="false">J210*K210</f>
        <v>0</v>
      </c>
      <c r="M210" s="124" t="n">
        <f aca="false">SUM(J$188:J210)</f>
        <v>189</v>
      </c>
      <c r="N210" s="124" t="n">
        <f aca="false">SUM(J$6:J210)</f>
        <v>-1533879</v>
      </c>
      <c r="P210" s="124" t="n">
        <f aca="false">D210/P$3</f>
        <v>0</v>
      </c>
      <c r="Q210" s="124" t="n">
        <f aca="false">E210/P$3</f>
        <v>0</v>
      </c>
      <c r="R210" s="124" t="n">
        <f aca="false">F210/R$3</f>
        <v>0</v>
      </c>
      <c r="S210" s="126" t="n">
        <f aca="false">J210/$R$3</f>
        <v>0</v>
      </c>
      <c r="T210" s="126" t="n">
        <f aca="false">L210/$R$3</f>
        <v>0</v>
      </c>
      <c r="U210" s="126" t="n">
        <f aca="false">I210/$R$3</f>
        <v>0.189</v>
      </c>
      <c r="V210" s="126" t="n">
        <f aca="false">M210/$R$3</f>
        <v>0.189</v>
      </c>
      <c r="W210" s="126" t="n">
        <f aca="false">N210/$R$3</f>
        <v>-1533.879</v>
      </c>
    </row>
    <row r="211" customFormat="false" ht="12.75" hidden="true" customHeight="false" outlineLevel="0" collapsed="false">
      <c r="A211" s="120" t="n">
        <f aca="false">A210+1</f>
        <v>37097</v>
      </c>
      <c r="B211" s="131" t="str">
        <f aca="false">INDEX('Master Data'!$A$2:$B$8,MATCH(WEEKDAY('ARG Gas Transport'!A211,3),'Master Data'!$A$2:$A$8,0),2)</f>
        <v>W</v>
      </c>
      <c r="D211" s="124"/>
      <c r="E211" s="124"/>
      <c r="F211" s="124"/>
      <c r="G211" s="124" t="n">
        <v>189</v>
      </c>
      <c r="I211" s="124" t="n">
        <f aca="false">IF(MONTH($A211)=MONTH($A210),IF(G211=0,I210,G211),G211)</f>
        <v>189</v>
      </c>
      <c r="J211" s="124" t="n">
        <f aca="false">IF(MONTH($A211)=MONTH($A210),SUM(I211-I210),I211)</f>
        <v>0</v>
      </c>
      <c r="K211" s="124" t="n">
        <f aca="false">IF(WEEKDAY(A211,3)&gt;4,0,(IF(A211&lt;K$2,0,IF(A211&lt;=K$3,1,0))))</f>
        <v>0</v>
      </c>
      <c r="L211" s="124" t="n">
        <f aca="false">J211*K211</f>
        <v>0</v>
      </c>
      <c r="M211" s="124" t="n">
        <f aca="false">SUM(J$188:J211)</f>
        <v>189</v>
      </c>
      <c r="N211" s="124" t="n">
        <f aca="false">SUM(J$6:J211)</f>
        <v>-1533879</v>
      </c>
      <c r="P211" s="124" t="n">
        <f aca="false">D211/P$3</f>
        <v>0</v>
      </c>
      <c r="Q211" s="124" t="n">
        <f aca="false">E211/P$3</f>
        <v>0</v>
      </c>
      <c r="R211" s="124" t="n">
        <f aca="false">F211/R$3</f>
        <v>0</v>
      </c>
      <c r="S211" s="126" t="n">
        <f aca="false">J211/$R$3</f>
        <v>0</v>
      </c>
      <c r="T211" s="126" t="n">
        <f aca="false">L211/$R$3</f>
        <v>0</v>
      </c>
      <c r="U211" s="126" t="n">
        <f aca="false">I211/$R$3</f>
        <v>0.189</v>
      </c>
      <c r="V211" s="126" t="n">
        <f aca="false">M211/$R$3</f>
        <v>0.189</v>
      </c>
      <c r="W211" s="126" t="n">
        <f aca="false">N211/$R$3</f>
        <v>-1533.879</v>
      </c>
    </row>
    <row r="212" customFormat="false" ht="12.75" hidden="true" customHeight="false" outlineLevel="0" collapsed="false">
      <c r="A212" s="120" t="n">
        <f aca="false">A211+1</f>
        <v>37098</v>
      </c>
      <c r="B212" s="131" t="str">
        <f aca="false">INDEX('Master Data'!$A$2:$B$8,MATCH(WEEKDAY('ARG Gas Transport'!A212,3),'Master Data'!$A$2:$A$8,0),2)</f>
        <v>Th</v>
      </c>
      <c r="D212" s="124"/>
      <c r="E212" s="124"/>
      <c r="F212" s="124"/>
      <c r="G212" s="124" t="n">
        <v>189</v>
      </c>
      <c r="I212" s="124" t="n">
        <f aca="false">IF(MONTH($A212)=MONTH($A211),IF(G212=0,I211,G212),G212)</f>
        <v>189</v>
      </c>
      <c r="J212" s="124" t="n">
        <f aca="false">IF(MONTH($A212)=MONTH($A211),SUM(I212-I211),I212)</f>
        <v>0</v>
      </c>
      <c r="K212" s="124" t="n">
        <f aca="false">IF(WEEKDAY(A212,3)&gt;4,0,(IF(A212&lt;K$2,0,IF(A212&lt;=K$3,1,0))))</f>
        <v>0</v>
      </c>
      <c r="L212" s="124" t="n">
        <f aca="false">J212*K212</f>
        <v>0</v>
      </c>
      <c r="M212" s="124" t="n">
        <f aca="false">SUM(J$188:J212)</f>
        <v>189</v>
      </c>
      <c r="N212" s="124" t="n">
        <f aca="false">SUM(J$6:J212)</f>
        <v>-1533879</v>
      </c>
      <c r="P212" s="124" t="n">
        <f aca="false">D212/P$3</f>
        <v>0</v>
      </c>
      <c r="Q212" s="124" t="n">
        <f aca="false">E212/P$3</f>
        <v>0</v>
      </c>
      <c r="R212" s="124" t="n">
        <f aca="false">F212/R$3</f>
        <v>0</v>
      </c>
      <c r="S212" s="126" t="n">
        <f aca="false">J212/$R$3</f>
        <v>0</v>
      </c>
      <c r="T212" s="126" t="n">
        <f aca="false">L212/$R$3</f>
        <v>0</v>
      </c>
      <c r="U212" s="126" t="n">
        <f aca="false">I212/$R$3</f>
        <v>0.189</v>
      </c>
      <c r="V212" s="126" t="n">
        <f aca="false">M212/$R$3</f>
        <v>0.189</v>
      </c>
      <c r="W212" s="126" t="n">
        <f aca="false">N212/$R$3</f>
        <v>-1533.879</v>
      </c>
    </row>
    <row r="213" customFormat="false" ht="12.75" hidden="true" customHeight="false" outlineLevel="0" collapsed="false">
      <c r="A213" s="120" t="n">
        <f aca="false">A212+1</f>
        <v>37099</v>
      </c>
      <c r="B213" s="131" t="str">
        <f aca="false">INDEX('Master Data'!$A$2:$B$8,MATCH(WEEKDAY('ARG Gas Transport'!A213,3),'Master Data'!$A$2:$A$8,0),2)</f>
        <v>F</v>
      </c>
      <c r="D213" s="124"/>
      <c r="E213" s="124"/>
      <c r="F213" s="124"/>
      <c r="G213" s="124" t="n">
        <v>190</v>
      </c>
      <c r="I213" s="124" t="n">
        <f aca="false">IF(MONTH($A213)=MONTH($A212),IF(G213=0,I212,G213),G213)</f>
        <v>190</v>
      </c>
      <c r="J213" s="124" t="n">
        <f aca="false">IF(MONTH($A213)=MONTH($A212),SUM(I213-I212),I213)</f>
        <v>1</v>
      </c>
      <c r="K213" s="124" t="n">
        <f aca="false">IF(WEEKDAY(A213,3)&gt;4,0,(IF(A213&lt;K$2,0,IF(A213&lt;=K$3,1,0))))</f>
        <v>0</v>
      </c>
      <c r="L213" s="124" t="n">
        <f aca="false">J213*K213</f>
        <v>0</v>
      </c>
      <c r="M213" s="124" t="n">
        <f aca="false">SUM(J$188:J213)</f>
        <v>190</v>
      </c>
      <c r="N213" s="124" t="n">
        <f aca="false">SUM(J$6:J213)</f>
        <v>-1533878</v>
      </c>
      <c r="P213" s="124" t="n">
        <f aca="false">D213/P$3</f>
        <v>0</v>
      </c>
      <c r="Q213" s="124" t="n">
        <f aca="false">E213/P$3</f>
        <v>0</v>
      </c>
      <c r="R213" s="124" t="n">
        <f aca="false">F213/R$3</f>
        <v>0</v>
      </c>
      <c r="S213" s="126" t="n">
        <f aca="false">J213/$R$3</f>
        <v>0.001</v>
      </c>
      <c r="T213" s="126" t="n">
        <f aca="false">L213/$R$3</f>
        <v>0</v>
      </c>
      <c r="U213" s="126" t="n">
        <f aca="false">I213/$R$3</f>
        <v>0.19</v>
      </c>
      <c r="V213" s="126" t="n">
        <f aca="false">M213/$R$3</f>
        <v>0.19</v>
      </c>
      <c r="W213" s="126" t="n">
        <f aca="false">N213/$R$3</f>
        <v>-1533.878</v>
      </c>
    </row>
    <row r="214" customFormat="false" ht="12.75" hidden="true" customHeight="false" outlineLevel="0" collapsed="false">
      <c r="A214" s="120" t="n">
        <f aca="false">A213+1</f>
        <v>37100</v>
      </c>
      <c r="B214" s="131" t="str">
        <f aca="false">INDEX('Master Data'!$A$2:$B$8,MATCH(WEEKDAY('ARG Gas Transport'!A214,3),'Master Data'!$A$2:$A$8,0),2)</f>
        <v>Sa</v>
      </c>
      <c r="D214" s="124"/>
      <c r="E214" s="124"/>
      <c r="F214" s="124"/>
      <c r="G214" s="124"/>
      <c r="I214" s="124" t="n">
        <f aca="false">IF(MONTH($A214)=MONTH($A213),IF(G214=0,I213,G214),G214)</f>
        <v>190</v>
      </c>
      <c r="J214" s="124" t="n">
        <f aca="false">IF(MONTH($A214)=MONTH($A213),SUM(I214-I213),I214)</f>
        <v>0</v>
      </c>
      <c r="K214" s="124" t="n">
        <f aca="false">IF(WEEKDAY(A214,3)&gt;4,0,(IF(A214&lt;K$2,0,IF(A214&lt;=K$3,1,0))))</f>
        <v>0</v>
      </c>
      <c r="L214" s="124" t="n">
        <f aca="false">J214*K214</f>
        <v>0</v>
      </c>
      <c r="M214" s="124" t="n">
        <f aca="false">SUM(J$188:J214)</f>
        <v>190</v>
      </c>
      <c r="N214" s="124" t="n">
        <f aca="false">SUM(J$6:J214)</f>
        <v>-1533878</v>
      </c>
      <c r="P214" s="124" t="n">
        <f aca="false">D214/P$3</f>
        <v>0</v>
      </c>
      <c r="Q214" s="124" t="n">
        <f aca="false">E214/P$3</f>
        <v>0</v>
      </c>
      <c r="R214" s="124" t="n">
        <f aca="false">F214/R$3</f>
        <v>0</v>
      </c>
      <c r="S214" s="126" t="n">
        <f aca="false">J214/$R$3</f>
        <v>0</v>
      </c>
      <c r="T214" s="126" t="n">
        <f aca="false">L214/$R$3</f>
        <v>0</v>
      </c>
      <c r="U214" s="126" t="n">
        <f aca="false">I214/$R$3</f>
        <v>0.19</v>
      </c>
      <c r="V214" s="126" t="n">
        <f aca="false">M214/$R$3</f>
        <v>0.19</v>
      </c>
      <c r="W214" s="126" t="n">
        <f aca="false">N214/$R$3</f>
        <v>-1533.878</v>
      </c>
    </row>
    <row r="215" customFormat="false" ht="12.75" hidden="true" customHeight="false" outlineLevel="0" collapsed="false">
      <c r="A215" s="120" t="n">
        <f aca="false">A214+1</f>
        <v>37101</v>
      </c>
      <c r="B215" s="131" t="str">
        <f aca="false">INDEX('Master Data'!$A$2:$B$8,MATCH(WEEKDAY('ARG Gas Transport'!A215,3),'Master Data'!$A$2:$A$8,0),2)</f>
        <v>Su</v>
      </c>
      <c r="D215" s="124"/>
      <c r="E215" s="124"/>
      <c r="F215" s="124"/>
      <c r="G215" s="124"/>
      <c r="I215" s="124" t="n">
        <f aca="false">IF(MONTH($A215)=MONTH($A214),IF(G215=0,I214,G215),G215)</f>
        <v>190</v>
      </c>
      <c r="J215" s="124" t="n">
        <f aca="false">IF(MONTH($A215)=MONTH($A214),SUM(I215-I214),I215)</f>
        <v>0</v>
      </c>
      <c r="K215" s="124" t="n">
        <f aca="false">IF(WEEKDAY(A215,3)&gt;4,0,(IF(A215&lt;K$2,0,IF(A215&lt;=K$3,1,0))))</f>
        <v>0</v>
      </c>
      <c r="L215" s="124" t="n">
        <f aca="false">J215*K215</f>
        <v>0</v>
      </c>
      <c r="M215" s="124" t="n">
        <f aca="false">SUM(J$188:J215)</f>
        <v>190</v>
      </c>
      <c r="N215" s="124" t="n">
        <f aca="false">SUM(J$6:J215)</f>
        <v>-1533878</v>
      </c>
      <c r="P215" s="124" t="n">
        <f aca="false">D215/P$3</f>
        <v>0</v>
      </c>
      <c r="Q215" s="124" t="n">
        <f aca="false">E215/P$3</f>
        <v>0</v>
      </c>
      <c r="R215" s="124" t="n">
        <f aca="false">F215/R$3</f>
        <v>0</v>
      </c>
      <c r="S215" s="126" t="n">
        <f aca="false">J215/$R$3</f>
        <v>0</v>
      </c>
      <c r="T215" s="126" t="n">
        <f aca="false">L215/$R$3</f>
        <v>0</v>
      </c>
      <c r="U215" s="126" t="n">
        <f aca="false">I215/$R$3</f>
        <v>0.19</v>
      </c>
      <c r="V215" s="126" t="n">
        <f aca="false">M215/$R$3</f>
        <v>0.19</v>
      </c>
      <c r="W215" s="126" t="n">
        <f aca="false">N215/$R$3</f>
        <v>-1533.878</v>
      </c>
    </row>
    <row r="216" customFormat="false" ht="12.75" hidden="true" customHeight="false" outlineLevel="0" collapsed="false">
      <c r="A216" s="120" t="n">
        <f aca="false">A215+1</f>
        <v>37102</v>
      </c>
      <c r="B216" s="131" t="str">
        <f aca="false">INDEX('Master Data'!$A$2:$B$8,MATCH(WEEKDAY('ARG Gas Transport'!A216,3),'Master Data'!$A$2:$A$8,0),2)</f>
        <v>M</v>
      </c>
      <c r="D216" s="124"/>
      <c r="E216" s="124"/>
      <c r="F216" s="124"/>
      <c r="G216" s="124" t="n">
        <v>190</v>
      </c>
      <c r="I216" s="124" t="n">
        <f aca="false">IF(MONTH($A216)=MONTH($A215),IF(G216=0,I215,G216),G216)</f>
        <v>190</v>
      </c>
      <c r="J216" s="124" t="n">
        <f aca="false">IF(MONTH($A216)=MONTH($A215),SUM(I216-I215),I216)</f>
        <v>0</v>
      </c>
      <c r="K216" s="124" t="n">
        <f aca="false">IF(WEEKDAY(A216,3)&gt;4,0,(IF(A216&lt;K$2,0,IF(A216&lt;=K$3,1,0))))</f>
        <v>0</v>
      </c>
      <c r="L216" s="124" t="n">
        <f aca="false">J216*K216</f>
        <v>0</v>
      </c>
      <c r="M216" s="124" t="n">
        <f aca="false">SUM(J$188:J216)</f>
        <v>190</v>
      </c>
      <c r="N216" s="124" t="n">
        <f aca="false">SUM(J$6:J216)</f>
        <v>-1533878</v>
      </c>
      <c r="P216" s="124" t="n">
        <f aca="false">D216/P$3</f>
        <v>0</v>
      </c>
      <c r="Q216" s="124" t="n">
        <f aca="false">E216/P$3</f>
        <v>0</v>
      </c>
      <c r="R216" s="124" t="n">
        <f aca="false">F216/R$3</f>
        <v>0</v>
      </c>
      <c r="S216" s="126" t="n">
        <f aca="false">J216/$R$3</f>
        <v>0</v>
      </c>
      <c r="T216" s="126" t="n">
        <f aca="false">L216/$R$3</f>
        <v>0</v>
      </c>
      <c r="U216" s="126" t="n">
        <f aca="false">I216/$R$3</f>
        <v>0.19</v>
      </c>
      <c r="V216" s="126" t="n">
        <f aca="false">M216/$R$3</f>
        <v>0.19</v>
      </c>
      <c r="W216" s="126" t="n">
        <f aca="false">N216/$R$3</f>
        <v>-1533.878</v>
      </c>
    </row>
    <row r="217" customFormat="false" ht="12.75" hidden="false" customHeight="false" outlineLevel="0" collapsed="false">
      <c r="A217" s="120" t="n">
        <f aca="false">A216+1</f>
        <v>37103</v>
      </c>
      <c r="B217" s="131" t="str">
        <f aca="false">INDEX('Master Data'!$A$2:$B$8,MATCH(WEEKDAY('ARG Gas Transport'!A217,3),'Master Data'!$A$2:$A$8,0),2)</f>
        <v>T</v>
      </c>
      <c r="D217" s="124"/>
      <c r="E217" s="124"/>
      <c r="F217" s="124"/>
      <c r="G217" s="124" t="n">
        <v>191</v>
      </c>
      <c r="I217" s="124" t="n">
        <f aca="false">IF(MONTH($A217)=MONTH($A216),IF(G217=0,I216,G217),G217)</f>
        <v>191</v>
      </c>
      <c r="J217" s="124" t="n">
        <f aca="false">IF(MONTH($A217)=MONTH($A216),SUM(I217-I216),I217)</f>
        <v>1</v>
      </c>
      <c r="K217" s="124" t="n">
        <f aca="false">IF(WEEKDAY(A217,3)&gt;4,0,(IF(A217&lt;K$2,0,IF(A217&lt;=K$3,1,0))))</f>
        <v>0</v>
      </c>
      <c r="L217" s="124" t="n">
        <f aca="false">J217*K217</f>
        <v>0</v>
      </c>
      <c r="M217" s="124" t="n">
        <f aca="false">SUM(J$188:J217)</f>
        <v>191</v>
      </c>
      <c r="N217" s="124" t="n">
        <f aca="false">SUM(J$6:J217)</f>
        <v>-1533877</v>
      </c>
      <c r="P217" s="124" t="n">
        <f aca="false">D217/P$3</f>
        <v>0</v>
      </c>
      <c r="Q217" s="124" t="n">
        <f aca="false">E217/P$3</f>
        <v>0</v>
      </c>
      <c r="R217" s="124" t="n">
        <f aca="false">F217/R$3</f>
        <v>0</v>
      </c>
      <c r="S217" s="126" t="n">
        <f aca="false">J217/$R$3</f>
        <v>0.001</v>
      </c>
      <c r="T217" s="126" t="n">
        <f aca="false">L217/$R$3</f>
        <v>0</v>
      </c>
      <c r="U217" s="126" t="n">
        <f aca="false">I217/$R$3</f>
        <v>0.191</v>
      </c>
      <c r="V217" s="126" t="n">
        <f aca="false">M217/$R$3</f>
        <v>0.191</v>
      </c>
      <c r="W217" s="126" t="n">
        <f aca="false">N217/$R$3</f>
        <v>-1533.877</v>
      </c>
    </row>
    <row r="218" customFormat="false" ht="12.75" hidden="true" customHeight="false" outlineLevel="0" collapsed="false">
      <c r="A218" s="120" t="n">
        <f aca="false">A217+1</f>
        <v>37104</v>
      </c>
      <c r="B218" s="131" t="str">
        <f aca="false">INDEX('Master Data'!$A$2:$B$8,MATCH(WEEKDAY('ARG Gas Transport'!A218,3),'Master Data'!$A$2:$A$8,0),2)</f>
        <v>W</v>
      </c>
      <c r="D218" s="124"/>
      <c r="E218" s="124"/>
      <c r="F218" s="124"/>
      <c r="G218" s="124" t="n">
        <v>0</v>
      </c>
      <c r="I218" s="124" t="n">
        <f aca="false">IF(MONTH($A218)=MONTH($A217),IF(G218=0,I217,G218),G218)</f>
        <v>0</v>
      </c>
      <c r="J218" s="124" t="n">
        <f aca="false">IF(MONTH($A218)=MONTH($A217),SUM(I218-I217),I218)</f>
        <v>0</v>
      </c>
      <c r="K218" s="124" t="n">
        <f aca="false">IF(WEEKDAY(A218,3)&gt;4,0,(IF(A218&lt;K$2,0,IF(A218&lt;=K$3,1,0))))</f>
        <v>0</v>
      </c>
      <c r="L218" s="124" t="n">
        <f aca="false">J218*K218</f>
        <v>0</v>
      </c>
      <c r="M218" s="124" t="n">
        <f aca="false">SUM(J$188:J218)</f>
        <v>191</v>
      </c>
      <c r="N218" s="124" t="n">
        <f aca="false">SUM(J$6:J218)</f>
        <v>-1533877</v>
      </c>
      <c r="P218" s="124" t="n">
        <f aca="false">D218/P$3</f>
        <v>0</v>
      </c>
      <c r="Q218" s="124" t="n">
        <f aca="false">E218/P$3</f>
        <v>0</v>
      </c>
      <c r="R218" s="124" t="n">
        <f aca="false">F218/R$3</f>
        <v>0</v>
      </c>
      <c r="S218" s="126" t="n">
        <f aca="false">J218/$R$3</f>
        <v>0</v>
      </c>
      <c r="T218" s="126" t="n">
        <f aca="false">L218/$R$3</f>
        <v>0</v>
      </c>
      <c r="U218" s="126" t="n">
        <f aca="false">I218/$R$3</f>
        <v>0</v>
      </c>
      <c r="V218" s="126" t="n">
        <f aca="false">M218/$R$3</f>
        <v>0.191</v>
      </c>
      <c r="W218" s="126" t="n">
        <f aca="false">N218/$R$3</f>
        <v>-1533.877</v>
      </c>
    </row>
    <row r="219" customFormat="false" ht="12.75" hidden="true" customHeight="false" outlineLevel="0" collapsed="false">
      <c r="A219" s="120" t="n">
        <f aca="false">A218+1</f>
        <v>37105</v>
      </c>
      <c r="B219" s="131" t="str">
        <f aca="false">INDEX('Master Data'!$A$2:$B$8,MATCH(WEEKDAY('ARG Gas Transport'!A219,3),'Master Data'!$A$2:$A$8,0),2)</f>
        <v>Th</v>
      </c>
      <c r="D219" s="124"/>
      <c r="E219" s="124"/>
      <c r="F219" s="124"/>
      <c r="G219" s="124" t="n">
        <v>14</v>
      </c>
      <c r="I219" s="124" t="n">
        <f aca="false">IF(MONTH($A219)=MONTH($A218),IF(G219=0,I218,G219),G219)</f>
        <v>14</v>
      </c>
      <c r="J219" s="124" t="n">
        <f aca="false">IF(MONTH($A219)=MONTH($A218),SUM(I219-I218),I219)</f>
        <v>14</v>
      </c>
      <c r="K219" s="124" t="n">
        <f aca="false">IF(WEEKDAY(A219,3)&gt;4,0,(IF(A219&lt;K$2,0,IF(A219&lt;=K$3,1,0))))</f>
        <v>0</v>
      </c>
      <c r="L219" s="124" t="n">
        <f aca="false">J219*K219</f>
        <v>0</v>
      </c>
      <c r="M219" s="124" t="n">
        <f aca="false">SUM(J$188:J219)</f>
        <v>205</v>
      </c>
      <c r="N219" s="124" t="n">
        <f aca="false">SUM(J$6:J219)</f>
        <v>-1533863</v>
      </c>
      <c r="P219" s="124" t="n">
        <f aca="false">D219/P$3</f>
        <v>0</v>
      </c>
      <c r="Q219" s="124" t="n">
        <f aca="false">E219/P$3</f>
        <v>0</v>
      </c>
      <c r="R219" s="124" t="n">
        <f aca="false">F219/R$3</f>
        <v>0</v>
      </c>
      <c r="S219" s="126" t="n">
        <f aca="false">J219/$R$3</f>
        <v>0.014</v>
      </c>
      <c r="T219" s="126" t="n">
        <f aca="false">L219/$R$3</f>
        <v>0</v>
      </c>
      <c r="U219" s="126" t="n">
        <f aca="false">I219/$R$3</f>
        <v>0.014</v>
      </c>
      <c r="V219" s="126" t="n">
        <f aca="false">M219/$R$3</f>
        <v>0.205</v>
      </c>
      <c r="W219" s="126" t="n">
        <f aca="false">N219/$R$3</f>
        <v>-1533.863</v>
      </c>
    </row>
    <row r="220" customFormat="false" ht="12.75" hidden="true" customHeight="false" outlineLevel="0" collapsed="false">
      <c r="A220" s="120" t="n">
        <f aca="false">A219+1</f>
        <v>37106</v>
      </c>
      <c r="B220" s="131" t="str">
        <f aca="false">INDEX('Master Data'!$A$2:$B$8,MATCH(WEEKDAY('ARG Gas Transport'!A220,3),'Master Data'!$A$2:$A$8,0),2)</f>
        <v>F</v>
      </c>
      <c r="D220" s="124"/>
      <c r="E220" s="124"/>
      <c r="F220" s="124"/>
      <c r="G220" s="124" t="n">
        <v>14</v>
      </c>
      <c r="I220" s="124" t="n">
        <f aca="false">IF(MONTH($A220)=MONTH($A219),IF(G220=0,I219,G220),G220)</f>
        <v>14</v>
      </c>
      <c r="J220" s="124" t="n">
        <f aca="false">IF(MONTH($A220)=MONTH($A219),SUM(I220-I219),I220)</f>
        <v>0</v>
      </c>
      <c r="K220" s="124" t="n">
        <f aca="false">IF(WEEKDAY(A220,3)&gt;4,0,(IF(A220&lt;K$2,0,IF(A220&lt;=K$3,1,0))))</f>
        <v>0</v>
      </c>
      <c r="L220" s="124" t="n">
        <f aca="false">J220*K220</f>
        <v>0</v>
      </c>
      <c r="M220" s="124" t="n">
        <f aca="false">SUM(J$188:J220)</f>
        <v>205</v>
      </c>
      <c r="N220" s="124" t="n">
        <f aca="false">SUM(J$6:J220)</f>
        <v>-1533863</v>
      </c>
      <c r="P220" s="124" t="n">
        <f aca="false">D220/P$3</f>
        <v>0</v>
      </c>
      <c r="Q220" s="124" t="n">
        <f aca="false">E220/P$3</f>
        <v>0</v>
      </c>
      <c r="R220" s="124" t="n">
        <f aca="false">F220/R$3</f>
        <v>0</v>
      </c>
      <c r="S220" s="126" t="n">
        <f aca="false">J220/$R$3</f>
        <v>0</v>
      </c>
      <c r="T220" s="126" t="n">
        <f aca="false">L220/$R$3</f>
        <v>0</v>
      </c>
      <c r="U220" s="126" t="n">
        <f aca="false">I220/$R$3</f>
        <v>0.014</v>
      </c>
      <c r="V220" s="126" t="n">
        <f aca="false">M220/$R$3</f>
        <v>0.205</v>
      </c>
      <c r="W220" s="126" t="n">
        <f aca="false">N220/$R$3</f>
        <v>-1533.863</v>
      </c>
    </row>
    <row r="221" customFormat="false" ht="12.75" hidden="true" customHeight="false" outlineLevel="0" collapsed="false">
      <c r="A221" s="120" t="n">
        <f aca="false">A220+1</f>
        <v>37107</v>
      </c>
      <c r="B221" s="131" t="str">
        <f aca="false">INDEX('Master Data'!$A$2:$B$8,MATCH(WEEKDAY('ARG Gas Transport'!A221,3),'Master Data'!$A$2:$A$8,0),2)</f>
        <v>Sa</v>
      </c>
      <c r="D221" s="124"/>
      <c r="E221" s="124"/>
      <c r="F221" s="124"/>
      <c r="G221" s="124"/>
      <c r="I221" s="124" t="n">
        <f aca="false">IF(MONTH($A221)=MONTH($A220),IF(G221=0,I220,G221),G221)</f>
        <v>14</v>
      </c>
      <c r="J221" s="124" t="n">
        <f aca="false">IF(MONTH($A221)=MONTH($A220),SUM(I221-I220),I221)</f>
        <v>0</v>
      </c>
      <c r="K221" s="124" t="n">
        <f aca="false">IF(WEEKDAY(A221,3)&gt;4,0,(IF(A221&lt;K$2,0,IF(A221&lt;=K$3,1,0))))</f>
        <v>0</v>
      </c>
      <c r="L221" s="124" t="n">
        <f aca="false">J221*K221</f>
        <v>0</v>
      </c>
      <c r="M221" s="124" t="n">
        <f aca="false">SUM(J$188:J221)</f>
        <v>205</v>
      </c>
      <c r="N221" s="124" t="n">
        <f aca="false">SUM(J$6:J221)</f>
        <v>-1533863</v>
      </c>
      <c r="P221" s="124" t="n">
        <f aca="false">D221/P$3</f>
        <v>0</v>
      </c>
      <c r="Q221" s="124" t="n">
        <f aca="false">E221/P$3</f>
        <v>0</v>
      </c>
      <c r="R221" s="124" t="n">
        <f aca="false">F221/R$3</f>
        <v>0</v>
      </c>
      <c r="S221" s="126" t="n">
        <f aca="false">J221/$R$3</f>
        <v>0</v>
      </c>
      <c r="T221" s="126" t="n">
        <f aca="false">L221/$R$3</f>
        <v>0</v>
      </c>
      <c r="U221" s="126" t="n">
        <f aca="false">I221/$R$3</f>
        <v>0.014</v>
      </c>
      <c r="V221" s="126" t="n">
        <f aca="false">M221/$R$3</f>
        <v>0.205</v>
      </c>
      <c r="W221" s="126" t="n">
        <f aca="false">N221/$R$3</f>
        <v>-1533.863</v>
      </c>
    </row>
    <row r="222" customFormat="false" ht="12.75" hidden="true" customHeight="false" outlineLevel="0" collapsed="false">
      <c r="A222" s="120" t="n">
        <f aca="false">A221+1</f>
        <v>37108</v>
      </c>
      <c r="B222" s="131" t="str">
        <f aca="false">INDEX('Master Data'!$A$2:$B$8,MATCH(WEEKDAY('ARG Gas Transport'!A222,3),'Master Data'!$A$2:$A$8,0),2)</f>
        <v>Su</v>
      </c>
      <c r="D222" s="124"/>
      <c r="E222" s="124"/>
      <c r="F222" s="124"/>
      <c r="G222" s="124"/>
      <c r="I222" s="124" t="n">
        <f aca="false">IF(MONTH($A222)=MONTH($A221),IF(G222=0,I221,G222),G222)</f>
        <v>14</v>
      </c>
      <c r="J222" s="124" t="n">
        <f aca="false">IF(MONTH($A222)=MONTH($A221),SUM(I222-I221),I222)</f>
        <v>0</v>
      </c>
      <c r="K222" s="124" t="n">
        <f aca="false">IF(WEEKDAY(A222,3)&gt;4,0,(IF(A222&lt;K$2,0,IF(A222&lt;=K$3,1,0))))</f>
        <v>0</v>
      </c>
      <c r="L222" s="124" t="n">
        <f aca="false">J222*K222</f>
        <v>0</v>
      </c>
      <c r="M222" s="124" t="n">
        <f aca="false">SUM(J$188:J222)</f>
        <v>205</v>
      </c>
      <c r="N222" s="124" t="n">
        <f aca="false">SUM(J$6:J222)</f>
        <v>-1533863</v>
      </c>
      <c r="P222" s="124" t="n">
        <f aca="false">D222/P$3</f>
        <v>0</v>
      </c>
      <c r="Q222" s="124" t="n">
        <f aca="false">E222/P$3</f>
        <v>0</v>
      </c>
      <c r="R222" s="124" t="n">
        <f aca="false">F222/R$3</f>
        <v>0</v>
      </c>
      <c r="S222" s="126" t="n">
        <f aca="false">J222/$R$3</f>
        <v>0</v>
      </c>
      <c r="T222" s="126" t="n">
        <f aca="false">L222/$R$3</f>
        <v>0</v>
      </c>
      <c r="U222" s="126" t="n">
        <f aca="false">I222/$R$3</f>
        <v>0.014</v>
      </c>
      <c r="V222" s="126" t="n">
        <f aca="false">M222/$R$3</f>
        <v>0.205</v>
      </c>
      <c r="W222" s="126" t="n">
        <f aca="false">N222/$R$3</f>
        <v>-1533.863</v>
      </c>
    </row>
    <row r="223" customFormat="false" ht="12.75" hidden="true" customHeight="false" outlineLevel="0" collapsed="false">
      <c r="A223" s="120" t="n">
        <f aca="false">A222+1</f>
        <v>37109</v>
      </c>
      <c r="B223" s="131" t="str">
        <f aca="false">INDEX('Master Data'!$A$2:$B$8,MATCH(WEEKDAY('ARG Gas Transport'!A223,3),'Master Data'!$A$2:$A$8,0),2)</f>
        <v>M</v>
      </c>
      <c r="D223" s="124"/>
      <c r="E223" s="124"/>
      <c r="F223" s="124"/>
      <c r="G223" s="124" t="n">
        <v>14</v>
      </c>
      <c r="I223" s="124" t="n">
        <f aca="false">IF(MONTH($A223)=MONTH($A222),IF(G223=0,I222,G223),G223)</f>
        <v>14</v>
      </c>
      <c r="J223" s="124" t="n">
        <f aca="false">IF(MONTH($A223)=MONTH($A222),SUM(I223-I222),I223)</f>
        <v>0</v>
      </c>
      <c r="K223" s="124" t="n">
        <f aca="false">IF(WEEKDAY(A223,3)&gt;4,0,(IF(A223&lt;K$2,0,IF(A223&lt;=K$3,1,0))))</f>
        <v>0</v>
      </c>
      <c r="L223" s="124" t="n">
        <f aca="false">J223*K223</f>
        <v>0</v>
      </c>
      <c r="M223" s="124" t="n">
        <f aca="false">SUM(J$188:J223)</f>
        <v>205</v>
      </c>
      <c r="N223" s="124" t="n">
        <f aca="false">SUM(J$6:J223)</f>
        <v>-1533863</v>
      </c>
      <c r="P223" s="124" t="n">
        <f aca="false">D223/P$3</f>
        <v>0</v>
      </c>
      <c r="Q223" s="124" t="n">
        <f aca="false">E223/P$3</f>
        <v>0</v>
      </c>
      <c r="R223" s="124" t="n">
        <f aca="false">F223/R$3</f>
        <v>0</v>
      </c>
      <c r="S223" s="126" t="n">
        <f aca="false">J223/$R$3</f>
        <v>0</v>
      </c>
      <c r="T223" s="126" t="n">
        <f aca="false">L223/$R$3</f>
        <v>0</v>
      </c>
      <c r="U223" s="126" t="n">
        <f aca="false">I223/$R$3</f>
        <v>0.014</v>
      </c>
      <c r="V223" s="126" t="n">
        <f aca="false">M223/$R$3</f>
        <v>0.205</v>
      </c>
      <c r="W223" s="126" t="n">
        <f aca="false">N223/$R$3</f>
        <v>-1533.863</v>
      </c>
    </row>
    <row r="224" customFormat="false" ht="12.75" hidden="true" customHeight="false" outlineLevel="0" collapsed="false">
      <c r="A224" s="120" t="n">
        <f aca="false">A223+1</f>
        <v>37110</v>
      </c>
      <c r="B224" s="131" t="str">
        <f aca="false">INDEX('Master Data'!$A$2:$B$8,MATCH(WEEKDAY('ARG Gas Transport'!A224,3),'Master Data'!$A$2:$A$8,0),2)</f>
        <v>T</v>
      </c>
      <c r="D224" s="124"/>
      <c r="E224" s="124"/>
      <c r="F224" s="124"/>
      <c r="G224" s="124" t="n">
        <v>14</v>
      </c>
      <c r="I224" s="124" t="n">
        <f aca="false">IF(MONTH($A224)=MONTH($A223),IF(G224=0,I223,G224),G224)</f>
        <v>14</v>
      </c>
      <c r="J224" s="124" t="n">
        <f aca="false">IF(MONTH($A224)=MONTH($A223),SUM(I224-I223),I224)</f>
        <v>0</v>
      </c>
      <c r="K224" s="124" t="n">
        <f aca="false">IF(WEEKDAY(A224,3)&gt;4,0,(IF(A224&lt;K$2,0,IF(A224&lt;=K$3,1,0))))</f>
        <v>0</v>
      </c>
      <c r="L224" s="124" t="n">
        <f aca="false">J224*K224</f>
        <v>0</v>
      </c>
      <c r="M224" s="124" t="n">
        <f aca="false">SUM(J$188:J224)</f>
        <v>205</v>
      </c>
      <c r="N224" s="124" t="n">
        <f aca="false">SUM(J$6:J224)</f>
        <v>-1533863</v>
      </c>
      <c r="P224" s="124" t="n">
        <f aca="false">D224/P$3</f>
        <v>0</v>
      </c>
      <c r="Q224" s="124" t="n">
        <f aca="false">E224/P$3</f>
        <v>0</v>
      </c>
      <c r="R224" s="124" t="n">
        <f aca="false">F224/R$3</f>
        <v>0</v>
      </c>
      <c r="S224" s="126" t="n">
        <f aca="false">J224/$R$3</f>
        <v>0</v>
      </c>
      <c r="T224" s="126" t="n">
        <f aca="false">L224/$R$3</f>
        <v>0</v>
      </c>
      <c r="U224" s="126" t="n">
        <f aca="false">I224/$R$3</f>
        <v>0.014</v>
      </c>
      <c r="V224" s="126" t="n">
        <f aca="false">M224/$R$3</f>
        <v>0.205</v>
      </c>
      <c r="W224" s="126" t="n">
        <f aca="false">N224/$R$3</f>
        <v>-1533.863</v>
      </c>
    </row>
    <row r="225" customFormat="false" ht="12.75" hidden="true" customHeight="false" outlineLevel="0" collapsed="false">
      <c r="A225" s="120" t="n">
        <f aca="false">A224+1</f>
        <v>37111</v>
      </c>
      <c r="B225" s="131" t="str">
        <f aca="false">INDEX('Master Data'!$A$2:$B$8,MATCH(WEEKDAY('ARG Gas Transport'!A225,3),'Master Data'!$A$2:$A$8,0),2)</f>
        <v>W</v>
      </c>
      <c r="D225" s="124"/>
      <c r="E225" s="124"/>
      <c r="F225" s="124"/>
      <c r="G225" s="124" t="n">
        <v>15</v>
      </c>
      <c r="I225" s="124" t="n">
        <f aca="false">IF(MONTH($A225)=MONTH($A224),IF(G225=0,I224,G225),G225)</f>
        <v>15</v>
      </c>
      <c r="J225" s="124" t="n">
        <f aca="false">IF(MONTH($A225)=MONTH($A224),SUM(I225-I224),I225)</f>
        <v>1</v>
      </c>
      <c r="K225" s="124" t="n">
        <f aca="false">IF(WEEKDAY(A225,3)&gt;4,0,(IF(A225&lt;K$2,0,IF(A225&lt;=K$3,1,0))))</f>
        <v>0</v>
      </c>
      <c r="L225" s="124" t="n">
        <f aca="false">J225*K225</f>
        <v>0</v>
      </c>
      <c r="M225" s="124" t="n">
        <f aca="false">SUM(J$188:J225)</f>
        <v>206</v>
      </c>
      <c r="N225" s="124" t="n">
        <f aca="false">SUM(J$6:J225)</f>
        <v>-1533862</v>
      </c>
      <c r="P225" s="124" t="n">
        <f aca="false">D225/P$3</f>
        <v>0</v>
      </c>
      <c r="Q225" s="124" t="n">
        <f aca="false">E225/P$3</f>
        <v>0</v>
      </c>
      <c r="R225" s="124" t="n">
        <f aca="false">F225/R$3</f>
        <v>0</v>
      </c>
      <c r="S225" s="126" t="n">
        <f aca="false">J225/$R$3</f>
        <v>0.001</v>
      </c>
      <c r="T225" s="126" t="n">
        <f aca="false">L225/$R$3</f>
        <v>0</v>
      </c>
      <c r="U225" s="126" t="n">
        <f aca="false">I225/$R$3</f>
        <v>0.015</v>
      </c>
      <c r="V225" s="126" t="n">
        <f aca="false">M225/$R$3</f>
        <v>0.206</v>
      </c>
      <c r="W225" s="126" t="n">
        <f aca="false">N225/$R$3</f>
        <v>-1533.862</v>
      </c>
    </row>
    <row r="226" customFormat="false" ht="12.75" hidden="true" customHeight="false" outlineLevel="0" collapsed="false">
      <c r="A226" s="120" t="n">
        <f aca="false">A225+1</f>
        <v>37112</v>
      </c>
      <c r="B226" s="131" t="str">
        <f aca="false">INDEX('Master Data'!$A$2:$B$8,MATCH(WEEKDAY('ARG Gas Transport'!A226,3),'Master Data'!$A$2:$A$8,0),2)</f>
        <v>Th</v>
      </c>
      <c r="D226" s="124"/>
      <c r="E226" s="124"/>
      <c r="F226" s="124"/>
      <c r="G226" s="124" t="n">
        <v>15</v>
      </c>
      <c r="I226" s="124" t="n">
        <f aca="false">IF(MONTH($A226)=MONTH($A225),IF(G226=0,I225,G226),G226)</f>
        <v>15</v>
      </c>
      <c r="J226" s="124" t="n">
        <f aca="false">IF(MONTH($A226)=MONTH($A225),SUM(I226-I225),I226)</f>
        <v>0</v>
      </c>
      <c r="K226" s="124" t="n">
        <f aca="false">IF(WEEKDAY(A226,3)&gt;4,0,(IF(A226&lt;K$2,0,IF(A226&lt;=K$3,1,0))))</f>
        <v>0</v>
      </c>
      <c r="L226" s="124" t="n">
        <f aca="false">J226*K226</f>
        <v>0</v>
      </c>
      <c r="M226" s="124" t="n">
        <f aca="false">SUM(J$188:J226)</f>
        <v>206</v>
      </c>
      <c r="N226" s="124" t="n">
        <f aca="false">SUM(J$6:J226)</f>
        <v>-1533862</v>
      </c>
      <c r="P226" s="124" t="n">
        <f aca="false">D226/P$3</f>
        <v>0</v>
      </c>
      <c r="Q226" s="124" t="n">
        <f aca="false">E226/P$3</f>
        <v>0</v>
      </c>
      <c r="R226" s="124" t="n">
        <f aca="false">F226/R$3</f>
        <v>0</v>
      </c>
      <c r="S226" s="126" t="n">
        <f aca="false">J226/$R$3</f>
        <v>0</v>
      </c>
      <c r="T226" s="126" t="n">
        <f aca="false">L226/$R$3</f>
        <v>0</v>
      </c>
      <c r="U226" s="126" t="n">
        <f aca="false">I226/$R$3</f>
        <v>0.015</v>
      </c>
      <c r="V226" s="126" t="n">
        <f aca="false">M226/$R$3</f>
        <v>0.206</v>
      </c>
      <c r="W226" s="126" t="n">
        <f aca="false">N226/$R$3</f>
        <v>-1533.862</v>
      </c>
    </row>
    <row r="227" customFormat="false" ht="12.75" hidden="true" customHeight="false" outlineLevel="0" collapsed="false">
      <c r="A227" s="120" t="n">
        <f aca="false">A226+1</f>
        <v>37113</v>
      </c>
      <c r="B227" s="131" t="str">
        <f aca="false">INDEX('Master Data'!$A$2:$B$8,MATCH(WEEKDAY('ARG Gas Transport'!A227,3),'Master Data'!$A$2:$A$8,0),2)</f>
        <v>F</v>
      </c>
      <c r="D227" s="124"/>
      <c r="E227" s="124"/>
      <c r="F227" s="124"/>
      <c r="G227" s="124" t="n">
        <v>14</v>
      </c>
      <c r="I227" s="124" t="n">
        <f aca="false">IF(MONTH($A227)=MONTH($A226),IF(G227=0,I226,G227),G227)</f>
        <v>14</v>
      </c>
      <c r="J227" s="124" t="n">
        <f aca="false">IF(MONTH($A227)=MONTH($A226),SUM(I227-I226),I227)</f>
        <v>-1</v>
      </c>
      <c r="K227" s="124" t="n">
        <f aca="false">IF(WEEKDAY(A227,3)&gt;4,0,(IF(A227&lt;K$2,0,IF(A227&lt;=K$3,1,0))))</f>
        <v>0</v>
      </c>
      <c r="L227" s="124" t="n">
        <f aca="false">J227*K227</f>
        <v>-0</v>
      </c>
      <c r="M227" s="124" t="n">
        <f aca="false">SUM(J$188:J227)</f>
        <v>205</v>
      </c>
      <c r="N227" s="124" t="n">
        <f aca="false">SUM(J$6:J227)</f>
        <v>-1533863</v>
      </c>
      <c r="P227" s="124" t="n">
        <f aca="false">D227/P$3</f>
        <v>0</v>
      </c>
      <c r="Q227" s="124" t="n">
        <f aca="false">E227/P$3</f>
        <v>0</v>
      </c>
      <c r="R227" s="124" t="n">
        <f aca="false">F227/R$3</f>
        <v>0</v>
      </c>
      <c r="S227" s="126" t="n">
        <f aca="false">J227/$R$3</f>
        <v>-0.001</v>
      </c>
      <c r="T227" s="126" t="n">
        <f aca="false">L227/$R$3</f>
        <v>-0</v>
      </c>
      <c r="U227" s="126" t="n">
        <f aca="false">I227/$R$3</f>
        <v>0.014</v>
      </c>
      <c r="V227" s="126" t="n">
        <f aca="false">M227/$R$3</f>
        <v>0.205</v>
      </c>
      <c r="W227" s="126" t="n">
        <f aca="false">N227/$R$3</f>
        <v>-1533.863</v>
      </c>
    </row>
    <row r="228" customFormat="false" ht="12.75" hidden="true" customHeight="false" outlineLevel="0" collapsed="false">
      <c r="A228" s="120" t="n">
        <f aca="false">A227+1</f>
        <v>37114</v>
      </c>
      <c r="B228" s="131" t="str">
        <f aca="false">INDEX('Master Data'!$A$2:$B$8,MATCH(WEEKDAY('ARG Gas Transport'!A228,3),'Master Data'!$A$2:$A$8,0),2)</f>
        <v>Sa</v>
      </c>
      <c r="D228" s="124"/>
      <c r="E228" s="124"/>
      <c r="F228" s="124"/>
      <c r="G228" s="124"/>
      <c r="I228" s="124" t="n">
        <f aca="false">IF(MONTH($A228)=MONTH($A227),IF(G228=0,I227,G228),G228)</f>
        <v>14</v>
      </c>
      <c r="J228" s="124" t="n">
        <f aca="false">IF(MONTH($A228)=MONTH($A227),SUM(I228-I227),I228)</f>
        <v>0</v>
      </c>
      <c r="K228" s="124" t="n">
        <f aca="false">IF(WEEKDAY(A228,3)&gt;4,0,(IF(A228&lt;K$2,0,IF(A228&lt;=K$3,1,0))))</f>
        <v>0</v>
      </c>
      <c r="L228" s="124" t="n">
        <f aca="false">J228*K228</f>
        <v>0</v>
      </c>
      <c r="M228" s="124" t="n">
        <f aca="false">SUM(J$188:J228)</f>
        <v>205</v>
      </c>
      <c r="N228" s="124" t="n">
        <f aca="false">SUM(J$6:J228)</f>
        <v>-1533863</v>
      </c>
      <c r="P228" s="124" t="n">
        <f aca="false">D228/P$3</f>
        <v>0</v>
      </c>
      <c r="Q228" s="124" t="n">
        <f aca="false">E228/P$3</f>
        <v>0</v>
      </c>
      <c r="R228" s="124" t="n">
        <f aca="false">F228/R$3</f>
        <v>0</v>
      </c>
      <c r="S228" s="126" t="n">
        <f aca="false">J228/$R$3</f>
        <v>0</v>
      </c>
      <c r="T228" s="126" t="n">
        <f aca="false">L228/$R$3</f>
        <v>0</v>
      </c>
      <c r="U228" s="126" t="n">
        <f aca="false">I228/$R$3</f>
        <v>0.014</v>
      </c>
      <c r="V228" s="126" t="n">
        <f aca="false">M228/$R$3</f>
        <v>0.205</v>
      </c>
      <c r="W228" s="126" t="n">
        <f aca="false">N228/$R$3</f>
        <v>-1533.863</v>
      </c>
    </row>
    <row r="229" customFormat="false" ht="12.75" hidden="true" customHeight="false" outlineLevel="0" collapsed="false">
      <c r="A229" s="120" t="n">
        <f aca="false">A228+1</f>
        <v>37115</v>
      </c>
      <c r="B229" s="131" t="str">
        <f aca="false">INDEX('Master Data'!$A$2:$B$8,MATCH(WEEKDAY('ARG Gas Transport'!A229,3),'Master Data'!$A$2:$A$8,0),2)</f>
        <v>Su</v>
      </c>
      <c r="D229" s="124"/>
      <c r="E229" s="124"/>
      <c r="F229" s="124"/>
      <c r="G229" s="124"/>
      <c r="I229" s="124" t="n">
        <f aca="false">IF(MONTH($A229)=MONTH($A228),IF(G229=0,I228,G229),G229)</f>
        <v>14</v>
      </c>
      <c r="J229" s="124" t="n">
        <f aca="false">IF(MONTH($A229)=MONTH($A228),SUM(I229-I228),I229)</f>
        <v>0</v>
      </c>
      <c r="K229" s="124" t="n">
        <f aca="false">IF(WEEKDAY(A229,3)&gt;4,0,(IF(A229&lt;K$2,0,IF(A229&lt;=K$3,1,0))))</f>
        <v>0</v>
      </c>
      <c r="L229" s="124" t="n">
        <f aca="false">J229*K229</f>
        <v>0</v>
      </c>
      <c r="M229" s="124" t="n">
        <f aca="false">SUM(J$188:J229)</f>
        <v>205</v>
      </c>
      <c r="N229" s="124" t="n">
        <f aca="false">SUM(J$6:J229)</f>
        <v>-1533863</v>
      </c>
      <c r="P229" s="124" t="n">
        <f aca="false">D229/P$3</f>
        <v>0</v>
      </c>
      <c r="Q229" s="124" t="n">
        <f aca="false">E229/P$3</f>
        <v>0</v>
      </c>
      <c r="R229" s="124" t="n">
        <f aca="false">F229/R$3</f>
        <v>0</v>
      </c>
      <c r="S229" s="126" t="n">
        <f aca="false">J229/$R$3</f>
        <v>0</v>
      </c>
      <c r="T229" s="126" t="n">
        <f aca="false">L229/$R$3</f>
        <v>0</v>
      </c>
      <c r="U229" s="126" t="n">
        <f aca="false">I229/$R$3</f>
        <v>0.014</v>
      </c>
      <c r="V229" s="126" t="n">
        <f aca="false">M229/$R$3</f>
        <v>0.205</v>
      </c>
      <c r="W229" s="126" t="n">
        <f aca="false">N229/$R$3</f>
        <v>-1533.863</v>
      </c>
    </row>
    <row r="230" customFormat="false" ht="12.75" hidden="true" customHeight="false" outlineLevel="0" collapsed="false">
      <c r="A230" s="120" t="n">
        <f aca="false">A229+1</f>
        <v>37116</v>
      </c>
      <c r="B230" s="131" t="str">
        <f aca="false">INDEX('Master Data'!$A$2:$B$8,MATCH(WEEKDAY('ARG Gas Transport'!A230,3),'Master Data'!$A$2:$A$8,0),2)</f>
        <v>M</v>
      </c>
      <c r="D230" s="124"/>
      <c r="E230" s="124"/>
      <c r="F230" s="124"/>
      <c r="G230" s="124" t="n">
        <v>20</v>
      </c>
      <c r="I230" s="124" t="n">
        <f aca="false">IF(MONTH($A230)=MONTH($A229),IF(G230=0,I229,G230),G230)</f>
        <v>20</v>
      </c>
      <c r="J230" s="124" t="n">
        <f aca="false">IF(MONTH($A230)=MONTH($A229),SUM(I230-I229),I230)</f>
        <v>6</v>
      </c>
      <c r="K230" s="124" t="n">
        <f aca="false">IF(WEEKDAY(A230,3)&gt;4,0,(IF(A230&lt;K$2,0,IF(A230&lt;=K$3,1,0))))</f>
        <v>0</v>
      </c>
      <c r="L230" s="124" t="n">
        <f aca="false">J230*K230</f>
        <v>0</v>
      </c>
      <c r="M230" s="124" t="n">
        <f aca="false">SUM(J$188:J230)</f>
        <v>211</v>
      </c>
      <c r="N230" s="124" t="n">
        <f aca="false">SUM(J$6:J230)</f>
        <v>-1533857</v>
      </c>
      <c r="P230" s="124" t="n">
        <f aca="false">D230/P$3</f>
        <v>0</v>
      </c>
      <c r="Q230" s="124" t="n">
        <f aca="false">E230/P$3</f>
        <v>0</v>
      </c>
      <c r="R230" s="124" t="n">
        <f aca="false">F230/R$3</f>
        <v>0</v>
      </c>
      <c r="S230" s="126" t="n">
        <f aca="false">J230/$R$3</f>
        <v>0.006</v>
      </c>
      <c r="T230" s="126" t="n">
        <f aca="false">L230/$R$3</f>
        <v>0</v>
      </c>
      <c r="U230" s="126" t="n">
        <f aca="false">I230/$R$3</f>
        <v>0.02</v>
      </c>
      <c r="V230" s="126" t="n">
        <f aca="false">M230/$R$3</f>
        <v>0.211</v>
      </c>
      <c r="W230" s="126" t="n">
        <f aca="false">N230/$R$3</f>
        <v>-1533.857</v>
      </c>
    </row>
    <row r="231" customFormat="false" ht="12.75" hidden="true" customHeight="false" outlineLevel="0" collapsed="false">
      <c r="A231" s="120" t="n">
        <f aca="false">A230+1</f>
        <v>37117</v>
      </c>
      <c r="B231" s="131" t="str">
        <f aca="false">INDEX('Master Data'!$A$2:$B$8,MATCH(WEEKDAY('ARG Gas Transport'!A231,3),'Master Data'!$A$2:$A$8,0),2)</f>
        <v>T</v>
      </c>
      <c r="D231" s="124"/>
      <c r="E231" s="124"/>
      <c r="F231" s="124"/>
      <c r="G231" s="124" t="n">
        <v>20</v>
      </c>
      <c r="I231" s="124" t="n">
        <f aca="false">IF(MONTH($A231)=MONTH($A230),IF(G231=0,I230,G231),G231)</f>
        <v>20</v>
      </c>
      <c r="J231" s="124" t="n">
        <f aca="false">IF(MONTH($A231)=MONTH($A230),SUM(I231-I230),I231)</f>
        <v>0</v>
      </c>
      <c r="K231" s="124" t="n">
        <f aca="false">IF(WEEKDAY(A231,3)&gt;4,0,(IF(A231&lt;K$2,0,IF(A231&lt;=K$3,1,0))))</f>
        <v>0</v>
      </c>
      <c r="L231" s="124" t="n">
        <f aca="false">J231*K231</f>
        <v>0</v>
      </c>
      <c r="M231" s="124" t="n">
        <f aca="false">SUM(J$188:J231)</f>
        <v>211</v>
      </c>
      <c r="N231" s="124" t="n">
        <f aca="false">SUM(J$6:J231)</f>
        <v>-1533857</v>
      </c>
      <c r="P231" s="124" t="n">
        <f aca="false">D231/P$3</f>
        <v>0</v>
      </c>
      <c r="Q231" s="124" t="n">
        <f aca="false">E231/P$3</f>
        <v>0</v>
      </c>
      <c r="R231" s="124" t="n">
        <f aca="false">F231/R$3</f>
        <v>0</v>
      </c>
      <c r="S231" s="126" t="n">
        <f aca="false">J231/$R$3</f>
        <v>0</v>
      </c>
      <c r="T231" s="126" t="n">
        <f aca="false">L231/$R$3</f>
        <v>0</v>
      </c>
      <c r="U231" s="126" t="n">
        <f aca="false">I231/$R$3</f>
        <v>0.02</v>
      </c>
      <c r="V231" s="126" t="n">
        <f aca="false">M231/$R$3</f>
        <v>0.211</v>
      </c>
      <c r="W231" s="126" t="n">
        <f aca="false">N231/$R$3</f>
        <v>-1533.857</v>
      </c>
    </row>
    <row r="232" customFormat="false" ht="12.75" hidden="true" customHeight="false" outlineLevel="0" collapsed="false">
      <c r="A232" s="120" t="n">
        <f aca="false">A231+1</f>
        <v>37118</v>
      </c>
      <c r="B232" s="131" t="str">
        <f aca="false">INDEX('Master Data'!$A$2:$B$8,MATCH(WEEKDAY('ARG Gas Transport'!A232,3),'Master Data'!$A$2:$A$8,0),2)</f>
        <v>W</v>
      </c>
      <c r="D232" s="124"/>
      <c r="E232" s="124"/>
      <c r="F232" s="124"/>
      <c r="G232" s="124" t="n">
        <v>19</v>
      </c>
      <c r="I232" s="124" t="n">
        <f aca="false">IF(MONTH($A232)=MONTH($A231),IF(G232=0,I231,G232),G232)</f>
        <v>19</v>
      </c>
      <c r="J232" s="124" t="n">
        <f aca="false">IF(MONTH($A232)=MONTH($A231),SUM(I232-I231),I232)</f>
        <v>-1</v>
      </c>
      <c r="K232" s="124" t="n">
        <f aca="false">IF(WEEKDAY(A232,3)&gt;4,0,(IF(A232&lt;K$2,0,IF(A232&lt;=K$3,1,0))))</f>
        <v>0</v>
      </c>
      <c r="L232" s="124" t="n">
        <f aca="false">J232*K232</f>
        <v>-0</v>
      </c>
      <c r="M232" s="124" t="n">
        <f aca="false">SUM(J$188:J232)</f>
        <v>210</v>
      </c>
      <c r="N232" s="124" t="n">
        <f aca="false">SUM(J$6:J232)</f>
        <v>-1533858</v>
      </c>
      <c r="P232" s="124" t="n">
        <f aca="false">D232/P$3</f>
        <v>0</v>
      </c>
      <c r="Q232" s="124" t="n">
        <f aca="false">E232/P$3</f>
        <v>0</v>
      </c>
      <c r="R232" s="124" t="n">
        <f aca="false">F232/R$3</f>
        <v>0</v>
      </c>
      <c r="S232" s="126" t="n">
        <f aca="false">J232/$R$3</f>
        <v>-0.001</v>
      </c>
      <c r="T232" s="126" t="n">
        <f aca="false">L232/$R$3</f>
        <v>-0</v>
      </c>
      <c r="U232" s="126" t="n">
        <f aca="false">I232/$R$3</f>
        <v>0.019</v>
      </c>
      <c r="V232" s="126" t="n">
        <f aca="false">M232/$R$3</f>
        <v>0.21</v>
      </c>
      <c r="W232" s="126" t="n">
        <f aca="false">N232/$R$3</f>
        <v>-1533.858</v>
      </c>
    </row>
    <row r="233" customFormat="false" ht="12.75" hidden="true" customHeight="false" outlineLevel="0" collapsed="false">
      <c r="A233" s="120" t="n">
        <f aca="false">A232+1</f>
        <v>37119</v>
      </c>
      <c r="B233" s="131" t="str">
        <f aca="false">INDEX('Master Data'!$A$2:$B$8,MATCH(WEEKDAY('ARG Gas Transport'!A233,3),'Master Data'!$A$2:$A$8,0),2)</f>
        <v>Th</v>
      </c>
      <c r="D233" s="124"/>
      <c r="E233" s="124"/>
      <c r="F233" s="124"/>
      <c r="G233" s="124" t="n">
        <v>20</v>
      </c>
      <c r="I233" s="124" t="n">
        <f aca="false">IF(MONTH($A233)=MONTH($A232),IF(G233=0,I232,G233),G233)</f>
        <v>20</v>
      </c>
      <c r="J233" s="124" t="n">
        <f aca="false">IF(MONTH($A233)=MONTH($A232),SUM(I233-I232),I233)</f>
        <v>1</v>
      </c>
      <c r="K233" s="124" t="n">
        <f aca="false">IF(WEEKDAY(A233,3)&gt;4,0,(IF(A233&lt;K$2,0,IF(A233&lt;=K$3,1,0))))</f>
        <v>0</v>
      </c>
      <c r="L233" s="124" t="n">
        <f aca="false">J233*K233</f>
        <v>0</v>
      </c>
      <c r="M233" s="124" t="n">
        <f aca="false">SUM(J$188:J233)</f>
        <v>211</v>
      </c>
      <c r="N233" s="124" t="n">
        <f aca="false">SUM(J$6:J233)</f>
        <v>-1533857</v>
      </c>
      <c r="P233" s="124" t="n">
        <f aca="false">D233/P$3</f>
        <v>0</v>
      </c>
      <c r="Q233" s="124" t="n">
        <f aca="false">E233/P$3</f>
        <v>0</v>
      </c>
      <c r="R233" s="124" t="n">
        <f aca="false">F233/R$3</f>
        <v>0</v>
      </c>
      <c r="S233" s="126" t="n">
        <f aca="false">J233/$R$3</f>
        <v>0.001</v>
      </c>
      <c r="T233" s="126" t="n">
        <f aca="false">L233/$R$3</f>
        <v>0</v>
      </c>
      <c r="U233" s="126" t="n">
        <f aca="false">I233/$R$3</f>
        <v>0.02</v>
      </c>
      <c r="V233" s="126" t="n">
        <f aca="false">M233/$R$3</f>
        <v>0.211</v>
      </c>
      <c r="W233" s="126" t="n">
        <f aca="false">N233/$R$3</f>
        <v>-1533.857</v>
      </c>
    </row>
    <row r="234" customFormat="false" ht="12.75" hidden="true" customHeight="false" outlineLevel="0" collapsed="false">
      <c r="A234" s="120" t="n">
        <f aca="false">A233+1</f>
        <v>37120</v>
      </c>
      <c r="B234" s="131" t="str">
        <f aca="false">INDEX('Master Data'!$A$2:$B$8,MATCH(WEEKDAY('ARG Gas Transport'!A234,3),'Master Data'!$A$2:$A$8,0),2)</f>
        <v>F</v>
      </c>
      <c r="D234" s="124"/>
      <c r="E234" s="124"/>
      <c r="F234" s="124"/>
      <c r="G234" s="124" t="n">
        <v>20</v>
      </c>
      <c r="I234" s="124" t="n">
        <f aca="false">IF(MONTH($A234)=MONTH($A233),IF(G234=0,I233,G234),G234)</f>
        <v>20</v>
      </c>
      <c r="J234" s="124" t="n">
        <f aca="false">IF(MONTH($A234)=MONTH($A233),SUM(I234-I233),I234)</f>
        <v>0</v>
      </c>
      <c r="K234" s="124" t="n">
        <f aca="false">IF(WEEKDAY(A234,3)&gt;4,0,(IF(A234&lt;K$2,0,IF(A234&lt;=K$3,1,0))))</f>
        <v>0</v>
      </c>
      <c r="L234" s="124" t="n">
        <f aca="false">J234*K234</f>
        <v>0</v>
      </c>
      <c r="M234" s="124" t="n">
        <f aca="false">SUM(J$188:J234)</f>
        <v>211</v>
      </c>
      <c r="N234" s="124" t="n">
        <f aca="false">SUM(J$6:J234)</f>
        <v>-1533857</v>
      </c>
      <c r="P234" s="124" t="n">
        <f aca="false">D234/P$3</f>
        <v>0</v>
      </c>
      <c r="Q234" s="124" t="n">
        <f aca="false">E234/P$3</f>
        <v>0</v>
      </c>
      <c r="R234" s="124" t="n">
        <f aca="false">F234/R$3</f>
        <v>0</v>
      </c>
      <c r="S234" s="126" t="n">
        <f aca="false">J234/$R$3</f>
        <v>0</v>
      </c>
      <c r="T234" s="126" t="n">
        <f aca="false">L234/$R$3</f>
        <v>0</v>
      </c>
      <c r="U234" s="126" t="n">
        <f aca="false">I234/$R$3</f>
        <v>0.02</v>
      </c>
      <c r="V234" s="126" t="n">
        <f aca="false">M234/$R$3</f>
        <v>0.211</v>
      </c>
      <c r="W234" s="126" t="n">
        <f aca="false">N234/$R$3</f>
        <v>-1533.857</v>
      </c>
    </row>
    <row r="235" customFormat="false" ht="12.75" hidden="true" customHeight="false" outlineLevel="0" collapsed="false">
      <c r="A235" s="120" t="n">
        <f aca="false">A234+1</f>
        <v>37121</v>
      </c>
      <c r="B235" s="131" t="str">
        <f aca="false">INDEX('Master Data'!$A$2:$B$8,MATCH(WEEKDAY('ARG Gas Transport'!A235,3),'Master Data'!$A$2:$A$8,0),2)</f>
        <v>Sa</v>
      </c>
      <c r="D235" s="124"/>
      <c r="E235" s="124"/>
      <c r="F235" s="124"/>
      <c r="G235" s="124"/>
      <c r="I235" s="124" t="n">
        <f aca="false">IF(MONTH($A235)=MONTH($A234),IF(G235=0,I234,G235),G235)</f>
        <v>20</v>
      </c>
      <c r="J235" s="124" t="n">
        <f aca="false">IF(MONTH($A235)=MONTH($A234),SUM(I235-I234),I235)</f>
        <v>0</v>
      </c>
      <c r="K235" s="124" t="n">
        <f aca="false">IF(WEEKDAY(A235,3)&gt;4,0,(IF(A235&lt;K$2,0,IF(A235&lt;=K$3,1,0))))</f>
        <v>0</v>
      </c>
      <c r="L235" s="124" t="n">
        <f aca="false">J235*K235</f>
        <v>0</v>
      </c>
      <c r="M235" s="124" t="n">
        <f aca="false">SUM(J$188:J235)</f>
        <v>211</v>
      </c>
      <c r="N235" s="124" t="n">
        <f aca="false">SUM(J$6:J235)</f>
        <v>-1533857</v>
      </c>
      <c r="P235" s="124" t="n">
        <f aca="false">D235/P$3</f>
        <v>0</v>
      </c>
      <c r="Q235" s="124" t="n">
        <f aca="false">E235/P$3</f>
        <v>0</v>
      </c>
      <c r="R235" s="124" t="n">
        <f aca="false">F235/R$3</f>
        <v>0</v>
      </c>
      <c r="S235" s="126" t="n">
        <f aca="false">J235/$R$3</f>
        <v>0</v>
      </c>
      <c r="T235" s="126" t="n">
        <f aca="false">L235/$R$3</f>
        <v>0</v>
      </c>
      <c r="U235" s="126" t="n">
        <f aca="false">I235/$R$3</f>
        <v>0.02</v>
      </c>
      <c r="V235" s="126" t="n">
        <f aca="false">M235/$R$3</f>
        <v>0.211</v>
      </c>
      <c r="W235" s="126" t="n">
        <f aca="false">N235/$R$3</f>
        <v>-1533.857</v>
      </c>
    </row>
    <row r="236" customFormat="false" ht="12.75" hidden="true" customHeight="false" outlineLevel="0" collapsed="false">
      <c r="A236" s="120" t="n">
        <f aca="false">A235+1</f>
        <v>37122</v>
      </c>
      <c r="B236" s="131" t="str">
        <f aca="false">INDEX('Master Data'!$A$2:$B$8,MATCH(WEEKDAY('ARG Gas Transport'!A236,3),'Master Data'!$A$2:$A$8,0),2)</f>
        <v>Su</v>
      </c>
      <c r="D236" s="124"/>
      <c r="E236" s="124"/>
      <c r="F236" s="124"/>
      <c r="G236" s="124"/>
      <c r="I236" s="124" t="n">
        <f aca="false">IF(MONTH($A236)=MONTH($A235),IF(G236=0,I235,G236),G236)</f>
        <v>20</v>
      </c>
      <c r="J236" s="124" t="n">
        <f aca="false">IF(MONTH($A236)=MONTH($A235),SUM(I236-I235),I236)</f>
        <v>0</v>
      </c>
      <c r="K236" s="124" t="n">
        <f aca="false">IF(WEEKDAY(A236,3)&gt;4,0,(IF(A236&lt;K$2,0,IF(A236&lt;=K$3,1,0))))</f>
        <v>0</v>
      </c>
      <c r="L236" s="124" t="n">
        <f aca="false">J236*K236</f>
        <v>0</v>
      </c>
      <c r="M236" s="124" t="n">
        <f aca="false">SUM(J$188:J236)</f>
        <v>211</v>
      </c>
      <c r="N236" s="124" t="n">
        <f aca="false">SUM(J$6:J236)</f>
        <v>-1533857</v>
      </c>
      <c r="P236" s="124" t="n">
        <f aca="false">D236/P$3</f>
        <v>0</v>
      </c>
      <c r="Q236" s="124" t="n">
        <f aca="false">E236/P$3</f>
        <v>0</v>
      </c>
      <c r="R236" s="124" t="n">
        <f aca="false">F236/R$3</f>
        <v>0</v>
      </c>
      <c r="S236" s="126" t="n">
        <f aca="false">J236/$R$3</f>
        <v>0</v>
      </c>
      <c r="T236" s="126" t="n">
        <f aca="false">L236/$R$3</f>
        <v>0</v>
      </c>
      <c r="U236" s="126" t="n">
        <f aca="false">I236/$R$3</f>
        <v>0.02</v>
      </c>
      <c r="V236" s="126" t="n">
        <f aca="false">M236/$R$3</f>
        <v>0.211</v>
      </c>
      <c r="W236" s="126" t="n">
        <f aca="false">N236/$R$3</f>
        <v>-1533.857</v>
      </c>
    </row>
    <row r="237" customFormat="false" ht="12.75" hidden="true" customHeight="false" outlineLevel="0" collapsed="false">
      <c r="A237" s="120" t="n">
        <f aca="false">A236+1</f>
        <v>37123</v>
      </c>
      <c r="B237" s="131" t="str">
        <f aca="false">INDEX('Master Data'!$A$2:$B$8,MATCH(WEEKDAY('ARG Gas Transport'!A237,3),'Master Data'!$A$2:$A$8,0),2)</f>
        <v>M</v>
      </c>
      <c r="D237" s="124"/>
      <c r="E237" s="124"/>
      <c r="F237" s="124"/>
      <c r="G237" s="124" t="n">
        <v>21</v>
      </c>
      <c r="I237" s="124" t="n">
        <f aca="false">IF(MONTH($A237)=MONTH($A236),IF(G237=0,I236,G237),G237)</f>
        <v>21</v>
      </c>
      <c r="J237" s="124" t="n">
        <f aca="false">IF(MONTH($A237)=MONTH($A236),SUM(I237-I236),I237)</f>
        <v>1</v>
      </c>
      <c r="K237" s="124" t="n">
        <f aca="false">IF(WEEKDAY(A237,3)&gt;4,0,(IF(A237&lt;K$2,0,IF(A237&lt;=K$3,1,0))))</f>
        <v>0</v>
      </c>
      <c r="L237" s="124" t="n">
        <f aca="false">J237*K237</f>
        <v>0</v>
      </c>
      <c r="M237" s="124" t="n">
        <f aca="false">SUM(J$188:J237)</f>
        <v>212</v>
      </c>
      <c r="N237" s="124" t="n">
        <f aca="false">SUM(J$6:J237)</f>
        <v>-1533856</v>
      </c>
      <c r="P237" s="124" t="n">
        <f aca="false">D237/P$3</f>
        <v>0</v>
      </c>
      <c r="Q237" s="124" t="n">
        <f aca="false">E237/P$3</f>
        <v>0</v>
      </c>
      <c r="R237" s="124" t="n">
        <f aca="false">F237/R$3</f>
        <v>0</v>
      </c>
      <c r="S237" s="126" t="n">
        <f aca="false">J237/$R$3</f>
        <v>0.001</v>
      </c>
      <c r="T237" s="126" t="n">
        <f aca="false">L237/$R$3</f>
        <v>0</v>
      </c>
      <c r="U237" s="126" t="n">
        <f aca="false">I237/$R$3</f>
        <v>0.021</v>
      </c>
      <c r="V237" s="126" t="n">
        <f aca="false">M237/$R$3</f>
        <v>0.212</v>
      </c>
      <c r="W237" s="126" t="n">
        <f aca="false">N237/$R$3</f>
        <v>-1533.856</v>
      </c>
    </row>
    <row r="238" customFormat="false" ht="12.75" hidden="true" customHeight="false" outlineLevel="0" collapsed="false">
      <c r="A238" s="120" t="n">
        <f aca="false">A237+1</f>
        <v>37124</v>
      </c>
      <c r="B238" s="131" t="str">
        <f aca="false">INDEX('Master Data'!$A$2:$B$8,MATCH(WEEKDAY('ARG Gas Transport'!A238,3),'Master Data'!$A$2:$A$8,0),2)</f>
        <v>T</v>
      </c>
      <c r="D238" s="124"/>
      <c r="E238" s="124"/>
      <c r="F238" s="124"/>
      <c r="G238" s="124" t="n">
        <v>21</v>
      </c>
      <c r="I238" s="124" t="n">
        <f aca="false">IF(MONTH($A238)=MONTH($A237),IF(G238=0,I237,G238),G238)</f>
        <v>21</v>
      </c>
      <c r="J238" s="124" t="n">
        <f aca="false">IF(MONTH($A238)=MONTH($A237),SUM(I238-I237),I238)</f>
        <v>0</v>
      </c>
      <c r="K238" s="124" t="n">
        <f aca="false">IF(WEEKDAY(A238,3)&gt;4,0,(IF(A238&lt;K$2,0,IF(A238&lt;=K$3,1,0))))</f>
        <v>0</v>
      </c>
      <c r="L238" s="124" t="n">
        <f aca="false">J238*K238</f>
        <v>0</v>
      </c>
      <c r="M238" s="124" t="n">
        <f aca="false">SUM(J$188:J238)</f>
        <v>212</v>
      </c>
      <c r="N238" s="124" t="n">
        <f aca="false">SUM(J$6:J238)</f>
        <v>-1533856</v>
      </c>
      <c r="P238" s="124" t="n">
        <f aca="false">D238/P$3</f>
        <v>0</v>
      </c>
      <c r="Q238" s="124" t="n">
        <f aca="false">E238/P$3</f>
        <v>0</v>
      </c>
      <c r="R238" s="124" t="n">
        <f aca="false">F238/R$3</f>
        <v>0</v>
      </c>
      <c r="S238" s="126" t="n">
        <f aca="false">J238/$R$3</f>
        <v>0</v>
      </c>
      <c r="T238" s="126" t="n">
        <f aca="false">L238/$R$3</f>
        <v>0</v>
      </c>
      <c r="U238" s="126" t="n">
        <f aca="false">I238/$R$3</f>
        <v>0.021</v>
      </c>
      <c r="V238" s="126" t="n">
        <f aca="false">M238/$R$3</f>
        <v>0.212</v>
      </c>
      <c r="W238" s="126" t="n">
        <f aca="false">N238/$R$3</f>
        <v>-1533.856</v>
      </c>
    </row>
    <row r="239" customFormat="false" ht="12.75" hidden="true" customHeight="false" outlineLevel="0" collapsed="false">
      <c r="A239" s="120" t="n">
        <f aca="false">A238+1</f>
        <v>37125</v>
      </c>
      <c r="B239" s="131" t="str">
        <f aca="false">INDEX('Master Data'!$A$2:$B$8,MATCH(WEEKDAY('ARG Gas Transport'!A239,3),'Master Data'!$A$2:$A$8,0),2)</f>
        <v>W</v>
      </c>
      <c r="D239" s="124"/>
      <c r="E239" s="124"/>
      <c r="F239" s="124"/>
      <c r="G239" s="124" t="n">
        <v>21</v>
      </c>
      <c r="I239" s="124" t="n">
        <f aca="false">IF(MONTH($A239)=MONTH($A238),IF(G239=0,I238,G239),G239)</f>
        <v>21</v>
      </c>
      <c r="J239" s="124" t="n">
        <f aca="false">IF(MONTH($A239)=MONTH($A238),SUM(I239-I238),I239)</f>
        <v>0</v>
      </c>
      <c r="K239" s="124" t="n">
        <f aca="false">IF(WEEKDAY(A239,3)&gt;4,0,(IF(A239&lt;K$2,0,IF(A239&lt;=K$3,1,0))))</f>
        <v>0</v>
      </c>
      <c r="L239" s="124" t="n">
        <f aca="false">J239*K239</f>
        <v>0</v>
      </c>
      <c r="M239" s="124" t="n">
        <f aca="false">SUM(J$188:J239)</f>
        <v>212</v>
      </c>
      <c r="N239" s="124" t="n">
        <f aca="false">SUM(J$6:J239)</f>
        <v>-1533856</v>
      </c>
      <c r="P239" s="124" t="n">
        <f aca="false">D239/P$3</f>
        <v>0</v>
      </c>
      <c r="Q239" s="124" t="n">
        <f aca="false">E239/P$3</f>
        <v>0</v>
      </c>
      <c r="R239" s="124" t="n">
        <f aca="false">F239/R$3</f>
        <v>0</v>
      </c>
      <c r="S239" s="126" t="n">
        <f aca="false">J239/$R$3</f>
        <v>0</v>
      </c>
      <c r="T239" s="126" t="n">
        <f aca="false">L239/$R$3</f>
        <v>0</v>
      </c>
      <c r="U239" s="126" t="n">
        <f aca="false">I239/$R$3</f>
        <v>0.021</v>
      </c>
      <c r="V239" s="126" t="n">
        <f aca="false">M239/$R$3</f>
        <v>0.212</v>
      </c>
      <c r="W239" s="126" t="n">
        <f aca="false">N239/$R$3</f>
        <v>-1533.856</v>
      </c>
    </row>
    <row r="240" customFormat="false" ht="12.75" hidden="true" customHeight="false" outlineLevel="0" collapsed="false">
      <c r="A240" s="120" t="n">
        <f aca="false">A239+1</f>
        <v>37126</v>
      </c>
      <c r="B240" s="131" t="str">
        <f aca="false">INDEX('Master Data'!$A$2:$B$8,MATCH(WEEKDAY('ARG Gas Transport'!A240,3),'Master Data'!$A$2:$A$8,0),2)</f>
        <v>Th</v>
      </c>
      <c r="D240" s="124"/>
      <c r="E240" s="124"/>
      <c r="F240" s="124"/>
      <c r="G240" s="124" t="n">
        <v>21</v>
      </c>
      <c r="I240" s="124" t="n">
        <f aca="false">IF(MONTH($A240)=MONTH($A239),IF(G240=0,I239,G240),G240)</f>
        <v>21</v>
      </c>
      <c r="J240" s="124" t="n">
        <f aca="false">IF(MONTH($A240)=MONTH($A239),SUM(I240-I239),I240)</f>
        <v>0</v>
      </c>
      <c r="K240" s="124" t="n">
        <f aca="false">IF(WEEKDAY(A240,3)&gt;4,0,(IF(A240&lt;K$2,0,IF(A240&lt;=K$3,1,0))))</f>
        <v>0</v>
      </c>
      <c r="L240" s="124" t="n">
        <f aca="false">J240*K240</f>
        <v>0</v>
      </c>
      <c r="M240" s="124" t="n">
        <f aca="false">SUM(J$188:J240)</f>
        <v>212</v>
      </c>
      <c r="N240" s="124" t="n">
        <f aca="false">SUM(J$6:J240)</f>
        <v>-1533856</v>
      </c>
      <c r="P240" s="124" t="n">
        <f aca="false">D240/P$3</f>
        <v>0</v>
      </c>
      <c r="Q240" s="124" t="n">
        <f aca="false">E240/P$3</f>
        <v>0</v>
      </c>
      <c r="R240" s="124" t="n">
        <f aca="false">F240/R$3</f>
        <v>0</v>
      </c>
      <c r="S240" s="126" t="n">
        <f aca="false">J240/$R$3</f>
        <v>0</v>
      </c>
      <c r="T240" s="126" t="n">
        <f aca="false">L240/$R$3</f>
        <v>0</v>
      </c>
      <c r="U240" s="126" t="n">
        <f aca="false">I240/$R$3</f>
        <v>0.021</v>
      </c>
      <c r="V240" s="126" t="n">
        <f aca="false">M240/$R$3</f>
        <v>0.212</v>
      </c>
      <c r="W240" s="126" t="n">
        <f aca="false">N240/$R$3</f>
        <v>-1533.856</v>
      </c>
    </row>
    <row r="241" customFormat="false" ht="12.75" hidden="true" customHeight="false" outlineLevel="0" collapsed="false">
      <c r="A241" s="120" t="n">
        <f aca="false">A240+1</f>
        <v>37127</v>
      </c>
      <c r="B241" s="131" t="str">
        <f aca="false">INDEX('Master Data'!$A$2:$B$8,MATCH(WEEKDAY('ARG Gas Transport'!A241,3),'Master Data'!$A$2:$A$8,0),2)</f>
        <v>F</v>
      </c>
      <c r="D241" s="124"/>
      <c r="E241" s="124"/>
      <c r="F241" s="124"/>
      <c r="G241" s="124" t="n">
        <v>21</v>
      </c>
      <c r="I241" s="124" t="n">
        <f aca="false">IF(MONTH($A241)=MONTH($A240),IF(G241=0,I240,G241),G241)</f>
        <v>21</v>
      </c>
      <c r="J241" s="124" t="n">
        <f aca="false">IF(MONTH($A241)=MONTH($A240),SUM(I241-I240),I241)</f>
        <v>0</v>
      </c>
      <c r="K241" s="124" t="n">
        <f aca="false">IF(WEEKDAY(A241,3)&gt;4,0,(IF(A241&lt;K$2,0,IF(A241&lt;=K$3,1,0))))</f>
        <v>0</v>
      </c>
      <c r="L241" s="124" t="n">
        <f aca="false">J241*K241</f>
        <v>0</v>
      </c>
      <c r="M241" s="124" t="n">
        <f aca="false">SUM(J$188:J241)</f>
        <v>212</v>
      </c>
      <c r="N241" s="124" t="n">
        <f aca="false">SUM(J$6:J241)</f>
        <v>-1533856</v>
      </c>
      <c r="P241" s="124" t="n">
        <f aca="false">D241/P$3</f>
        <v>0</v>
      </c>
      <c r="Q241" s="124" t="n">
        <f aca="false">E241/P$3</f>
        <v>0</v>
      </c>
      <c r="R241" s="124" t="n">
        <f aca="false">F241/R$3</f>
        <v>0</v>
      </c>
      <c r="S241" s="126" t="n">
        <f aca="false">J241/$R$3</f>
        <v>0</v>
      </c>
      <c r="T241" s="126" t="n">
        <f aca="false">L241/$R$3</f>
        <v>0</v>
      </c>
      <c r="U241" s="126" t="n">
        <f aca="false">I241/$R$3</f>
        <v>0.021</v>
      </c>
      <c r="V241" s="126" t="n">
        <f aca="false">M241/$R$3</f>
        <v>0.212</v>
      </c>
      <c r="W241" s="126" t="n">
        <f aca="false">N241/$R$3</f>
        <v>-1533.856</v>
      </c>
    </row>
    <row r="242" customFormat="false" ht="12.75" hidden="true" customHeight="false" outlineLevel="0" collapsed="false">
      <c r="A242" s="120" t="n">
        <f aca="false">A241+1</f>
        <v>37128</v>
      </c>
      <c r="B242" s="131" t="str">
        <f aca="false">INDEX('Master Data'!$A$2:$B$8,MATCH(WEEKDAY('ARG Gas Transport'!A242,3),'Master Data'!$A$2:$A$8,0),2)</f>
        <v>Sa</v>
      </c>
      <c r="D242" s="124"/>
      <c r="E242" s="124"/>
      <c r="F242" s="124"/>
      <c r="G242" s="124"/>
      <c r="I242" s="124" t="n">
        <f aca="false">IF(MONTH($A242)=MONTH($A241),IF(G242=0,I241,G242),G242)</f>
        <v>21</v>
      </c>
      <c r="J242" s="124" t="n">
        <f aca="false">IF(MONTH($A242)=MONTH($A241),SUM(I242-I241),I242)</f>
        <v>0</v>
      </c>
      <c r="K242" s="124" t="n">
        <f aca="false">IF(WEEKDAY(A242,3)&gt;4,0,(IF(A242&lt;K$2,0,IF(A242&lt;=K$3,1,0))))</f>
        <v>0</v>
      </c>
      <c r="L242" s="124" t="n">
        <f aca="false">J242*K242</f>
        <v>0</v>
      </c>
      <c r="M242" s="124" t="n">
        <f aca="false">SUM(J$188:J242)</f>
        <v>212</v>
      </c>
      <c r="N242" s="124" t="n">
        <f aca="false">SUM(J$6:J242)</f>
        <v>-1533856</v>
      </c>
      <c r="P242" s="124" t="n">
        <f aca="false">D242/P$3</f>
        <v>0</v>
      </c>
      <c r="Q242" s="124" t="n">
        <f aca="false">E242/P$3</f>
        <v>0</v>
      </c>
      <c r="R242" s="124" t="n">
        <f aca="false">F242/R$3</f>
        <v>0</v>
      </c>
      <c r="S242" s="126" t="n">
        <f aca="false">J242/$R$3</f>
        <v>0</v>
      </c>
      <c r="T242" s="126" t="n">
        <f aca="false">L242/$R$3</f>
        <v>0</v>
      </c>
      <c r="U242" s="126" t="n">
        <f aca="false">I242/$R$3</f>
        <v>0.021</v>
      </c>
      <c r="V242" s="126" t="n">
        <f aca="false">M242/$R$3</f>
        <v>0.212</v>
      </c>
      <c r="W242" s="126" t="n">
        <f aca="false">N242/$R$3</f>
        <v>-1533.856</v>
      </c>
    </row>
    <row r="243" customFormat="false" ht="12.75" hidden="true" customHeight="false" outlineLevel="0" collapsed="false">
      <c r="A243" s="120" t="n">
        <f aca="false">A242+1</f>
        <v>37129</v>
      </c>
      <c r="B243" s="131" t="str">
        <f aca="false">INDEX('Master Data'!$A$2:$B$8,MATCH(WEEKDAY('ARG Gas Transport'!A243,3),'Master Data'!$A$2:$A$8,0),2)</f>
        <v>Su</v>
      </c>
      <c r="D243" s="124"/>
      <c r="E243" s="124"/>
      <c r="F243" s="124"/>
      <c r="G243" s="124"/>
      <c r="I243" s="124" t="n">
        <f aca="false">IF(MONTH($A243)=MONTH($A242),IF(G243=0,I242,G243),G243)</f>
        <v>21</v>
      </c>
      <c r="J243" s="124" t="n">
        <f aca="false">IF(MONTH($A243)=MONTH($A242),SUM(I243-I242),I243)</f>
        <v>0</v>
      </c>
      <c r="K243" s="124" t="n">
        <f aca="false">IF(WEEKDAY(A243,3)&gt;4,0,(IF(A243&lt;K$2,0,IF(A243&lt;=K$3,1,0))))</f>
        <v>0</v>
      </c>
      <c r="L243" s="124" t="n">
        <f aca="false">J243*K243</f>
        <v>0</v>
      </c>
      <c r="M243" s="124" t="n">
        <f aca="false">SUM(J$188:J243)</f>
        <v>212</v>
      </c>
      <c r="N243" s="124" t="n">
        <f aca="false">SUM(J$6:J243)</f>
        <v>-1533856</v>
      </c>
      <c r="P243" s="124" t="n">
        <f aca="false">D243/P$3</f>
        <v>0</v>
      </c>
      <c r="Q243" s="124" t="n">
        <f aca="false">E243/P$3</f>
        <v>0</v>
      </c>
      <c r="R243" s="124" t="n">
        <f aca="false">F243/R$3</f>
        <v>0</v>
      </c>
      <c r="S243" s="126" t="n">
        <f aca="false">J243/$R$3</f>
        <v>0</v>
      </c>
      <c r="T243" s="126" t="n">
        <f aca="false">L243/$R$3</f>
        <v>0</v>
      </c>
      <c r="U243" s="126" t="n">
        <f aca="false">I243/$R$3</f>
        <v>0.021</v>
      </c>
      <c r="V243" s="126" t="n">
        <f aca="false">M243/$R$3</f>
        <v>0.212</v>
      </c>
      <c r="W243" s="126" t="n">
        <f aca="false">N243/$R$3</f>
        <v>-1533.856</v>
      </c>
    </row>
    <row r="244" customFormat="false" ht="12.75" hidden="true" customHeight="false" outlineLevel="0" collapsed="false">
      <c r="A244" s="120" t="n">
        <f aca="false">A243+1</f>
        <v>37130</v>
      </c>
      <c r="B244" s="131" t="str">
        <f aca="false">INDEX('Master Data'!$A$2:$B$8,MATCH(WEEKDAY('ARG Gas Transport'!A244,3),'Master Data'!$A$2:$A$8,0),2)</f>
        <v>M</v>
      </c>
      <c r="D244" s="124"/>
      <c r="E244" s="124"/>
      <c r="F244" s="124"/>
      <c r="G244" s="124" t="n">
        <v>21</v>
      </c>
      <c r="I244" s="124" t="n">
        <f aca="false">IF(MONTH($A244)=MONTH($A243),IF(G244=0,I243,G244),G244)</f>
        <v>21</v>
      </c>
      <c r="J244" s="124" t="n">
        <f aca="false">IF(MONTH($A244)=MONTH($A243),SUM(I244-I243),I244)</f>
        <v>0</v>
      </c>
      <c r="K244" s="124" t="n">
        <f aca="false">IF(WEEKDAY(A244,3)&gt;4,0,(IF(A244&lt;K$2,0,IF(A244&lt;=K$3,1,0))))</f>
        <v>0</v>
      </c>
      <c r="L244" s="124" t="n">
        <f aca="false">J244*K244</f>
        <v>0</v>
      </c>
      <c r="M244" s="124" t="n">
        <f aca="false">SUM(J$188:J244)</f>
        <v>212</v>
      </c>
      <c r="N244" s="124" t="n">
        <f aca="false">SUM(J$6:J244)</f>
        <v>-1533856</v>
      </c>
      <c r="P244" s="124" t="n">
        <f aca="false">D244/P$3</f>
        <v>0</v>
      </c>
      <c r="Q244" s="124" t="n">
        <f aca="false">E244/P$3</f>
        <v>0</v>
      </c>
      <c r="R244" s="124" t="n">
        <f aca="false">F244/R$3</f>
        <v>0</v>
      </c>
      <c r="S244" s="126" t="n">
        <f aca="false">J244/$R$3</f>
        <v>0</v>
      </c>
      <c r="T244" s="126" t="n">
        <f aca="false">L244/$R$3</f>
        <v>0</v>
      </c>
      <c r="U244" s="126" t="n">
        <f aca="false">I244/$R$3</f>
        <v>0.021</v>
      </c>
      <c r="V244" s="126" t="n">
        <f aca="false">M244/$R$3</f>
        <v>0.212</v>
      </c>
      <c r="W244" s="126" t="n">
        <f aca="false">N244/$R$3</f>
        <v>-1533.856</v>
      </c>
    </row>
    <row r="245" customFormat="false" ht="12.75" hidden="true" customHeight="false" outlineLevel="0" collapsed="false">
      <c r="A245" s="120" t="n">
        <f aca="false">A244+1</f>
        <v>37131</v>
      </c>
      <c r="B245" s="131" t="str">
        <f aca="false">INDEX('Master Data'!$A$2:$B$8,MATCH(WEEKDAY('ARG Gas Transport'!A245,3),'Master Data'!$A$2:$A$8,0),2)</f>
        <v>T</v>
      </c>
      <c r="D245" s="124"/>
      <c r="E245" s="124"/>
      <c r="F245" s="124"/>
      <c r="G245" s="124" t="n">
        <v>21</v>
      </c>
      <c r="I245" s="124" t="n">
        <f aca="false">IF(MONTH($A245)=MONTH($A244),IF(G245=0,I244,G245),G245)</f>
        <v>21</v>
      </c>
      <c r="J245" s="124" t="n">
        <f aca="false">IF(MONTH($A245)=MONTH($A244),SUM(I245-I244),I245)</f>
        <v>0</v>
      </c>
      <c r="K245" s="124" t="n">
        <f aca="false">IF(WEEKDAY(A245,3)&gt;4,0,(IF(A245&lt;K$2,0,IF(A245&lt;=K$3,1,0))))</f>
        <v>0</v>
      </c>
      <c r="L245" s="124" t="n">
        <f aca="false">J245*K245</f>
        <v>0</v>
      </c>
      <c r="M245" s="124" t="n">
        <f aca="false">SUM(J$188:J245)</f>
        <v>212</v>
      </c>
      <c r="N245" s="124" t="n">
        <f aca="false">SUM(J$6:J245)</f>
        <v>-1533856</v>
      </c>
      <c r="P245" s="124" t="n">
        <f aca="false">D245/P$3</f>
        <v>0</v>
      </c>
      <c r="Q245" s="124" t="n">
        <f aca="false">E245/P$3</f>
        <v>0</v>
      </c>
      <c r="R245" s="124" t="n">
        <f aca="false">F245/R$3</f>
        <v>0</v>
      </c>
      <c r="S245" s="126" t="n">
        <f aca="false">J245/$R$3</f>
        <v>0</v>
      </c>
      <c r="T245" s="126" t="n">
        <f aca="false">L245/$R$3</f>
        <v>0</v>
      </c>
      <c r="U245" s="126" t="n">
        <f aca="false">I245/$R$3</f>
        <v>0.021</v>
      </c>
      <c r="V245" s="126" t="n">
        <f aca="false">M245/$R$3</f>
        <v>0.212</v>
      </c>
      <c r="W245" s="126" t="n">
        <f aca="false">N245/$R$3</f>
        <v>-1533.856</v>
      </c>
    </row>
    <row r="246" customFormat="false" ht="12.75" hidden="true" customHeight="false" outlineLevel="0" collapsed="false">
      <c r="A246" s="120" t="n">
        <f aca="false">A245+1</f>
        <v>37132</v>
      </c>
      <c r="B246" s="131" t="str">
        <f aca="false">INDEX('Master Data'!$A$2:$B$8,MATCH(WEEKDAY('ARG Gas Transport'!A246,3),'Master Data'!$A$2:$A$8,0),2)</f>
        <v>W</v>
      </c>
      <c r="D246" s="124"/>
      <c r="E246" s="124"/>
      <c r="F246" s="124"/>
      <c r="G246" s="124" t="n">
        <v>21</v>
      </c>
      <c r="I246" s="124" t="n">
        <f aca="false">IF(MONTH($A246)=MONTH($A245),IF(G246=0,I245,G246),G246)</f>
        <v>21</v>
      </c>
      <c r="J246" s="124" t="n">
        <f aca="false">IF(MONTH($A246)=MONTH($A245),SUM(I246-I245),I246)</f>
        <v>0</v>
      </c>
      <c r="K246" s="124" t="n">
        <f aca="false">IF(WEEKDAY(A246,3)&gt;4,0,(IF(A246&lt;K$2,0,IF(A246&lt;=K$3,1,0))))</f>
        <v>0</v>
      </c>
      <c r="L246" s="124" t="n">
        <f aca="false">J246*K246</f>
        <v>0</v>
      </c>
      <c r="M246" s="124" t="n">
        <f aca="false">SUM(J$188:J246)</f>
        <v>212</v>
      </c>
      <c r="N246" s="124" t="n">
        <f aca="false">SUM(J$6:J246)</f>
        <v>-1533856</v>
      </c>
      <c r="P246" s="124" t="n">
        <f aca="false">D246/P$3</f>
        <v>0</v>
      </c>
      <c r="Q246" s="124" t="n">
        <f aca="false">E246/P$3</f>
        <v>0</v>
      </c>
      <c r="R246" s="124" t="n">
        <f aca="false">F246/R$3</f>
        <v>0</v>
      </c>
      <c r="S246" s="126" t="n">
        <f aca="false">J246/$R$3</f>
        <v>0</v>
      </c>
      <c r="T246" s="126" t="n">
        <f aca="false">L246/$R$3</f>
        <v>0</v>
      </c>
      <c r="U246" s="126" t="n">
        <f aca="false">I246/$R$3</f>
        <v>0.021</v>
      </c>
      <c r="V246" s="126" t="n">
        <f aca="false">M246/$R$3</f>
        <v>0.212</v>
      </c>
      <c r="W246" s="126" t="n">
        <f aca="false">N246/$R$3</f>
        <v>-1533.856</v>
      </c>
    </row>
    <row r="247" customFormat="false" ht="12.75" hidden="true" customHeight="false" outlineLevel="0" collapsed="false">
      <c r="A247" s="120" t="n">
        <f aca="false">A246+1</f>
        <v>37133</v>
      </c>
      <c r="B247" s="131" t="str">
        <f aca="false">INDEX('Master Data'!$A$2:$B$8,MATCH(WEEKDAY('ARG Gas Transport'!A247,3),'Master Data'!$A$2:$A$8,0),2)</f>
        <v>Th</v>
      </c>
      <c r="D247" s="124"/>
      <c r="E247" s="124"/>
      <c r="F247" s="124"/>
      <c r="G247" s="124" t="n">
        <v>22</v>
      </c>
      <c r="I247" s="124" t="n">
        <f aca="false">IF(MONTH($A247)=MONTH($A246),IF(G247=0,I246,G247),G247)</f>
        <v>22</v>
      </c>
      <c r="J247" s="124" t="n">
        <f aca="false">IF(MONTH($A247)=MONTH($A246),SUM(I247-I246),I247)</f>
        <v>1</v>
      </c>
      <c r="K247" s="124" t="n">
        <f aca="false">IF(WEEKDAY(A247,3)&gt;4,0,(IF(A247&lt;K$2,0,IF(A247&lt;=K$3,1,0))))</f>
        <v>0</v>
      </c>
      <c r="L247" s="124" t="n">
        <f aca="false">J247*K247</f>
        <v>0</v>
      </c>
      <c r="M247" s="124" t="n">
        <f aca="false">SUM(J$188:J247)</f>
        <v>213</v>
      </c>
      <c r="N247" s="124" t="n">
        <f aca="false">SUM(J$6:J247)</f>
        <v>-1533855</v>
      </c>
      <c r="P247" s="124" t="n">
        <f aca="false">D247/P$3</f>
        <v>0</v>
      </c>
      <c r="Q247" s="124" t="n">
        <f aca="false">E247/P$3</f>
        <v>0</v>
      </c>
      <c r="R247" s="124" t="n">
        <f aca="false">F247/R$3</f>
        <v>0</v>
      </c>
      <c r="S247" s="126" t="n">
        <f aca="false">J247/$R$3</f>
        <v>0.001</v>
      </c>
      <c r="T247" s="126" t="n">
        <f aca="false">L247/$R$3</f>
        <v>0</v>
      </c>
      <c r="U247" s="126" t="n">
        <f aca="false">I247/$R$3</f>
        <v>0.022</v>
      </c>
      <c r="V247" s="126" t="n">
        <f aca="false">M247/$R$3</f>
        <v>0.213</v>
      </c>
      <c r="W247" s="126" t="n">
        <f aca="false">N247/$R$3</f>
        <v>-1533.855</v>
      </c>
    </row>
    <row r="248" customFormat="false" ht="12.75" hidden="false" customHeight="false" outlineLevel="0" collapsed="false">
      <c r="A248" s="120" t="n">
        <f aca="false">A247+1</f>
        <v>37134</v>
      </c>
      <c r="B248" s="131" t="str">
        <f aca="false">INDEX('Master Data'!$A$2:$B$8,MATCH(WEEKDAY('ARG Gas Transport'!A248,3),'Master Data'!$A$2:$A$8,0),2)</f>
        <v>F</v>
      </c>
      <c r="D248" s="124"/>
      <c r="E248" s="124"/>
      <c r="F248" s="124"/>
      <c r="G248" s="124" t="n">
        <v>21</v>
      </c>
      <c r="I248" s="124" t="n">
        <f aca="false">IF(MONTH($A248)=MONTH($A247),IF(G248=0,I247,G248),G248)</f>
        <v>21</v>
      </c>
      <c r="J248" s="124" t="n">
        <f aca="false">IF(MONTH($A248)=MONTH($A247),SUM(I248-I247),I248)</f>
        <v>-1</v>
      </c>
      <c r="K248" s="124" t="n">
        <f aca="false">IF(WEEKDAY(A248,3)&gt;4,0,(IF(A248&lt;K$2,0,IF(A248&lt;=K$3,1,0))))</f>
        <v>0</v>
      </c>
      <c r="L248" s="124" t="n">
        <f aca="false">J248*K248</f>
        <v>-0</v>
      </c>
      <c r="M248" s="124" t="n">
        <f aca="false">SUM(J$188:J248)</f>
        <v>212</v>
      </c>
      <c r="N248" s="124" t="n">
        <f aca="false">SUM(J$6:J248)</f>
        <v>-1533856</v>
      </c>
      <c r="P248" s="124" t="n">
        <f aca="false">D248/P$3</f>
        <v>0</v>
      </c>
      <c r="Q248" s="124" t="n">
        <f aca="false">E248/P$3</f>
        <v>0</v>
      </c>
      <c r="R248" s="124" t="n">
        <f aca="false">F248/R$3</f>
        <v>0</v>
      </c>
      <c r="S248" s="126" t="n">
        <f aca="false">J248/$R$3</f>
        <v>-0.001</v>
      </c>
      <c r="T248" s="126" t="n">
        <f aca="false">L248/$R$3</f>
        <v>-0</v>
      </c>
      <c r="U248" s="126" t="n">
        <f aca="false">I248/$R$3</f>
        <v>0.021</v>
      </c>
      <c r="V248" s="126" t="n">
        <f aca="false">M248/$R$3</f>
        <v>0.212</v>
      </c>
      <c r="W248" s="126" t="n">
        <f aca="false">N248/$R$3</f>
        <v>-1533.856</v>
      </c>
    </row>
    <row r="249" customFormat="false" ht="12.75" hidden="true" customHeight="false" outlineLevel="0" collapsed="false">
      <c r="A249" s="120" t="n">
        <f aca="false">A248+1</f>
        <v>37135</v>
      </c>
      <c r="B249" s="131" t="str">
        <f aca="false">INDEX('Master Data'!$A$2:$B$8,MATCH(WEEKDAY('ARG Gas Transport'!A249,3),'Master Data'!$A$2:$A$8,0),2)</f>
        <v>Sa</v>
      </c>
      <c r="D249" s="124"/>
      <c r="E249" s="124"/>
      <c r="F249" s="124"/>
      <c r="G249" s="124"/>
      <c r="I249" s="124" t="n">
        <f aca="false">IF(MONTH($A249)=MONTH($A248),IF(G249=0,I248,G249),G249)</f>
        <v>0</v>
      </c>
      <c r="J249" s="124" t="n">
        <f aca="false">IF(MONTH($A249)=MONTH($A248),SUM(I249-I248),I249)</f>
        <v>0</v>
      </c>
      <c r="K249" s="124" t="n">
        <f aca="false">IF(WEEKDAY(A249,3)&gt;4,0,(IF(A249&lt;K$2,0,IF(A249&lt;=K$3,1,0))))</f>
        <v>0</v>
      </c>
      <c r="L249" s="124" t="n">
        <f aca="false">J249*K249</f>
        <v>0</v>
      </c>
      <c r="M249" s="124" t="n">
        <f aca="false">SUM(J$188:J249)</f>
        <v>212</v>
      </c>
      <c r="N249" s="124" t="n">
        <f aca="false">SUM(J$6:J249)</f>
        <v>-1533856</v>
      </c>
      <c r="P249" s="124" t="n">
        <f aca="false">D249/P$3</f>
        <v>0</v>
      </c>
      <c r="Q249" s="124" t="n">
        <f aca="false">E249/P$3</f>
        <v>0</v>
      </c>
      <c r="R249" s="124" t="n">
        <f aca="false">F249/R$3</f>
        <v>0</v>
      </c>
      <c r="S249" s="126" t="n">
        <f aca="false">J249/$R$3</f>
        <v>0</v>
      </c>
      <c r="T249" s="126" t="n">
        <f aca="false">L249/$R$3</f>
        <v>0</v>
      </c>
      <c r="U249" s="126" t="n">
        <f aca="false">I249/$R$3</f>
        <v>0</v>
      </c>
      <c r="V249" s="126" t="n">
        <f aca="false">M249/$R$3</f>
        <v>0.212</v>
      </c>
      <c r="W249" s="126" t="n">
        <f aca="false">N249/$R$3</f>
        <v>-1533.856</v>
      </c>
    </row>
    <row r="250" customFormat="false" ht="12.75" hidden="true" customHeight="false" outlineLevel="0" collapsed="false">
      <c r="A250" s="120" t="n">
        <f aca="false">A249+1</f>
        <v>37136</v>
      </c>
      <c r="B250" s="131" t="str">
        <f aca="false">INDEX('Master Data'!$A$2:$B$8,MATCH(WEEKDAY('ARG Gas Transport'!A250,3),'Master Data'!$A$2:$A$8,0),2)</f>
        <v>Su</v>
      </c>
      <c r="D250" s="124"/>
      <c r="E250" s="124"/>
      <c r="F250" s="124"/>
      <c r="G250" s="124"/>
      <c r="I250" s="124" t="n">
        <f aca="false">IF(MONTH($A250)=MONTH($A249),IF(G250=0,I249,G250),G250)</f>
        <v>0</v>
      </c>
      <c r="J250" s="124" t="n">
        <f aca="false">IF(MONTH($A250)=MONTH($A249),SUM(I250-I249),I250)</f>
        <v>0</v>
      </c>
      <c r="K250" s="124" t="n">
        <f aca="false">IF(WEEKDAY(A250,3)&gt;4,0,(IF(A250&lt;K$2,0,IF(A250&lt;=K$3,1,0))))</f>
        <v>0</v>
      </c>
      <c r="L250" s="124" t="n">
        <f aca="false">J250*K250</f>
        <v>0</v>
      </c>
      <c r="M250" s="124" t="n">
        <f aca="false">SUM(J$188:J250)</f>
        <v>212</v>
      </c>
      <c r="N250" s="124" t="n">
        <f aca="false">SUM(J$6:J250)</f>
        <v>-1533856</v>
      </c>
      <c r="P250" s="124" t="n">
        <f aca="false">D250/P$3</f>
        <v>0</v>
      </c>
      <c r="Q250" s="124" t="n">
        <f aca="false">E250/P$3</f>
        <v>0</v>
      </c>
      <c r="R250" s="124" t="n">
        <f aca="false">F250/R$3</f>
        <v>0</v>
      </c>
      <c r="S250" s="126" t="n">
        <f aca="false">J250/$R$3</f>
        <v>0</v>
      </c>
      <c r="T250" s="126" t="n">
        <f aca="false">L250/$R$3</f>
        <v>0</v>
      </c>
      <c r="U250" s="126" t="n">
        <f aca="false">I250/$R$3</f>
        <v>0</v>
      </c>
      <c r="V250" s="126" t="n">
        <f aca="false">M250/$R$3</f>
        <v>0.212</v>
      </c>
      <c r="W250" s="126" t="n">
        <f aca="false">N250/$R$3</f>
        <v>-1533.856</v>
      </c>
    </row>
    <row r="251" customFormat="false" ht="12.75" hidden="true" customHeight="false" outlineLevel="0" collapsed="false">
      <c r="A251" s="120" t="n">
        <f aca="false">A250+1</f>
        <v>37137</v>
      </c>
      <c r="B251" s="131" t="str">
        <f aca="false">INDEX('Master Data'!$A$2:$B$8,MATCH(WEEKDAY('ARG Gas Transport'!A251,3),'Master Data'!$A$2:$A$8,0),2)</f>
        <v>M</v>
      </c>
      <c r="D251" s="124"/>
      <c r="E251" s="124"/>
      <c r="F251" s="124"/>
      <c r="G251" s="124"/>
      <c r="I251" s="124" t="n">
        <f aca="false">IF(MONTH($A251)=MONTH($A250),IF(G251=0,I250,G251),G251)</f>
        <v>0</v>
      </c>
      <c r="J251" s="124" t="n">
        <f aca="false">IF(MONTH($A251)=MONTH($A250),SUM(I251-I250),I251)</f>
        <v>0</v>
      </c>
      <c r="K251" s="124" t="n">
        <f aca="false">IF(WEEKDAY(A251,3)&gt;4,0,(IF(A251&lt;K$2,0,IF(A251&lt;=K$3,1,0))))</f>
        <v>0</v>
      </c>
      <c r="L251" s="124" t="n">
        <f aca="false">J251*K251</f>
        <v>0</v>
      </c>
      <c r="M251" s="124" t="n">
        <f aca="false">SUM(J$188:J251)</f>
        <v>212</v>
      </c>
      <c r="N251" s="124" t="n">
        <f aca="false">SUM(J$6:J251)</f>
        <v>-1533856</v>
      </c>
      <c r="P251" s="124" t="n">
        <f aca="false">D251/P$3</f>
        <v>0</v>
      </c>
      <c r="Q251" s="124" t="n">
        <f aca="false">E251/P$3</f>
        <v>0</v>
      </c>
      <c r="R251" s="124" t="n">
        <f aca="false">F251/R$3</f>
        <v>0</v>
      </c>
      <c r="S251" s="126" t="n">
        <f aca="false">J251/$R$3</f>
        <v>0</v>
      </c>
      <c r="T251" s="126" t="n">
        <f aca="false">L251/$R$3</f>
        <v>0</v>
      </c>
      <c r="U251" s="126" t="n">
        <f aca="false">I251/$R$3</f>
        <v>0</v>
      </c>
      <c r="V251" s="126" t="n">
        <f aca="false">M251/$R$3</f>
        <v>0.212</v>
      </c>
      <c r="W251" s="126" t="n">
        <f aca="false">N251/$R$3</f>
        <v>-1533.856</v>
      </c>
    </row>
    <row r="252" customFormat="false" ht="12.75" hidden="true" customHeight="false" outlineLevel="0" collapsed="false">
      <c r="A252" s="120" t="n">
        <f aca="false">A251+1</f>
        <v>37138</v>
      </c>
      <c r="B252" s="131" t="str">
        <f aca="false">INDEX('Master Data'!$A$2:$B$8,MATCH(WEEKDAY('ARG Gas Transport'!A252,3),'Master Data'!$A$2:$A$8,0),2)</f>
        <v>T</v>
      </c>
      <c r="D252" s="124"/>
      <c r="E252" s="124"/>
      <c r="F252" s="124"/>
      <c r="G252" s="124" t="n">
        <v>-4</v>
      </c>
      <c r="I252" s="124" t="n">
        <f aca="false">IF(MONTH($A252)=MONTH($A251),IF(G252=0,I251,G252),G252)</f>
        <v>-4</v>
      </c>
      <c r="J252" s="124" t="n">
        <f aca="false">IF(MONTH($A252)=MONTH($A251),SUM(I252-I251),I252)</f>
        <v>-4</v>
      </c>
      <c r="K252" s="124" t="n">
        <f aca="false">IF(WEEKDAY(A252,3)&gt;4,0,(IF(A252&lt;K$2,0,IF(A252&lt;=K$3,1,0))))</f>
        <v>0</v>
      </c>
      <c r="L252" s="124" t="n">
        <f aca="false">J252*K252</f>
        <v>-0</v>
      </c>
      <c r="M252" s="124" t="n">
        <f aca="false">SUM(J$188:J252)</f>
        <v>208</v>
      </c>
      <c r="N252" s="124" t="n">
        <f aca="false">SUM(J$6:J252)</f>
        <v>-1533860</v>
      </c>
      <c r="P252" s="124" t="n">
        <f aca="false">D252/P$3</f>
        <v>0</v>
      </c>
      <c r="Q252" s="124" t="n">
        <f aca="false">E252/P$3</f>
        <v>0</v>
      </c>
      <c r="R252" s="124" t="n">
        <f aca="false">F252/R$3</f>
        <v>0</v>
      </c>
      <c r="S252" s="126" t="n">
        <f aca="false">J252/$R$3</f>
        <v>-0.004</v>
      </c>
      <c r="T252" s="126" t="n">
        <f aca="false">L252/$R$3</f>
        <v>-0</v>
      </c>
      <c r="U252" s="126" t="n">
        <f aca="false">I252/$R$3</f>
        <v>-0.004</v>
      </c>
      <c r="V252" s="126" t="n">
        <f aca="false">M252/$R$3</f>
        <v>0.208</v>
      </c>
      <c r="W252" s="126" t="n">
        <f aca="false">N252/$R$3</f>
        <v>-1533.86</v>
      </c>
    </row>
    <row r="253" customFormat="false" ht="12.75" hidden="true" customHeight="false" outlineLevel="0" collapsed="false">
      <c r="A253" s="120" t="n">
        <f aca="false">A252+1</f>
        <v>37139</v>
      </c>
      <c r="B253" s="131" t="str">
        <f aca="false">INDEX('Master Data'!$A$2:$B$8,MATCH(WEEKDAY('ARG Gas Transport'!A253,3),'Master Data'!$A$2:$A$8,0),2)</f>
        <v>W</v>
      </c>
      <c r="D253" s="124"/>
      <c r="E253" s="124"/>
      <c r="F253" s="124"/>
      <c r="G253" s="124" t="n">
        <v>-4</v>
      </c>
      <c r="I253" s="124" t="n">
        <f aca="false">IF(MONTH($A253)=MONTH($A252),IF(G253=0,I252,G253),G253)</f>
        <v>-4</v>
      </c>
      <c r="J253" s="124" t="n">
        <f aca="false">IF(MONTH($A253)=MONTH($A252),SUM(I253-I252),I253)</f>
        <v>0</v>
      </c>
      <c r="K253" s="124" t="n">
        <f aca="false">IF(WEEKDAY(A253,3)&gt;4,0,(IF(A253&lt;K$2,0,IF(A253&lt;=K$3,1,0))))</f>
        <v>0</v>
      </c>
      <c r="L253" s="124" t="n">
        <f aca="false">J253*K253</f>
        <v>0</v>
      </c>
      <c r="M253" s="124" t="n">
        <f aca="false">SUM(J$188:J253)</f>
        <v>208</v>
      </c>
      <c r="N253" s="124" t="n">
        <f aca="false">SUM(J$6:J253)</f>
        <v>-1533860</v>
      </c>
      <c r="P253" s="124" t="n">
        <f aca="false">D253/P$3</f>
        <v>0</v>
      </c>
      <c r="Q253" s="124" t="n">
        <f aca="false">E253/P$3</f>
        <v>0</v>
      </c>
      <c r="R253" s="124" t="n">
        <f aca="false">F253/R$3</f>
        <v>0</v>
      </c>
      <c r="S253" s="126" t="n">
        <f aca="false">J253/$R$3</f>
        <v>0</v>
      </c>
      <c r="T253" s="126" t="n">
        <f aca="false">L253/$R$3</f>
        <v>0</v>
      </c>
      <c r="U253" s="126" t="n">
        <f aca="false">I253/$R$3</f>
        <v>-0.004</v>
      </c>
      <c r="V253" s="126" t="n">
        <f aca="false">M253/$R$3</f>
        <v>0.208</v>
      </c>
      <c r="W253" s="126" t="n">
        <f aca="false">N253/$R$3</f>
        <v>-1533.86</v>
      </c>
    </row>
    <row r="254" customFormat="false" ht="12.75" hidden="true" customHeight="false" outlineLevel="0" collapsed="false">
      <c r="A254" s="120" t="n">
        <f aca="false">A253+1</f>
        <v>37140</v>
      </c>
      <c r="B254" s="131" t="str">
        <f aca="false">INDEX('Master Data'!$A$2:$B$8,MATCH(WEEKDAY('ARG Gas Transport'!A254,3),'Master Data'!$A$2:$A$8,0),2)</f>
        <v>Th</v>
      </c>
      <c r="D254" s="124"/>
      <c r="E254" s="124"/>
      <c r="F254" s="124"/>
      <c r="G254" s="124" t="n">
        <v>-3</v>
      </c>
      <c r="I254" s="124" t="n">
        <f aca="false">IF(MONTH($A254)=MONTH($A253),IF(G254=0,I253,G254),G254)</f>
        <v>-3</v>
      </c>
      <c r="J254" s="124" t="n">
        <f aca="false">IF(MONTH($A254)=MONTH($A253),SUM(I254-I253),I254)</f>
        <v>1</v>
      </c>
      <c r="K254" s="124" t="n">
        <f aca="false">IF(WEEKDAY(A254,3)&gt;4,0,(IF(A254&lt;K$2,0,IF(A254&lt;=K$3,1,0))))</f>
        <v>0</v>
      </c>
      <c r="L254" s="124" t="n">
        <f aca="false">J254*K254</f>
        <v>0</v>
      </c>
      <c r="M254" s="124" t="n">
        <f aca="false">SUM(J$188:J254)</f>
        <v>209</v>
      </c>
      <c r="N254" s="124" t="n">
        <f aca="false">SUM(J$6:J254)</f>
        <v>-1533859</v>
      </c>
      <c r="P254" s="124" t="n">
        <f aca="false">D254/P$3</f>
        <v>0</v>
      </c>
      <c r="Q254" s="124" t="n">
        <f aca="false">E254/P$3</f>
        <v>0</v>
      </c>
      <c r="R254" s="124" t="n">
        <f aca="false">F254/R$3</f>
        <v>0</v>
      </c>
      <c r="S254" s="126" t="n">
        <f aca="false">J254/$R$3</f>
        <v>0.001</v>
      </c>
      <c r="T254" s="126" t="n">
        <f aca="false">L254/$R$3</f>
        <v>0</v>
      </c>
      <c r="U254" s="126" t="n">
        <f aca="false">I254/$R$3</f>
        <v>-0.003</v>
      </c>
      <c r="V254" s="126" t="n">
        <f aca="false">M254/$R$3</f>
        <v>0.209</v>
      </c>
      <c r="W254" s="126" t="n">
        <f aca="false">N254/$R$3</f>
        <v>-1533.859</v>
      </c>
    </row>
    <row r="255" customFormat="false" ht="12.75" hidden="true" customHeight="false" outlineLevel="0" collapsed="false">
      <c r="A255" s="120" t="n">
        <f aca="false">A254+1</f>
        <v>37141</v>
      </c>
      <c r="B255" s="131" t="str">
        <f aca="false">INDEX('Master Data'!$A$2:$B$8,MATCH(WEEKDAY('ARG Gas Transport'!A255,3),'Master Data'!$A$2:$A$8,0),2)</f>
        <v>F</v>
      </c>
      <c r="D255" s="124"/>
      <c r="E255" s="124"/>
      <c r="F255" s="124"/>
      <c r="G255" s="124" t="n">
        <v>2</v>
      </c>
      <c r="I255" s="124" t="n">
        <f aca="false">IF(MONTH($A255)=MONTH($A254),IF(G255=0,I254,G255),G255)</f>
        <v>2</v>
      </c>
      <c r="J255" s="124" t="n">
        <f aca="false">IF(MONTH($A255)=MONTH($A254),SUM(I255-I254),I255)</f>
        <v>5</v>
      </c>
      <c r="K255" s="124" t="n">
        <f aca="false">IF(WEEKDAY(A255,3)&gt;4,0,(IF(A255&lt;K$2,0,IF(A255&lt;=K$3,1,0))))</f>
        <v>0</v>
      </c>
      <c r="L255" s="124" t="n">
        <f aca="false">J255*K255</f>
        <v>0</v>
      </c>
      <c r="M255" s="124" t="n">
        <f aca="false">SUM(J$188:J255)</f>
        <v>214</v>
      </c>
      <c r="N255" s="124" t="n">
        <f aca="false">SUM(J$6:J255)</f>
        <v>-1533854</v>
      </c>
      <c r="P255" s="124" t="n">
        <f aca="false">D255/P$3</f>
        <v>0</v>
      </c>
      <c r="Q255" s="124" t="n">
        <f aca="false">E255/P$3</f>
        <v>0</v>
      </c>
      <c r="R255" s="124" t="n">
        <f aca="false">F255/R$3</f>
        <v>0</v>
      </c>
      <c r="S255" s="126" t="n">
        <f aca="false">J255/$R$3</f>
        <v>0.005</v>
      </c>
      <c r="T255" s="126" t="n">
        <f aca="false">L255/$R$3</f>
        <v>0</v>
      </c>
      <c r="U255" s="126" t="n">
        <f aca="false">I255/$R$3</f>
        <v>0.002</v>
      </c>
      <c r="V255" s="126" t="n">
        <f aca="false">M255/$R$3</f>
        <v>0.214</v>
      </c>
      <c r="W255" s="126" t="n">
        <f aca="false">N255/$R$3</f>
        <v>-1533.854</v>
      </c>
    </row>
    <row r="256" customFormat="false" ht="12.75" hidden="true" customHeight="false" outlineLevel="0" collapsed="false">
      <c r="A256" s="120" t="n">
        <f aca="false">A255+1</f>
        <v>37142</v>
      </c>
      <c r="B256" s="131" t="str">
        <f aca="false">INDEX('Master Data'!$A$2:$B$8,MATCH(WEEKDAY('ARG Gas Transport'!A256,3),'Master Data'!$A$2:$A$8,0),2)</f>
        <v>Sa</v>
      </c>
      <c r="D256" s="124"/>
      <c r="E256" s="124"/>
      <c r="F256" s="124"/>
      <c r="G256" s="124"/>
      <c r="I256" s="124" t="n">
        <f aca="false">IF(MONTH($A256)=MONTH($A255),IF(G256=0,I255,G256),G256)</f>
        <v>2</v>
      </c>
      <c r="J256" s="124" t="n">
        <f aca="false">IF(MONTH($A256)=MONTH($A255),SUM(I256-I255),I256)</f>
        <v>0</v>
      </c>
      <c r="K256" s="124" t="n">
        <f aca="false">IF(WEEKDAY(A256,3)&gt;4,0,(IF(A256&lt;K$2,0,IF(A256&lt;=K$3,1,0))))</f>
        <v>0</v>
      </c>
      <c r="L256" s="124" t="n">
        <f aca="false">J256*K256</f>
        <v>0</v>
      </c>
      <c r="M256" s="124" t="n">
        <f aca="false">SUM(J$188:J256)</f>
        <v>214</v>
      </c>
      <c r="N256" s="124" t="n">
        <f aca="false">SUM(J$6:J256)</f>
        <v>-1533854</v>
      </c>
      <c r="P256" s="124" t="n">
        <f aca="false">D256/P$3</f>
        <v>0</v>
      </c>
      <c r="Q256" s="124" t="n">
        <f aca="false">E256/P$3</f>
        <v>0</v>
      </c>
      <c r="R256" s="124" t="n">
        <f aca="false">F256/R$3</f>
        <v>0</v>
      </c>
      <c r="S256" s="126" t="n">
        <f aca="false">J256/$R$3</f>
        <v>0</v>
      </c>
      <c r="T256" s="126" t="n">
        <f aca="false">L256/$R$3</f>
        <v>0</v>
      </c>
      <c r="U256" s="126" t="n">
        <f aca="false">I256/$R$3</f>
        <v>0.002</v>
      </c>
      <c r="V256" s="126" t="n">
        <f aca="false">M256/$R$3</f>
        <v>0.214</v>
      </c>
      <c r="W256" s="126" t="n">
        <f aca="false">N256/$R$3</f>
        <v>-1533.854</v>
      </c>
    </row>
    <row r="257" customFormat="false" ht="12.75" hidden="true" customHeight="false" outlineLevel="0" collapsed="false">
      <c r="A257" s="120" t="n">
        <f aca="false">A256+1</f>
        <v>37143</v>
      </c>
      <c r="B257" s="131" t="str">
        <f aca="false">INDEX('Master Data'!$A$2:$B$8,MATCH(WEEKDAY('ARG Gas Transport'!A257,3),'Master Data'!$A$2:$A$8,0),2)</f>
        <v>Su</v>
      </c>
      <c r="D257" s="124"/>
      <c r="E257" s="124"/>
      <c r="F257" s="124"/>
      <c r="G257" s="124"/>
      <c r="I257" s="124" t="n">
        <f aca="false">IF(MONTH($A257)=MONTH($A256),IF(G257=0,I256,G257),G257)</f>
        <v>2</v>
      </c>
      <c r="J257" s="124" t="n">
        <f aca="false">IF(MONTH($A257)=MONTH($A256),SUM(I257-I256),I257)</f>
        <v>0</v>
      </c>
      <c r="K257" s="124" t="n">
        <f aca="false">IF(WEEKDAY(A257,3)&gt;4,0,(IF(A257&lt;K$2,0,IF(A257&lt;=K$3,1,0))))</f>
        <v>0</v>
      </c>
      <c r="L257" s="124" t="n">
        <f aca="false">J257*K257</f>
        <v>0</v>
      </c>
      <c r="M257" s="124" t="n">
        <f aca="false">SUM(J$188:J257)</f>
        <v>214</v>
      </c>
      <c r="N257" s="124" t="n">
        <f aca="false">SUM(J$6:J257)</f>
        <v>-1533854</v>
      </c>
      <c r="P257" s="124" t="n">
        <f aca="false">D257/P$3</f>
        <v>0</v>
      </c>
      <c r="Q257" s="124" t="n">
        <f aca="false">E257/P$3</f>
        <v>0</v>
      </c>
      <c r="R257" s="124" t="n">
        <f aca="false">F257/R$3</f>
        <v>0</v>
      </c>
      <c r="S257" s="126" t="n">
        <f aca="false">J257/$R$3</f>
        <v>0</v>
      </c>
      <c r="T257" s="126" t="n">
        <f aca="false">L257/$R$3</f>
        <v>0</v>
      </c>
      <c r="U257" s="126" t="n">
        <f aca="false">I257/$R$3</f>
        <v>0.002</v>
      </c>
      <c r="V257" s="126" t="n">
        <f aca="false">M257/$R$3</f>
        <v>0.214</v>
      </c>
      <c r="W257" s="126" t="n">
        <f aca="false">N257/$R$3</f>
        <v>-1533.854</v>
      </c>
    </row>
    <row r="258" customFormat="false" ht="12.75" hidden="true" customHeight="false" outlineLevel="0" collapsed="false">
      <c r="A258" s="120" t="n">
        <f aca="false">A257+1</f>
        <v>37144</v>
      </c>
      <c r="B258" s="131" t="str">
        <f aca="false">INDEX('Master Data'!$A$2:$B$8,MATCH(WEEKDAY('ARG Gas Transport'!A258,3),'Master Data'!$A$2:$A$8,0),2)</f>
        <v>M</v>
      </c>
      <c r="D258" s="124"/>
      <c r="E258" s="124"/>
      <c r="F258" s="124"/>
      <c r="G258" s="124" t="n">
        <v>1</v>
      </c>
      <c r="I258" s="124" t="n">
        <f aca="false">IF(MONTH($A258)=MONTH($A257),IF(G258=0,I257,G258),G258)</f>
        <v>1</v>
      </c>
      <c r="J258" s="124" t="n">
        <f aca="false">IF(MONTH($A258)=MONTH($A257),SUM(I258-I257),I258)</f>
        <v>-1</v>
      </c>
      <c r="K258" s="124" t="n">
        <f aca="false">IF(WEEKDAY(A258,3)&gt;4,0,(IF(A258&lt;K$2,0,IF(A258&lt;=K$3,1,0))))</f>
        <v>0</v>
      </c>
      <c r="L258" s="124" t="n">
        <f aca="false">J258*K258</f>
        <v>-0</v>
      </c>
      <c r="M258" s="124" t="n">
        <f aca="false">SUM(J$188:J258)</f>
        <v>213</v>
      </c>
      <c r="N258" s="124" t="n">
        <f aca="false">SUM(J$6:J258)</f>
        <v>-1533855</v>
      </c>
      <c r="P258" s="124" t="n">
        <f aca="false">D258/P$3</f>
        <v>0</v>
      </c>
      <c r="Q258" s="124" t="n">
        <f aca="false">E258/P$3</f>
        <v>0</v>
      </c>
      <c r="R258" s="124" t="n">
        <f aca="false">F258/R$3</f>
        <v>0</v>
      </c>
      <c r="S258" s="126" t="n">
        <f aca="false">J258/$R$3</f>
        <v>-0.001</v>
      </c>
      <c r="T258" s="126" t="n">
        <f aca="false">L258/$R$3</f>
        <v>-0</v>
      </c>
      <c r="U258" s="126" t="n">
        <f aca="false">I258/$R$3</f>
        <v>0.001</v>
      </c>
      <c r="V258" s="126" t="n">
        <f aca="false">M258/$R$3</f>
        <v>0.213</v>
      </c>
      <c r="W258" s="126" t="n">
        <f aca="false">N258/$R$3</f>
        <v>-1533.855</v>
      </c>
    </row>
    <row r="259" customFormat="false" ht="12.75" hidden="true" customHeight="false" outlineLevel="0" collapsed="false">
      <c r="A259" s="120" t="n">
        <f aca="false">A258+1</f>
        <v>37145</v>
      </c>
      <c r="B259" s="131" t="str">
        <f aca="false">INDEX('Master Data'!$A$2:$B$8,MATCH(WEEKDAY('ARG Gas Transport'!A259,3),'Master Data'!$A$2:$A$8,0),2)</f>
        <v>T</v>
      </c>
      <c r="D259" s="124"/>
      <c r="E259" s="124"/>
      <c r="F259" s="124"/>
      <c r="G259" s="124"/>
      <c r="I259" s="124" t="n">
        <f aca="false">IF(MONTH($A259)=MONTH($A258),IF(G259=0,I258,G259),G259)</f>
        <v>1</v>
      </c>
      <c r="J259" s="124" t="n">
        <f aca="false">IF(MONTH($A259)=MONTH($A258),SUM(I259-I258),I259)</f>
        <v>0</v>
      </c>
      <c r="K259" s="124" t="n">
        <f aca="false">IF(WEEKDAY(A259,3)&gt;4,0,(IF(A259&lt;K$2,0,IF(A259&lt;=K$3,1,0))))</f>
        <v>0</v>
      </c>
      <c r="L259" s="124" t="n">
        <f aca="false">J259*K259</f>
        <v>0</v>
      </c>
      <c r="M259" s="124" t="n">
        <f aca="false">SUM(J$188:J259)</f>
        <v>213</v>
      </c>
      <c r="N259" s="124" t="n">
        <f aca="false">SUM(J$6:J259)</f>
        <v>-1533855</v>
      </c>
      <c r="P259" s="124" t="n">
        <f aca="false">D259/P$3</f>
        <v>0</v>
      </c>
      <c r="Q259" s="124" t="n">
        <f aca="false">E259/P$3</f>
        <v>0</v>
      </c>
      <c r="R259" s="124" t="n">
        <f aca="false">F259/R$3</f>
        <v>0</v>
      </c>
      <c r="S259" s="126" t="n">
        <f aca="false">J259/$R$3</f>
        <v>0</v>
      </c>
      <c r="T259" s="126" t="n">
        <f aca="false">L259/$R$3</f>
        <v>0</v>
      </c>
      <c r="U259" s="126" t="n">
        <f aca="false">I259/$R$3</f>
        <v>0.001</v>
      </c>
      <c r="V259" s="126" t="n">
        <f aca="false">M259/$R$3</f>
        <v>0.213</v>
      </c>
      <c r="W259" s="126" t="n">
        <f aca="false">N259/$R$3</f>
        <v>-1533.855</v>
      </c>
    </row>
    <row r="260" customFormat="false" ht="12.75" hidden="true" customHeight="false" outlineLevel="0" collapsed="false">
      <c r="A260" s="120" t="n">
        <f aca="false">A259+1</f>
        <v>37146</v>
      </c>
      <c r="B260" s="131" t="str">
        <f aca="false">INDEX('Master Data'!$A$2:$B$8,MATCH(WEEKDAY('ARG Gas Transport'!A260,3),'Master Data'!$A$2:$A$8,0),2)</f>
        <v>W</v>
      </c>
      <c r="D260" s="124"/>
      <c r="E260" s="124"/>
      <c r="F260" s="124"/>
      <c r="G260" s="124" t="n">
        <v>-114962.5</v>
      </c>
      <c r="I260" s="124" t="n">
        <f aca="false">IF(MONTH($A260)=MONTH($A259),IF(G260=0,I259,G260),G260)</f>
        <v>-114962.5</v>
      </c>
      <c r="J260" s="124" t="n">
        <f aca="false">IF(MONTH($A260)=MONTH($A259),SUM(I260-I259),I260)</f>
        <v>-114963.5</v>
      </c>
      <c r="K260" s="124" t="n">
        <f aca="false">IF(WEEKDAY(A260,3)&gt;4,0,(IF(A260&lt;K$2,0,IF(A260&lt;=K$3,1,0))))</f>
        <v>0</v>
      </c>
      <c r="L260" s="124" t="n">
        <f aca="false">J260*K260</f>
        <v>-0</v>
      </c>
      <c r="M260" s="124" t="n">
        <f aca="false">SUM(J$188:J260)</f>
        <v>-114750.5</v>
      </c>
      <c r="N260" s="124" t="n">
        <f aca="false">SUM(J$6:J260)</f>
        <v>-1648818.5</v>
      </c>
      <c r="P260" s="124" t="n">
        <f aca="false">D260/P$3</f>
        <v>0</v>
      </c>
      <c r="Q260" s="124" t="n">
        <f aca="false">E260/P$3</f>
        <v>0</v>
      </c>
      <c r="R260" s="124" t="n">
        <f aca="false">F260/R$3</f>
        <v>0</v>
      </c>
      <c r="S260" s="126" t="n">
        <f aca="false">J260/$R$3</f>
        <v>-114.9635</v>
      </c>
      <c r="T260" s="126" t="n">
        <f aca="false">L260/$R$3</f>
        <v>-0</v>
      </c>
      <c r="U260" s="126" t="n">
        <f aca="false">I260/$R$3</f>
        <v>-114.9625</v>
      </c>
      <c r="V260" s="126" t="n">
        <f aca="false">M260/$R$3</f>
        <v>-114.7505</v>
      </c>
      <c r="W260" s="126" t="n">
        <f aca="false">N260/$R$3</f>
        <v>-1648.8185</v>
      </c>
    </row>
    <row r="261" customFormat="false" ht="12.75" hidden="true" customHeight="false" outlineLevel="0" collapsed="false">
      <c r="A261" s="120" t="n">
        <f aca="false">A260+1</f>
        <v>37147</v>
      </c>
      <c r="B261" s="131" t="str">
        <f aca="false">INDEX('Master Data'!$A$2:$B$8,MATCH(WEEKDAY('ARG Gas Transport'!A261,3),'Master Data'!$A$2:$A$8,0),2)</f>
        <v>Th</v>
      </c>
      <c r="D261" s="124"/>
      <c r="E261" s="124"/>
      <c r="F261" s="124"/>
      <c r="G261" s="124" t="n">
        <v>-114960</v>
      </c>
      <c r="I261" s="124" t="n">
        <f aca="false">IF(MONTH($A261)=MONTH($A260),IF(G261=0,I260,G261),G261)</f>
        <v>-114960</v>
      </c>
      <c r="J261" s="124" t="n">
        <f aca="false">IF(MONTH($A261)=MONTH($A260),SUM(I261-I260),I261)</f>
        <v>2.5</v>
      </c>
      <c r="K261" s="124" t="n">
        <f aca="false">IF(WEEKDAY(A261,3)&gt;4,0,(IF(A261&lt;K$2,0,IF(A261&lt;=K$3,1,0))))</f>
        <v>0</v>
      </c>
      <c r="L261" s="124" t="n">
        <f aca="false">J261*K261</f>
        <v>0</v>
      </c>
      <c r="M261" s="124" t="n">
        <f aca="false">SUM(J$188:J261)</f>
        <v>-114748</v>
      </c>
      <c r="N261" s="124" t="n">
        <f aca="false">SUM(J$6:J261)</f>
        <v>-1648816</v>
      </c>
      <c r="P261" s="124" t="n">
        <f aca="false">D261/P$3</f>
        <v>0</v>
      </c>
      <c r="Q261" s="124" t="n">
        <f aca="false">E261/P$3</f>
        <v>0</v>
      </c>
      <c r="R261" s="124" t="n">
        <f aca="false">F261/R$3</f>
        <v>0</v>
      </c>
      <c r="S261" s="126" t="n">
        <f aca="false">J261/$R$3</f>
        <v>0.0025</v>
      </c>
      <c r="T261" s="126" t="n">
        <f aca="false">L261/$R$3</f>
        <v>0</v>
      </c>
      <c r="U261" s="126" t="n">
        <f aca="false">I261/$R$3</f>
        <v>-114.96</v>
      </c>
      <c r="V261" s="126" t="n">
        <f aca="false">M261/$R$3</f>
        <v>-114.748</v>
      </c>
      <c r="W261" s="126" t="n">
        <f aca="false">N261/$R$3</f>
        <v>-1648.816</v>
      </c>
    </row>
    <row r="262" customFormat="false" ht="12.75" hidden="true" customHeight="false" outlineLevel="0" collapsed="false">
      <c r="A262" s="120" t="n">
        <f aca="false">A261+1</f>
        <v>37148</v>
      </c>
      <c r="B262" s="131" t="str">
        <f aca="false">INDEX('Master Data'!$A$2:$B$8,MATCH(WEEKDAY('ARG Gas Transport'!A262,3),'Master Data'!$A$2:$A$8,0),2)</f>
        <v>F</v>
      </c>
      <c r="D262" s="124"/>
      <c r="E262" s="124"/>
      <c r="F262" s="124"/>
      <c r="G262" s="124" t="n">
        <v>-114960</v>
      </c>
      <c r="I262" s="124" t="n">
        <f aca="false">IF(MONTH($A262)=MONTH($A261),IF(G262=0,I261,G262),G262)</f>
        <v>-114960</v>
      </c>
      <c r="J262" s="124" t="n">
        <f aca="false">IF(MONTH($A262)=MONTH($A261),SUM(I262-I261),I262)</f>
        <v>0</v>
      </c>
      <c r="K262" s="124" t="n">
        <f aca="false">IF(WEEKDAY(A262,3)&gt;4,0,(IF(A262&lt;K$2,0,IF(A262&lt;=K$3,1,0))))</f>
        <v>0</v>
      </c>
      <c r="L262" s="124" t="n">
        <f aca="false">J262*K262</f>
        <v>0</v>
      </c>
      <c r="M262" s="124" t="n">
        <f aca="false">SUM(J$188:J262)</f>
        <v>-114748</v>
      </c>
      <c r="N262" s="124" t="n">
        <f aca="false">SUM(J$6:J262)</f>
        <v>-1648816</v>
      </c>
      <c r="P262" s="124" t="n">
        <f aca="false">D262/P$3</f>
        <v>0</v>
      </c>
      <c r="Q262" s="124" t="n">
        <f aca="false">E262/P$3</f>
        <v>0</v>
      </c>
      <c r="R262" s="124" t="n">
        <f aca="false">F262/R$3</f>
        <v>0</v>
      </c>
      <c r="S262" s="126" t="n">
        <f aca="false">J262/$R$3</f>
        <v>0</v>
      </c>
      <c r="T262" s="126" t="n">
        <f aca="false">L262/$R$3</f>
        <v>0</v>
      </c>
      <c r="U262" s="126" t="n">
        <f aca="false">I262/$R$3</f>
        <v>-114.96</v>
      </c>
      <c r="V262" s="126" t="n">
        <f aca="false">M262/$R$3</f>
        <v>-114.748</v>
      </c>
      <c r="W262" s="126" t="n">
        <f aca="false">N262/$R$3</f>
        <v>-1648.816</v>
      </c>
    </row>
    <row r="263" customFormat="false" ht="12.75" hidden="true" customHeight="false" outlineLevel="0" collapsed="false">
      <c r="A263" s="120" t="n">
        <f aca="false">A262+1</f>
        <v>37149</v>
      </c>
      <c r="B263" s="131" t="str">
        <f aca="false">INDEX('Master Data'!$A$2:$B$8,MATCH(WEEKDAY('ARG Gas Transport'!A263,3),'Master Data'!$A$2:$A$8,0),2)</f>
        <v>Sa</v>
      </c>
      <c r="D263" s="124"/>
      <c r="E263" s="124"/>
      <c r="F263" s="124"/>
      <c r="G263" s="124"/>
      <c r="I263" s="124" t="n">
        <f aca="false">IF(MONTH($A263)=MONTH($A262),IF(G263=0,I262,G263),G263)</f>
        <v>-114960</v>
      </c>
      <c r="J263" s="124" t="n">
        <f aca="false">IF(MONTH($A263)=MONTH($A262),SUM(I263-I262),I263)</f>
        <v>0</v>
      </c>
      <c r="K263" s="124" t="n">
        <f aca="false">IF(WEEKDAY(A263,3)&gt;4,0,(IF(A263&lt;K$2,0,IF(A263&lt;=K$3,1,0))))</f>
        <v>0</v>
      </c>
      <c r="L263" s="124" t="n">
        <f aca="false">J263*K263</f>
        <v>0</v>
      </c>
      <c r="M263" s="124" t="n">
        <f aca="false">SUM(J$188:J263)</f>
        <v>-114748</v>
      </c>
      <c r="N263" s="124" t="n">
        <f aca="false">SUM(J$6:J263)</f>
        <v>-1648816</v>
      </c>
      <c r="P263" s="124" t="n">
        <f aca="false">D263/P$3</f>
        <v>0</v>
      </c>
      <c r="Q263" s="124" t="n">
        <f aca="false">E263/P$3</f>
        <v>0</v>
      </c>
      <c r="R263" s="124" t="n">
        <f aca="false">F263/R$3</f>
        <v>0</v>
      </c>
      <c r="S263" s="126" t="n">
        <f aca="false">J263/$R$3</f>
        <v>0</v>
      </c>
      <c r="T263" s="126" t="n">
        <f aca="false">L263/$R$3</f>
        <v>0</v>
      </c>
      <c r="U263" s="126" t="n">
        <f aca="false">I263/$R$3</f>
        <v>-114.96</v>
      </c>
      <c r="V263" s="126" t="n">
        <f aca="false">M263/$R$3</f>
        <v>-114.748</v>
      </c>
      <c r="W263" s="126" t="n">
        <f aca="false">N263/$R$3</f>
        <v>-1648.816</v>
      </c>
    </row>
    <row r="264" customFormat="false" ht="12.75" hidden="true" customHeight="false" outlineLevel="0" collapsed="false">
      <c r="A264" s="120" t="n">
        <f aca="false">A263+1</f>
        <v>37150</v>
      </c>
      <c r="B264" s="131" t="str">
        <f aca="false">INDEX('Master Data'!$A$2:$B$8,MATCH(WEEKDAY('ARG Gas Transport'!A264,3),'Master Data'!$A$2:$A$8,0),2)</f>
        <v>Su</v>
      </c>
      <c r="D264" s="124"/>
      <c r="E264" s="124"/>
      <c r="F264" s="124"/>
      <c r="G264" s="124"/>
      <c r="I264" s="124" t="n">
        <f aca="false">IF(MONTH($A264)=MONTH($A263),IF(G264=0,I263,G264),G264)</f>
        <v>-114960</v>
      </c>
      <c r="J264" s="124" t="n">
        <f aca="false">IF(MONTH($A264)=MONTH($A263),SUM(I264-I263),I264)</f>
        <v>0</v>
      </c>
      <c r="K264" s="124" t="n">
        <f aca="false">IF(WEEKDAY(A264,3)&gt;4,0,(IF(A264&lt;K$2,0,IF(A264&lt;=K$3,1,0))))</f>
        <v>0</v>
      </c>
      <c r="L264" s="124" t="n">
        <f aca="false">J264*K264</f>
        <v>0</v>
      </c>
      <c r="M264" s="124" t="n">
        <f aca="false">SUM(J$188:J264)</f>
        <v>-114748</v>
      </c>
      <c r="N264" s="124" t="n">
        <f aca="false">SUM(J$6:J264)</f>
        <v>-1648816</v>
      </c>
      <c r="P264" s="124" t="n">
        <f aca="false">D264/P$3</f>
        <v>0</v>
      </c>
      <c r="Q264" s="124" t="n">
        <f aca="false">E264/P$3</f>
        <v>0</v>
      </c>
      <c r="R264" s="124" t="n">
        <f aca="false">F264/R$3</f>
        <v>0</v>
      </c>
      <c r="S264" s="126" t="n">
        <f aca="false">J264/$R$3</f>
        <v>0</v>
      </c>
      <c r="T264" s="126" t="n">
        <f aca="false">L264/$R$3</f>
        <v>0</v>
      </c>
      <c r="U264" s="126" t="n">
        <f aca="false">I264/$R$3</f>
        <v>-114.96</v>
      </c>
      <c r="V264" s="126" t="n">
        <f aca="false">M264/$R$3</f>
        <v>-114.748</v>
      </c>
      <c r="W264" s="126" t="n">
        <f aca="false">N264/$R$3</f>
        <v>-1648.816</v>
      </c>
    </row>
    <row r="265" customFormat="false" ht="12.75" hidden="true" customHeight="false" outlineLevel="0" collapsed="false">
      <c r="A265" s="120" t="n">
        <f aca="false">A264+1</f>
        <v>37151</v>
      </c>
      <c r="B265" s="131" t="str">
        <f aca="false">INDEX('Master Data'!$A$2:$B$8,MATCH(WEEKDAY('ARG Gas Transport'!A265,3),'Master Data'!$A$2:$A$8,0),2)</f>
        <v>M</v>
      </c>
      <c r="D265" s="124"/>
      <c r="E265" s="124"/>
      <c r="F265" s="124"/>
      <c r="G265" s="124" t="n">
        <v>-114956</v>
      </c>
      <c r="I265" s="124" t="n">
        <f aca="false">IF(MONTH($A265)=MONTH($A264),IF(G265=0,I264,G265),G265)</f>
        <v>-114956</v>
      </c>
      <c r="J265" s="124" t="n">
        <f aca="false">IF(MONTH($A265)=MONTH($A264),SUM(I265-I264),I265)</f>
        <v>4</v>
      </c>
      <c r="K265" s="124" t="n">
        <f aca="false">IF(WEEKDAY(A265,3)&gt;4,0,(IF(A265&lt;K$2,0,IF(A265&lt;=K$3,1,0))))</f>
        <v>0</v>
      </c>
      <c r="L265" s="124" t="n">
        <f aca="false">J265*K265</f>
        <v>0</v>
      </c>
      <c r="M265" s="124" t="n">
        <f aca="false">SUM(J$188:J265)</f>
        <v>-114744</v>
      </c>
      <c r="N265" s="124" t="n">
        <f aca="false">SUM(J$6:J265)</f>
        <v>-1648812</v>
      </c>
      <c r="P265" s="124" t="n">
        <f aca="false">D265/P$3</f>
        <v>0</v>
      </c>
      <c r="Q265" s="124" t="n">
        <f aca="false">E265/P$3</f>
        <v>0</v>
      </c>
      <c r="R265" s="124" t="n">
        <f aca="false">F265/R$3</f>
        <v>0</v>
      </c>
      <c r="S265" s="126" t="n">
        <f aca="false">J265/$R$3</f>
        <v>0.004</v>
      </c>
      <c r="T265" s="126" t="n">
        <f aca="false">L265/$R$3</f>
        <v>0</v>
      </c>
      <c r="U265" s="126" t="n">
        <f aca="false">I265/$R$3</f>
        <v>-114.956</v>
      </c>
      <c r="V265" s="126" t="n">
        <f aca="false">M265/$R$3</f>
        <v>-114.744</v>
      </c>
      <c r="W265" s="126" t="n">
        <f aca="false">N265/$R$3</f>
        <v>-1648.812</v>
      </c>
    </row>
    <row r="266" customFormat="false" ht="12.75" hidden="true" customHeight="false" outlineLevel="0" collapsed="false">
      <c r="A266" s="120" t="n">
        <f aca="false">A265+1</f>
        <v>37152</v>
      </c>
      <c r="B266" s="131" t="str">
        <f aca="false">INDEX('Master Data'!$A$2:$B$8,MATCH(WEEKDAY('ARG Gas Transport'!A266,3),'Master Data'!$A$2:$A$8,0),2)</f>
        <v>T</v>
      </c>
      <c r="D266" s="124"/>
      <c r="E266" s="124"/>
      <c r="F266" s="124"/>
      <c r="G266" s="124" t="n">
        <v>-114953</v>
      </c>
      <c r="I266" s="124" t="n">
        <f aca="false">IF(MONTH($A266)=MONTH($A265),IF(G266=0,I265,G266),G266)</f>
        <v>-114953</v>
      </c>
      <c r="J266" s="124" t="n">
        <f aca="false">IF(MONTH($A266)=MONTH($A265),SUM(I266-I265),I266)</f>
        <v>3</v>
      </c>
      <c r="K266" s="124" t="n">
        <f aca="false">IF(WEEKDAY(A266,3)&gt;4,0,(IF(A266&lt;K$2,0,IF(A266&lt;=K$3,1,0))))</f>
        <v>0</v>
      </c>
      <c r="L266" s="124" t="n">
        <f aca="false">J266*K266</f>
        <v>0</v>
      </c>
      <c r="M266" s="124" t="n">
        <f aca="false">SUM(J$188:J266)</f>
        <v>-114741</v>
      </c>
      <c r="N266" s="124" t="n">
        <f aca="false">SUM(J$6:J266)</f>
        <v>-1648809</v>
      </c>
      <c r="P266" s="124" t="n">
        <f aca="false">D266/P$3</f>
        <v>0</v>
      </c>
      <c r="Q266" s="124" t="n">
        <f aca="false">E266/P$3</f>
        <v>0</v>
      </c>
      <c r="R266" s="124" t="n">
        <f aca="false">F266/R$3</f>
        <v>0</v>
      </c>
      <c r="S266" s="126" t="n">
        <f aca="false">J266/$R$3</f>
        <v>0.003</v>
      </c>
      <c r="T266" s="126" t="n">
        <f aca="false">L266/$R$3</f>
        <v>0</v>
      </c>
      <c r="U266" s="126" t="n">
        <f aca="false">I266/$R$3</f>
        <v>-114.953</v>
      </c>
      <c r="V266" s="126" t="n">
        <f aca="false">M266/$R$3</f>
        <v>-114.741</v>
      </c>
      <c r="W266" s="126" t="n">
        <f aca="false">N266/$R$3</f>
        <v>-1648.809</v>
      </c>
    </row>
    <row r="267" customFormat="false" ht="12.75" hidden="true" customHeight="false" outlineLevel="0" collapsed="false">
      <c r="A267" s="120" t="n">
        <f aca="false">A266+1</f>
        <v>37153</v>
      </c>
      <c r="B267" s="131" t="str">
        <f aca="false">INDEX('Master Data'!$A$2:$B$8,MATCH(WEEKDAY('ARG Gas Transport'!A267,3),'Master Data'!$A$2:$A$8,0),2)</f>
        <v>W</v>
      </c>
      <c r="D267" s="124"/>
      <c r="E267" s="124"/>
      <c r="F267" s="124"/>
      <c r="G267" s="124" t="n">
        <v>-114950</v>
      </c>
      <c r="I267" s="124" t="n">
        <f aca="false">IF(MONTH($A267)=MONTH($A266),IF(G267=0,I266,G267),G267)</f>
        <v>-114950</v>
      </c>
      <c r="J267" s="124" t="n">
        <f aca="false">IF(MONTH($A267)=MONTH($A266),SUM(I267-I266),I267)</f>
        <v>3</v>
      </c>
      <c r="K267" s="124" t="n">
        <f aca="false">IF(WEEKDAY(A267,3)&gt;4,0,(IF(A267&lt;K$2,0,IF(A267&lt;=K$3,1,0))))</f>
        <v>0</v>
      </c>
      <c r="L267" s="124" t="n">
        <f aca="false">J267*K267</f>
        <v>0</v>
      </c>
      <c r="M267" s="124" t="n">
        <f aca="false">SUM(J$188:J267)</f>
        <v>-114738</v>
      </c>
      <c r="N267" s="124" t="n">
        <f aca="false">SUM(J$6:J267)</f>
        <v>-1648806</v>
      </c>
      <c r="P267" s="124" t="n">
        <f aca="false">D267/P$3</f>
        <v>0</v>
      </c>
      <c r="Q267" s="124" t="n">
        <f aca="false">E267/P$3</f>
        <v>0</v>
      </c>
      <c r="R267" s="124" t="n">
        <f aca="false">F267/R$3</f>
        <v>0</v>
      </c>
      <c r="S267" s="126" t="n">
        <f aca="false">J267/$R$3</f>
        <v>0.003</v>
      </c>
      <c r="T267" s="126" t="n">
        <f aca="false">L267/$R$3</f>
        <v>0</v>
      </c>
      <c r="U267" s="126" t="n">
        <f aca="false">I267/$R$3</f>
        <v>-114.95</v>
      </c>
      <c r="V267" s="126" t="n">
        <f aca="false">M267/$R$3</f>
        <v>-114.738</v>
      </c>
      <c r="W267" s="126" t="n">
        <f aca="false">N267/$R$3</f>
        <v>-1648.806</v>
      </c>
    </row>
    <row r="268" customFormat="false" ht="12.75" hidden="true" customHeight="false" outlineLevel="0" collapsed="false">
      <c r="A268" s="120" t="n">
        <f aca="false">A267+1</f>
        <v>37154</v>
      </c>
      <c r="B268" s="131" t="str">
        <f aca="false">INDEX('Master Data'!$A$2:$B$8,MATCH(WEEKDAY('ARG Gas Transport'!A268,3),'Master Data'!$A$2:$A$8,0),2)</f>
        <v>Th</v>
      </c>
      <c r="D268" s="124"/>
      <c r="E268" s="124"/>
      <c r="F268" s="124"/>
      <c r="G268" s="124" t="n">
        <v>-114941</v>
      </c>
      <c r="I268" s="124" t="n">
        <f aca="false">IF(MONTH($A268)=MONTH($A267),IF(G268=0,I267,G268),G268)</f>
        <v>-114941</v>
      </c>
      <c r="J268" s="124" t="n">
        <f aca="false">IF(MONTH($A268)=MONTH($A267),SUM(I268-I267),I268)</f>
        <v>9</v>
      </c>
      <c r="K268" s="124" t="n">
        <f aca="false">IF(WEEKDAY(A268,3)&gt;4,0,(IF(A268&lt;K$2,0,IF(A268&lt;=K$3,1,0))))</f>
        <v>0</v>
      </c>
      <c r="L268" s="124" t="n">
        <f aca="false">J268*K268</f>
        <v>0</v>
      </c>
      <c r="M268" s="124" t="n">
        <f aca="false">SUM(J$188:J268)</f>
        <v>-114729</v>
      </c>
      <c r="N268" s="124" t="n">
        <f aca="false">SUM(J$6:J268)</f>
        <v>-1648797</v>
      </c>
      <c r="P268" s="124" t="n">
        <f aca="false">D268/P$3</f>
        <v>0</v>
      </c>
      <c r="Q268" s="124" t="n">
        <f aca="false">E268/P$3</f>
        <v>0</v>
      </c>
      <c r="R268" s="124" t="n">
        <f aca="false">F268/R$3</f>
        <v>0</v>
      </c>
      <c r="S268" s="126" t="n">
        <f aca="false">J268/$R$3</f>
        <v>0.009</v>
      </c>
      <c r="T268" s="126" t="n">
        <f aca="false">L268/$R$3</f>
        <v>0</v>
      </c>
      <c r="U268" s="126" t="n">
        <f aca="false">I268/$R$3</f>
        <v>-114.941</v>
      </c>
      <c r="V268" s="126" t="n">
        <f aca="false">M268/$R$3</f>
        <v>-114.729</v>
      </c>
      <c r="W268" s="126" t="n">
        <f aca="false">N268/$R$3</f>
        <v>-1648.797</v>
      </c>
    </row>
    <row r="269" customFormat="false" ht="12.75" hidden="true" customHeight="false" outlineLevel="0" collapsed="false">
      <c r="A269" s="120" t="n">
        <f aca="false">A268+1</f>
        <v>37155</v>
      </c>
      <c r="B269" s="131" t="str">
        <f aca="false">INDEX('Master Data'!$A$2:$B$8,MATCH(WEEKDAY('ARG Gas Transport'!A269,3),'Master Data'!$A$2:$A$8,0),2)</f>
        <v>F</v>
      </c>
      <c r="D269" s="124"/>
      <c r="E269" s="124"/>
      <c r="F269" s="124"/>
      <c r="G269" s="124" t="n">
        <v>-114942</v>
      </c>
      <c r="I269" s="124" t="n">
        <f aca="false">IF(MONTH($A269)=MONTH($A268),IF(G269=0,I268,G269),G269)</f>
        <v>-114942</v>
      </c>
      <c r="J269" s="124" t="n">
        <f aca="false">IF(MONTH($A269)=MONTH($A268),SUM(I269-I268),I269)</f>
        <v>-1</v>
      </c>
      <c r="K269" s="124" t="n">
        <f aca="false">IF(WEEKDAY(A269,3)&gt;4,0,(IF(A269&lt;K$2,0,IF(A269&lt;=K$3,1,0))))</f>
        <v>0</v>
      </c>
      <c r="L269" s="124" t="n">
        <f aca="false">J269*K269</f>
        <v>-0</v>
      </c>
      <c r="M269" s="124" t="n">
        <f aca="false">SUM(J$188:J269)</f>
        <v>-114730</v>
      </c>
      <c r="N269" s="124" t="n">
        <f aca="false">SUM(J$6:J269)</f>
        <v>-1648798</v>
      </c>
      <c r="P269" s="124" t="n">
        <f aca="false">D269/P$3</f>
        <v>0</v>
      </c>
      <c r="Q269" s="124" t="n">
        <f aca="false">E269/P$3</f>
        <v>0</v>
      </c>
      <c r="R269" s="124" t="n">
        <f aca="false">F269/R$3</f>
        <v>0</v>
      </c>
      <c r="S269" s="126" t="n">
        <f aca="false">J269/$R$3</f>
        <v>-0.001</v>
      </c>
      <c r="T269" s="126" t="n">
        <f aca="false">L269/$R$3</f>
        <v>-0</v>
      </c>
      <c r="U269" s="126" t="n">
        <f aca="false">I269/$R$3</f>
        <v>-114.942</v>
      </c>
      <c r="V269" s="126" t="n">
        <f aca="false">M269/$R$3</f>
        <v>-114.73</v>
      </c>
      <c r="W269" s="126" t="n">
        <f aca="false">N269/$R$3</f>
        <v>-1648.798</v>
      </c>
    </row>
    <row r="270" customFormat="false" ht="12.75" hidden="true" customHeight="false" outlineLevel="0" collapsed="false">
      <c r="A270" s="120" t="n">
        <f aca="false">A269+1</f>
        <v>37156</v>
      </c>
      <c r="B270" s="131" t="str">
        <f aca="false">INDEX('Master Data'!$A$2:$B$8,MATCH(WEEKDAY('ARG Gas Transport'!A270,3),'Master Data'!$A$2:$A$8,0),2)</f>
        <v>Sa</v>
      </c>
      <c r="D270" s="124"/>
      <c r="E270" s="124"/>
      <c r="F270" s="124"/>
      <c r="G270" s="124"/>
      <c r="I270" s="124" t="n">
        <f aca="false">IF(MONTH($A270)=MONTH($A269),IF(G270=0,I269,G270),G270)</f>
        <v>-114942</v>
      </c>
      <c r="J270" s="124" t="n">
        <f aca="false">IF(MONTH($A270)=MONTH($A269),SUM(I270-I269),I270)</f>
        <v>0</v>
      </c>
      <c r="K270" s="124" t="n">
        <f aca="false">IF(WEEKDAY(A270,3)&gt;4,0,(IF(A270&lt;K$2,0,IF(A270&lt;=K$3,1,0))))</f>
        <v>0</v>
      </c>
      <c r="L270" s="124" t="n">
        <f aca="false">J270*K270</f>
        <v>0</v>
      </c>
      <c r="M270" s="124" t="n">
        <f aca="false">SUM(J$188:J270)</f>
        <v>-114730</v>
      </c>
      <c r="N270" s="124" t="n">
        <f aca="false">SUM(J$6:J270)</f>
        <v>-1648798</v>
      </c>
      <c r="P270" s="124" t="n">
        <f aca="false">D270/P$3</f>
        <v>0</v>
      </c>
      <c r="Q270" s="124" t="n">
        <f aca="false">E270/P$3</f>
        <v>0</v>
      </c>
      <c r="R270" s="124" t="n">
        <f aca="false">F270/R$3</f>
        <v>0</v>
      </c>
      <c r="S270" s="126" t="n">
        <f aca="false">J270/$R$3</f>
        <v>0</v>
      </c>
      <c r="T270" s="126" t="n">
        <f aca="false">L270/$R$3</f>
        <v>0</v>
      </c>
      <c r="U270" s="126" t="n">
        <f aca="false">I270/$R$3</f>
        <v>-114.942</v>
      </c>
      <c r="V270" s="126" t="n">
        <f aca="false">M270/$R$3</f>
        <v>-114.73</v>
      </c>
      <c r="W270" s="126" t="n">
        <f aca="false">N270/$R$3</f>
        <v>-1648.798</v>
      </c>
    </row>
    <row r="271" customFormat="false" ht="12.75" hidden="true" customHeight="false" outlineLevel="0" collapsed="false">
      <c r="A271" s="120" t="n">
        <f aca="false">A270+1</f>
        <v>37157</v>
      </c>
      <c r="B271" s="131" t="str">
        <f aca="false">INDEX('Master Data'!$A$2:$B$8,MATCH(WEEKDAY('ARG Gas Transport'!A271,3),'Master Data'!$A$2:$A$8,0),2)</f>
        <v>Su</v>
      </c>
      <c r="D271" s="124"/>
      <c r="E271" s="124"/>
      <c r="F271" s="124"/>
      <c r="G271" s="124"/>
      <c r="I271" s="124" t="n">
        <f aca="false">IF(MONTH($A271)=MONTH($A270),IF(G271=0,I270,G271),G271)</f>
        <v>-114942</v>
      </c>
      <c r="J271" s="124" t="n">
        <f aca="false">IF(MONTH($A271)=MONTH($A270),SUM(I271-I270),I271)</f>
        <v>0</v>
      </c>
      <c r="K271" s="124" t="n">
        <f aca="false">IF(WEEKDAY(A271,3)&gt;4,0,(IF(A271&lt;K$2,0,IF(A271&lt;=K$3,1,0))))</f>
        <v>0</v>
      </c>
      <c r="L271" s="124" t="n">
        <f aca="false">J271*K271</f>
        <v>0</v>
      </c>
      <c r="M271" s="124" t="n">
        <f aca="false">SUM(J$188:J271)</f>
        <v>-114730</v>
      </c>
      <c r="N271" s="124" t="n">
        <f aca="false">SUM(J$6:J271)</f>
        <v>-1648798</v>
      </c>
      <c r="P271" s="124" t="n">
        <f aca="false">D271/P$3</f>
        <v>0</v>
      </c>
      <c r="Q271" s="124" t="n">
        <f aca="false">E271/P$3</f>
        <v>0</v>
      </c>
      <c r="R271" s="124" t="n">
        <f aca="false">F271/R$3</f>
        <v>0</v>
      </c>
      <c r="S271" s="126" t="n">
        <f aca="false">J271/$R$3</f>
        <v>0</v>
      </c>
      <c r="T271" s="126" t="n">
        <f aca="false">L271/$R$3</f>
        <v>0</v>
      </c>
      <c r="U271" s="126" t="n">
        <f aca="false">I271/$R$3</f>
        <v>-114.942</v>
      </c>
      <c r="V271" s="126" t="n">
        <f aca="false">M271/$R$3</f>
        <v>-114.73</v>
      </c>
      <c r="W271" s="126" t="n">
        <f aca="false">N271/$R$3</f>
        <v>-1648.798</v>
      </c>
    </row>
    <row r="272" customFormat="false" ht="12.75" hidden="true" customHeight="false" outlineLevel="0" collapsed="false">
      <c r="A272" s="120" t="n">
        <f aca="false">A271+1</f>
        <v>37158</v>
      </c>
      <c r="B272" s="131" t="str">
        <f aca="false">INDEX('Master Data'!$A$2:$B$8,MATCH(WEEKDAY('ARG Gas Transport'!A272,3),'Master Data'!$A$2:$A$8,0),2)</f>
        <v>M</v>
      </c>
      <c r="D272" s="124"/>
      <c r="E272" s="124"/>
      <c r="F272" s="124"/>
      <c r="G272" s="124" t="n">
        <v>-114945</v>
      </c>
      <c r="I272" s="124" t="n">
        <f aca="false">IF(MONTH($A272)=MONTH($A271),IF(G272=0,I271,G272),G272)</f>
        <v>-114945</v>
      </c>
      <c r="J272" s="124" t="n">
        <f aca="false">IF(MONTH($A272)=MONTH($A271),SUM(I272-I271),I272)</f>
        <v>-3</v>
      </c>
      <c r="K272" s="124" t="n">
        <f aca="false">IF(WEEKDAY(A272,3)&gt;4,0,(IF(A272&lt;K$2,0,IF(A272&lt;=K$3,1,0))))</f>
        <v>0</v>
      </c>
      <c r="L272" s="124" t="n">
        <f aca="false">J272*K272</f>
        <v>-0</v>
      </c>
      <c r="M272" s="124" t="n">
        <f aca="false">SUM(J$188:J272)</f>
        <v>-114733</v>
      </c>
      <c r="N272" s="124" t="n">
        <f aca="false">SUM(J$6:J272)</f>
        <v>-1648801</v>
      </c>
      <c r="P272" s="124" t="n">
        <f aca="false">D272/P$3</f>
        <v>0</v>
      </c>
      <c r="Q272" s="124" t="n">
        <f aca="false">E272/P$3</f>
        <v>0</v>
      </c>
      <c r="R272" s="124" t="n">
        <f aca="false">F272/R$3</f>
        <v>0</v>
      </c>
      <c r="S272" s="126" t="n">
        <f aca="false">J272/$R$3</f>
        <v>-0.003</v>
      </c>
      <c r="T272" s="126" t="n">
        <f aca="false">L272/$R$3</f>
        <v>-0</v>
      </c>
      <c r="U272" s="126" t="n">
        <f aca="false">I272/$R$3</f>
        <v>-114.945</v>
      </c>
      <c r="V272" s="126" t="n">
        <f aca="false">M272/$R$3</f>
        <v>-114.733</v>
      </c>
      <c r="W272" s="126" t="n">
        <f aca="false">N272/$R$3</f>
        <v>-1648.801</v>
      </c>
    </row>
    <row r="273" customFormat="false" ht="12.75" hidden="true" customHeight="false" outlineLevel="0" collapsed="false">
      <c r="A273" s="120" t="n">
        <f aca="false">A272+1</f>
        <v>37159</v>
      </c>
      <c r="B273" s="131" t="str">
        <f aca="false">INDEX('Master Data'!$A$2:$B$8,MATCH(WEEKDAY('ARG Gas Transport'!A273,3),'Master Data'!$A$2:$A$8,0),2)</f>
        <v>T</v>
      </c>
      <c r="D273" s="124"/>
      <c r="E273" s="124"/>
      <c r="F273" s="124"/>
      <c r="G273" s="124" t="n">
        <v>-114945.7955</v>
      </c>
      <c r="I273" s="124" t="n">
        <f aca="false">IF(MONTH($A273)=MONTH($A272),IF(G273=0,I272,G273),G273)</f>
        <v>-114945.7955</v>
      </c>
      <c r="J273" s="124" t="n">
        <f aca="false">IF(MONTH($A273)=MONTH($A272),SUM(I273-I272),I273)</f>
        <v>-0.795500000007451</v>
      </c>
      <c r="K273" s="124" t="n">
        <f aca="false">IF(WEEKDAY(A273,3)&gt;4,0,(IF(A273&lt;K$2,0,IF(A273&lt;=K$3,1,0))))</f>
        <v>0</v>
      </c>
      <c r="L273" s="124" t="n">
        <f aca="false">J273*K273</f>
        <v>-0</v>
      </c>
      <c r="M273" s="124" t="n">
        <f aca="false">SUM(J$188:J273)</f>
        <v>-114733.7955</v>
      </c>
      <c r="N273" s="124" t="n">
        <f aca="false">SUM(J$6:J273)</f>
        <v>-1648801.7955</v>
      </c>
      <c r="P273" s="124" t="n">
        <f aca="false">D273/P$3</f>
        <v>0</v>
      </c>
      <c r="Q273" s="124" t="n">
        <f aca="false">E273/P$3</f>
        <v>0</v>
      </c>
      <c r="R273" s="124" t="n">
        <f aca="false">F273/R$3</f>
        <v>0</v>
      </c>
      <c r="S273" s="126" t="n">
        <f aca="false">J273/$R$3</f>
        <v>-0.000795500000007451</v>
      </c>
      <c r="T273" s="126" t="n">
        <f aca="false">L273/$R$3</f>
        <v>-0</v>
      </c>
      <c r="U273" s="126" t="n">
        <f aca="false">I273/$R$3</f>
        <v>-114.9457955</v>
      </c>
      <c r="V273" s="126" t="n">
        <f aca="false">M273/$R$3</f>
        <v>-114.7337955</v>
      </c>
      <c r="W273" s="126" t="n">
        <f aca="false">N273/$R$3</f>
        <v>-1648.8017955</v>
      </c>
    </row>
    <row r="274" customFormat="false" ht="12.75" hidden="true" customHeight="false" outlineLevel="0" collapsed="false">
      <c r="A274" s="120" t="n">
        <f aca="false">A273+1</f>
        <v>37160</v>
      </c>
      <c r="B274" s="131" t="str">
        <f aca="false">INDEX('Master Data'!$A$2:$B$8,MATCH(WEEKDAY('ARG Gas Transport'!A274,3),'Master Data'!$A$2:$A$8,0),2)</f>
        <v>W</v>
      </c>
      <c r="D274" s="124"/>
      <c r="E274" s="124"/>
      <c r="F274" s="124"/>
      <c r="G274" s="124" t="n">
        <v>-114946</v>
      </c>
      <c r="I274" s="124" t="n">
        <f aca="false">IF(MONTH($A274)=MONTH($A273),IF(G274=0,I273,G274),G274)</f>
        <v>-114946</v>
      </c>
      <c r="J274" s="124" t="n">
        <f aca="false">IF(MONTH($A274)=MONTH($A273),SUM(I274-I273),I274)</f>
        <v>-0.204499999992549</v>
      </c>
      <c r="K274" s="124" t="n">
        <f aca="false">IF(WEEKDAY(A274,3)&gt;4,0,(IF(A274&lt;K$2,0,IF(A274&lt;=K$3,1,0))))</f>
        <v>0</v>
      </c>
      <c r="L274" s="124" t="n">
        <f aca="false">J274*K274</f>
        <v>-0</v>
      </c>
      <c r="M274" s="124" t="n">
        <f aca="false">SUM(J$188:J274)</f>
        <v>-114734</v>
      </c>
      <c r="N274" s="124" t="n">
        <f aca="false">SUM(J$6:J274)</f>
        <v>-1648802</v>
      </c>
      <c r="P274" s="124" t="n">
        <f aca="false">D274/P$3</f>
        <v>0</v>
      </c>
      <c r="Q274" s="124" t="n">
        <f aca="false">E274/P$3</f>
        <v>0</v>
      </c>
      <c r="R274" s="124" t="n">
        <f aca="false">F274/R$3</f>
        <v>0</v>
      </c>
      <c r="S274" s="126" t="n">
        <f aca="false">J274/$R$3</f>
        <v>-0.000204499999992549</v>
      </c>
      <c r="T274" s="126" t="n">
        <f aca="false">L274/$R$3</f>
        <v>-0</v>
      </c>
      <c r="U274" s="126" t="n">
        <f aca="false">I274/$R$3</f>
        <v>-114.946</v>
      </c>
      <c r="V274" s="126" t="n">
        <f aca="false">M274/$R$3</f>
        <v>-114.734</v>
      </c>
      <c r="W274" s="126" t="n">
        <f aca="false">N274/$R$3</f>
        <v>-1648.802</v>
      </c>
    </row>
    <row r="275" customFormat="false" ht="12.75" hidden="true" customHeight="false" outlineLevel="0" collapsed="false">
      <c r="A275" s="120" t="n">
        <f aca="false">A274+1</f>
        <v>37161</v>
      </c>
      <c r="B275" s="131" t="str">
        <f aca="false">INDEX('Master Data'!$A$2:$B$8,MATCH(WEEKDAY('ARG Gas Transport'!A275,3),'Master Data'!$A$2:$A$8,0),2)</f>
        <v>Th</v>
      </c>
      <c r="D275" s="124"/>
      <c r="E275" s="124"/>
      <c r="F275" s="124"/>
      <c r="G275" s="124" t="n">
        <v>-114946</v>
      </c>
      <c r="I275" s="124" t="n">
        <f aca="false">IF(MONTH($A275)=MONTH($A274),IF(G275=0,I274,G275),G275)</f>
        <v>-114946</v>
      </c>
      <c r="J275" s="124" t="n">
        <f aca="false">IF(MONTH($A275)=MONTH($A274),SUM(I275-I274),I275)</f>
        <v>0</v>
      </c>
      <c r="K275" s="124" t="n">
        <f aca="false">IF(WEEKDAY(A275,3)&gt;4,0,(IF(A275&lt;K$2,0,IF(A275&lt;=K$3,1,0))))</f>
        <v>0</v>
      </c>
      <c r="L275" s="124" t="n">
        <f aca="false">J275*K275</f>
        <v>0</v>
      </c>
      <c r="M275" s="124" t="n">
        <f aca="false">SUM(J$188:J275)</f>
        <v>-114734</v>
      </c>
      <c r="N275" s="124" t="n">
        <f aca="false">SUM(J$6:J275)</f>
        <v>-1648802</v>
      </c>
      <c r="P275" s="124" t="n">
        <f aca="false">D275/P$3</f>
        <v>0</v>
      </c>
      <c r="Q275" s="124" t="n">
        <f aca="false">E275/P$3</f>
        <v>0</v>
      </c>
      <c r="R275" s="124" t="n">
        <f aca="false">F275/R$3</f>
        <v>0</v>
      </c>
      <c r="S275" s="126" t="n">
        <f aca="false">J275/$R$3</f>
        <v>0</v>
      </c>
      <c r="T275" s="126" t="n">
        <f aca="false">L275/$R$3</f>
        <v>0</v>
      </c>
      <c r="U275" s="126" t="n">
        <f aca="false">I275/$R$3</f>
        <v>-114.946</v>
      </c>
      <c r="V275" s="126" t="n">
        <f aca="false">M275/$R$3</f>
        <v>-114.734</v>
      </c>
      <c r="W275" s="126" t="n">
        <f aca="false">N275/$R$3</f>
        <v>-1648.802</v>
      </c>
    </row>
    <row r="276" customFormat="false" ht="12.75" hidden="false" customHeight="false" outlineLevel="0" collapsed="false">
      <c r="A276" s="120" t="n">
        <f aca="false">A275+1</f>
        <v>37162</v>
      </c>
      <c r="B276" s="131" t="str">
        <f aca="false">INDEX('Master Data'!$A$2:$B$8,MATCH(WEEKDAY('ARG Gas Transport'!A276,3),'Master Data'!$A$2:$A$8,0),2)</f>
        <v>F</v>
      </c>
      <c r="D276" s="124"/>
      <c r="E276" s="124"/>
      <c r="F276" s="124"/>
      <c r="G276" s="124" t="n">
        <v>-114948</v>
      </c>
      <c r="I276" s="124" t="n">
        <f aca="false">IF(MONTH($A276)=MONTH($A275),IF(G276=0,I275,G276),G276)</f>
        <v>-114948</v>
      </c>
      <c r="J276" s="124" t="n">
        <f aca="false">IF(MONTH($A276)=MONTH($A275),SUM(I276-I275),I276)</f>
        <v>-2</v>
      </c>
      <c r="K276" s="124" t="n">
        <f aca="false">IF(WEEKDAY(A276,3)&gt;4,0,(IF(A276&lt;K$2,0,IF(A276&lt;=K$3,1,0))))</f>
        <v>0</v>
      </c>
      <c r="L276" s="124" t="n">
        <f aca="false">J276*K276</f>
        <v>-0</v>
      </c>
      <c r="M276" s="124" t="n">
        <f aca="false">SUM(J$188:J276)</f>
        <v>-114736</v>
      </c>
      <c r="N276" s="124" t="n">
        <f aca="false">SUM(J$6:J276)</f>
        <v>-1648804</v>
      </c>
      <c r="P276" s="124" t="n">
        <f aca="false">D276/P$3</f>
        <v>0</v>
      </c>
      <c r="Q276" s="124" t="n">
        <f aca="false">E276/P$3</f>
        <v>0</v>
      </c>
      <c r="R276" s="124" t="n">
        <f aca="false">F276/R$3</f>
        <v>0</v>
      </c>
      <c r="S276" s="126" t="n">
        <f aca="false">J276/$R$3</f>
        <v>-0.002</v>
      </c>
      <c r="T276" s="126" t="n">
        <f aca="false">L276/$R$3</f>
        <v>-0</v>
      </c>
      <c r="U276" s="126" t="n">
        <f aca="false">I276/$R$3</f>
        <v>-114.948</v>
      </c>
      <c r="V276" s="126" t="n">
        <f aca="false">M276/$R$3</f>
        <v>-114.736</v>
      </c>
      <c r="W276" s="126" t="n">
        <f aca="false">N276/$R$3</f>
        <v>-1648.804</v>
      </c>
    </row>
    <row r="277" customFormat="false" ht="12.75" hidden="false" customHeight="false" outlineLevel="0" collapsed="false">
      <c r="A277" s="120" t="n">
        <f aca="false">A276+1</f>
        <v>37163</v>
      </c>
      <c r="B277" s="131" t="str">
        <f aca="false">INDEX('Master Data'!$A$2:$B$8,MATCH(WEEKDAY('ARG Gas Transport'!A277,3),'Master Data'!$A$2:$A$8,0),2)</f>
        <v>Sa</v>
      </c>
      <c r="D277" s="124"/>
      <c r="E277" s="124"/>
      <c r="F277" s="124"/>
      <c r="G277" s="124"/>
      <c r="I277" s="124" t="n">
        <f aca="false">IF(MONTH($A277)=MONTH($A276),IF(G277=0,I276,G277),G277)</f>
        <v>-114948</v>
      </c>
      <c r="J277" s="124" t="n">
        <f aca="false">IF(MONTH($A277)=MONTH($A276),SUM(I277-I276),I277)</f>
        <v>0</v>
      </c>
      <c r="K277" s="124" t="n">
        <f aca="false">IF(WEEKDAY(A277,3)&gt;4,0,(IF(A277&lt;K$2,0,IF(A277&lt;=K$3,1,0))))</f>
        <v>0</v>
      </c>
      <c r="L277" s="124" t="n">
        <f aca="false">J277*K277</f>
        <v>0</v>
      </c>
      <c r="M277" s="124" t="n">
        <f aca="false">SUM(J$188:J277)</f>
        <v>-114736</v>
      </c>
      <c r="N277" s="124" t="n">
        <f aca="false">SUM(J$6:J277)</f>
        <v>-1648804</v>
      </c>
      <c r="P277" s="124" t="n">
        <f aca="false">D277/P$3</f>
        <v>0</v>
      </c>
      <c r="Q277" s="124" t="n">
        <f aca="false">E277/P$3</f>
        <v>0</v>
      </c>
      <c r="R277" s="124" t="n">
        <f aca="false">F277/R$3</f>
        <v>0</v>
      </c>
      <c r="S277" s="126" t="n">
        <f aca="false">J277/$R$3</f>
        <v>0</v>
      </c>
      <c r="T277" s="126" t="n">
        <f aca="false">L277/$R$3</f>
        <v>0</v>
      </c>
      <c r="U277" s="126" t="n">
        <f aca="false">I277/$R$3</f>
        <v>-114.948</v>
      </c>
      <c r="V277" s="126" t="n">
        <f aca="false">M277/$R$3</f>
        <v>-114.736</v>
      </c>
      <c r="W277" s="126" t="n">
        <f aca="false">N277/$R$3</f>
        <v>-1648.804</v>
      </c>
    </row>
    <row r="278" customFormat="false" ht="12.75" hidden="false" customHeight="false" outlineLevel="0" collapsed="false">
      <c r="A278" s="120" t="n">
        <f aca="false">A277+1</f>
        <v>37164</v>
      </c>
      <c r="B278" s="131" t="str">
        <f aca="false">INDEX('Master Data'!$A$2:$B$8,MATCH(WEEKDAY('ARG Gas Transport'!A278,3),'Master Data'!$A$2:$A$8,0),2)</f>
        <v>Su</v>
      </c>
      <c r="D278" s="124"/>
      <c r="E278" s="124"/>
      <c r="F278" s="124"/>
      <c r="G278" s="124"/>
      <c r="I278" s="124" t="n">
        <f aca="false">IF(MONTH($A278)=MONTH($A277),IF(G278=0,I277,G278),G278)</f>
        <v>-114948</v>
      </c>
      <c r="J278" s="124" t="n">
        <f aca="false">IF(MONTH($A278)=MONTH($A277),SUM(I278-I277),I278)</f>
        <v>0</v>
      </c>
      <c r="K278" s="124" t="n">
        <f aca="false">IF(WEEKDAY(A278,3)&gt;4,0,(IF(A278&lt;K$2,0,IF(A278&lt;=K$3,1,0))))</f>
        <v>0</v>
      </c>
      <c r="L278" s="124" t="n">
        <f aca="false">J278*K278</f>
        <v>0</v>
      </c>
      <c r="M278" s="124" t="n">
        <f aca="false">SUM(J$188:J278)</f>
        <v>-114736</v>
      </c>
      <c r="N278" s="124" t="n">
        <f aca="false">SUM(J$6:J278)</f>
        <v>-1648804</v>
      </c>
      <c r="P278" s="124" t="n">
        <f aca="false">D278/P$3</f>
        <v>0</v>
      </c>
      <c r="Q278" s="124" t="n">
        <f aca="false">E278/P$3</f>
        <v>0</v>
      </c>
      <c r="R278" s="124" t="n">
        <f aca="false">F278/R$3</f>
        <v>0</v>
      </c>
      <c r="S278" s="126" t="n">
        <f aca="false">J278/$R$3</f>
        <v>0</v>
      </c>
      <c r="T278" s="126" t="n">
        <f aca="false">L278/$R$3</f>
        <v>0</v>
      </c>
      <c r="U278" s="126" t="n">
        <f aca="false">I278/$R$3</f>
        <v>-114.948</v>
      </c>
      <c r="V278" s="126" t="n">
        <f aca="false">M278/$R$3</f>
        <v>-114.736</v>
      </c>
      <c r="W278" s="126" t="n">
        <f aca="false">N278/$R$3</f>
        <v>-1648.804</v>
      </c>
    </row>
    <row r="279" customFormat="false" ht="12.75" hidden="true" customHeight="false" outlineLevel="0" collapsed="false">
      <c r="A279" s="120" t="n">
        <f aca="false">A278+1</f>
        <v>37165</v>
      </c>
      <c r="B279" s="131" t="str">
        <f aca="false">INDEX('Master Data'!$A$2:$B$8,MATCH(WEEKDAY('ARG Gas Transport'!A279,3),'Master Data'!$A$2:$A$8,0),2)</f>
        <v>M</v>
      </c>
      <c r="D279" s="124"/>
      <c r="E279" s="124"/>
      <c r="F279" s="124"/>
      <c r="G279" s="124" t="n">
        <v>10</v>
      </c>
      <c r="I279" s="124" t="n">
        <f aca="false">IF(MONTH($A279)=MONTH($A278),IF(G279=0,I278,G279),G279)</f>
        <v>10</v>
      </c>
      <c r="J279" s="124" t="n">
        <f aca="false">IF(MONTH($A279)=MONTH($A278),SUM(I279-I278),I279)</f>
        <v>10</v>
      </c>
      <c r="K279" s="124" t="n">
        <f aca="false">IF(WEEKDAY(A279,3)&gt;4,0,(IF(A279&lt;K$2,0,IF(A279&lt;=K$3,1,0))))</f>
        <v>0</v>
      </c>
      <c r="L279" s="124" t="n">
        <f aca="false">J279*K279</f>
        <v>0</v>
      </c>
      <c r="M279" s="124" t="n">
        <f aca="false">SUM(J$188:J279)</f>
        <v>-114726</v>
      </c>
      <c r="N279" s="124" t="n">
        <f aca="false">SUM(J$6:J279)</f>
        <v>-1648794</v>
      </c>
      <c r="P279" s="124" t="n">
        <f aca="false">D279/P$3</f>
        <v>0</v>
      </c>
      <c r="Q279" s="124" t="n">
        <f aca="false">E279/P$3</f>
        <v>0</v>
      </c>
      <c r="R279" s="124" t="n">
        <f aca="false">F279/R$3</f>
        <v>0</v>
      </c>
      <c r="S279" s="126" t="n">
        <f aca="false">J279/$R$3</f>
        <v>0.01</v>
      </c>
      <c r="T279" s="126" t="n">
        <f aca="false">L279/$R$3</f>
        <v>0</v>
      </c>
      <c r="U279" s="126" t="n">
        <f aca="false">I279/$R$3</f>
        <v>0.01</v>
      </c>
      <c r="V279" s="126" t="n">
        <f aca="false">M279/$R$3</f>
        <v>-114.726</v>
      </c>
      <c r="W279" s="126" t="n">
        <f aca="false">N279/$R$3</f>
        <v>-1648.794</v>
      </c>
    </row>
    <row r="280" customFormat="false" ht="12.75" hidden="true" customHeight="false" outlineLevel="0" collapsed="false">
      <c r="A280" s="120" t="n">
        <f aca="false">A279+1</f>
        <v>37166</v>
      </c>
      <c r="B280" s="131" t="str">
        <f aca="false">INDEX('Master Data'!$A$2:$B$8,MATCH(WEEKDAY('ARG Gas Transport'!A280,3),'Master Data'!$A$2:$A$8,0),2)</f>
        <v>T</v>
      </c>
      <c r="D280" s="124"/>
      <c r="E280" s="124"/>
      <c r="F280" s="124"/>
      <c r="G280" s="124" t="n">
        <v>9</v>
      </c>
      <c r="I280" s="124" t="n">
        <f aca="false">IF(MONTH($A280)=MONTH($A279),IF(G280=0,I279,G280),G280)</f>
        <v>9</v>
      </c>
      <c r="J280" s="124" t="n">
        <f aca="false">IF(MONTH($A280)=MONTH($A279),SUM(I280-I279),I280)</f>
        <v>-1</v>
      </c>
      <c r="K280" s="124" t="n">
        <f aca="false">IF(WEEKDAY(A280,3)&gt;4,0,(IF(A280&lt;K$2,0,IF(A280&lt;=K$3,1,0))))</f>
        <v>0</v>
      </c>
      <c r="L280" s="124" t="n">
        <f aca="false">J280*K280</f>
        <v>-0</v>
      </c>
      <c r="M280" s="124" t="n">
        <f aca="false">SUM(J$188:J280)</f>
        <v>-114727</v>
      </c>
      <c r="N280" s="124" t="n">
        <f aca="false">SUM(J$6:J280)</f>
        <v>-1648795</v>
      </c>
      <c r="P280" s="124" t="n">
        <f aca="false">D280/P$3</f>
        <v>0</v>
      </c>
      <c r="Q280" s="124" t="n">
        <f aca="false">E280/P$3</f>
        <v>0</v>
      </c>
      <c r="R280" s="124" t="n">
        <f aca="false">F280/R$3</f>
        <v>0</v>
      </c>
      <c r="S280" s="126" t="n">
        <f aca="false">J280/$R$3</f>
        <v>-0.001</v>
      </c>
      <c r="T280" s="126" t="n">
        <f aca="false">L280/$R$3</f>
        <v>-0</v>
      </c>
      <c r="U280" s="126" t="n">
        <f aca="false">I280/$R$3</f>
        <v>0.009</v>
      </c>
      <c r="V280" s="126" t="n">
        <f aca="false">M280/$R$3</f>
        <v>-114.727</v>
      </c>
      <c r="W280" s="126" t="n">
        <f aca="false">N280/$R$3</f>
        <v>-1648.795</v>
      </c>
    </row>
    <row r="281" customFormat="false" ht="12.75" hidden="true" customHeight="false" outlineLevel="0" collapsed="false">
      <c r="A281" s="120" t="n">
        <f aca="false">A280+1</f>
        <v>37167</v>
      </c>
      <c r="B281" s="131" t="str">
        <f aca="false">INDEX('Master Data'!$A$2:$B$8,MATCH(WEEKDAY('ARG Gas Transport'!A281,3),'Master Data'!$A$2:$A$8,0),2)</f>
        <v>W</v>
      </c>
      <c r="D281" s="124"/>
      <c r="E281" s="124"/>
      <c r="F281" s="124"/>
      <c r="G281" s="124" t="n">
        <v>11</v>
      </c>
      <c r="I281" s="124" t="n">
        <f aca="false">IF(MONTH($A281)=MONTH($A280),IF(G281=0,I280,G281),G281)</f>
        <v>11</v>
      </c>
      <c r="J281" s="124" t="n">
        <f aca="false">IF(MONTH($A281)=MONTH($A280),SUM(I281-I280),I281)</f>
        <v>2</v>
      </c>
      <c r="K281" s="124" t="n">
        <f aca="false">IF(WEEKDAY(A281,3)&gt;4,0,(IF(A281&lt;K$2,0,IF(A281&lt;=K$3,1,0))))</f>
        <v>0</v>
      </c>
      <c r="L281" s="124" t="n">
        <f aca="false">J281*K281</f>
        <v>0</v>
      </c>
      <c r="M281" s="124" t="n">
        <f aca="false">SUM(J$188:J281)</f>
        <v>-114725</v>
      </c>
      <c r="N281" s="124" t="n">
        <f aca="false">SUM(J$6:J281)</f>
        <v>-1648793</v>
      </c>
      <c r="P281" s="124" t="n">
        <f aca="false">D281/P$3</f>
        <v>0</v>
      </c>
      <c r="Q281" s="124" t="n">
        <f aca="false">E281/P$3</f>
        <v>0</v>
      </c>
      <c r="R281" s="124" t="n">
        <f aca="false">F281/R$3</f>
        <v>0</v>
      </c>
      <c r="S281" s="126" t="n">
        <f aca="false">J281/$R$3</f>
        <v>0.002</v>
      </c>
      <c r="T281" s="126" t="n">
        <f aca="false">L281/$R$3</f>
        <v>0</v>
      </c>
      <c r="U281" s="126" t="n">
        <f aca="false">I281/$R$3</f>
        <v>0.011</v>
      </c>
      <c r="V281" s="126" t="n">
        <f aca="false">M281/$R$3</f>
        <v>-114.725</v>
      </c>
      <c r="W281" s="126" t="n">
        <f aca="false">N281/$R$3</f>
        <v>-1648.793</v>
      </c>
    </row>
    <row r="282" customFormat="false" ht="12.75" hidden="true" customHeight="false" outlineLevel="0" collapsed="false">
      <c r="A282" s="120" t="n">
        <f aca="false">A281+1</f>
        <v>37168</v>
      </c>
      <c r="B282" s="131" t="str">
        <f aca="false">INDEX('Master Data'!$A$2:$B$8,MATCH(WEEKDAY('ARG Gas Transport'!A282,3),'Master Data'!$A$2:$A$8,0),2)</f>
        <v>Th</v>
      </c>
      <c r="D282" s="124"/>
      <c r="E282" s="124"/>
      <c r="F282" s="124"/>
      <c r="G282" s="124" t="n">
        <v>11</v>
      </c>
      <c r="I282" s="124" t="n">
        <f aca="false">IF(MONTH($A282)=MONTH($A281),IF(G282=0,I281,G282),G282)</f>
        <v>11</v>
      </c>
      <c r="J282" s="124" t="n">
        <f aca="false">IF(MONTH($A282)=MONTH($A281),SUM(I282-I281),I282)</f>
        <v>0</v>
      </c>
      <c r="K282" s="124" t="n">
        <f aca="false">IF(WEEKDAY(A282,3)&gt;4,0,(IF(A282&lt;K$2,0,IF(A282&lt;=K$3,1,0))))</f>
        <v>0</v>
      </c>
      <c r="L282" s="124" t="n">
        <f aca="false">J282*K282</f>
        <v>0</v>
      </c>
      <c r="M282" s="124" t="n">
        <f aca="false">SUM(J$188:J282)</f>
        <v>-114725</v>
      </c>
      <c r="N282" s="124" t="n">
        <f aca="false">SUM(J$6:J282)</f>
        <v>-1648793</v>
      </c>
      <c r="P282" s="124" t="n">
        <f aca="false">D282/P$3</f>
        <v>0</v>
      </c>
      <c r="Q282" s="124" t="n">
        <f aca="false">E282/P$3</f>
        <v>0</v>
      </c>
      <c r="R282" s="124" t="n">
        <f aca="false">F282/R$3</f>
        <v>0</v>
      </c>
      <c r="S282" s="126" t="n">
        <f aca="false">J282/$R$3</f>
        <v>0</v>
      </c>
      <c r="T282" s="126" t="n">
        <f aca="false">L282/$R$3</f>
        <v>0</v>
      </c>
      <c r="U282" s="126" t="n">
        <f aca="false">I282/$R$3</f>
        <v>0.011</v>
      </c>
      <c r="V282" s="126" t="n">
        <f aca="false">M282/$R$3</f>
        <v>-114.725</v>
      </c>
      <c r="W282" s="126" t="n">
        <f aca="false">N282/$R$3</f>
        <v>-1648.793</v>
      </c>
    </row>
    <row r="283" customFormat="false" ht="12.75" hidden="true" customHeight="false" outlineLevel="0" collapsed="false">
      <c r="A283" s="120" t="n">
        <f aca="false">A282+1</f>
        <v>37169</v>
      </c>
      <c r="B283" s="131" t="str">
        <f aca="false">INDEX('Master Data'!$A$2:$B$8,MATCH(WEEKDAY('ARG Gas Transport'!A283,3),'Master Data'!$A$2:$A$8,0),2)</f>
        <v>F</v>
      </c>
      <c r="D283" s="124"/>
      <c r="E283" s="124"/>
      <c r="F283" s="124"/>
      <c r="G283" s="124" t="n">
        <v>11</v>
      </c>
      <c r="I283" s="124" t="n">
        <f aca="false">IF(MONTH($A283)=MONTH($A282),IF(G283=0,I282,G283),G283)</f>
        <v>11</v>
      </c>
      <c r="J283" s="124" t="n">
        <f aca="false">IF(MONTH($A283)=MONTH($A282),SUM(I283-I282),I283)</f>
        <v>0</v>
      </c>
      <c r="K283" s="124" t="n">
        <f aca="false">IF(WEEKDAY(A283,3)&gt;4,0,(IF(A283&lt;K$2,0,IF(A283&lt;=K$3,1,0))))</f>
        <v>0</v>
      </c>
      <c r="L283" s="124" t="n">
        <f aca="false">J283*K283</f>
        <v>0</v>
      </c>
      <c r="M283" s="124" t="n">
        <f aca="false">SUM(J$188:J283)</f>
        <v>-114725</v>
      </c>
      <c r="N283" s="124" t="n">
        <f aca="false">SUM(J$6:J283)</f>
        <v>-1648793</v>
      </c>
      <c r="P283" s="124" t="n">
        <f aca="false">D283/P$3</f>
        <v>0</v>
      </c>
      <c r="Q283" s="124" t="n">
        <f aca="false">E283/P$3</f>
        <v>0</v>
      </c>
      <c r="R283" s="124" t="n">
        <f aca="false">F283/R$3</f>
        <v>0</v>
      </c>
      <c r="S283" s="126" t="n">
        <f aca="false">J283/$R$3</f>
        <v>0</v>
      </c>
      <c r="T283" s="126" t="n">
        <f aca="false">L283/$R$3</f>
        <v>0</v>
      </c>
      <c r="U283" s="126" t="n">
        <f aca="false">I283/$R$3</f>
        <v>0.011</v>
      </c>
      <c r="V283" s="126" t="n">
        <f aca="false">M283/$R$3</f>
        <v>-114.725</v>
      </c>
      <c r="W283" s="126" t="n">
        <f aca="false">N283/$R$3</f>
        <v>-1648.793</v>
      </c>
    </row>
    <row r="284" customFormat="false" ht="12.75" hidden="true" customHeight="false" outlineLevel="0" collapsed="false">
      <c r="A284" s="120" t="n">
        <f aca="false">A283+1</f>
        <v>37170</v>
      </c>
      <c r="B284" s="131" t="str">
        <f aca="false">INDEX('Master Data'!$A$2:$B$8,MATCH(WEEKDAY('ARG Gas Transport'!A284,3),'Master Data'!$A$2:$A$8,0),2)</f>
        <v>Sa</v>
      </c>
      <c r="D284" s="124"/>
      <c r="E284" s="124"/>
      <c r="F284" s="124"/>
      <c r="G284" s="124"/>
      <c r="I284" s="124" t="n">
        <f aca="false">IF(MONTH($A284)=MONTH($A283),IF(G284=0,I283,G284),G284)</f>
        <v>11</v>
      </c>
      <c r="J284" s="124" t="n">
        <f aca="false">IF(MONTH($A284)=MONTH($A283),SUM(I284-I283),I284)</f>
        <v>0</v>
      </c>
      <c r="K284" s="124" t="n">
        <f aca="false">IF(WEEKDAY(A284,3)&gt;4,0,(IF(A284&lt;K$2,0,IF(A284&lt;=K$3,1,0))))</f>
        <v>0</v>
      </c>
      <c r="L284" s="124" t="n">
        <f aca="false">J284*K284</f>
        <v>0</v>
      </c>
      <c r="M284" s="124" t="n">
        <f aca="false">SUM(J$188:J284)</f>
        <v>-114725</v>
      </c>
      <c r="N284" s="124" t="n">
        <f aca="false">SUM(J$6:J284)</f>
        <v>-1648793</v>
      </c>
      <c r="P284" s="124" t="n">
        <f aca="false">D284/P$3</f>
        <v>0</v>
      </c>
      <c r="Q284" s="124" t="n">
        <f aca="false">E284/P$3</f>
        <v>0</v>
      </c>
      <c r="R284" s="124" t="n">
        <f aca="false">F284/R$3</f>
        <v>0</v>
      </c>
      <c r="S284" s="126" t="n">
        <f aca="false">J284/$R$3</f>
        <v>0</v>
      </c>
      <c r="T284" s="126" t="n">
        <f aca="false">L284/$R$3</f>
        <v>0</v>
      </c>
      <c r="U284" s="126" t="n">
        <f aca="false">I284/$R$3</f>
        <v>0.011</v>
      </c>
      <c r="V284" s="126" t="n">
        <f aca="false">M284/$R$3</f>
        <v>-114.725</v>
      </c>
      <c r="W284" s="126" t="n">
        <f aca="false">N284/$R$3</f>
        <v>-1648.793</v>
      </c>
    </row>
    <row r="285" customFormat="false" ht="12.75" hidden="true" customHeight="false" outlineLevel="0" collapsed="false">
      <c r="A285" s="120" t="n">
        <f aca="false">A284+1</f>
        <v>37171</v>
      </c>
      <c r="B285" s="131" t="str">
        <f aca="false">INDEX('Master Data'!$A$2:$B$8,MATCH(WEEKDAY('ARG Gas Transport'!A285,3),'Master Data'!$A$2:$A$8,0),2)</f>
        <v>Su</v>
      </c>
      <c r="D285" s="124"/>
      <c r="E285" s="124"/>
      <c r="F285" s="124"/>
      <c r="G285" s="124"/>
      <c r="I285" s="124" t="n">
        <f aca="false">IF(MONTH($A285)=MONTH($A284),IF(G285=0,I284,G285),G285)</f>
        <v>11</v>
      </c>
      <c r="J285" s="124" t="n">
        <f aca="false">IF(MONTH($A285)=MONTH($A284),SUM(I285-I284),I285)</f>
        <v>0</v>
      </c>
      <c r="K285" s="124" t="n">
        <f aca="false">IF(WEEKDAY(A285,3)&gt;4,0,(IF(A285&lt;K$2,0,IF(A285&lt;=K$3,1,0))))</f>
        <v>0</v>
      </c>
      <c r="L285" s="124" t="n">
        <f aca="false">J285*K285</f>
        <v>0</v>
      </c>
      <c r="M285" s="124" t="n">
        <f aca="false">SUM(J$188:J285)</f>
        <v>-114725</v>
      </c>
      <c r="N285" s="124" t="n">
        <f aca="false">SUM(J$6:J285)</f>
        <v>-1648793</v>
      </c>
      <c r="P285" s="124" t="n">
        <f aca="false">D285/P$3</f>
        <v>0</v>
      </c>
      <c r="Q285" s="124" t="n">
        <f aca="false">E285/P$3</f>
        <v>0</v>
      </c>
      <c r="R285" s="124" t="n">
        <f aca="false">F285/R$3</f>
        <v>0</v>
      </c>
      <c r="S285" s="126" t="n">
        <f aca="false">J285/$R$3</f>
        <v>0</v>
      </c>
      <c r="T285" s="126" t="n">
        <f aca="false">L285/$R$3</f>
        <v>0</v>
      </c>
      <c r="U285" s="126" t="n">
        <f aca="false">I285/$R$3</f>
        <v>0.011</v>
      </c>
      <c r="V285" s="126" t="n">
        <f aca="false">M285/$R$3</f>
        <v>-114.725</v>
      </c>
      <c r="W285" s="126" t="n">
        <f aca="false">N285/$R$3</f>
        <v>-1648.793</v>
      </c>
    </row>
    <row r="286" customFormat="false" ht="12.75" hidden="true" customHeight="false" outlineLevel="0" collapsed="false">
      <c r="A286" s="120" t="n">
        <f aca="false">A285+1</f>
        <v>37172</v>
      </c>
      <c r="B286" s="131" t="str">
        <f aca="false">INDEX('Master Data'!$A$2:$B$8,MATCH(WEEKDAY('ARG Gas Transport'!A286,3),'Master Data'!$A$2:$A$8,0),2)</f>
        <v>M</v>
      </c>
      <c r="D286" s="124"/>
      <c r="E286" s="124"/>
      <c r="F286" s="124"/>
      <c r="G286" s="124" t="n">
        <v>11</v>
      </c>
      <c r="I286" s="124" t="n">
        <f aca="false">IF(MONTH($A286)=MONTH($A285),IF(G286=0,I285,G286),G286)</f>
        <v>11</v>
      </c>
      <c r="J286" s="124" t="n">
        <f aca="false">IF(MONTH($A286)=MONTH($A285),SUM(I286-I285),I286)</f>
        <v>0</v>
      </c>
      <c r="K286" s="124" t="n">
        <f aca="false">IF(WEEKDAY(A286,3)&gt;4,0,(IF(A286&lt;K$2,0,IF(A286&lt;=K$3,1,0))))</f>
        <v>0</v>
      </c>
      <c r="L286" s="124" t="n">
        <f aca="false">J286*K286</f>
        <v>0</v>
      </c>
      <c r="M286" s="124" t="n">
        <f aca="false">SUM(J$188:J286)</f>
        <v>-114725</v>
      </c>
      <c r="N286" s="124" t="n">
        <f aca="false">SUM(J$6:J286)</f>
        <v>-1648793</v>
      </c>
      <c r="P286" s="124" t="n">
        <f aca="false">D286/P$3</f>
        <v>0</v>
      </c>
      <c r="Q286" s="124" t="n">
        <f aca="false">E286/P$3</f>
        <v>0</v>
      </c>
      <c r="R286" s="124" t="n">
        <f aca="false">F286/R$3</f>
        <v>0</v>
      </c>
      <c r="S286" s="126" t="n">
        <f aca="false">J286/$R$3</f>
        <v>0</v>
      </c>
      <c r="T286" s="126" t="n">
        <f aca="false">L286/$R$3</f>
        <v>0</v>
      </c>
      <c r="U286" s="126" t="n">
        <f aca="false">I286/$R$3</f>
        <v>0.011</v>
      </c>
      <c r="V286" s="126" t="n">
        <f aca="false">M286/$R$3</f>
        <v>-114.725</v>
      </c>
      <c r="W286" s="126" t="n">
        <f aca="false">N286/$R$3</f>
        <v>-1648.793</v>
      </c>
    </row>
    <row r="287" customFormat="false" ht="12.75" hidden="true" customHeight="false" outlineLevel="0" collapsed="false">
      <c r="A287" s="120" t="n">
        <f aca="false">A286+1</f>
        <v>37173</v>
      </c>
      <c r="B287" s="131" t="str">
        <f aca="false">INDEX('Master Data'!$A$2:$B$8,MATCH(WEEKDAY('ARG Gas Transport'!A287,3),'Master Data'!$A$2:$A$8,0),2)</f>
        <v>T</v>
      </c>
      <c r="D287" s="124"/>
      <c r="E287" s="124"/>
      <c r="F287" s="124"/>
      <c r="G287" s="124" t="n">
        <v>11</v>
      </c>
      <c r="I287" s="124" t="n">
        <f aca="false">IF(MONTH($A287)=MONTH($A286),IF(G287=0,I286,G287),G287)</f>
        <v>11</v>
      </c>
      <c r="J287" s="124" t="n">
        <f aca="false">IF(MONTH($A287)=MONTH($A286),SUM(I287-I286),I287)</f>
        <v>0</v>
      </c>
      <c r="K287" s="124" t="n">
        <f aca="false">IF(WEEKDAY(A287,3)&gt;4,0,(IF(A287&lt;K$2,0,IF(A287&lt;=K$3,1,0))))</f>
        <v>0</v>
      </c>
      <c r="L287" s="124" t="n">
        <f aca="false">J287*K287</f>
        <v>0</v>
      </c>
      <c r="M287" s="124" t="n">
        <f aca="false">SUM(J$188:J287)</f>
        <v>-114725</v>
      </c>
      <c r="N287" s="124" t="n">
        <f aca="false">SUM(J$6:J287)</f>
        <v>-1648793</v>
      </c>
      <c r="P287" s="124" t="n">
        <f aca="false">D287/P$3</f>
        <v>0</v>
      </c>
      <c r="Q287" s="124" t="n">
        <f aca="false">E287/P$3</f>
        <v>0</v>
      </c>
      <c r="R287" s="124" t="n">
        <f aca="false">F287/R$3</f>
        <v>0</v>
      </c>
      <c r="S287" s="126" t="n">
        <f aca="false">J287/$R$3</f>
        <v>0</v>
      </c>
      <c r="T287" s="126" t="n">
        <f aca="false">L287/$R$3</f>
        <v>0</v>
      </c>
      <c r="U287" s="126" t="n">
        <f aca="false">I287/$R$3</f>
        <v>0.011</v>
      </c>
      <c r="V287" s="126" t="n">
        <f aca="false">M287/$R$3</f>
        <v>-114.725</v>
      </c>
      <c r="W287" s="126" t="n">
        <f aca="false">N287/$R$3</f>
        <v>-1648.793</v>
      </c>
    </row>
    <row r="288" customFormat="false" ht="12.75" hidden="true" customHeight="false" outlineLevel="0" collapsed="false">
      <c r="A288" s="120" t="n">
        <f aca="false">A287+1</f>
        <v>37174</v>
      </c>
      <c r="B288" s="131" t="str">
        <f aca="false">INDEX('Master Data'!$A$2:$B$8,MATCH(WEEKDAY('ARG Gas Transport'!A288,3),'Master Data'!$A$2:$A$8,0),2)</f>
        <v>W</v>
      </c>
      <c r="D288" s="124"/>
      <c r="E288" s="124"/>
      <c r="F288" s="124"/>
      <c r="G288" s="124" t="n">
        <v>12</v>
      </c>
      <c r="I288" s="124" t="n">
        <f aca="false">IF(MONTH($A288)=MONTH($A287),IF(G288=0,I287,G288),G288)</f>
        <v>12</v>
      </c>
      <c r="J288" s="124" t="n">
        <f aca="false">IF(MONTH($A288)=MONTH($A287),SUM(I288-I287),I288)</f>
        <v>1</v>
      </c>
      <c r="K288" s="124" t="n">
        <f aca="false">IF(WEEKDAY(A288,3)&gt;4,0,(IF(A288&lt;K$2,0,IF(A288&lt;=K$3,1,0))))</f>
        <v>0</v>
      </c>
      <c r="L288" s="124" t="n">
        <f aca="false">J288*K288</f>
        <v>0</v>
      </c>
      <c r="M288" s="124" t="n">
        <f aca="false">SUM(J$188:J288)</f>
        <v>-114724</v>
      </c>
      <c r="N288" s="124" t="n">
        <f aca="false">SUM(J$6:J288)</f>
        <v>-1648792</v>
      </c>
      <c r="P288" s="124" t="n">
        <f aca="false">D288/P$3</f>
        <v>0</v>
      </c>
      <c r="Q288" s="124" t="n">
        <f aca="false">E288/P$3</f>
        <v>0</v>
      </c>
      <c r="R288" s="124" t="n">
        <f aca="false">F288/R$3</f>
        <v>0</v>
      </c>
      <c r="S288" s="126" t="n">
        <f aca="false">J288/$R$3</f>
        <v>0.001</v>
      </c>
      <c r="T288" s="126" t="n">
        <f aca="false">L288/$R$3</f>
        <v>0</v>
      </c>
      <c r="U288" s="126" t="n">
        <f aca="false">I288/$R$3</f>
        <v>0.012</v>
      </c>
      <c r="V288" s="126" t="n">
        <f aca="false">M288/$R$3</f>
        <v>-114.724</v>
      </c>
      <c r="W288" s="126" t="n">
        <f aca="false">N288/$R$3</f>
        <v>-1648.792</v>
      </c>
    </row>
    <row r="289" customFormat="false" ht="12.75" hidden="true" customHeight="false" outlineLevel="0" collapsed="false">
      <c r="A289" s="120" t="n">
        <f aca="false">A288+1</f>
        <v>37175</v>
      </c>
      <c r="B289" s="131" t="str">
        <f aca="false">INDEX('Master Data'!$A$2:$B$8,MATCH(WEEKDAY('ARG Gas Transport'!A289,3),'Master Data'!$A$2:$A$8,0),2)</f>
        <v>Th</v>
      </c>
      <c r="D289" s="124"/>
      <c r="E289" s="124"/>
      <c r="F289" s="124"/>
      <c r="G289" s="124" t="n">
        <v>11</v>
      </c>
      <c r="I289" s="124" t="n">
        <f aca="false">IF(MONTH($A289)=MONTH($A288),IF(G289=0,I288,G289),G289)</f>
        <v>11</v>
      </c>
      <c r="J289" s="124" t="n">
        <f aca="false">IF(MONTH($A289)=MONTH($A288),SUM(I289-I288),I289)</f>
        <v>-1</v>
      </c>
      <c r="K289" s="124" t="n">
        <f aca="false">IF(WEEKDAY(A289,3)&gt;4,0,(IF(A289&lt;K$2,0,IF(A289&lt;=K$3,1,0))))</f>
        <v>0</v>
      </c>
      <c r="L289" s="124" t="n">
        <f aca="false">J289*K289</f>
        <v>-0</v>
      </c>
      <c r="M289" s="124" t="n">
        <f aca="false">SUM(J$188:J289)</f>
        <v>-114725</v>
      </c>
      <c r="N289" s="124" t="n">
        <f aca="false">SUM(J$6:J289)</f>
        <v>-1648793</v>
      </c>
      <c r="P289" s="124" t="n">
        <f aca="false">D289/P$3</f>
        <v>0</v>
      </c>
      <c r="Q289" s="124" t="n">
        <f aca="false">E289/P$3</f>
        <v>0</v>
      </c>
      <c r="R289" s="124" t="n">
        <f aca="false">F289/R$3</f>
        <v>0</v>
      </c>
      <c r="S289" s="126" t="n">
        <f aca="false">J289/$R$3</f>
        <v>-0.001</v>
      </c>
      <c r="T289" s="126" t="n">
        <f aca="false">L289/$R$3</f>
        <v>-0</v>
      </c>
      <c r="U289" s="126" t="n">
        <f aca="false">I289/$R$3</f>
        <v>0.011</v>
      </c>
      <c r="V289" s="126" t="n">
        <f aca="false">M289/$R$3</f>
        <v>-114.725</v>
      </c>
      <c r="W289" s="126" t="n">
        <f aca="false">N289/$R$3</f>
        <v>-1648.793</v>
      </c>
    </row>
    <row r="290" customFormat="false" ht="12.75" hidden="true" customHeight="false" outlineLevel="0" collapsed="false">
      <c r="A290" s="120" t="n">
        <f aca="false">A289+1</f>
        <v>37176</v>
      </c>
      <c r="B290" s="131" t="str">
        <f aca="false">INDEX('Master Data'!$A$2:$B$8,MATCH(WEEKDAY('ARG Gas Transport'!A290,3),'Master Data'!$A$2:$A$8,0),2)</f>
        <v>F</v>
      </c>
      <c r="D290" s="124"/>
      <c r="E290" s="124"/>
      <c r="F290" s="124"/>
      <c r="G290" s="124" t="n">
        <v>11</v>
      </c>
      <c r="I290" s="124" t="n">
        <f aca="false">IF(MONTH($A290)=MONTH($A289),IF(G290=0,I289,G290),G290)</f>
        <v>11</v>
      </c>
      <c r="J290" s="124" t="n">
        <f aca="false">IF(MONTH($A290)=MONTH($A289),SUM(I290-I289),I290)</f>
        <v>0</v>
      </c>
      <c r="K290" s="124" t="n">
        <f aca="false">IF(WEEKDAY(A290,3)&gt;4,0,(IF(A290&lt;K$2,0,IF(A290&lt;=K$3,1,0))))</f>
        <v>0</v>
      </c>
      <c r="L290" s="124" t="n">
        <f aca="false">J290*K290</f>
        <v>0</v>
      </c>
      <c r="M290" s="124" t="n">
        <f aca="false">SUM(J$188:J290)</f>
        <v>-114725</v>
      </c>
      <c r="N290" s="124" t="n">
        <f aca="false">SUM(J$6:J290)</f>
        <v>-1648793</v>
      </c>
      <c r="P290" s="124" t="n">
        <f aca="false">D290/P$3</f>
        <v>0</v>
      </c>
      <c r="Q290" s="124" t="n">
        <f aca="false">E290/P$3</f>
        <v>0</v>
      </c>
      <c r="R290" s="124" t="n">
        <f aca="false">F290/R$3</f>
        <v>0</v>
      </c>
      <c r="S290" s="126" t="n">
        <f aca="false">J290/$R$3</f>
        <v>0</v>
      </c>
      <c r="T290" s="126" t="n">
        <f aca="false">L290/$R$3</f>
        <v>0</v>
      </c>
      <c r="U290" s="126" t="n">
        <f aca="false">I290/$R$3</f>
        <v>0.011</v>
      </c>
      <c r="V290" s="126" t="n">
        <f aca="false">M290/$R$3</f>
        <v>-114.725</v>
      </c>
      <c r="W290" s="126" t="n">
        <f aca="false">N290/$R$3</f>
        <v>-1648.793</v>
      </c>
    </row>
    <row r="291" customFormat="false" ht="12.75" hidden="true" customHeight="false" outlineLevel="0" collapsed="false">
      <c r="A291" s="120" t="n">
        <f aca="false">A290+1</f>
        <v>37177</v>
      </c>
      <c r="B291" s="131" t="str">
        <f aca="false">INDEX('Master Data'!$A$2:$B$8,MATCH(WEEKDAY('ARG Gas Transport'!A291,3),'Master Data'!$A$2:$A$8,0),2)</f>
        <v>Sa</v>
      </c>
      <c r="D291" s="124"/>
      <c r="E291" s="124"/>
      <c r="F291" s="124"/>
      <c r="G291" s="124"/>
      <c r="I291" s="124" t="n">
        <f aca="false">IF(MONTH($A291)=MONTH($A290),IF(G291=0,I290,G291),G291)</f>
        <v>11</v>
      </c>
      <c r="J291" s="124" t="n">
        <f aca="false">IF(MONTH($A291)=MONTH($A290),SUM(I291-I290),I291)</f>
        <v>0</v>
      </c>
      <c r="K291" s="124" t="n">
        <f aca="false">IF(WEEKDAY(A291,3)&gt;4,0,(IF(A291&lt;K$2,0,IF(A291&lt;=K$3,1,0))))</f>
        <v>0</v>
      </c>
      <c r="L291" s="124" t="n">
        <f aca="false">J291*K291</f>
        <v>0</v>
      </c>
      <c r="M291" s="124" t="n">
        <f aca="false">SUM(J$188:J291)</f>
        <v>-114725</v>
      </c>
      <c r="N291" s="124" t="n">
        <f aca="false">SUM(J$6:J291)</f>
        <v>-1648793</v>
      </c>
      <c r="P291" s="124" t="n">
        <f aca="false">D291/P$3</f>
        <v>0</v>
      </c>
      <c r="Q291" s="124" t="n">
        <f aca="false">E291/P$3</f>
        <v>0</v>
      </c>
      <c r="R291" s="124" t="n">
        <f aca="false">F291/R$3</f>
        <v>0</v>
      </c>
      <c r="S291" s="126" t="n">
        <f aca="false">J291/$R$3</f>
        <v>0</v>
      </c>
      <c r="T291" s="126" t="n">
        <f aca="false">L291/$R$3</f>
        <v>0</v>
      </c>
      <c r="U291" s="126" t="n">
        <f aca="false">I291/$R$3</f>
        <v>0.011</v>
      </c>
      <c r="V291" s="126" t="n">
        <f aca="false">M291/$R$3</f>
        <v>-114.725</v>
      </c>
      <c r="W291" s="126" t="n">
        <f aca="false">N291/$R$3</f>
        <v>-1648.793</v>
      </c>
    </row>
    <row r="292" customFormat="false" ht="12.75" hidden="true" customHeight="false" outlineLevel="0" collapsed="false">
      <c r="A292" s="120" t="n">
        <f aca="false">A291+1</f>
        <v>37178</v>
      </c>
      <c r="B292" s="131" t="str">
        <f aca="false">INDEX('Master Data'!$A$2:$B$8,MATCH(WEEKDAY('ARG Gas Transport'!A292,3),'Master Data'!$A$2:$A$8,0),2)</f>
        <v>Su</v>
      </c>
      <c r="D292" s="124"/>
      <c r="E292" s="124"/>
      <c r="F292" s="124"/>
      <c r="G292" s="124"/>
      <c r="I292" s="124" t="n">
        <f aca="false">IF(MONTH($A292)=MONTH($A291),IF(G292=0,I291,G292),G292)</f>
        <v>11</v>
      </c>
      <c r="J292" s="124" t="n">
        <f aca="false">IF(MONTH($A292)=MONTH($A291),SUM(I292-I291),I292)</f>
        <v>0</v>
      </c>
      <c r="K292" s="124" t="n">
        <f aca="false">IF(WEEKDAY(A292,3)&gt;4,0,(IF(A292&lt;K$2,0,IF(A292&lt;=K$3,1,0))))</f>
        <v>0</v>
      </c>
      <c r="L292" s="124" t="n">
        <f aca="false">J292*K292</f>
        <v>0</v>
      </c>
      <c r="M292" s="124" t="n">
        <f aca="false">SUM(J$188:J292)</f>
        <v>-114725</v>
      </c>
      <c r="N292" s="124" t="n">
        <f aca="false">SUM(J$6:J292)</f>
        <v>-1648793</v>
      </c>
      <c r="P292" s="124" t="n">
        <f aca="false">D292/P$3</f>
        <v>0</v>
      </c>
      <c r="Q292" s="124" t="n">
        <f aca="false">E292/P$3</f>
        <v>0</v>
      </c>
      <c r="R292" s="124" t="n">
        <f aca="false">F292/R$3</f>
        <v>0</v>
      </c>
      <c r="S292" s="126" t="n">
        <f aca="false">J292/$R$3</f>
        <v>0</v>
      </c>
      <c r="T292" s="126" t="n">
        <f aca="false">L292/$R$3</f>
        <v>0</v>
      </c>
      <c r="U292" s="126" t="n">
        <f aca="false">I292/$R$3</f>
        <v>0.011</v>
      </c>
      <c r="V292" s="126" t="n">
        <f aca="false">M292/$R$3</f>
        <v>-114.725</v>
      </c>
      <c r="W292" s="126" t="n">
        <f aca="false">N292/$R$3</f>
        <v>-1648.793</v>
      </c>
    </row>
    <row r="293" customFormat="false" ht="12.75" hidden="true" customHeight="false" outlineLevel="0" collapsed="false">
      <c r="A293" s="120" t="n">
        <f aca="false">A292+1</f>
        <v>37179</v>
      </c>
      <c r="B293" s="131" t="str">
        <f aca="false">INDEX('Master Data'!$A$2:$B$8,MATCH(WEEKDAY('ARG Gas Transport'!A293,3),'Master Data'!$A$2:$A$8,0),2)</f>
        <v>M</v>
      </c>
      <c r="D293" s="124"/>
      <c r="E293" s="124"/>
      <c r="F293" s="124"/>
      <c r="G293" s="124" t="n">
        <v>12</v>
      </c>
      <c r="I293" s="124" t="n">
        <f aca="false">IF(MONTH($A293)=MONTH($A292),IF(G293=0,I292,G293),G293)</f>
        <v>12</v>
      </c>
      <c r="J293" s="124" t="n">
        <f aca="false">IF(MONTH($A293)=MONTH($A292),SUM(I293-I292),I293)</f>
        <v>1</v>
      </c>
      <c r="K293" s="124" t="n">
        <f aca="false">IF(WEEKDAY(A293,3)&gt;4,0,(IF(A293&lt;K$2,0,IF(A293&lt;=K$3,1,0))))</f>
        <v>0</v>
      </c>
      <c r="L293" s="124" t="n">
        <f aca="false">J293*K293</f>
        <v>0</v>
      </c>
      <c r="M293" s="124" t="n">
        <f aca="false">SUM(J$188:J293)</f>
        <v>-114724</v>
      </c>
      <c r="N293" s="124" t="n">
        <f aca="false">SUM(J$6:J293)</f>
        <v>-1648792</v>
      </c>
      <c r="P293" s="124" t="n">
        <f aca="false">D293/P$3</f>
        <v>0</v>
      </c>
      <c r="Q293" s="124" t="n">
        <f aca="false">E293/P$3</f>
        <v>0</v>
      </c>
      <c r="R293" s="124" t="n">
        <f aca="false">F293/R$3</f>
        <v>0</v>
      </c>
      <c r="S293" s="126" t="n">
        <f aca="false">J293/$R$3</f>
        <v>0.001</v>
      </c>
      <c r="T293" s="126" t="n">
        <f aca="false">L293/$R$3</f>
        <v>0</v>
      </c>
      <c r="U293" s="126" t="n">
        <f aca="false">I293/$R$3</f>
        <v>0.012</v>
      </c>
      <c r="V293" s="126" t="n">
        <f aca="false">M293/$R$3</f>
        <v>-114.724</v>
      </c>
      <c r="W293" s="126" t="n">
        <f aca="false">N293/$R$3</f>
        <v>-1648.792</v>
      </c>
    </row>
    <row r="294" customFormat="false" ht="12.75" hidden="true" customHeight="false" outlineLevel="0" collapsed="false">
      <c r="A294" s="120" t="n">
        <f aca="false">A293+1</f>
        <v>37180</v>
      </c>
      <c r="B294" s="131" t="str">
        <f aca="false">INDEX('Master Data'!$A$2:$B$8,MATCH(WEEKDAY('ARG Gas Transport'!A294,3),'Master Data'!$A$2:$A$8,0),2)</f>
        <v>T</v>
      </c>
      <c r="D294" s="124"/>
      <c r="E294" s="124"/>
      <c r="F294" s="124"/>
      <c r="G294" s="124" t="n">
        <v>12</v>
      </c>
      <c r="I294" s="124" t="n">
        <f aca="false">IF(MONTH($A294)=MONTH($A293),IF(G294=0,I293,G294),G294)</f>
        <v>12</v>
      </c>
      <c r="J294" s="124" t="n">
        <f aca="false">IF(MONTH($A294)=MONTH($A293),SUM(I294-I293),I294)</f>
        <v>0</v>
      </c>
      <c r="K294" s="124" t="n">
        <f aca="false">IF(WEEKDAY(A294,3)&gt;4,0,(IF(A294&lt;K$2,0,IF(A294&lt;=K$3,1,0))))</f>
        <v>0</v>
      </c>
      <c r="L294" s="124" t="n">
        <f aca="false">J294*K294</f>
        <v>0</v>
      </c>
      <c r="M294" s="124" t="n">
        <f aca="false">SUM(J$188:J294)</f>
        <v>-114724</v>
      </c>
      <c r="N294" s="124" t="n">
        <f aca="false">SUM(J$6:J294)</f>
        <v>-1648792</v>
      </c>
      <c r="P294" s="124" t="n">
        <f aca="false">D294/P$3</f>
        <v>0</v>
      </c>
      <c r="Q294" s="124" t="n">
        <f aca="false">E294/P$3</f>
        <v>0</v>
      </c>
      <c r="R294" s="124" t="n">
        <f aca="false">F294/R$3</f>
        <v>0</v>
      </c>
      <c r="S294" s="126" t="n">
        <f aca="false">J294/$R$3</f>
        <v>0</v>
      </c>
      <c r="T294" s="126" t="n">
        <f aca="false">L294/$R$3</f>
        <v>0</v>
      </c>
      <c r="U294" s="126" t="n">
        <f aca="false">I294/$R$3</f>
        <v>0.012</v>
      </c>
      <c r="V294" s="126" t="n">
        <f aca="false">M294/$R$3</f>
        <v>-114.724</v>
      </c>
      <c r="W294" s="126" t="n">
        <f aca="false">N294/$R$3</f>
        <v>-1648.792</v>
      </c>
    </row>
    <row r="295" customFormat="false" ht="12.75" hidden="true" customHeight="false" outlineLevel="0" collapsed="false">
      <c r="A295" s="120" t="n">
        <f aca="false">A294+1</f>
        <v>37181</v>
      </c>
      <c r="B295" s="131" t="str">
        <f aca="false">INDEX('Master Data'!$A$2:$B$8,MATCH(WEEKDAY('ARG Gas Transport'!A295,3),'Master Data'!$A$2:$A$8,0),2)</f>
        <v>W</v>
      </c>
      <c r="D295" s="124"/>
      <c r="E295" s="124"/>
      <c r="F295" s="124"/>
      <c r="G295" s="124" t="n">
        <v>13</v>
      </c>
      <c r="I295" s="124" t="n">
        <f aca="false">IF(MONTH($A295)=MONTH($A294),IF(G295=0,I294,G295),G295)</f>
        <v>13</v>
      </c>
      <c r="J295" s="124" t="n">
        <f aca="false">IF(MONTH($A295)=MONTH($A294),SUM(I295-I294),I295)</f>
        <v>1</v>
      </c>
      <c r="K295" s="124" t="n">
        <f aca="false">IF(WEEKDAY(A295,3)&gt;4,0,(IF(A295&lt;K$2,0,IF(A295&lt;=K$3,1,0))))</f>
        <v>0</v>
      </c>
      <c r="L295" s="124" t="n">
        <f aca="false">J295*K295</f>
        <v>0</v>
      </c>
      <c r="M295" s="124" t="n">
        <f aca="false">SUM(J$188:J295)</f>
        <v>-114723</v>
      </c>
      <c r="N295" s="124" t="n">
        <f aca="false">SUM(J$6:J295)</f>
        <v>-1648791</v>
      </c>
      <c r="P295" s="124" t="n">
        <f aca="false">D295/P$3</f>
        <v>0</v>
      </c>
      <c r="Q295" s="124" t="n">
        <f aca="false">E295/P$3</f>
        <v>0</v>
      </c>
      <c r="R295" s="124" t="n">
        <f aca="false">F295/R$3</f>
        <v>0</v>
      </c>
      <c r="S295" s="126" t="n">
        <f aca="false">J295/$R$3</f>
        <v>0.001</v>
      </c>
      <c r="T295" s="126" t="n">
        <f aca="false">L295/$R$3</f>
        <v>0</v>
      </c>
      <c r="U295" s="126" t="n">
        <f aca="false">I295/$R$3</f>
        <v>0.013</v>
      </c>
      <c r="V295" s="126" t="n">
        <f aca="false">M295/$R$3</f>
        <v>-114.723</v>
      </c>
      <c r="W295" s="126" t="n">
        <f aca="false">N295/$R$3</f>
        <v>-1648.791</v>
      </c>
    </row>
    <row r="296" customFormat="false" ht="12.75" hidden="true" customHeight="false" outlineLevel="0" collapsed="false">
      <c r="A296" s="120" t="n">
        <f aca="false">A295+1</f>
        <v>37182</v>
      </c>
      <c r="B296" s="131" t="str">
        <f aca="false">INDEX('Master Data'!$A$2:$B$8,MATCH(WEEKDAY('ARG Gas Transport'!A296,3),'Master Data'!$A$2:$A$8,0),2)</f>
        <v>Th</v>
      </c>
      <c r="D296" s="124"/>
      <c r="E296" s="124"/>
      <c r="F296" s="124"/>
      <c r="G296" s="124" t="n">
        <v>13</v>
      </c>
      <c r="I296" s="124" t="n">
        <f aca="false">IF(MONTH($A296)=MONTH($A295),IF(G296=0,I295,G296),G296)</f>
        <v>13</v>
      </c>
      <c r="J296" s="124" t="n">
        <f aca="false">IF(MONTH($A296)=MONTH($A295),SUM(I296-I295),I296)</f>
        <v>0</v>
      </c>
      <c r="K296" s="124" t="n">
        <f aca="false">IF(WEEKDAY(A296,3)&gt;4,0,(IF(A296&lt;K$2,0,IF(A296&lt;=K$3,1,0))))</f>
        <v>0</v>
      </c>
      <c r="L296" s="124" t="n">
        <f aca="false">J296*K296</f>
        <v>0</v>
      </c>
      <c r="M296" s="124" t="n">
        <f aca="false">SUM(J$188:J296)</f>
        <v>-114723</v>
      </c>
      <c r="N296" s="124" t="n">
        <f aca="false">SUM(J$6:J296)</f>
        <v>-1648791</v>
      </c>
      <c r="P296" s="124" t="n">
        <f aca="false">D296/P$3</f>
        <v>0</v>
      </c>
      <c r="Q296" s="124" t="n">
        <f aca="false">E296/P$3</f>
        <v>0</v>
      </c>
      <c r="R296" s="124" t="n">
        <f aca="false">F296/R$3</f>
        <v>0</v>
      </c>
      <c r="S296" s="126" t="n">
        <f aca="false">J296/$R$3</f>
        <v>0</v>
      </c>
      <c r="T296" s="126" t="n">
        <f aca="false">L296/$R$3</f>
        <v>0</v>
      </c>
      <c r="U296" s="126" t="n">
        <f aca="false">I296/$R$3</f>
        <v>0.013</v>
      </c>
      <c r="V296" s="126" t="n">
        <f aca="false">M296/$R$3</f>
        <v>-114.723</v>
      </c>
      <c r="W296" s="126" t="n">
        <f aca="false">N296/$R$3</f>
        <v>-1648.791</v>
      </c>
    </row>
    <row r="297" customFormat="false" ht="12.75" hidden="true" customHeight="false" outlineLevel="0" collapsed="false">
      <c r="A297" s="120" t="n">
        <f aca="false">A296+1</f>
        <v>37183</v>
      </c>
      <c r="B297" s="131" t="str">
        <f aca="false">INDEX('Master Data'!$A$2:$B$8,MATCH(WEEKDAY('ARG Gas Transport'!A297,3),'Master Data'!$A$2:$A$8,0),2)</f>
        <v>F</v>
      </c>
      <c r="D297" s="124"/>
      <c r="E297" s="124"/>
      <c r="F297" s="124"/>
      <c r="G297" s="124" t="n">
        <v>13</v>
      </c>
      <c r="I297" s="124" t="n">
        <f aca="false">IF(MONTH($A297)=MONTH($A296),IF(G297=0,I296,G297),G297)</f>
        <v>13</v>
      </c>
      <c r="J297" s="124" t="n">
        <f aca="false">IF(MONTH($A297)=MONTH($A296),SUM(I297-I296),I297)</f>
        <v>0</v>
      </c>
      <c r="K297" s="124" t="n">
        <f aca="false">IF(WEEKDAY(A297,3)&gt;4,0,(IF(A297&lt;K$2,0,IF(A297&lt;=K$3,1,0))))</f>
        <v>0</v>
      </c>
      <c r="L297" s="124" t="n">
        <f aca="false">J297*K297</f>
        <v>0</v>
      </c>
      <c r="M297" s="124" t="n">
        <f aca="false">SUM(J$188:J297)</f>
        <v>-114723</v>
      </c>
      <c r="N297" s="124" t="n">
        <f aca="false">SUM(J$6:J297)</f>
        <v>-1648791</v>
      </c>
      <c r="P297" s="124" t="n">
        <f aca="false">D297/P$3</f>
        <v>0</v>
      </c>
      <c r="Q297" s="124" t="n">
        <f aca="false">E297/P$3</f>
        <v>0</v>
      </c>
      <c r="R297" s="124" t="n">
        <f aca="false">F297/R$3</f>
        <v>0</v>
      </c>
      <c r="S297" s="126" t="n">
        <f aca="false">J297/$R$3</f>
        <v>0</v>
      </c>
      <c r="T297" s="126" t="n">
        <f aca="false">L297/$R$3</f>
        <v>0</v>
      </c>
      <c r="U297" s="126" t="n">
        <f aca="false">I297/$R$3</f>
        <v>0.013</v>
      </c>
      <c r="V297" s="126" t="n">
        <f aca="false">M297/$R$3</f>
        <v>-114.723</v>
      </c>
      <c r="W297" s="126" t="n">
        <f aca="false">N297/$R$3</f>
        <v>-1648.791</v>
      </c>
    </row>
    <row r="298" customFormat="false" ht="12.75" hidden="true" customHeight="false" outlineLevel="0" collapsed="false">
      <c r="A298" s="120" t="n">
        <f aca="false">A297+1</f>
        <v>37184</v>
      </c>
      <c r="B298" s="131" t="str">
        <f aca="false">INDEX('Master Data'!$A$2:$B$8,MATCH(WEEKDAY('ARG Gas Transport'!A298,3),'Master Data'!$A$2:$A$8,0),2)</f>
        <v>Sa</v>
      </c>
      <c r="D298" s="124"/>
      <c r="E298" s="124"/>
      <c r="F298" s="124"/>
      <c r="G298" s="124"/>
      <c r="I298" s="124" t="n">
        <f aca="false">IF(MONTH($A298)=MONTH($A297),IF(G298=0,I297,G298),G298)</f>
        <v>13</v>
      </c>
      <c r="J298" s="124" t="n">
        <f aca="false">IF(MONTH($A298)=MONTH($A297),SUM(I298-I297),I298)</f>
        <v>0</v>
      </c>
      <c r="K298" s="124" t="n">
        <f aca="false">IF(WEEKDAY(A298,3)&gt;4,0,(IF(A298&lt;K$2,0,IF(A298&lt;=K$3,1,0))))</f>
        <v>0</v>
      </c>
      <c r="L298" s="124" t="n">
        <f aca="false">J298*K298</f>
        <v>0</v>
      </c>
      <c r="M298" s="124" t="n">
        <f aca="false">SUM(J$188:J298)</f>
        <v>-114723</v>
      </c>
      <c r="N298" s="124" t="n">
        <f aca="false">SUM(J$6:J298)</f>
        <v>-1648791</v>
      </c>
      <c r="P298" s="124" t="n">
        <f aca="false">D298/P$3</f>
        <v>0</v>
      </c>
      <c r="Q298" s="124" t="n">
        <f aca="false">E298/P$3</f>
        <v>0</v>
      </c>
      <c r="R298" s="124" t="n">
        <f aca="false">F298/R$3</f>
        <v>0</v>
      </c>
      <c r="S298" s="126" t="n">
        <f aca="false">J298/$R$3</f>
        <v>0</v>
      </c>
      <c r="T298" s="126" t="n">
        <f aca="false">L298/$R$3</f>
        <v>0</v>
      </c>
      <c r="U298" s="126" t="n">
        <f aca="false">I298/$R$3</f>
        <v>0.013</v>
      </c>
      <c r="V298" s="126" t="n">
        <f aca="false">M298/$R$3</f>
        <v>-114.723</v>
      </c>
      <c r="W298" s="126" t="n">
        <f aca="false">N298/$R$3</f>
        <v>-1648.791</v>
      </c>
    </row>
    <row r="299" customFormat="false" ht="12.75" hidden="true" customHeight="false" outlineLevel="0" collapsed="false">
      <c r="A299" s="120" t="n">
        <f aca="false">A298+1</f>
        <v>37185</v>
      </c>
      <c r="B299" s="131" t="str">
        <f aca="false">INDEX('Master Data'!$A$2:$B$8,MATCH(WEEKDAY('ARG Gas Transport'!A299,3),'Master Data'!$A$2:$A$8,0),2)</f>
        <v>Su</v>
      </c>
      <c r="D299" s="124"/>
      <c r="E299" s="124"/>
      <c r="F299" s="124"/>
      <c r="G299" s="124"/>
      <c r="I299" s="124" t="n">
        <f aca="false">IF(MONTH($A299)=MONTH($A298),IF(G299=0,I298,G299),G299)</f>
        <v>13</v>
      </c>
      <c r="J299" s="124" t="n">
        <f aca="false">IF(MONTH($A299)=MONTH($A298),SUM(I299-I298),I299)</f>
        <v>0</v>
      </c>
      <c r="K299" s="124" t="n">
        <f aca="false">IF(WEEKDAY(A299,3)&gt;4,0,(IF(A299&lt;K$2,0,IF(A299&lt;=K$3,1,0))))</f>
        <v>0</v>
      </c>
      <c r="L299" s="124" t="n">
        <f aca="false">J299*K299</f>
        <v>0</v>
      </c>
      <c r="M299" s="124" t="n">
        <f aca="false">SUM(J$188:J299)</f>
        <v>-114723</v>
      </c>
      <c r="N299" s="124" t="n">
        <f aca="false">SUM(J$6:J299)</f>
        <v>-1648791</v>
      </c>
      <c r="P299" s="124" t="n">
        <f aca="false">D299/P$3</f>
        <v>0</v>
      </c>
      <c r="Q299" s="124" t="n">
        <f aca="false">E299/P$3</f>
        <v>0</v>
      </c>
      <c r="R299" s="124" t="n">
        <f aca="false">F299/R$3</f>
        <v>0</v>
      </c>
      <c r="S299" s="126" t="n">
        <f aca="false">J299/$R$3</f>
        <v>0</v>
      </c>
      <c r="T299" s="126" t="n">
        <f aca="false">L299/$R$3</f>
        <v>0</v>
      </c>
      <c r="U299" s="126" t="n">
        <f aca="false">I299/$R$3</f>
        <v>0.013</v>
      </c>
      <c r="V299" s="126" t="n">
        <f aca="false">M299/$R$3</f>
        <v>-114.723</v>
      </c>
      <c r="W299" s="126" t="n">
        <f aca="false">N299/$R$3</f>
        <v>-1648.791</v>
      </c>
    </row>
    <row r="300" customFormat="false" ht="12.75" hidden="true" customHeight="false" outlineLevel="0" collapsed="false">
      <c r="A300" s="120" t="n">
        <f aca="false">A299+1</f>
        <v>37186</v>
      </c>
      <c r="B300" s="131" t="str">
        <f aca="false">INDEX('Master Data'!$A$2:$B$8,MATCH(WEEKDAY('ARG Gas Transport'!A300,3),'Master Data'!$A$2:$A$8,0),2)</f>
        <v>M</v>
      </c>
      <c r="D300" s="124"/>
      <c r="E300" s="124"/>
      <c r="F300" s="124"/>
      <c r="G300" s="124" t="n">
        <v>14</v>
      </c>
      <c r="I300" s="124" t="n">
        <f aca="false">IF(MONTH($A300)=MONTH($A299),IF(G300=0,I299,G300),G300)</f>
        <v>14</v>
      </c>
      <c r="J300" s="124" t="n">
        <f aca="false">IF(MONTH($A300)=MONTH($A299),SUM(I300-I299),I300)</f>
        <v>1</v>
      </c>
      <c r="K300" s="124" t="n">
        <f aca="false">IF(WEEKDAY(A300,3)&gt;4,0,(IF(A300&lt;K$2,0,IF(A300&lt;=K$3,1,0))))</f>
        <v>0</v>
      </c>
      <c r="L300" s="124" t="n">
        <f aca="false">J300*K300</f>
        <v>0</v>
      </c>
      <c r="M300" s="124" t="n">
        <f aca="false">SUM(J$188:J300)</f>
        <v>-114722</v>
      </c>
      <c r="N300" s="124" t="n">
        <f aca="false">SUM(J$6:J300)</f>
        <v>-1648790</v>
      </c>
      <c r="P300" s="124" t="n">
        <f aca="false">D300/P$3</f>
        <v>0</v>
      </c>
      <c r="Q300" s="124" t="n">
        <f aca="false">E300/P$3</f>
        <v>0</v>
      </c>
      <c r="R300" s="124" t="n">
        <f aca="false">F300/R$3</f>
        <v>0</v>
      </c>
      <c r="S300" s="126" t="n">
        <f aca="false">J300/$R$3</f>
        <v>0.001</v>
      </c>
      <c r="T300" s="126" t="n">
        <f aca="false">L300/$R$3</f>
        <v>0</v>
      </c>
      <c r="U300" s="126" t="n">
        <f aca="false">I300/$R$3</f>
        <v>0.014</v>
      </c>
      <c r="V300" s="126" t="n">
        <f aca="false">M300/$R$3</f>
        <v>-114.722</v>
      </c>
      <c r="W300" s="126" t="n">
        <f aca="false">N300/$R$3</f>
        <v>-1648.79</v>
      </c>
    </row>
    <row r="301" customFormat="false" ht="12.75" hidden="true" customHeight="false" outlineLevel="0" collapsed="false">
      <c r="A301" s="120" t="n">
        <f aca="false">A300+1</f>
        <v>37187</v>
      </c>
      <c r="B301" s="131" t="str">
        <f aca="false">INDEX('Master Data'!$A$2:$B$8,MATCH(WEEKDAY('ARG Gas Transport'!A301,3),'Master Data'!$A$2:$A$8,0),2)</f>
        <v>T</v>
      </c>
      <c r="D301" s="124"/>
      <c r="E301" s="124"/>
      <c r="F301" s="124"/>
      <c r="G301" s="124" t="n">
        <v>14</v>
      </c>
      <c r="I301" s="124" t="n">
        <f aca="false">IF(MONTH($A301)=MONTH($A300),IF(G301=0,I300,G301),G301)</f>
        <v>14</v>
      </c>
      <c r="J301" s="124" t="n">
        <f aca="false">IF(MONTH($A301)=MONTH($A300),SUM(I301-I300),I301)</f>
        <v>0</v>
      </c>
      <c r="K301" s="124" t="n">
        <f aca="false">IF(WEEKDAY(A301,3)&gt;4,0,(IF(A301&lt;K$2,0,IF(A301&lt;=K$3,1,0))))</f>
        <v>0</v>
      </c>
      <c r="L301" s="124" t="n">
        <f aca="false">J301*K301</f>
        <v>0</v>
      </c>
      <c r="M301" s="124" t="n">
        <f aca="false">SUM(J$188:J301)</f>
        <v>-114722</v>
      </c>
      <c r="N301" s="124" t="n">
        <f aca="false">SUM(J$6:J301)</f>
        <v>-1648790</v>
      </c>
      <c r="P301" s="124" t="n">
        <f aca="false">D301/P$3</f>
        <v>0</v>
      </c>
      <c r="Q301" s="124" t="n">
        <f aca="false">E301/P$3</f>
        <v>0</v>
      </c>
      <c r="R301" s="124" t="n">
        <f aca="false">F301/R$3</f>
        <v>0</v>
      </c>
      <c r="S301" s="126" t="n">
        <f aca="false">J301/$R$3</f>
        <v>0</v>
      </c>
      <c r="T301" s="126" t="n">
        <f aca="false">L301/$R$3</f>
        <v>0</v>
      </c>
      <c r="U301" s="126" t="n">
        <f aca="false">I301/$R$3</f>
        <v>0.014</v>
      </c>
      <c r="V301" s="126" t="n">
        <f aca="false">M301/$R$3</f>
        <v>-114.722</v>
      </c>
      <c r="W301" s="126" t="n">
        <f aca="false">N301/$R$3</f>
        <v>-1648.79</v>
      </c>
    </row>
    <row r="302" customFormat="false" ht="12.75" hidden="true" customHeight="false" outlineLevel="0" collapsed="false">
      <c r="A302" s="120" t="n">
        <f aca="false">A301+1</f>
        <v>37188</v>
      </c>
      <c r="B302" s="131" t="str">
        <f aca="false">INDEX('Master Data'!$A$2:$B$8,MATCH(WEEKDAY('ARG Gas Transport'!A302,3),'Master Data'!$A$2:$A$8,0),2)</f>
        <v>W</v>
      </c>
      <c r="D302" s="124"/>
      <c r="E302" s="124"/>
      <c r="F302" s="124"/>
      <c r="G302" s="124" t="n">
        <v>14</v>
      </c>
      <c r="I302" s="124" t="n">
        <f aca="false">IF(MONTH($A302)=MONTH($A301),IF(G302=0,I301,G302),G302)</f>
        <v>14</v>
      </c>
      <c r="J302" s="124" t="n">
        <f aca="false">IF(MONTH($A302)=MONTH($A301),SUM(I302-I301),I302)</f>
        <v>0</v>
      </c>
      <c r="K302" s="124" t="n">
        <f aca="false">IF(WEEKDAY(A302,3)&gt;4,0,(IF(A302&lt;K$2,0,IF(A302&lt;=K$3,1,0))))</f>
        <v>0</v>
      </c>
      <c r="L302" s="124" t="n">
        <f aca="false">J302*K302</f>
        <v>0</v>
      </c>
      <c r="M302" s="124" t="n">
        <f aca="false">SUM(J$188:J302)</f>
        <v>-114722</v>
      </c>
      <c r="N302" s="124" t="n">
        <f aca="false">SUM(J$6:J302)</f>
        <v>-1648790</v>
      </c>
      <c r="P302" s="124" t="n">
        <f aca="false">D302/P$3</f>
        <v>0</v>
      </c>
      <c r="Q302" s="124" t="n">
        <f aca="false">E302/P$3</f>
        <v>0</v>
      </c>
      <c r="R302" s="124" t="n">
        <f aca="false">F302/R$3</f>
        <v>0</v>
      </c>
      <c r="S302" s="126" t="n">
        <f aca="false">J302/$R$3</f>
        <v>0</v>
      </c>
      <c r="T302" s="126" t="n">
        <f aca="false">L302/$R$3</f>
        <v>0</v>
      </c>
      <c r="U302" s="126" t="n">
        <f aca="false">I302/$R$3</f>
        <v>0.014</v>
      </c>
      <c r="V302" s="126" t="n">
        <f aca="false">M302/$R$3</f>
        <v>-114.722</v>
      </c>
      <c r="W302" s="126" t="n">
        <f aca="false">N302/$R$3</f>
        <v>-1648.79</v>
      </c>
    </row>
    <row r="303" customFormat="false" ht="12.75" hidden="true" customHeight="false" outlineLevel="0" collapsed="false">
      <c r="A303" s="120" t="n">
        <f aca="false">A302+1</f>
        <v>37189</v>
      </c>
      <c r="B303" s="131" t="str">
        <f aca="false">INDEX('Master Data'!$A$2:$B$8,MATCH(WEEKDAY('ARG Gas Transport'!A303,3),'Master Data'!$A$2:$A$8,0),2)</f>
        <v>Th</v>
      </c>
      <c r="D303" s="124"/>
      <c r="E303" s="124"/>
      <c r="F303" s="124"/>
      <c r="G303" s="124" t="n">
        <v>15</v>
      </c>
      <c r="I303" s="124" t="n">
        <f aca="false">IF(MONTH($A303)=MONTH($A302),IF(G303=0,I302,G303),G303)</f>
        <v>15</v>
      </c>
      <c r="J303" s="124" t="n">
        <f aca="false">IF(MONTH($A303)=MONTH($A302),SUM(I303-I302),I303)</f>
        <v>1</v>
      </c>
      <c r="K303" s="124" t="n">
        <f aca="false">IF(WEEKDAY(A303,3)&gt;4,0,(IF(A303&lt;K$2,0,IF(A303&lt;=K$3,1,0))))</f>
        <v>0</v>
      </c>
      <c r="L303" s="124" t="n">
        <f aca="false">J303*K303</f>
        <v>0</v>
      </c>
      <c r="M303" s="124" t="n">
        <f aca="false">SUM(J$188:J303)</f>
        <v>-114721</v>
      </c>
      <c r="N303" s="124" t="n">
        <f aca="false">SUM(J$6:J303)</f>
        <v>-1648789</v>
      </c>
      <c r="P303" s="124" t="n">
        <f aca="false">D303/P$3</f>
        <v>0</v>
      </c>
      <c r="Q303" s="124" t="n">
        <f aca="false">E303/P$3</f>
        <v>0</v>
      </c>
      <c r="R303" s="124" t="n">
        <f aca="false">F303/R$3</f>
        <v>0</v>
      </c>
      <c r="S303" s="126" t="n">
        <f aca="false">J303/$R$3</f>
        <v>0.001</v>
      </c>
      <c r="T303" s="126" t="n">
        <f aca="false">L303/$R$3</f>
        <v>0</v>
      </c>
      <c r="U303" s="126" t="n">
        <f aca="false">I303/$R$3</f>
        <v>0.015</v>
      </c>
      <c r="V303" s="126" t="n">
        <f aca="false">M303/$R$3</f>
        <v>-114.721</v>
      </c>
      <c r="W303" s="126" t="n">
        <f aca="false">N303/$R$3</f>
        <v>-1648.789</v>
      </c>
    </row>
    <row r="304" customFormat="false" ht="12.75" hidden="false" customHeight="false" outlineLevel="0" collapsed="false">
      <c r="A304" s="120" t="n">
        <f aca="false">A303+1</f>
        <v>37190</v>
      </c>
      <c r="B304" s="131" t="str">
        <f aca="false">INDEX('Master Data'!$A$2:$B$8,MATCH(WEEKDAY('ARG Gas Transport'!A304,3),'Master Data'!$A$2:$A$8,0),2)</f>
        <v>F</v>
      </c>
      <c r="D304" s="124"/>
      <c r="E304" s="124"/>
      <c r="F304" s="124"/>
      <c r="G304" s="124" t="n">
        <v>15</v>
      </c>
      <c r="I304" s="124" t="n">
        <f aca="false">IF(MONTH($A304)=MONTH($A303),IF(G304=0,I303,G304),G304)</f>
        <v>15</v>
      </c>
      <c r="J304" s="124" t="n">
        <f aca="false">IF(MONTH($A304)=MONTH($A303),SUM(I304-I303),I304)</f>
        <v>0</v>
      </c>
      <c r="K304" s="124" t="n">
        <f aca="false">IF(WEEKDAY(A304,3)&gt;4,0,(IF(A304&lt;K$2,0,IF(A304&lt;=K$3,1,0))))</f>
        <v>1</v>
      </c>
      <c r="L304" s="124" t="n">
        <f aca="false">J304*K304</f>
        <v>0</v>
      </c>
      <c r="M304" s="124" t="n">
        <f aca="false">SUM(J$188:J304)</f>
        <v>-114721</v>
      </c>
      <c r="N304" s="124" t="n">
        <f aca="false">SUM(J$6:J304)</f>
        <v>-1648789</v>
      </c>
      <c r="P304" s="124" t="n">
        <f aca="false">D304/P$3</f>
        <v>0</v>
      </c>
      <c r="Q304" s="124" t="n">
        <f aca="false">E304/P$3</f>
        <v>0</v>
      </c>
      <c r="R304" s="124" t="n">
        <f aca="false">F304/R$3</f>
        <v>0</v>
      </c>
      <c r="S304" s="126" t="n">
        <f aca="false">J304/$R$3</f>
        <v>0</v>
      </c>
      <c r="T304" s="126" t="n">
        <f aca="false">L304/$R$3</f>
        <v>0</v>
      </c>
      <c r="U304" s="126" t="n">
        <f aca="false">I304/$R$3</f>
        <v>0.015</v>
      </c>
      <c r="V304" s="126" t="n">
        <f aca="false">M304/$R$3</f>
        <v>-114.721</v>
      </c>
      <c r="W304" s="126" t="n">
        <f aca="false">N304/$R$3</f>
        <v>-1648.789</v>
      </c>
    </row>
    <row r="305" customFormat="false" ht="12.75" hidden="false" customHeight="false" outlineLevel="0" collapsed="false">
      <c r="A305" s="120" t="n">
        <f aca="false">A304+1</f>
        <v>37191</v>
      </c>
      <c r="B305" s="131" t="str">
        <f aca="false">INDEX('Master Data'!$A$2:$B$8,MATCH(WEEKDAY('ARG Gas Transport'!A305,3),'Master Data'!$A$2:$A$8,0),2)</f>
        <v>Sa</v>
      </c>
      <c r="D305" s="124"/>
      <c r="E305" s="124"/>
      <c r="F305" s="124"/>
      <c r="G305" s="124"/>
      <c r="I305" s="124" t="n">
        <f aca="false">IF(MONTH($A305)=MONTH($A304),IF(G305=0,I304,G305),G305)</f>
        <v>15</v>
      </c>
      <c r="J305" s="124" t="n">
        <f aca="false">IF(MONTH($A305)=MONTH($A304),SUM(I305-I304),I305)</f>
        <v>0</v>
      </c>
      <c r="K305" s="124" t="n">
        <f aca="false">IF(WEEKDAY(A305,3)&gt;4,0,(IF(A305&lt;K$2,0,IF(A305&lt;=K$3,1,0))))</f>
        <v>0</v>
      </c>
      <c r="L305" s="124" t="n">
        <f aca="false">J305*K305</f>
        <v>0</v>
      </c>
      <c r="M305" s="124" t="n">
        <f aca="false">SUM(J$188:J305)</f>
        <v>-114721</v>
      </c>
      <c r="N305" s="124" t="n">
        <f aca="false">SUM(J$6:J305)</f>
        <v>-1648789</v>
      </c>
      <c r="P305" s="124" t="n">
        <f aca="false">D305/P$3</f>
        <v>0</v>
      </c>
      <c r="Q305" s="124" t="n">
        <f aca="false">E305/P$3</f>
        <v>0</v>
      </c>
      <c r="R305" s="124" t="n">
        <f aca="false">F305/R$3</f>
        <v>0</v>
      </c>
      <c r="S305" s="126" t="n">
        <f aca="false">J305/$R$3</f>
        <v>0</v>
      </c>
      <c r="T305" s="126" t="n">
        <f aca="false">L305/$R$3</f>
        <v>0</v>
      </c>
      <c r="U305" s="126" t="n">
        <f aca="false">I305/$R$3</f>
        <v>0.015</v>
      </c>
      <c r="V305" s="126" t="n">
        <f aca="false">M305/$R$3</f>
        <v>-114.721</v>
      </c>
      <c r="W305" s="126" t="n">
        <f aca="false">N305/$R$3</f>
        <v>-1648.789</v>
      </c>
    </row>
    <row r="306" customFormat="false" ht="12.75" hidden="false" customHeight="false" outlineLevel="0" collapsed="false">
      <c r="A306" s="120" t="n">
        <f aca="false">A305+1</f>
        <v>37192</v>
      </c>
      <c r="B306" s="131" t="str">
        <f aca="false">INDEX('Master Data'!$A$2:$B$8,MATCH(WEEKDAY('ARG Gas Transport'!A306,3),'Master Data'!$A$2:$A$8,0),2)</f>
        <v>Su</v>
      </c>
      <c r="D306" s="124"/>
      <c r="E306" s="124"/>
      <c r="F306" s="124"/>
      <c r="G306" s="124"/>
      <c r="I306" s="124" t="n">
        <f aca="false">IF(MONTH($A306)=MONTH($A305),IF(G306=0,I305,G306),G306)</f>
        <v>15</v>
      </c>
      <c r="J306" s="124" t="n">
        <f aca="false">IF(MONTH($A306)=MONTH($A305),SUM(I306-I305),I306)</f>
        <v>0</v>
      </c>
      <c r="K306" s="124" t="n">
        <f aca="false">IF(WEEKDAY(A306,3)&gt;4,0,(IF(A306&lt;K$2,0,IF(A306&lt;=K$3,1,0))))</f>
        <v>0</v>
      </c>
      <c r="L306" s="124" t="n">
        <f aca="false">J306*K306</f>
        <v>0</v>
      </c>
      <c r="M306" s="124" t="n">
        <f aca="false">SUM(J$188:J306)</f>
        <v>-114721</v>
      </c>
      <c r="N306" s="124" t="n">
        <f aca="false">SUM(J$6:J306)</f>
        <v>-1648789</v>
      </c>
      <c r="P306" s="124" t="n">
        <f aca="false">D306/P$3</f>
        <v>0</v>
      </c>
      <c r="Q306" s="124" t="n">
        <f aca="false">E306/P$3</f>
        <v>0</v>
      </c>
      <c r="R306" s="124" t="n">
        <f aca="false">F306/R$3</f>
        <v>0</v>
      </c>
      <c r="S306" s="126" t="n">
        <f aca="false">J306/$R$3</f>
        <v>0</v>
      </c>
      <c r="T306" s="126" t="n">
        <f aca="false">L306/$R$3</f>
        <v>0</v>
      </c>
      <c r="U306" s="126" t="n">
        <f aca="false">I306/$R$3</f>
        <v>0.015</v>
      </c>
      <c r="V306" s="126" t="n">
        <f aca="false">M306/$R$3</f>
        <v>-114.721</v>
      </c>
      <c r="W306" s="126" t="n">
        <f aca="false">N306/$R$3</f>
        <v>-1648.789</v>
      </c>
    </row>
    <row r="307" customFormat="false" ht="12.75" hidden="false" customHeight="false" outlineLevel="0" collapsed="false">
      <c r="A307" s="120" t="n">
        <f aca="false">A306+1</f>
        <v>37193</v>
      </c>
      <c r="B307" s="131" t="str">
        <f aca="false">INDEX('Master Data'!$A$2:$B$8,MATCH(WEEKDAY('ARG Gas Transport'!A307,3),'Master Data'!$A$2:$A$8,0),2)</f>
        <v>M</v>
      </c>
      <c r="D307" s="124"/>
      <c r="E307" s="124"/>
      <c r="F307" s="124"/>
      <c r="G307" s="124" t="n">
        <v>16</v>
      </c>
      <c r="I307" s="124" t="n">
        <f aca="false">IF(MONTH($A307)=MONTH($A306),IF(G307=0,I306,G307),G307)</f>
        <v>16</v>
      </c>
      <c r="J307" s="124" t="n">
        <f aca="false">IF(MONTH($A307)=MONTH($A306),SUM(I307-I306),I307)</f>
        <v>1</v>
      </c>
      <c r="K307" s="124" t="n">
        <f aca="false">IF(WEEKDAY(A307,3)&gt;4,0,(IF(A307&lt;K$2,0,IF(A307&lt;=K$3,1,0))))</f>
        <v>1</v>
      </c>
      <c r="L307" s="124" t="n">
        <f aca="false">J307*K307</f>
        <v>1</v>
      </c>
      <c r="M307" s="124" t="n">
        <f aca="false">SUM(J$188:J307)</f>
        <v>-114720</v>
      </c>
      <c r="N307" s="124" t="n">
        <f aca="false">SUM(J$6:J307)</f>
        <v>-1648788</v>
      </c>
      <c r="P307" s="124" t="n">
        <f aca="false">D307/P$3</f>
        <v>0</v>
      </c>
      <c r="Q307" s="124" t="n">
        <f aca="false">E307/P$3</f>
        <v>0</v>
      </c>
      <c r="R307" s="124" t="n">
        <f aca="false">F307/R$3</f>
        <v>0</v>
      </c>
      <c r="S307" s="126" t="n">
        <f aca="false">J307/$R$3</f>
        <v>0.001</v>
      </c>
      <c r="T307" s="126" t="n">
        <f aca="false">L307/$R$3</f>
        <v>0.001</v>
      </c>
      <c r="U307" s="126" t="n">
        <f aca="false">I307/$R$3</f>
        <v>0.016</v>
      </c>
      <c r="V307" s="126" t="n">
        <f aca="false">M307/$R$3</f>
        <v>-114.72</v>
      </c>
      <c r="W307" s="126" t="n">
        <f aca="false">N307/$R$3</f>
        <v>-1648.788</v>
      </c>
    </row>
    <row r="308" customFormat="false" ht="12.75" hidden="false" customHeight="false" outlineLevel="0" collapsed="false">
      <c r="A308" s="120" t="n">
        <f aca="false">A307+1</f>
        <v>37194</v>
      </c>
      <c r="B308" s="131" t="str">
        <f aca="false">INDEX('Master Data'!$A$2:$B$8,MATCH(WEEKDAY('ARG Gas Transport'!A308,3),'Master Data'!$A$2:$A$8,0),2)</f>
        <v>T</v>
      </c>
      <c r="D308" s="124"/>
      <c r="E308" s="124"/>
      <c r="F308" s="124"/>
      <c r="G308" s="124" t="n">
        <v>16</v>
      </c>
      <c r="I308" s="124" t="n">
        <f aca="false">IF(MONTH($A308)=MONTH($A307),IF(G308=0,I307,G308),G308)</f>
        <v>16</v>
      </c>
      <c r="J308" s="124" t="n">
        <f aca="false">IF(MONTH($A308)=MONTH($A307),SUM(I308-I307),I308)</f>
        <v>0</v>
      </c>
      <c r="K308" s="124" t="n">
        <f aca="false">IF(WEEKDAY(A308,3)&gt;4,0,(IF(A308&lt;K$2,0,IF(A308&lt;=K$3,1,0))))</f>
        <v>1</v>
      </c>
      <c r="L308" s="124" t="n">
        <f aca="false">J308*K308</f>
        <v>0</v>
      </c>
      <c r="M308" s="124" t="n">
        <f aca="false">SUM(J$188:J308)</f>
        <v>-114720</v>
      </c>
      <c r="N308" s="124" t="n">
        <f aca="false">SUM(J$6:J308)</f>
        <v>-1648788</v>
      </c>
      <c r="P308" s="124" t="n">
        <f aca="false">D308/P$3</f>
        <v>0</v>
      </c>
      <c r="Q308" s="124" t="n">
        <f aca="false">E308/P$3</f>
        <v>0</v>
      </c>
      <c r="R308" s="124" t="n">
        <f aca="false">F308/R$3</f>
        <v>0</v>
      </c>
      <c r="S308" s="126" t="n">
        <f aca="false">J308/$R$3</f>
        <v>0</v>
      </c>
      <c r="T308" s="126" t="n">
        <f aca="false">L308/$R$3</f>
        <v>0</v>
      </c>
      <c r="U308" s="126" t="n">
        <f aca="false">I308/$R$3</f>
        <v>0.016</v>
      </c>
      <c r="V308" s="126" t="n">
        <f aca="false">M308/$R$3</f>
        <v>-114.72</v>
      </c>
      <c r="W308" s="126" t="n">
        <f aca="false">N308/$R$3</f>
        <v>-1648.788</v>
      </c>
    </row>
    <row r="309" customFormat="false" ht="12.75" hidden="false" customHeight="false" outlineLevel="0" collapsed="false">
      <c r="A309" s="120" t="n">
        <f aca="false">A308+1</f>
        <v>37195</v>
      </c>
      <c r="B309" s="131" t="str">
        <f aca="false">INDEX('Master Data'!$A$2:$B$8,MATCH(WEEKDAY('ARG Gas Transport'!A309,3),'Master Data'!$A$2:$A$8,0),2)</f>
        <v>W</v>
      </c>
      <c r="D309" s="124"/>
      <c r="E309" s="124"/>
      <c r="F309" s="124"/>
      <c r="G309" s="124" t="n">
        <v>17</v>
      </c>
      <c r="I309" s="124" t="n">
        <f aca="false">IF(MONTH($A309)=MONTH($A308),IF(G309=0,I308,G309),G309)</f>
        <v>17</v>
      </c>
      <c r="J309" s="124" t="n">
        <f aca="false">IF(MONTH($A309)=MONTH($A308),SUM(I309-I308),I309)</f>
        <v>1</v>
      </c>
      <c r="K309" s="124" t="n">
        <f aca="false">IF(WEEKDAY(A309,3)&gt;4,0,(IF(A309&lt;K$2,0,IF(A309&lt;=K$3,1,0))))</f>
        <v>1</v>
      </c>
      <c r="L309" s="124" t="n">
        <f aca="false">J309*K309</f>
        <v>1</v>
      </c>
      <c r="M309" s="124" t="n">
        <f aca="false">SUM(J$188:J309)</f>
        <v>-114719</v>
      </c>
      <c r="N309" s="124" t="n">
        <f aca="false">SUM(J$6:J309)</f>
        <v>-1648787</v>
      </c>
      <c r="P309" s="124" t="n">
        <f aca="false">D309/P$3</f>
        <v>0</v>
      </c>
      <c r="Q309" s="124" t="n">
        <f aca="false">E309/P$3</f>
        <v>0</v>
      </c>
      <c r="R309" s="124" t="n">
        <f aca="false">F309/R$3</f>
        <v>0</v>
      </c>
      <c r="S309" s="126" t="n">
        <f aca="false">J309/$R$3</f>
        <v>0.001</v>
      </c>
      <c r="T309" s="126" t="n">
        <f aca="false">L309/$R$3</f>
        <v>0.001</v>
      </c>
      <c r="U309" s="126" t="n">
        <f aca="false">I309/$R$3</f>
        <v>0.017</v>
      </c>
      <c r="V309" s="126" t="n">
        <f aca="false">M309/$R$3</f>
        <v>-114.719</v>
      </c>
      <c r="W309" s="126" t="n">
        <f aca="false">N309/$R$3</f>
        <v>-1648.787</v>
      </c>
    </row>
    <row r="310" customFormat="false" ht="12.75" hidden="false" customHeight="false" outlineLevel="0" collapsed="false">
      <c r="A310" s="120" t="n">
        <f aca="false">A309+1</f>
        <v>37196</v>
      </c>
      <c r="B310" s="131" t="str">
        <f aca="false">INDEX('Master Data'!$A$2:$B$8,MATCH(WEEKDAY('ARG Gas Transport'!A310,3),'Master Data'!$A$2:$A$8,0),2)</f>
        <v>Th</v>
      </c>
      <c r="D310" s="124"/>
      <c r="E310" s="124"/>
      <c r="F310" s="124"/>
      <c r="G310" s="124" t="n">
        <v>1</v>
      </c>
      <c r="I310" s="124" t="n">
        <f aca="false">IF(MONTH($A310)=MONTH($A309),IF(G310=0,I309,G310),G310)</f>
        <v>1</v>
      </c>
      <c r="J310" s="124" t="n">
        <f aca="false">IF(MONTH($A310)=MONTH($A309),SUM(I310-I309),I310)</f>
        <v>1</v>
      </c>
      <c r="K310" s="124" t="n">
        <f aca="false">IF(WEEKDAY(A310,3)&gt;4,0,(IF(A310&lt;K$2,0,IF(A310&lt;=K$3,1,0))))</f>
        <v>1</v>
      </c>
      <c r="L310" s="124" t="n">
        <f aca="false">J310*K310</f>
        <v>1</v>
      </c>
      <c r="M310" s="124" t="n">
        <f aca="false">SUM(J$188:J310)</f>
        <v>-114718</v>
      </c>
      <c r="N310" s="124" t="n">
        <f aca="false">SUM(J$6:J310)</f>
        <v>-1648786</v>
      </c>
      <c r="P310" s="124" t="n">
        <f aca="false">D310/P$3</f>
        <v>0</v>
      </c>
      <c r="Q310" s="124" t="n">
        <f aca="false">E310/P$3</f>
        <v>0</v>
      </c>
      <c r="R310" s="124" t="n">
        <f aca="false">F310/R$3</f>
        <v>0</v>
      </c>
      <c r="S310" s="126" t="n">
        <f aca="false">J310/$R$3</f>
        <v>0.001</v>
      </c>
      <c r="T310" s="126" t="n">
        <f aca="false">L310/$R$3</f>
        <v>0.001</v>
      </c>
      <c r="U310" s="126" t="n">
        <f aca="false">I310/$R$3</f>
        <v>0.001</v>
      </c>
      <c r="V310" s="126" t="n">
        <f aca="false">M310/$R$3</f>
        <v>-114.718</v>
      </c>
      <c r="W310" s="126" t="n">
        <f aca="false">N310/$R$3</f>
        <v>-1648.786</v>
      </c>
    </row>
    <row r="311" customFormat="false" ht="12.75" hidden="false" customHeight="false" outlineLevel="0" collapsed="false">
      <c r="A311" s="120" t="n">
        <f aca="false">A310+1</f>
        <v>37197</v>
      </c>
      <c r="B311" s="131" t="str">
        <f aca="false">INDEX('Master Data'!$A$2:$B$8,MATCH(WEEKDAY('ARG Gas Transport'!A311,3),'Master Data'!$A$2:$A$8,0),2)</f>
        <v>F</v>
      </c>
      <c r="D311" s="124"/>
      <c r="E311" s="124"/>
      <c r="F311" s="124"/>
      <c r="G311" s="124"/>
      <c r="I311" s="124" t="n">
        <f aca="false">IF(MONTH($A311)=MONTH($A310),IF(G311=0,I310,G311),G311)</f>
        <v>1</v>
      </c>
      <c r="J311" s="124" t="n">
        <f aca="false">IF(MONTH($A311)=MONTH($A310),SUM(I311-I310),I311)</f>
        <v>0</v>
      </c>
      <c r="K311" s="124" t="n">
        <f aca="false">IF(WEEKDAY(A311,3)&gt;4,0,(IF(A311&lt;K$2,0,IF(A311&lt;=K$3,1,0))))</f>
        <v>0</v>
      </c>
      <c r="L311" s="124" t="n">
        <f aca="false">J311*K311</f>
        <v>0</v>
      </c>
      <c r="M311" s="124" t="n">
        <f aca="false">SUM(J$188:J311)</f>
        <v>-114718</v>
      </c>
      <c r="N311" s="124" t="n">
        <f aca="false">SUM(J$6:J311)</f>
        <v>-1648786</v>
      </c>
      <c r="P311" s="124" t="n">
        <f aca="false">D311/P$3</f>
        <v>0</v>
      </c>
      <c r="Q311" s="124" t="n">
        <f aca="false">E311/P$3</f>
        <v>0</v>
      </c>
      <c r="R311" s="124" t="n">
        <f aca="false">F311/R$3</f>
        <v>0</v>
      </c>
      <c r="S311" s="126" t="n">
        <f aca="false">J311/$R$3</f>
        <v>0</v>
      </c>
      <c r="T311" s="126" t="n">
        <f aca="false">L311/$R$3</f>
        <v>0</v>
      </c>
      <c r="U311" s="126" t="n">
        <f aca="false">I311/$R$3</f>
        <v>0.001</v>
      </c>
      <c r="V311" s="126" t="n">
        <f aca="false">M311/$R$3</f>
        <v>-114.718</v>
      </c>
      <c r="W311" s="126" t="n">
        <f aca="false">N311/$R$3</f>
        <v>-1648.786</v>
      </c>
    </row>
    <row r="312" customFormat="false" ht="12.75" hidden="false" customHeight="false" outlineLevel="0" collapsed="false">
      <c r="A312" s="120" t="n">
        <f aca="false">A311+1</f>
        <v>37198</v>
      </c>
      <c r="B312" s="131" t="str">
        <f aca="false">INDEX('Master Data'!$A$2:$B$8,MATCH(WEEKDAY('ARG Gas Transport'!A312,3),'Master Data'!$A$2:$A$8,0),2)</f>
        <v>Sa</v>
      </c>
      <c r="D312" s="124"/>
      <c r="E312" s="124"/>
      <c r="F312" s="124"/>
      <c r="G312" s="124"/>
      <c r="I312" s="124" t="n">
        <f aca="false">IF(MONTH($A312)=MONTH($A311),IF(G312=0,I311,G312),G312)</f>
        <v>1</v>
      </c>
      <c r="J312" s="124" t="n">
        <f aca="false">IF(MONTH($A312)=MONTH($A311),SUM(I312-I311),I312)</f>
        <v>0</v>
      </c>
      <c r="K312" s="124" t="n">
        <f aca="false">IF(WEEKDAY(A312,3)&gt;4,0,(IF(A312&lt;K$2,0,IF(A312&lt;=K$3,1,0))))</f>
        <v>0</v>
      </c>
      <c r="L312" s="124" t="n">
        <f aca="false">J312*K312</f>
        <v>0</v>
      </c>
      <c r="M312" s="124" t="n">
        <f aca="false">SUM(J$188:J312)</f>
        <v>-114718</v>
      </c>
      <c r="N312" s="124" t="n">
        <f aca="false">SUM(J$6:J312)</f>
        <v>-1648786</v>
      </c>
      <c r="P312" s="124" t="n">
        <f aca="false">D312/P$3</f>
        <v>0</v>
      </c>
      <c r="Q312" s="124" t="n">
        <f aca="false">E312/P$3</f>
        <v>0</v>
      </c>
      <c r="R312" s="124" t="n">
        <f aca="false">F312/R$3</f>
        <v>0</v>
      </c>
      <c r="S312" s="126" t="n">
        <f aca="false">J312/$R$3</f>
        <v>0</v>
      </c>
      <c r="T312" s="126" t="n">
        <f aca="false">L312/$R$3</f>
        <v>0</v>
      </c>
      <c r="U312" s="126" t="n">
        <f aca="false">I312/$R$3</f>
        <v>0.001</v>
      </c>
      <c r="V312" s="126" t="n">
        <f aca="false">M312/$R$3</f>
        <v>-114.718</v>
      </c>
      <c r="W312" s="126" t="n">
        <f aca="false">N312/$R$3</f>
        <v>-1648.786</v>
      </c>
    </row>
    <row r="313" customFormat="false" ht="12.75" hidden="false" customHeight="false" outlineLevel="0" collapsed="false">
      <c r="A313" s="120" t="n">
        <f aca="false">A312+1</f>
        <v>37199</v>
      </c>
      <c r="B313" s="131" t="str">
        <f aca="false">INDEX('Master Data'!$A$2:$B$8,MATCH(WEEKDAY('ARG Gas Transport'!A313,3),'Master Data'!$A$2:$A$8,0),2)</f>
        <v>Su</v>
      </c>
      <c r="D313" s="124"/>
      <c r="E313" s="124"/>
      <c r="F313" s="124"/>
      <c r="G313" s="124"/>
      <c r="I313" s="124" t="n">
        <f aca="false">IF(MONTH($A313)=MONTH($A312),IF(G313=0,I312,G313),G313)</f>
        <v>1</v>
      </c>
      <c r="J313" s="124" t="n">
        <f aca="false">IF(MONTH($A313)=MONTH($A312),SUM(I313-I312),I313)</f>
        <v>0</v>
      </c>
      <c r="K313" s="124" t="n">
        <f aca="false">IF(WEEKDAY(A313,3)&gt;4,0,(IF(A313&lt;K$2,0,IF(A313&lt;=K$3,1,0))))</f>
        <v>0</v>
      </c>
      <c r="L313" s="124" t="n">
        <f aca="false">J313*K313</f>
        <v>0</v>
      </c>
      <c r="M313" s="124" t="n">
        <f aca="false">SUM(J$188:J313)</f>
        <v>-114718</v>
      </c>
      <c r="N313" s="124" t="n">
        <f aca="false">SUM(J$6:J313)</f>
        <v>-1648786</v>
      </c>
      <c r="P313" s="124" t="n">
        <f aca="false">D313/P$3</f>
        <v>0</v>
      </c>
      <c r="Q313" s="124" t="n">
        <f aca="false">E313/P$3</f>
        <v>0</v>
      </c>
      <c r="R313" s="124" t="n">
        <f aca="false">F313/R$3</f>
        <v>0</v>
      </c>
      <c r="S313" s="126" t="n">
        <f aca="false">J313/$R$3</f>
        <v>0</v>
      </c>
      <c r="T313" s="126" t="n">
        <f aca="false">L313/$R$3</f>
        <v>0</v>
      </c>
      <c r="U313" s="126" t="n">
        <f aca="false">I313/$R$3</f>
        <v>0.001</v>
      </c>
      <c r="V313" s="126" t="n">
        <f aca="false">M313/$R$3</f>
        <v>-114.718</v>
      </c>
      <c r="W313" s="126" t="n">
        <f aca="false">N313/$R$3</f>
        <v>-1648.786</v>
      </c>
    </row>
    <row r="314" customFormat="false" ht="12.75" hidden="false" customHeight="false" outlineLevel="0" collapsed="false">
      <c r="A314" s="120" t="n">
        <f aca="false">A313+1</f>
        <v>37200</v>
      </c>
      <c r="B314" s="131" t="str">
        <f aca="false">INDEX('Master Data'!$A$2:$B$8,MATCH(WEEKDAY('ARG Gas Transport'!A314,3),'Master Data'!$A$2:$A$8,0),2)</f>
        <v>M</v>
      </c>
      <c r="D314" s="124"/>
      <c r="E314" s="124"/>
      <c r="F314" s="124"/>
      <c r="G314" s="124"/>
      <c r="I314" s="124" t="n">
        <f aca="false">IF(MONTH($A314)=MONTH($A313),IF(G314=0,I313,G314),G314)</f>
        <v>1</v>
      </c>
      <c r="J314" s="124" t="n">
        <f aca="false">IF(MONTH($A314)=MONTH($A313),SUM(I314-I313),I314)</f>
        <v>0</v>
      </c>
      <c r="K314" s="124" t="n">
        <f aca="false">IF(WEEKDAY(A314,3)&gt;4,0,(IF(A314&lt;K$2,0,IF(A314&lt;=K$3,1,0))))</f>
        <v>0</v>
      </c>
      <c r="L314" s="124" t="n">
        <f aca="false">J314*K314</f>
        <v>0</v>
      </c>
      <c r="M314" s="124" t="n">
        <f aca="false">SUM(J$188:J314)</f>
        <v>-114718</v>
      </c>
      <c r="N314" s="124" t="n">
        <f aca="false">SUM(J$6:J314)</f>
        <v>-1648786</v>
      </c>
      <c r="P314" s="124" t="n">
        <f aca="false">D314/P$3</f>
        <v>0</v>
      </c>
      <c r="Q314" s="124" t="n">
        <f aca="false">E314/P$3</f>
        <v>0</v>
      </c>
      <c r="R314" s="124" t="n">
        <f aca="false">F314/R$3</f>
        <v>0</v>
      </c>
      <c r="S314" s="126" t="n">
        <f aca="false">J314/$R$3</f>
        <v>0</v>
      </c>
      <c r="T314" s="126" t="n">
        <f aca="false">L314/$R$3</f>
        <v>0</v>
      </c>
      <c r="U314" s="126" t="n">
        <f aca="false">I314/$R$3</f>
        <v>0.001</v>
      </c>
      <c r="V314" s="126" t="n">
        <f aca="false">M314/$R$3</f>
        <v>-114.718</v>
      </c>
      <c r="W314" s="126" t="n">
        <f aca="false">N314/$R$3</f>
        <v>-1648.786</v>
      </c>
    </row>
    <row r="315" customFormat="false" ht="12.75" hidden="false" customHeight="false" outlineLevel="0" collapsed="false">
      <c r="A315" s="120" t="n">
        <f aca="false">A314+1</f>
        <v>37201</v>
      </c>
      <c r="B315" s="131" t="str">
        <f aca="false">INDEX('Master Data'!$A$2:$B$8,MATCH(WEEKDAY('ARG Gas Transport'!A315,3),'Master Data'!$A$2:$A$8,0),2)</f>
        <v>T</v>
      </c>
      <c r="D315" s="124"/>
      <c r="E315" s="124"/>
      <c r="F315" s="124"/>
      <c r="G315" s="124"/>
      <c r="I315" s="124" t="n">
        <f aca="false">IF(MONTH($A315)=MONTH($A314),IF(G315=0,I314,G315),G315)</f>
        <v>1</v>
      </c>
      <c r="J315" s="124" t="n">
        <f aca="false">IF(MONTH($A315)=MONTH($A314),SUM(I315-I314),I315)</f>
        <v>0</v>
      </c>
      <c r="K315" s="124" t="n">
        <f aca="false">IF(WEEKDAY(A315,3)&gt;4,0,(IF(A315&lt;K$2,0,IF(A315&lt;=K$3,1,0))))</f>
        <v>0</v>
      </c>
      <c r="L315" s="124" t="n">
        <f aca="false">J315*K315</f>
        <v>0</v>
      </c>
      <c r="M315" s="124" t="n">
        <f aca="false">SUM(J$188:J315)</f>
        <v>-114718</v>
      </c>
      <c r="N315" s="124" t="n">
        <f aca="false">SUM(J$6:J315)</f>
        <v>-1648786</v>
      </c>
      <c r="P315" s="124" t="n">
        <f aca="false">D315/P$3</f>
        <v>0</v>
      </c>
      <c r="Q315" s="124" t="n">
        <f aca="false">E315/P$3</f>
        <v>0</v>
      </c>
      <c r="R315" s="124" t="n">
        <f aca="false">F315/R$3</f>
        <v>0</v>
      </c>
      <c r="S315" s="126" t="n">
        <f aca="false">J315/$R$3</f>
        <v>0</v>
      </c>
      <c r="T315" s="126" t="n">
        <f aca="false">L315/$R$3</f>
        <v>0</v>
      </c>
      <c r="U315" s="126" t="n">
        <f aca="false">I315/$R$3</f>
        <v>0.001</v>
      </c>
      <c r="V315" s="126" t="n">
        <f aca="false">M315/$R$3</f>
        <v>-114.718</v>
      </c>
      <c r="W315" s="126" t="n">
        <f aca="false">N315/$R$3</f>
        <v>-1648.786</v>
      </c>
    </row>
    <row r="316" customFormat="false" ht="12.75" hidden="false" customHeight="false" outlineLevel="0" collapsed="false">
      <c r="A316" s="120" t="n">
        <f aca="false">A315+1</f>
        <v>37202</v>
      </c>
      <c r="B316" s="131" t="str">
        <f aca="false">INDEX('Master Data'!$A$2:$B$8,MATCH(WEEKDAY('ARG Gas Transport'!A316,3),'Master Data'!$A$2:$A$8,0),2)</f>
        <v>W</v>
      </c>
      <c r="D316" s="124"/>
      <c r="E316" s="124"/>
      <c r="F316" s="124"/>
      <c r="G316" s="124"/>
      <c r="I316" s="124" t="n">
        <f aca="false">IF(MONTH($A316)=MONTH($A315),IF(G316=0,I315,G316),G316)</f>
        <v>1</v>
      </c>
      <c r="J316" s="124" t="n">
        <f aca="false">IF(MONTH($A316)=MONTH($A315),SUM(I316-I315),I316)</f>
        <v>0</v>
      </c>
      <c r="K316" s="124" t="n">
        <f aca="false">IF(WEEKDAY(A316,3)&gt;4,0,(IF(A316&lt;K$2,0,IF(A316&lt;=K$3,1,0))))</f>
        <v>0</v>
      </c>
      <c r="L316" s="124" t="n">
        <f aca="false">J316*K316</f>
        <v>0</v>
      </c>
      <c r="M316" s="124" t="n">
        <f aca="false">SUM(J$188:J316)</f>
        <v>-114718</v>
      </c>
      <c r="N316" s="124" t="n">
        <f aca="false">SUM(J$6:J316)</f>
        <v>-1648786</v>
      </c>
      <c r="P316" s="124" t="n">
        <f aca="false">D316/P$3</f>
        <v>0</v>
      </c>
      <c r="Q316" s="124" t="n">
        <f aca="false">E316/P$3</f>
        <v>0</v>
      </c>
      <c r="R316" s="124" t="n">
        <f aca="false">F316/R$3</f>
        <v>0</v>
      </c>
      <c r="S316" s="126" t="n">
        <f aca="false">J316/$R$3</f>
        <v>0</v>
      </c>
      <c r="T316" s="126" t="n">
        <f aca="false">L316/$R$3</f>
        <v>0</v>
      </c>
      <c r="U316" s="126" t="n">
        <f aca="false">I316/$R$3</f>
        <v>0.001</v>
      </c>
      <c r="V316" s="126" t="n">
        <f aca="false">M316/$R$3</f>
        <v>-114.718</v>
      </c>
      <c r="W316" s="126" t="n">
        <f aca="false">N316/$R$3</f>
        <v>-1648.786</v>
      </c>
    </row>
    <row r="317" customFormat="false" ht="12.75" hidden="false" customHeight="false" outlineLevel="0" collapsed="false">
      <c r="A317" s="120" t="n">
        <f aca="false">A316+1</f>
        <v>37203</v>
      </c>
      <c r="B317" s="131" t="str">
        <f aca="false">INDEX('Master Data'!$A$2:$B$8,MATCH(WEEKDAY('ARG Gas Transport'!A317,3),'Master Data'!$A$2:$A$8,0),2)</f>
        <v>Th</v>
      </c>
      <c r="D317" s="124"/>
      <c r="E317" s="124"/>
      <c r="F317" s="124"/>
      <c r="G317" s="124"/>
      <c r="I317" s="124" t="n">
        <f aca="false">IF(MONTH($A317)=MONTH($A316),IF(G317=0,I316,G317),G317)</f>
        <v>1</v>
      </c>
      <c r="J317" s="124" t="n">
        <f aca="false">IF(MONTH($A317)=MONTH($A316),SUM(I317-I316),I317)</f>
        <v>0</v>
      </c>
      <c r="K317" s="124" t="n">
        <f aca="false">IF(WEEKDAY(A317,3)&gt;4,0,(IF(A317&lt;K$2,0,IF(A317&lt;=K$3,1,0))))</f>
        <v>0</v>
      </c>
      <c r="L317" s="124" t="n">
        <f aca="false">J317*K317</f>
        <v>0</v>
      </c>
      <c r="M317" s="124" t="n">
        <f aca="false">SUM(J$188:J317)</f>
        <v>-114718</v>
      </c>
      <c r="N317" s="124" t="n">
        <f aca="false">SUM(J$6:J317)</f>
        <v>-1648786</v>
      </c>
      <c r="P317" s="124" t="n">
        <f aca="false">D317/P$3</f>
        <v>0</v>
      </c>
      <c r="Q317" s="124" t="n">
        <f aca="false">E317/P$3</f>
        <v>0</v>
      </c>
      <c r="R317" s="124" t="n">
        <f aca="false">F317/R$3</f>
        <v>0</v>
      </c>
      <c r="S317" s="126" t="n">
        <f aca="false">J317/$R$3</f>
        <v>0</v>
      </c>
      <c r="T317" s="126" t="n">
        <f aca="false">L317/$R$3</f>
        <v>0</v>
      </c>
      <c r="U317" s="126" t="n">
        <f aca="false">I317/$R$3</f>
        <v>0.001</v>
      </c>
      <c r="V317" s="126" t="n">
        <f aca="false">M317/$R$3</f>
        <v>-114.718</v>
      </c>
      <c r="W317" s="126" t="n">
        <f aca="false">N317/$R$3</f>
        <v>-1648.786</v>
      </c>
    </row>
    <row r="318" customFormat="false" ht="12.75" hidden="false" customHeight="false" outlineLevel="0" collapsed="false">
      <c r="A318" s="120" t="n">
        <f aca="false">A317+1</f>
        <v>37204</v>
      </c>
      <c r="B318" s="131" t="str">
        <f aca="false">INDEX('Master Data'!$A$2:$B$8,MATCH(WEEKDAY('ARG Gas Transport'!A318,3),'Master Data'!$A$2:$A$8,0),2)</f>
        <v>F</v>
      </c>
      <c r="D318" s="124"/>
      <c r="E318" s="124"/>
      <c r="F318" s="124"/>
      <c r="G318" s="124"/>
      <c r="I318" s="124" t="n">
        <f aca="false">IF(MONTH($A318)=MONTH($A317),IF(G318=0,I317,G318),G318)</f>
        <v>1</v>
      </c>
      <c r="J318" s="124" t="n">
        <f aca="false">IF(MONTH($A318)=MONTH($A317),SUM(I318-I317),I318)</f>
        <v>0</v>
      </c>
      <c r="K318" s="124" t="n">
        <f aca="false">IF(WEEKDAY(A318,3)&gt;4,0,(IF(A318&lt;K$2,0,IF(A318&lt;=K$3,1,0))))</f>
        <v>0</v>
      </c>
      <c r="L318" s="124" t="n">
        <f aca="false">J318*K318</f>
        <v>0</v>
      </c>
      <c r="M318" s="124" t="n">
        <f aca="false">SUM(J$188:J318)</f>
        <v>-114718</v>
      </c>
      <c r="N318" s="124" t="n">
        <f aca="false">SUM(J$6:J318)</f>
        <v>-1648786</v>
      </c>
      <c r="P318" s="124" t="n">
        <f aca="false">D318/P$3</f>
        <v>0</v>
      </c>
      <c r="Q318" s="124" t="n">
        <f aca="false">E318/P$3</f>
        <v>0</v>
      </c>
      <c r="R318" s="124" t="n">
        <f aca="false">F318/R$3</f>
        <v>0</v>
      </c>
      <c r="S318" s="126" t="n">
        <f aca="false">J318/$R$3</f>
        <v>0</v>
      </c>
      <c r="T318" s="126" t="n">
        <f aca="false">L318/$R$3</f>
        <v>0</v>
      </c>
      <c r="U318" s="126" t="n">
        <f aca="false">I318/$R$3</f>
        <v>0.001</v>
      </c>
      <c r="V318" s="126" t="n">
        <f aca="false">M318/$R$3</f>
        <v>-114.718</v>
      </c>
      <c r="W318" s="126" t="n">
        <f aca="false">N318/$R$3</f>
        <v>-1648.786</v>
      </c>
    </row>
    <row r="319" customFormat="false" ht="12.75" hidden="false" customHeight="false" outlineLevel="0" collapsed="false">
      <c r="A319" s="120" t="n">
        <f aca="false">A318+1</f>
        <v>37205</v>
      </c>
      <c r="B319" s="131" t="str">
        <f aca="false">INDEX('Master Data'!$A$2:$B$8,MATCH(WEEKDAY('ARG Gas Transport'!A319,3),'Master Data'!$A$2:$A$8,0),2)</f>
        <v>Sa</v>
      </c>
      <c r="D319" s="124"/>
      <c r="E319" s="124"/>
      <c r="F319" s="124"/>
      <c r="G319" s="124"/>
      <c r="I319" s="124" t="n">
        <f aca="false">IF(MONTH($A319)=MONTH($A318),IF(G319=0,I318,G319),G319)</f>
        <v>1</v>
      </c>
      <c r="J319" s="124" t="n">
        <f aca="false">IF(MONTH($A319)=MONTH($A318),SUM(I319-I318),I319)</f>
        <v>0</v>
      </c>
      <c r="K319" s="124" t="n">
        <f aca="false">IF(WEEKDAY(A319,3)&gt;4,0,(IF(A319&lt;K$2,0,IF(A319&lt;=K$3,1,0))))</f>
        <v>0</v>
      </c>
      <c r="L319" s="124" t="n">
        <f aca="false">J319*K319</f>
        <v>0</v>
      </c>
      <c r="M319" s="124" t="n">
        <f aca="false">SUM(J$188:J319)</f>
        <v>-114718</v>
      </c>
      <c r="N319" s="124" t="n">
        <f aca="false">SUM(J$6:J319)</f>
        <v>-1648786</v>
      </c>
      <c r="P319" s="124" t="n">
        <f aca="false">D319/P$3</f>
        <v>0</v>
      </c>
      <c r="Q319" s="124" t="n">
        <f aca="false">E319/P$3</f>
        <v>0</v>
      </c>
      <c r="R319" s="124" t="n">
        <f aca="false">F319/R$3</f>
        <v>0</v>
      </c>
      <c r="S319" s="126" t="n">
        <f aca="false">J319/$R$3</f>
        <v>0</v>
      </c>
      <c r="T319" s="126" t="n">
        <f aca="false">L319/$R$3</f>
        <v>0</v>
      </c>
      <c r="U319" s="126" t="n">
        <f aca="false">I319/$R$3</f>
        <v>0.001</v>
      </c>
      <c r="V319" s="126" t="n">
        <f aca="false">M319/$R$3</f>
        <v>-114.718</v>
      </c>
      <c r="W319" s="126" t="n">
        <f aca="false">N319/$R$3</f>
        <v>-1648.786</v>
      </c>
    </row>
    <row r="320" customFormat="false" ht="12.75" hidden="false" customHeight="false" outlineLevel="0" collapsed="false">
      <c r="A320" s="120" t="n">
        <f aca="false">A319+1</f>
        <v>37206</v>
      </c>
      <c r="B320" s="131" t="str">
        <f aca="false">INDEX('Master Data'!$A$2:$B$8,MATCH(WEEKDAY('ARG Gas Transport'!A320,3),'Master Data'!$A$2:$A$8,0),2)</f>
        <v>Su</v>
      </c>
      <c r="D320" s="124"/>
      <c r="E320" s="124"/>
      <c r="F320" s="124"/>
      <c r="G320" s="124"/>
      <c r="I320" s="124" t="n">
        <f aca="false">IF(MONTH($A320)=MONTH($A319),IF(G320=0,I319,G320),G320)</f>
        <v>1</v>
      </c>
      <c r="J320" s="124" t="n">
        <f aca="false">IF(MONTH($A320)=MONTH($A319),SUM(I320-I319),I320)</f>
        <v>0</v>
      </c>
      <c r="K320" s="124" t="n">
        <f aca="false">IF(WEEKDAY(A320,3)&gt;4,0,(IF(A320&lt;K$2,0,IF(A320&lt;=K$3,1,0))))</f>
        <v>0</v>
      </c>
      <c r="L320" s="124" t="n">
        <f aca="false">J320*K320</f>
        <v>0</v>
      </c>
      <c r="M320" s="124" t="n">
        <f aca="false">SUM(J$188:J320)</f>
        <v>-114718</v>
      </c>
      <c r="N320" s="124" t="n">
        <f aca="false">SUM(J$6:J320)</f>
        <v>-1648786</v>
      </c>
      <c r="P320" s="124" t="n">
        <f aca="false">D320/P$3</f>
        <v>0</v>
      </c>
      <c r="Q320" s="124" t="n">
        <f aca="false">E320/P$3</f>
        <v>0</v>
      </c>
      <c r="R320" s="124" t="n">
        <f aca="false">F320/R$3</f>
        <v>0</v>
      </c>
      <c r="S320" s="126" t="n">
        <f aca="false">J320/$R$3</f>
        <v>0</v>
      </c>
      <c r="T320" s="126" t="n">
        <f aca="false">L320/$R$3</f>
        <v>0</v>
      </c>
      <c r="U320" s="126" t="n">
        <f aca="false">I320/$R$3</f>
        <v>0.001</v>
      </c>
      <c r="V320" s="126" t="n">
        <f aca="false">M320/$R$3</f>
        <v>-114.718</v>
      </c>
      <c r="W320" s="126" t="n">
        <f aca="false">N320/$R$3</f>
        <v>-1648.786</v>
      </c>
    </row>
    <row r="321" customFormat="false" ht="12.75" hidden="false" customHeight="false" outlineLevel="0" collapsed="false">
      <c r="A321" s="120" t="n">
        <f aca="false">A320+1</f>
        <v>37207</v>
      </c>
      <c r="B321" s="131" t="str">
        <f aca="false">INDEX('Master Data'!$A$2:$B$8,MATCH(WEEKDAY('ARG Gas Transport'!A321,3),'Master Data'!$A$2:$A$8,0),2)</f>
        <v>M</v>
      </c>
      <c r="D321" s="124"/>
      <c r="E321" s="124"/>
      <c r="F321" s="124"/>
      <c r="G321" s="124"/>
      <c r="I321" s="124" t="n">
        <f aca="false">IF(MONTH($A321)=MONTH($A320),IF(G321=0,I320,G321),G321)</f>
        <v>1</v>
      </c>
      <c r="J321" s="124" t="n">
        <f aca="false">IF(MONTH($A321)=MONTH($A320),SUM(I321-I320),I321)</f>
        <v>0</v>
      </c>
      <c r="K321" s="124" t="n">
        <f aca="false">IF(WEEKDAY(A321,3)&gt;4,0,(IF(A321&lt;K$2,0,IF(A321&lt;=K$3,1,0))))</f>
        <v>0</v>
      </c>
      <c r="L321" s="124" t="n">
        <f aca="false">J321*K321</f>
        <v>0</v>
      </c>
      <c r="M321" s="124" t="n">
        <f aca="false">SUM(J$188:J321)</f>
        <v>-114718</v>
      </c>
      <c r="N321" s="124" t="n">
        <f aca="false">SUM(J$6:J321)</f>
        <v>-1648786</v>
      </c>
      <c r="P321" s="124" t="n">
        <f aca="false">D321/P$3</f>
        <v>0</v>
      </c>
      <c r="Q321" s="124" t="n">
        <f aca="false">E321/P$3</f>
        <v>0</v>
      </c>
      <c r="R321" s="124" t="n">
        <f aca="false">F321/R$3</f>
        <v>0</v>
      </c>
      <c r="S321" s="126" t="n">
        <f aca="false">J321/$R$3</f>
        <v>0</v>
      </c>
      <c r="T321" s="126" t="n">
        <f aca="false">L321/$R$3</f>
        <v>0</v>
      </c>
      <c r="U321" s="126" t="n">
        <f aca="false">I321/$R$3</f>
        <v>0.001</v>
      </c>
      <c r="V321" s="126" t="n">
        <f aca="false">M321/$R$3</f>
        <v>-114.718</v>
      </c>
      <c r="W321" s="126" t="n">
        <f aca="false">N321/$R$3</f>
        <v>-1648.786</v>
      </c>
    </row>
    <row r="322" customFormat="false" ht="12.75" hidden="false" customHeight="false" outlineLevel="0" collapsed="false">
      <c r="A322" s="120" t="n">
        <f aca="false">A321+1</f>
        <v>37208</v>
      </c>
      <c r="B322" s="131" t="str">
        <f aca="false">INDEX('Master Data'!$A$2:$B$8,MATCH(WEEKDAY('ARG Gas Transport'!A322,3),'Master Data'!$A$2:$A$8,0),2)</f>
        <v>T</v>
      </c>
      <c r="D322" s="124"/>
      <c r="E322" s="124"/>
      <c r="F322" s="124"/>
      <c r="G322" s="124"/>
      <c r="I322" s="124" t="n">
        <f aca="false">IF(MONTH($A322)=MONTH($A321),IF(G322=0,I321,G322),G322)</f>
        <v>1</v>
      </c>
      <c r="J322" s="124" t="n">
        <f aca="false">IF(MONTH($A322)=MONTH($A321),SUM(I322-I321),I322)</f>
        <v>0</v>
      </c>
      <c r="K322" s="124" t="n">
        <f aca="false">IF(WEEKDAY(A322,3)&gt;4,0,(IF(A322&lt;K$2,0,IF(A322&lt;=K$3,1,0))))</f>
        <v>0</v>
      </c>
      <c r="L322" s="124" t="n">
        <f aca="false">J322*K322</f>
        <v>0</v>
      </c>
      <c r="M322" s="124" t="n">
        <f aca="false">SUM(J$188:J322)</f>
        <v>-114718</v>
      </c>
      <c r="N322" s="124" t="n">
        <f aca="false">SUM(J$6:J322)</f>
        <v>-1648786</v>
      </c>
      <c r="P322" s="124" t="n">
        <f aca="false">D322/P$3</f>
        <v>0</v>
      </c>
      <c r="Q322" s="124" t="n">
        <f aca="false">E322/P$3</f>
        <v>0</v>
      </c>
      <c r="R322" s="124" t="n">
        <f aca="false">F322/R$3</f>
        <v>0</v>
      </c>
      <c r="S322" s="126" t="n">
        <f aca="false">J322/$R$3</f>
        <v>0</v>
      </c>
      <c r="T322" s="126" t="n">
        <f aca="false">L322/$R$3</f>
        <v>0</v>
      </c>
      <c r="U322" s="126" t="n">
        <f aca="false">I322/$R$3</f>
        <v>0.001</v>
      </c>
      <c r="V322" s="126" t="n">
        <f aca="false">M322/$R$3</f>
        <v>-114.718</v>
      </c>
      <c r="W322" s="126" t="n">
        <f aca="false">N322/$R$3</f>
        <v>-1648.786</v>
      </c>
    </row>
    <row r="323" customFormat="false" ht="12.75" hidden="false" customHeight="false" outlineLevel="0" collapsed="false">
      <c r="A323" s="120" t="n">
        <f aca="false">A322+1</f>
        <v>37209</v>
      </c>
      <c r="B323" s="131" t="str">
        <f aca="false">INDEX('Master Data'!$A$2:$B$8,MATCH(WEEKDAY('ARG Gas Transport'!A323,3),'Master Data'!$A$2:$A$8,0),2)</f>
        <v>W</v>
      </c>
      <c r="D323" s="124"/>
      <c r="E323" s="124"/>
      <c r="F323" s="124"/>
      <c r="G323" s="124"/>
      <c r="I323" s="124" t="n">
        <f aca="false">IF(MONTH($A323)=MONTH($A322),IF(G323=0,I322,G323),G323)</f>
        <v>1</v>
      </c>
      <c r="J323" s="124" t="n">
        <f aca="false">IF(MONTH($A323)=MONTH($A322),SUM(I323-I322),I323)</f>
        <v>0</v>
      </c>
      <c r="K323" s="124" t="n">
        <f aca="false">IF(WEEKDAY(A323,3)&gt;4,0,(IF(A323&lt;K$2,0,IF(A323&lt;=K$3,1,0))))</f>
        <v>0</v>
      </c>
      <c r="L323" s="124" t="n">
        <f aca="false">J323*K323</f>
        <v>0</v>
      </c>
      <c r="M323" s="124" t="n">
        <f aca="false">SUM(J$188:J323)</f>
        <v>-114718</v>
      </c>
      <c r="N323" s="124" t="n">
        <f aca="false">SUM(J$6:J323)</f>
        <v>-1648786</v>
      </c>
      <c r="P323" s="124" t="n">
        <f aca="false">D323/P$3</f>
        <v>0</v>
      </c>
      <c r="Q323" s="124" t="n">
        <f aca="false">E323/P$3</f>
        <v>0</v>
      </c>
      <c r="R323" s="124" t="n">
        <f aca="false">F323/R$3</f>
        <v>0</v>
      </c>
      <c r="S323" s="126" t="n">
        <f aca="false">J323/$R$3</f>
        <v>0</v>
      </c>
      <c r="T323" s="126" t="n">
        <f aca="false">L323/$R$3</f>
        <v>0</v>
      </c>
      <c r="U323" s="126" t="n">
        <f aca="false">I323/$R$3</f>
        <v>0.001</v>
      </c>
      <c r="V323" s="126" t="n">
        <f aca="false">M323/$R$3</f>
        <v>-114.718</v>
      </c>
      <c r="W323" s="126" t="n">
        <f aca="false">N323/$R$3</f>
        <v>-1648.786</v>
      </c>
    </row>
    <row r="324" customFormat="false" ht="12.75" hidden="false" customHeight="false" outlineLevel="0" collapsed="false">
      <c r="A324" s="120" t="n">
        <f aca="false">A323+1</f>
        <v>37210</v>
      </c>
      <c r="B324" s="131" t="str">
        <f aca="false">INDEX('Master Data'!$A$2:$B$8,MATCH(WEEKDAY('ARG Gas Transport'!A324,3),'Master Data'!$A$2:$A$8,0),2)</f>
        <v>Th</v>
      </c>
      <c r="D324" s="124"/>
      <c r="E324" s="124"/>
      <c r="F324" s="124"/>
      <c r="G324" s="124"/>
      <c r="I324" s="124" t="n">
        <f aca="false">IF(MONTH($A324)=MONTH($A323),IF(G324=0,I323,G324),G324)</f>
        <v>1</v>
      </c>
      <c r="J324" s="124" t="n">
        <f aca="false">IF(MONTH($A324)=MONTH($A323),SUM(I324-I323),I324)</f>
        <v>0</v>
      </c>
      <c r="K324" s="124" t="n">
        <f aca="false">IF(WEEKDAY(A324,3)&gt;4,0,(IF(A324&lt;K$2,0,IF(A324&lt;=K$3,1,0))))</f>
        <v>0</v>
      </c>
      <c r="L324" s="124" t="n">
        <f aca="false">J324*K324</f>
        <v>0</v>
      </c>
      <c r="M324" s="124" t="n">
        <f aca="false">SUM(J$188:J324)</f>
        <v>-114718</v>
      </c>
      <c r="N324" s="124" t="n">
        <f aca="false">SUM(J$6:J324)</f>
        <v>-1648786</v>
      </c>
      <c r="P324" s="124" t="n">
        <f aca="false">D324/P$3</f>
        <v>0</v>
      </c>
      <c r="Q324" s="124" t="n">
        <f aca="false">E324/P$3</f>
        <v>0</v>
      </c>
      <c r="R324" s="124" t="n">
        <f aca="false">F324/R$3</f>
        <v>0</v>
      </c>
      <c r="S324" s="126" t="n">
        <f aca="false">J324/$R$3</f>
        <v>0</v>
      </c>
      <c r="T324" s="126" t="n">
        <f aca="false">L324/$R$3</f>
        <v>0</v>
      </c>
      <c r="U324" s="126" t="n">
        <f aca="false">I324/$R$3</f>
        <v>0.001</v>
      </c>
      <c r="V324" s="126" t="n">
        <f aca="false">M324/$R$3</f>
        <v>-114.718</v>
      </c>
      <c r="W324" s="126" t="n">
        <f aca="false">N324/$R$3</f>
        <v>-1648.786</v>
      </c>
    </row>
    <row r="325" customFormat="false" ht="12.75" hidden="false" customHeight="false" outlineLevel="0" collapsed="false">
      <c r="A325" s="120" t="n">
        <f aca="false">A324+1</f>
        <v>37211</v>
      </c>
      <c r="B325" s="131" t="str">
        <f aca="false">INDEX('Master Data'!$A$2:$B$8,MATCH(WEEKDAY('ARG Gas Transport'!A325,3),'Master Data'!$A$2:$A$8,0),2)</f>
        <v>F</v>
      </c>
      <c r="D325" s="124"/>
      <c r="E325" s="124"/>
      <c r="F325" s="124"/>
      <c r="G325" s="124"/>
      <c r="I325" s="124" t="n">
        <f aca="false">IF(MONTH($A325)=MONTH($A324),IF(G325=0,I324,G325),G325)</f>
        <v>1</v>
      </c>
      <c r="J325" s="124" t="n">
        <f aca="false">IF(MONTH($A325)=MONTH($A324),SUM(I325-I324),I325)</f>
        <v>0</v>
      </c>
      <c r="K325" s="124" t="n">
        <f aca="false">IF(WEEKDAY(A325,3)&gt;4,0,(IF(A325&lt;K$2,0,IF(A325&lt;=K$3,1,0))))</f>
        <v>0</v>
      </c>
      <c r="L325" s="124" t="n">
        <f aca="false">J325*K325</f>
        <v>0</v>
      </c>
      <c r="M325" s="124" t="n">
        <f aca="false">SUM(J$188:J325)</f>
        <v>-114718</v>
      </c>
      <c r="N325" s="124" t="n">
        <f aca="false">SUM(J$6:J325)</f>
        <v>-1648786</v>
      </c>
      <c r="P325" s="124" t="n">
        <f aca="false">D325/P$3</f>
        <v>0</v>
      </c>
      <c r="Q325" s="124" t="n">
        <f aca="false">E325/P$3</f>
        <v>0</v>
      </c>
      <c r="R325" s="124" t="n">
        <f aca="false">F325/R$3</f>
        <v>0</v>
      </c>
      <c r="S325" s="126" t="n">
        <f aca="false">J325/$R$3</f>
        <v>0</v>
      </c>
      <c r="T325" s="126" t="n">
        <f aca="false">L325/$R$3</f>
        <v>0</v>
      </c>
      <c r="U325" s="126" t="n">
        <f aca="false">I325/$R$3</f>
        <v>0.001</v>
      </c>
      <c r="V325" s="126" t="n">
        <f aca="false">M325/$R$3</f>
        <v>-114.718</v>
      </c>
      <c r="W325" s="126" t="n">
        <f aca="false">N325/$R$3</f>
        <v>-1648.786</v>
      </c>
    </row>
    <row r="326" customFormat="false" ht="12.75" hidden="false" customHeight="false" outlineLevel="0" collapsed="false">
      <c r="A326" s="120" t="n">
        <f aca="false">A325+1</f>
        <v>37212</v>
      </c>
      <c r="B326" s="131" t="str">
        <f aca="false">INDEX('Master Data'!$A$2:$B$8,MATCH(WEEKDAY('ARG Gas Transport'!A326,3),'Master Data'!$A$2:$A$8,0),2)</f>
        <v>Sa</v>
      </c>
      <c r="D326" s="124"/>
      <c r="E326" s="124"/>
      <c r="F326" s="124"/>
      <c r="G326" s="124"/>
      <c r="I326" s="124" t="n">
        <f aca="false">IF(MONTH($A326)=MONTH($A325),IF(G326=0,I325,G326),G326)</f>
        <v>1</v>
      </c>
      <c r="J326" s="124" t="n">
        <f aca="false">IF(MONTH($A326)=MONTH($A325),SUM(I326-I325),I326)</f>
        <v>0</v>
      </c>
      <c r="K326" s="124" t="n">
        <f aca="false">IF(WEEKDAY(A326,3)&gt;4,0,(IF(A326&lt;K$2,0,IF(A326&lt;=K$3,1,0))))</f>
        <v>0</v>
      </c>
      <c r="L326" s="124" t="n">
        <f aca="false">J326*K326</f>
        <v>0</v>
      </c>
      <c r="M326" s="124" t="n">
        <f aca="false">SUM(J$188:J326)</f>
        <v>-114718</v>
      </c>
      <c r="N326" s="124" t="n">
        <f aca="false">SUM(J$6:J326)</f>
        <v>-1648786</v>
      </c>
      <c r="P326" s="124" t="n">
        <f aca="false">D326/P$3</f>
        <v>0</v>
      </c>
      <c r="Q326" s="124" t="n">
        <f aca="false">E326/P$3</f>
        <v>0</v>
      </c>
      <c r="R326" s="124" t="n">
        <f aca="false">F326/R$3</f>
        <v>0</v>
      </c>
      <c r="S326" s="126" t="n">
        <f aca="false">J326/$R$3</f>
        <v>0</v>
      </c>
      <c r="T326" s="126" t="n">
        <f aca="false">L326/$R$3</f>
        <v>0</v>
      </c>
      <c r="U326" s="126" t="n">
        <f aca="false">I326/$R$3</f>
        <v>0.001</v>
      </c>
      <c r="V326" s="126" t="n">
        <f aca="false">M326/$R$3</f>
        <v>-114.718</v>
      </c>
      <c r="W326" s="126" t="n">
        <f aca="false">N326/$R$3</f>
        <v>-1648.786</v>
      </c>
    </row>
    <row r="327" customFormat="false" ht="12.75" hidden="false" customHeight="false" outlineLevel="0" collapsed="false">
      <c r="A327" s="120" t="n">
        <f aca="false">A326+1</f>
        <v>37213</v>
      </c>
      <c r="B327" s="131" t="str">
        <f aca="false">INDEX('Master Data'!$A$2:$B$8,MATCH(WEEKDAY('ARG Gas Transport'!A327,3),'Master Data'!$A$2:$A$8,0),2)</f>
        <v>Su</v>
      </c>
      <c r="D327" s="124"/>
      <c r="E327" s="124"/>
      <c r="F327" s="124"/>
      <c r="G327" s="124"/>
      <c r="I327" s="124" t="n">
        <f aca="false">IF(MONTH($A327)=MONTH($A326),IF(G327=0,I326,G327),G327)</f>
        <v>1</v>
      </c>
      <c r="J327" s="124" t="n">
        <f aca="false">IF(MONTH($A327)=MONTH($A326),SUM(I327-I326),I327)</f>
        <v>0</v>
      </c>
      <c r="K327" s="124" t="n">
        <f aca="false">IF(WEEKDAY(A327,3)&gt;4,0,(IF(A327&lt;K$2,0,IF(A327&lt;=K$3,1,0))))</f>
        <v>0</v>
      </c>
      <c r="L327" s="124" t="n">
        <f aca="false">J327*K327</f>
        <v>0</v>
      </c>
      <c r="M327" s="124" t="n">
        <f aca="false">SUM(J$188:J327)</f>
        <v>-114718</v>
      </c>
      <c r="N327" s="124" t="n">
        <f aca="false">SUM(J$6:J327)</f>
        <v>-1648786</v>
      </c>
      <c r="P327" s="124" t="n">
        <f aca="false">D327/P$3</f>
        <v>0</v>
      </c>
      <c r="Q327" s="124" t="n">
        <f aca="false">E327/P$3</f>
        <v>0</v>
      </c>
      <c r="R327" s="124" t="n">
        <f aca="false">F327/R$3</f>
        <v>0</v>
      </c>
      <c r="S327" s="126" t="n">
        <f aca="false">J327/$R$3</f>
        <v>0</v>
      </c>
      <c r="T327" s="126" t="n">
        <f aca="false">L327/$R$3</f>
        <v>0</v>
      </c>
      <c r="U327" s="126" t="n">
        <f aca="false">I327/$R$3</f>
        <v>0.001</v>
      </c>
      <c r="V327" s="126" t="n">
        <f aca="false">M327/$R$3</f>
        <v>-114.718</v>
      </c>
      <c r="W327" s="126" t="n">
        <f aca="false">N327/$R$3</f>
        <v>-1648.786</v>
      </c>
    </row>
    <row r="328" customFormat="false" ht="12.75" hidden="false" customHeight="false" outlineLevel="0" collapsed="false">
      <c r="A328" s="120" t="n">
        <f aca="false">A327+1</f>
        <v>37214</v>
      </c>
      <c r="B328" s="131" t="str">
        <f aca="false">INDEX('Master Data'!$A$2:$B$8,MATCH(WEEKDAY('ARG Gas Transport'!A328,3),'Master Data'!$A$2:$A$8,0),2)</f>
        <v>M</v>
      </c>
      <c r="D328" s="124"/>
      <c r="E328" s="124"/>
      <c r="F328" s="124"/>
      <c r="G328" s="124"/>
      <c r="I328" s="124" t="n">
        <f aca="false">IF(MONTH($A328)=MONTH($A327),IF(G328=0,I327,G328),G328)</f>
        <v>1</v>
      </c>
      <c r="J328" s="124" t="n">
        <f aca="false">IF(MONTH($A328)=MONTH($A327),SUM(I328-I327),I328)</f>
        <v>0</v>
      </c>
      <c r="K328" s="124" t="n">
        <f aca="false">IF(WEEKDAY(A328,3)&gt;4,0,(IF(A328&lt;K$2,0,IF(A328&lt;=K$3,1,0))))</f>
        <v>0</v>
      </c>
      <c r="L328" s="124" t="n">
        <f aca="false">J328*K328</f>
        <v>0</v>
      </c>
      <c r="M328" s="124" t="n">
        <f aca="false">SUM(J$188:J328)</f>
        <v>-114718</v>
      </c>
      <c r="N328" s="124" t="n">
        <f aca="false">SUM(J$6:J328)</f>
        <v>-1648786</v>
      </c>
      <c r="P328" s="124" t="n">
        <f aca="false">D328/P$3</f>
        <v>0</v>
      </c>
      <c r="Q328" s="124" t="n">
        <f aca="false">E328/P$3</f>
        <v>0</v>
      </c>
      <c r="R328" s="124" t="n">
        <f aca="false">F328/R$3</f>
        <v>0</v>
      </c>
      <c r="S328" s="126" t="n">
        <f aca="false">J328/$R$3</f>
        <v>0</v>
      </c>
      <c r="T328" s="126" t="n">
        <f aca="false">L328/$R$3</f>
        <v>0</v>
      </c>
      <c r="U328" s="126" t="n">
        <f aca="false">I328/$R$3</f>
        <v>0.001</v>
      </c>
      <c r="V328" s="126" t="n">
        <f aca="false">M328/$R$3</f>
        <v>-114.718</v>
      </c>
      <c r="W328" s="126" t="n">
        <f aca="false">N328/$R$3</f>
        <v>-1648.786</v>
      </c>
    </row>
    <row r="329" customFormat="false" ht="12.75" hidden="false" customHeight="false" outlineLevel="0" collapsed="false">
      <c r="A329" s="120" t="n">
        <f aca="false">A328+1</f>
        <v>37215</v>
      </c>
      <c r="B329" s="131" t="str">
        <f aca="false">INDEX('Master Data'!$A$2:$B$8,MATCH(WEEKDAY('ARG Gas Transport'!A329,3),'Master Data'!$A$2:$A$8,0),2)</f>
        <v>T</v>
      </c>
      <c r="D329" s="124"/>
      <c r="E329" s="124"/>
      <c r="F329" s="124"/>
      <c r="G329" s="124"/>
      <c r="I329" s="124" t="n">
        <f aca="false">IF(MONTH($A329)=MONTH($A328),IF(G329=0,I328,G329),G329)</f>
        <v>1</v>
      </c>
      <c r="J329" s="124" t="n">
        <f aca="false">IF(MONTH($A329)=MONTH($A328),SUM(I329-I328),I329)</f>
        <v>0</v>
      </c>
      <c r="K329" s="124" t="n">
        <f aca="false">IF(WEEKDAY(A329,3)&gt;4,0,(IF(A329&lt;K$2,0,IF(A329&lt;=K$3,1,0))))</f>
        <v>0</v>
      </c>
      <c r="L329" s="124" t="n">
        <f aca="false">J329*K329</f>
        <v>0</v>
      </c>
      <c r="M329" s="124" t="n">
        <f aca="false">SUM(J$188:J329)</f>
        <v>-114718</v>
      </c>
      <c r="N329" s="124" t="n">
        <f aca="false">SUM(J$6:J329)</f>
        <v>-1648786</v>
      </c>
      <c r="P329" s="124" t="n">
        <f aca="false">D329/P$3</f>
        <v>0</v>
      </c>
      <c r="Q329" s="124" t="n">
        <f aca="false">E329/P$3</f>
        <v>0</v>
      </c>
      <c r="R329" s="124" t="n">
        <f aca="false">F329/R$3</f>
        <v>0</v>
      </c>
      <c r="S329" s="126" t="n">
        <f aca="false">J329/$R$3</f>
        <v>0</v>
      </c>
      <c r="T329" s="126" t="n">
        <f aca="false">L329/$R$3</f>
        <v>0</v>
      </c>
      <c r="U329" s="126" t="n">
        <f aca="false">I329/$R$3</f>
        <v>0.001</v>
      </c>
      <c r="V329" s="126" t="n">
        <f aca="false">M329/$R$3</f>
        <v>-114.718</v>
      </c>
      <c r="W329" s="126" t="n">
        <f aca="false">N329/$R$3</f>
        <v>-1648.786</v>
      </c>
    </row>
    <row r="330" customFormat="false" ht="12.75" hidden="false" customHeight="false" outlineLevel="0" collapsed="false">
      <c r="A330" s="120" t="n">
        <f aca="false">A329+1</f>
        <v>37216</v>
      </c>
      <c r="B330" s="131" t="str">
        <f aca="false">INDEX('Master Data'!$A$2:$B$8,MATCH(WEEKDAY('ARG Gas Transport'!A330,3),'Master Data'!$A$2:$A$8,0),2)</f>
        <v>W</v>
      </c>
      <c r="D330" s="124"/>
      <c r="E330" s="124"/>
      <c r="F330" s="124"/>
      <c r="G330" s="124"/>
      <c r="I330" s="124" t="n">
        <f aca="false">IF(MONTH($A330)=MONTH($A329),IF(G330=0,I329,G330),G330)</f>
        <v>1</v>
      </c>
      <c r="J330" s="124" t="n">
        <f aca="false">IF(MONTH($A330)=MONTH($A329),SUM(I330-I329),I330)</f>
        <v>0</v>
      </c>
      <c r="K330" s="124" t="n">
        <f aca="false">IF(WEEKDAY(A330,3)&gt;4,0,(IF(A330&lt;K$2,0,IF(A330&lt;=K$3,1,0))))</f>
        <v>0</v>
      </c>
      <c r="L330" s="124" t="n">
        <f aca="false">J330*K330</f>
        <v>0</v>
      </c>
      <c r="M330" s="124" t="n">
        <f aca="false">SUM(J$188:J330)</f>
        <v>-114718</v>
      </c>
      <c r="N330" s="124" t="n">
        <f aca="false">SUM(J$6:J330)</f>
        <v>-1648786</v>
      </c>
      <c r="P330" s="124" t="n">
        <f aca="false">D330/P$3</f>
        <v>0</v>
      </c>
      <c r="Q330" s="124" t="n">
        <f aca="false">E330/P$3</f>
        <v>0</v>
      </c>
      <c r="R330" s="124" t="n">
        <f aca="false">F330/R$3</f>
        <v>0</v>
      </c>
      <c r="S330" s="126" t="n">
        <f aca="false">J330/$R$3</f>
        <v>0</v>
      </c>
      <c r="T330" s="126" t="n">
        <f aca="false">L330/$R$3</f>
        <v>0</v>
      </c>
      <c r="U330" s="126" t="n">
        <f aca="false">I330/$R$3</f>
        <v>0.001</v>
      </c>
      <c r="V330" s="126" t="n">
        <f aca="false">M330/$R$3</f>
        <v>-114.718</v>
      </c>
      <c r="W330" s="126" t="n">
        <f aca="false">N330/$R$3</f>
        <v>-1648.786</v>
      </c>
    </row>
    <row r="331" customFormat="false" ht="12.75" hidden="false" customHeight="false" outlineLevel="0" collapsed="false">
      <c r="A331" s="120" t="n">
        <f aca="false">A330+1</f>
        <v>37217</v>
      </c>
      <c r="B331" s="131" t="str">
        <f aca="false">INDEX('Master Data'!$A$2:$B$8,MATCH(WEEKDAY('ARG Gas Transport'!A331,3),'Master Data'!$A$2:$A$8,0),2)</f>
        <v>Th</v>
      </c>
      <c r="D331" s="124"/>
      <c r="E331" s="124"/>
      <c r="F331" s="124"/>
      <c r="G331" s="124"/>
      <c r="I331" s="124" t="n">
        <f aca="false">IF(MONTH($A331)=MONTH($A330),IF(G331=0,I330,G331),G331)</f>
        <v>1</v>
      </c>
      <c r="J331" s="124" t="n">
        <f aca="false">IF(MONTH($A331)=MONTH($A330),SUM(I331-I330),I331)</f>
        <v>0</v>
      </c>
      <c r="K331" s="124" t="n">
        <f aca="false">IF(WEEKDAY(A331,3)&gt;4,0,(IF(A331&lt;K$2,0,IF(A331&lt;=K$3,1,0))))</f>
        <v>0</v>
      </c>
      <c r="L331" s="124" t="n">
        <f aca="false">J331*K331</f>
        <v>0</v>
      </c>
      <c r="M331" s="124" t="n">
        <f aca="false">SUM(J$188:J331)</f>
        <v>-114718</v>
      </c>
      <c r="N331" s="124" t="n">
        <f aca="false">SUM(J$6:J331)</f>
        <v>-1648786</v>
      </c>
      <c r="P331" s="124" t="n">
        <f aca="false">D331/P$3</f>
        <v>0</v>
      </c>
      <c r="Q331" s="124" t="n">
        <f aca="false">E331/P$3</f>
        <v>0</v>
      </c>
      <c r="R331" s="124" t="n">
        <f aca="false">F331/R$3</f>
        <v>0</v>
      </c>
      <c r="S331" s="126" t="n">
        <f aca="false">J331/$R$3</f>
        <v>0</v>
      </c>
      <c r="T331" s="126" t="n">
        <f aca="false">L331/$R$3</f>
        <v>0</v>
      </c>
      <c r="U331" s="126" t="n">
        <f aca="false">I331/$R$3</f>
        <v>0.001</v>
      </c>
      <c r="V331" s="126" t="n">
        <f aca="false">M331/$R$3</f>
        <v>-114.718</v>
      </c>
      <c r="W331" s="126" t="n">
        <f aca="false">N331/$R$3</f>
        <v>-1648.786</v>
      </c>
    </row>
    <row r="332" customFormat="false" ht="12.75" hidden="false" customHeight="false" outlineLevel="0" collapsed="false">
      <c r="A332" s="120" t="n">
        <f aca="false">A331+1</f>
        <v>37218</v>
      </c>
      <c r="B332" s="131" t="str">
        <f aca="false">INDEX('Master Data'!$A$2:$B$8,MATCH(WEEKDAY('ARG Gas Transport'!A332,3),'Master Data'!$A$2:$A$8,0),2)</f>
        <v>F</v>
      </c>
      <c r="D332" s="124"/>
      <c r="E332" s="124"/>
      <c r="F332" s="124"/>
      <c r="G332" s="124"/>
      <c r="I332" s="124" t="n">
        <f aca="false">IF(MONTH($A332)=MONTH($A331),IF(G332=0,I331,G332),G332)</f>
        <v>1</v>
      </c>
      <c r="J332" s="124" t="n">
        <f aca="false">IF(MONTH($A332)=MONTH($A331),SUM(I332-I331),I332)</f>
        <v>0</v>
      </c>
      <c r="K332" s="124" t="n">
        <f aca="false">IF(WEEKDAY(A332,3)&gt;4,0,(IF(A332&lt;K$2,0,IF(A332&lt;=K$3,1,0))))</f>
        <v>0</v>
      </c>
      <c r="L332" s="124" t="n">
        <f aca="false">J332*K332</f>
        <v>0</v>
      </c>
      <c r="M332" s="124" t="n">
        <f aca="false">SUM(J$188:J332)</f>
        <v>-114718</v>
      </c>
      <c r="N332" s="124" t="n">
        <f aca="false">SUM(J$6:J332)</f>
        <v>-1648786</v>
      </c>
      <c r="P332" s="124" t="n">
        <f aca="false">D332/P$3</f>
        <v>0</v>
      </c>
      <c r="Q332" s="124" t="n">
        <f aca="false">E332/P$3</f>
        <v>0</v>
      </c>
      <c r="R332" s="124" t="n">
        <f aca="false">F332/R$3</f>
        <v>0</v>
      </c>
      <c r="S332" s="126" t="n">
        <f aca="false">J332/$R$3</f>
        <v>0</v>
      </c>
      <c r="T332" s="126" t="n">
        <f aca="false">L332/$R$3</f>
        <v>0</v>
      </c>
      <c r="U332" s="126" t="n">
        <f aca="false">I332/$R$3</f>
        <v>0.001</v>
      </c>
      <c r="V332" s="126" t="n">
        <f aca="false">M332/$R$3</f>
        <v>-114.718</v>
      </c>
      <c r="W332" s="126" t="n">
        <f aca="false">N332/$R$3</f>
        <v>-1648.786</v>
      </c>
    </row>
    <row r="333" customFormat="false" ht="12.75" hidden="false" customHeight="false" outlineLevel="0" collapsed="false">
      <c r="A333" s="120" t="n">
        <f aca="false">A332+1</f>
        <v>37219</v>
      </c>
      <c r="B333" s="131" t="str">
        <f aca="false">INDEX('Master Data'!$A$2:$B$8,MATCH(WEEKDAY('ARG Gas Transport'!A333,3),'Master Data'!$A$2:$A$8,0),2)</f>
        <v>Sa</v>
      </c>
      <c r="D333" s="124"/>
      <c r="E333" s="124"/>
      <c r="F333" s="124"/>
      <c r="G333" s="124"/>
      <c r="I333" s="124" t="n">
        <f aca="false">IF(MONTH($A333)=MONTH($A332),IF(G333=0,I332,G333),G333)</f>
        <v>1</v>
      </c>
      <c r="J333" s="124" t="n">
        <f aca="false">IF(MONTH($A333)=MONTH($A332),SUM(I333-I332),I333)</f>
        <v>0</v>
      </c>
      <c r="K333" s="124" t="n">
        <f aca="false">IF(WEEKDAY(A333,3)&gt;4,0,(IF(A333&lt;K$2,0,IF(A333&lt;=K$3,1,0))))</f>
        <v>0</v>
      </c>
      <c r="L333" s="124" t="n">
        <f aca="false">J333*K333</f>
        <v>0</v>
      </c>
      <c r="M333" s="124" t="n">
        <f aca="false">SUM(J$188:J333)</f>
        <v>-114718</v>
      </c>
      <c r="N333" s="124" t="n">
        <f aca="false">SUM(J$6:J333)</f>
        <v>-1648786</v>
      </c>
      <c r="P333" s="124" t="n">
        <f aca="false">D333/P$3</f>
        <v>0</v>
      </c>
      <c r="Q333" s="124" t="n">
        <f aca="false">E333/P$3</f>
        <v>0</v>
      </c>
      <c r="R333" s="124" t="n">
        <f aca="false">F333/R$3</f>
        <v>0</v>
      </c>
      <c r="S333" s="126" t="n">
        <f aca="false">J333/$R$3</f>
        <v>0</v>
      </c>
      <c r="T333" s="126" t="n">
        <f aca="false">L333/$R$3</f>
        <v>0</v>
      </c>
      <c r="U333" s="126" t="n">
        <f aca="false">I333/$R$3</f>
        <v>0.001</v>
      </c>
      <c r="V333" s="126" t="n">
        <f aca="false">M333/$R$3</f>
        <v>-114.718</v>
      </c>
      <c r="W333" s="126" t="n">
        <f aca="false">N333/$R$3</f>
        <v>-1648.786</v>
      </c>
    </row>
    <row r="334" customFormat="false" ht="12.75" hidden="false" customHeight="false" outlineLevel="0" collapsed="false">
      <c r="A334" s="120" t="n">
        <f aca="false">A333+1</f>
        <v>37220</v>
      </c>
      <c r="B334" s="131" t="str">
        <f aca="false">INDEX('Master Data'!$A$2:$B$8,MATCH(WEEKDAY('ARG Gas Transport'!A334,3),'Master Data'!$A$2:$A$8,0),2)</f>
        <v>Su</v>
      </c>
      <c r="D334" s="124"/>
      <c r="E334" s="124"/>
      <c r="F334" s="124"/>
      <c r="G334" s="124"/>
      <c r="I334" s="124" t="n">
        <f aca="false">IF(MONTH($A334)=MONTH($A333),IF(G334=0,I333,G334),G334)</f>
        <v>1</v>
      </c>
      <c r="J334" s="124" t="n">
        <f aca="false">IF(MONTH($A334)=MONTH($A333),SUM(I334-I333),I334)</f>
        <v>0</v>
      </c>
      <c r="K334" s="124" t="n">
        <f aca="false">IF(WEEKDAY(A334,3)&gt;4,0,(IF(A334&lt;K$2,0,IF(A334&lt;=K$3,1,0))))</f>
        <v>0</v>
      </c>
      <c r="L334" s="124" t="n">
        <f aca="false">J334*K334</f>
        <v>0</v>
      </c>
      <c r="M334" s="124" t="n">
        <f aca="false">SUM(J$188:J334)</f>
        <v>-114718</v>
      </c>
      <c r="N334" s="124" t="n">
        <f aca="false">SUM(J$6:J334)</f>
        <v>-1648786</v>
      </c>
      <c r="P334" s="124" t="n">
        <f aca="false">D334/P$3</f>
        <v>0</v>
      </c>
      <c r="Q334" s="124" t="n">
        <f aca="false">E334/P$3</f>
        <v>0</v>
      </c>
      <c r="R334" s="124" t="n">
        <f aca="false">F334/R$3</f>
        <v>0</v>
      </c>
      <c r="S334" s="126" t="n">
        <f aca="false">J334/$R$3</f>
        <v>0</v>
      </c>
      <c r="T334" s="126" t="n">
        <f aca="false">L334/$R$3</f>
        <v>0</v>
      </c>
      <c r="U334" s="126" t="n">
        <f aca="false">I334/$R$3</f>
        <v>0.001</v>
      </c>
      <c r="V334" s="126" t="n">
        <f aca="false">M334/$R$3</f>
        <v>-114.718</v>
      </c>
      <c r="W334" s="126" t="n">
        <f aca="false">N334/$R$3</f>
        <v>-1648.786</v>
      </c>
    </row>
    <row r="335" customFormat="false" ht="12.75" hidden="false" customHeight="false" outlineLevel="0" collapsed="false">
      <c r="A335" s="120" t="n">
        <f aca="false">A334+1</f>
        <v>37221</v>
      </c>
      <c r="B335" s="131" t="str">
        <f aca="false">INDEX('Master Data'!$A$2:$B$8,MATCH(WEEKDAY('ARG Gas Transport'!A335,3),'Master Data'!$A$2:$A$8,0),2)</f>
        <v>M</v>
      </c>
      <c r="D335" s="124"/>
      <c r="E335" s="124"/>
      <c r="F335" s="124"/>
      <c r="G335" s="124"/>
      <c r="I335" s="124" t="n">
        <f aca="false">IF(MONTH($A335)=MONTH($A334),IF(G335=0,I334,G335),G335)</f>
        <v>1</v>
      </c>
      <c r="J335" s="124" t="n">
        <f aca="false">IF(MONTH($A335)=MONTH($A334),SUM(I335-I334),I335)</f>
        <v>0</v>
      </c>
      <c r="K335" s="124" t="n">
        <f aca="false">IF(WEEKDAY(A335,3)&gt;4,0,(IF(A335&lt;K$2,0,IF(A335&lt;=K$3,1,0))))</f>
        <v>0</v>
      </c>
      <c r="L335" s="124" t="n">
        <f aca="false">J335*K335</f>
        <v>0</v>
      </c>
      <c r="M335" s="124" t="n">
        <f aca="false">SUM(J$188:J335)</f>
        <v>-114718</v>
      </c>
      <c r="N335" s="124" t="n">
        <f aca="false">SUM(J$6:J335)</f>
        <v>-1648786</v>
      </c>
      <c r="P335" s="124" t="n">
        <f aca="false">D335/P$3</f>
        <v>0</v>
      </c>
      <c r="Q335" s="124" t="n">
        <f aca="false">E335/P$3</f>
        <v>0</v>
      </c>
      <c r="R335" s="124" t="n">
        <f aca="false">F335/R$3</f>
        <v>0</v>
      </c>
      <c r="S335" s="126" t="n">
        <f aca="false">J335/$R$3</f>
        <v>0</v>
      </c>
      <c r="T335" s="126" t="n">
        <f aca="false">L335/$R$3</f>
        <v>0</v>
      </c>
      <c r="U335" s="126" t="n">
        <f aca="false">I335/$R$3</f>
        <v>0.001</v>
      </c>
      <c r="V335" s="126" t="n">
        <f aca="false">M335/$R$3</f>
        <v>-114.718</v>
      </c>
      <c r="W335" s="126" t="n">
        <f aca="false">N335/$R$3</f>
        <v>-1648.786</v>
      </c>
    </row>
    <row r="336" customFormat="false" ht="12.75" hidden="false" customHeight="false" outlineLevel="0" collapsed="false">
      <c r="A336" s="120" t="n">
        <f aca="false">A335+1</f>
        <v>37222</v>
      </c>
      <c r="B336" s="131" t="str">
        <f aca="false">INDEX('Master Data'!$A$2:$B$8,MATCH(WEEKDAY('ARG Gas Transport'!A336,3),'Master Data'!$A$2:$A$8,0),2)</f>
        <v>T</v>
      </c>
      <c r="D336" s="124"/>
      <c r="E336" s="124"/>
      <c r="F336" s="124"/>
      <c r="G336" s="124"/>
      <c r="I336" s="124" t="n">
        <f aca="false">IF(MONTH($A336)=MONTH($A335),IF(G336=0,I335,G336),G336)</f>
        <v>1</v>
      </c>
      <c r="J336" s="124" t="n">
        <f aca="false">IF(MONTH($A336)=MONTH($A335),SUM(I336-I335),I336)</f>
        <v>0</v>
      </c>
      <c r="K336" s="124" t="n">
        <f aca="false">IF(WEEKDAY(A336,3)&gt;4,0,(IF(A336&lt;K$2,0,IF(A336&lt;=K$3,1,0))))</f>
        <v>0</v>
      </c>
      <c r="L336" s="124" t="n">
        <f aca="false">J336*K336</f>
        <v>0</v>
      </c>
      <c r="M336" s="124" t="n">
        <f aca="false">SUM(J$188:J336)</f>
        <v>-114718</v>
      </c>
      <c r="N336" s="124" t="n">
        <f aca="false">SUM(J$6:J336)</f>
        <v>-1648786</v>
      </c>
      <c r="P336" s="124" t="n">
        <f aca="false">D336/P$3</f>
        <v>0</v>
      </c>
      <c r="Q336" s="124" t="n">
        <f aca="false">E336/P$3</f>
        <v>0</v>
      </c>
      <c r="R336" s="124" t="n">
        <f aca="false">F336/R$3</f>
        <v>0</v>
      </c>
      <c r="S336" s="126" t="n">
        <f aca="false">J336/$R$3</f>
        <v>0</v>
      </c>
      <c r="T336" s="126" t="n">
        <f aca="false">L336/$R$3</f>
        <v>0</v>
      </c>
      <c r="U336" s="126" t="n">
        <f aca="false">I336/$R$3</f>
        <v>0.001</v>
      </c>
      <c r="V336" s="126" t="n">
        <f aca="false">M336/$R$3</f>
        <v>-114.718</v>
      </c>
      <c r="W336" s="126" t="n">
        <f aca="false">N336/$R$3</f>
        <v>-1648.786</v>
      </c>
    </row>
    <row r="337" customFormat="false" ht="12.75" hidden="false" customHeight="false" outlineLevel="0" collapsed="false">
      <c r="A337" s="120" t="n">
        <f aca="false">A336+1</f>
        <v>37223</v>
      </c>
      <c r="B337" s="131" t="str">
        <f aca="false">INDEX('Master Data'!$A$2:$B$8,MATCH(WEEKDAY('ARG Gas Transport'!A337,3),'Master Data'!$A$2:$A$8,0),2)</f>
        <v>W</v>
      </c>
      <c r="D337" s="124"/>
      <c r="E337" s="124"/>
      <c r="F337" s="124"/>
      <c r="G337" s="124"/>
      <c r="I337" s="124" t="n">
        <f aca="false">IF(MONTH($A337)=MONTH($A336),IF(G337=0,I336,G337),G337)</f>
        <v>1</v>
      </c>
      <c r="J337" s="124" t="n">
        <f aca="false">IF(MONTH($A337)=MONTH($A336),SUM(I337-I336),I337)</f>
        <v>0</v>
      </c>
      <c r="K337" s="124" t="n">
        <f aca="false">IF(WEEKDAY(A337,3)&gt;4,0,(IF(A337&lt;K$2,0,IF(A337&lt;=K$3,1,0))))</f>
        <v>0</v>
      </c>
      <c r="L337" s="124" t="n">
        <f aca="false">J337*K337</f>
        <v>0</v>
      </c>
      <c r="M337" s="124" t="n">
        <f aca="false">SUM(J$188:J337)</f>
        <v>-114718</v>
      </c>
      <c r="N337" s="124" t="n">
        <f aca="false">SUM(J$6:J337)</f>
        <v>-1648786</v>
      </c>
      <c r="P337" s="124" t="n">
        <f aca="false">D337/P$3</f>
        <v>0</v>
      </c>
      <c r="Q337" s="124" t="n">
        <f aca="false">E337/P$3</f>
        <v>0</v>
      </c>
      <c r="R337" s="124" t="n">
        <f aca="false">F337/R$3</f>
        <v>0</v>
      </c>
      <c r="S337" s="126" t="n">
        <f aca="false">J337/$R$3</f>
        <v>0</v>
      </c>
      <c r="T337" s="126" t="n">
        <f aca="false">L337/$R$3</f>
        <v>0</v>
      </c>
      <c r="U337" s="126" t="n">
        <f aca="false">I337/$R$3</f>
        <v>0.001</v>
      </c>
      <c r="V337" s="126" t="n">
        <f aca="false">M337/$R$3</f>
        <v>-114.718</v>
      </c>
      <c r="W337" s="126" t="n">
        <f aca="false">N337/$R$3</f>
        <v>-1648.786</v>
      </c>
    </row>
    <row r="338" customFormat="false" ht="12.75" hidden="false" customHeight="false" outlineLevel="0" collapsed="false">
      <c r="A338" s="120" t="n">
        <f aca="false">A337+1</f>
        <v>37224</v>
      </c>
      <c r="B338" s="131" t="str">
        <f aca="false">INDEX('Master Data'!$A$2:$B$8,MATCH(WEEKDAY('ARG Gas Transport'!A338,3),'Master Data'!$A$2:$A$8,0),2)</f>
        <v>Th</v>
      </c>
      <c r="D338" s="124"/>
      <c r="E338" s="124"/>
      <c r="F338" s="124"/>
      <c r="G338" s="124"/>
      <c r="I338" s="124" t="n">
        <f aca="false">IF(MONTH($A338)=MONTH($A337),IF(G338=0,I337,G338),G338)</f>
        <v>1</v>
      </c>
      <c r="J338" s="124" t="n">
        <f aca="false">IF(MONTH($A338)=MONTH($A337),SUM(I338-I337),I338)</f>
        <v>0</v>
      </c>
      <c r="K338" s="124" t="n">
        <f aca="false">IF(WEEKDAY(A338,3)&gt;4,0,(IF(A338&lt;K$2,0,IF(A338&lt;=K$3,1,0))))</f>
        <v>0</v>
      </c>
      <c r="L338" s="124" t="n">
        <f aca="false">J338*K338</f>
        <v>0</v>
      </c>
      <c r="M338" s="124" t="n">
        <f aca="false">SUM(J$188:J338)</f>
        <v>-114718</v>
      </c>
      <c r="N338" s="124" t="n">
        <f aca="false">SUM(J$6:J338)</f>
        <v>-1648786</v>
      </c>
      <c r="P338" s="124" t="n">
        <f aca="false">D338/P$3</f>
        <v>0</v>
      </c>
      <c r="Q338" s="124" t="n">
        <f aca="false">E338/P$3</f>
        <v>0</v>
      </c>
      <c r="R338" s="124" t="n">
        <f aca="false">F338/R$3</f>
        <v>0</v>
      </c>
      <c r="S338" s="126" t="n">
        <f aca="false">J338/$R$3</f>
        <v>0</v>
      </c>
      <c r="T338" s="126" t="n">
        <f aca="false">L338/$R$3</f>
        <v>0</v>
      </c>
      <c r="U338" s="126" t="n">
        <f aca="false">I338/$R$3</f>
        <v>0.001</v>
      </c>
      <c r="V338" s="126" t="n">
        <f aca="false">M338/$R$3</f>
        <v>-114.718</v>
      </c>
      <c r="W338" s="126" t="n">
        <f aca="false">N338/$R$3</f>
        <v>-1648.786</v>
      </c>
    </row>
    <row r="339" customFormat="false" ht="12.75" hidden="false" customHeight="false" outlineLevel="0" collapsed="false">
      <c r="A339" s="120" t="n">
        <f aca="false">A338+1</f>
        <v>37225</v>
      </c>
      <c r="B339" s="131" t="str">
        <f aca="false">INDEX('Master Data'!$A$2:$B$8,MATCH(WEEKDAY('ARG Gas Transport'!A339,3),'Master Data'!$A$2:$A$8,0),2)</f>
        <v>F</v>
      </c>
      <c r="D339" s="124"/>
      <c r="E339" s="124"/>
      <c r="F339" s="124"/>
      <c r="G339" s="124"/>
      <c r="I339" s="124" t="n">
        <f aca="false">IF(MONTH($A339)=MONTH($A338),IF(G339=0,I338,G339),G339)</f>
        <v>1</v>
      </c>
      <c r="J339" s="124" t="n">
        <f aca="false">IF(MONTH($A339)=MONTH($A338),SUM(I339-I338),I339)</f>
        <v>0</v>
      </c>
      <c r="K339" s="124" t="n">
        <f aca="false">IF(WEEKDAY(A339,3)&gt;4,0,(IF(A339&lt;K$2,0,IF(A339&lt;=K$3,1,0))))</f>
        <v>0</v>
      </c>
      <c r="L339" s="124" t="n">
        <f aca="false">J339*K339</f>
        <v>0</v>
      </c>
      <c r="M339" s="124" t="n">
        <f aca="false">SUM(J$188:J339)</f>
        <v>-114718</v>
      </c>
      <c r="N339" s="124" t="n">
        <f aca="false">SUM(J$6:J339)</f>
        <v>-1648786</v>
      </c>
      <c r="P339" s="124" t="n">
        <f aca="false">D339/P$3</f>
        <v>0</v>
      </c>
      <c r="Q339" s="124" t="n">
        <f aca="false">E339/P$3</f>
        <v>0</v>
      </c>
      <c r="R339" s="124" t="n">
        <f aca="false">F339/R$3</f>
        <v>0</v>
      </c>
      <c r="S339" s="126" t="n">
        <f aca="false">J339/$R$3</f>
        <v>0</v>
      </c>
      <c r="T339" s="126" t="n">
        <f aca="false">L339/$R$3</f>
        <v>0</v>
      </c>
      <c r="U339" s="126" t="n">
        <f aca="false">I339/$R$3</f>
        <v>0.001</v>
      </c>
      <c r="V339" s="126" t="n">
        <f aca="false">M339/$R$3</f>
        <v>-114.718</v>
      </c>
      <c r="W339" s="126" t="n">
        <f aca="false">N339/$R$3</f>
        <v>-1648.786</v>
      </c>
    </row>
    <row r="340" customFormat="false" ht="12.75" hidden="false" customHeight="false" outlineLevel="0" collapsed="false">
      <c r="A340" s="120" t="n">
        <f aca="false">A339+1</f>
        <v>37226</v>
      </c>
      <c r="B340" s="131" t="str">
        <f aca="false">INDEX('Master Data'!$A$2:$B$8,MATCH(WEEKDAY('ARG Gas Transport'!A340,3),'Master Data'!$A$2:$A$8,0),2)</f>
        <v>Sa</v>
      </c>
      <c r="D340" s="124"/>
      <c r="E340" s="124"/>
      <c r="F340" s="124"/>
      <c r="G340" s="124"/>
      <c r="I340" s="124" t="n">
        <f aca="false">IF(MONTH($A340)=MONTH($A339),IF(G340=0,I339,G340),G340)</f>
        <v>0</v>
      </c>
      <c r="J340" s="124" t="n">
        <f aca="false">IF(MONTH($A340)=MONTH($A339),SUM(I340-I339),I340)</f>
        <v>0</v>
      </c>
      <c r="K340" s="124" t="n">
        <f aca="false">IF(WEEKDAY(A340,3)&gt;4,0,(IF(A340&lt;K$2,0,IF(A340&lt;=K$3,1,0))))</f>
        <v>0</v>
      </c>
      <c r="L340" s="124" t="n">
        <f aca="false">J340*K340</f>
        <v>0</v>
      </c>
      <c r="M340" s="124" t="n">
        <f aca="false">SUM(J$188:J340)</f>
        <v>-114718</v>
      </c>
      <c r="N340" s="124" t="n">
        <f aca="false">SUM(J$6:J340)</f>
        <v>-1648786</v>
      </c>
      <c r="P340" s="124" t="n">
        <f aca="false">D340/P$3</f>
        <v>0</v>
      </c>
      <c r="Q340" s="124" t="n">
        <f aca="false">E340/P$3</f>
        <v>0</v>
      </c>
      <c r="R340" s="124" t="n">
        <f aca="false">F340/R$3</f>
        <v>0</v>
      </c>
      <c r="S340" s="126" t="n">
        <f aca="false">J340/$R$3</f>
        <v>0</v>
      </c>
      <c r="T340" s="126" t="n">
        <f aca="false">L340/$R$3</f>
        <v>0</v>
      </c>
      <c r="U340" s="126" t="n">
        <f aca="false">I340/$R$3</f>
        <v>0</v>
      </c>
      <c r="V340" s="126" t="n">
        <f aca="false">M340/$R$3</f>
        <v>-114.718</v>
      </c>
      <c r="W340" s="126" t="n">
        <f aca="false">N340/$R$3</f>
        <v>-1648.786</v>
      </c>
    </row>
    <row r="341" customFormat="false" ht="12.75" hidden="false" customHeight="false" outlineLevel="0" collapsed="false">
      <c r="A341" s="120" t="n">
        <f aca="false">A340+1</f>
        <v>37227</v>
      </c>
      <c r="B341" s="131" t="str">
        <f aca="false">INDEX('Master Data'!$A$2:$B$8,MATCH(WEEKDAY('ARG Gas Transport'!A341,3),'Master Data'!$A$2:$A$8,0),2)</f>
        <v>Su</v>
      </c>
      <c r="D341" s="124"/>
      <c r="E341" s="124"/>
      <c r="F341" s="124"/>
      <c r="G341" s="124"/>
      <c r="I341" s="124" t="n">
        <f aca="false">IF(MONTH($A341)=MONTH($A340),IF(G341=0,I340,G341),G341)</f>
        <v>0</v>
      </c>
      <c r="J341" s="124" t="n">
        <f aca="false">IF(MONTH($A341)=MONTH($A340),SUM(I341-I340),I341)</f>
        <v>0</v>
      </c>
      <c r="K341" s="124" t="n">
        <f aca="false">IF(WEEKDAY(A341,3)&gt;4,0,(IF(A341&lt;K$2,0,IF(A341&lt;=K$3,1,0))))</f>
        <v>0</v>
      </c>
      <c r="L341" s="124" t="n">
        <f aca="false">J341*K341</f>
        <v>0</v>
      </c>
      <c r="M341" s="124" t="n">
        <f aca="false">SUM(J$188:J341)</f>
        <v>-114718</v>
      </c>
      <c r="N341" s="124" t="n">
        <f aca="false">SUM(J$6:J341)</f>
        <v>-1648786</v>
      </c>
      <c r="P341" s="124" t="n">
        <f aca="false">D341/P$3</f>
        <v>0</v>
      </c>
      <c r="Q341" s="124" t="n">
        <f aca="false">E341/P$3</f>
        <v>0</v>
      </c>
      <c r="R341" s="124" t="n">
        <f aca="false">F341/R$3</f>
        <v>0</v>
      </c>
      <c r="S341" s="126" t="n">
        <f aca="false">J341/$R$3</f>
        <v>0</v>
      </c>
      <c r="T341" s="126" t="n">
        <f aca="false">L341/$R$3</f>
        <v>0</v>
      </c>
      <c r="U341" s="126" t="n">
        <f aca="false">I341/$R$3</f>
        <v>0</v>
      </c>
      <c r="V341" s="126" t="n">
        <f aca="false">M341/$R$3</f>
        <v>-114.718</v>
      </c>
      <c r="W341" s="126" t="n">
        <f aca="false">N341/$R$3</f>
        <v>-1648.786</v>
      </c>
    </row>
    <row r="342" customFormat="false" ht="12.75" hidden="false" customHeight="false" outlineLevel="0" collapsed="false">
      <c r="A342" s="120" t="n">
        <f aca="false">A341+1</f>
        <v>37228</v>
      </c>
      <c r="B342" s="131" t="str">
        <f aca="false">INDEX('Master Data'!$A$2:$B$8,MATCH(WEEKDAY('ARG Gas Transport'!A342,3),'Master Data'!$A$2:$A$8,0),2)</f>
        <v>M</v>
      </c>
      <c r="D342" s="124"/>
      <c r="E342" s="124"/>
      <c r="F342" s="124"/>
      <c r="G342" s="124"/>
      <c r="I342" s="124" t="n">
        <f aca="false">IF(MONTH($A342)=MONTH($A341),IF(G342=0,I341,G342),G342)</f>
        <v>0</v>
      </c>
      <c r="J342" s="124" t="n">
        <f aca="false">IF(MONTH($A342)=MONTH($A341),SUM(I342-I341),I342)</f>
        <v>0</v>
      </c>
      <c r="K342" s="124" t="n">
        <f aca="false">IF(WEEKDAY(A342,3)&gt;4,0,(IF(A342&lt;K$2,0,IF(A342&lt;=K$3,1,0))))</f>
        <v>0</v>
      </c>
      <c r="L342" s="124" t="n">
        <f aca="false">J342*K342</f>
        <v>0</v>
      </c>
      <c r="M342" s="124" t="n">
        <f aca="false">SUM(J$188:J342)</f>
        <v>-114718</v>
      </c>
      <c r="N342" s="124" t="n">
        <f aca="false">SUM(J$6:J342)</f>
        <v>-1648786</v>
      </c>
      <c r="P342" s="124" t="n">
        <f aca="false">D342/P$3</f>
        <v>0</v>
      </c>
      <c r="Q342" s="124" t="n">
        <f aca="false">E342/P$3</f>
        <v>0</v>
      </c>
      <c r="R342" s="124" t="n">
        <f aca="false">F342/R$3</f>
        <v>0</v>
      </c>
      <c r="S342" s="126" t="n">
        <f aca="false">J342/$R$3</f>
        <v>0</v>
      </c>
      <c r="T342" s="126" t="n">
        <f aca="false">L342/$R$3</f>
        <v>0</v>
      </c>
      <c r="U342" s="126" t="n">
        <f aca="false">I342/$R$3</f>
        <v>0</v>
      </c>
      <c r="V342" s="126" t="n">
        <f aca="false">M342/$R$3</f>
        <v>-114.718</v>
      </c>
      <c r="W342" s="126" t="n">
        <f aca="false">N342/$R$3</f>
        <v>-1648.786</v>
      </c>
    </row>
    <row r="343" customFormat="false" ht="12.75" hidden="false" customHeight="false" outlineLevel="0" collapsed="false">
      <c r="A343" s="120" t="n">
        <f aca="false">A342+1</f>
        <v>37229</v>
      </c>
      <c r="B343" s="131" t="str">
        <f aca="false">INDEX('Master Data'!$A$2:$B$8,MATCH(WEEKDAY('ARG Gas Transport'!A343,3),'Master Data'!$A$2:$A$8,0),2)</f>
        <v>T</v>
      </c>
      <c r="D343" s="124"/>
      <c r="E343" s="124"/>
      <c r="F343" s="124"/>
      <c r="G343" s="124"/>
      <c r="I343" s="124" t="n">
        <f aca="false">IF(MONTH($A343)=MONTH($A342),IF(G343=0,I342,G343),G343)</f>
        <v>0</v>
      </c>
      <c r="J343" s="124" t="n">
        <f aca="false">IF(MONTH($A343)=MONTH($A342),SUM(I343-I342),I343)</f>
        <v>0</v>
      </c>
      <c r="K343" s="124" t="n">
        <f aca="false">IF(WEEKDAY(A343,3)&gt;4,0,(IF(A343&lt;K$2,0,IF(A343&lt;=K$3,1,0))))</f>
        <v>0</v>
      </c>
      <c r="L343" s="124" t="n">
        <f aca="false">J343*K343</f>
        <v>0</v>
      </c>
      <c r="M343" s="124" t="n">
        <f aca="false">SUM(J$188:J343)</f>
        <v>-114718</v>
      </c>
      <c r="N343" s="124" t="n">
        <f aca="false">SUM(J$6:J343)</f>
        <v>-1648786</v>
      </c>
      <c r="P343" s="124" t="n">
        <f aca="false">D343/P$3</f>
        <v>0</v>
      </c>
      <c r="Q343" s="124" t="n">
        <f aca="false">E343/P$3</f>
        <v>0</v>
      </c>
      <c r="R343" s="124" t="n">
        <f aca="false">F343/R$3</f>
        <v>0</v>
      </c>
      <c r="S343" s="126" t="n">
        <f aca="false">J343/$R$3</f>
        <v>0</v>
      </c>
      <c r="T343" s="126" t="n">
        <f aca="false">L343/$R$3</f>
        <v>0</v>
      </c>
      <c r="U343" s="126" t="n">
        <f aca="false">I343/$R$3</f>
        <v>0</v>
      </c>
      <c r="V343" s="126" t="n">
        <f aca="false">M343/$R$3</f>
        <v>-114.718</v>
      </c>
      <c r="W343" s="126" t="n">
        <f aca="false">N343/$R$3</f>
        <v>-1648.786</v>
      </c>
    </row>
    <row r="344" customFormat="false" ht="12.75" hidden="false" customHeight="false" outlineLevel="0" collapsed="false">
      <c r="A344" s="120" t="n">
        <f aca="false">A343+1</f>
        <v>37230</v>
      </c>
      <c r="B344" s="131" t="str">
        <f aca="false">INDEX('Master Data'!$A$2:$B$8,MATCH(WEEKDAY('ARG Gas Transport'!A344,3),'Master Data'!$A$2:$A$8,0),2)</f>
        <v>W</v>
      </c>
      <c r="D344" s="124"/>
      <c r="E344" s="124"/>
      <c r="F344" s="124"/>
      <c r="G344" s="124"/>
      <c r="I344" s="124" t="n">
        <f aca="false">IF(MONTH($A344)=MONTH($A343),IF(G344=0,I343,G344),G344)</f>
        <v>0</v>
      </c>
      <c r="J344" s="124" t="n">
        <f aca="false">IF(MONTH($A344)=MONTH($A343),SUM(I344-I343),I344)</f>
        <v>0</v>
      </c>
      <c r="K344" s="124" t="n">
        <f aca="false">IF(WEEKDAY(A344,3)&gt;4,0,(IF(A344&lt;K$2,0,IF(A344&lt;=K$3,1,0))))</f>
        <v>0</v>
      </c>
      <c r="L344" s="124" t="n">
        <f aca="false">J344*K344</f>
        <v>0</v>
      </c>
      <c r="M344" s="124" t="n">
        <f aca="false">SUM(J$188:J344)</f>
        <v>-114718</v>
      </c>
      <c r="N344" s="124" t="n">
        <f aca="false">SUM(J$6:J344)</f>
        <v>-1648786</v>
      </c>
      <c r="P344" s="124" t="n">
        <f aca="false">D344/P$3</f>
        <v>0</v>
      </c>
      <c r="Q344" s="124" t="n">
        <f aca="false">E344/P$3</f>
        <v>0</v>
      </c>
      <c r="R344" s="124" t="n">
        <f aca="false">F344/R$3</f>
        <v>0</v>
      </c>
      <c r="S344" s="126" t="n">
        <f aca="false">J344/$R$3</f>
        <v>0</v>
      </c>
      <c r="T344" s="126" t="n">
        <f aca="false">L344/$R$3</f>
        <v>0</v>
      </c>
      <c r="U344" s="126" t="n">
        <f aca="false">I344/$R$3</f>
        <v>0</v>
      </c>
      <c r="V344" s="126" t="n">
        <f aca="false">M344/$R$3</f>
        <v>-114.718</v>
      </c>
      <c r="W344" s="126" t="n">
        <f aca="false">N344/$R$3</f>
        <v>-1648.786</v>
      </c>
    </row>
    <row r="345" customFormat="false" ht="12.75" hidden="false" customHeight="false" outlineLevel="0" collapsed="false">
      <c r="A345" s="120" t="n">
        <f aca="false">A344+1</f>
        <v>37231</v>
      </c>
      <c r="B345" s="131" t="str">
        <f aca="false">INDEX('Master Data'!$A$2:$B$8,MATCH(WEEKDAY('ARG Gas Transport'!A345,3),'Master Data'!$A$2:$A$8,0),2)</f>
        <v>Th</v>
      </c>
      <c r="D345" s="124"/>
      <c r="E345" s="124"/>
      <c r="F345" s="124"/>
      <c r="G345" s="124"/>
      <c r="I345" s="124" t="n">
        <f aca="false">IF(MONTH($A345)=MONTH($A344),IF(G345=0,I344,G345),G345)</f>
        <v>0</v>
      </c>
      <c r="J345" s="124" t="n">
        <f aca="false">IF(MONTH($A345)=MONTH($A344),SUM(I345-I344),I345)</f>
        <v>0</v>
      </c>
      <c r="K345" s="124" t="n">
        <f aca="false">IF(WEEKDAY(A345,3)&gt;4,0,(IF(A345&lt;K$2,0,IF(A345&lt;=K$3,1,0))))</f>
        <v>0</v>
      </c>
      <c r="L345" s="124" t="n">
        <f aca="false">J345*K345</f>
        <v>0</v>
      </c>
      <c r="M345" s="124" t="n">
        <f aca="false">SUM(J$188:J345)</f>
        <v>-114718</v>
      </c>
      <c r="N345" s="124" t="n">
        <f aca="false">SUM(J$6:J345)</f>
        <v>-1648786</v>
      </c>
      <c r="P345" s="124" t="n">
        <f aca="false">D345/P$3</f>
        <v>0</v>
      </c>
      <c r="Q345" s="124" t="n">
        <f aca="false">E345/P$3</f>
        <v>0</v>
      </c>
      <c r="R345" s="124" t="n">
        <f aca="false">F345/R$3</f>
        <v>0</v>
      </c>
      <c r="S345" s="126" t="n">
        <f aca="false">J345/$R$3</f>
        <v>0</v>
      </c>
      <c r="T345" s="126" t="n">
        <f aca="false">L345/$R$3</f>
        <v>0</v>
      </c>
      <c r="U345" s="126" t="n">
        <f aca="false">I345/$R$3</f>
        <v>0</v>
      </c>
      <c r="V345" s="126" t="n">
        <f aca="false">M345/$R$3</f>
        <v>-114.718</v>
      </c>
      <c r="W345" s="126" t="n">
        <f aca="false">N345/$R$3</f>
        <v>-1648.786</v>
      </c>
    </row>
    <row r="346" customFormat="false" ht="12.75" hidden="false" customHeight="false" outlineLevel="0" collapsed="false">
      <c r="A346" s="120" t="n">
        <f aca="false">A345+1</f>
        <v>37232</v>
      </c>
      <c r="B346" s="131" t="str">
        <f aca="false">INDEX('Master Data'!$A$2:$B$8,MATCH(WEEKDAY('ARG Gas Transport'!A346,3),'Master Data'!$A$2:$A$8,0),2)</f>
        <v>F</v>
      </c>
      <c r="D346" s="124"/>
      <c r="E346" s="124"/>
      <c r="F346" s="124"/>
      <c r="G346" s="124"/>
      <c r="I346" s="124" t="n">
        <f aca="false">IF(MONTH($A346)=MONTH($A345),IF(G346=0,I345,G346),G346)</f>
        <v>0</v>
      </c>
      <c r="J346" s="124" t="n">
        <f aca="false">IF(MONTH($A346)=MONTH($A345),SUM(I346-I345),I346)</f>
        <v>0</v>
      </c>
      <c r="K346" s="124" t="n">
        <f aca="false">IF(WEEKDAY(A346,3)&gt;4,0,(IF(A346&lt;K$2,0,IF(A346&lt;=K$3,1,0))))</f>
        <v>0</v>
      </c>
      <c r="L346" s="124" t="n">
        <f aca="false">J346*K346</f>
        <v>0</v>
      </c>
      <c r="M346" s="124" t="n">
        <f aca="false">SUM(J$188:J346)</f>
        <v>-114718</v>
      </c>
      <c r="N346" s="124" t="n">
        <f aca="false">SUM(J$6:J346)</f>
        <v>-1648786</v>
      </c>
      <c r="P346" s="124" t="n">
        <f aca="false">D346/P$3</f>
        <v>0</v>
      </c>
      <c r="Q346" s="124" t="n">
        <f aca="false">E346/P$3</f>
        <v>0</v>
      </c>
      <c r="R346" s="124" t="n">
        <f aca="false">F346/R$3</f>
        <v>0</v>
      </c>
      <c r="S346" s="126" t="n">
        <f aca="false">J346/$R$3</f>
        <v>0</v>
      </c>
      <c r="T346" s="126" t="n">
        <f aca="false">L346/$R$3</f>
        <v>0</v>
      </c>
      <c r="U346" s="126" t="n">
        <f aca="false">I346/$R$3</f>
        <v>0</v>
      </c>
      <c r="V346" s="126" t="n">
        <f aca="false">M346/$R$3</f>
        <v>-114.718</v>
      </c>
      <c r="W346" s="126" t="n">
        <f aca="false">N346/$R$3</f>
        <v>-1648.786</v>
      </c>
    </row>
    <row r="347" customFormat="false" ht="12.75" hidden="false" customHeight="false" outlineLevel="0" collapsed="false">
      <c r="A347" s="120" t="n">
        <f aca="false">A346+1</f>
        <v>37233</v>
      </c>
      <c r="B347" s="131" t="str">
        <f aca="false">INDEX('Master Data'!$A$2:$B$8,MATCH(WEEKDAY('ARG Gas Transport'!A347,3),'Master Data'!$A$2:$A$8,0),2)</f>
        <v>Sa</v>
      </c>
      <c r="D347" s="124"/>
      <c r="E347" s="124"/>
      <c r="F347" s="124"/>
      <c r="G347" s="124"/>
      <c r="I347" s="124" t="n">
        <f aca="false">IF(MONTH($A347)=MONTH($A346),IF(G347=0,I346,G347),G347)</f>
        <v>0</v>
      </c>
      <c r="J347" s="124" t="n">
        <f aca="false">IF(MONTH($A347)=MONTH($A346),SUM(I347-I346),I347)</f>
        <v>0</v>
      </c>
      <c r="K347" s="124" t="n">
        <f aca="false">IF(WEEKDAY(A347,3)&gt;4,0,(IF(A347&lt;K$2,0,IF(A347&lt;=K$3,1,0))))</f>
        <v>0</v>
      </c>
      <c r="L347" s="124" t="n">
        <f aca="false">J347*K347</f>
        <v>0</v>
      </c>
      <c r="M347" s="124" t="n">
        <f aca="false">SUM(J$188:J347)</f>
        <v>-114718</v>
      </c>
      <c r="N347" s="124" t="n">
        <f aca="false">SUM(J$6:J347)</f>
        <v>-1648786</v>
      </c>
      <c r="P347" s="124" t="n">
        <f aca="false">D347/P$3</f>
        <v>0</v>
      </c>
      <c r="Q347" s="124" t="n">
        <f aca="false">E347/P$3</f>
        <v>0</v>
      </c>
      <c r="R347" s="124" t="n">
        <f aca="false">F347/R$3</f>
        <v>0</v>
      </c>
      <c r="S347" s="126" t="n">
        <f aca="false">J347/$R$3</f>
        <v>0</v>
      </c>
      <c r="T347" s="126" t="n">
        <f aca="false">L347/$R$3</f>
        <v>0</v>
      </c>
      <c r="U347" s="126" t="n">
        <f aca="false">I347/$R$3</f>
        <v>0</v>
      </c>
      <c r="V347" s="126" t="n">
        <f aca="false">M347/$R$3</f>
        <v>-114.718</v>
      </c>
      <c r="W347" s="126" t="n">
        <f aca="false">N347/$R$3</f>
        <v>-1648.786</v>
      </c>
    </row>
    <row r="348" customFormat="false" ht="12.75" hidden="false" customHeight="false" outlineLevel="0" collapsed="false">
      <c r="A348" s="120" t="n">
        <f aca="false">A347+1</f>
        <v>37234</v>
      </c>
      <c r="B348" s="131" t="str">
        <f aca="false">INDEX('Master Data'!$A$2:$B$8,MATCH(WEEKDAY('ARG Gas Transport'!A348,3),'Master Data'!$A$2:$A$8,0),2)</f>
        <v>Su</v>
      </c>
      <c r="D348" s="124"/>
      <c r="E348" s="124"/>
      <c r="F348" s="124"/>
      <c r="G348" s="124"/>
      <c r="I348" s="124" t="n">
        <f aca="false">IF(MONTH($A348)=MONTH($A347),IF(G348=0,I347,G348),G348)</f>
        <v>0</v>
      </c>
      <c r="J348" s="124" t="n">
        <f aca="false">IF(MONTH($A348)=MONTH($A347),SUM(I348-I347),I348)</f>
        <v>0</v>
      </c>
      <c r="K348" s="124" t="n">
        <f aca="false">IF(WEEKDAY(A348,3)&gt;4,0,(IF(A348&lt;K$2,0,IF(A348&lt;=K$3,1,0))))</f>
        <v>0</v>
      </c>
      <c r="L348" s="124" t="n">
        <f aca="false">J348*K348</f>
        <v>0</v>
      </c>
      <c r="M348" s="124" t="n">
        <f aca="false">SUM(J$188:J348)</f>
        <v>-114718</v>
      </c>
      <c r="N348" s="124" t="n">
        <f aca="false">SUM(J$6:J348)</f>
        <v>-1648786</v>
      </c>
      <c r="P348" s="124" t="n">
        <f aca="false">D348/P$3</f>
        <v>0</v>
      </c>
      <c r="Q348" s="124" t="n">
        <f aca="false">E348/P$3</f>
        <v>0</v>
      </c>
      <c r="R348" s="124" t="n">
        <f aca="false">F348/R$3</f>
        <v>0</v>
      </c>
      <c r="S348" s="126" t="n">
        <f aca="false">J348/$R$3</f>
        <v>0</v>
      </c>
      <c r="T348" s="126" t="n">
        <f aca="false">L348/$R$3</f>
        <v>0</v>
      </c>
      <c r="U348" s="126" t="n">
        <f aca="false">I348/$R$3</f>
        <v>0</v>
      </c>
      <c r="V348" s="126" t="n">
        <f aca="false">M348/$R$3</f>
        <v>-114.718</v>
      </c>
      <c r="W348" s="126" t="n">
        <f aca="false">N348/$R$3</f>
        <v>-1648.786</v>
      </c>
    </row>
    <row r="349" customFormat="false" ht="12.75" hidden="false" customHeight="false" outlineLevel="0" collapsed="false">
      <c r="A349" s="120" t="n">
        <f aca="false">A348+1</f>
        <v>37235</v>
      </c>
      <c r="B349" s="131" t="str">
        <f aca="false">INDEX('Master Data'!$A$2:$B$8,MATCH(WEEKDAY('ARG Gas Transport'!A349,3),'Master Data'!$A$2:$A$8,0),2)</f>
        <v>M</v>
      </c>
      <c r="D349" s="124"/>
      <c r="E349" s="124"/>
      <c r="F349" s="124"/>
      <c r="G349" s="124"/>
      <c r="I349" s="124" t="n">
        <f aca="false">IF(MONTH($A349)=MONTH($A348),IF(G349=0,I348,G349),G349)</f>
        <v>0</v>
      </c>
      <c r="J349" s="124" t="n">
        <f aca="false">IF(MONTH($A349)=MONTH($A348),SUM(I349-I348),I349)</f>
        <v>0</v>
      </c>
      <c r="K349" s="124" t="n">
        <f aca="false">IF(WEEKDAY(A349,3)&gt;4,0,(IF(A349&lt;K$2,0,IF(A349&lt;=K$3,1,0))))</f>
        <v>0</v>
      </c>
      <c r="L349" s="124" t="n">
        <f aca="false">J349*K349</f>
        <v>0</v>
      </c>
      <c r="M349" s="124" t="n">
        <f aca="false">SUM(J$188:J349)</f>
        <v>-114718</v>
      </c>
      <c r="N349" s="124" t="n">
        <f aca="false">SUM(J$6:J349)</f>
        <v>-1648786</v>
      </c>
      <c r="P349" s="124" t="n">
        <f aca="false">D349/P$3</f>
        <v>0</v>
      </c>
      <c r="Q349" s="124" t="n">
        <f aca="false">E349/P$3</f>
        <v>0</v>
      </c>
      <c r="R349" s="124" t="n">
        <f aca="false">F349/R$3</f>
        <v>0</v>
      </c>
      <c r="S349" s="126" t="n">
        <f aca="false">J349/$R$3</f>
        <v>0</v>
      </c>
      <c r="T349" s="126" t="n">
        <f aca="false">L349/$R$3</f>
        <v>0</v>
      </c>
      <c r="U349" s="126" t="n">
        <f aca="false">I349/$R$3</f>
        <v>0</v>
      </c>
      <c r="V349" s="126" t="n">
        <f aca="false">M349/$R$3</f>
        <v>-114.718</v>
      </c>
      <c r="W349" s="126" t="n">
        <f aca="false">N349/$R$3</f>
        <v>-1648.786</v>
      </c>
    </row>
    <row r="350" customFormat="false" ht="12.75" hidden="false" customHeight="false" outlineLevel="0" collapsed="false">
      <c r="A350" s="120" t="n">
        <f aca="false">A349+1</f>
        <v>37236</v>
      </c>
      <c r="B350" s="131" t="str">
        <f aca="false">INDEX('Master Data'!$A$2:$B$8,MATCH(WEEKDAY('ARG Gas Transport'!A350,3),'Master Data'!$A$2:$A$8,0),2)</f>
        <v>T</v>
      </c>
      <c r="D350" s="124"/>
      <c r="E350" s="124"/>
      <c r="F350" s="124"/>
      <c r="G350" s="124"/>
      <c r="I350" s="124" t="n">
        <f aca="false">IF(MONTH($A350)=MONTH($A349),IF(G350=0,I349,G350),G350)</f>
        <v>0</v>
      </c>
      <c r="J350" s="124" t="n">
        <f aca="false">IF(MONTH($A350)=MONTH($A349),SUM(I350-I349),I350)</f>
        <v>0</v>
      </c>
      <c r="K350" s="124" t="n">
        <f aca="false">IF(WEEKDAY(A350,3)&gt;4,0,(IF(A350&lt;K$2,0,IF(A350&lt;=K$3,1,0))))</f>
        <v>0</v>
      </c>
      <c r="L350" s="124" t="n">
        <f aca="false">J350*K350</f>
        <v>0</v>
      </c>
      <c r="M350" s="124" t="n">
        <f aca="false">SUM(J$188:J350)</f>
        <v>-114718</v>
      </c>
      <c r="N350" s="124" t="n">
        <f aca="false">SUM(J$6:J350)</f>
        <v>-1648786</v>
      </c>
      <c r="P350" s="124" t="n">
        <f aca="false">D350/P$3</f>
        <v>0</v>
      </c>
      <c r="Q350" s="124" t="n">
        <f aca="false">E350/P$3</f>
        <v>0</v>
      </c>
      <c r="R350" s="124" t="n">
        <f aca="false">F350/R$3</f>
        <v>0</v>
      </c>
      <c r="S350" s="126" t="n">
        <f aca="false">J350/$R$3</f>
        <v>0</v>
      </c>
      <c r="T350" s="126" t="n">
        <f aca="false">L350/$R$3</f>
        <v>0</v>
      </c>
      <c r="U350" s="126" t="n">
        <f aca="false">I350/$R$3</f>
        <v>0</v>
      </c>
      <c r="V350" s="126" t="n">
        <f aca="false">M350/$R$3</f>
        <v>-114.718</v>
      </c>
      <c r="W350" s="126" t="n">
        <f aca="false">N350/$R$3</f>
        <v>-1648.786</v>
      </c>
    </row>
    <row r="351" customFormat="false" ht="12.75" hidden="false" customHeight="false" outlineLevel="0" collapsed="false">
      <c r="A351" s="120" t="n">
        <f aca="false">A350+1</f>
        <v>37237</v>
      </c>
      <c r="B351" s="131" t="str">
        <f aca="false">INDEX('Master Data'!$A$2:$B$8,MATCH(WEEKDAY('ARG Gas Transport'!A351,3),'Master Data'!$A$2:$A$8,0),2)</f>
        <v>W</v>
      </c>
      <c r="D351" s="124"/>
      <c r="E351" s="124"/>
      <c r="F351" s="124"/>
      <c r="G351" s="124"/>
      <c r="I351" s="124" t="n">
        <f aca="false">IF(MONTH($A351)=MONTH($A350),IF(G351=0,I350,G351),G351)</f>
        <v>0</v>
      </c>
      <c r="J351" s="124" t="n">
        <f aca="false">IF(MONTH($A351)=MONTH($A350),SUM(I351-I350),I351)</f>
        <v>0</v>
      </c>
      <c r="K351" s="124" t="n">
        <f aca="false">IF(WEEKDAY(A351,3)&gt;4,0,(IF(A351&lt;K$2,0,IF(A351&lt;=K$3,1,0))))</f>
        <v>0</v>
      </c>
      <c r="L351" s="124" t="n">
        <f aca="false">J351*K351</f>
        <v>0</v>
      </c>
      <c r="M351" s="124" t="n">
        <f aca="false">SUM(J$188:J351)</f>
        <v>-114718</v>
      </c>
      <c r="N351" s="124" t="n">
        <f aca="false">SUM(J$6:J351)</f>
        <v>-1648786</v>
      </c>
      <c r="P351" s="124" t="n">
        <f aca="false">D351/P$3</f>
        <v>0</v>
      </c>
      <c r="Q351" s="124" t="n">
        <f aca="false">E351/P$3</f>
        <v>0</v>
      </c>
      <c r="R351" s="124" t="n">
        <f aca="false">F351/R$3</f>
        <v>0</v>
      </c>
      <c r="S351" s="126" t="n">
        <f aca="false">J351/$R$3</f>
        <v>0</v>
      </c>
      <c r="T351" s="126" t="n">
        <f aca="false">L351/$R$3</f>
        <v>0</v>
      </c>
      <c r="U351" s="126" t="n">
        <f aca="false">I351/$R$3</f>
        <v>0</v>
      </c>
      <c r="V351" s="126" t="n">
        <f aca="false">M351/$R$3</f>
        <v>-114.718</v>
      </c>
      <c r="W351" s="126" t="n">
        <f aca="false">N351/$R$3</f>
        <v>-1648.786</v>
      </c>
    </row>
    <row r="352" customFormat="false" ht="12.75" hidden="false" customHeight="false" outlineLevel="0" collapsed="false">
      <c r="A352" s="120" t="n">
        <f aca="false">A351+1</f>
        <v>37238</v>
      </c>
      <c r="B352" s="131" t="str">
        <f aca="false">INDEX('Master Data'!$A$2:$B$8,MATCH(WEEKDAY('ARG Gas Transport'!A352,3),'Master Data'!$A$2:$A$8,0),2)</f>
        <v>Th</v>
      </c>
      <c r="D352" s="124"/>
      <c r="E352" s="124"/>
      <c r="F352" s="124"/>
      <c r="G352" s="124"/>
      <c r="I352" s="124" t="n">
        <f aca="false">IF(MONTH($A352)=MONTH($A351),IF(G352=0,I351,G352),G352)</f>
        <v>0</v>
      </c>
      <c r="J352" s="124" t="n">
        <f aca="false">IF(MONTH($A352)=MONTH($A351),SUM(I352-I351),I352)</f>
        <v>0</v>
      </c>
      <c r="K352" s="124" t="n">
        <f aca="false">IF(WEEKDAY(A352,3)&gt;4,0,(IF(A352&lt;K$2,0,IF(A352&lt;=K$3,1,0))))</f>
        <v>0</v>
      </c>
      <c r="L352" s="124" t="n">
        <f aca="false">J352*K352</f>
        <v>0</v>
      </c>
      <c r="M352" s="124" t="n">
        <f aca="false">SUM(J$188:J352)</f>
        <v>-114718</v>
      </c>
      <c r="N352" s="124" t="n">
        <f aca="false">SUM(J$6:J352)</f>
        <v>-1648786</v>
      </c>
      <c r="P352" s="124" t="n">
        <f aca="false">D352/P$3</f>
        <v>0</v>
      </c>
      <c r="Q352" s="124" t="n">
        <f aca="false">E352/P$3</f>
        <v>0</v>
      </c>
      <c r="R352" s="124" t="n">
        <f aca="false">F352/R$3</f>
        <v>0</v>
      </c>
      <c r="S352" s="126" t="n">
        <f aca="false">J352/$R$3</f>
        <v>0</v>
      </c>
      <c r="T352" s="126" t="n">
        <f aca="false">L352/$R$3</f>
        <v>0</v>
      </c>
      <c r="U352" s="126" t="n">
        <f aca="false">I352/$R$3</f>
        <v>0</v>
      </c>
      <c r="V352" s="126" t="n">
        <f aca="false">M352/$R$3</f>
        <v>-114.718</v>
      </c>
      <c r="W352" s="126" t="n">
        <f aca="false">N352/$R$3</f>
        <v>-1648.786</v>
      </c>
    </row>
    <row r="353" customFormat="false" ht="12.75" hidden="false" customHeight="false" outlineLevel="0" collapsed="false">
      <c r="A353" s="120" t="n">
        <f aca="false">A352+1</f>
        <v>37239</v>
      </c>
      <c r="B353" s="131" t="str">
        <f aca="false">INDEX('Master Data'!$A$2:$B$8,MATCH(WEEKDAY('ARG Gas Transport'!A353,3),'Master Data'!$A$2:$A$8,0),2)</f>
        <v>F</v>
      </c>
      <c r="D353" s="124"/>
      <c r="E353" s="124"/>
      <c r="F353" s="124"/>
      <c r="G353" s="124"/>
      <c r="I353" s="124" t="n">
        <f aca="false">IF(MONTH($A353)=MONTH($A352),IF(G353=0,I352,G353),G353)</f>
        <v>0</v>
      </c>
      <c r="J353" s="124" t="n">
        <f aca="false">IF(MONTH($A353)=MONTH($A352),SUM(I353-I352),I353)</f>
        <v>0</v>
      </c>
      <c r="K353" s="124" t="n">
        <f aca="false">IF(WEEKDAY(A353,3)&gt;4,0,(IF(A353&lt;K$2,0,IF(A353&lt;=K$3,1,0))))</f>
        <v>0</v>
      </c>
      <c r="L353" s="124" t="n">
        <f aca="false">J353*K353</f>
        <v>0</v>
      </c>
      <c r="M353" s="124" t="n">
        <f aca="false">SUM(J$188:J353)</f>
        <v>-114718</v>
      </c>
      <c r="N353" s="124" t="n">
        <f aca="false">SUM(J$6:J353)</f>
        <v>-1648786</v>
      </c>
      <c r="P353" s="124" t="n">
        <f aca="false">D353/P$3</f>
        <v>0</v>
      </c>
      <c r="Q353" s="124" t="n">
        <f aca="false">E353/P$3</f>
        <v>0</v>
      </c>
      <c r="R353" s="124" t="n">
        <f aca="false">F353/R$3</f>
        <v>0</v>
      </c>
      <c r="S353" s="126" t="n">
        <f aca="false">J353/$R$3</f>
        <v>0</v>
      </c>
      <c r="T353" s="126" t="n">
        <f aca="false">L353/$R$3</f>
        <v>0</v>
      </c>
      <c r="U353" s="126" t="n">
        <f aca="false">I353/$R$3</f>
        <v>0</v>
      </c>
      <c r="V353" s="126" t="n">
        <f aca="false">M353/$R$3</f>
        <v>-114.718</v>
      </c>
      <c r="W353" s="126" t="n">
        <f aca="false">N353/$R$3</f>
        <v>-1648.786</v>
      </c>
    </row>
    <row r="354" customFormat="false" ht="12.75" hidden="false" customHeight="false" outlineLevel="0" collapsed="false">
      <c r="A354" s="120" t="n">
        <f aca="false">A353+1</f>
        <v>37240</v>
      </c>
      <c r="B354" s="131" t="str">
        <f aca="false">INDEX('Master Data'!$A$2:$B$8,MATCH(WEEKDAY('ARG Gas Transport'!A354,3),'Master Data'!$A$2:$A$8,0),2)</f>
        <v>Sa</v>
      </c>
      <c r="D354" s="124"/>
      <c r="E354" s="124"/>
      <c r="F354" s="124"/>
      <c r="G354" s="124"/>
      <c r="I354" s="124" t="n">
        <f aca="false">IF(MONTH($A354)=MONTH($A353),IF(G354=0,I353,G354),G354)</f>
        <v>0</v>
      </c>
      <c r="J354" s="124" t="n">
        <f aca="false">IF(MONTH($A354)=MONTH($A353),SUM(I354-I353),I354)</f>
        <v>0</v>
      </c>
      <c r="K354" s="124" t="n">
        <f aca="false">IF(WEEKDAY(A354,3)&gt;4,0,(IF(A354&lt;K$2,0,IF(A354&lt;=K$3,1,0))))</f>
        <v>0</v>
      </c>
      <c r="L354" s="124" t="n">
        <f aca="false">J354*K354</f>
        <v>0</v>
      </c>
      <c r="M354" s="124" t="n">
        <f aca="false">SUM(J$188:J354)</f>
        <v>-114718</v>
      </c>
      <c r="N354" s="124" t="n">
        <f aca="false">SUM(J$6:J354)</f>
        <v>-1648786</v>
      </c>
      <c r="P354" s="124" t="n">
        <f aca="false">D354/P$3</f>
        <v>0</v>
      </c>
      <c r="Q354" s="124" t="n">
        <f aca="false">E354/P$3</f>
        <v>0</v>
      </c>
      <c r="R354" s="124" t="n">
        <f aca="false">F354/R$3</f>
        <v>0</v>
      </c>
      <c r="S354" s="126" t="n">
        <f aca="false">J354/$R$3</f>
        <v>0</v>
      </c>
      <c r="T354" s="126" t="n">
        <f aca="false">L354/$R$3</f>
        <v>0</v>
      </c>
      <c r="U354" s="126" t="n">
        <f aca="false">I354/$R$3</f>
        <v>0</v>
      </c>
      <c r="V354" s="126" t="n">
        <f aca="false">M354/$R$3</f>
        <v>-114.718</v>
      </c>
      <c r="W354" s="126" t="n">
        <f aca="false">N354/$R$3</f>
        <v>-1648.786</v>
      </c>
    </row>
    <row r="355" customFormat="false" ht="12.75" hidden="false" customHeight="false" outlineLevel="0" collapsed="false">
      <c r="A355" s="120" t="n">
        <f aca="false">A354+1</f>
        <v>37241</v>
      </c>
      <c r="B355" s="131" t="str">
        <f aca="false">INDEX('Master Data'!$A$2:$B$8,MATCH(WEEKDAY('ARG Gas Transport'!A355,3),'Master Data'!$A$2:$A$8,0),2)</f>
        <v>Su</v>
      </c>
      <c r="D355" s="124"/>
      <c r="E355" s="124"/>
      <c r="F355" s="124"/>
      <c r="G355" s="124"/>
      <c r="I355" s="124" t="n">
        <f aca="false">IF(MONTH($A355)=MONTH($A354),IF(G355=0,I354,G355),G355)</f>
        <v>0</v>
      </c>
      <c r="J355" s="124" t="n">
        <f aca="false">IF(MONTH($A355)=MONTH($A354),SUM(I355-I354),I355)</f>
        <v>0</v>
      </c>
      <c r="K355" s="124" t="n">
        <f aca="false">IF(WEEKDAY(A355,3)&gt;4,0,(IF(A355&lt;K$2,0,IF(A355&lt;=K$3,1,0))))</f>
        <v>0</v>
      </c>
      <c r="L355" s="124" t="n">
        <f aca="false">J355*K355</f>
        <v>0</v>
      </c>
      <c r="M355" s="124" t="n">
        <f aca="false">SUM(J$188:J355)</f>
        <v>-114718</v>
      </c>
      <c r="N355" s="124" t="n">
        <f aca="false">SUM(J$6:J355)</f>
        <v>-1648786</v>
      </c>
      <c r="P355" s="124" t="n">
        <f aca="false">D355/P$3</f>
        <v>0</v>
      </c>
      <c r="Q355" s="124" t="n">
        <f aca="false">E355/P$3</f>
        <v>0</v>
      </c>
      <c r="R355" s="124" t="n">
        <f aca="false">F355/R$3</f>
        <v>0</v>
      </c>
      <c r="S355" s="126" t="n">
        <f aca="false">J355/$R$3</f>
        <v>0</v>
      </c>
      <c r="T355" s="126" t="n">
        <f aca="false">L355/$R$3</f>
        <v>0</v>
      </c>
      <c r="U355" s="126" t="n">
        <f aca="false">I355/$R$3</f>
        <v>0</v>
      </c>
      <c r="V355" s="126" t="n">
        <f aca="false">M355/$R$3</f>
        <v>-114.718</v>
      </c>
      <c r="W355" s="126" t="n">
        <f aca="false">N355/$R$3</f>
        <v>-1648.786</v>
      </c>
    </row>
    <row r="356" customFormat="false" ht="12.75" hidden="false" customHeight="false" outlineLevel="0" collapsed="false">
      <c r="A356" s="120" t="n">
        <f aca="false">A355+1</f>
        <v>37242</v>
      </c>
      <c r="B356" s="131" t="str">
        <f aca="false">INDEX('Master Data'!$A$2:$B$8,MATCH(WEEKDAY('ARG Gas Transport'!A356,3),'Master Data'!$A$2:$A$8,0),2)</f>
        <v>M</v>
      </c>
      <c r="D356" s="124"/>
      <c r="E356" s="124"/>
      <c r="F356" s="124"/>
      <c r="G356" s="124"/>
      <c r="I356" s="124" t="n">
        <f aca="false">IF(MONTH($A356)=MONTH($A355),IF(G356=0,I355,G356),G356)</f>
        <v>0</v>
      </c>
      <c r="J356" s="124" t="n">
        <f aca="false">IF(MONTH($A356)=MONTH($A355),SUM(I356-I355),I356)</f>
        <v>0</v>
      </c>
      <c r="K356" s="124" t="n">
        <f aca="false">IF(WEEKDAY(A356,3)&gt;4,0,(IF(A356&lt;K$2,0,IF(A356&lt;=K$3,1,0))))</f>
        <v>0</v>
      </c>
      <c r="L356" s="124" t="n">
        <f aca="false">J356*K356</f>
        <v>0</v>
      </c>
      <c r="M356" s="124" t="n">
        <f aca="false">SUM(J$188:J356)</f>
        <v>-114718</v>
      </c>
      <c r="N356" s="124" t="n">
        <f aca="false">SUM(J$6:J356)</f>
        <v>-1648786</v>
      </c>
      <c r="P356" s="124" t="n">
        <f aca="false">D356/P$3</f>
        <v>0</v>
      </c>
      <c r="Q356" s="124" t="n">
        <f aca="false">E356/P$3</f>
        <v>0</v>
      </c>
      <c r="R356" s="124" t="n">
        <f aca="false">F356/R$3</f>
        <v>0</v>
      </c>
      <c r="S356" s="126" t="n">
        <f aca="false">J356/$R$3</f>
        <v>0</v>
      </c>
      <c r="T356" s="126" t="n">
        <f aca="false">L356/$R$3</f>
        <v>0</v>
      </c>
      <c r="U356" s="126" t="n">
        <f aca="false">I356/$R$3</f>
        <v>0</v>
      </c>
      <c r="V356" s="126" t="n">
        <f aca="false">M356/$R$3</f>
        <v>-114.718</v>
      </c>
      <c r="W356" s="126" t="n">
        <f aca="false">N356/$R$3</f>
        <v>-1648.786</v>
      </c>
    </row>
    <row r="357" customFormat="false" ht="12.75" hidden="false" customHeight="false" outlineLevel="0" collapsed="false">
      <c r="A357" s="120" t="n">
        <f aca="false">A356+1</f>
        <v>37243</v>
      </c>
      <c r="B357" s="131" t="str">
        <f aca="false">INDEX('Master Data'!$A$2:$B$8,MATCH(WEEKDAY('ARG Gas Transport'!A357,3),'Master Data'!$A$2:$A$8,0),2)</f>
        <v>T</v>
      </c>
      <c r="D357" s="124"/>
      <c r="E357" s="124"/>
      <c r="F357" s="124"/>
      <c r="G357" s="124"/>
      <c r="I357" s="124" t="n">
        <f aca="false">IF(MONTH($A357)=MONTH($A356),IF(G357=0,I356,G357),G357)</f>
        <v>0</v>
      </c>
      <c r="J357" s="124" t="n">
        <f aca="false">IF(MONTH($A357)=MONTH($A356),SUM(I357-I356),I357)</f>
        <v>0</v>
      </c>
      <c r="K357" s="124" t="n">
        <f aca="false">IF(WEEKDAY(A357,3)&gt;4,0,(IF(A357&lt;K$2,0,IF(A357&lt;=K$3,1,0))))</f>
        <v>0</v>
      </c>
      <c r="L357" s="124" t="n">
        <f aca="false">J357*K357</f>
        <v>0</v>
      </c>
      <c r="M357" s="124" t="n">
        <f aca="false">SUM(J$188:J357)</f>
        <v>-114718</v>
      </c>
      <c r="N357" s="124" t="n">
        <f aca="false">SUM(J$6:J357)</f>
        <v>-1648786</v>
      </c>
      <c r="P357" s="124" t="n">
        <f aca="false">D357/P$3</f>
        <v>0</v>
      </c>
      <c r="Q357" s="124" t="n">
        <f aca="false">E357/P$3</f>
        <v>0</v>
      </c>
      <c r="R357" s="124" t="n">
        <f aca="false">F357/R$3</f>
        <v>0</v>
      </c>
      <c r="S357" s="126" t="n">
        <f aca="false">J357/$R$3</f>
        <v>0</v>
      </c>
      <c r="T357" s="126" t="n">
        <f aca="false">L357/$R$3</f>
        <v>0</v>
      </c>
      <c r="U357" s="126" t="n">
        <f aca="false">I357/$R$3</f>
        <v>0</v>
      </c>
      <c r="V357" s="126" t="n">
        <f aca="false">M357/$R$3</f>
        <v>-114.718</v>
      </c>
      <c r="W357" s="126" t="n">
        <f aca="false">N357/$R$3</f>
        <v>-1648.786</v>
      </c>
    </row>
    <row r="358" customFormat="false" ht="12.75" hidden="false" customHeight="false" outlineLevel="0" collapsed="false">
      <c r="A358" s="120" t="n">
        <f aca="false">A357+1</f>
        <v>37244</v>
      </c>
      <c r="B358" s="131" t="str">
        <f aca="false">INDEX('Master Data'!$A$2:$B$8,MATCH(WEEKDAY('ARG Gas Transport'!A358,3),'Master Data'!$A$2:$A$8,0),2)</f>
        <v>W</v>
      </c>
      <c r="D358" s="124"/>
      <c r="E358" s="124"/>
      <c r="F358" s="124"/>
      <c r="G358" s="124"/>
      <c r="I358" s="124" t="n">
        <f aca="false">IF(MONTH($A358)=MONTH($A357),IF(G358=0,I357,G358),G358)</f>
        <v>0</v>
      </c>
      <c r="J358" s="124" t="n">
        <f aca="false">IF(MONTH($A358)=MONTH($A357),SUM(I358-I357),I358)</f>
        <v>0</v>
      </c>
      <c r="K358" s="124" t="n">
        <f aca="false">IF(WEEKDAY(A358,3)&gt;4,0,(IF(A358&lt;K$2,0,IF(A358&lt;=K$3,1,0))))</f>
        <v>0</v>
      </c>
      <c r="L358" s="124" t="n">
        <f aca="false">J358*K358</f>
        <v>0</v>
      </c>
      <c r="M358" s="124" t="n">
        <f aca="false">SUM(J$188:J358)</f>
        <v>-114718</v>
      </c>
      <c r="N358" s="124" t="n">
        <f aca="false">SUM(J$6:J358)</f>
        <v>-1648786</v>
      </c>
      <c r="P358" s="124" t="n">
        <f aca="false">D358/P$3</f>
        <v>0</v>
      </c>
      <c r="Q358" s="124" t="n">
        <f aca="false">E358/P$3</f>
        <v>0</v>
      </c>
      <c r="R358" s="124" t="n">
        <f aca="false">F358/R$3</f>
        <v>0</v>
      </c>
      <c r="S358" s="126" t="n">
        <f aca="false">J358/$R$3</f>
        <v>0</v>
      </c>
      <c r="T358" s="126" t="n">
        <f aca="false">L358/$R$3</f>
        <v>0</v>
      </c>
      <c r="U358" s="126" t="n">
        <f aca="false">I358/$R$3</f>
        <v>0</v>
      </c>
      <c r="V358" s="126" t="n">
        <f aca="false">M358/$R$3</f>
        <v>-114.718</v>
      </c>
      <c r="W358" s="126" t="n">
        <f aca="false">N358/$R$3</f>
        <v>-1648.786</v>
      </c>
    </row>
    <row r="359" customFormat="false" ht="12.75" hidden="false" customHeight="false" outlineLevel="0" collapsed="false">
      <c r="A359" s="120" t="n">
        <f aca="false">A358+1</f>
        <v>37245</v>
      </c>
      <c r="B359" s="131" t="str">
        <f aca="false">INDEX('Master Data'!$A$2:$B$8,MATCH(WEEKDAY('ARG Gas Transport'!A359,3),'Master Data'!$A$2:$A$8,0),2)</f>
        <v>Th</v>
      </c>
      <c r="D359" s="124"/>
      <c r="E359" s="124"/>
      <c r="F359" s="124"/>
      <c r="G359" s="124"/>
      <c r="I359" s="124" t="n">
        <f aca="false">IF(MONTH($A359)=MONTH($A358),IF(G359=0,I358,G359),G359)</f>
        <v>0</v>
      </c>
      <c r="J359" s="124" t="n">
        <f aca="false">IF(MONTH($A359)=MONTH($A358),SUM(I359-I358),I359)</f>
        <v>0</v>
      </c>
      <c r="K359" s="124" t="n">
        <f aca="false">IF(WEEKDAY(A359,3)&gt;4,0,(IF(A359&lt;K$2,0,IF(A359&lt;=K$3,1,0))))</f>
        <v>0</v>
      </c>
      <c r="L359" s="124" t="n">
        <f aca="false">J359*K359</f>
        <v>0</v>
      </c>
      <c r="M359" s="124" t="n">
        <f aca="false">SUM(J$188:J359)</f>
        <v>-114718</v>
      </c>
      <c r="N359" s="124" t="n">
        <f aca="false">SUM(J$6:J359)</f>
        <v>-1648786</v>
      </c>
      <c r="P359" s="124" t="n">
        <f aca="false">D359/P$3</f>
        <v>0</v>
      </c>
      <c r="Q359" s="124" t="n">
        <f aca="false">E359/P$3</f>
        <v>0</v>
      </c>
      <c r="R359" s="124" t="n">
        <f aca="false">F359/R$3</f>
        <v>0</v>
      </c>
      <c r="S359" s="126" t="n">
        <f aca="false">J359/$R$3</f>
        <v>0</v>
      </c>
      <c r="T359" s="126" t="n">
        <f aca="false">L359/$R$3</f>
        <v>0</v>
      </c>
      <c r="U359" s="126" t="n">
        <f aca="false">I359/$R$3</f>
        <v>0</v>
      </c>
      <c r="V359" s="126" t="n">
        <f aca="false">M359/$R$3</f>
        <v>-114.718</v>
      </c>
      <c r="W359" s="126" t="n">
        <f aca="false">N359/$R$3</f>
        <v>-1648.786</v>
      </c>
    </row>
    <row r="360" customFormat="false" ht="12.75" hidden="false" customHeight="false" outlineLevel="0" collapsed="false">
      <c r="A360" s="120" t="n">
        <f aca="false">A359+1</f>
        <v>37246</v>
      </c>
      <c r="B360" s="131" t="str">
        <f aca="false">INDEX('Master Data'!$A$2:$B$8,MATCH(WEEKDAY('ARG Gas Transport'!A360,3),'Master Data'!$A$2:$A$8,0),2)</f>
        <v>F</v>
      </c>
      <c r="D360" s="124"/>
      <c r="E360" s="124"/>
      <c r="F360" s="124"/>
      <c r="G360" s="124"/>
      <c r="I360" s="124" t="n">
        <f aca="false">IF(MONTH($A360)=MONTH($A359),IF(G360=0,I359,G360),G360)</f>
        <v>0</v>
      </c>
      <c r="J360" s="124" t="n">
        <f aca="false">IF(MONTH($A360)=MONTH($A359),SUM(I360-I359),I360)</f>
        <v>0</v>
      </c>
      <c r="K360" s="124" t="n">
        <f aca="false">IF(WEEKDAY(A360,3)&gt;4,0,(IF(A360&lt;K$2,0,IF(A360&lt;=K$3,1,0))))</f>
        <v>0</v>
      </c>
      <c r="L360" s="124" t="n">
        <f aca="false">J360*K360</f>
        <v>0</v>
      </c>
      <c r="M360" s="124" t="n">
        <f aca="false">SUM(J$188:J360)</f>
        <v>-114718</v>
      </c>
      <c r="N360" s="124" t="n">
        <f aca="false">SUM(J$6:J360)</f>
        <v>-1648786</v>
      </c>
      <c r="P360" s="124" t="n">
        <f aca="false">D360/P$3</f>
        <v>0</v>
      </c>
      <c r="Q360" s="124" t="n">
        <f aca="false">E360/P$3</f>
        <v>0</v>
      </c>
      <c r="R360" s="124" t="n">
        <f aca="false">F360/R$3</f>
        <v>0</v>
      </c>
      <c r="S360" s="126" t="n">
        <f aca="false">J360/$R$3</f>
        <v>0</v>
      </c>
      <c r="T360" s="126" t="n">
        <f aca="false">L360/$R$3</f>
        <v>0</v>
      </c>
      <c r="U360" s="126" t="n">
        <f aca="false">I360/$R$3</f>
        <v>0</v>
      </c>
      <c r="V360" s="126" t="n">
        <f aca="false">M360/$R$3</f>
        <v>-114.718</v>
      </c>
      <c r="W360" s="126" t="n">
        <f aca="false">N360/$R$3</f>
        <v>-1648.786</v>
      </c>
    </row>
    <row r="361" customFormat="false" ht="12.75" hidden="false" customHeight="false" outlineLevel="0" collapsed="false">
      <c r="A361" s="120" t="n">
        <f aca="false">A360+1</f>
        <v>37247</v>
      </c>
      <c r="B361" s="131" t="str">
        <f aca="false">INDEX('Master Data'!$A$2:$B$8,MATCH(WEEKDAY('ARG Gas Transport'!A361,3),'Master Data'!$A$2:$A$8,0),2)</f>
        <v>Sa</v>
      </c>
      <c r="D361" s="124"/>
      <c r="E361" s="124"/>
      <c r="F361" s="124"/>
      <c r="G361" s="124"/>
      <c r="I361" s="124" t="n">
        <f aca="false">IF(MONTH($A361)=MONTH($A360),IF(G361=0,I360,G361),G361)</f>
        <v>0</v>
      </c>
      <c r="J361" s="124" t="n">
        <f aca="false">IF(MONTH($A361)=MONTH($A360),SUM(I361-I360),I361)</f>
        <v>0</v>
      </c>
      <c r="K361" s="124" t="n">
        <f aca="false">IF(WEEKDAY(A361,3)&gt;4,0,(IF(A361&lt;K$2,0,IF(A361&lt;=K$3,1,0))))</f>
        <v>0</v>
      </c>
      <c r="L361" s="124" t="n">
        <f aca="false">J361*K361</f>
        <v>0</v>
      </c>
      <c r="M361" s="124" t="n">
        <f aca="false">SUM(J$188:J361)</f>
        <v>-114718</v>
      </c>
      <c r="N361" s="124" t="n">
        <f aca="false">SUM(J$6:J361)</f>
        <v>-1648786</v>
      </c>
      <c r="P361" s="124" t="n">
        <f aca="false">D361/P$3</f>
        <v>0</v>
      </c>
      <c r="Q361" s="124" t="n">
        <f aca="false">E361/P$3</f>
        <v>0</v>
      </c>
      <c r="R361" s="124" t="n">
        <f aca="false">F361/R$3</f>
        <v>0</v>
      </c>
      <c r="S361" s="126" t="n">
        <f aca="false">J361/$R$3</f>
        <v>0</v>
      </c>
      <c r="T361" s="126" t="n">
        <f aca="false">L361/$R$3</f>
        <v>0</v>
      </c>
      <c r="U361" s="126" t="n">
        <f aca="false">I361/$R$3</f>
        <v>0</v>
      </c>
      <c r="V361" s="126" t="n">
        <f aca="false">M361/$R$3</f>
        <v>-114.718</v>
      </c>
      <c r="W361" s="126" t="n">
        <f aca="false">N361/$R$3</f>
        <v>-1648.786</v>
      </c>
    </row>
    <row r="362" customFormat="false" ht="12.75" hidden="false" customHeight="false" outlineLevel="0" collapsed="false">
      <c r="A362" s="120" t="n">
        <f aca="false">A361+1</f>
        <v>37248</v>
      </c>
      <c r="B362" s="131" t="str">
        <f aca="false">INDEX('Master Data'!$A$2:$B$8,MATCH(WEEKDAY('ARG Gas Transport'!A362,3),'Master Data'!$A$2:$A$8,0),2)</f>
        <v>Su</v>
      </c>
      <c r="D362" s="124"/>
      <c r="E362" s="124"/>
      <c r="F362" s="124"/>
      <c r="G362" s="124"/>
      <c r="I362" s="124" t="n">
        <f aca="false">IF(MONTH($A362)=MONTH($A361),IF(G362=0,I361,G362),G362)</f>
        <v>0</v>
      </c>
      <c r="J362" s="124" t="n">
        <f aca="false">IF(MONTH($A362)=MONTH($A361),SUM(I362-I361),I362)</f>
        <v>0</v>
      </c>
      <c r="K362" s="124" t="n">
        <f aca="false">IF(WEEKDAY(A362,3)&gt;4,0,(IF(A362&lt;K$2,0,IF(A362&lt;=K$3,1,0))))</f>
        <v>0</v>
      </c>
      <c r="L362" s="124" t="n">
        <f aca="false">J362*K362</f>
        <v>0</v>
      </c>
      <c r="M362" s="124" t="n">
        <f aca="false">SUM(J$188:J362)</f>
        <v>-114718</v>
      </c>
      <c r="N362" s="124" t="n">
        <f aca="false">SUM(J$6:J362)</f>
        <v>-1648786</v>
      </c>
      <c r="P362" s="124" t="n">
        <f aca="false">D362/P$3</f>
        <v>0</v>
      </c>
      <c r="Q362" s="124" t="n">
        <f aca="false">E362/P$3</f>
        <v>0</v>
      </c>
      <c r="R362" s="124" t="n">
        <f aca="false">F362/R$3</f>
        <v>0</v>
      </c>
      <c r="S362" s="126" t="n">
        <f aca="false">J362/$R$3</f>
        <v>0</v>
      </c>
      <c r="T362" s="126" t="n">
        <f aca="false">L362/$R$3</f>
        <v>0</v>
      </c>
      <c r="U362" s="126" t="n">
        <f aca="false">I362/$R$3</f>
        <v>0</v>
      </c>
      <c r="V362" s="126" t="n">
        <f aca="false">M362/$R$3</f>
        <v>-114.718</v>
      </c>
      <c r="W362" s="126" t="n">
        <f aca="false">N362/$R$3</f>
        <v>-1648.786</v>
      </c>
    </row>
    <row r="363" customFormat="false" ht="12.75" hidden="false" customHeight="false" outlineLevel="0" collapsed="false">
      <c r="A363" s="120" t="n">
        <f aca="false">A362+1</f>
        <v>37249</v>
      </c>
      <c r="B363" s="131" t="str">
        <f aca="false">INDEX('Master Data'!$A$2:$B$8,MATCH(WEEKDAY('ARG Gas Transport'!A363,3),'Master Data'!$A$2:$A$8,0),2)</f>
        <v>M</v>
      </c>
      <c r="D363" s="124"/>
      <c r="E363" s="124"/>
      <c r="F363" s="124"/>
      <c r="G363" s="124"/>
      <c r="I363" s="124" t="n">
        <f aca="false">IF(MONTH($A363)=MONTH($A362),IF(G363=0,I362,G363),G363)</f>
        <v>0</v>
      </c>
      <c r="J363" s="124" t="n">
        <f aca="false">IF(MONTH($A363)=MONTH($A362),SUM(I363-I362),I363)</f>
        <v>0</v>
      </c>
      <c r="K363" s="124" t="n">
        <f aca="false">IF(WEEKDAY(A363,3)&gt;4,0,(IF(A363&lt;K$2,0,IF(A363&lt;=K$3,1,0))))</f>
        <v>0</v>
      </c>
      <c r="L363" s="124" t="n">
        <f aca="false">J363*K363</f>
        <v>0</v>
      </c>
      <c r="M363" s="124" t="n">
        <f aca="false">SUM(J$188:J363)</f>
        <v>-114718</v>
      </c>
      <c r="N363" s="124" t="n">
        <f aca="false">SUM(J$6:J363)</f>
        <v>-1648786</v>
      </c>
      <c r="P363" s="124" t="n">
        <f aca="false">D363/P$3</f>
        <v>0</v>
      </c>
      <c r="Q363" s="124" t="n">
        <f aca="false">E363/P$3</f>
        <v>0</v>
      </c>
      <c r="R363" s="124" t="n">
        <f aca="false">F363/R$3</f>
        <v>0</v>
      </c>
      <c r="S363" s="126" t="n">
        <f aca="false">J363/$R$3</f>
        <v>0</v>
      </c>
      <c r="T363" s="126" t="n">
        <f aca="false">L363/$R$3</f>
        <v>0</v>
      </c>
      <c r="U363" s="126" t="n">
        <f aca="false">I363/$R$3</f>
        <v>0</v>
      </c>
      <c r="V363" s="126" t="n">
        <f aca="false">M363/$R$3</f>
        <v>-114.718</v>
      </c>
      <c r="W363" s="126" t="n">
        <f aca="false">N363/$R$3</f>
        <v>-1648.786</v>
      </c>
    </row>
    <row r="364" customFormat="false" ht="12.75" hidden="false" customHeight="false" outlineLevel="0" collapsed="false">
      <c r="A364" s="120" t="n">
        <f aca="false">A363+1</f>
        <v>37250</v>
      </c>
      <c r="B364" s="131" t="str">
        <f aca="false">INDEX('Master Data'!$A$2:$B$8,MATCH(WEEKDAY('ARG Gas Transport'!A364,3),'Master Data'!$A$2:$A$8,0),2)</f>
        <v>T</v>
      </c>
      <c r="D364" s="124"/>
      <c r="E364" s="124"/>
      <c r="F364" s="124"/>
      <c r="G364" s="124"/>
      <c r="I364" s="124" t="n">
        <f aca="false">IF(MONTH($A364)=MONTH($A363),IF(G364=0,I363,G364),G364)</f>
        <v>0</v>
      </c>
      <c r="J364" s="124" t="n">
        <f aca="false">IF(MONTH($A364)=MONTH($A363),SUM(I364-I363),I364)</f>
        <v>0</v>
      </c>
      <c r="K364" s="124" t="n">
        <f aca="false">IF(WEEKDAY(A364,3)&gt;4,0,(IF(A364&lt;K$2,0,IF(A364&lt;=K$3,1,0))))</f>
        <v>0</v>
      </c>
      <c r="L364" s="124" t="n">
        <f aca="false">J364*K364</f>
        <v>0</v>
      </c>
      <c r="M364" s="124" t="n">
        <f aca="false">SUM(J$188:J364)</f>
        <v>-114718</v>
      </c>
      <c r="N364" s="124" t="n">
        <f aca="false">SUM(J$6:J364)</f>
        <v>-1648786</v>
      </c>
      <c r="P364" s="124" t="n">
        <f aca="false">D364/P$3</f>
        <v>0</v>
      </c>
      <c r="Q364" s="124" t="n">
        <f aca="false">E364/P$3</f>
        <v>0</v>
      </c>
      <c r="R364" s="124" t="n">
        <f aca="false">F364/R$3</f>
        <v>0</v>
      </c>
      <c r="S364" s="126" t="n">
        <f aca="false">J364/$R$3</f>
        <v>0</v>
      </c>
      <c r="T364" s="126" t="n">
        <f aca="false">L364/$R$3</f>
        <v>0</v>
      </c>
      <c r="U364" s="126" t="n">
        <f aca="false">I364/$R$3</f>
        <v>0</v>
      </c>
      <c r="V364" s="126" t="n">
        <f aca="false">M364/$R$3</f>
        <v>-114.718</v>
      </c>
      <c r="W364" s="126" t="n">
        <f aca="false">N364/$R$3</f>
        <v>-1648.786</v>
      </c>
    </row>
    <row r="365" customFormat="false" ht="12.75" hidden="false" customHeight="false" outlineLevel="0" collapsed="false">
      <c r="A365" s="120" t="n">
        <f aca="false">A364+1</f>
        <v>37251</v>
      </c>
      <c r="B365" s="131" t="str">
        <f aca="false">INDEX('Master Data'!$A$2:$B$8,MATCH(WEEKDAY('ARG Gas Transport'!A365,3),'Master Data'!$A$2:$A$8,0),2)</f>
        <v>W</v>
      </c>
      <c r="D365" s="124"/>
      <c r="E365" s="124"/>
      <c r="F365" s="124"/>
      <c r="G365" s="124"/>
      <c r="I365" s="124" t="n">
        <f aca="false">IF(MONTH($A365)=MONTH($A364),IF(G365=0,I364,G365),G365)</f>
        <v>0</v>
      </c>
      <c r="J365" s="124" t="n">
        <f aca="false">IF(MONTH($A365)=MONTH($A364),SUM(I365-I364),I365)</f>
        <v>0</v>
      </c>
      <c r="K365" s="124" t="n">
        <f aca="false">IF(WEEKDAY(A365,3)&gt;4,0,(IF(A365&lt;K$2,0,IF(A365&lt;=K$3,1,0))))</f>
        <v>0</v>
      </c>
      <c r="L365" s="124" t="n">
        <f aca="false">J365*K365</f>
        <v>0</v>
      </c>
      <c r="M365" s="124" t="n">
        <f aca="false">SUM(J$188:J365)</f>
        <v>-114718</v>
      </c>
      <c r="N365" s="124" t="n">
        <f aca="false">SUM(J$6:J365)</f>
        <v>-1648786</v>
      </c>
      <c r="P365" s="124" t="n">
        <f aca="false">D365/P$3</f>
        <v>0</v>
      </c>
      <c r="Q365" s="124" t="n">
        <f aca="false">E365/P$3</f>
        <v>0</v>
      </c>
      <c r="R365" s="124" t="n">
        <f aca="false">F365/R$3</f>
        <v>0</v>
      </c>
      <c r="S365" s="126" t="n">
        <f aca="false">J365/$R$3</f>
        <v>0</v>
      </c>
      <c r="T365" s="126" t="n">
        <f aca="false">L365/$R$3</f>
        <v>0</v>
      </c>
      <c r="U365" s="126" t="n">
        <f aca="false">I365/$R$3</f>
        <v>0</v>
      </c>
      <c r="V365" s="126" t="n">
        <f aca="false">M365/$R$3</f>
        <v>-114.718</v>
      </c>
      <c r="W365" s="126" t="n">
        <f aca="false">N365/$R$3</f>
        <v>-1648.786</v>
      </c>
    </row>
    <row r="366" customFormat="false" ht="12.75" hidden="false" customHeight="false" outlineLevel="0" collapsed="false">
      <c r="A366" s="120" t="n">
        <f aca="false">A365+1</f>
        <v>37252</v>
      </c>
      <c r="B366" s="131" t="str">
        <f aca="false">INDEX('Master Data'!$A$2:$B$8,MATCH(WEEKDAY('ARG Gas Transport'!A366,3),'Master Data'!$A$2:$A$8,0),2)</f>
        <v>Th</v>
      </c>
      <c r="D366" s="124"/>
      <c r="E366" s="124"/>
      <c r="F366" s="124"/>
      <c r="G366" s="124"/>
      <c r="I366" s="124" t="n">
        <f aca="false">IF(MONTH($A366)=MONTH($A365),IF(G366=0,I365,G366),G366)</f>
        <v>0</v>
      </c>
      <c r="J366" s="124" t="n">
        <f aca="false">IF(MONTH($A366)=MONTH($A365),SUM(I366-I365),I366)</f>
        <v>0</v>
      </c>
      <c r="K366" s="124" t="n">
        <f aca="false">IF(WEEKDAY(A366,3)&gt;4,0,(IF(A366&lt;K$2,0,IF(A366&lt;=K$3,1,0))))</f>
        <v>0</v>
      </c>
      <c r="L366" s="124" t="n">
        <f aca="false">J366*K366</f>
        <v>0</v>
      </c>
      <c r="M366" s="124" t="n">
        <f aca="false">SUM(J$188:J366)</f>
        <v>-114718</v>
      </c>
      <c r="N366" s="124" t="n">
        <f aca="false">SUM(J$6:J366)</f>
        <v>-1648786</v>
      </c>
      <c r="P366" s="124" t="n">
        <f aca="false">D366/P$3</f>
        <v>0</v>
      </c>
      <c r="Q366" s="124" t="n">
        <f aca="false">E366/P$3</f>
        <v>0</v>
      </c>
      <c r="R366" s="124" t="n">
        <f aca="false">F366/R$3</f>
        <v>0</v>
      </c>
      <c r="S366" s="126" t="n">
        <f aca="false">J366/$R$3</f>
        <v>0</v>
      </c>
      <c r="T366" s="126" t="n">
        <f aca="false">L366/$R$3</f>
        <v>0</v>
      </c>
      <c r="U366" s="126" t="n">
        <f aca="false">I366/$R$3</f>
        <v>0</v>
      </c>
      <c r="V366" s="126" t="n">
        <f aca="false">M366/$R$3</f>
        <v>-114.718</v>
      </c>
      <c r="W366" s="126" t="n">
        <f aca="false">N366/$R$3</f>
        <v>-1648.786</v>
      </c>
    </row>
    <row r="367" customFormat="false" ht="12.75" hidden="false" customHeight="false" outlineLevel="0" collapsed="false">
      <c r="A367" s="120" t="n">
        <f aca="false">A366+1</f>
        <v>37253</v>
      </c>
      <c r="B367" s="131" t="str">
        <f aca="false">INDEX('Master Data'!$A$2:$B$8,MATCH(WEEKDAY('ARG Gas Transport'!A367,3),'Master Data'!$A$2:$A$8,0),2)</f>
        <v>F</v>
      </c>
      <c r="D367" s="124"/>
      <c r="E367" s="124"/>
      <c r="F367" s="124"/>
      <c r="G367" s="124"/>
      <c r="I367" s="124" t="n">
        <f aca="false">IF(MONTH($A367)=MONTH($A366),IF(G367=0,I366,G367),G367)</f>
        <v>0</v>
      </c>
      <c r="J367" s="124" t="n">
        <f aca="false">IF(MONTH($A367)=MONTH($A366),SUM(I367-I366),I367)</f>
        <v>0</v>
      </c>
      <c r="K367" s="124" t="n">
        <f aca="false">IF(WEEKDAY(A367,3)&gt;4,0,(IF(A367&lt;K$2,0,IF(A367&lt;=K$3,1,0))))</f>
        <v>0</v>
      </c>
      <c r="L367" s="124" t="n">
        <f aca="false">J367*K367</f>
        <v>0</v>
      </c>
      <c r="M367" s="124" t="n">
        <f aca="false">SUM(J$188:J367)</f>
        <v>-114718</v>
      </c>
      <c r="N367" s="124" t="n">
        <f aca="false">SUM(J$6:J367)</f>
        <v>-1648786</v>
      </c>
      <c r="P367" s="124" t="n">
        <f aca="false">D367/P$3</f>
        <v>0</v>
      </c>
      <c r="Q367" s="124" t="n">
        <f aca="false">E367/P$3</f>
        <v>0</v>
      </c>
      <c r="R367" s="124" t="n">
        <f aca="false">F367/R$3</f>
        <v>0</v>
      </c>
      <c r="S367" s="126" t="n">
        <f aca="false">J367/$R$3</f>
        <v>0</v>
      </c>
      <c r="T367" s="126" t="n">
        <f aca="false">L367/$R$3</f>
        <v>0</v>
      </c>
      <c r="U367" s="126" t="n">
        <f aca="false">I367/$R$3</f>
        <v>0</v>
      </c>
      <c r="V367" s="126" t="n">
        <f aca="false">M367/$R$3</f>
        <v>-114.718</v>
      </c>
      <c r="W367" s="126" t="n">
        <f aca="false">N367/$R$3</f>
        <v>-1648.786</v>
      </c>
    </row>
    <row r="368" customFormat="false" ht="12.75" hidden="false" customHeight="false" outlineLevel="0" collapsed="false">
      <c r="A368" s="120" t="n">
        <f aca="false">A367+1</f>
        <v>37254</v>
      </c>
      <c r="B368" s="131" t="str">
        <f aca="false">INDEX('Master Data'!$A$2:$B$8,MATCH(WEEKDAY('ARG Gas Transport'!A368,3),'Master Data'!$A$2:$A$8,0),2)</f>
        <v>Sa</v>
      </c>
      <c r="D368" s="124"/>
      <c r="E368" s="124"/>
      <c r="F368" s="124"/>
      <c r="G368" s="124"/>
      <c r="I368" s="124" t="n">
        <f aca="false">IF(MONTH($A368)=MONTH($A367),IF(G368=0,I367,G368),G368)</f>
        <v>0</v>
      </c>
      <c r="J368" s="124" t="n">
        <f aca="false">IF(MONTH($A368)=MONTH($A367),SUM(I368-I367),I368)</f>
        <v>0</v>
      </c>
      <c r="K368" s="124" t="n">
        <f aca="false">IF(WEEKDAY(A368,3)&gt;4,0,(IF(A368&lt;K$2,0,IF(A368&lt;=K$3,1,0))))</f>
        <v>0</v>
      </c>
      <c r="L368" s="124" t="n">
        <f aca="false">J368*K368</f>
        <v>0</v>
      </c>
      <c r="M368" s="124" t="n">
        <f aca="false">SUM(J$188:J368)</f>
        <v>-114718</v>
      </c>
      <c r="N368" s="124" t="n">
        <f aca="false">SUM(J$6:J368)</f>
        <v>-1648786</v>
      </c>
      <c r="P368" s="124" t="n">
        <f aca="false">D368/P$3</f>
        <v>0</v>
      </c>
      <c r="Q368" s="124" t="n">
        <f aca="false">E368/P$3</f>
        <v>0</v>
      </c>
      <c r="R368" s="124" t="n">
        <f aca="false">F368/R$3</f>
        <v>0</v>
      </c>
      <c r="S368" s="126" t="n">
        <f aca="false">J368/$R$3</f>
        <v>0</v>
      </c>
      <c r="T368" s="126" t="n">
        <f aca="false">L368/$R$3</f>
        <v>0</v>
      </c>
      <c r="U368" s="126" t="n">
        <f aca="false">I368/$R$3</f>
        <v>0</v>
      </c>
      <c r="V368" s="126" t="n">
        <f aca="false">M368/$R$3</f>
        <v>-114.718</v>
      </c>
      <c r="W368" s="126" t="n">
        <f aca="false">N368/$R$3</f>
        <v>-1648.786</v>
      </c>
    </row>
    <row r="369" customFormat="false" ht="12.75" hidden="false" customHeight="false" outlineLevel="0" collapsed="false">
      <c r="A369" s="120" t="n">
        <f aca="false">A368+1</f>
        <v>37255</v>
      </c>
      <c r="B369" s="131" t="str">
        <f aca="false">INDEX('Master Data'!$A$2:$B$8,MATCH(WEEKDAY('ARG Gas Transport'!A369,3),'Master Data'!$A$2:$A$8,0),2)</f>
        <v>Su</v>
      </c>
      <c r="D369" s="124"/>
      <c r="E369" s="124"/>
      <c r="F369" s="124"/>
      <c r="G369" s="124"/>
      <c r="I369" s="124" t="n">
        <f aca="false">IF(MONTH($A369)=MONTH($A368),IF(G369=0,I368,G369),G369)</f>
        <v>0</v>
      </c>
      <c r="J369" s="124" t="n">
        <f aca="false">IF(MONTH($A369)=MONTH($A368),SUM(I369-I368),I369)</f>
        <v>0</v>
      </c>
      <c r="K369" s="124" t="n">
        <f aca="false">IF(WEEKDAY(A369,3)&gt;4,0,(IF(A369&lt;K$2,0,IF(A369&lt;=K$3,1,0))))</f>
        <v>0</v>
      </c>
      <c r="L369" s="124" t="n">
        <f aca="false">J369*K369</f>
        <v>0</v>
      </c>
      <c r="M369" s="124" t="n">
        <f aca="false">SUM(J$188:J369)</f>
        <v>-114718</v>
      </c>
      <c r="N369" s="124" t="n">
        <f aca="false">SUM(J$6:J369)</f>
        <v>-1648786</v>
      </c>
      <c r="P369" s="124" t="n">
        <f aca="false">D369/P$3</f>
        <v>0</v>
      </c>
      <c r="Q369" s="124" t="n">
        <f aca="false">E369/P$3</f>
        <v>0</v>
      </c>
      <c r="R369" s="124" t="n">
        <f aca="false">F369/R$3</f>
        <v>0</v>
      </c>
      <c r="S369" s="126" t="n">
        <f aca="false">J369/$R$3</f>
        <v>0</v>
      </c>
      <c r="T369" s="126" t="n">
        <f aca="false">L369/$R$3</f>
        <v>0</v>
      </c>
      <c r="U369" s="126" t="n">
        <f aca="false">I369/$R$3</f>
        <v>0</v>
      </c>
      <c r="V369" s="126" t="n">
        <f aca="false">M369/$R$3</f>
        <v>-114.718</v>
      </c>
      <c r="W369" s="126" t="n">
        <f aca="false">N369/$R$3</f>
        <v>-1648.786</v>
      </c>
    </row>
    <row r="370" customFormat="false" ht="12.75" hidden="false" customHeight="false" outlineLevel="0" collapsed="false">
      <c r="A370" s="120" t="n">
        <f aca="false">A369+1</f>
        <v>37256</v>
      </c>
      <c r="B370" s="131" t="str">
        <f aca="false">INDEX('Master Data'!$A$2:$B$8,MATCH(WEEKDAY('ARG Gas Transport'!A370,3),'Master Data'!$A$2:$A$8,0),2)</f>
        <v>M</v>
      </c>
      <c r="D370" s="124"/>
      <c r="E370" s="124"/>
      <c r="F370" s="124"/>
      <c r="G370" s="124"/>
      <c r="I370" s="124" t="n">
        <f aca="false">IF(MONTH($A370)=MONTH($A369),IF(G370=0,I369,G370),G370)</f>
        <v>0</v>
      </c>
      <c r="J370" s="124" t="n">
        <f aca="false">IF(MONTH($A370)=MONTH($A369),SUM(I370-I369),I370)</f>
        <v>0</v>
      </c>
      <c r="K370" s="124" t="n">
        <f aca="false">IF(WEEKDAY(A370,3)&gt;4,0,(IF(A370&lt;K$2,0,IF(A370&lt;=K$3,1,0))))</f>
        <v>0</v>
      </c>
      <c r="L370" s="124" t="n">
        <f aca="false">J370*K370</f>
        <v>0</v>
      </c>
      <c r="M370" s="124" t="n">
        <f aca="false">SUM(J$188:J370)</f>
        <v>-114718</v>
      </c>
      <c r="N370" s="124" t="n">
        <f aca="false">SUM(J$6:J370)</f>
        <v>-1648786</v>
      </c>
      <c r="P370" s="124" t="n">
        <f aca="false">D370/P$3</f>
        <v>0</v>
      </c>
      <c r="Q370" s="124" t="n">
        <f aca="false">E370/P$3</f>
        <v>0</v>
      </c>
      <c r="R370" s="124" t="n">
        <f aca="false">F370/R$3</f>
        <v>0</v>
      </c>
      <c r="S370" s="126" t="n">
        <f aca="false">J370/$R$3</f>
        <v>0</v>
      </c>
      <c r="T370" s="126" t="n">
        <f aca="false">L370/$R$3</f>
        <v>0</v>
      </c>
      <c r="U370" s="126" t="n">
        <f aca="false">I370/$R$3</f>
        <v>0</v>
      </c>
      <c r="V370" s="126" t="n">
        <f aca="false">M370/$R$3</f>
        <v>-114.718</v>
      </c>
      <c r="W370" s="126" t="n">
        <f aca="false">N370/$R$3</f>
        <v>-1648.786</v>
      </c>
    </row>
    <row r="371" customFormat="false" ht="12.75" hidden="false" customHeight="false" outlineLevel="0" collapsed="false">
      <c r="A371" s="120" t="n">
        <f aca="false">A370+1</f>
        <v>37257</v>
      </c>
      <c r="B371" s="131" t="str">
        <f aca="false">INDEX('Master Data'!$A$2:$B$8,MATCH(WEEKDAY('ARG Gas Transport'!A371,3),'Master Data'!$A$2:$A$8,0),2)</f>
        <v>T</v>
      </c>
      <c r="D371" s="124"/>
      <c r="E371" s="124"/>
      <c r="F371" s="124"/>
      <c r="G371" s="124"/>
      <c r="I371" s="124" t="n">
        <f aca="false">IF(MONTH($A371)=MONTH($A370),IF(G371=0,I370,G371),G371)</f>
        <v>0</v>
      </c>
      <c r="J371" s="124" t="n">
        <f aca="false">IF(MONTH($A371)=MONTH($A370),SUM(I371-I370),I371)</f>
        <v>0</v>
      </c>
      <c r="K371" s="124" t="n">
        <f aca="false">IF(WEEKDAY(A371,3)&gt;4,0,(IF(A371&lt;K$2,0,IF(A371&lt;=K$3,1,0))))</f>
        <v>0</v>
      </c>
      <c r="L371" s="124" t="n">
        <f aca="false">J371*K371</f>
        <v>0</v>
      </c>
      <c r="M371" s="124" t="n">
        <f aca="false">SUM(J$188:J371)</f>
        <v>-114718</v>
      </c>
      <c r="N371" s="124" t="n">
        <f aca="false">SUM(J$6:J371)</f>
        <v>-1648786</v>
      </c>
      <c r="P371" s="124" t="n">
        <f aca="false">D371/P$3</f>
        <v>0</v>
      </c>
      <c r="Q371" s="124" t="n">
        <f aca="false">E371/P$3</f>
        <v>0</v>
      </c>
      <c r="R371" s="124" t="n">
        <f aca="false">F371/R$3</f>
        <v>0</v>
      </c>
      <c r="S371" s="126" t="n">
        <f aca="false">J371/$R$3</f>
        <v>0</v>
      </c>
      <c r="T371" s="126" t="n">
        <f aca="false">L371/$R$3</f>
        <v>0</v>
      </c>
      <c r="U371" s="126" t="n">
        <f aca="false">I371/$R$3</f>
        <v>0</v>
      </c>
      <c r="V371" s="126" t="n">
        <f aca="false">M371/$R$3</f>
        <v>-114.718</v>
      </c>
      <c r="W371" s="126" t="n">
        <f aca="false">N371/$R$3</f>
        <v>-1648.786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310" activeCellId="0" sqref="B310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20" width="7.28"/>
    <col collapsed="false" customWidth="true" hidden="false" outlineLevel="0" max="2" min="2" style="121" width="4.14"/>
    <col collapsed="false" customWidth="true" hidden="false" outlineLevel="0" max="3" min="3" style="122" width="2.7"/>
    <col collapsed="false" customWidth="true" hidden="false" outlineLevel="0" max="7" min="4" style="121" width="14.99"/>
    <col collapsed="false" customWidth="true" hidden="false" outlineLevel="0" max="8" min="8" style="122" width="2.7"/>
    <col collapsed="false" customWidth="true" hidden="false" outlineLevel="0" max="9" min="9" style="123" width="13.14"/>
    <col collapsed="false" customWidth="true" hidden="false" outlineLevel="0" max="10" min="10" style="124" width="13.14"/>
    <col collapsed="false" customWidth="true" hidden="false" outlineLevel="0" max="11" min="11" style="124" width="10.99"/>
    <col collapsed="false" customWidth="true" hidden="false" outlineLevel="0" max="14" min="12" style="124" width="13.14"/>
    <col collapsed="false" customWidth="true" hidden="false" outlineLevel="0" max="15" min="15" style="125" width="2.7"/>
    <col collapsed="false" customWidth="true" hidden="false" outlineLevel="0" max="18" min="16" style="121" width="16.13"/>
    <col collapsed="false" customWidth="true" hidden="false" outlineLevel="0" max="23" min="19" style="126" width="12.7"/>
    <col collapsed="false" customWidth="false" hidden="false" outlineLevel="0" max="257" min="24" style="121" width="9.14"/>
  </cols>
  <sheetData>
    <row r="1" customFormat="false" ht="12.75" hidden="false" customHeight="false" outlineLevel="0" collapsed="false">
      <c r="A1" s="127" t="n">
        <v>1</v>
      </c>
      <c r="B1" s="121" t="n">
        <f aca="false">+A1+1</f>
        <v>2</v>
      </c>
      <c r="C1" s="122" t="n">
        <f aca="false">+B1+1</f>
        <v>3</v>
      </c>
      <c r="D1" s="121" t="n">
        <f aca="false">+C1+1</f>
        <v>4</v>
      </c>
      <c r="E1" s="121" t="n">
        <f aca="false">+D1+1</f>
        <v>5</v>
      </c>
      <c r="F1" s="121" t="n">
        <f aca="false">+E1+1</f>
        <v>6</v>
      </c>
      <c r="G1" s="121" t="n">
        <f aca="false">+F1+1</f>
        <v>7</v>
      </c>
      <c r="H1" s="122" t="n">
        <f aca="false">+G1+1</f>
        <v>8</v>
      </c>
      <c r="I1" s="123" t="n">
        <f aca="false">+H1+1</f>
        <v>9</v>
      </c>
      <c r="J1" s="124" t="n">
        <f aca="false">+I1+1</f>
        <v>10</v>
      </c>
      <c r="K1" s="124" t="n">
        <f aca="false">+J1+1</f>
        <v>11</v>
      </c>
      <c r="L1" s="124" t="n">
        <f aca="false">+K1+1</f>
        <v>12</v>
      </c>
      <c r="M1" s="124" t="n">
        <f aca="false">+L1+1</f>
        <v>13</v>
      </c>
      <c r="N1" s="124" t="n">
        <f aca="false">+M1+1</f>
        <v>14</v>
      </c>
      <c r="O1" s="125" t="n">
        <f aca="false">+N1+1</f>
        <v>15</v>
      </c>
      <c r="P1" s="121" t="n">
        <f aca="false">+O1+1</f>
        <v>16</v>
      </c>
      <c r="Q1" s="121" t="n">
        <f aca="false">+P1+1</f>
        <v>17</v>
      </c>
      <c r="R1" s="121" t="n">
        <f aca="false">+Q1+1</f>
        <v>18</v>
      </c>
      <c r="S1" s="121" t="n">
        <f aca="false">+R1+1</f>
        <v>19</v>
      </c>
      <c r="T1" s="121" t="n">
        <f aca="false">+S1+1</f>
        <v>20</v>
      </c>
      <c r="U1" s="121" t="n">
        <f aca="false">+T1+1</f>
        <v>21</v>
      </c>
      <c r="V1" s="121" t="n">
        <f aca="false">+U1+1</f>
        <v>22</v>
      </c>
      <c r="W1" s="121" t="n">
        <f aca="false">+V1+1</f>
        <v>23</v>
      </c>
    </row>
    <row r="2" customFormat="false" ht="12.75" hidden="false" customHeight="false" outlineLevel="0" collapsed="false">
      <c r="K2" s="128" t="n">
        <f aca="false">WORKDAY(K3,-4)</f>
        <v>37190</v>
      </c>
    </row>
    <row r="3" customFormat="false" ht="12.75" hidden="false" customHeight="false" outlineLevel="0" collapsed="false">
      <c r="K3" s="128" t="n">
        <f aca="false">Summary!B8</f>
        <v>37196</v>
      </c>
      <c r="L3" s="129" t="n">
        <f aca="false">SUM(L6:L371)</f>
        <v>-20486</v>
      </c>
      <c r="P3" s="124" t="n">
        <v>1000000</v>
      </c>
      <c r="Q3" s="124"/>
      <c r="R3" s="124" t="n">
        <v>1000</v>
      </c>
      <c r="S3" s="121"/>
      <c r="T3" s="130" t="n">
        <f aca="false">SUM(T6:T371)</f>
        <v>-20.486</v>
      </c>
    </row>
    <row r="4" customFormat="false" ht="12.75" hidden="false" customHeight="false" outlineLevel="0" collapsed="false">
      <c r="D4" s="131" t="s">
        <v>84</v>
      </c>
      <c r="E4" s="131" t="s">
        <v>84</v>
      </c>
      <c r="F4" s="131" t="s">
        <v>58</v>
      </c>
      <c r="G4" s="131" t="s">
        <v>58</v>
      </c>
      <c r="I4" s="132" t="s">
        <v>58</v>
      </c>
      <c r="J4" s="132"/>
      <c r="K4" s="132"/>
      <c r="L4" s="132"/>
      <c r="M4" s="132"/>
      <c r="N4" s="132"/>
      <c r="O4" s="133"/>
      <c r="P4" s="134" t="s">
        <v>85</v>
      </c>
      <c r="Q4" s="134"/>
      <c r="R4" s="135" t="s">
        <v>60</v>
      </c>
      <c r="S4" s="135"/>
      <c r="T4" s="135"/>
      <c r="U4" s="135"/>
      <c r="V4" s="135"/>
      <c r="W4" s="135"/>
    </row>
    <row r="5" customFormat="false" ht="12.75" hidden="false" customHeight="false" outlineLevel="0" collapsed="false">
      <c r="A5" s="136" t="s">
        <v>61</v>
      </c>
      <c r="B5" s="131" t="s">
        <v>62</v>
      </c>
      <c r="C5" s="137"/>
      <c r="D5" s="138" t="s">
        <v>63</v>
      </c>
      <c r="E5" s="138" t="s">
        <v>64</v>
      </c>
      <c r="F5" s="138" t="s">
        <v>65</v>
      </c>
      <c r="G5" s="138" t="s">
        <v>66</v>
      </c>
      <c r="H5" s="139"/>
      <c r="I5" s="138" t="s">
        <v>67</v>
      </c>
      <c r="J5" s="140" t="s">
        <v>68</v>
      </c>
      <c r="K5" s="140" t="s">
        <v>69</v>
      </c>
      <c r="L5" s="140" t="s">
        <v>70</v>
      </c>
      <c r="M5" s="140" t="s">
        <v>71</v>
      </c>
      <c r="N5" s="140" t="s">
        <v>72</v>
      </c>
      <c r="O5" s="141"/>
      <c r="P5" s="138" t="s">
        <v>63</v>
      </c>
      <c r="Q5" s="138" t="s">
        <v>64</v>
      </c>
      <c r="R5" s="138" t="s">
        <v>65</v>
      </c>
      <c r="S5" s="142" t="s">
        <v>68</v>
      </c>
      <c r="T5" s="140" t="s">
        <v>70</v>
      </c>
      <c r="U5" s="142" t="s">
        <v>66</v>
      </c>
      <c r="V5" s="142" t="s">
        <v>71</v>
      </c>
      <c r="W5" s="142" t="s">
        <v>72</v>
      </c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1"/>
      <c r="AW5" s="131"/>
      <c r="AX5" s="131"/>
      <c r="AY5" s="131"/>
      <c r="AZ5" s="131"/>
      <c r="BA5" s="131"/>
      <c r="BB5" s="131"/>
      <c r="BC5" s="131"/>
      <c r="BD5" s="131"/>
      <c r="BE5" s="131"/>
      <c r="BF5" s="131"/>
      <c r="BG5" s="131"/>
      <c r="BH5" s="131"/>
      <c r="BI5" s="131"/>
      <c r="BJ5" s="131"/>
      <c r="BK5" s="131"/>
      <c r="BL5" s="131"/>
      <c r="BM5" s="131"/>
      <c r="BN5" s="131"/>
      <c r="BO5" s="131"/>
      <c r="BP5" s="131"/>
      <c r="BQ5" s="131"/>
      <c r="BR5" s="131"/>
      <c r="BS5" s="131"/>
      <c r="BT5" s="131"/>
      <c r="BU5" s="131"/>
      <c r="BV5" s="131"/>
      <c r="BW5" s="131"/>
      <c r="BX5" s="131"/>
      <c r="BY5" s="131"/>
      <c r="BZ5" s="131"/>
      <c r="CA5" s="131"/>
      <c r="CB5" s="131"/>
      <c r="CC5" s="131"/>
      <c r="CD5" s="131"/>
      <c r="CE5" s="131"/>
      <c r="CF5" s="131"/>
      <c r="CG5" s="131"/>
      <c r="CH5" s="131"/>
      <c r="CI5" s="131"/>
      <c r="CJ5" s="131"/>
      <c r="CK5" s="131"/>
      <c r="CL5" s="131"/>
      <c r="CM5" s="131"/>
      <c r="CN5" s="131"/>
      <c r="CO5" s="131"/>
      <c r="CP5" s="131"/>
      <c r="CQ5" s="131"/>
      <c r="CR5" s="131"/>
      <c r="CS5" s="131"/>
      <c r="CT5" s="131"/>
      <c r="CU5" s="131"/>
      <c r="CV5" s="131"/>
      <c r="CW5" s="131"/>
      <c r="CX5" s="131"/>
      <c r="CY5" s="131"/>
      <c r="CZ5" s="131"/>
      <c r="DA5" s="131"/>
      <c r="DB5" s="131"/>
      <c r="DC5" s="131"/>
      <c r="DD5" s="131"/>
      <c r="DE5" s="131"/>
      <c r="DF5" s="131"/>
      <c r="DG5" s="131"/>
      <c r="DH5" s="131"/>
      <c r="DI5" s="131"/>
      <c r="DJ5" s="131"/>
      <c r="DK5" s="131"/>
      <c r="DL5" s="131"/>
      <c r="DM5" s="131"/>
      <c r="DN5" s="131"/>
      <c r="DO5" s="131"/>
      <c r="DP5" s="131"/>
      <c r="DQ5" s="131"/>
      <c r="DR5" s="131"/>
      <c r="DS5" s="131"/>
      <c r="DT5" s="131"/>
      <c r="DU5" s="131"/>
      <c r="DV5" s="131"/>
      <c r="DW5" s="131"/>
      <c r="DX5" s="131"/>
      <c r="DY5" s="131"/>
      <c r="DZ5" s="131"/>
      <c r="EA5" s="131"/>
      <c r="EB5" s="131"/>
      <c r="EC5" s="131"/>
      <c r="ED5" s="131"/>
      <c r="EE5" s="131"/>
      <c r="EF5" s="131"/>
      <c r="EG5" s="131"/>
      <c r="EH5" s="131"/>
      <c r="EI5" s="131"/>
      <c r="EJ5" s="131"/>
      <c r="EK5" s="131"/>
      <c r="EL5" s="131"/>
      <c r="EM5" s="131"/>
      <c r="EN5" s="131"/>
      <c r="EO5" s="131"/>
      <c r="EP5" s="131"/>
      <c r="EQ5" s="131"/>
      <c r="ER5" s="131"/>
      <c r="ES5" s="131"/>
      <c r="ET5" s="131"/>
      <c r="EU5" s="131"/>
      <c r="EV5" s="131"/>
      <c r="EW5" s="131"/>
      <c r="EX5" s="131"/>
      <c r="EY5" s="131"/>
      <c r="EZ5" s="131"/>
      <c r="FA5" s="131"/>
      <c r="FB5" s="131"/>
      <c r="FC5" s="131"/>
      <c r="FD5" s="131"/>
      <c r="FE5" s="131"/>
      <c r="FF5" s="131"/>
      <c r="FG5" s="131"/>
      <c r="FH5" s="131"/>
      <c r="FI5" s="131"/>
      <c r="FJ5" s="131"/>
      <c r="FK5" s="131"/>
      <c r="FL5" s="131"/>
      <c r="FM5" s="131"/>
      <c r="FN5" s="131"/>
      <c r="FO5" s="131"/>
      <c r="FP5" s="131"/>
      <c r="FQ5" s="131"/>
      <c r="FR5" s="131"/>
      <c r="FS5" s="131"/>
      <c r="FT5" s="131"/>
      <c r="FU5" s="131"/>
      <c r="FV5" s="131"/>
      <c r="FW5" s="131"/>
      <c r="FX5" s="131"/>
      <c r="FY5" s="131"/>
      <c r="FZ5" s="131"/>
      <c r="GA5" s="131"/>
      <c r="GB5" s="131"/>
      <c r="GC5" s="131"/>
      <c r="GD5" s="131"/>
      <c r="GE5" s="131"/>
      <c r="GF5" s="131"/>
      <c r="GG5" s="131"/>
      <c r="GH5" s="131"/>
      <c r="GI5" s="131"/>
      <c r="GJ5" s="131"/>
      <c r="GK5" s="131"/>
      <c r="GL5" s="131"/>
      <c r="GM5" s="131"/>
      <c r="GN5" s="131"/>
      <c r="GO5" s="131"/>
      <c r="GP5" s="131"/>
      <c r="GQ5" s="131"/>
      <c r="GR5" s="131"/>
      <c r="GS5" s="131"/>
      <c r="GT5" s="131"/>
      <c r="GU5" s="131"/>
      <c r="GV5" s="131"/>
      <c r="GW5" s="131"/>
      <c r="GX5" s="131"/>
      <c r="GY5" s="131"/>
      <c r="GZ5" s="131"/>
      <c r="HA5" s="131"/>
      <c r="HB5" s="131"/>
      <c r="HC5" s="131"/>
      <c r="HD5" s="131"/>
      <c r="HE5" s="131"/>
      <c r="HF5" s="131"/>
      <c r="HG5" s="131"/>
      <c r="HH5" s="131"/>
      <c r="HI5" s="131"/>
      <c r="HJ5" s="131"/>
      <c r="HK5" s="131"/>
      <c r="HL5" s="131"/>
      <c r="HM5" s="131"/>
      <c r="HN5" s="131"/>
      <c r="HO5" s="131"/>
      <c r="HP5" s="131"/>
      <c r="HQ5" s="131"/>
      <c r="HR5" s="131"/>
      <c r="HS5" s="131"/>
      <c r="HT5" s="131"/>
      <c r="HU5" s="131"/>
      <c r="HV5" s="131"/>
      <c r="HW5" s="131"/>
      <c r="HX5" s="131"/>
      <c r="HY5" s="131"/>
      <c r="HZ5" s="131"/>
      <c r="IA5" s="131"/>
      <c r="IB5" s="131"/>
      <c r="IC5" s="131"/>
      <c r="ID5" s="131"/>
      <c r="IE5" s="131"/>
      <c r="IF5" s="131"/>
      <c r="IG5" s="131"/>
      <c r="IH5" s="131"/>
      <c r="II5" s="131"/>
      <c r="IJ5" s="131"/>
      <c r="IK5" s="131"/>
      <c r="IL5" s="131"/>
      <c r="IM5" s="131"/>
      <c r="IN5" s="131"/>
      <c r="IO5" s="131"/>
      <c r="IP5" s="131"/>
      <c r="IQ5" s="131"/>
      <c r="IR5" s="131"/>
      <c r="IS5" s="131"/>
      <c r="IT5" s="131"/>
      <c r="IU5" s="131"/>
      <c r="IV5" s="131"/>
      <c r="IW5" s="131"/>
    </row>
    <row r="6" customFormat="false" ht="12.75" hidden="true" customHeight="false" outlineLevel="0" collapsed="false">
      <c r="A6" s="120" t="n">
        <v>36892</v>
      </c>
      <c r="B6" s="131" t="str">
        <f aca="false">INDEX('Master Data'!$A$2:$B$8,MATCH(WEEKDAY('ARG Gas IM'!A6,3),'Master Data'!$A$2:$A$8,0),2)</f>
        <v>M</v>
      </c>
      <c r="D6" s="124" t="n">
        <v>0</v>
      </c>
      <c r="E6" s="124" t="n">
        <v>0</v>
      </c>
      <c r="F6" s="124" t="n">
        <v>0</v>
      </c>
      <c r="G6" s="124" t="n">
        <v>0</v>
      </c>
      <c r="I6" s="124" t="n">
        <f aca="false">G6</f>
        <v>0</v>
      </c>
      <c r="J6" s="124" t="n">
        <f aca="false">I6</f>
        <v>0</v>
      </c>
      <c r="K6" s="124" t="n">
        <f aca="false">IF(WEEKDAY(A6,3)&gt;4,0,(IF(A6&lt;K$2,0,IF(A6&lt;=K$3,1,0))))</f>
        <v>0</v>
      </c>
      <c r="L6" s="124" t="n">
        <f aca="false">J6*K6</f>
        <v>0</v>
      </c>
      <c r="M6" s="124" t="n">
        <f aca="false">SUM(J$6:J6)</f>
        <v>0</v>
      </c>
      <c r="N6" s="124" t="n">
        <f aca="false">SUM(J$6:J6)</f>
        <v>0</v>
      </c>
      <c r="P6" s="124" t="n">
        <f aca="false">D6/P$3</f>
        <v>0</v>
      </c>
      <c r="Q6" s="124" t="n">
        <f aca="false">E6/P$3</f>
        <v>0</v>
      </c>
      <c r="R6" s="124" t="n">
        <f aca="false">F6/R$3</f>
        <v>0</v>
      </c>
      <c r="S6" s="126" t="n">
        <f aca="false">J6/$R$3</f>
        <v>0</v>
      </c>
      <c r="T6" s="126" t="n">
        <f aca="false">L6/$R$3</f>
        <v>0</v>
      </c>
      <c r="U6" s="126" t="n">
        <f aca="false">I6/$R$3</f>
        <v>0</v>
      </c>
      <c r="V6" s="126" t="n">
        <f aca="false">M6/$R$3</f>
        <v>0</v>
      </c>
      <c r="W6" s="126" t="n">
        <f aca="false">N6/$R$3</f>
        <v>0</v>
      </c>
    </row>
    <row r="7" customFormat="false" ht="12.75" hidden="true" customHeight="false" outlineLevel="0" collapsed="false">
      <c r="A7" s="120" t="n">
        <f aca="false">A6+1</f>
        <v>36893</v>
      </c>
      <c r="B7" s="131" t="str">
        <f aca="false">INDEX('Master Data'!$A$2:$B$8,MATCH(WEEKDAY('ARG Gas IM'!A7,3),'Master Data'!$A$2:$A$8,0),2)</f>
        <v>T</v>
      </c>
      <c r="D7" s="124" t="n">
        <v>-7355.46919690142</v>
      </c>
      <c r="E7" s="124" t="n">
        <v>0</v>
      </c>
      <c r="F7" s="124" t="n">
        <v>0</v>
      </c>
      <c r="G7" s="124" t="n">
        <v>-262393.44</v>
      </c>
      <c r="I7" s="124" t="n">
        <f aca="false">IF(MONTH($A7)=MONTH($A6),IF(G7=0,I6,G7),0)</f>
        <v>-262393.44</v>
      </c>
      <c r="J7" s="124" t="n">
        <f aca="false">IF(MONTH($A7)=MONTH($A6),SUM(I7-I6),I7)</f>
        <v>-262393.44</v>
      </c>
      <c r="K7" s="124" t="n">
        <f aca="false">IF(WEEKDAY(A7,3)&gt;4,0,(IF(A7&lt;K$2,0,IF(A7&lt;=K$3,1,0))))</f>
        <v>0</v>
      </c>
      <c r="L7" s="124" t="n">
        <f aca="false">J7*K7</f>
        <v>-0</v>
      </c>
      <c r="M7" s="124" t="n">
        <f aca="false">SUM(J$6:J7)</f>
        <v>-262393.44</v>
      </c>
      <c r="N7" s="124" t="n">
        <f aca="false">SUM(J$6:J7)</f>
        <v>-262393.44</v>
      </c>
      <c r="P7" s="124" t="n">
        <f aca="false">D7/P$3</f>
        <v>-0.00735546919690142</v>
      </c>
      <c r="Q7" s="124" t="n">
        <f aca="false">E7/P$3</f>
        <v>0</v>
      </c>
      <c r="R7" s="124" t="n">
        <f aca="false">F7/R$3</f>
        <v>0</v>
      </c>
      <c r="S7" s="126" t="n">
        <f aca="false">J7/$R$3</f>
        <v>-262.39344</v>
      </c>
      <c r="T7" s="126" t="n">
        <f aca="false">L7/$R$3</f>
        <v>-0</v>
      </c>
      <c r="U7" s="126" t="n">
        <f aca="false">I7/$R$3</f>
        <v>-262.39344</v>
      </c>
      <c r="V7" s="126" t="n">
        <f aca="false">M7/$R$3</f>
        <v>-262.39344</v>
      </c>
      <c r="W7" s="126" t="n">
        <f aca="false">N7/$R$3</f>
        <v>-262.39344</v>
      </c>
    </row>
    <row r="8" customFormat="false" ht="12.75" hidden="true" customHeight="false" outlineLevel="0" collapsed="false">
      <c r="A8" s="120" t="n">
        <f aca="false">A7+1</f>
        <v>36894</v>
      </c>
      <c r="B8" s="131" t="str">
        <f aca="false">INDEX('Master Data'!$A$2:$B$8,MATCH(WEEKDAY('ARG Gas IM'!A8,3),'Master Data'!$A$2:$A$8,0),2)</f>
        <v>W</v>
      </c>
      <c r="D8" s="124" t="n">
        <f aca="false">-298959/27.0963</f>
        <v>-11033.2037953521</v>
      </c>
      <c r="E8" s="124" t="n">
        <v>0</v>
      </c>
      <c r="F8" s="124" t="n">
        <v>0</v>
      </c>
      <c r="G8" s="124" t="n">
        <v>-260545.82</v>
      </c>
      <c r="I8" s="124" t="n">
        <f aca="false">IF(MONTH($A8)=MONTH($A7),IF(G8=0,I7,G8),0)</f>
        <v>-260545.82</v>
      </c>
      <c r="J8" s="124" t="n">
        <f aca="false">IF(MONTH($A8)=MONTH($A7),SUM(I8-I7),I8)</f>
        <v>1847.62</v>
      </c>
      <c r="K8" s="124" t="n">
        <f aca="false">IF(WEEKDAY(A8,3)&gt;4,0,(IF(A8&lt;K$2,0,IF(A8&lt;=K$3,1,0))))</f>
        <v>0</v>
      </c>
      <c r="L8" s="124" t="n">
        <f aca="false">J8*K8</f>
        <v>0</v>
      </c>
      <c r="M8" s="124" t="n">
        <f aca="false">SUM(J$6:J8)</f>
        <v>-260545.82</v>
      </c>
      <c r="N8" s="124" t="n">
        <f aca="false">SUM(J$6:J8)</f>
        <v>-260545.82</v>
      </c>
      <c r="P8" s="124" t="n">
        <f aca="false">D8/P$3</f>
        <v>-0.0110332037953521</v>
      </c>
      <c r="Q8" s="124" t="n">
        <f aca="false">E8/P$3</f>
        <v>0</v>
      </c>
      <c r="R8" s="124" t="n">
        <f aca="false">F8/R$3</f>
        <v>0</v>
      </c>
      <c r="S8" s="126" t="n">
        <f aca="false">J8/$R$3</f>
        <v>1.84762</v>
      </c>
      <c r="T8" s="126" t="n">
        <f aca="false">L8/$R$3</f>
        <v>0</v>
      </c>
      <c r="U8" s="126" t="n">
        <f aca="false">I8/$R$3</f>
        <v>-260.54582</v>
      </c>
      <c r="V8" s="126" t="n">
        <f aca="false">M8/$R$3</f>
        <v>-260.54582</v>
      </c>
      <c r="W8" s="126" t="n">
        <f aca="false">N8/$R$3</f>
        <v>-260.54582</v>
      </c>
    </row>
    <row r="9" customFormat="false" ht="12.75" hidden="true" customHeight="false" outlineLevel="0" collapsed="false">
      <c r="A9" s="120" t="n">
        <f aca="false">A8+1</f>
        <v>36895</v>
      </c>
      <c r="B9" s="131" t="str">
        <f aca="false">INDEX('Master Data'!$A$2:$B$8,MATCH(WEEKDAY('ARG Gas IM'!A9,3),'Master Data'!$A$2:$A$8,0),2)</f>
        <v>Th</v>
      </c>
      <c r="D9" s="124" t="n">
        <f aca="false">53712/27.0963</f>
        <v>1982.26326103564</v>
      </c>
      <c r="E9" s="124" t="n">
        <v>0</v>
      </c>
      <c r="F9" s="124" t="n">
        <v>0</v>
      </c>
      <c r="G9" s="124" t="n">
        <v>-208776.06</v>
      </c>
      <c r="I9" s="124" t="n">
        <f aca="false">IF(MONTH($A9)=MONTH($A8),IF(G9=0,I8,G9),0)</f>
        <v>-208776.06</v>
      </c>
      <c r="J9" s="124" t="n">
        <f aca="false">IF(MONTH($A9)=MONTH($A8),SUM(I9-I8),I9)</f>
        <v>51769.76</v>
      </c>
      <c r="K9" s="124" t="n">
        <f aca="false">IF(WEEKDAY(A9,3)&gt;4,0,(IF(A9&lt;K$2,0,IF(A9&lt;=K$3,1,0))))</f>
        <v>0</v>
      </c>
      <c r="L9" s="124" t="n">
        <f aca="false">J9*K9</f>
        <v>0</v>
      </c>
      <c r="M9" s="124" t="n">
        <f aca="false">SUM(J$6:J9)</f>
        <v>-208776.06</v>
      </c>
      <c r="N9" s="124" t="n">
        <f aca="false">SUM(J$6:J9)</f>
        <v>-208776.06</v>
      </c>
      <c r="P9" s="124" t="n">
        <f aca="false">D9/P$3</f>
        <v>0.00198226326103564</v>
      </c>
      <c r="Q9" s="124" t="n">
        <f aca="false">E9/P$3</f>
        <v>0</v>
      </c>
      <c r="R9" s="124" t="n">
        <f aca="false">F9/R$3</f>
        <v>0</v>
      </c>
      <c r="S9" s="126" t="n">
        <f aca="false">J9/$R$3</f>
        <v>51.76976</v>
      </c>
      <c r="T9" s="126" t="n">
        <f aca="false">L9/$R$3</f>
        <v>0</v>
      </c>
      <c r="U9" s="126" t="n">
        <f aca="false">I9/$R$3</f>
        <v>-208.77606</v>
      </c>
      <c r="V9" s="126" t="n">
        <f aca="false">M9/$R$3</f>
        <v>-208.77606</v>
      </c>
      <c r="W9" s="126" t="n">
        <f aca="false">N9/$R$3</f>
        <v>-208.77606</v>
      </c>
    </row>
    <row r="10" customFormat="false" ht="12.75" hidden="true" customHeight="false" outlineLevel="0" collapsed="false">
      <c r="A10" s="120" t="n">
        <f aca="false">A9+1</f>
        <v>36896</v>
      </c>
      <c r="B10" s="131" t="str">
        <f aca="false">INDEX('Master Data'!$A$2:$B$8,MATCH(WEEKDAY('ARG Gas IM'!A10,3),'Master Data'!$A$2:$A$8,0),2)</f>
        <v>F</v>
      </c>
      <c r="D10" s="124" t="n">
        <v>0</v>
      </c>
      <c r="E10" s="124" t="n">
        <v>0</v>
      </c>
      <c r="F10" s="124" t="n">
        <v>0</v>
      </c>
      <c r="G10" s="124" t="n">
        <v>-190287.74</v>
      </c>
      <c r="I10" s="124" t="n">
        <f aca="false">IF(MONTH($A10)=MONTH($A9),IF(G10=0,I9,G10),0)</f>
        <v>-190287.74</v>
      </c>
      <c r="J10" s="124" t="n">
        <f aca="false">IF(MONTH($A10)=MONTH($A9),SUM(I10-I9),I10)</f>
        <v>18488.32</v>
      </c>
      <c r="K10" s="124" t="n">
        <f aca="false">IF(WEEKDAY(A10,3)&gt;4,0,(IF(A10&lt;K$2,0,IF(A10&lt;=K$3,1,0))))</f>
        <v>0</v>
      </c>
      <c r="L10" s="124" t="n">
        <f aca="false">J10*K10</f>
        <v>0</v>
      </c>
      <c r="M10" s="124" t="n">
        <f aca="false">SUM(J$6:J10)</f>
        <v>-190287.74</v>
      </c>
      <c r="N10" s="124" t="n">
        <f aca="false">SUM(J$6:J10)</f>
        <v>-190287.74</v>
      </c>
      <c r="P10" s="124" t="n">
        <f aca="false">D10/P$3</f>
        <v>0</v>
      </c>
      <c r="Q10" s="124" t="n">
        <f aca="false">E10/P$3</f>
        <v>0</v>
      </c>
      <c r="R10" s="124" t="n">
        <f aca="false">F10/R$3</f>
        <v>0</v>
      </c>
      <c r="S10" s="126" t="n">
        <f aca="false">J10/$R$3</f>
        <v>18.48832</v>
      </c>
      <c r="T10" s="126" t="n">
        <f aca="false">L10/$R$3</f>
        <v>0</v>
      </c>
      <c r="U10" s="126" t="n">
        <f aca="false">I10/$R$3</f>
        <v>-190.28774</v>
      </c>
      <c r="V10" s="126" t="n">
        <f aca="false">M10/$R$3</f>
        <v>-190.28774</v>
      </c>
      <c r="W10" s="126" t="n">
        <f aca="false">N10/$R$3</f>
        <v>-190.28774</v>
      </c>
    </row>
    <row r="11" customFormat="false" ht="12.75" hidden="true" customHeight="false" outlineLevel="0" collapsed="false">
      <c r="A11" s="120" t="n">
        <f aca="false">A10+1</f>
        <v>36897</v>
      </c>
      <c r="B11" s="131" t="str">
        <f aca="false">INDEX('Master Data'!$A$2:$B$8,MATCH(WEEKDAY('ARG Gas IM'!A11,3),'Master Data'!$A$2:$A$8,0),2)</f>
        <v>Sa</v>
      </c>
      <c r="D11" s="124" t="n">
        <v>0</v>
      </c>
      <c r="E11" s="124" t="n">
        <v>0</v>
      </c>
      <c r="F11" s="124" t="n">
        <v>0</v>
      </c>
      <c r="G11" s="124" t="n">
        <v>0</v>
      </c>
      <c r="I11" s="124" t="n">
        <f aca="false">IF(MONTH($A11)=MONTH($A10),IF(G11=0,I10,G11),0)</f>
        <v>-190287.74</v>
      </c>
      <c r="J11" s="124" t="n">
        <f aca="false">IF(MONTH($A11)=MONTH($A10),SUM(I11-I10),I11)</f>
        <v>0</v>
      </c>
      <c r="K11" s="124" t="n">
        <f aca="false">IF(WEEKDAY(A11,3)&gt;4,0,(IF(A11&lt;K$2,0,IF(A11&lt;=K$3,1,0))))</f>
        <v>0</v>
      </c>
      <c r="L11" s="124" t="n">
        <f aca="false">J11*K11</f>
        <v>0</v>
      </c>
      <c r="M11" s="124" t="n">
        <f aca="false">SUM(J$6:J11)</f>
        <v>-190287.74</v>
      </c>
      <c r="N11" s="124" t="n">
        <f aca="false">SUM(J$6:J11)</f>
        <v>-190287.74</v>
      </c>
      <c r="P11" s="124" t="n">
        <f aca="false">D11/P$3</f>
        <v>0</v>
      </c>
      <c r="Q11" s="124" t="n">
        <f aca="false">E11/P$3</f>
        <v>0</v>
      </c>
      <c r="R11" s="124" t="n">
        <f aca="false">F11/R$3</f>
        <v>0</v>
      </c>
      <c r="S11" s="126" t="n">
        <f aca="false">J11/$R$3</f>
        <v>0</v>
      </c>
      <c r="T11" s="126" t="n">
        <f aca="false">L11/$R$3</f>
        <v>0</v>
      </c>
      <c r="U11" s="126" t="n">
        <f aca="false">I11/$R$3</f>
        <v>-190.28774</v>
      </c>
      <c r="V11" s="126" t="n">
        <f aca="false">M11/$R$3</f>
        <v>-190.28774</v>
      </c>
      <c r="W11" s="126" t="n">
        <f aca="false">N11/$R$3</f>
        <v>-190.28774</v>
      </c>
    </row>
    <row r="12" customFormat="false" ht="12.75" hidden="true" customHeight="false" outlineLevel="0" collapsed="false">
      <c r="A12" s="120" t="n">
        <f aca="false">A11+1</f>
        <v>36898</v>
      </c>
      <c r="B12" s="131" t="str">
        <f aca="false">INDEX('Master Data'!$A$2:$B$8,MATCH(WEEKDAY('ARG Gas IM'!A12,3),'Master Data'!$A$2:$A$8,0),2)</f>
        <v>Su</v>
      </c>
      <c r="D12" s="124" t="n">
        <v>0</v>
      </c>
      <c r="E12" s="124" t="n">
        <v>0</v>
      </c>
      <c r="F12" s="124" t="n">
        <v>0</v>
      </c>
      <c r="G12" s="124" t="n">
        <v>0</v>
      </c>
      <c r="I12" s="124" t="n">
        <f aca="false">IF(MONTH($A12)=MONTH($A11),IF(G12=0,I11,G12),0)</f>
        <v>-190287.74</v>
      </c>
      <c r="J12" s="124" t="n">
        <f aca="false">IF(MONTH($A12)=MONTH($A11),SUM(I12-I11),I12)</f>
        <v>0</v>
      </c>
      <c r="K12" s="124" t="n">
        <f aca="false">IF(WEEKDAY(A12,3)&gt;4,0,(IF(A12&lt;K$2,0,IF(A12&lt;=K$3,1,0))))</f>
        <v>0</v>
      </c>
      <c r="L12" s="124" t="n">
        <f aca="false">J12*K12</f>
        <v>0</v>
      </c>
      <c r="M12" s="124" t="n">
        <f aca="false">SUM(J$6:J12)</f>
        <v>-190287.74</v>
      </c>
      <c r="N12" s="124" t="n">
        <f aca="false">SUM(J$6:J12)</f>
        <v>-190287.74</v>
      </c>
      <c r="P12" s="124" t="n">
        <f aca="false">D12/P$3</f>
        <v>0</v>
      </c>
      <c r="Q12" s="124" t="n">
        <f aca="false">E12/P$3</f>
        <v>0</v>
      </c>
      <c r="R12" s="124" t="n">
        <f aca="false">F12/R$3</f>
        <v>0</v>
      </c>
      <c r="S12" s="126" t="n">
        <f aca="false">J12/$R$3</f>
        <v>0</v>
      </c>
      <c r="T12" s="126" t="n">
        <f aca="false">L12/$R$3</f>
        <v>0</v>
      </c>
      <c r="U12" s="126" t="n">
        <f aca="false">I12/$R$3</f>
        <v>-190.28774</v>
      </c>
      <c r="V12" s="126" t="n">
        <f aca="false">M12/$R$3</f>
        <v>-190.28774</v>
      </c>
      <c r="W12" s="126" t="n">
        <f aca="false">N12/$R$3</f>
        <v>-190.28774</v>
      </c>
    </row>
    <row r="13" customFormat="false" ht="12.75" hidden="true" customHeight="false" outlineLevel="0" collapsed="false">
      <c r="A13" s="120" t="n">
        <f aca="false">A12+1</f>
        <v>36899</v>
      </c>
      <c r="B13" s="131" t="str">
        <f aca="false">INDEX('Master Data'!$A$2:$B$8,MATCH(WEEKDAY('ARG Gas IM'!A13,3),'Master Data'!$A$2:$A$8,0),2)</f>
        <v>M</v>
      </c>
      <c r="D13" s="124" t="n">
        <v>0</v>
      </c>
      <c r="E13" s="124" t="n">
        <v>0</v>
      </c>
      <c r="F13" s="124" t="n">
        <v>0</v>
      </c>
      <c r="G13" s="124" t="n">
        <v>-195194.19</v>
      </c>
      <c r="I13" s="124" t="n">
        <f aca="false">IF(MONTH($A13)=MONTH($A12),IF(G13=0,I12,G13),0)</f>
        <v>-195194.19</v>
      </c>
      <c r="J13" s="124" t="n">
        <f aca="false">IF(MONTH($A13)=MONTH($A12),SUM(I13-I12),I13)</f>
        <v>-4906.45000000001</v>
      </c>
      <c r="K13" s="124" t="n">
        <f aca="false">IF(WEEKDAY(A13,3)&gt;4,0,(IF(A13&lt;K$2,0,IF(A13&lt;=K$3,1,0))))</f>
        <v>0</v>
      </c>
      <c r="L13" s="124" t="n">
        <f aca="false">J13*K13</f>
        <v>-0</v>
      </c>
      <c r="M13" s="124" t="n">
        <f aca="false">SUM(J$6:J13)</f>
        <v>-195194.19</v>
      </c>
      <c r="N13" s="124" t="n">
        <f aca="false">SUM(J$6:J13)</f>
        <v>-195194.19</v>
      </c>
      <c r="P13" s="124" t="n">
        <f aca="false">D13/P$3</f>
        <v>0</v>
      </c>
      <c r="Q13" s="124" t="n">
        <f aca="false">E13/P$3</f>
        <v>0</v>
      </c>
      <c r="R13" s="124" t="n">
        <f aca="false">F13/R$3</f>
        <v>0</v>
      </c>
      <c r="S13" s="126" t="n">
        <f aca="false">J13/$R$3</f>
        <v>-4.90645000000001</v>
      </c>
      <c r="T13" s="126" t="n">
        <f aca="false">L13/$R$3</f>
        <v>-0</v>
      </c>
      <c r="U13" s="126" t="n">
        <f aca="false">I13/$R$3</f>
        <v>-195.19419</v>
      </c>
      <c r="V13" s="126" t="n">
        <f aca="false">M13/$R$3</f>
        <v>-195.19419</v>
      </c>
      <c r="W13" s="126" t="n">
        <f aca="false">N13/$R$3</f>
        <v>-195.19419</v>
      </c>
    </row>
    <row r="14" customFormat="false" ht="12.75" hidden="true" customHeight="false" outlineLevel="0" collapsed="false">
      <c r="A14" s="120" t="n">
        <f aca="false">A13+1</f>
        <v>36900</v>
      </c>
      <c r="B14" s="131" t="str">
        <f aca="false">INDEX('Master Data'!$A$2:$B$8,MATCH(WEEKDAY('ARG Gas IM'!A14,3),'Master Data'!$A$2:$A$8,0),2)</f>
        <v>T</v>
      </c>
      <c r="D14" s="124" t="n">
        <v>0</v>
      </c>
      <c r="E14" s="124" t="n">
        <v>0</v>
      </c>
      <c r="F14" s="124" t="n">
        <v>0</v>
      </c>
      <c r="G14" s="124" t="n">
        <v>-196831.34</v>
      </c>
      <c r="I14" s="124" t="n">
        <f aca="false">IF(MONTH($A14)=MONTH($A13),IF(G14=0,I13,G14),0)</f>
        <v>-196831.34</v>
      </c>
      <c r="J14" s="124" t="n">
        <f aca="false">IF(MONTH($A14)=MONTH($A13),SUM(I14-I13),I14)</f>
        <v>-1637.14999999999</v>
      </c>
      <c r="K14" s="124" t="n">
        <f aca="false">IF(WEEKDAY(A14,3)&gt;4,0,(IF(A14&lt;K$2,0,IF(A14&lt;=K$3,1,0))))</f>
        <v>0</v>
      </c>
      <c r="L14" s="124" t="n">
        <f aca="false">J14*K14</f>
        <v>-0</v>
      </c>
      <c r="M14" s="124" t="n">
        <f aca="false">SUM(J$6:J14)</f>
        <v>-196831.34</v>
      </c>
      <c r="N14" s="124" t="n">
        <f aca="false">SUM(J$6:J14)</f>
        <v>-196831.34</v>
      </c>
      <c r="P14" s="124" t="n">
        <f aca="false">D14/P$3</f>
        <v>0</v>
      </c>
      <c r="Q14" s="124" t="n">
        <f aca="false">E14/P$3</f>
        <v>0</v>
      </c>
      <c r="R14" s="124" t="n">
        <f aca="false">F14/R$3</f>
        <v>0</v>
      </c>
      <c r="S14" s="126" t="n">
        <f aca="false">J14/$R$3</f>
        <v>-1.63714999999999</v>
      </c>
      <c r="T14" s="126" t="n">
        <f aca="false">L14/$R$3</f>
        <v>-0</v>
      </c>
      <c r="U14" s="126" t="n">
        <f aca="false">I14/$R$3</f>
        <v>-196.83134</v>
      </c>
      <c r="V14" s="126" t="n">
        <f aca="false">M14/$R$3</f>
        <v>-196.83134</v>
      </c>
      <c r="W14" s="126" t="n">
        <f aca="false">N14/$R$3</f>
        <v>-196.83134</v>
      </c>
    </row>
    <row r="15" customFormat="false" ht="12.75" hidden="true" customHeight="false" outlineLevel="0" collapsed="false">
      <c r="A15" s="120" t="n">
        <f aca="false">A14+1</f>
        <v>36901</v>
      </c>
      <c r="B15" s="131" t="str">
        <f aca="false">INDEX('Master Data'!$A$2:$B$8,MATCH(WEEKDAY('ARG Gas IM'!A15,3),'Master Data'!$A$2:$A$8,0),2)</f>
        <v>W</v>
      </c>
      <c r="D15" s="124" t="n">
        <v>0</v>
      </c>
      <c r="E15" s="124" t="n">
        <v>0</v>
      </c>
      <c r="F15" s="124" t="n">
        <v>0</v>
      </c>
      <c r="G15" s="124" t="n">
        <v>-198477.49</v>
      </c>
      <c r="I15" s="124" t="n">
        <f aca="false">IF(MONTH($A15)=MONTH($A14),IF(G15=0,I14,G15),0)</f>
        <v>-198477.49</v>
      </c>
      <c r="J15" s="124" t="n">
        <f aca="false">IF(MONTH($A15)=MONTH($A14),SUM(I15-I14),I15)</f>
        <v>-1646.14999999999</v>
      </c>
      <c r="K15" s="124" t="n">
        <f aca="false">IF(WEEKDAY(A15,3)&gt;4,0,(IF(A15&lt;K$2,0,IF(A15&lt;=K$3,1,0))))</f>
        <v>0</v>
      </c>
      <c r="L15" s="124" t="n">
        <f aca="false">J15*K15</f>
        <v>-0</v>
      </c>
      <c r="M15" s="124" t="n">
        <f aca="false">SUM(J$6:J15)</f>
        <v>-198477.49</v>
      </c>
      <c r="N15" s="124" t="n">
        <f aca="false">SUM(J$6:J15)</f>
        <v>-198477.49</v>
      </c>
      <c r="P15" s="124" t="n">
        <f aca="false">D15/P$3</f>
        <v>0</v>
      </c>
      <c r="Q15" s="124" t="n">
        <f aca="false">E15/P$3</f>
        <v>0</v>
      </c>
      <c r="R15" s="124" t="n">
        <f aca="false">F15/R$3</f>
        <v>0</v>
      </c>
      <c r="S15" s="126" t="n">
        <f aca="false">J15/$R$3</f>
        <v>-1.64614999999999</v>
      </c>
      <c r="T15" s="126" t="n">
        <f aca="false">L15/$R$3</f>
        <v>-0</v>
      </c>
      <c r="U15" s="126" t="n">
        <f aca="false">I15/$R$3</f>
        <v>-198.47749</v>
      </c>
      <c r="V15" s="126" t="n">
        <f aca="false">M15/$R$3</f>
        <v>-198.47749</v>
      </c>
      <c r="W15" s="126" t="n">
        <f aca="false">N15/$R$3</f>
        <v>-198.47749</v>
      </c>
    </row>
    <row r="16" customFormat="false" ht="12.75" hidden="true" customHeight="false" outlineLevel="0" collapsed="false">
      <c r="A16" s="120" t="n">
        <f aca="false">A15+1</f>
        <v>36902</v>
      </c>
      <c r="B16" s="131" t="str">
        <f aca="false">INDEX('Master Data'!$A$2:$B$8,MATCH(WEEKDAY('ARG Gas IM'!A16,3),'Master Data'!$A$2:$A$8,0),2)</f>
        <v>Th</v>
      </c>
      <c r="D16" s="124" t="n">
        <f aca="false">3/27.0963</f>
        <v>0.110716223248193</v>
      </c>
      <c r="E16" s="124" t="n">
        <v>0</v>
      </c>
      <c r="F16" s="124" t="n">
        <v>0</v>
      </c>
      <c r="G16" s="124" t="n">
        <v>-197960.82</v>
      </c>
      <c r="I16" s="124" t="n">
        <f aca="false">IF(MONTH($A16)=MONTH($A15),IF(G16=0,I15,G16),0)</f>
        <v>-197960.82</v>
      </c>
      <c r="J16" s="124" t="n">
        <f aca="false">IF(MONTH($A16)=MONTH($A15),SUM(I16-I15),I16)</f>
        <v>516.669999999984</v>
      </c>
      <c r="K16" s="124" t="n">
        <f aca="false">IF(WEEKDAY(A16,3)&gt;4,0,(IF(A16&lt;K$2,0,IF(A16&lt;=K$3,1,0))))</f>
        <v>0</v>
      </c>
      <c r="L16" s="124" t="n">
        <f aca="false">J16*K16</f>
        <v>0</v>
      </c>
      <c r="M16" s="124" t="n">
        <f aca="false">SUM(J$6:J16)</f>
        <v>-197960.82</v>
      </c>
      <c r="N16" s="124" t="n">
        <f aca="false">SUM(J$6:J16)</f>
        <v>-197960.82</v>
      </c>
      <c r="P16" s="124" t="n">
        <f aca="false">D16/P$3</f>
        <v>1.10716223248193E-007</v>
      </c>
      <c r="Q16" s="124" t="n">
        <f aca="false">E16/P$3</f>
        <v>0</v>
      </c>
      <c r="R16" s="124" t="n">
        <f aca="false">F16/R$3</f>
        <v>0</v>
      </c>
      <c r="S16" s="126" t="n">
        <f aca="false">J16/$R$3</f>
        <v>0.516669999999984</v>
      </c>
      <c r="T16" s="126" t="n">
        <f aca="false">L16/$R$3</f>
        <v>0</v>
      </c>
      <c r="U16" s="126" t="n">
        <f aca="false">I16/$R$3</f>
        <v>-197.96082</v>
      </c>
      <c r="V16" s="126" t="n">
        <f aca="false">M16/$R$3</f>
        <v>-197.96082</v>
      </c>
      <c r="W16" s="126" t="n">
        <f aca="false">N16/$R$3</f>
        <v>-197.96082</v>
      </c>
    </row>
    <row r="17" customFormat="false" ht="12.75" hidden="true" customHeight="false" outlineLevel="0" collapsed="false">
      <c r="A17" s="120" t="n">
        <f aca="false">A16+1</f>
        <v>36903</v>
      </c>
      <c r="B17" s="131" t="str">
        <f aca="false">INDEX('Master Data'!$A$2:$B$8,MATCH(WEEKDAY('ARG Gas IM'!A17,3),'Master Data'!$A$2:$A$8,0),2)</f>
        <v>F</v>
      </c>
      <c r="D17" s="124" t="n">
        <f aca="false">79706/27.0963</f>
        <v>2941.58243007348</v>
      </c>
      <c r="E17" s="124" t="n">
        <v>0</v>
      </c>
      <c r="F17" s="124" t="n">
        <v>0</v>
      </c>
      <c r="G17" s="124" t="n">
        <v>-202791.49</v>
      </c>
      <c r="I17" s="124" t="n">
        <f aca="false">IF(MONTH($A17)=MONTH($A16),IF(G17=0,I16,G17),0)</f>
        <v>-202791.49</v>
      </c>
      <c r="J17" s="124" t="n">
        <f aca="false">IF(MONTH($A17)=MONTH($A16),SUM(I17-I16),I17)</f>
        <v>-4830.66999999998</v>
      </c>
      <c r="K17" s="124" t="n">
        <f aca="false">IF(WEEKDAY(A17,3)&gt;4,0,(IF(A17&lt;K$2,0,IF(A17&lt;=K$3,1,0))))</f>
        <v>0</v>
      </c>
      <c r="L17" s="124" t="n">
        <f aca="false">J17*K17</f>
        <v>-0</v>
      </c>
      <c r="M17" s="124" t="n">
        <f aca="false">SUM(J$6:J17)</f>
        <v>-202791.49</v>
      </c>
      <c r="N17" s="124" t="n">
        <f aca="false">SUM(J$6:J17)</f>
        <v>-202791.49</v>
      </c>
      <c r="P17" s="124" t="n">
        <f aca="false">D17/P$3</f>
        <v>0.00294158243007348</v>
      </c>
      <c r="Q17" s="124" t="n">
        <f aca="false">E17/P$3</f>
        <v>0</v>
      </c>
      <c r="R17" s="124" t="n">
        <f aca="false">F17/R$3</f>
        <v>0</v>
      </c>
      <c r="S17" s="126" t="n">
        <f aca="false">J17/$R$3</f>
        <v>-4.83066999999998</v>
      </c>
      <c r="T17" s="126" t="n">
        <f aca="false">L17/$R$3</f>
        <v>-0</v>
      </c>
      <c r="U17" s="126" t="n">
        <f aca="false">I17/$R$3</f>
        <v>-202.79149</v>
      </c>
      <c r="V17" s="126" t="n">
        <f aca="false">M17/$R$3</f>
        <v>-202.79149</v>
      </c>
      <c r="W17" s="126" t="n">
        <f aca="false">N17/$R$3</f>
        <v>-202.79149</v>
      </c>
    </row>
    <row r="18" customFormat="false" ht="12.75" hidden="true" customHeight="false" outlineLevel="0" collapsed="false">
      <c r="A18" s="120" t="n">
        <f aca="false">A17+1</f>
        <v>36904</v>
      </c>
      <c r="B18" s="131" t="str">
        <f aca="false">INDEX('Master Data'!$A$2:$B$8,MATCH(WEEKDAY('ARG Gas IM'!A18,3),'Master Data'!$A$2:$A$8,0),2)</f>
        <v>Sa</v>
      </c>
      <c r="D18" s="124" t="n">
        <v>0</v>
      </c>
      <c r="E18" s="124" t="n">
        <v>0</v>
      </c>
      <c r="F18" s="124" t="n">
        <v>0</v>
      </c>
      <c r="G18" s="124" t="n">
        <v>0</v>
      </c>
      <c r="I18" s="124" t="n">
        <f aca="false">IF(MONTH($A18)=MONTH($A17),IF(G18=0,I17,G18),0)</f>
        <v>-202791.49</v>
      </c>
      <c r="J18" s="124" t="n">
        <f aca="false">IF(MONTH($A18)=MONTH($A17),SUM(I18-I17),I18)</f>
        <v>0</v>
      </c>
      <c r="K18" s="124" t="n">
        <f aca="false">IF(WEEKDAY(A18,3)&gt;4,0,(IF(A18&lt;K$2,0,IF(A18&lt;=K$3,1,0))))</f>
        <v>0</v>
      </c>
      <c r="L18" s="124" t="n">
        <f aca="false">J18*K18</f>
        <v>0</v>
      </c>
      <c r="M18" s="124" t="n">
        <f aca="false">SUM(J$6:J18)</f>
        <v>-202791.49</v>
      </c>
      <c r="N18" s="124" t="n">
        <f aca="false">SUM(J$6:J18)</f>
        <v>-202791.49</v>
      </c>
      <c r="P18" s="124" t="n">
        <f aca="false">D18/P$3</f>
        <v>0</v>
      </c>
      <c r="Q18" s="124" t="n">
        <f aca="false">E18/P$3</f>
        <v>0</v>
      </c>
      <c r="R18" s="124" t="n">
        <f aca="false">F18/R$3</f>
        <v>0</v>
      </c>
      <c r="S18" s="126" t="n">
        <f aca="false">J18/$R$3</f>
        <v>0</v>
      </c>
      <c r="T18" s="126" t="n">
        <f aca="false">L18/$R$3</f>
        <v>0</v>
      </c>
      <c r="U18" s="126" t="n">
        <f aca="false">I18/$R$3</f>
        <v>-202.79149</v>
      </c>
      <c r="V18" s="126" t="n">
        <f aca="false">M18/$R$3</f>
        <v>-202.79149</v>
      </c>
      <c r="W18" s="126" t="n">
        <f aca="false">N18/$R$3</f>
        <v>-202.79149</v>
      </c>
    </row>
    <row r="19" customFormat="false" ht="12.75" hidden="true" customHeight="false" outlineLevel="0" collapsed="false">
      <c r="A19" s="120" t="n">
        <f aca="false">A18+1</f>
        <v>36905</v>
      </c>
      <c r="B19" s="131" t="str">
        <f aca="false">INDEX('Master Data'!$A$2:$B$8,MATCH(WEEKDAY('ARG Gas IM'!A19,3),'Master Data'!$A$2:$A$8,0),2)</f>
        <v>Su</v>
      </c>
      <c r="D19" s="124" t="n">
        <v>0</v>
      </c>
      <c r="E19" s="124" t="n">
        <v>0</v>
      </c>
      <c r="F19" s="124" t="n">
        <v>0</v>
      </c>
      <c r="G19" s="124" t="n">
        <v>0</v>
      </c>
      <c r="I19" s="124" t="n">
        <f aca="false">IF(MONTH($A19)=MONTH($A18),IF(G19=0,I18,G19),0)</f>
        <v>-202791.49</v>
      </c>
      <c r="J19" s="124" t="n">
        <f aca="false">IF(MONTH($A19)=MONTH($A18),SUM(I19-I18),I19)</f>
        <v>0</v>
      </c>
      <c r="K19" s="124" t="n">
        <f aca="false">IF(WEEKDAY(A19,3)&gt;4,0,(IF(A19&lt;K$2,0,IF(A19&lt;=K$3,1,0))))</f>
        <v>0</v>
      </c>
      <c r="L19" s="124" t="n">
        <f aca="false">J19*K19</f>
        <v>0</v>
      </c>
      <c r="M19" s="124" t="n">
        <f aca="false">SUM(J$6:J19)</f>
        <v>-202791.49</v>
      </c>
      <c r="N19" s="124" t="n">
        <f aca="false">SUM(J$6:J19)</f>
        <v>-202791.49</v>
      </c>
      <c r="P19" s="124" t="n">
        <f aca="false">D19/P$3</f>
        <v>0</v>
      </c>
      <c r="Q19" s="124" t="n">
        <f aca="false">E19/P$3</f>
        <v>0</v>
      </c>
      <c r="R19" s="124" t="n">
        <f aca="false">F19/R$3</f>
        <v>0</v>
      </c>
      <c r="S19" s="126" t="n">
        <f aca="false">J19/$R$3</f>
        <v>0</v>
      </c>
      <c r="T19" s="126" t="n">
        <f aca="false">L19/$R$3</f>
        <v>0</v>
      </c>
      <c r="U19" s="126" t="n">
        <f aca="false">I19/$R$3</f>
        <v>-202.79149</v>
      </c>
      <c r="V19" s="126" t="n">
        <f aca="false">M19/$R$3</f>
        <v>-202.79149</v>
      </c>
      <c r="W19" s="126" t="n">
        <f aca="false">N19/$R$3</f>
        <v>-202.79149</v>
      </c>
    </row>
    <row r="20" customFormat="false" ht="12.75" hidden="true" customHeight="false" outlineLevel="0" collapsed="false">
      <c r="A20" s="120" t="n">
        <f aca="false">A19+1</f>
        <v>36906</v>
      </c>
      <c r="B20" s="131" t="str">
        <f aca="false">INDEX('Master Data'!$A$2:$B$8,MATCH(WEEKDAY('ARG Gas IM'!A20,3),'Master Data'!$A$2:$A$8,0),2)</f>
        <v>M</v>
      </c>
      <c r="D20" s="124" t="n">
        <v>0</v>
      </c>
      <c r="E20" s="124" t="n">
        <v>0</v>
      </c>
      <c r="F20" s="124" t="n">
        <v>0</v>
      </c>
      <c r="G20" s="124" t="n">
        <v>0</v>
      </c>
      <c r="I20" s="124" t="n">
        <f aca="false">IF(MONTH($A20)=MONTH($A19),IF(G20=0,I19,G20),0)</f>
        <v>-202791.49</v>
      </c>
      <c r="J20" s="124" t="n">
        <f aca="false">IF(MONTH($A20)=MONTH($A19),SUM(I20-I19),I20)</f>
        <v>0</v>
      </c>
      <c r="K20" s="124" t="n">
        <f aca="false">IF(WEEKDAY(A20,3)&gt;4,0,(IF(A20&lt;K$2,0,IF(A20&lt;=K$3,1,0))))</f>
        <v>0</v>
      </c>
      <c r="L20" s="124" t="n">
        <f aca="false">J20*K20</f>
        <v>0</v>
      </c>
      <c r="M20" s="124" t="n">
        <f aca="false">SUM(J$6:J20)</f>
        <v>-202791.49</v>
      </c>
      <c r="N20" s="124" t="n">
        <f aca="false">SUM(J$6:J20)</f>
        <v>-202791.49</v>
      </c>
      <c r="P20" s="124" t="n">
        <f aca="false">D20/P$3</f>
        <v>0</v>
      </c>
      <c r="Q20" s="124" t="n">
        <f aca="false">E20/P$3</f>
        <v>0</v>
      </c>
      <c r="R20" s="124" t="n">
        <f aca="false">F20/R$3</f>
        <v>0</v>
      </c>
      <c r="S20" s="126" t="n">
        <f aca="false">J20/$R$3</f>
        <v>0</v>
      </c>
      <c r="T20" s="126" t="n">
        <f aca="false">L20/$R$3</f>
        <v>0</v>
      </c>
      <c r="U20" s="126" t="n">
        <f aca="false">I20/$R$3</f>
        <v>-202.79149</v>
      </c>
      <c r="V20" s="126" t="n">
        <f aca="false">M20/$R$3</f>
        <v>-202.79149</v>
      </c>
      <c r="W20" s="126" t="n">
        <f aca="false">N20/$R$3</f>
        <v>-202.79149</v>
      </c>
    </row>
    <row r="21" customFormat="false" ht="12.75" hidden="true" customHeight="false" outlineLevel="0" collapsed="false">
      <c r="A21" s="120" t="n">
        <f aca="false">A20+1</f>
        <v>36907</v>
      </c>
      <c r="B21" s="131" t="str">
        <f aca="false">INDEX('Master Data'!$A$2:$B$8,MATCH(WEEKDAY('ARG Gas IM'!A21,3),'Master Data'!$A$2:$A$8,0),2)</f>
        <v>T</v>
      </c>
      <c r="D21" s="124" t="n">
        <f aca="false">20242/27.0963</f>
        <v>747.039263663305</v>
      </c>
      <c r="E21" s="124" t="n">
        <v>0</v>
      </c>
      <c r="F21" s="124" t="n">
        <v>0</v>
      </c>
      <c r="G21" s="124" t="n">
        <v>-224277.76</v>
      </c>
      <c r="I21" s="124" t="n">
        <f aca="false">IF(MONTH($A21)=MONTH($A20),IF(G21=0,I20,G21),0)</f>
        <v>-224277.76</v>
      </c>
      <c r="J21" s="124" t="n">
        <f aca="false">IF(MONTH($A21)=MONTH($A20),SUM(I21-I20),I21)</f>
        <v>-21486.27</v>
      </c>
      <c r="K21" s="124" t="n">
        <f aca="false">IF(WEEKDAY(A21,3)&gt;4,0,(IF(A21&lt;K$2,0,IF(A21&lt;=K$3,1,0))))</f>
        <v>0</v>
      </c>
      <c r="L21" s="124" t="n">
        <f aca="false">J21*K21</f>
        <v>-0</v>
      </c>
      <c r="M21" s="124" t="n">
        <f aca="false">SUM(J$6:J21)</f>
        <v>-224277.76</v>
      </c>
      <c r="N21" s="124" t="n">
        <f aca="false">SUM(J$6:J21)</f>
        <v>-224277.76</v>
      </c>
      <c r="P21" s="124" t="n">
        <f aca="false">D21/P$3</f>
        <v>0.000747039263663305</v>
      </c>
      <c r="Q21" s="124" t="n">
        <f aca="false">E21/P$3</f>
        <v>0</v>
      </c>
      <c r="R21" s="124" t="n">
        <f aca="false">F21/R$3</f>
        <v>0</v>
      </c>
      <c r="S21" s="126" t="n">
        <f aca="false">J21/$R$3</f>
        <v>-21.48627</v>
      </c>
      <c r="T21" s="126" t="n">
        <f aca="false">L21/$R$3</f>
        <v>-0</v>
      </c>
      <c r="U21" s="126" t="n">
        <f aca="false">I21/$R$3</f>
        <v>-224.27776</v>
      </c>
      <c r="V21" s="126" t="n">
        <f aca="false">M21/$R$3</f>
        <v>-224.27776</v>
      </c>
      <c r="W21" s="126" t="n">
        <f aca="false">N21/$R$3</f>
        <v>-224.27776</v>
      </c>
    </row>
    <row r="22" customFormat="false" ht="12.75" hidden="true" customHeight="false" outlineLevel="0" collapsed="false">
      <c r="A22" s="120" t="n">
        <f aca="false">A21+1</f>
        <v>36908</v>
      </c>
      <c r="B22" s="131" t="str">
        <f aca="false">INDEX('Master Data'!$A$2:$B$8,MATCH(WEEKDAY('ARG Gas IM'!A22,3),'Master Data'!$A$2:$A$8,0),2)</f>
        <v>W</v>
      </c>
      <c r="D22" s="124" t="n">
        <f aca="false">17047/27.0963</f>
        <v>629.12648590398</v>
      </c>
      <c r="E22" s="124" t="n">
        <v>0</v>
      </c>
      <c r="F22" s="124" t="n">
        <v>0</v>
      </c>
      <c r="G22" s="124" t="n">
        <v>-224494.97</v>
      </c>
      <c r="I22" s="124" t="n">
        <f aca="false">IF(MONTH($A22)=MONTH($A21),IF(G22=0,I21,G22),0)</f>
        <v>-224494.97</v>
      </c>
      <c r="J22" s="124" t="n">
        <f aca="false">IF(MONTH($A22)=MONTH($A21),SUM(I22-I21),I22)</f>
        <v>-217.209999999992</v>
      </c>
      <c r="K22" s="124" t="n">
        <f aca="false">IF(WEEKDAY(A22,3)&gt;4,0,(IF(A22&lt;K$2,0,IF(A22&lt;=K$3,1,0))))</f>
        <v>0</v>
      </c>
      <c r="L22" s="124" t="n">
        <f aca="false">J22*K22</f>
        <v>-0</v>
      </c>
      <c r="M22" s="124" t="n">
        <f aca="false">SUM(J$6:J22)</f>
        <v>-224494.97</v>
      </c>
      <c r="N22" s="124" t="n">
        <f aca="false">SUM(J$6:J22)</f>
        <v>-224494.97</v>
      </c>
      <c r="P22" s="124" t="n">
        <f aca="false">D22/P$3</f>
        <v>0.00062912648590398</v>
      </c>
      <c r="Q22" s="124" t="n">
        <f aca="false">E22/P$3</f>
        <v>0</v>
      </c>
      <c r="R22" s="124" t="n">
        <f aca="false">F22/R$3</f>
        <v>0</v>
      </c>
      <c r="S22" s="126" t="n">
        <f aca="false">J22/$R$3</f>
        <v>-0.217209999999992</v>
      </c>
      <c r="T22" s="126" t="n">
        <f aca="false">L22/$R$3</f>
        <v>-0</v>
      </c>
      <c r="U22" s="126" t="n">
        <f aca="false">I22/$R$3</f>
        <v>-224.49497</v>
      </c>
      <c r="V22" s="126" t="n">
        <f aca="false">M22/$R$3</f>
        <v>-224.49497</v>
      </c>
      <c r="W22" s="126" t="n">
        <f aca="false">N22/$R$3</f>
        <v>-224.49497</v>
      </c>
    </row>
    <row r="23" customFormat="false" ht="12.75" hidden="true" customHeight="false" outlineLevel="0" collapsed="false">
      <c r="A23" s="120" t="n">
        <f aca="false">A22+1</f>
        <v>36909</v>
      </c>
      <c r="B23" s="131" t="str">
        <f aca="false">INDEX('Master Data'!$A$2:$B$8,MATCH(WEEKDAY('ARG Gas IM'!A23,3),'Master Data'!$A$2:$A$8,0),2)</f>
        <v>Th</v>
      </c>
      <c r="D23" s="124" t="n">
        <f aca="false">13852/27.0963</f>
        <v>511.213708144654</v>
      </c>
      <c r="E23" s="124" t="n">
        <v>0</v>
      </c>
      <c r="F23" s="124" t="n">
        <v>0</v>
      </c>
      <c r="G23" s="124" t="n">
        <v>-224711.31</v>
      </c>
      <c r="I23" s="124" t="n">
        <f aca="false">IF(MONTH($A23)=MONTH($A22),IF(G23=0,I22,G23),0)</f>
        <v>-224711.31</v>
      </c>
      <c r="J23" s="124" t="n">
        <f aca="false">IF(MONTH($A23)=MONTH($A22),SUM(I23-I22),I23)</f>
        <v>-216.339999999997</v>
      </c>
      <c r="K23" s="124" t="n">
        <f aca="false">IF(WEEKDAY(A23,3)&gt;4,0,(IF(A23&lt;K$2,0,IF(A23&lt;=K$3,1,0))))</f>
        <v>0</v>
      </c>
      <c r="L23" s="124" t="n">
        <f aca="false">J23*K23</f>
        <v>-0</v>
      </c>
      <c r="M23" s="124" t="n">
        <f aca="false">SUM(J$6:J23)</f>
        <v>-224711.31</v>
      </c>
      <c r="N23" s="124" t="n">
        <f aca="false">SUM(J$6:J23)</f>
        <v>-224711.31</v>
      </c>
      <c r="P23" s="124" t="n">
        <f aca="false">D23/P$3</f>
        <v>0.000511213708144654</v>
      </c>
      <c r="Q23" s="124" t="n">
        <f aca="false">E23/P$3</f>
        <v>0</v>
      </c>
      <c r="R23" s="124" t="n">
        <f aca="false">F23/R$3</f>
        <v>0</v>
      </c>
      <c r="S23" s="126" t="n">
        <f aca="false">J23/$R$3</f>
        <v>-0.216339999999997</v>
      </c>
      <c r="T23" s="126" t="n">
        <f aca="false">L23/$R$3</f>
        <v>-0</v>
      </c>
      <c r="U23" s="126" t="n">
        <f aca="false">I23/$R$3</f>
        <v>-224.71131</v>
      </c>
      <c r="V23" s="126" t="n">
        <f aca="false">M23/$R$3</f>
        <v>-224.71131</v>
      </c>
      <c r="W23" s="126" t="n">
        <f aca="false">N23/$R$3</f>
        <v>-224.71131</v>
      </c>
    </row>
    <row r="24" customFormat="false" ht="12.75" hidden="true" customHeight="false" outlineLevel="0" collapsed="false">
      <c r="A24" s="120" t="n">
        <f aca="false">A23+1</f>
        <v>36910</v>
      </c>
      <c r="B24" s="131" t="str">
        <f aca="false">INDEX('Master Data'!$A$2:$B$8,MATCH(WEEKDAY('ARG Gas IM'!A24,3),'Master Data'!$A$2:$A$8,0),2)</f>
        <v>F</v>
      </c>
      <c r="D24" s="124" t="n">
        <f aca="false">10657/27.0963</f>
        <v>393.300930385329</v>
      </c>
      <c r="E24" s="124" t="n">
        <v>0</v>
      </c>
      <c r="F24" s="124" t="n">
        <v>0</v>
      </c>
      <c r="G24" s="124" t="n">
        <v>-224928.76</v>
      </c>
      <c r="I24" s="124" t="n">
        <f aca="false">IF(MONTH($A24)=MONTH($A23),IF(G24=0,I23,G24),0)</f>
        <v>-224928.76</v>
      </c>
      <c r="J24" s="124" t="n">
        <f aca="false">IF(MONTH($A24)=MONTH($A23),SUM(I24-I23),I24)</f>
        <v>-217.450000000012</v>
      </c>
      <c r="K24" s="124" t="n">
        <f aca="false">IF(WEEKDAY(A24,3)&gt;4,0,(IF(A24&lt;K$2,0,IF(A24&lt;=K$3,1,0))))</f>
        <v>0</v>
      </c>
      <c r="L24" s="124" t="n">
        <f aca="false">J24*K24</f>
        <v>-0</v>
      </c>
      <c r="M24" s="124" t="n">
        <f aca="false">SUM(J$6:J24)</f>
        <v>-224928.76</v>
      </c>
      <c r="N24" s="124" t="n">
        <f aca="false">SUM(J$6:J24)</f>
        <v>-224928.76</v>
      </c>
      <c r="P24" s="124" t="n">
        <f aca="false">D24/P$3</f>
        <v>0.000393300930385329</v>
      </c>
      <c r="Q24" s="124" t="n">
        <f aca="false">E24/P$3</f>
        <v>0</v>
      </c>
      <c r="R24" s="124" t="n">
        <f aca="false">F24/R$3</f>
        <v>0</v>
      </c>
      <c r="S24" s="126" t="n">
        <f aca="false">J24/$R$3</f>
        <v>-0.217450000000012</v>
      </c>
      <c r="T24" s="126" t="n">
        <f aca="false">L24/$R$3</f>
        <v>-0</v>
      </c>
      <c r="U24" s="126" t="n">
        <f aca="false">I24/$R$3</f>
        <v>-224.92876</v>
      </c>
      <c r="V24" s="126" t="n">
        <f aca="false">M24/$R$3</f>
        <v>-224.92876</v>
      </c>
      <c r="W24" s="126" t="n">
        <f aca="false">N24/$R$3</f>
        <v>-224.92876</v>
      </c>
    </row>
    <row r="25" customFormat="false" ht="12.75" hidden="true" customHeight="false" outlineLevel="0" collapsed="false">
      <c r="A25" s="120" t="n">
        <f aca="false">A24+1</f>
        <v>36911</v>
      </c>
      <c r="B25" s="131" t="str">
        <f aca="false">INDEX('Master Data'!$A$2:$B$8,MATCH(WEEKDAY('ARG Gas IM'!A25,3),'Master Data'!$A$2:$A$8,0),2)</f>
        <v>Sa</v>
      </c>
      <c r="D25" s="124" t="n">
        <v>0</v>
      </c>
      <c r="E25" s="124" t="n">
        <v>0</v>
      </c>
      <c r="F25" s="124" t="n">
        <v>0</v>
      </c>
      <c r="G25" s="124" t="n">
        <v>0</v>
      </c>
      <c r="I25" s="124" t="n">
        <f aca="false">IF(MONTH($A25)=MONTH($A24),IF(G25=0,I24,G25),0)</f>
        <v>-224928.76</v>
      </c>
      <c r="J25" s="124" t="n">
        <f aca="false">IF(MONTH($A25)=MONTH($A24),SUM(I25-I24),I25)</f>
        <v>0</v>
      </c>
      <c r="K25" s="124" t="n">
        <f aca="false">IF(WEEKDAY(A25,3)&gt;4,0,(IF(A25&lt;K$2,0,IF(A25&lt;=K$3,1,0))))</f>
        <v>0</v>
      </c>
      <c r="L25" s="124" t="n">
        <f aca="false">J25*K25</f>
        <v>0</v>
      </c>
      <c r="M25" s="124" t="n">
        <f aca="false">SUM(J$6:J25)</f>
        <v>-224928.76</v>
      </c>
      <c r="N25" s="124" t="n">
        <f aca="false">SUM(J$6:J25)</f>
        <v>-224928.76</v>
      </c>
      <c r="P25" s="124" t="n">
        <f aca="false">D25/P$3</f>
        <v>0</v>
      </c>
      <c r="Q25" s="124" t="n">
        <f aca="false">E25/P$3</f>
        <v>0</v>
      </c>
      <c r="R25" s="124" t="n">
        <f aca="false">F25/R$3</f>
        <v>0</v>
      </c>
      <c r="S25" s="126" t="n">
        <f aca="false">J25/$R$3</f>
        <v>0</v>
      </c>
      <c r="T25" s="126" t="n">
        <f aca="false">L25/$R$3</f>
        <v>0</v>
      </c>
      <c r="U25" s="126" t="n">
        <f aca="false">I25/$R$3</f>
        <v>-224.92876</v>
      </c>
      <c r="V25" s="126" t="n">
        <f aca="false">M25/$R$3</f>
        <v>-224.92876</v>
      </c>
      <c r="W25" s="126" t="n">
        <f aca="false">N25/$R$3</f>
        <v>-224.92876</v>
      </c>
    </row>
    <row r="26" customFormat="false" ht="12.75" hidden="true" customHeight="false" outlineLevel="0" collapsed="false">
      <c r="A26" s="120" t="n">
        <f aca="false">A25+1</f>
        <v>36912</v>
      </c>
      <c r="B26" s="131" t="str">
        <f aca="false">INDEX('Master Data'!$A$2:$B$8,MATCH(WEEKDAY('ARG Gas IM'!A26,3),'Master Data'!$A$2:$A$8,0),2)</f>
        <v>Su</v>
      </c>
      <c r="D26" s="124" t="n">
        <v>0</v>
      </c>
      <c r="E26" s="124" t="n">
        <v>0</v>
      </c>
      <c r="F26" s="124" t="n">
        <v>0</v>
      </c>
      <c r="G26" s="124" t="n">
        <v>0</v>
      </c>
      <c r="I26" s="124" t="n">
        <f aca="false">IF(MONTH($A26)=MONTH($A25),IF(G26=0,I25,G26),0)</f>
        <v>-224928.76</v>
      </c>
      <c r="J26" s="124" t="n">
        <f aca="false">IF(MONTH($A26)=MONTH($A25),SUM(I26-I25),I26)</f>
        <v>0</v>
      </c>
      <c r="K26" s="124" t="n">
        <f aca="false">IF(WEEKDAY(A26,3)&gt;4,0,(IF(A26&lt;K$2,0,IF(A26&lt;=K$3,1,0))))</f>
        <v>0</v>
      </c>
      <c r="L26" s="124" t="n">
        <f aca="false">J26*K26</f>
        <v>0</v>
      </c>
      <c r="M26" s="124" t="n">
        <f aca="false">SUM(J$6:J26)</f>
        <v>-224928.76</v>
      </c>
      <c r="N26" s="124" t="n">
        <f aca="false">SUM(J$6:J26)</f>
        <v>-224928.76</v>
      </c>
      <c r="P26" s="124" t="n">
        <f aca="false">D26/P$3</f>
        <v>0</v>
      </c>
      <c r="Q26" s="124" t="n">
        <f aca="false">E26/P$3</f>
        <v>0</v>
      </c>
      <c r="R26" s="124" t="n">
        <f aca="false">F26/R$3</f>
        <v>0</v>
      </c>
      <c r="S26" s="126" t="n">
        <f aca="false">J26/$R$3</f>
        <v>0</v>
      </c>
      <c r="T26" s="126" t="n">
        <f aca="false">L26/$R$3</f>
        <v>0</v>
      </c>
      <c r="U26" s="126" t="n">
        <f aca="false">I26/$R$3</f>
        <v>-224.92876</v>
      </c>
      <c r="V26" s="126" t="n">
        <f aca="false">M26/$R$3</f>
        <v>-224.92876</v>
      </c>
      <c r="W26" s="126" t="n">
        <f aca="false">N26/$R$3</f>
        <v>-224.92876</v>
      </c>
    </row>
    <row r="27" customFormat="false" ht="12.75" hidden="true" customHeight="false" outlineLevel="0" collapsed="false">
      <c r="A27" s="120" t="n">
        <f aca="false">A26+1</f>
        <v>36913</v>
      </c>
      <c r="B27" s="131" t="str">
        <f aca="false">INDEX('Master Data'!$A$2:$B$8,MATCH(WEEKDAY('ARG Gas IM'!A27,3),'Master Data'!$A$2:$A$8,0),2)</f>
        <v>M</v>
      </c>
      <c r="D27" s="124" t="n">
        <f aca="false">1072/27.0963</f>
        <v>39.5625971073541</v>
      </c>
      <c r="E27" s="124" t="n">
        <v>0</v>
      </c>
      <c r="F27" s="124" t="n">
        <v>0</v>
      </c>
      <c r="G27" s="124" t="n">
        <v>-225588.61</v>
      </c>
      <c r="I27" s="124" t="n">
        <f aca="false">IF(MONTH($A27)=MONTH($A26),IF(G27=0,I26,G27),0)</f>
        <v>-225588.61</v>
      </c>
      <c r="J27" s="124" t="n">
        <f aca="false">IF(MONTH($A27)=MONTH($A26),SUM(I27-I26),I27)</f>
        <v>-659.849999999977</v>
      </c>
      <c r="K27" s="124" t="n">
        <f aca="false">IF(WEEKDAY(A27,3)&gt;4,0,(IF(A27&lt;K$2,0,IF(A27&lt;=K$3,1,0))))</f>
        <v>0</v>
      </c>
      <c r="L27" s="124" t="n">
        <f aca="false">J27*K27</f>
        <v>-0</v>
      </c>
      <c r="M27" s="124" t="n">
        <f aca="false">SUM(J$6:J27)</f>
        <v>-225588.61</v>
      </c>
      <c r="N27" s="124" t="n">
        <f aca="false">SUM(J$6:J27)</f>
        <v>-225588.61</v>
      </c>
      <c r="P27" s="124" t="n">
        <f aca="false">D27/P$3</f>
        <v>3.95625971073541E-005</v>
      </c>
      <c r="Q27" s="124" t="n">
        <f aca="false">E27/P$3</f>
        <v>0</v>
      </c>
      <c r="R27" s="124" t="n">
        <f aca="false">F27/R$3</f>
        <v>0</v>
      </c>
      <c r="S27" s="126" t="n">
        <f aca="false">J27/$R$3</f>
        <v>-0.659849999999977</v>
      </c>
      <c r="T27" s="126" t="n">
        <f aca="false">L27/$R$3</f>
        <v>-0</v>
      </c>
      <c r="U27" s="126" t="n">
        <f aca="false">I27/$R$3</f>
        <v>-225.58861</v>
      </c>
      <c r="V27" s="126" t="n">
        <f aca="false">M27/$R$3</f>
        <v>-225.58861</v>
      </c>
      <c r="W27" s="126" t="n">
        <f aca="false">N27/$R$3</f>
        <v>-225.58861</v>
      </c>
    </row>
    <row r="28" customFormat="false" ht="12.75" hidden="true" customHeight="false" outlineLevel="0" collapsed="false">
      <c r="A28" s="120" t="n">
        <f aca="false">A27+1</f>
        <v>36914</v>
      </c>
      <c r="B28" s="131" t="str">
        <f aca="false">INDEX('Master Data'!$A$2:$B$8,MATCH(WEEKDAY('ARG Gas IM'!A28,3),'Master Data'!$A$2:$A$8,0),2)</f>
        <v>T</v>
      </c>
      <c r="D28" s="124" t="n">
        <f aca="false">-9429/27.0963</f>
        <v>-347.981089669069</v>
      </c>
      <c r="E28" s="124" t="n">
        <v>0</v>
      </c>
      <c r="F28" s="124" t="n">
        <v>0</v>
      </c>
      <c r="G28" s="124" t="n">
        <v>-227889.88</v>
      </c>
      <c r="I28" s="124" t="n">
        <f aca="false">IF(MONTH($A28)=MONTH($A27),IF(G28=0,I27,G28),0)</f>
        <v>-227889.88</v>
      </c>
      <c r="J28" s="124" t="n">
        <f aca="false">IF(MONTH($A28)=MONTH($A27),SUM(I28-I27),I28)</f>
        <v>-2301.27000000002</v>
      </c>
      <c r="K28" s="124" t="n">
        <f aca="false">IF(WEEKDAY(A28,3)&gt;4,0,(IF(A28&lt;K$2,0,IF(A28&lt;=K$3,1,0))))</f>
        <v>0</v>
      </c>
      <c r="L28" s="124" t="n">
        <f aca="false">J28*K28</f>
        <v>-0</v>
      </c>
      <c r="M28" s="124" t="n">
        <f aca="false">SUM(J$6:J28)</f>
        <v>-227889.88</v>
      </c>
      <c r="N28" s="124" t="n">
        <f aca="false">SUM(J$6:J28)</f>
        <v>-227889.88</v>
      </c>
      <c r="P28" s="124" t="n">
        <f aca="false">D28/P$3</f>
        <v>-0.000347981089669069</v>
      </c>
      <c r="Q28" s="124" t="n">
        <f aca="false">E28/P$3</f>
        <v>0</v>
      </c>
      <c r="R28" s="124" t="n">
        <f aca="false">F28/R$3</f>
        <v>0</v>
      </c>
      <c r="S28" s="126" t="n">
        <f aca="false">J28/$R$3</f>
        <v>-2.30127000000002</v>
      </c>
      <c r="T28" s="126" t="n">
        <f aca="false">L28/$R$3</f>
        <v>-0</v>
      </c>
      <c r="U28" s="126" t="n">
        <f aca="false">I28/$R$3</f>
        <v>-227.88988</v>
      </c>
      <c r="V28" s="126" t="n">
        <f aca="false">M28/$R$3</f>
        <v>-227.88988</v>
      </c>
      <c r="W28" s="126" t="n">
        <f aca="false">N28/$R$3</f>
        <v>-227.88988</v>
      </c>
    </row>
    <row r="29" customFormat="false" ht="12.75" hidden="true" customHeight="false" outlineLevel="0" collapsed="false">
      <c r="A29" s="120" t="n">
        <f aca="false">A28+1</f>
        <v>36915</v>
      </c>
      <c r="B29" s="131" t="str">
        <f aca="false">INDEX('Master Data'!$A$2:$B$8,MATCH(WEEKDAY('ARG Gas IM'!A29,3),'Master Data'!$A$2:$A$8,0),2)</f>
        <v>W</v>
      </c>
      <c r="D29" s="124" t="n">
        <f aca="false">-12806/27.0963</f>
        <v>-472.610651638785</v>
      </c>
      <c r="E29" s="124" t="n">
        <v>0</v>
      </c>
      <c r="F29" s="124" t="n">
        <v>0</v>
      </c>
      <c r="G29" s="124" t="n">
        <v>-228134.2</v>
      </c>
      <c r="I29" s="124" t="n">
        <f aca="false">IF(MONTH($A29)=MONTH($A28),IF(G29=0,I28,G29),0)</f>
        <v>-228134.2</v>
      </c>
      <c r="J29" s="124" t="n">
        <f aca="false">IF(MONTH($A29)=MONTH($A28),SUM(I29-I28),I29)</f>
        <v>-244.320000000007</v>
      </c>
      <c r="K29" s="124" t="n">
        <f aca="false">IF(WEEKDAY(A29,3)&gt;4,0,(IF(A29&lt;K$2,0,IF(A29&lt;=K$3,1,0))))</f>
        <v>0</v>
      </c>
      <c r="L29" s="124" t="n">
        <f aca="false">J29*K29</f>
        <v>-0</v>
      </c>
      <c r="M29" s="124" t="n">
        <f aca="false">SUM(J$6:J29)</f>
        <v>-228134.2</v>
      </c>
      <c r="N29" s="124" t="n">
        <f aca="false">SUM(J$6:J29)</f>
        <v>-228134.2</v>
      </c>
      <c r="P29" s="124" t="n">
        <f aca="false">D29/P$3</f>
        <v>-0.000472610651638785</v>
      </c>
      <c r="Q29" s="124" t="n">
        <f aca="false">E29/P$3</f>
        <v>0</v>
      </c>
      <c r="R29" s="124" t="n">
        <f aca="false">F29/R$3</f>
        <v>0</v>
      </c>
      <c r="S29" s="126" t="n">
        <f aca="false">J29/$R$3</f>
        <v>-0.244320000000007</v>
      </c>
      <c r="T29" s="126" t="n">
        <f aca="false">L29/$R$3</f>
        <v>-0</v>
      </c>
      <c r="U29" s="126" t="n">
        <f aca="false">I29/$R$3</f>
        <v>-228.1342</v>
      </c>
      <c r="V29" s="126" t="n">
        <f aca="false">M29/$R$3</f>
        <v>-228.1342</v>
      </c>
      <c r="W29" s="126" t="n">
        <f aca="false">N29/$R$3</f>
        <v>-228.1342</v>
      </c>
    </row>
    <row r="30" customFormat="false" ht="12.75" hidden="true" customHeight="false" outlineLevel="0" collapsed="false">
      <c r="A30" s="120" t="n">
        <f aca="false">A29+1</f>
        <v>36916</v>
      </c>
      <c r="B30" s="131" t="str">
        <f aca="false">INDEX('Master Data'!$A$2:$B$8,MATCH(WEEKDAY('ARG Gas IM'!A30,3),'Master Data'!$A$2:$A$8,0),2)</f>
        <v>Th</v>
      </c>
      <c r="D30" s="124" t="n">
        <f aca="false">3665/27.0963</f>
        <v>135.258319401542</v>
      </c>
      <c r="E30" s="124" t="n">
        <v>0</v>
      </c>
      <c r="F30" s="124" t="n">
        <v>0</v>
      </c>
      <c r="G30" s="124" t="n">
        <v>-223281.25</v>
      </c>
      <c r="I30" s="124" t="n">
        <f aca="false">IF(MONTH($A30)=MONTH($A29),IF(G30=0,I29,G30),0)</f>
        <v>-223281.25</v>
      </c>
      <c r="J30" s="124" t="n">
        <f aca="false">IF(MONTH($A30)=MONTH($A29),SUM(I30-I29),I30)</f>
        <v>4852.95000000001</v>
      </c>
      <c r="K30" s="124" t="n">
        <f aca="false">IF(WEEKDAY(A30,3)&gt;4,0,(IF(A30&lt;K$2,0,IF(A30&lt;=K$3,1,0))))</f>
        <v>0</v>
      </c>
      <c r="L30" s="124" t="n">
        <f aca="false">J30*K30</f>
        <v>0</v>
      </c>
      <c r="M30" s="124" t="n">
        <f aca="false">SUM(J$6:J30)</f>
        <v>-223281.25</v>
      </c>
      <c r="N30" s="124" t="n">
        <f aca="false">SUM(J$6:J30)</f>
        <v>-223281.25</v>
      </c>
      <c r="P30" s="124" t="n">
        <f aca="false">D30/P$3</f>
        <v>0.000135258319401542</v>
      </c>
      <c r="Q30" s="124" t="n">
        <f aca="false">E30/P$3</f>
        <v>0</v>
      </c>
      <c r="R30" s="124" t="n">
        <f aca="false">F30/R$3</f>
        <v>0</v>
      </c>
      <c r="S30" s="126" t="n">
        <f aca="false">J30/$R$3</f>
        <v>4.85295000000001</v>
      </c>
      <c r="T30" s="126" t="n">
        <f aca="false">L30/$R$3</f>
        <v>0</v>
      </c>
      <c r="U30" s="126" t="n">
        <f aca="false">I30/$R$3</f>
        <v>-223.28125</v>
      </c>
      <c r="V30" s="126" t="n">
        <f aca="false">M30/$R$3</f>
        <v>-223.28125</v>
      </c>
      <c r="W30" s="126" t="n">
        <f aca="false">N30/$R$3</f>
        <v>-223.28125</v>
      </c>
    </row>
    <row r="31" customFormat="false" ht="12.75" hidden="true" customHeight="false" outlineLevel="0" collapsed="false">
      <c r="A31" s="120" t="n">
        <f aca="false">A30+1</f>
        <v>36917</v>
      </c>
      <c r="B31" s="131" t="str">
        <f aca="false">INDEX('Master Data'!$A$2:$B$8,MATCH(WEEKDAY('ARG Gas IM'!A31,3),'Master Data'!$A$2:$A$8,0),2)</f>
        <v>F</v>
      </c>
      <c r="D31" s="124" t="n">
        <f aca="false">3627/27.0963</f>
        <v>133.855913907065</v>
      </c>
      <c r="E31" s="124" t="n">
        <v>0</v>
      </c>
      <c r="F31" s="124" t="n">
        <v>0</v>
      </c>
      <c r="G31" s="124" t="n">
        <v>-223486.99</v>
      </c>
      <c r="I31" s="124" t="n">
        <f aca="false">IF(MONTH($A31)=MONTH($A30),IF(G31=0,I30,G31),0)</f>
        <v>-223486.99</v>
      </c>
      <c r="J31" s="124" t="n">
        <f aca="false">IF(MONTH($A31)=MONTH($A30),SUM(I31-I30),I31)</f>
        <v>-205.739999999991</v>
      </c>
      <c r="K31" s="124" t="n">
        <f aca="false">IF(WEEKDAY(A31,3)&gt;4,0,(IF(A31&lt;K$2,0,IF(A31&lt;=K$3,1,0))))</f>
        <v>0</v>
      </c>
      <c r="L31" s="124" t="n">
        <f aca="false">J31*K31</f>
        <v>-0</v>
      </c>
      <c r="M31" s="124" t="n">
        <f aca="false">SUM(J$6:J31)</f>
        <v>-223486.99</v>
      </c>
      <c r="N31" s="124" t="n">
        <f aca="false">SUM(J$6:J31)</f>
        <v>-223486.99</v>
      </c>
      <c r="P31" s="124" t="n">
        <f aca="false">D31/P$3</f>
        <v>0.000133855913907065</v>
      </c>
      <c r="Q31" s="124" t="n">
        <f aca="false">E31/P$3</f>
        <v>0</v>
      </c>
      <c r="R31" s="124" t="n">
        <f aca="false">F31/R$3</f>
        <v>0</v>
      </c>
      <c r="S31" s="126" t="n">
        <f aca="false">J31/$R$3</f>
        <v>-0.205739999999991</v>
      </c>
      <c r="T31" s="126" t="n">
        <f aca="false">L31/$R$3</f>
        <v>-0</v>
      </c>
      <c r="U31" s="126" t="n">
        <f aca="false">I31/$R$3</f>
        <v>-223.48699</v>
      </c>
      <c r="V31" s="126" t="n">
        <f aca="false">M31/$R$3</f>
        <v>-223.48699</v>
      </c>
      <c r="W31" s="126" t="n">
        <f aca="false">N31/$R$3</f>
        <v>-223.48699</v>
      </c>
    </row>
    <row r="32" customFormat="false" ht="12.75" hidden="true" customHeight="false" outlineLevel="0" collapsed="false">
      <c r="A32" s="120" t="n">
        <f aca="false">A31+1</f>
        <v>36918</v>
      </c>
      <c r="B32" s="131" t="str">
        <f aca="false">INDEX('Master Data'!$A$2:$B$8,MATCH(WEEKDAY('ARG Gas IM'!A32,3),'Master Data'!$A$2:$A$8,0),2)</f>
        <v>Sa</v>
      </c>
      <c r="D32" s="124" t="n">
        <v>0</v>
      </c>
      <c r="E32" s="124" t="n">
        <v>0</v>
      </c>
      <c r="F32" s="124" t="n">
        <v>0</v>
      </c>
      <c r="G32" s="124" t="n">
        <v>0</v>
      </c>
      <c r="I32" s="124" t="n">
        <f aca="false">IF(MONTH($A32)=MONTH($A31),IF(G32=0,I31,G32),0)</f>
        <v>-223486.99</v>
      </c>
      <c r="J32" s="124" t="n">
        <f aca="false">IF(MONTH($A32)=MONTH($A31),SUM(I32-I31),I32)</f>
        <v>0</v>
      </c>
      <c r="K32" s="124" t="n">
        <f aca="false">IF(WEEKDAY(A32,3)&gt;4,0,(IF(A32&lt;K$2,0,IF(A32&lt;=K$3,1,0))))</f>
        <v>0</v>
      </c>
      <c r="L32" s="124" t="n">
        <f aca="false">J32*K32</f>
        <v>0</v>
      </c>
      <c r="M32" s="124" t="n">
        <f aca="false">SUM(J$6:J32)</f>
        <v>-223486.99</v>
      </c>
      <c r="N32" s="124" t="n">
        <f aca="false">SUM(J$6:J32)</f>
        <v>-223486.99</v>
      </c>
      <c r="P32" s="124" t="n">
        <f aca="false">D32/P$3</f>
        <v>0</v>
      </c>
      <c r="Q32" s="124" t="n">
        <f aca="false">E32/P$3</f>
        <v>0</v>
      </c>
      <c r="R32" s="124" t="n">
        <f aca="false">F32/R$3</f>
        <v>0</v>
      </c>
      <c r="S32" s="126" t="n">
        <f aca="false">J32/$R$3</f>
        <v>0</v>
      </c>
      <c r="T32" s="126" t="n">
        <f aca="false">L32/$R$3</f>
        <v>0</v>
      </c>
      <c r="U32" s="126" t="n">
        <f aca="false">I32/$R$3</f>
        <v>-223.48699</v>
      </c>
      <c r="V32" s="126" t="n">
        <f aca="false">M32/$R$3</f>
        <v>-223.48699</v>
      </c>
      <c r="W32" s="126" t="n">
        <f aca="false">N32/$R$3</f>
        <v>-223.48699</v>
      </c>
    </row>
    <row r="33" customFormat="false" ht="12.75" hidden="true" customHeight="false" outlineLevel="0" collapsed="false">
      <c r="A33" s="120" t="n">
        <f aca="false">A32+1</f>
        <v>36919</v>
      </c>
      <c r="B33" s="131" t="str">
        <f aca="false">INDEX('Master Data'!$A$2:$B$8,MATCH(WEEKDAY('ARG Gas IM'!A33,3),'Master Data'!$A$2:$A$8,0),2)</f>
        <v>Su</v>
      </c>
      <c r="D33" s="124" t="n">
        <v>0</v>
      </c>
      <c r="E33" s="124" t="n">
        <v>0</v>
      </c>
      <c r="F33" s="124" t="n">
        <v>0</v>
      </c>
      <c r="G33" s="124" t="n">
        <v>0</v>
      </c>
      <c r="I33" s="124" t="n">
        <f aca="false">IF(MONTH($A33)=MONTH($A32),IF(G33=0,I32,G33),0)</f>
        <v>-223486.99</v>
      </c>
      <c r="J33" s="124" t="n">
        <f aca="false">IF(MONTH($A33)=MONTH($A32),SUM(I33-I32),I33)</f>
        <v>0</v>
      </c>
      <c r="K33" s="124" t="n">
        <f aca="false">IF(WEEKDAY(A33,3)&gt;4,0,(IF(A33&lt;K$2,0,IF(A33&lt;=K$3,1,0))))</f>
        <v>0</v>
      </c>
      <c r="L33" s="124" t="n">
        <f aca="false">J33*K33</f>
        <v>0</v>
      </c>
      <c r="M33" s="124" t="n">
        <f aca="false">SUM(J$6:J33)</f>
        <v>-223486.99</v>
      </c>
      <c r="N33" s="124" t="n">
        <f aca="false">SUM(J$6:J33)</f>
        <v>-223486.99</v>
      </c>
      <c r="P33" s="124" t="n">
        <f aca="false">D33/P$3</f>
        <v>0</v>
      </c>
      <c r="Q33" s="124" t="n">
        <f aca="false">E33/P$3</f>
        <v>0</v>
      </c>
      <c r="R33" s="124" t="n">
        <f aca="false">F33/R$3</f>
        <v>0</v>
      </c>
      <c r="S33" s="126" t="n">
        <f aca="false">J33/$R$3</f>
        <v>0</v>
      </c>
      <c r="T33" s="126" t="n">
        <f aca="false">L33/$R$3</f>
        <v>0</v>
      </c>
      <c r="U33" s="126" t="n">
        <f aca="false">I33/$R$3</f>
        <v>-223.48699</v>
      </c>
      <c r="V33" s="126" t="n">
        <f aca="false">M33/$R$3</f>
        <v>-223.48699</v>
      </c>
      <c r="W33" s="126" t="n">
        <f aca="false">N33/$R$3</f>
        <v>-223.48699</v>
      </c>
    </row>
    <row r="34" customFormat="false" ht="12.75" hidden="true" customHeight="false" outlineLevel="0" collapsed="false">
      <c r="A34" s="120" t="n">
        <f aca="false">A33+1</f>
        <v>36920</v>
      </c>
      <c r="B34" s="131" t="str">
        <f aca="false">INDEX('Master Data'!$A$2:$B$8,MATCH(WEEKDAY('ARG Gas IM'!A34,3),'Master Data'!$A$2:$A$8,0),2)</f>
        <v>M</v>
      </c>
      <c r="D34" s="124" t="n">
        <f aca="false">3513/27.0963</f>
        <v>129.648697423633</v>
      </c>
      <c r="E34" s="124" t="n">
        <v>0</v>
      </c>
      <c r="F34" s="124" t="n">
        <v>0</v>
      </c>
      <c r="G34" s="124" t="n">
        <v>-224101.27</v>
      </c>
      <c r="I34" s="124" t="n">
        <f aca="false">IF(MONTH($A34)=MONTH($A33),IF(G34=0,I33,G34),0)</f>
        <v>-224101.27</v>
      </c>
      <c r="J34" s="124" t="n">
        <f aca="false">IF(MONTH($A34)=MONTH($A33),SUM(I34-I33),I34)</f>
        <v>-614.279999999999</v>
      </c>
      <c r="K34" s="124" t="n">
        <f aca="false">IF(WEEKDAY(A34,3)&gt;4,0,(IF(A34&lt;K$2,0,IF(A34&lt;=K$3,1,0))))</f>
        <v>0</v>
      </c>
      <c r="L34" s="124" t="n">
        <f aca="false">J34*K34</f>
        <v>-0</v>
      </c>
      <c r="M34" s="124" t="n">
        <f aca="false">SUM(J$6:J34)</f>
        <v>-224101.27</v>
      </c>
      <c r="N34" s="124" t="n">
        <f aca="false">SUM(J$6:J34)</f>
        <v>-224101.27</v>
      </c>
      <c r="P34" s="124" t="n">
        <f aca="false">D34/P$3</f>
        <v>0.000129648697423633</v>
      </c>
      <c r="Q34" s="124" t="n">
        <f aca="false">E34/P$3</f>
        <v>0</v>
      </c>
      <c r="R34" s="124" t="n">
        <f aca="false">F34/R$3</f>
        <v>0</v>
      </c>
      <c r="S34" s="126" t="n">
        <f aca="false">J34/$R$3</f>
        <v>-0.614279999999999</v>
      </c>
      <c r="T34" s="126" t="n">
        <f aca="false">L34/$R$3</f>
        <v>-0</v>
      </c>
      <c r="U34" s="126" t="n">
        <f aca="false">I34/$R$3</f>
        <v>-224.10127</v>
      </c>
      <c r="V34" s="126" t="n">
        <f aca="false">M34/$R$3</f>
        <v>-224.10127</v>
      </c>
      <c r="W34" s="126" t="n">
        <f aca="false">N34/$R$3</f>
        <v>-224.10127</v>
      </c>
    </row>
    <row r="35" customFormat="false" ht="12.75" hidden="true" customHeight="false" outlineLevel="0" collapsed="false">
      <c r="A35" s="120" t="n">
        <f aca="false">A34+1</f>
        <v>36921</v>
      </c>
      <c r="B35" s="131" t="str">
        <f aca="false">INDEX('Master Data'!$A$2:$B$8,MATCH(WEEKDAY('ARG Gas IM'!A35,3),'Master Data'!$A$2:$A$8,0),2)</f>
        <v>T</v>
      </c>
      <c r="D35" s="124" t="n">
        <f aca="false">-324428/27.0963</f>
        <v>-11973.1476253215</v>
      </c>
      <c r="E35" s="124" t="n">
        <v>0</v>
      </c>
      <c r="F35" s="124" t="n">
        <v>0</v>
      </c>
      <c r="G35" s="124" t="n">
        <v>-225404.43</v>
      </c>
      <c r="I35" s="124" t="n">
        <f aca="false">IF(MONTH($A35)=MONTH($A34),IF(G35=0,I34,G35),0)</f>
        <v>-225404.43</v>
      </c>
      <c r="J35" s="124" t="n">
        <f aca="false">IF(MONTH($A35)=MONTH($A34),SUM(I35-I34),I35)</f>
        <v>-1303.16</v>
      </c>
      <c r="K35" s="124" t="n">
        <f aca="false">IF(WEEKDAY(A35,3)&gt;4,0,(IF(A35&lt;K$2,0,IF(A35&lt;=K$3,1,0))))</f>
        <v>0</v>
      </c>
      <c r="L35" s="124" t="n">
        <f aca="false">J35*K35</f>
        <v>-0</v>
      </c>
      <c r="M35" s="124" t="n">
        <f aca="false">SUM(J$6:J35)</f>
        <v>-225404.43</v>
      </c>
      <c r="N35" s="124" t="n">
        <f aca="false">SUM(J$6:J35)</f>
        <v>-225404.43</v>
      </c>
      <c r="P35" s="124" t="n">
        <f aca="false">D35/P$3</f>
        <v>-0.0119731476253215</v>
      </c>
      <c r="Q35" s="124" t="n">
        <f aca="false">E35/P$3</f>
        <v>0</v>
      </c>
      <c r="R35" s="124" t="n">
        <f aca="false">F35/R$3</f>
        <v>0</v>
      </c>
      <c r="S35" s="126" t="n">
        <f aca="false">J35/$R$3</f>
        <v>-1.30316</v>
      </c>
      <c r="T35" s="126" t="n">
        <f aca="false">L35/$R$3</f>
        <v>-0</v>
      </c>
      <c r="U35" s="126" t="n">
        <f aca="false">I35/$R$3</f>
        <v>-225.40443</v>
      </c>
      <c r="V35" s="126" t="n">
        <f aca="false">M35/$R$3</f>
        <v>-225.40443</v>
      </c>
      <c r="W35" s="126" t="n">
        <f aca="false">N35/$R$3</f>
        <v>-225.40443</v>
      </c>
    </row>
    <row r="36" customFormat="false" ht="12.75" hidden="false" customHeight="false" outlineLevel="0" collapsed="false">
      <c r="A36" s="120" t="n">
        <f aca="false">A35+1</f>
        <v>36922</v>
      </c>
      <c r="B36" s="131" t="str">
        <f aca="false">INDEX('Master Data'!$A$2:$B$8,MATCH(WEEKDAY('ARG Gas IM'!A36,3),'Master Data'!$A$2:$A$8,0),2)</f>
        <v>W</v>
      </c>
      <c r="D36" s="124" t="n">
        <f aca="false">-578/27.0963</f>
        <v>-21.3313256791518</v>
      </c>
      <c r="E36" s="124" t="n">
        <v>0</v>
      </c>
      <c r="F36" s="124" t="n">
        <v>0</v>
      </c>
      <c r="G36" s="124" t="n">
        <f aca="false">-264912.75+256232</f>
        <v>-8680.75</v>
      </c>
      <c r="I36" s="124" t="n">
        <f aca="false">IF(MONTH($A36)=MONTH($A35),IF(G36=0,I35,G36),0)</f>
        <v>-8680.75</v>
      </c>
      <c r="J36" s="124" t="n">
        <f aca="false">IF(MONTH($A36)=MONTH($A35),SUM(I36-I35),I36)</f>
        <v>216723.68</v>
      </c>
      <c r="K36" s="124" t="n">
        <f aca="false">IF(WEEKDAY(A36,3)&gt;4,0,(IF(A36&lt;K$2,0,IF(A36&lt;=K$3,1,0))))</f>
        <v>0</v>
      </c>
      <c r="L36" s="124" t="n">
        <f aca="false">J36*K36</f>
        <v>0</v>
      </c>
      <c r="M36" s="124" t="n">
        <f aca="false">SUM(J$6:J36)</f>
        <v>-8680.75</v>
      </c>
      <c r="N36" s="124" t="n">
        <f aca="false">SUM(J$6:J36)</f>
        <v>-8680.75</v>
      </c>
      <c r="P36" s="124" t="n">
        <f aca="false">D36/P$3</f>
        <v>-2.13313256791518E-005</v>
      </c>
      <c r="Q36" s="124" t="n">
        <f aca="false">E36/P$3</f>
        <v>0</v>
      </c>
      <c r="R36" s="124" t="n">
        <f aca="false">F36/R$3</f>
        <v>0</v>
      </c>
      <c r="S36" s="126" t="n">
        <f aca="false">J36/$R$3</f>
        <v>216.72368</v>
      </c>
      <c r="T36" s="126" t="n">
        <f aca="false">L36/$R$3</f>
        <v>0</v>
      </c>
      <c r="U36" s="126" t="n">
        <f aca="false">I36/$R$3</f>
        <v>-8.68075</v>
      </c>
      <c r="V36" s="126" t="n">
        <f aca="false">M36/$R$3</f>
        <v>-8.68075</v>
      </c>
      <c r="W36" s="126" t="n">
        <f aca="false">N36/$R$3</f>
        <v>-8.68075</v>
      </c>
    </row>
    <row r="37" customFormat="false" ht="12.75" hidden="true" customHeight="false" outlineLevel="0" collapsed="false">
      <c r="A37" s="120" t="n">
        <f aca="false">A36+1</f>
        <v>36923</v>
      </c>
      <c r="B37" s="131" t="str">
        <f aca="false">INDEX('Master Data'!$A$2:$B$8,MATCH(WEEKDAY('ARG Gas IM'!A37,3),'Master Data'!$A$2:$A$8,0),2)</f>
        <v>Th</v>
      </c>
      <c r="D37" s="124" t="n">
        <f aca="false">-99653/27.0963</f>
        <v>-3677.73459845071</v>
      </c>
      <c r="E37" s="124" t="n">
        <v>0</v>
      </c>
      <c r="F37" s="124" t="n">
        <v>0</v>
      </c>
      <c r="G37" s="124" t="n">
        <v>-280755.08</v>
      </c>
      <c r="I37" s="124" t="n">
        <f aca="false">IF(MONTH($A37)=MONTH($A36),IF(G37=0,I36,G37),G37)</f>
        <v>-280755.08</v>
      </c>
      <c r="J37" s="124" t="n">
        <f aca="false">IF(MONTH($A37)=MONTH($A36),SUM(I37-I36),I37)</f>
        <v>-280755.08</v>
      </c>
      <c r="K37" s="124" t="n">
        <f aca="false">IF(WEEKDAY(A37,3)&gt;4,0,(IF(A37&lt;K$2,0,IF(A37&lt;=K$3,1,0))))</f>
        <v>0</v>
      </c>
      <c r="L37" s="124" t="n">
        <f aca="false">J37*K37</f>
        <v>-0</v>
      </c>
      <c r="M37" s="124" t="n">
        <f aca="false">SUM(J$6:J37)</f>
        <v>-289435.83</v>
      </c>
      <c r="N37" s="124" t="n">
        <f aca="false">SUM(J$6:J37)</f>
        <v>-289435.83</v>
      </c>
      <c r="P37" s="124" t="n">
        <f aca="false">D37/P$3</f>
        <v>-0.00367773459845071</v>
      </c>
      <c r="Q37" s="124" t="n">
        <f aca="false">E37/P$3</f>
        <v>0</v>
      </c>
      <c r="R37" s="124" t="n">
        <f aca="false">F37/R$3</f>
        <v>0</v>
      </c>
      <c r="S37" s="126" t="n">
        <f aca="false">J37/$R$3</f>
        <v>-280.75508</v>
      </c>
      <c r="T37" s="126" t="n">
        <f aca="false">L37/$R$3</f>
        <v>-0</v>
      </c>
      <c r="U37" s="126" t="n">
        <f aca="false">I37/$R$3</f>
        <v>-280.75508</v>
      </c>
      <c r="V37" s="126" t="n">
        <f aca="false">M37/$R$3</f>
        <v>-289.43583</v>
      </c>
      <c r="W37" s="126" t="n">
        <f aca="false">N37/$R$3</f>
        <v>-289.43583</v>
      </c>
    </row>
    <row r="38" customFormat="false" ht="12.75" hidden="true" customHeight="false" outlineLevel="0" collapsed="false">
      <c r="A38" s="120" t="n">
        <f aca="false">A37+1</f>
        <v>36924</v>
      </c>
      <c r="B38" s="131" t="str">
        <f aca="false">INDEX('Master Data'!$A$2:$B$8,MATCH(WEEKDAY('ARG Gas IM'!A38,3),'Master Data'!$A$2:$A$8,0),2)</f>
        <v>F</v>
      </c>
      <c r="D38" s="124" t="n">
        <f aca="false">-199306/27.0963</f>
        <v>-7355.46919690142</v>
      </c>
      <c r="E38" s="124" t="n">
        <v>0</v>
      </c>
      <c r="F38" s="124" t="n">
        <v>0</v>
      </c>
      <c r="G38" s="124" t="n">
        <v>-278867.46</v>
      </c>
      <c r="I38" s="124" t="n">
        <f aca="false">IF(MONTH($A38)=MONTH($A37),IF(G38=0,I37,G38),G38)</f>
        <v>-278867.46</v>
      </c>
      <c r="J38" s="124" t="n">
        <f aca="false">IF(MONTH($A38)=MONTH($A37),SUM(I38-I37),I38)</f>
        <v>1887.62</v>
      </c>
      <c r="K38" s="124" t="n">
        <f aca="false">IF(WEEKDAY(A38,3)&gt;4,0,(IF(A38&lt;K$2,0,IF(A38&lt;=K$3,1,0))))</f>
        <v>0</v>
      </c>
      <c r="L38" s="124" t="n">
        <f aca="false">J38*K38</f>
        <v>0</v>
      </c>
      <c r="M38" s="124" t="n">
        <f aca="false">SUM(J$6:J38)</f>
        <v>-287548.21</v>
      </c>
      <c r="N38" s="124" t="n">
        <f aca="false">SUM(J$6:J38)</f>
        <v>-287548.21</v>
      </c>
      <c r="P38" s="124" t="n">
        <f aca="false">D38/P$3</f>
        <v>-0.00735546919690142</v>
      </c>
      <c r="Q38" s="124" t="n">
        <f aca="false">E38/P$3</f>
        <v>0</v>
      </c>
      <c r="R38" s="124" t="n">
        <f aca="false">F38/R$3</f>
        <v>0</v>
      </c>
      <c r="S38" s="126" t="n">
        <f aca="false">J38/$R$3</f>
        <v>1.88762</v>
      </c>
      <c r="T38" s="126" t="n">
        <f aca="false">L38/$R$3</f>
        <v>0</v>
      </c>
      <c r="U38" s="126" t="n">
        <f aca="false">I38/$R$3</f>
        <v>-278.86746</v>
      </c>
      <c r="V38" s="126" t="n">
        <f aca="false">M38/$R$3</f>
        <v>-287.54821</v>
      </c>
      <c r="W38" s="126" t="n">
        <f aca="false">N38/$R$3</f>
        <v>-287.54821</v>
      </c>
    </row>
    <row r="39" customFormat="false" ht="12.75" hidden="true" customHeight="false" outlineLevel="0" collapsed="false">
      <c r="A39" s="120" t="n">
        <f aca="false">A38+1</f>
        <v>36925</v>
      </c>
      <c r="B39" s="131" t="str">
        <f aca="false">INDEX('Master Data'!$A$2:$B$8,MATCH(WEEKDAY('ARG Gas IM'!A39,3),'Master Data'!$A$2:$A$8,0),2)</f>
        <v>Sa</v>
      </c>
      <c r="D39" s="124" t="n">
        <v>0</v>
      </c>
      <c r="E39" s="124" t="n">
        <v>0</v>
      </c>
      <c r="F39" s="124" t="n">
        <v>0</v>
      </c>
      <c r="G39" s="124" t="n">
        <v>0</v>
      </c>
      <c r="I39" s="124" t="n">
        <f aca="false">IF(MONTH($A39)=MONTH($A38),IF(G39=0,I38,G39),G39)</f>
        <v>-278867.46</v>
      </c>
      <c r="J39" s="124" t="n">
        <f aca="false">IF(MONTH($A39)=MONTH($A38),SUM(I39-I38),I39)</f>
        <v>0</v>
      </c>
      <c r="K39" s="124" t="n">
        <f aca="false">IF(WEEKDAY(A39,3)&gt;4,0,(IF(A39&lt;K$2,0,IF(A39&lt;=K$3,1,0))))</f>
        <v>0</v>
      </c>
      <c r="L39" s="124" t="n">
        <f aca="false">J39*K39</f>
        <v>0</v>
      </c>
      <c r="M39" s="124" t="n">
        <f aca="false">SUM(J$6:J39)</f>
        <v>-287548.21</v>
      </c>
      <c r="N39" s="124" t="n">
        <f aca="false">SUM(J$6:J39)</f>
        <v>-287548.21</v>
      </c>
      <c r="P39" s="124" t="n">
        <f aca="false">D39/P$3</f>
        <v>0</v>
      </c>
      <c r="Q39" s="124" t="n">
        <f aca="false">E39/P$3</f>
        <v>0</v>
      </c>
      <c r="R39" s="124" t="n">
        <f aca="false">F39/R$3</f>
        <v>0</v>
      </c>
      <c r="S39" s="126" t="n">
        <f aca="false">J39/$R$3</f>
        <v>0</v>
      </c>
      <c r="T39" s="126" t="n">
        <f aca="false">L39/$R$3</f>
        <v>0</v>
      </c>
      <c r="U39" s="126" t="n">
        <f aca="false">I39/$R$3</f>
        <v>-278.86746</v>
      </c>
      <c r="V39" s="126" t="n">
        <f aca="false">M39/$R$3</f>
        <v>-287.54821</v>
      </c>
      <c r="W39" s="126" t="n">
        <f aca="false">N39/$R$3</f>
        <v>-287.54821</v>
      </c>
    </row>
    <row r="40" customFormat="false" ht="12.75" hidden="true" customHeight="false" outlineLevel="0" collapsed="false">
      <c r="A40" s="120" t="n">
        <f aca="false">A39+1</f>
        <v>36926</v>
      </c>
      <c r="B40" s="131" t="str">
        <f aca="false">INDEX('Master Data'!$A$2:$B$8,MATCH(WEEKDAY('ARG Gas IM'!A40,3),'Master Data'!$A$2:$A$8,0),2)</f>
        <v>Su</v>
      </c>
      <c r="D40" s="124" t="n">
        <v>0</v>
      </c>
      <c r="E40" s="124" t="n">
        <v>0</v>
      </c>
      <c r="F40" s="124" t="n">
        <v>0</v>
      </c>
      <c r="G40" s="124" t="n">
        <v>0</v>
      </c>
      <c r="I40" s="124" t="n">
        <f aca="false">IF(MONTH($A40)=MONTH($A39),IF(G40=0,I39,G40),G40)</f>
        <v>-278867.46</v>
      </c>
      <c r="J40" s="124" t="n">
        <f aca="false">IF(MONTH($A40)=MONTH($A39),SUM(I40-I39),I40)</f>
        <v>0</v>
      </c>
      <c r="K40" s="124" t="n">
        <f aca="false">IF(WEEKDAY(A40,3)&gt;4,0,(IF(A40&lt;K$2,0,IF(A40&lt;=K$3,1,0))))</f>
        <v>0</v>
      </c>
      <c r="L40" s="124" t="n">
        <f aca="false">J40*K40</f>
        <v>0</v>
      </c>
      <c r="M40" s="124" t="n">
        <f aca="false">SUM(J$6:J40)</f>
        <v>-287548.21</v>
      </c>
      <c r="N40" s="124" t="n">
        <f aca="false">SUM(J$6:J40)</f>
        <v>-287548.21</v>
      </c>
      <c r="P40" s="124" t="n">
        <f aca="false">D40/P$3</f>
        <v>0</v>
      </c>
      <c r="Q40" s="124" t="n">
        <f aca="false">E40/P$3</f>
        <v>0</v>
      </c>
      <c r="R40" s="124" t="n">
        <f aca="false">F40/R$3</f>
        <v>0</v>
      </c>
      <c r="S40" s="126" t="n">
        <f aca="false">J40/$R$3</f>
        <v>0</v>
      </c>
      <c r="T40" s="126" t="n">
        <f aca="false">L40/$R$3</f>
        <v>0</v>
      </c>
      <c r="U40" s="126" t="n">
        <f aca="false">I40/$R$3</f>
        <v>-278.86746</v>
      </c>
      <c r="V40" s="126" t="n">
        <f aca="false">M40/$R$3</f>
        <v>-287.54821</v>
      </c>
      <c r="W40" s="126" t="n">
        <f aca="false">N40/$R$3</f>
        <v>-287.54821</v>
      </c>
    </row>
    <row r="41" customFormat="false" ht="12.75" hidden="true" customHeight="false" outlineLevel="0" collapsed="false">
      <c r="A41" s="120" t="n">
        <f aca="false">A40+1</f>
        <v>36927</v>
      </c>
      <c r="B41" s="131" t="str">
        <f aca="false">INDEX('Master Data'!$A$2:$B$8,MATCH(WEEKDAY('ARG Gas IM'!A41,3),'Master Data'!$A$2:$A$8,0),2)</f>
        <v>M</v>
      </c>
      <c r="D41" s="124" t="n">
        <f aca="false">-498265/27.0963</f>
        <v>-18388.6729922536</v>
      </c>
      <c r="E41" s="124" t="n">
        <v>0</v>
      </c>
      <c r="F41" s="124" t="n">
        <v>0</v>
      </c>
      <c r="G41" s="124" t="n">
        <v>-273203.6</v>
      </c>
      <c r="I41" s="124" t="n">
        <f aca="false">IF(MONTH($A41)=MONTH($A40),IF(G41=0,I40,G41),G41)</f>
        <v>-273203.6</v>
      </c>
      <c r="J41" s="124" t="n">
        <f aca="false">IF(MONTH($A41)=MONTH($A40),SUM(I41-I40),I41)</f>
        <v>5663.86000000004</v>
      </c>
      <c r="K41" s="124" t="n">
        <f aca="false">IF(WEEKDAY(A41,3)&gt;4,0,(IF(A41&lt;K$2,0,IF(A41&lt;=K$3,1,0))))</f>
        <v>0</v>
      </c>
      <c r="L41" s="124" t="n">
        <f aca="false">J41*K41</f>
        <v>0</v>
      </c>
      <c r="M41" s="124" t="n">
        <f aca="false">SUM(J$6:J41)</f>
        <v>-281884.35</v>
      </c>
      <c r="N41" s="124" t="n">
        <f aca="false">SUM(J$6:J41)</f>
        <v>-281884.35</v>
      </c>
      <c r="P41" s="124" t="n">
        <f aca="false">D41/P$3</f>
        <v>-0.0183886729922536</v>
      </c>
      <c r="Q41" s="124" t="n">
        <f aca="false">E41/P$3</f>
        <v>0</v>
      </c>
      <c r="R41" s="124" t="n">
        <f aca="false">F41/R$3</f>
        <v>0</v>
      </c>
      <c r="S41" s="126" t="n">
        <f aca="false">J41/$R$3</f>
        <v>5.66386000000004</v>
      </c>
      <c r="T41" s="126" t="n">
        <f aca="false">L41/$R$3</f>
        <v>0</v>
      </c>
      <c r="U41" s="126" t="n">
        <f aca="false">I41/$R$3</f>
        <v>-273.2036</v>
      </c>
      <c r="V41" s="126" t="n">
        <f aca="false">M41/$R$3</f>
        <v>-281.88435</v>
      </c>
      <c r="W41" s="126" t="n">
        <f aca="false">N41/$R$3</f>
        <v>-281.88435</v>
      </c>
    </row>
    <row r="42" customFormat="false" ht="12.75" hidden="true" customHeight="false" outlineLevel="0" collapsed="false">
      <c r="A42" s="120" t="n">
        <f aca="false">A41+1</f>
        <v>36928</v>
      </c>
      <c r="B42" s="131" t="str">
        <f aca="false">INDEX('Master Data'!$A$2:$B$8,MATCH(WEEKDAY('ARG Gas IM'!A42,3),'Master Data'!$A$2:$A$8,0),2)</f>
        <v>T</v>
      </c>
      <c r="D42" s="124" t="n">
        <f aca="false">-597918/27.0963</f>
        <v>-22066.4075907043</v>
      </c>
      <c r="E42" s="124" t="n">
        <v>0</v>
      </c>
      <c r="F42" s="124" t="n">
        <v>0</v>
      </c>
      <c r="G42" s="124" t="n">
        <v>-271315.98</v>
      </c>
      <c r="I42" s="124" t="n">
        <f aca="false">IF(MONTH($A42)=MONTH($A41),IF(G42=0,I41,G42),G42)</f>
        <v>-271315.98</v>
      </c>
      <c r="J42" s="124" t="n">
        <f aca="false">IF(MONTH($A42)=MONTH($A41),SUM(I42-I41),I42)</f>
        <v>1887.62</v>
      </c>
      <c r="K42" s="124" t="n">
        <f aca="false">IF(WEEKDAY(A42,3)&gt;4,0,(IF(A42&lt;K$2,0,IF(A42&lt;=K$3,1,0))))</f>
        <v>0</v>
      </c>
      <c r="L42" s="124" t="n">
        <f aca="false">J42*K42</f>
        <v>0</v>
      </c>
      <c r="M42" s="124" t="n">
        <f aca="false">SUM(J$6:J42)</f>
        <v>-279996.73</v>
      </c>
      <c r="N42" s="124" t="n">
        <f aca="false">SUM(J$6:J42)</f>
        <v>-279996.73</v>
      </c>
      <c r="P42" s="124" t="n">
        <f aca="false">D42/P$3</f>
        <v>-0.0220664075907043</v>
      </c>
      <c r="Q42" s="124" t="n">
        <f aca="false">E42/P$3</f>
        <v>0</v>
      </c>
      <c r="R42" s="124" t="n">
        <f aca="false">F42/R$3</f>
        <v>0</v>
      </c>
      <c r="S42" s="126" t="n">
        <f aca="false">J42/$R$3</f>
        <v>1.88762</v>
      </c>
      <c r="T42" s="126" t="n">
        <f aca="false">L42/$R$3</f>
        <v>0</v>
      </c>
      <c r="U42" s="126" t="n">
        <f aca="false">I42/$R$3</f>
        <v>-271.31598</v>
      </c>
      <c r="V42" s="126" t="n">
        <f aca="false">M42/$R$3</f>
        <v>-279.99673</v>
      </c>
      <c r="W42" s="126" t="n">
        <f aca="false">N42/$R$3</f>
        <v>-279.99673</v>
      </c>
    </row>
    <row r="43" customFormat="false" ht="12.75" hidden="true" customHeight="false" outlineLevel="0" collapsed="false">
      <c r="A43" s="120" t="n">
        <f aca="false">A42+1</f>
        <v>36929</v>
      </c>
      <c r="B43" s="131" t="str">
        <f aca="false">INDEX('Master Data'!$A$2:$B$8,MATCH(WEEKDAY('ARG Gas IM'!A43,3),'Master Data'!$A$2:$A$8,0),2)</f>
        <v>W</v>
      </c>
      <c r="D43" s="124" t="n">
        <f aca="false">-697571/27.0963</f>
        <v>-25744.142189155</v>
      </c>
      <c r="E43" s="124" t="n">
        <v>0</v>
      </c>
      <c r="F43" s="124" t="n">
        <v>0</v>
      </c>
      <c r="G43" s="124" t="n">
        <v>-269428.36</v>
      </c>
      <c r="I43" s="124" t="n">
        <f aca="false">IF(MONTH($A43)=MONTH($A42),IF(G43=0,I42,G43),G43)</f>
        <v>-269428.36</v>
      </c>
      <c r="J43" s="124" t="n">
        <f aca="false">IF(MONTH($A43)=MONTH($A42),SUM(I43-I42),I43)</f>
        <v>1887.62</v>
      </c>
      <c r="K43" s="124" t="n">
        <f aca="false">IF(WEEKDAY(A43,3)&gt;4,0,(IF(A43&lt;K$2,0,IF(A43&lt;=K$3,1,0))))</f>
        <v>0</v>
      </c>
      <c r="L43" s="124" t="n">
        <f aca="false">J43*K43</f>
        <v>0</v>
      </c>
      <c r="M43" s="124" t="n">
        <f aca="false">SUM(J$6:J43)</f>
        <v>-278109.11</v>
      </c>
      <c r="N43" s="124" t="n">
        <f aca="false">SUM(J$6:J43)</f>
        <v>-278109.11</v>
      </c>
      <c r="P43" s="124" t="n">
        <f aca="false">D43/P$3</f>
        <v>-0.025744142189155</v>
      </c>
      <c r="Q43" s="124" t="n">
        <f aca="false">E43/P$3</f>
        <v>0</v>
      </c>
      <c r="R43" s="124" t="n">
        <f aca="false">F43/R$3</f>
        <v>0</v>
      </c>
      <c r="S43" s="126" t="n">
        <f aca="false">J43/$R$3</f>
        <v>1.88762</v>
      </c>
      <c r="T43" s="126" t="n">
        <f aca="false">L43/$R$3</f>
        <v>0</v>
      </c>
      <c r="U43" s="126" t="n">
        <f aca="false">I43/$R$3</f>
        <v>-269.42836</v>
      </c>
      <c r="V43" s="126" t="n">
        <f aca="false">M43/$R$3</f>
        <v>-278.10911</v>
      </c>
      <c r="W43" s="126" t="n">
        <f aca="false">N43/$R$3</f>
        <v>-278.10911</v>
      </c>
    </row>
    <row r="44" customFormat="false" ht="12.75" hidden="true" customHeight="false" outlineLevel="0" collapsed="false">
      <c r="A44" s="120" t="n">
        <f aca="false">A43+1</f>
        <v>36930</v>
      </c>
      <c r="B44" s="131" t="str">
        <f aca="false">INDEX('Master Data'!$A$2:$B$8,MATCH(WEEKDAY('ARG Gas IM'!A44,3),'Master Data'!$A$2:$A$8,0),2)</f>
        <v>Th</v>
      </c>
      <c r="D44" s="124" t="n">
        <f aca="false">-797224/27.0963</f>
        <v>-29421.8767876057</v>
      </c>
      <c r="E44" s="124" t="n">
        <v>0</v>
      </c>
      <c r="F44" s="124" t="n">
        <v>0</v>
      </c>
      <c r="G44" s="124" t="n">
        <v>-267539.74</v>
      </c>
      <c r="I44" s="124" t="n">
        <f aca="false">IF(MONTH($A44)=MONTH($A43),IF(G44=0,I43,G44),G44)</f>
        <v>-267539.74</v>
      </c>
      <c r="J44" s="124" t="n">
        <f aca="false">IF(MONTH($A44)=MONTH($A43),SUM(I44-I43),I44)</f>
        <v>1888.62</v>
      </c>
      <c r="K44" s="124" t="n">
        <f aca="false">IF(WEEKDAY(A44,3)&gt;4,0,(IF(A44&lt;K$2,0,IF(A44&lt;=K$3,1,0))))</f>
        <v>0</v>
      </c>
      <c r="L44" s="124" t="n">
        <f aca="false">J44*K44</f>
        <v>0</v>
      </c>
      <c r="M44" s="124" t="n">
        <f aca="false">SUM(J$6:J44)</f>
        <v>-276220.49</v>
      </c>
      <c r="N44" s="124" t="n">
        <f aca="false">SUM(J$6:J44)</f>
        <v>-276220.49</v>
      </c>
      <c r="P44" s="124" t="n">
        <f aca="false">D44/P$3</f>
        <v>-0.0294218767876057</v>
      </c>
      <c r="Q44" s="124" t="n">
        <f aca="false">E44/P$3</f>
        <v>0</v>
      </c>
      <c r="R44" s="124" t="n">
        <f aca="false">F44/R$3</f>
        <v>0</v>
      </c>
      <c r="S44" s="126" t="n">
        <f aca="false">J44/$R$3</f>
        <v>1.88862</v>
      </c>
      <c r="T44" s="126" t="n">
        <f aca="false">L44/$R$3</f>
        <v>0</v>
      </c>
      <c r="U44" s="126" t="n">
        <f aca="false">I44/$R$3</f>
        <v>-267.53974</v>
      </c>
      <c r="V44" s="126" t="n">
        <f aca="false">M44/$R$3</f>
        <v>-276.22049</v>
      </c>
      <c r="W44" s="126" t="n">
        <f aca="false">N44/$R$3</f>
        <v>-276.22049</v>
      </c>
    </row>
    <row r="45" customFormat="false" ht="12.75" hidden="true" customHeight="false" outlineLevel="0" collapsed="false">
      <c r="A45" s="120" t="n">
        <f aca="false">A44+1</f>
        <v>36931</v>
      </c>
      <c r="B45" s="131" t="str">
        <f aca="false">INDEX('Master Data'!$A$2:$B$8,MATCH(WEEKDAY('ARG Gas IM'!A45,3),'Master Data'!$A$2:$A$8,0),2)</f>
        <v>F</v>
      </c>
      <c r="D45" s="124" t="n">
        <f aca="false">-847511/27.0963</f>
        <v>-31277.7390270996</v>
      </c>
      <c r="E45" s="124" t="n">
        <v>0</v>
      </c>
      <c r="F45" s="124" t="n">
        <v>0</v>
      </c>
      <c r="G45" s="124" t="n">
        <v>-242308.87</v>
      </c>
      <c r="I45" s="124" t="n">
        <f aca="false">IF(MONTH($A45)=MONTH($A44),IF(G45=0,I44,G45),G45)</f>
        <v>-242308.87</v>
      </c>
      <c r="J45" s="124" t="n">
        <f aca="false">IF(MONTH($A45)=MONTH($A44),SUM(I45-I44),I45)</f>
        <v>25230.87</v>
      </c>
      <c r="K45" s="124" t="n">
        <f aca="false">IF(WEEKDAY(A45,3)&gt;4,0,(IF(A45&lt;K$2,0,IF(A45&lt;=K$3,1,0))))</f>
        <v>0</v>
      </c>
      <c r="L45" s="124" t="n">
        <f aca="false">J45*K45</f>
        <v>0</v>
      </c>
      <c r="M45" s="124" t="n">
        <f aca="false">SUM(J$6:J45)</f>
        <v>-250989.62</v>
      </c>
      <c r="N45" s="124" t="n">
        <f aca="false">SUM(J$6:J45)</f>
        <v>-250989.62</v>
      </c>
      <c r="P45" s="124" t="n">
        <f aca="false">D45/P$3</f>
        <v>-0.0312777390270996</v>
      </c>
      <c r="Q45" s="124" t="n">
        <f aca="false">E45/P$3</f>
        <v>0</v>
      </c>
      <c r="R45" s="124" t="n">
        <f aca="false">F45/R$3</f>
        <v>0</v>
      </c>
      <c r="S45" s="126" t="n">
        <f aca="false">J45/$R$3</f>
        <v>25.23087</v>
      </c>
      <c r="T45" s="126" t="n">
        <f aca="false">L45/$R$3</f>
        <v>0</v>
      </c>
      <c r="U45" s="126" t="n">
        <f aca="false">I45/$R$3</f>
        <v>-242.30887</v>
      </c>
      <c r="V45" s="126" t="n">
        <f aca="false">M45/$R$3</f>
        <v>-250.98962</v>
      </c>
      <c r="W45" s="126" t="n">
        <f aca="false">N45/$R$3</f>
        <v>-250.98962</v>
      </c>
    </row>
    <row r="46" customFormat="false" ht="12.75" hidden="true" customHeight="false" outlineLevel="0" collapsed="false">
      <c r="A46" s="120" t="n">
        <f aca="false">A45+1</f>
        <v>36932</v>
      </c>
      <c r="B46" s="131" t="str">
        <f aca="false">INDEX('Master Data'!$A$2:$B$8,MATCH(WEEKDAY('ARG Gas IM'!A46,3),'Master Data'!$A$2:$A$8,0),2)</f>
        <v>Sa</v>
      </c>
      <c r="D46" s="124" t="n">
        <v>0</v>
      </c>
      <c r="E46" s="124" t="n">
        <v>0</v>
      </c>
      <c r="F46" s="124" t="n">
        <v>0</v>
      </c>
      <c r="G46" s="124" t="n">
        <v>0</v>
      </c>
      <c r="I46" s="124" t="n">
        <f aca="false">IF(MONTH($A46)=MONTH($A45),IF(G46=0,I45,G46),G46)</f>
        <v>-242308.87</v>
      </c>
      <c r="J46" s="124" t="n">
        <f aca="false">IF(MONTH($A46)=MONTH($A45),SUM(I46-I45),I46)</f>
        <v>0</v>
      </c>
      <c r="K46" s="124" t="n">
        <f aca="false">IF(WEEKDAY(A46,3)&gt;4,0,(IF(A46&lt;K$2,0,IF(A46&lt;=K$3,1,0))))</f>
        <v>0</v>
      </c>
      <c r="L46" s="124" t="n">
        <f aca="false">J46*K46</f>
        <v>0</v>
      </c>
      <c r="M46" s="124" t="n">
        <f aca="false">SUM(J$6:J46)</f>
        <v>-250989.62</v>
      </c>
      <c r="N46" s="124" t="n">
        <f aca="false">SUM(J$6:J46)</f>
        <v>-250989.62</v>
      </c>
      <c r="P46" s="124" t="n">
        <f aca="false">D46/P$3</f>
        <v>0</v>
      </c>
      <c r="Q46" s="124" t="n">
        <f aca="false">E46/P$3</f>
        <v>0</v>
      </c>
      <c r="R46" s="124" t="n">
        <f aca="false">F46/R$3</f>
        <v>0</v>
      </c>
      <c r="S46" s="126" t="n">
        <f aca="false">J46/$R$3</f>
        <v>0</v>
      </c>
      <c r="T46" s="126" t="n">
        <f aca="false">L46/$R$3</f>
        <v>0</v>
      </c>
      <c r="U46" s="126" t="n">
        <f aca="false">I46/$R$3</f>
        <v>-242.30887</v>
      </c>
      <c r="V46" s="126" t="n">
        <f aca="false">M46/$R$3</f>
        <v>-250.98962</v>
      </c>
      <c r="W46" s="126" t="n">
        <f aca="false">N46/$R$3</f>
        <v>-250.98962</v>
      </c>
    </row>
    <row r="47" customFormat="false" ht="12.75" hidden="true" customHeight="false" outlineLevel="0" collapsed="false">
      <c r="A47" s="120" t="n">
        <f aca="false">A46+1</f>
        <v>36933</v>
      </c>
      <c r="B47" s="131" t="str">
        <f aca="false">INDEX('Master Data'!$A$2:$B$8,MATCH(WEEKDAY('ARG Gas IM'!A47,3),'Master Data'!$A$2:$A$8,0),2)</f>
        <v>Su</v>
      </c>
      <c r="D47" s="124" t="n">
        <v>0</v>
      </c>
      <c r="E47" s="124" t="n">
        <v>0</v>
      </c>
      <c r="F47" s="124" t="n">
        <v>0</v>
      </c>
      <c r="G47" s="124" t="n">
        <v>0</v>
      </c>
      <c r="I47" s="124" t="n">
        <f aca="false">IF(MONTH($A47)=MONTH($A46),IF(G47=0,I46,G47),G47)</f>
        <v>-242308.87</v>
      </c>
      <c r="J47" s="124" t="n">
        <f aca="false">IF(MONTH($A47)=MONTH($A46),SUM(I47-I46),I47)</f>
        <v>0</v>
      </c>
      <c r="K47" s="124" t="n">
        <f aca="false">IF(WEEKDAY(A47,3)&gt;4,0,(IF(A47&lt;K$2,0,IF(A47&lt;=K$3,1,0))))</f>
        <v>0</v>
      </c>
      <c r="L47" s="124" t="n">
        <f aca="false">J47*K47</f>
        <v>0</v>
      </c>
      <c r="M47" s="124" t="n">
        <f aca="false">SUM(J$6:J47)</f>
        <v>-250989.62</v>
      </c>
      <c r="N47" s="124" t="n">
        <f aca="false">SUM(J$6:J47)</f>
        <v>-250989.62</v>
      </c>
      <c r="P47" s="124" t="n">
        <f aca="false">D47/P$3</f>
        <v>0</v>
      </c>
      <c r="Q47" s="124" t="n">
        <f aca="false">E47/P$3</f>
        <v>0</v>
      </c>
      <c r="R47" s="124" t="n">
        <f aca="false">F47/R$3</f>
        <v>0</v>
      </c>
      <c r="S47" s="126" t="n">
        <f aca="false">J47/$R$3</f>
        <v>0</v>
      </c>
      <c r="T47" s="126" t="n">
        <f aca="false">L47/$R$3</f>
        <v>0</v>
      </c>
      <c r="U47" s="126" t="n">
        <f aca="false">I47/$R$3</f>
        <v>-242.30887</v>
      </c>
      <c r="V47" s="126" t="n">
        <f aca="false">M47/$R$3</f>
        <v>-250.98962</v>
      </c>
      <c r="W47" s="126" t="n">
        <f aca="false">N47/$R$3</f>
        <v>-250.98962</v>
      </c>
    </row>
    <row r="48" customFormat="false" ht="12.75" hidden="true" customHeight="false" outlineLevel="0" collapsed="false">
      <c r="A48" s="120" t="n">
        <f aca="false">A47+1</f>
        <v>36934</v>
      </c>
      <c r="B48" s="131" t="str">
        <f aca="false">INDEX('Master Data'!$A$2:$B$8,MATCH(WEEKDAY('ARG Gas IM'!A48,3),'Master Data'!$A$2:$A$8,0),2)</f>
        <v>M</v>
      </c>
      <c r="D48" s="124" t="n">
        <f aca="false">-47752/27.0963</f>
        <v>-1762.30703084923</v>
      </c>
      <c r="E48" s="124" t="n">
        <v>0</v>
      </c>
      <c r="F48" s="124" t="n">
        <v>0</v>
      </c>
      <c r="G48" s="124" t="n">
        <v>-266126.61</v>
      </c>
      <c r="I48" s="124" t="n">
        <f aca="false">IF(MONTH($A48)=MONTH($A47),IF(G48=0,I47,G48),G48)</f>
        <v>-266126.61</v>
      </c>
      <c r="J48" s="124" t="n">
        <f aca="false">IF(MONTH($A48)=MONTH($A47),SUM(I48-I47),I48)</f>
        <v>-23817.74</v>
      </c>
      <c r="K48" s="124" t="n">
        <f aca="false">IF(WEEKDAY(A48,3)&gt;4,0,(IF(A48&lt;K$2,0,IF(A48&lt;=K$3,1,0))))</f>
        <v>0</v>
      </c>
      <c r="L48" s="124" t="n">
        <f aca="false">J48*K48</f>
        <v>-0</v>
      </c>
      <c r="M48" s="124" t="n">
        <f aca="false">SUM(J$6:J48)</f>
        <v>-274807.36</v>
      </c>
      <c r="N48" s="124" t="n">
        <f aca="false">SUM(J$6:J48)</f>
        <v>-274807.36</v>
      </c>
      <c r="P48" s="124" t="n">
        <f aca="false">D48/P$3</f>
        <v>-0.00176230703084923</v>
      </c>
      <c r="Q48" s="124" t="n">
        <f aca="false">E48/P$3</f>
        <v>0</v>
      </c>
      <c r="R48" s="124" t="n">
        <f aca="false">F48/R$3</f>
        <v>0</v>
      </c>
      <c r="S48" s="126" t="n">
        <f aca="false">J48/$R$3</f>
        <v>-23.81774</v>
      </c>
      <c r="T48" s="126" t="n">
        <f aca="false">L48/$R$3</f>
        <v>-0</v>
      </c>
      <c r="U48" s="126" t="n">
        <f aca="false">I48/$R$3</f>
        <v>-266.12661</v>
      </c>
      <c r="V48" s="126" t="n">
        <f aca="false">M48/$R$3</f>
        <v>-274.80736</v>
      </c>
      <c r="W48" s="126" t="n">
        <f aca="false">N48/$R$3</f>
        <v>-274.80736</v>
      </c>
    </row>
    <row r="49" customFormat="false" ht="12.75" hidden="true" customHeight="false" outlineLevel="0" collapsed="false">
      <c r="A49" s="120" t="n">
        <f aca="false">A48+1</f>
        <v>36935</v>
      </c>
      <c r="B49" s="131" t="str">
        <f aca="false">INDEX('Master Data'!$A$2:$B$8,MATCH(WEEKDAY('ARG Gas IM'!A49,3),'Master Data'!$A$2:$A$8,0),2)</f>
        <v>T</v>
      </c>
      <c r="D49" s="124" t="n">
        <f aca="false">-47752/27.0963</f>
        <v>-1762.30703084923</v>
      </c>
      <c r="E49" s="124" t="n">
        <v>0</v>
      </c>
      <c r="F49" s="124" t="n">
        <v>0</v>
      </c>
      <c r="G49" s="124" t="n">
        <v>-266273.3</v>
      </c>
      <c r="I49" s="124" t="n">
        <f aca="false">IF(MONTH($A49)=MONTH($A48),IF(G49=0,I48,G49),G49)</f>
        <v>-266273.3</v>
      </c>
      <c r="J49" s="124" t="n">
        <f aca="false">IF(MONTH($A49)=MONTH($A48),SUM(I49-I48),I49)</f>
        <v>-146.690000000002</v>
      </c>
      <c r="K49" s="124" t="n">
        <f aca="false">IF(WEEKDAY(A49,3)&gt;4,0,(IF(A49&lt;K$2,0,IF(A49&lt;=K$3,1,0))))</f>
        <v>0</v>
      </c>
      <c r="L49" s="124" t="n">
        <f aca="false">J49*K49</f>
        <v>-0</v>
      </c>
      <c r="M49" s="124" t="n">
        <f aca="false">SUM(J$6:J49)</f>
        <v>-274954.05</v>
      </c>
      <c r="N49" s="124" t="n">
        <f aca="false">SUM(J$6:J49)</f>
        <v>-274954.05</v>
      </c>
      <c r="P49" s="124" t="n">
        <f aca="false">D49/P$3</f>
        <v>-0.00176230703084923</v>
      </c>
      <c r="Q49" s="124" t="n">
        <f aca="false">E49/P$3</f>
        <v>0</v>
      </c>
      <c r="R49" s="124" t="n">
        <f aca="false">F49/R$3</f>
        <v>0</v>
      </c>
      <c r="S49" s="126" t="n">
        <f aca="false">J49/$R$3</f>
        <v>-0.146690000000002</v>
      </c>
      <c r="T49" s="126" t="n">
        <f aca="false">L49/$R$3</f>
        <v>-0</v>
      </c>
      <c r="U49" s="126" t="n">
        <f aca="false">I49/$R$3</f>
        <v>-266.2733</v>
      </c>
      <c r="V49" s="126" t="n">
        <f aca="false">M49/$R$3</f>
        <v>-274.95405</v>
      </c>
      <c r="W49" s="126" t="n">
        <f aca="false">N49/$R$3</f>
        <v>-274.95405</v>
      </c>
    </row>
    <row r="50" customFormat="false" ht="12.75" hidden="true" customHeight="false" outlineLevel="0" collapsed="false">
      <c r="A50" s="120" t="n">
        <f aca="false">A49+1</f>
        <v>36936</v>
      </c>
      <c r="B50" s="131" t="str">
        <f aca="false">INDEX('Master Data'!$A$2:$B$8,MATCH(WEEKDAY('ARG Gas IM'!A50,3),'Master Data'!$A$2:$A$8,0),2)</f>
        <v>W</v>
      </c>
      <c r="D50" s="124" t="n">
        <f aca="false">-47752/27.0963</f>
        <v>-1762.30703084923</v>
      </c>
      <c r="E50" s="124" t="n">
        <v>0</v>
      </c>
      <c r="F50" s="124" t="n">
        <v>0</v>
      </c>
      <c r="G50" s="124" t="n">
        <v>-266422.01</v>
      </c>
      <c r="I50" s="124" t="n">
        <f aca="false">IF(MONTH($A50)=MONTH($A49),IF(G50=0,I49,G50),G50)</f>
        <v>-266422.01</v>
      </c>
      <c r="J50" s="124" t="n">
        <f aca="false">IF(MONTH($A50)=MONTH($A49),SUM(I50-I49),I50)</f>
        <v>-148.710000000021</v>
      </c>
      <c r="K50" s="124" t="n">
        <f aca="false">IF(WEEKDAY(A50,3)&gt;4,0,(IF(A50&lt;K$2,0,IF(A50&lt;=K$3,1,0))))</f>
        <v>0</v>
      </c>
      <c r="L50" s="124" t="n">
        <f aca="false">J50*K50</f>
        <v>-0</v>
      </c>
      <c r="M50" s="124" t="n">
        <f aca="false">SUM(J$6:J50)</f>
        <v>-275102.76</v>
      </c>
      <c r="N50" s="124" t="n">
        <f aca="false">SUM(J$6:J50)</f>
        <v>-275102.76</v>
      </c>
      <c r="P50" s="124" t="n">
        <f aca="false">D50/P$3</f>
        <v>-0.00176230703084923</v>
      </c>
      <c r="Q50" s="124" t="n">
        <f aca="false">E50/P$3</f>
        <v>0</v>
      </c>
      <c r="R50" s="124" t="n">
        <f aca="false">F50/R$3</f>
        <v>0</v>
      </c>
      <c r="S50" s="126" t="n">
        <f aca="false">J50/$R$3</f>
        <v>-0.148710000000021</v>
      </c>
      <c r="T50" s="126" t="n">
        <f aca="false">L50/$R$3</f>
        <v>-0</v>
      </c>
      <c r="U50" s="126" t="n">
        <f aca="false">I50/$R$3</f>
        <v>-266.42201</v>
      </c>
      <c r="V50" s="126" t="n">
        <f aca="false">M50/$R$3</f>
        <v>-275.10276</v>
      </c>
      <c r="W50" s="126" t="n">
        <f aca="false">N50/$R$3</f>
        <v>-275.10276</v>
      </c>
    </row>
    <row r="51" customFormat="false" ht="12.75" hidden="true" customHeight="false" outlineLevel="0" collapsed="false">
      <c r="A51" s="120" t="n">
        <f aca="false">A50+1</f>
        <v>36937</v>
      </c>
      <c r="B51" s="131" t="str">
        <f aca="false">INDEX('Master Data'!$A$2:$B$8,MATCH(WEEKDAY('ARG Gas IM'!A51,3),'Master Data'!$A$2:$A$8,0),2)</f>
        <v>Th</v>
      </c>
      <c r="D51" s="124" t="n">
        <f aca="false">-47752/27.0963</f>
        <v>-1762.30703084923</v>
      </c>
      <c r="E51" s="124" t="n">
        <v>0</v>
      </c>
      <c r="F51" s="124" t="n">
        <v>0</v>
      </c>
      <c r="G51" s="124" t="n">
        <v>-266569.66</v>
      </c>
      <c r="I51" s="124" t="n">
        <f aca="false">IF(MONTH($A51)=MONTH($A50),IF(G51=0,I50,G51),G51)</f>
        <v>-266569.66</v>
      </c>
      <c r="J51" s="124" t="n">
        <f aca="false">IF(MONTH($A51)=MONTH($A50),SUM(I51-I50),I51)</f>
        <v>-147.649999999965</v>
      </c>
      <c r="K51" s="124" t="n">
        <f aca="false">IF(WEEKDAY(A51,3)&gt;4,0,(IF(A51&lt;K$2,0,IF(A51&lt;=K$3,1,0))))</f>
        <v>0</v>
      </c>
      <c r="L51" s="124" t="n">
        <f aca="false">J51*K51</f>
        <v>-0</v>
      </c>
      <c r="M51" s="124" t="n">
        <f aca="false">SUM(J$6:J51)</f>
        <v>-275250.41</v>
      </c>
      <c r="N51" s="124" t="n">
        <f aca="false">SUM(J$6:J51)</f>
        <v>-275250.41</v>
      </c>
      <c r="P51" s="124" t="n">
        <f aca="false">D51/P$3</f>
        <v>-0.00176230703084923</v>
      </c>
      <c r="Q51" s="124" t="n">
        <f aca="false">E51/P$3</f>
        <v>0</v>
      </c>
      <c r="R51" s="124" t="n">
        <f aca="false">F51/R$3</f>
        <v>0</v>
      </c>
      <c r="S51" s="126" t="n">
        <f aca="false">J51/$R$3</f>
        <v>-0.147649999999965</v>
      </c>
      <c r="T51" s="126" t="n">
        <f aca="false">L51/$R$3</f>
        <v>-0</v>
      </c>
      <c r="U51" s="126" t="n">
        <f aca="false">I51/$R$3</f>
        <v>-266.56966</v>
      </c>
      <c r="V51" s="126" t="n">
        <f aca="false">M51/$R$3</f>
        <v>-275.25041</v>
      </c>
      <c r="W51" s="126" t="n">
        <f aca="false">N51/$R$3</f>
        <v>-275.25041</v>
      </c>
    </row>
    <row r="52" customFormat="false" ht="12.75" hidden="true" customHeight="false" outlineLevel="0" collapsed="false">
      <c r="A52" s="120" t="n">
        <f aca="false">A51+1</f>
        <v>36938</v>
      </c>
      <c r="B52" s="131" t="str">
        <f aca="false">INDEX('Master Data'!$A$2:$B$8,MATCH(WEEKDAY('ARG Gas IM'!A52,3),'Master Data'!$A$2:$A$8,0),2)</f>
        <v>F</v>
      </c>
      <c r="D52" s="124" t="n">
        <f aca="false">-47752/27.0963</f>
        <v>-1762.30703084923</v>
      </c>
      <c r="E52" s="124" t="n">
        <v>0</v>
      </c>
      <c r="F52" s="124" t="n">
        <v>0</v>
      </c>
      <c r="G52" s="124" t="n">
        <v>-266717.32</v>
      </c>
      <c r="I52" s="124" t="n">
        <f aca="false">IF(MONTH($A52)=MONTH($A51),IF(G52=0,I51,G52),G52)</f>
        <v>-266717.32</v>
      </c>
      <c r="J52" s="124" t="n">
        <f aca="false">IF(MONTH($A52)=MONTH($A51),SUM(I52-I51),I52)</f>
        <v>-147.660000000033</v>
      </c>
      <c r="K52" s="124" t="n">
        <f aca="false">IF(WEEKDAY(A52,3)&gt;4,0,(IF(A52&lt;K$2,0,IF(A52&lt;=K$3,1,0))))</f>
        <v>0</v>
      </c>
      <c r="L52" s="124" t="n">
        <f aca="false">J52*K52</f>
        <v>-0</v>
      </c>
      <c r="M52" s="124" t="n">
        <f aca="false">SUM(J$6:J52)</f>
        <v>-275398.07</v>
      </c>
      <c r="N52" s="124" t="n">
        <f aca="false">SUM(J$6:J52)</f>
        <v>-275398.07</v>
      </c>
      <c r="P52" s="124" t="n">
        <f aca="false">D52/P$3</f>
        <v>-0.00176230703084923</v>
      </c>
      <c r="Q52" s="124" t="n">
        <f aca="false">E52/P$3</f>
        <v>0</v>
      </c>
      <c r="R52" s="124" t="n">
        <f aca="false">F52/R$3</f>
        <v>0</v>
      </c>
      <c r="S52" s="126" t="n">
        <f aca="false">J52/$R$3</f>
        <v>-0.147660000000033</v>
      </c>
      <c r="T52" s="126" t="n">
        <f aca="false">L52/$R$3</f>
        <v>-0</v>
      </c>
      <c r="U52" s="126" t="n">
        <f aca="false">I52/$R$3</f>
        <v>-266.71732</v>
      </c>
      <c r="V52" s="126" t="n">
        <f aca="false">M52/$R$3</f>
        <v>-275.39807</v>
      </c>
      <c r="W52" s="126" t="n">
        <f aca="false">N52/$R$3</f>
        <v>-275.39807</v>
      </c>
    </row>
    <row r="53" customFormat="false" ht="12.75" hidden="true" customHeight="false" outlineLevel="0" collapsed="false">
      <c r="A53" s="120" t="n">
        <f aca="false">A52+1</f>
        <v>36939</v>
      </c>
      <c r="B53" s="131" t="str">
        <f aca="false">INDEX('Master Data'!$A$2:$B$8,MATCH(WEEKDAY('ARG Gas IM'!A53,3),'Master Data'!$A$2:$A$8,0),2)</f>
        <v>Sa</v>
      </c>
      <c r="D53" s="124" t="n">
        <v>0</v>
      </c>
      <c r="E53" s="124" t="n">
        <v>0</v>
      </c>
      <c r="F53" s="124" t="n">
        <v>0</v>
      </c>
      <c r="G53" s="124" t="n">
        <v>0</v>
      </c>
      <c r="I53" s="124" t="n">
        <f aca="false">IF(MONTH($A53)=MONTH($A52),IF(G53=0,I52,G53),G53)</f>
        <v>-266717.32</v>
      </c>
      <c r="J53" s="124" t="n">
        <f aca="false">IF(MONTH($A53)=MONTH($A52),SUM(I53-I52),I53)</f>
        <v>0</v>
      </c>
      <c r="K53" s="124" t="n">
        <f aca="false">IF(WEEKDAY(A53,3)&gt;4,0,(IF(A53&lt;K$2,0,IF(A53&lt;=K$3,1,0))))</f>
        <v>0</v>
      </c>
      <c r="L53" s="124" t="n">
        <f aca="false">J53*K53</f>
        <v>0</v>
      </c>
      <c r="M53" s="124" t="n">
        <f aca="false">SUM(J$6:J53)</f>
        <v>-275398.07</v>
      </c>
      <c r="N53" s="124" t="n">
        <f aca="false">SUM(J$6:J53)</f>
        <v>-275398.07</v>
      </c>
      <c r="P53" s="124" t="n">
        <f aca="false">D53/P$3</f>
        <v>0</v>
      </c>
      <c r="Q53" s="124" t="n">
        <f aca="false">E53/P$3</f>
        <v>0</v>
      </c>
      <c r="R53" s="124" t="n">
        <f aca="false">F53/R$3</f>
        <v>0</v>
      </c>
      <c r="S53" s="126" t="n">
        <f aca="false">J53/$R$3</f>
        <v>0</v>
      </c>
      <c r="T53" s="126" t="n">
        <f aca="false">L53/$R$3</f>
        <v>0</v>
      </c>
      <c r="U53" s="126" t="n">
        <f aca="false">I53/$R$3</f>
        <v>-266.71732</v>
      </c>
      <c r="V53" s="126" t="n">
        <f aca="false">M53/$R$3</f>
        <v>-275.39807</v>
      </c>
      <c r="W53" s="126" t="n">
        <f aca="false">N53/$R$3</f>
        <v>-275.39807</v>
      </c>
    </row>
    <row r="54" customFormat="false" ht="12.75" hidden="true" customHeight="false" outlineLevel="0" collapsed="false">
      <c r="A54" s="120" t="n">
        <f aca="false">A53+1</f>
        <v>36940</v>
      </c>
      <c r="B54" s="131" t="str">
        <f aca="false">INDEX('Master Data'!$A$2:$B$8,MATCH(WEEKDAY('ARG Gas IM'!A54,3),'Master Data'!$A$2:$A$8,0),2)</f>
        <v>Su</v>
      </c>
      <c r="D54" s="124" t="n">
        <v>0</v>
      </c>
      <c r="E54" s="124" t="n">
        <v>0</v>
      </c>
      <c r="F54" s="124" t="n">
        <v>0</v>
      </c>
      <c r="G54" s="124" t="n">
        <v>0</v>
      </c>
      <c r="I54" s="124" t="n">
        <f aca="false">IF(MONTH($A54)=MONTH($A53),IF(G54=0,I53,G54),G54)</f>
        <v>-266717.32</v>
      </c>
      <c r="J54" s="124" t="n">
        <f aca="false">IF(MONTH($A54)=MONTH($A53),SUM(I54-I53),I54)</f>
        <v>0</v>
      </c>
      <c r="K54" s="124" t="n">
        <f aca="false">IF(WEEKDAY(A54,3)&gt;4,0,(IF(A54&lt;K$2,0,IF(A54&lt;=K$3,1,0))))</f>
        <v>0</v>
      </c>
      <c r="L54" s="124" t="n">
        <f aca="false">J54*K54</f>
        <v>0</v>
      </c>
      <c r="M54" s="124" t="n">
        <f aca="false">SUM(J$6:J54)</f>
        <v>-275398.07</v>
      </c>
      <c r="N54" s="124" t="n">
        <f aca="false">SUM(J$6:J54)</f>
        <v>-275398.07</v>
      </c>
      <c r="P54" s="124" t="n">
        <f aca="false">D54/P$3</f>
        <v>0</v>
      </c>
      <c r="Q54" s="124" t="n">
        <f aca="false">E54/P$3</f>
        <v>0</v>
      </c>
      <c r="R54" s="124" t="n">
        <f aca="false">F54/R$3</f>
        <v>0</v>
      </c>
      <c r="S54" s="126" t="n">
        <f aca="false">J54/$R$3</f>
        <v>0</v>
      </c>
      <c r="T54" s="126" t="n">
        <f aca="false">L54/$R$3</f>
        <v>0</v>
      </c>
      <c r="U54" s="126" t="n">
        <f aca="false">I54/$R$3</f>
        <v>-266.71732</v>
      </c>
      <c r="V54" s="126" t="n">
        <f aca="false">M54/$R$3</f>
        <v>-275.39807</v>
      </c>
      <c r="W54" s="126" t="n">
        <f aca="false">N54/$R$3</f>
        <v>-275.39807</v>
      </c>
    </row>
    <row r="55" customFormat="false" ht="12.75" hidden="true" customHeight="false" outlineLevel="0" collapsed="false">
      <c r="A55" s="120" t="n">
        <f aca="false">A54+1</f>
        <v>36941</v>
      </c>
      <c r="B55" s="131" t="str">
        <f aca="false">INDEX('Master Data'!$A$2:$B$8,MATCH(WEEKDAY('ARG Gas IM'!A55,3),'Master Data'!$A$2:$A$8,0),2)</f>
        <v>M</v>
      </c>
      <c r="D55" s="124" t="n">
        <v>0</v>
      </c>
      <c r="E55" s="124" t="n">
        <v>0</v>
      </c>
      <c r="F55" s="124" t="n">
        <v>0</v>
      </c>
      <c r="G55" s="124" t="n">
        <v>0</v>
      </c>
      <c r="I55" s="124" t="n">
        <f aca="false">IF(MONTH($A55)=MONTH($A54),IF(G55=0,I54,G55),G55)</f>
        <v>-266717.32</v>
      </c>
      <c r="J55" s="124" t="n">
        <f aca="false">IF(MONTH($A55)=MONTH($A54),SUM(I55-I54),I55)</f>
        <v>0</v>
      </c>
      <c r="K55" s="124" t="n">
        <f aca="false">IF(WEEKDAY(A55,3)&gt;4,0,(IF(A55&lt;K$2,0,IF(A55&lt;=K$3,1,0))))</f>
        <v>0</v>
      </c>
      <c r="L55" s="124" t="n">
        <f aca="false">J55*K55</f>
        <v>0</v>
      </c>
      <c r="M55" s="124" t="n">
        <f aca="false">SUM(J$6:J55)</f>
        <v>-275398.07</v>
      </c>
      <c r="N55" s="124" t="n">
        <f aca="false">SUM(J$6:J55)</f>
        <v>-275398.07</v>
      </c>
      <c r="P55" s="124" t="n">
        <f aca="false">D55/P$3</f>
        <v>0</v>
      </c>
      <c r="Q55" s="124" t="n">
        <f aca="false">E55/P$3</f>
        <v>0</v>
      </c>
      <c r="R55" s="124" t="n">
        <f aca="false">F55/R$3</f>
        <v>0</v>
      </c>
      <c r="S55" s="126" t="n">
        <f aca="false">J55/$R$3</f>
        <v>0</v>
      </c>
      <c r="T55" s="126" t="n">
        <f aca="false">L55/$R$3</f>
        <v>0</v>
      </c>
      <c r="U55" s="126" t="n">
        <f aca="false">I55/$R$3</f>
        <v>-266.71732</v>
      </c>
      <c r="V55" s="126" t="n">
        <f aca="false">M55/$R$3</f>
        <v>-275.39807</v>
      </c>
      <c r="W55" s="126" t="n">
        <f aca="false">N55/$R$3</f>
        <v>-275.39807</v>
      </c>
    </row>
    <row r="56" customFormat="false" ht="12.75" hidden="true" customHeight="false" outlineLevel="0" collapsed="false">
      <c r="A56" s="120" t="n">
        <f aca="false">A55+1</f>
        <v>36942</v>
      </c>
      <c r="B56" s="131" t="str">
        <f aca="false">INDEX('Master Data'!$A$2:$B$8,MATCH(WEEKDAY('ARG Gas IM'!A56,3),'Master Data'!$A$2:$A$8,0),2)</f>
        <v>T</v>
      </c>
      <c r="D56" s="124" t="n">
        <f aca="false">-47752/27.0963</f>
        <v>-1762.30703084923</v>
      </c>
      <c r="E56" s="124" t="n">
        <v>0</v>
      </c>
      <c r="F56" s="124" t="n">
        <v>0</v>
      </c>
      <c r="G56" s="124" t="n">
        <v>-267311.74</v>
      </c>
      <c r="I56" s="124" t="n">
        <f aca="false">IF(MONTH($A56)=MONTH($A55),IF(G56=0,I55,G56),G56)</f>
        <v>-267311.74</v>
      </c>
      <c r="J56" s="124" t="n">
        <f aca="false">IF(MONTH($A56)=MONTH($A55),SUM(I56-I55),I56)</f>
        <v>-594.419999999984</v>
      </c>
      <c r="K56" s="124" t="n">
        <f aca="false">IF(WEEKDAY(A56,3)&gt;4,0,(IF(A56&lt;K$2,0,IF(A56&lt;=K$3,1,0))))</f>
        <v>0</v>
      </c>
      <c r="L56" s="124" t="n">
        <f aca="false">J56*K56</f>
        <v>-0</v>
      </c>
      <c r="M56" s="124" t="n">
        <f aca="false">SUM(J$6:J56)</f>
        <v>-275992.49</v>
      </c>
      <c r="N56" s="124" t="n">
        <f aca="false">SUM(J$6:J56)</f>
        <v>-275992.49</v>
      </c>
      <c r="P56" s="124" t="n">
        <f aca="false">D56/P$3</f>
        <v>-0.00176230703084923</v>
      </c>
      <c r="Q56" s="124" t="n">
        <f aca="false">E56/P$3</f>
        <v>0</v>
      </c>
      <c r="R56" s="124" t="n">
        <f aca="false">F56/R$3</f>
        <v>0</v>
      </c>
      <c r="S56" s="126" t="n">
        <f aca="false">J56/$R$3</f>
        <v>-0.594419999999984</v>
      </c>
      <c r="T56" s="126" t="n">
        <f aca="false">L56/$R$3</f>
        <v>-0</v>
      </c>
      <c r="U56" s="126" t="n">
        <f aca="false">I56/$R$3</f>
        <v>-267.31174</v>
      </c>
      <c r="V56" s="126" t="n">
        <f aca="false">M56/$R$3</f>
        <v>-275.99249</v>
      </c>
      <c r="W56" s="126" t="n">
        <f aca="false">N56/$R$3</f>
        <v>-275.99249</v>
      </c>
    </row>
    <row r="57" customFormat="false" ht="12.75" hidden="true" customHeight="false" outlineLevel="0" collapsed="false">
      <c r="A57" s="120" t="n">
        <f aca="false">A56+1</f>
        <v>36943</v>
      </c>
      <c r="B57" s="131" t="str">
        <f aca="false">INDEX('Master Data'!$A$2:$B$8,MATCH(WEEKDAY('ARG Gas IM'!A57,3),'Master Data'!$A$2:$A$8,0),2)</f>
        <v>W</v>
      </c>
      <c r="D57" s="124" t="n">
        <f aca="false">-47752/27.0963</f>
        <v>-1762.30703084923</v>
      </c>
      <c r="E57" s="124" t="n">
        <v>0</v>
      </c>
      <c r="F57" s="124" t="n">
        <v>0</v>
      </c>
      <c r="G57" s="124" t="n">
        <v>-267461.88</v>
      </c>
      <c r="I57" s="124" t="n">
        <f aca="false">IF(MONTH($A57)=MONTH($A56),IF(G57=0,I56,G57),G57)</f>
        <v>-267461.88</v>
      </c>
      <c r="J57" s="124" t="n">
        <f aca="false">IF(MONTH($A57)=MONTH($A56),SUM(I57-I56),I57)</f>
        <v>-150.140000000014</v>
      </c>
      <c r="K57" s="124" t="n">
        <f aca="false">IF(WEEKDAY(A57,3)&gt;4,0,(IF(A57&lt;K$2,0,IF(A57&lt;=K$3,1,0))))</f>
        <v>0</v>
      </c>
      <c r="L57" s="124" t="n">
        <f aca="false">J57*K57</f>
        <v>-0</v>
      </c>
      <c r="M57" s="124" t="n">
        <f aca="false">SUM(J$6:J57)</f>
        <v>-276142.63</v>
      </c>
      <c r="N57" s="124" t="n">
        <f aca="false">SUM(J$6:J57)</f>
        <v>-276142.63</v>
      </c>
      <c r="P57" s="124" t="n">
        <f aca="false">D57/P$3</f>
        <v>-0.00176230703084923</v>
      </c>
      <c r="Q57" s="124" t="n">
        <f aca="false">E57/P$3</f>
        <v>0</v>
      </c>
      <c r="R57" s="124" t="n">
        <f aca="false">F57/R$3</f>
        <v>0</v>
      </c>
      <c r="S57" s="126" t="n">
        <f aca="false">J57/$R$3</f>
        <v>-0.150140000000014</v>
      </c>
      <c r="T57" s="126" t="n">
        <f aca="false">L57/$R$3</f>
        <v>-0</v>
      </c>
      <c r="U57" s="126" t="n">
        <f aca="false">I57/$R$3</f>
        <v>-267.46188</v>
      </c>
      <c r="V57" s="126" t="n">
        <f aca="false">M57/$R$3</f>
        <v>-276.14263</v>
      </c>
      <c r="W57" s="126" t="n">
        <f aca="false">N57/$R$3</f>
        <v>-276.14263</v>
      </c>
    </row>
    <row r="58" customFormat="false" ht="12.75" hidden="true" customHeight="false" outlineLevel="0" collapsed="false">
      <c r="A58" s="120" t="n">
        <f aca="false">A57+1</f>
        <v>36944</v>
      </c>
      <c r="B58" s="131" t="str">
        <f aca="false">INDEX('Master Data'!$A$2:$B$8,MATCH(WEEKDAY('ARG Gas IM'!A58,3),'Master Data'!$A$2:$A$8,0),2)</f>
        <v>Th</v>
      </c>
      <c r="D58" s="124" t="n">
        <f aca="false">46952/27.0963</f>
        <v>1732.78270464971</v>
      </c>
      <c r="E58" s="124" t="n">
        <v>0</v>
      </c>
      <c r="F58" s="124" t="n">
        <v>0</v>
      </c>
      <c r="G58" s="124" t="n">
        <v>-274514.68</v>
      </c>
      <c r="I58" s="124" t="n">
        <f aca="false">IF(MONTH($A58)=MONTH($A57),IF(G58=0,I57,G58),G58)</f>
        <v>-274514.68</v>
      </c>
      <c r="J58" s="124" t="n">
        <f aca="false">IF(MONTH($A58)=MONTH($A57),SUM(I58-I57),I58)</f>
        <v>-7052.79999999999</v>
      </c>
      <c r="K58" s="124" t="n">
        <f aca="false">IF(WEEKDAY(A58,3)&gt;4,0,(IF(A58&lt;K$2,0,IF(A58&lt;=K$3,1,0))))</f>
        <v>0</v>
      </c>
      <c r="L58" s="124" t="n">
        <f aca="false">J58*K58</f>
        <v>-0</v>
      </c>
      <c r="M58" s="124" t="n">
        <f aca="false">SUM(J$6:J58)</f>
        <v>-283195.43</v>
      </c>
      <c r="N58" s="124" t="n">
        <f aca="false">SUM(J$6:J58)</f>
        <v>-283195.43</v>
      </c>
      <c r="P58" s="124" t="n">
        <f aca="false">D58/P$3</f>
        <v>0.00173278270464971</v>
      </c>
      <c r="Q58" s="124" t="n">
        <f aca="false">E58/P$3</f>
        <v>0</v>
      </c>
      <c r="R58" s="124" t="n">
        <f aca="false">F58/R$3</f>
        <v>0</v>
      </c>
      <c r="S58" s="126" t="n">
        <f aca="false">J58/$R$3</f>
        <v>-7.05279999999999</v>
      </c>
      <c r="T58" s="126" t="n">
        <f aca="false">L58/$R$3</f>
        <v>-0</v>
      </c>
      <c r="U58" s="126" t="n">
        <f aca="false">I58/$R$3</f>
        <v>-274.51468</v>
      </c>
      <c r="V58" s="126" t="n">
        <f aca="false">M58/$R$3</f>
        <v>-283.19543</v>
      </c>
      <c r="W58" s="126" t="n">
        <f aca="false">N58/$R$3</f>
        <v>-283.19543</v>
      </c>
    </row>
    <row r="59" customFormat="false" ht="12.75" hidden="true" customHeight="false" outlineLevel="0" collapsed="false">
      <c r="A59" s="120" t="n">
        <f aca="false">A58+1</f>
        <v>36945</v>
      </c>
      <c r="B59" s="131" t="str">
        <f aca="false">INDEX('Master Data'!$A$2:$B$8,MATCH(WEEKDAY('ARG Gas IM'!A59,3),'Master Data'!$A$2:$A$8,0),2)</f>
        <v>F</v>
      </c>
      <c r="D59" s="124" t="n">
        <f aca="false">41732/27.0963</f>
        <v>1540.13647619786</v>
      </c>
      <c r="E59" s="124" t="n">
        <v>0</v>
      </c>
      <c r="F59" s="124" t="n">
        <v>0</v>
      </c>
      <c r="G59" s="124" t="n">
        <v>-274555.25</v>
      </c>
      <c r="I59" s="124" t="n">
        <f aca="false">IF(MONTH($A59)=MONTH($A58),IF(G59=0,I58,G59),G59)</f>
        <v>-274555.25</v>
      </c>
      <c r="J59" s="124" t="n">
        <f aca="false">IF(MONTH($A59)=MONTH($A58),SUM(I59-I58),I59)</f>
        <v>-40.570000000007</v>
      </c>
      <c r="K59" s="124" t="n">
        <f aca="false">IF(WEEKDAY(A59,3)&gt;4,0,(IF(A59&lt;K$2,0,IF(A59&lt;=K$3,1,0))))</f>
        <v>0</v>
      </c>
      <c r="L59" s="124" t="n">
        <f aca="false">J59*K59</f>
        <v>-0</v>
      </c>
      <c r="M59" s="124" t="n">
        <f aca="false">SUM(J$6:J59)</f>
        <v>-283236</v>
      </c>
      <c r="N59" s="124" t="n">
        <f aca="false">SUM(J$6:J59)</f>
        <v>-283236</v>
      </c>
      <c r="P59" s="124" t="n">
        <f aca="false">D59/P$3</f>
        <v>0.00154013647619786</v>
      </c>
      <c r="Q59" s="124" t="n">
        <f aca="false">E59/P$3</f>
        <v>0</v>
      </c>
      <c r="R59" s="124" t="n">
        <f aca="false">F59/R$3</f>
        <v>0</v>
      </c>
      <c r="S59" s="126" t="n">
        <f aca="false">J59/$R$3</f>
        <v>-0.040570000000007</v>
      </c>
      <c r="T59" s="126" t="n">
        <f aca="false">L59/$R$3</f>
        <v>-0</v>
      </c>
      <c r="U59" s="126" t="n">
        <f aca="false">I59/$R$3</f>
        <v>-274.55525</v>
      </c>
      <c r="V59" s="126" t="n">
        <f aca="false">M59/$R$3</f>
        <v>-283.236</v>
      </c>
      <c r="W59" s="126" t="n">
        <f aca="false">N59/$R$3</f>
        <v>-283.236</v>
      </c>
    </row>
    <row r="60" customFormat="false" ht="12.75" hidden="true" customHeight="false" outlineLevel="0" collapsed="false">
      <c r="A60" s="120" t="n">
        <f aca="false">A59+1</f>
        <v>36946</v>
      </c>
      <c r="B60" s="131" t="str">
        <f aca="false">INDEX('Master Data'!$A$2:$B$8,MATCH(WEEKDAY('ARG Gas IM'!A60,3),'Master Data'!$A$2:$A$8,0),2)</f>
        <v>Sa</v>
      </c>
      <c r="D60" s="124" t="n">
        <v>0</v>
      </c>
      <c r="E60" s="124" t="n">
        <v>0</v>
      </c>
      <c r="F60" s="124" t="n">
        <v>0</v>
      </c>
      <c r="G60" s="124" t="n">
        <v>0</v>
      </c>
      <c r="I60" s="124" t="n">
        <f aca="false">IF(MONTH($A60)=MONTH($A59),IF(G60=0,I59,G60),G60)</f>
        <v>-274555.25</v>
      </c>
      <c r="J60" s="124" t="n">
        <f aca="false">IF(MONTH($A60)=MONTH($A59),SUM(I60-I59),I60)</f>
        <v>0</v>
      </c>
      <c r="K60" s="124" t="n">
        <f aca="false">IF(WEEKDAY(A60,3)&gt;4,0,(IF(A60&lt;K$2,0,IF(A60&lt;=K$3,1,0))))</f>
        <v>0</v>
      </c>
      <c r="L60" s="124" t="n">
        <f aca="false">J60*K60</f>
        <v>0</v>
      </c>
      <c r="M60" s="124" t="n">
        <f aca="false">SUM(J$6:J60)</f>
        <v>-283236</v>
      </c>
      <c r="N60" s="124" t="n">
        <f aca="false">SUM(J$6:J60)</f>
        <v>-283236</v>
      </c>
      <c r="P60" s="124" t="n">
        <f aca="false">D60/P$3</f>
        <v>0</v>
      </c>
      <c r="Q60" s="124" t="n">
        <f aca="false">E60/P$3</f>
        <v>0</v>
      </c>
      <c r="R60" s="124" t="n">
        <f aca="false">F60/R$3</f>
        <v>0</v>
      </c>
      <c r="S60" s="126" t="n">
        <f aca="false">J60/$R$3</f>
        <v>0</v>
      </c>
      <c r="T60" s="126" t="n">
        <f aca="false">L60/$R$3</f>
        <v>0</v>
      </c>
      <c r="U60" s="126" t="n">
        <f aca="false">I60/$R$3</f>
        <v>-274.55525</v>
      </c>
      <c r="V60" s="126" t="n">
        <f aca="false">M60/$R$3</f>
        <v>-283.236</v>
      </c>
      <c r="W60" s="126" t="n">
        <f aca="false">N60/$R$3</f>
        <v>-283.236</v>
      </c>
    </row>
    <row r="61" customFormat="false" ht="12.75" hidden="true" customHeight="false" outlineLevel="0" collapsed="false">
      <c r="A61" s="120" t="n">
        <f aca="false">A60+1</f>
        <v>36947</v>
      </c>
      <c r="B61" s="131" t="str">
        <f aca="false">INDEX('Master Data'!$A$2:$B$8,MATCH(WEEKDAY('ARG Gas IM'!A61,3),'Master Data'!$A$2:$A$8,0),2)</f>
        <v>Su</v>
      </c>
      <c r="D61" s="124" t="n">
        <v>0</v>
      </c>
      <c r="E61" s="124" t="n">
        <v>0</v>
      </c>
      <c r="F61" s="124" t="n">
        <v>0</v>
      </c>
      <c r="G61" s="124" t="n">
        <v>0</v>
      </c>
      <c r="I61" s="124" t="n">
        <f aca="false">IF(MONTH($A61)=MONTH($A60),IF(G61=0,I60,G61),G61)</f>
        <v>-274555.25</v>
      </c>
      <c r="J61" s="124" t="n">
        <f aca="false">IF(MONTH($A61)=MONTH($A60),SUM(I61-I60),I61)</f>
        <v>0</v>
      </c>
      <c r="K61" s="124" t="n">
        <f aca="false">IF(WEEKDAY(A61,3)&gt;4,0,(IF(A61&lt;K$2,0,IF(A61&lt;=K$3,1,0))))</f>
        <v>0</v>
      </c>
      <c r="L61" s="124" t="n">
        <f aca="false">J61*K61</f>
        <v>0</v>
      </c>
      <c r="M61" s="124" t="n">
        <f aca="false">SUM(J$6:J61)</f>
        <v>-283236</v>
      </c>
      <c r="N61" s="124" t="n">
        <f aca="false">SUM(J$6:J61)</f>
        <v>-283236</v>
      </c>
      <c r="P61" s="124" t="n">
        <f aca="false">D61/P$3</f>
        <v>0</v>
      </c>
      <c r="Q61" s="124" t="n">
        <f aca="false">E61/P$3</f>
        <v>0</v>
      </c>
      <c r="R61" s="124" t="n">
        <f aca="false">F61/R$3</f>
        <v>0</v>
      </c>
      <c r="S61" s="126" t="n">
        <f aca="false">J61/$R$3</f>
        <v>0</v>
      </c>
      <c r="T61" s="126" t="n">
        <f aca="false">L61/$R$3</f>
        <v>0</v>
      </c>
      <c r="U61" s="126" t="n">
        <f aca="false">I61/$R$3</f>
        <v>-274.55525</v>
      </c>
      <c r="V61" s="126" t="n">
        <f aca="false">M61/$R$3</f>
        <v>-283.236</v>
      </c>
      <c r="W61" s="126" t="n">
        <f aca="false">N61/$R$3</f>
        <v>-283.236</v>
      </c>
    </row>
    <row r="62" customFormat="false" ht="12.75" hidden="true" customHeight="false" outlineLevel="0" collapsed="false">
      <c r="A62" s="120" t="n">
        <f aca="false">A61+1</f>
        <v>36948</v>
      </c>
      <c r="B62" s="131" t="str">
        <f aca="false">INDEX('Master Data'!$A$2:$B$8,MATCH(WEEKDAY('ARG Gas IM'!A62,3),'Master Data'!$A$2:$A$8,0),2)</f>
        <v>M</v>
      </c>
      <c r="D62" s="124" t="n">
        <f aca="false">41732/27.0963</f>
        <v>1540.13647619786</v>
      </c>
      <c r="E62" s="124" t="n">
        <v>0</v>
      </c>
      <c r="F62" s="124" t="n">
        <v>0</v>
      </c>
      <c r="G62" s="124" t="n">
        <v>-274997.87</v>
      </c>
      <c r="I62" s="124" t="n">
        <f aca="false">IF(MONTH($A62)=MONTH($A61),IF(G62=0,I61,G62),G62)</f>
        <v>-274997.87</v>
      </c>
      <c r="J62" s="124" t="n">
        <f aca="false">IF(MONTH($A62)=MONTH($A61),SUM(I62-I61),I62)</f>
        <v>-442.619999999995</v>
      </c>
      <c r="K62" s="124" t="n">
        <f aca="false">IF(WEEKDAY(A62,3)&gt;4,0,(IF(A62&lt;K$2,0,IF(A62&lt;=K$3,1,0))))</f>
        <v>0</v>
      </c>
      <c r="L62" s="124" t="n">
        <f aca="false">J62*K62</f>
        <v>-0</v>
      </c>
      <c r="M62" s="124" t="n">
        <f aca="false">SUM(J$6:J62)</f>
        <v>-283678.62</v>
      </c>
      <c r="N62" s="124" t="n">
        <f aca="false">SUM(J$6:J62)</f>
        <v>-283678.62</v>
      </c>
      <c r="P62" s="124" t="n">
        <f aca="false">D62/P$3</f>
        <v>0.00154013647619786</v>
      </c>
      <c r="Q62" s="124" t="n">
        <f aca="false">E62/P$3</f>
        <v>0</v>
      </c>
      <c r="R62" s="124" t="n">
        <f aca="false">F62/R$3</f>
        <v>0</v>
      </c>
      <c r="S62" s="126" t="n">
        <f aca="false">J62/$R$3</f>
        <v>-0.442619999999995</v>
      </c>
      <c r="T62" s="126" t="n">
        <f aca="false">L62/$R$3</f>
        <v>-0</v>
      </c>
      <c r="U62" s="126" t="n">
        <f aca="false">I62/$R$3</f>
        <v>-274.99787</v>
      </c>
      <c r="V62" s="126" t="n">
        <f aca="false">M62/$R$3</f>
        <v>-283.67862</v>
      </c>
      <c r="W62" s="126" t="n">
        <f aca="false">N62/$R$3</f>
        <v>-283.67862</v>
      </c>
    </row>
    <row r="63" customFormat="false" ht="12.75" hidden="true" customHeight="false" outlineLevel="0" collapsed="false">
      <c r="A63" s="120" t="n">
        <f aca="false">A62+1</f>
        <v>36949</v>
      </c>
      <c r="B63" s="131" t="str">
        <f aca="false">INDEX('Master Data'!$A$2:$B$8,MATCH(WEEKDAY('ARG Gas IM'!A63,3),'Master Data'!$A$2:$A$8,0),2)</f>
        <v>T</v>
      </c>
      <c r="D63" s="124" t="n">
        <f aca="false">-56025/27.0963</f>
        <v>-2067.62546916</v>
      </c>
      <c r="E63" s="124" t="n">
        <v>0</v>
      </c>
      <c r="F63" s="124" t="n">
        <v>0</v>
      </c>
      <c r="G63" s="124" t="n">
        <v>-278041.42</v>
      </c>
      <c r="I63" s="124" t="n">
        <f aca="false">IF(MONTH($A63)=MONTH($A62),IF(G63=0,I62,G63),G63)</f>
        <v>-278041.42</v>
      </c>
      <c r="J63" s="124" t="n">
        <f aca="false">IF(MONTH($A63)=MONTH($A62),SUM(I63-I62),I63)</f>
        <v>-3043.54999999999</v>
      </c>
      <c r="K63" s="124" t="n">
        <f aca="false">IF(WEEKDAY(A63,3)&gt;4,0,(IF(A63&lt;K$2,0,IF(A63&lt;=K$3,1,0))))</f>
        <v>0</v>
      </c>
      <c r="L63" s="124" t="n">
        <f aca="false">J63*K63</f>
        <v>-0</v>
      </c>
      <c r="M63" s="124" t="n">
        <f aca="false">SUM(J$6:J63)</f>
        <v>-286722.17</v>
      </c>
      <c r="N63" s="124" t="n">
        <f aca="false">SUM(J$6:J63)</f>
        <v>-286722.17</v>
      </c>
      <c r="P63" s="124" t="n">
        <f aca="false">D63/P$3</f>
        <v>-0.00206762546916</v>
      </c>
      <c r="Q63" s="124" t="n">
        <f aca="false">E63/P$3</f>
        <v>0</v>
      </c>
      <c r="R63" s="124" t="n">
        <f aca="false">F63/R$3</f>
        <v>0</v>
      </c>
      <c r="S63" s="126" t="n">
        <f aca="false">J63/$R$3</f>
        <v>-3.04354999999999</v>
      </c>
      <c r="T63" s="126" t="n">
        <f aca="false">L63/$R$3</f>
        <v>-0</v>
      </c>
      <c r="U63" s="126" t="n">
        <f aca="false">I63/$R$3</f>
        <v>-278.04142</v>
      </c>
      <c r="V63" s="126" t="n">
        <f aca="false">M63/$R$3</f>
        <v>-286.72217</v>
      </c>
      <c r="W63" s="126" t="n">
        <f aca="false">N63/$R$3</f>
        <v>-286.72217</v>
      </c>
    </row>
    <row r="64" customFormat="false" ht="12.75" hidden="false" customHeight="false" outlineLevel="0" collapsed="false">
      <c r="A64" s="120" t="n">
        <f aca="false">A63+1</f>
        <v>36950</v>
      </c>
      <c r="B64" s="131" t="str">
        <f aca="false">INDEX('Master Data'!$A$2:$B$8,MATCH(WEEKDAY('ARG Gas IM'!A64,3),'Master Data'!$A$2:$A$8,0),2)</f>
        <v>W</v>
      </c>
      <c r="D64" s="124" t="n">
        <f aca="false">55253/27.0963</f>
        <v>2039.13449437746</v>
      </c>
      <c r="E64" s="124" t="n">
        <v>0</v>
      </c>
      <c r="F64" s="124" t="n">
        <v>0</v>
      </c>
      <c r="G64" s="124" t="n">
        <f aca="false">-337664.44+256232</f>
        <v>-81432.44</v>
      </c>
      <c r="I64" s="124" t="n">
        <f aca="false">IF(MONTH($A64)=MONTH($A63),IF(G64=0,I63,G64),G64)</f>
        <v>-81432.44</v>
      </c>
      <c r="J64" s="124" t="n">
        <f aca="false">IF(MONTH($A64)=MONTH($A63),SUM(I64-I63),I64)</f>
        <v>196608.98</v>
      </c>
      <c r="K64" s="124" t="n">
        <f aca="false">IF(WEEKDAY(A64,3)&gt;4,0,(IF(A64&lt;K$2,0,IF(A64&lt;=K$3,1,0))))</f>
        <v>0</v>
      </c>
      <c r="L64" s="124" t="n">
        <f aca="false">J64*K64</f>
        <v>0</v>
      </c>
      <c r="M64" s="124" t="n">
        <f aca="false">SUM(J$6:J64)</f>
        <v>-90113.19</v>
      </c>
      <c r="N64" s="124" t="n">
        <f aca="false">SUM(J$6:J64)</f>
        <v>-90113.19</v>
      </c>
      <c r="P64" s="124" t="n">
        <f aca="false">D64/P$3</f>
        <v>0.00203913449437746</v>
      </c>
      <c r="Q64" s="124" t="n">
        <f aca="false">E64/P$3</f>
        <v>0</v>
      </c>
      <c r="R64" s="124" t="n">
        <f aca="false">F64/R$3</f>
        <v>0</v>
      </c>
      <c r="S64" s="126" t="n">
        <f aca="false">J64/$R$3</f>
        <v>196.60898</v>
      </c>
      <c r="T64" s="126" t="n">
        <f aca="false">L64/$R$3</f>
        <v>0</v>
      </c>
      <c r="U64" s="126" t="n">
        <f aca="false">I64/$R$3</f>
        <v>-81.43244</v>
      </c>
      <c r="V64" s="126" t="n">
        <f aca="false">M64/$R$3</f>
        <v>-90.11319</v>
      </c>
      <c r="W64" s="126" t="n">
        <f aca="false">N64/$R$3</f>
        <v>-90.11319</v>
      </c>
    </row>
    <row r="65" customFormat="false" ht="12.75" hidden="true" customHeight="false" outlineLevel="0" collapsed="false">
      <c r="A65" s="120" t="n">
        <f aca="false">A64+1</f>
        <v>36951</v>
      </c>
      <c r="B65" s="131" t="str">
        <f aca="false">INDEX('Master Data'!$A$2:$B$8,MATCH(WEEKDAY('ARG Gas IM'!A65,3),'Master Data'!$A$2:$A$8,0),2)</f>
        <v>Th</v>
      </c>
      <c r="D65" s="124" t="n">
        <f aca="false">-99653/27.0963</f>
        <v>-3677.73459845071</v>
      </c>
      <c r="E65" s="124" t="n">
        <v>0</v>
      </c>
      <c r="F65" s="124" t="n">
        <v>0</v>
      </c>
      <c r="G65" s="124" t="n">
        <v>-306172.73</v>
      </c>
      <c r="I65" s="124" t="n">
        <f aca="false">IF(MONTH($A65)=MONTH($A64),IF(G65=0,I64,G65),G65)</f>
        <v>-306172.73</v>
      </c>
      <c r="J65" s="124" t="n">
        <f aca="false">IF(MONTH($A65)=MONTH($A64),SUM(I65-I64),I65)</f>
        <v>-306172.73</v>
      </c>
      <c r="K65" s="124" t="n">
        <f aca="false">IF(WEEKDAY(A65,3)&gt;4,0,(IF(A65&lt;K$2,0,IF(A65&lt;=K$3,1,0))))</f>
        <v>0</v>
      </c>
      <c r="L65" s="124" t="n">
        <f aca="false">J65*K65</f>
        <v>-0</v>
      </c>
      <c r="M65" s="124" t="n">
        <f aca="false">SUM(J$6:J65)</f>
        <v>-396285.92</v>
      </c>
      <c r="N65" s="124" t="n">
        <f aca="false">SUM(J$6:J65)</f>
        <v>-396285.92</v>
      </c>
      <c r="P65" s="124" t="n">
        <f aca="false">D65/P$3</f>
        <v>-0.00367773459845071</v>
      </c>
      <c r="Q65" s="124" t="n">
        <f aca="false">E65/P$3</f>
        <v>0</v>
      </c>
      <c r="R65" s="124" t="n">
        <f aca="false">F65/R$3</f>
        <v>0</v>
      </c>
      <c r="S65" s="126" t="n">
        <f aca="false">J65/$R$3</f>
        <v>-306.17273</v>
      </c>
      <c r="T65" s="126" t="n">
        <f aca="false">L65/$R$3</f>
        <v>-0</v>
      </c>
      <c r="U65" s="126" t="n">
        <f aca="false">I65/$R$3</f>
        <v>-306.17273</v>
      </c>
      <c r="V65" s="126" t="n">
        <f aca="false">M65/$R$3</f>
        <v>-396.28592</v>
      </c>
      <c r="W65" s="126" t="n">
        <f aca="false">N65/$R$3</f>
        <v>-396.28592</v>
      </c>
    </row>
    <row r="66" customFormat="false" ht="12.75" hidden="true" customHeight="false" outlineLevel="0" collapsed="false">
      <c r="A66" s="120" t="n">
        <f aca="false">A65+1</f>
        <v>36952</v>
      </c>
      <c r="B66" s="131" t="str">
        <f aca="false">INDEX('Master Data'!$A$2:$B$8,MATCH(WEEKDAY('ARG Gas IM'!A66,3),'Master Data'!$A$2:$A$8,0),2)</f>
        <v>F</v>
      </c>
      <c r="D66" s="124" t="n">
        <f aca="false">-199306/27.0963</f>
        <v>-7355.46919690142</v>
      </c>
      <c r="E66" s="124" t="n">
        <v>0</v>
      </c>
      <c r="F66" s="124" t="n">
        <v>0</v>
      </c>
      <c r="G66" s="124" t="n">
        <v>-304122.11</v>
      </c>
      <c r="I66" s="124" t="n">
        <f aca="false">IF(MONTH($A66)=MONTH($A65),IF(G66=0,I65,G66),G66)</f>
        <v>-304122.11</v>
      </c>
      <c r="J66" s="124" t="n">
        <f aca="false">IF(MONTH($A66)=MONTH($A65),SUM(I66-I65),I66)</f>
        <v>2050.62</v>
      </c>
      <c r="K66" s="124" t="n">
        <f aca="false">IF(WEEKDAY(A66,3)&gt;4,0,(IF(A66&lt;K$2,0,IF(A66&lt;=K$3,1,0))))</f>
        <v>0</v>
      </c>
      <c r="L66" s="124" t="n">
        <f aca="false">J66*K66</f>
        <v>0</v>
      </c>
      <c r="M66" s="124" t="n">
        <f aca="false">SUM(J$6:J66)</f>
        <v>-394235.3</v>
      </c>
      <c r="N66" s="124" t="n">
        <f aca="false">SUM(J$6:J66)</f>
        <v>-394235.3</v>
      </c>
      <c r="P66" s="124" t="n">
        <f aca="false">D66/P$3</f>
        <v>-0.00735546919690142</v>
      </c>
      <c r="Q66" s="124" t="n">
        <f aca="false">E66/P$3</f>
        <v>0</v>
      </c>
      <c r="R66" s="124" t="n">
        <f aca="false">F66/R$3</f>
        <v>0</v>
      </c>
      <c r="S66" s="126" t="n">
        <f aca="false">J66/$R$3</f>
        <v>2.05062</v>
      </c>
      <c r="T66" s="126" t="n">
        <f aca="false">L66/$R$3</f>
        <v>0</v>
      </c>
      <c r="U66" s="126" t="n">
        <f aca="false">I66/$R$3</f>
        <v>-304.12211</v>
      </c>
      <c r="V66" s="126" t="n">
        <f aca="false">M66/$R$3</f>
        <v>-394.2353</v>
      </c>
      <c r="W66" s="126" t="n">
        <f aca="false">N66/$R$3</f>
        <v>-394.2353</v>
      </c>
    </row>
    <row r="67" customFormat="false" ht="12.75" hidden="true" customHeight="false" outlineLevel="0" collapsed="false">
      <c r="A67" s="120" t="n">
        <f aca="false">A66+1</f>
        <v>36953</v>
      </c>
      <c r="B67" s="131" t="str">
        <f aca="false">INDEX('Master Data'!$A$2:$B$8,MATCH(WEEKDAY('ARG Gas IM'!A67,3),'Master Data'!$A$2:$A$8,0),2)</f>
        <v>Sa</v>
      </c>
      <c r="D67" s="124" t="n">
        <v>0</v>
      </c>
      <c r="E67" s="124" t="n">
        <v>0</v>
      </c>
      <c r="F67" s="124" t="n">
        <v>0</v>
      </c>
      <c r="G67" s="124" t="n">
        <v>0</v>
      </c>
      <c r="I67" s="124" t="n">
        <f aca="false">IF(MONTH($A67)=MONTH($A66),IF(G67=0,I66,G67),G67)</f>
        <v>-304122.11</v>
      </c>
      <c r="J67" s="124" t="n">
        <f aca="false">IF(MONTH($A67)=MONTH($A66),SUM(I67-I66),I67)</f>
        <v>0</v>
      </c>
      <c r="K67" s="124" t="n">
        <f aca="false">IF(WEEKDAY(A67,3)&gt;4,0,(IF(A67&lt;K$2,0,IF(A67&lt;=K$3,1,0))))</f>
        <v>0</v>
      </c>
      <c r="L67" s="124" t="n">
        <f aca="false">J67*K67</f>
        <v>0</v>
      </c>
      <c r="M67" s="124" t="n">
        <f aca="false">SUM(J$6:J67)</f>
        <v>-394235.3</v>
      </c>
      <c r="N67" s="124" t="n">
        <f aca="false">SUM(J$6:J67)</f>
        <v>-394235.3</v>
      </c>
      <c r="P67" s="124" t="n">
        <f aca="false">D67/P$3</f>
        <v>0</v>
      </c>
      <c r="Q67" s="124" t="n">
        <f aca="false">E67/P$3</f>
        <v>0</v>
      </c>
      <c r="R67" s="124" t="n">
        <f aca="false">F67/R$3</f>
        <v>0</v>
      </c>
      <c r="S67" s="126" t="n">
        <f aca="false">J67/$R$3</f>
        <v>0</v>
      </c>
      <c r="T67" s="126" t="n">
        <f aca="false">L67/$R$3</f>
        <v>0</v>
      </c>
      <c r="U67" s="126" t="n">
        <f aca="false">I67/$R$3</f>
        <v>-304.12211</v>
      </c>
      <c r="V67" s="126" t="n">
        <f aca="false">M67/$R$3</f>
        <v>-394.2353</v>
      </c>
      <c r="W67" s="126" t="n">
        <f aca="false">N67/$R$3</f>
        <v>-394.2353</v>
      </c>
    </row>
    <row r="68" customFormat="false" ht="12.75" hidden="true" customHeight="false" outlineLevel="0" collapsed="false">
      <c r="A68" s="120" t="n">
        <f aca="false">A67+1</f>
        <v>36954</v>
      </c>
      <c r="B68" s="131" t="str">
        <f aca="false">INDEX('Master Data'!$A$2:$B$8,MATCH(WEEKDAY('ARG Gas IM'!A68,3),'Master Data'!$A$2:$A$8,0),2)</f>
        <v>Su</v>
      </c>
      <c r="D68" s="124" t="n">
        <v>0</v>
      </c>
      <c r="E68" s="124" t="n">
        <v>0</v>
      </c>
      <c r="F68" s="124" t="n">
        <v>0</v>
      </c>
      <c r="G68" s="124" t="n">
        <v>0</v>
      </c>
      <c r="I68" s="124" t="n">
        <f aca="false">IF(MONTH($A68)=MONTH($A67),IF(G68=0,I67,G68),G68)</f>
        <v>-304122.11</v>
      </c>
      <c r="J68" s="124" t="n">
        <f aca="false">IF(MONTH($A68)=MONTH($A67),SUM(I68-I67),I68)</f>
        <v>0</v>
      </c>
      <c r="K68" s="124" t="n">
        <f aca="false">IF(WEEKDAY(A68,3)&gt;4,0,(IF(A68&lt;K$2,0,IF(A68&lt;=K$3,1,0))))</f>
        <v>0</v>
      </c>
      <c r="L68" s="124" t="n">
        <f aca="false">J68*K68</f>
        <v>0</v>
      </c>
      <c r="M68" s="124" t="n">
        <f aca="false">SUM(J$6:J68)</f>
        <v>-394235.3</v>
      </c>
      <c r="N68" s="124" t="n">
        <f aca="false">SUM(J$6:J68)</f>
        <v>-394235.3</v>
      </c>
      <c r="P68" s="124" t="n">
        <f aca="false">D68/P$3</f>
        <v>0</v>
      </c>
      <c r="Q68" s="124" t="n">
        <f aca="false">E68/P$3</f>
        <v>0</v>
      </c>
      <c r="R68" s="124" t="n">
        <f aca="false">F68/R$3</f>
        <v>0</v>
      </c>
      <c r="S68" s="126" t="n">
        <f aca="false">J68/$R$3</f>
        <v>0</v>
      </c>
      <c r="T68" s="126" t="n">
        <f aca="false">L68/$R$3</f>
        <v>0</v>
      </c>
      <c r="U68" s="126" t="n">
        <f aca="false">I68/$R$3</f>
        <v>-304.12211</v>
      </c>
      <c r="V68" s="126" t="n">
        <f aca="false">M68/$R$3</f>
        <v>-394.2353</v>
      </c>
      <c r="W68" s="126" t="n">
        <f aca="false">N68/$R$3</f>
        <v>-394.2353</v>
      </c>
    </row>
    <row r="69" customFormat="false" ht="12.75" hidden="true" customHeight="false" outlineLevel="0" collapsed="false">
      <c r="A69" s="120" t="n">
        <f aca="false">A68+1</f>
        <v>36955</v>
      </c>
      <c r="B69" s="131" t="str">
        <f aca="false">INDEX('Master Data'!$A$2:$B$8,MATCH(WEEKDAY('ARG Gas IM'!A69,3),'Master Data'!$A$2:$A$8,0),2)</f>
        <v>M</v>
      </c>
      <c r="D69" s="124" t="n">
        <f aca="false">-98265/27.0963</f>
        <v>-3626.50989249455</v>
      </c>
      <c r="E69" s="124" t="n">
        <v>0</v>
      </c>
      <c r="F69" s="124" t="n">
        <v>0</v>
      </c>
      <c r="G69" s="124" t="n">
        <v>-293072.25</v>
      </c>
      <c r="I69" s="124" t="n">
        <f aca="false">IF(MONTH($A69)=MONTH($A68),IF(G69=0,I68,G69),G69)</f>
        <v>-293072.25</v>
      </c>
      <c r="J69" s="124" t="n">
        <f aca="false">IF(MONTH($A69)=MONTH($A68),SUM(I69-I68),I69)</f>
        <v>11049.86</v>
      </c>
      <c r="K69" s="124" t="n">
        <f aca="false">IF(WEEKDAY(A69,3)&gt;4,0,(IF(A69&lt;K$2,0,IF(A69&lt;=K$3,1,0))))</f>
        <v>0</v>
      </c>
      <c r="L69" s="124" t="n">
        <f aca="false">J69*K69</f>
        <v>0</v>
      </c>
      <c r="M69" s="124" t="n">
        <f aca="false">SUM(J$6:J69)</f>
        <v>-383185.44</v>
      </c>
      <c r="N69" s="124" t="n">
        <f aca="false">SUM(J$6:J69)</f>
        <v>-383185.44</v>
      </c>
      <c r="P69" s="124" t="n">
        <f aca="false">D69/P$3</f>
        <v>-0.00362650989249455</v>
      </c>
      <c r="Q69" s="124" t="n">
        <f aca="false">E69/P$3</f>
        <v>0</v>
      </c>
      <c r="R69" s="124" t="n">
        <f aca="false">F69/R$3</f>
        <v>0</v>
      </c>
      <c r="S69" s="126" t="n">
        <f aca="false">J69/$R$3</f>
        <v>11.04986</v>
      </c>
      <c r="T69" s="126" t="n">
        <f aca="false">L69/$R$3</f>
        <v>0</v>
      </c>
      <c r="U69" s="126" t="n">
        <f aca="false">I69/$R$3</f>
        <v>-293.07225</v>
      </c>
      <c r="V69" s="126" t="n">
        <f aca="false">M69/$R$3</f>
        <v>-383.18544</v>
      </c>
      <c r="W69" s="126" t="n">
        <f aca="false">N69/$R$3</f>
        <v>-383.18544</v>
      </c>
    </row>
    <row r="70" customFormat="false" ht="12.75" hidden="true" customHeight="false" outlineLevel="0" collapsed="false">
      <c r="A70" s="120" t="n">
        <f aca="false">A69+1</f>
        <v>36956</v>
      </c>
      <c r="B70" s="131" t="str">
        <f aca="false">INDEX('Master Data'!$A$2:$B$8,MATCH(WEEKDAY('ARG Gas IM'!A70,3),'Master Data'!$A$2:$A$8,0),2)</f>
        <v>T</v>
      </c>
      <c r="D70" s="124" t="n">
        <f aca="false">-117918/27.0963</f>
        <v>-4351.81187099346</v>
      </c>
      <c r="E70" s="124" t="n">
        <v>0</v>
      </c>
      <c r="F70" s="124" t="n">
        <v>0</v>
      </c>
      <c r="G70" s="124" t="n">
        <v>-270724.22</v>
      </c>
      <c r="I70" s="124" t="n">
        <f aca="false">IF(MONTH($A70)=MONTH($A69),IF(G70=0,I69,G70),G70)</f>
        <v>-270724.22</v>
      </c>
      <c r="J70" s="124" t="n">
        <f aca="false">IF(MONTH($A70)=MONTH($A69),SUM(I70-I69),I70)</f>
        <v>22348.03</v>
      </c>
      <c r="K70" s="124" t="n">
        <f aca="false">IF(WEEKDAY(A70,3)&gt;4,0,(IF(A70&lt;K$2,0,IF(A70&lt;=K$3,1,0))))</f>
        <v>0</v>
      </c>
      <c r="L70" s="124" t="n">
        <f aca="false">J70*K70</f>
        <v>0</v>
      </c>
      <c r="M70" s="124" t="n">
        <f aca="false">SUM(J$6:J70)</f>
        <v>-360837.41</v>
      </c>
      <c r="N70" s="124" t="n">
        <f aca="false">SUM(J$6:J70)</f>
        <v>-360837.41</v>
      </c>
      <c r="P70" s="124" t="n">
        <f aca="false">D70/P$3</f>
        <v>-0.00435181187099346</v>
      </c>
      <c r="Q70" s="124" t="n">
        <f aca="false">E70/P$3</f>
        <v>0</v>
      </c>
      <c r="R70" s="124" t="n">
        <f aca="false">F70/R$3</f>
        <v>0</v>
      </c>
      <c r="S70" s="126" t="n">
        <f aca="false">J70/$R$3</f>
        <v>22.34803</v>
      </c>
      <c r="T70" s="126" t="n">
        <f aca="false">L70/$R$3</f>
        <v>0</v>
      </c>
      <c r="U70" s="126" t="n">
        <f aca="false">I70/$R$3</f>
        <v>-270.72422</v>
      </c>
      <c r="V70" s="126" t="n">
        <f aca="false">M70/$R$3</f>
        <v>-360.83741</v>
      </c>
      <c r="W70" s="126" t="n">
        <f aca="false">N70/$R$3</f>
        <v>-360.83741</v>
      </c>
    </row>
    <row r="71" customFormat="false" ht="12.75" hidden="true" customHeight="false" outlineLevel="0" collapsed="false">
      <c r="A71" s="120" t="n">
        <f aca="false">A70+1</f>
        <v>36957</v>
      </c>
      <c r="B71" s="131" t="str">
        <f aca="false">INDEX('Master Data'!$A$2:$B$8,MATCH(WEEKDAY('ARG Gas IM'!A71,3),'Master Data'!$A$2:$A$8,0),2)</f>
        <v>W</v>
      </c>
      <c r="D71" s="124" t="n">
        <f aca="false">-137571/27.0963</f>
        <v>-5077.11384949237</v>
      </c>
      <c r="E71" s="124" t="n">
        <v>0</v>
      </c>
      <c r="F71" s="124" t="n">
        <v>0</v>
      </c>
      <c r="G71" s="124" t="n">
        <v>-269946.6</v>
      </c>
      <c r="I71" s="124" t="n">
        <f aca="false">IF(MONTH($A71)=MONTH($A70),IF(G71=0,I70,G71),G71)</f>
        <v>-269946.6</v>
      </c>
      <c r="J71" s="124" t="n">
        <f aca="false">IF(MONTH($A71)=MONTH($A70),SUM(I71-I70),I71)</f>
        <v>777.619999999995</v>
      </c>
      <c r="K71" s="124" t="n">
        <f aca="false">IF(WEEKDAY(A71,3)&gt;4,0,(IF(A71&lt;K$2,0,IF(A71&lt;=K$3,1,0))))</f>
        <v>0</v>
      </c>
      <c r="L71" s="124" t="n">
        <f aca="false">J71*K71</f>
        <v>0</v>
      </c>
      <c r="M71" s="124" t="n">
        <f aca="false">SUM(J$6:J71)</f>
        <v>-360059.79</v>
      </c>
      <c r="N71" s="124" t="n">
        <f aca="false">SUM(J$6:J71)</f>
        <v>-360059.79</v>
      </c>
      <c r="P71" s="124" t="n">
        <f aca="false">D71/P$3</f>
        <v>-0.00507711384949237</v>
      </c>
      <c r="Q71" s="124" t="n">
        <f aca="false">E71/P$3</f>
        <v>0</v>
      </c>
      <c r="R71" s="124" t="n">
        <f aca="false">F71/R$3</f>
        <v>0</v>
      </c>
      <c r="S71" s="126" t="n">
        <f aca="false">J71/$R$3</f>
        <v>0.777619999999995</v>
      </c>
      <c r="T71" s="126" t="n">
        <f aca="false">L71/$R$3</f>
        <v>0</v>
      </c>
      <c r="U71" s="126" t="n">
        <f aca="false">I71/$R$3</f>
        <v>-269.9466</v>
      </c>
      <c r="V71" s="126" t="n">
        <f aca="false">M71/$R$3</f>
        <v>-360.05979</v>
      </c>
      <c r="W71" s="126" t="n">
        <f aca="false">N71/$R$3</f>
        <v>-360.05979</v>
      </c>
    </row>
    <row r="72" customFormat="false" ht="12.75" hidden="true" customHeight="false" outlineLevel="0" collapsed="false">
      <c r="A72" s="120" t="n">
        <f aca="false">A71+1</f>
        <v>36958</v>
      </c>
      <c r="B72" s="131" t="str">
        <f aca="false">INDEX('Master Data'!$A$2:$B$8,MATCH(WEEKDAY('ARG Gas IM'!A72,3),'Master Data'!$A$2:$A$8,0),2)</f>
        <v>Th</v>
      </c>
      <c r="D72" s="124" t="n">
        <f aca="false">-30370/27.0963</f>
        <v>-1120.8172333492</v>
      </c>
      <c r="E72" s="124" t="n">
        <v>0</v>
      </c>
      <c r="F72" s="124" t="n">
        <v>0</v>
      </c>
      <c r="G72" s="124" t="n">
        <v>-265756.86</v>
      </c>
      <c r="I72" s="124" t="n">
        <f aca="false">IF(MONTH($A72)=MONTH($A71),IF(G72=0,I71,G72),G72)</f>
        <v>-265756.86</v>
      </c>
      <c r="J72" s="124" t="n">
        <f aca="false">IF(MONTH($A72)=MONTH($A71),SUM(I72-I71),I72)</f>
        <v>4189.73999999999</v>
      </c>
      <c r="K72" s="124" t="n">
        <f aca="false">IF(WEEKDAY(A72,3)&gt;4,0,(IF(A72&lt;K$2,0,IF(A72&lt;=K$3,1,0))))</f>
        <v>0</v>
      </c>
      <c r="L72" s="124" t="n">
        <f aca="false">J72*K72</f>
        <v>0</v>
      </c>
      <c r="M72" s="124" t="n">
        <f aca="false">SUM(J$6:J72)</f>
        <v>-355870.05</v>
      </c>
      <c r="N72" s="124" t="n">
        <f aca="false">SUM(J$6:J72)</f>
        <v>-355870.05</v>
      </c>
      <c r="P72" s="124" t="n">
        <f aca="false">D72/P$3</f>
        <v>-0.0011208172333492</v>
      </c>
      <c r="Q72" s="124" t="n">
        <f aca="false">E72/P$3</f>
        <v>0</v>
      </c>
      <c r="R72" s="124" t="n">
        <f aca="false">F72/R$3</f>
        <v>0</v>
      </c>
      <c r="S72" s="126" t="n">
        <f aca="false">J72/$R$3</f>
        <v>4.18973999999999</v>
      </c>
      <c r="T72" s="126" t="n">
        <f aca="false">L72/$R$3</f>
        <v>0</v>
      </c>
      <c r="U72" s="126" t="n">
        <f aca="false">I72/$R$3</f>
        <v>-265.75686</v>
      </c>
      <c r="V72" s="126" t="n">
        <f aca="false">M72/$R$3</f>
        <v>-355.87005</v>
      </c>
      <c r="W72" s="126" t="n">
        <f aca="false">N72/$R$3</f>
        <v>-355.87005</v>
      </c>
    </row>
    <row r="73" customFormat="false" ht="12.75" hidden="true" customHeight="false" outlineLevel="0" collapsed="false">
      <c r="A73" s="120" t="n">
        <f aca="false">A72+1</f>
        <v>36959</v>
      </c>
      <c r="B73" s="131" t="str">
        <f aca="false">INDEX('Master Data'!$A$2:$B$8,MATCH(WEEKDAY('ARG Gas IM'!A73,3),'Master Data'!$A$2:$A$8,0),2)</f>
        <v>F</v>
      </c>
      <c r="D73" s="124" t="n">
        <f aca="false">-44171/27.0963</f>
        <v>-1630.14876569864</v>
      </c>
      <c r="E73" s="124" t="n">
        <v>0</v>
      </c>
      <c r="F73" s="124" t="n">
        <v>0</v>
      </c>
      <c r="G73" s="124" t="n">
        <v>-950538.06</v>
      </c>
      <c r="I73" s="124" t="n">
        <f aca="false">IF(MONTH($A73)=MONTH($A72),IF(G73=0,I72,G73),G73)</f>
        <v>-950538.06</v>
      </c>
      <c r="J73" s="124" t="n">
        <f aca="false">IF(MONTH($A73)=MONTH($A72),SUM(I73-I72),I73)</f>
        <v>-684781.2</v>
      </c>
      <c r="K73" s="124" t="n">
        <f aca="false">IF(WEEKDAY(A73,3)&gt;4,0,(IF(A73&lt;K$2,0,IF(A73&lt;=K$3,1,0))))</f>
        <v>0</v>
      </c>
      <c r="L73" s="124" t="n">
        <f aca="false">J73*K73</f>
        <v>-0</v>
      </c>
      <c r="M73" s="124" t="n">
        <f aca="false">SUM(J$6:J73)</f>
        <v>-1040651.25</v>
      </c>
      <c r="N73" s="124" t="n">
        <f aca="false">SUM(J$6:J73)</f>
        <v>-1040651.25</v>
      </c>
      <c r="P73" s="124" t="n">
        <f aca="false">D73/P$3</f>
        <v>-0.00163014876569864</v>
      </c>
      <c r="Q73" s="124" t="n">
        <f aca="false">E73/P$3</f>
        <v>0</v>
      </c>
      <c r="R73" s="124" t="n">
        <f aca="false">F73/R$3</f>
        <v>0</v>
      </c>
      <c r="S73" s="126" t="n">
        <f aca="false">J73/$R$3</f>
        <v>-684.7812</v>
      </c>
      <c r="T73" s="126" t="n">
        <f aca="false">L73/$R$3</f>
        <v>-0</v>
      </c>
      <c r="U73" s="126" t="n">
        <f aca="false">I73/$R$3</f>
        <v>-950.53806</v>
      </c>
      <c r="V73" s="126" t="n">
        <f aca="false">M73/$R$3</f>
        <v>-1040.65125</v>
      </c>
      <c r="W73" s="126" t="n">
        <f aca="false">N73/$R$3</f>
        <v>-1040.65125</v>
      </c>
    </row>
    <row r="74" customFormat="false" ht="12.75" hidden="true" customHeight="false" outlineLevel="0" collapsed="false">
      <c r="A74" s="120" t="n">
        <f aca="false">A73+1</f>
        <v>36960</v>
      </c>
      <c r="B74" s="131" t="str">
        <f aca="false">INDEX('Master Data'!$A$2:$B$8,MATCH(WEEKDAY('ARG Gas IM'!A74,3),'Master Data'!$A$2:$A$8,0),2)</f>
        <v>Sa</v>
      </c>
      <c r="D74" s="124" t="n">
        <v>0</v>
      </c>
      <c r="E74" s="124" t="n">
        <v>0</v>
      </c>
      <c r="F74" s="124" t="n">
        <v>0</v>
      </c>
      <c r="G74" s="124" t="n">
        <v>0</v>
      </c>
      <c r="I74" s="124" t="n">
        <f aca="false">IF(MONTH($A74)=MONTH($A73),IF(G74=0,I73,G74),G74)</f>
        <v>-950538.06</v>
      </c>
      <c r="J74" s="124" t="n">
        <f aca="false">IF(MONTH($A74)=MONTH($A73),SUM(I74-I73),I74)</f>
        <v>0</v>
      </c>
      <c r="K74" s="124" t="n">
        <f aca="false">IF(WEEKDAY(A74,3)&gt;4,0,(IF(A74&lt;K$2,0,IF(A74&lt;=K$3,1,0))))</f>
        <v>0</v>
      </c>
      <c r="L74" s="124" t="n">
        <f aca="false">J74*K74</f>
        <v>0</v>
      </c>
      <c r="M74" s="124" t="n">
        <f aca="false">SUM(J$6:J74)</f>
        <v>-1040651.25</v>
      </c>
      <c r="N74" s="124" t="n">
        <f aca="false">SUM(J$6:J74)</f>
        <v>-1040651.25</v>
      </c>
      <c r="P74" s="124" t="n">
        <f aca="false">D74/P$3</f>
        <v>0</v>
      </c>
      <c r="Q74" s="124" t="n">
        <f aca="false">E74/P$3</f>
        <v>0</v>
      </c>
      <c r="R74" s="124" t="n">
        <f aca="false">F74/R$3</f>
        <v>0</v>
      </c>
      <c r="S74" s="126" t="n">
        <f aca="false">J74/$R$3</f>
        <v>0</v>
      </c>
      <c r="T74" s="126" t="n">
        <f aca="false">L74/$R$3</f>
        <v>0</v>
      </c>
      <c r="U74" s="126" t="n">
        <f aca="false">I74/$R$3</f>
        <v>-950.53806</v>
      </c>
      <c r="V74" s="126" t="n">
        <f aca="false">M74/$R$3</f>
        <v>-1040.65125</v>
      </c>
      <c r="W74" s="126" t="n">
        <f aca="false">N74/$R$3</f>
        <v>-1040.65125</v>
      </c>
    </row>
    <row r="75" customFormat="false" ht="12.75" hidden="true" customHeight="false" outlineLevel="0" collapsed="false">
      <c r="A75" s="120" t="n">
        <f aca="false">A74+1</f>
        <v>36961</v>
      </c>
      <c r="B75" s="131" t="str">
        <f aca="false">INDEX('Master Data'!$A$2:$B$8,MATCH(WEEKDAY('ARG Gas IM'!A75,3),'Master Data'!$A$2:$A$8,0),2)</f>
        <v>Su</v>
      </c>
      <c r="D75" s="124" t="n">
        <v>0</v>
      </c>
      <c r="E75" s="124" t="n">
        <v>0</v>
      </c>
      <c r="F75" s="124" t="n">
        <v>0</v>
      </c>
      <c r="G75" s="124" t="n">
        <v>0</v>
      </c>
      <c r="I75" s="124" t="n">
        <f aca="false">IF(MONTH($A75)=MONTH($A74),IF(G75=0,I74,G75),G75)</f>
        <v>-950538.06</v>
      </c>
      <c r="J75" s="124" t="n">
        <f aca="false">IF(MONTH($A75)=MONTH($A74),SUM(I75-I74),I75)</f>
        <v>0</v>
      </c>
      <c r="K75" s="124" t="n">
        <f aca="false">IF(WEEKDAY(A75,3)&gt;4,0,(IF(A75&lt;K$2,0,IF(A75&lt;=K$3,1,0))))</f>
        <v>0</v>
      </c>
      <c r="L75" s="124" t="n">
        <f aca="false">J75*K75</f>
        <v>0</v>
      </c>
      <c r="M75" s="124" t="n">
        <f aca="false">SUM(J$6:J75)</f>
        <v>-1040651.25</v>
      </c>
      <c r="N75" s="124" t="n">
        <f aca="false">SUM(J$6:J75)</f>
        <v>-1040651.25</v>
      </c>
      <c r="P75" s="124" t="n">
        <f aca="false">D75/P$3</f>
        <v>0</v>
      </c>
      <c r="Q75" s="124" t="n">
        <f aca="false">E75/P$3</f>
        <v>0</v>
      </c>
      <c r="R75" s="124" t="n">
        <f aca="false">F75/R$3</f>
        <v>0</v>
      </c>
      <c r="S75" s="126" t="n">
        <f aca="false">J75/$R$3</f>
        <v>0</v>
      </c>
      <c r="T75" s="126" t="n">
        <f aca="false">L75/$R$3</f>
        <v>0</v>
      </c>
      <c r="U75" s="126" t="n">
        <f aca="false">I75/$R$3</f>
        <v>-950.53806</v>
      </c>
      <c r="V75" s="126" t="n">
        <f aca="false">M75/$R$3</f>
        <v>-1040.65125</v>
      </c>
      <c r="W75" s="126" t="n">
        <f aca="false">N75/$R$3</f>
        <v>-1040.65125</v>
      </c>
    </row>
    <row r="76" customFormat="false" ht="12.75" hidden="true" customHeight="false" outlineLevel="0" collapsed="false">
      <c r="A76" s="120" t="n">
        <f aca="false">A75+1</f>
        <v>36962</v>
      </c>
      <c r="B76" s="131" t="str">
        <f aca="false">INDEX('Master Data'!$A$2:$B$8,MATCH(WEEKDAY('ARG Gas IM'!A76,3),'Master Data'!$A$2:$A$8,0),2)</f>
        <v>M</v>
      </c>
      <c r="D76" s="124" t="n">
        <f aca="false">-67252/27.0963</f>
        <v>-2481.96248196248</v>
      </c>
      <c r="E76" s="124" t="n">
        <v>0</v>
      </c>
      <c r="F76" s="124" t="n">
        <v>0</v>
      </c>
      <c r="G76" s="124" t="n">
        <v>-944393.78</v>
      </c>
      <c r="I76" s="124" t="n">
        <f aca="false">IF(MONTH($A76)=MONTH($A75),IF(G76=0,I75,G76),G76)</f>
        <v>-944393.78</v>
      </c>
      <c r="J76" s="124" t="n">
        <f aca="false">IF(MONTH($A76)=MONTH($A75),SUM(I76-I75),I76)</f>
        <v>6144.28000000003</v>
      </c>
      <c r="K76" s="124" t="n">
        <f aca="false">IF(WEEKDAY(A76,3)&gt;4,0,(IF(A76&lt;K$2,0,IF(A76&lt;=K$3,1,0))))</f>
        <v>0</v>
      </c>
      <c r="L76" s="124" t="n">
        <f aca="false">J76*K76</f>
        <v>0</v>
      </c>
      <c r="M76" s="124" t="n">
        <f aca="false">SUM(J$6:J76)</f>
        <v>-1034506.97</v>
      </c>
      <c r="N76" s="124" t="n">
        <f aca="false">SUM(J$6:J76)</f>
        <v>-1034506.97</v>
      </c>
      <c r="P76" s="124" t="n">
        <f aca="false">D76/P$3</f>
        <v>-0.00248196248196248</v>
      </c>
      <c r="Q76" s="124" t="n">
        <f aca="false">E76/P$3</f>
        <v>0</v>
      </c>
      <c r="R76" s="124" t="n">
        <f aca="false">F76/R$3</f>
        <v>0</v>
      </c>
      <c r="S76" s="126" t="n">
        <f aca="false">J76/$R$3</f>
        <v>6.14428000000003</v>
      </c>
      <c r="T76" s="126" t="n">
        <f aca="false">L76/$R$3</f>
        <v>0</v>
      </c>
      <c r="U76" s="126" t="n">
        <f aca="false">I76/$R$3</f>
        <v>-944.39378</v>
      </c>
      <c r="V76" s="126" t="n">
        <f aca="false">M76/$R$3</f>
        <v>-1034.50697</v>
      </c>
      <c r="W76" s="126" t="n">
        <f aca="false">N76/$R$3</f>
        <v>-1034.50697</v>
      </c>
    </row>
    <row r="77" customFormat="false" ht="12.75" hidden="true" customHeight="false" outlineLevel="0" collapsed="false">
      <c r="A77" s="120" t="n">
        <f aca="false">A76+1</f>
        <v>36963</v>
      </c>
      <c r="B77" s="131" t="str">
        <f aca="false">INDEX('Master Data'!$A$2:$B$8,MATCH(WEEKDAY('ARG Gas IM'!A77,3),'Master Data'!$A$2:$A$8,0),2)</f>
        <v>T</v>
      </c>
      <c r="D77" s="124" t="n">
        <f aca="false">692/27.0963</f>
        <v>25.5385421625831</v>
      </c>
      <c r="E77" s="124" t="n">
        <v>0</v>
      </c>
      <c r="F77" s="124" t="n">
        <v>0</v>
      </c>
      <c r="G77" s="124" t="n">
        <v>-966899.82</v>
      </c>
      <c r="I77" s="124" t="n">
        <f aca="false">IF(MONTH($A77)=MONTH($A76),IF(G77=0,I76,G77),G77)</f>
        <v>-966899.82</v>
      </c>
      <c r="J77" s="124" t="n">
        <f aca="false">IF(MONTH($A77)=MONTH($A76),SUM(I77-I76),I77)</f>
        <v>-22506.0399999999</v>
      </c>
      <c r="K77" s="124" t="n">
        <f aca="false">IF(WEEKDAY(A77,3)&gt;4,0,(IF(A77&lt;K$2,0,IF(A77&lt;=K$3,1,0))))</f>
        <v>0</v>
      </c>
      <c r="L77" s="124" t="n">
        <f aca="false">J77*K77</f>
        <v>-0</v>
      </c>
      <c r="M77" s="124" t="n">
        <f aca="false">SUM(J$6:J77)</f>
        <v>-1057013.01</v>
      </c>
      <c r="N77" s="124" t="n">
        <f aca="false">SUM(J$6:J77)</f>
        <v>-1057013.01</v>
      </c>
      <c r="P77" s="124" t="n">
        <f aca="false">D77/P$3</f>
        <v>2.55385421625831E-005</v>
      </c>
      <c r="Q77" s="124" t="n">
        <f aca="false">E77/P$3</f>
        <v>0</v>
      </c>
      <c r="R77" s="124" t="n">
        <f aca="false">F77/R$3</f>
        <v>0</v>
      </c>
      <c r="S77" s="126" t="n">
        <f aca="false">J77/$R$3</f>
        <v>-22.5060399999999</v>
      </c>
      <c r="T77" s="126" t="n">
        <f aca="false">L77/$R$3</f>
        <v>-0</v>
      </c>
      <c r="U77" s="126" t="n">
        <f aca="false">I77/$R$3</f>
        <v>-966.89982</v>
      </c>
      <c r="V77" s="126" t="n">
        <f aca="false">M77/$R$3</f>
        <v>-1057.01301</v>
      </c>
      <c r="W77" s="126" t="n">
        <f aca="false">N77/$R$3</f>
        <v>-1057.01301</v>
      </c>
    </row>
    <row r="78" customFormat="false" ht="12.75" hidden="true" customHeight="false" outlineLevel="0" collapsed="false">
      <c r="A78" s="120" t="n">
        <f aca="false">A77+1</f>
        <v>36964</v>
      </c>
      <c r="B78" s="131" t="str">
        <f aca="false">INDEX('Master Data'!$A$2:$B$8,MATCH(WEEKDAY('ARG Gas IM'!A78,3),'Master Data'!$A$2:$A$8,0),2)</f>
        <v>W</v>
      </c>
      <c r="D78" s="124" t="n">
        <f aca="false">-1192/27.0963</f>
        <v>-43.9912460372819</v>
      </c>
      <c r="E78" s="124" t="n">
        <v>0</v>
      </c>
      <c r="F78" s="124" t="n">
        <v>0</v>
      </c>
      <c r="G78" s="124" t="n">
        <v>-966774.98</v>
      </c>
      <c r="I78" s="124" t="n">
        <f aca="false">IF(MONTH($A78)=MONTH($A77),IF(G78=0,I77,G78),G78)</f>
        <v>-966774.98</v>
      </c>
      <c r="J78" s="124" t="n">
        <f aca="false">IF(MONTH($A78)=MONTH($A77),SUM(I78-I77),I78)</f>
        <v>124.839999999967</v>
      </c>
      <c r="K78" s="124" t="n">
        <f aca="false">IF(WEEKDAY(A78,3)&gt;4,0,(IF(A78&lt;K$2,0,IF(A78&lt;=K$3,1,0))))</f>
        <v>0</v>
      </c>
      <c r="L78" s="124" t="n">
        <f aca="false">J78*K78</f>
        <v>0</v>
      </c>
      <c r="M78" s="124" t="n">
        <f aca="false">SUM(J$6:J78)</f>
        <v>-1056888.17</v>
      </c>
      <c r="N78" s="124" t="n">
        <f aca="false">SUM(J$6:J78)</f>
        <v>-1056888.17</v>
      </c>
      <c r="P78" s="124" t="n">
        <f aca="false">D78/P$3</f>
        <v>-4.39912460372819E-005</v>
      </c>
      <c r="Q78" s="124" t="n">
        <f aca="false">E78/P$3</f>
        <v>0</v>
      </c>
      <c r="R78" s="124" t="n">
        <f aca="false">F78/R$3</f>
        <v>0</v>
      </c>
      <c r="S78" s="126" t="n">
        <f aca="false">J78/$R$3</f>
        <v>0.124839999999967</v>
      </c>
      <c r="T78" s="126" t="n">
        <f aca="false">L78/$R$3</f>
        <v>0</v>
      </c>
      <c r="U78" s="126" t="n">
        <f aca="false">I78/$R$3</f>
        <v>-966.77498</v>
      </c>
      <c r="V78" s="126" t="n">
        <f aca="false">M78/$R$3</f>
        <v>-1056.88817</v>
      </c>
      <c r="W78" s="126" t="n">
        <f aca="false">N78/$R$3</f>
        <v>-1056.88817</v>
      </c>
    </row>
    <row r="79" customFormat="false" ht="12.75" hidden="true" customHeight="false" outlineLevel="0" collapsed="false">
      <c r="A79" s="120" t="n">
        <f aca="false">A78+1</f>
        <v>36965</v>
      </c>
      <c r="B79" s="131" t="str">
        <f aca="false">INDEX('Master Data'!$A$2:$B$8,MATCH(WEEKDAY('ARG Gas IM'!A79,3),'Master Data'!$A$2:$A$8,0),2)</f>
        <v>Th</v>
      </c>
      <c r="D79" s="124" t="n">
        <f aca="false">-1692/27.0963</f>
        <v>-62.4439499119806</v>
      </c>
      <c r="E79" s="124" t="n">
        <v>0</v>
      </c>
      <c r="F79" s="124" t="n">
        <v>0</v>
      </c>
      <c r="G79" s="124" t="n">
        <v>-966652.18</v>
      </c>
      <c r="I79" s="124" t="n">
        <f aca="false">IF(MONTH($A79)=MONTH($A78),IF(G79=0,I78,G79),G79)</f>
        <v>-966652.18</v>
      </c>
      <c r="J79" s="124" t="n">
        <f aca="false">IF(MONTH($A79)=MONTH($A78),SUM(I79-I78),I79)</f>
        <v>122.79999999993</v>
      </c>
      <c r="K79" s="124" t="n">
        <f aca="false">IF(WEEKDAY(A79,3)&gt;4,0,(IF(A79&lt;K$2,0,IF(A79&lt;=K$3,1,0))))</f>
        <v>0</v>
      </c>
      <c r="L79" s="124" t="n">
        <f aca="false">J79*K79</f>
        <v>0</v>
      </c>
      <c r="M79" s="124" t="n">
        <f aca="false">SUM(J$6:J79)</f>
        <v>-1056765.37</v>
      </c>
      <c r="N79" s="124" t="n">
        <f aca="false">SUM(J$6:J79)</f>
        <v>-1056765.37</v>
      </c>
      <c r="P79" s="124" t="n">
        <f aca="false">D79/P$3</f>
        <v>-6.24439499119806E-005</v>
      </c>
      <c r="Q79" s="124" t="n">
        <f aca="false">E79/P$3</f>
        <v>0</v>
      </c>
      <c r="R79" s="124" t="n">
        <f aca="false">F79/R$3</f>
        <v>0</v>
      </c>
      <c r="S79" s="126" t="n">
        <f aca="false">J79/$R$3</f>
        <v>0.12279999999993</v>
      </c>
      <c r="T79" s="126" t="n">
        <f aca="false">L79/$R$3</f>
        <v>0</v>
      </c>
      <c r="U79" s="126" t="n">
        <f aca="false">I79/$R$3</f>
        <v>-966.65218</v>
      </c>
      <c r="V79" s="126" t="n">
        <f aca="false">M79/$R$3</f>
        <v>-1056.76537</v>
      </c>
      <c r="W79" s="126" t="n">
        <f aca="false">N79/$R$3</f>
        <v>-1056.76537</v>
      </c>
    </row>
    <row r="80" customFormat="false" ht="12.75" hidden="true" customHeight="false" outlineLevel="0" collapsed="false">
      <c r="A80" s="120" t="n">
        <f aca="false">A79+1</f>
        <v>36966</v>
      </c>
      <c r="B80" s="131" t="str">
        <f aca="false">INDEX('Master Data'!$A$2:$B$8,MATCH(WEEKDAY('ARG Gas IM'!A80,3),'Master Data'!$A$2:$A$8,0),2)</f>
        <v>F</v>
      </c>
      <c r="D80" s="124" t="n">
        <f aca="false">-1692/27.0963</f>
        <v>-62.4439499119806</v>
      </c>
      <c r="E80" s="124" t="n">
        <v>0</v>
      </c>
      <c r="F80" s="124" t="n">
        <v>0</v>
      </c>
      <c r="G80" s="124" t="n">
        <v>-966704.32</v>
      </c>
      <c r="I80" s="124" t="n">
        <f aca="false">IF(MONTH($A80)=MONTH($A79),IF(G80=0,I79,G80),G80)</f>
        <v>-966704.32</v>
      </c>
      <c r="J80" s="124" t="n">
        <f aca="false">IF(MONTH($A80)=MONTH($A79),SUM(I80-I79),I80)</f>
        <v>-52.1399999998976</v>
      </c>
      <c r="K80" s="124" t="n">
        <f aca="false">IF(WEEKDAY(A80,3)&gt;4,0,(IF(A80&lt;K$2,0,IF(A80&lt;=K$3,1,0))))</f>
        <v>0</v>
      </c>
      <c r="L80" s="124" t="n">
        <f aca="false">J80*K80</f>
        <v>-0</v>
      </c>
      <c r="M80" s="124" t="n">
        <f aca="false">SUM(J$6:J80)</f>
        <v>-1056817.51</v>
      </c>
      <c r="N80" s="124" t="n">
        <f aca="false">SUM(J$6:J80)</f>
        <v>-1056817.51</v>
      </c>
      <c r="P80" s="124" t="n">
        <f aca="false">D80/P$3</f>
        <v>-6.24439499119806E-005</v>
      </c>
      <c r="Q80" s="124" t="n">
        <f aca="false">E80/P$3</f>
        <v>0</v>
      </c>
      <c r="R80" s="124" t="n">
        <f aca="false">F80/R$3</f>
        <v>0</v>
      </c>
      <c r="S80" s="126" t="n">
        <f aca="false">J80/$R$3</f>
        <v>-0.0521399999998976</v>
      </c>
      <c r="T80" s="126" t="n">
        <f aca="false">L80/$R$3</f>
        <v>-0</v>
      </c>
      <c r="U80" s="126" t="n">
        <f aca="false">I80/$R$3</f>
        <v>-966.70432</v>
      </c>
      <c r="V80" s="126" t="n">
        <f aca="false">M80/$R$3</f>
        <v>-1056.81751</v>
      </c>
      <c r="W80" s="126" t="n">
        <f aca="false">N80/$R$3</f>
        <v>-1056.81751</v>
      </c>
    </row>
    <row r="81" customFormat="false" ht="12.75" hidden="true" customHeight="false" outlineLevel="0" collapsed="false">
      <c r="A81" s="120" t="n">
        <f aca="false">A80+1</f>
        <v>36967</v>
      </c>
      <c r="B81" s="131" t="str">
        <f aca="false">INDEX('Master Data'!$A$2:$B$8,MATCH(WEEKDAY('ARG Gas IM'!A81,3),'Master Data'!$A$2:$A$8,0),2)</f>
        <v>Sa</v>
      </c>
      <c r="D81" s="124" t="n">
        <v>0</v>
      </c>
      <c r="E81" s="124" t="n">
        <v>0</v>
      </c>
      <c r="F81" s="124" t="n">
        <v>0</v>
      </c>
      <c r="G81" s="124" t="n">
        <v>0</v>
      </c>
      <c r="I81" s="124" t="n">
        <f aca="false">IF(MONTH($A81)=MONTH($A80),IF(G81=0,I80,G81),G81)</f>
        <v>-966704.32</v>
      </c>
      <c r="J81" s="124" t="n">
        <f aca="false">IF(MONTH($A81)=MONTH($A80),SUM(I81-I80),I81)</f>
        <v>0</v>
      </c>
      <c r="K81" s="124" t="n">
        <f aca="false">IF(WEEKDAY(A81,3)&gt;4,0,(IF(A81&lt;K$2,0,IF(A81&lt;=K$3,1,0))))</f>
        <v>0</v>
      </c>
      <c r="L81" s="124" t="n">
        <f aca="false">J81*K81</f>
        <v>0</v>
      </c>
      <c r="M81" s="124" t="n">
        <f aca="false">SUM(J$6:J81)</f>
        <v>-1056817.51</v>
      </c>
      <c r="N81" s="124" t="n">
        <f aca="false">SUM(J$6:J81)</f>
        <v>-1056817.51</v>
      </c>
      <c r="P81" s="124" t="n">
        <f aca="false">D81/P$3</f>
        <v>0</v>
      </c>
      <c r="Q81" s="124" t="n">
        <f aca="false">E81/P$3</f>
        <v>0</v>
      </c>
      <c r="R81" s="124" t="n">
        <f aca="false">F81/R$3</f>
        <v>0</v>
      </c>
      <c r="S81" s="126" t="n">
        <f aca="false">J81/$R$3</f>
        <v>0</v>
      </c>
      <c r="T81" s="126" t="n">
        <f aca="false">L81/$R$3</f>
        <v>0</v>
      </c>
      <c r="U81" s="126" t="n">
        <f aca="false">I81/$R$3</f>
        <v>-966.70432</v>
      </c>
      <c r="V81" s="126" t="n">
        <f aca="false">M81/$R$3</f>
        <v>-1056.81751</v>
      </c>
      <c r="W81" s="126" t="n">
        <f aca="false">N81/$R$3</f>
        <v>-1056.81751</v>
      </c>
    </row>
    <row r="82" customFormat="false" ht="12.75" hidden="true" customHeight="false" outlineLevel="0" collapsed="false">
      <c r="A82" s="120" t="n">
        <f aca="false">A81+1</f>
        <v>36968</v>
      </c>
      <c r="B82" s="131" t="str">
        <f aca="false">INDEX('Master Data'!$A$2:$B$8,MATCH(WEEKDAY('ARG Gas IM'!A82,3),'Master Data'!$A$2:$A$8,0),2)</f>
        <v>Su</v>
      </c>
      <c r="D82" s="124" t="n">
        <v>0</v>
      </c>
      <c r="E82" s="124" t="n">
        <v>0</v>
      </c>
      <c r="F82" s="124" t="n">
        <v>0</v>
      </c>
      <c r="G82" s="124" t="n">
        <v>0</v>
      </c>
      <c r="I82" s="124" t="n">
        <f aca="false">IF(MONTH($A82)=MONTH($A81),IF(G82=0,I81,G82),G82)</f>
        <v>-966704.32</v>
      </c>
      <c r="J82" s="124" t="n">
        <f aca="false">IF(MONTH($A82)=MONTH($A81),SUM(I82-I81),I82)</f>
        <v>0</v>
      </c>
      <c r="K82" s="124" t="n">
        <f aca="false">IF(WEEKDAY(A82,3)&gt;4,0,(IF(A82&lt;K$2,0,IF(A82&lt;=K$3,1,0))))</f>
        <v>0</v>
      </c>
      <c r="L82" s="124" t="n">
        <f aca="false">J82*K82</f>
        <v>0</v>
      </c>
      <c r="M82" s="124" t="n">
        <f aca="false">SUM(J$6:J82)</f>
        <v>-1056817.51</v>
      </c>
      <c r="N82" s="124" t="n">
        <f aca="false">SUM(J$6:J82)</f>
        <v>-1056817.51</v>
      </c>
      <c r="P82" s="124" t="n">
        <f aca="false">D82/P$3</f>
        <v>0</v>
      </c>
      <c r="Q82" s="124" t="n">
        <f aca="false">E82/P$3</f>
        <v>0</v>
      </c>
      <c r="R82" s="124" t="n">
        <f aca="false">F82/R$3</f>
        <v>0</v>
      </c>
      <c r="S82" s="126" t="n">
        <f aca="false">J82/$R$3</f>
        <v>0</v>
      </c>
      <c r="T82" s="126" t="n">
        <f aca="false">L82/$R$3</f>
        <v>0</v>
      </c>
      <c r="U82" s="126" t="n">
        <f aca="false">I82/$R$3</f>
        <v>-966.70432</v>
      </c>
      <c r="V82" s="126" t="n">
        <f aca="false">M82/$R$3</f>
        <v>-1056.81751</v>
      </c>
      <c r="W82" s="126" t="n">
        <f aca="false">N82/$R$3</f>
        <v>-1056.81751</v>
      </c>
    </row>
    <row r="83" customFormat="false" ht="12.75" hidden="true" customHeight="false" outlineLevel="0" collapsed="false">
      <c r="A83" s="120" t="n">
        <f aca="false">A82+1</f>
        <v>36969</v>
      </c>
      <c r="B83" s="131" t="str">
        <f aca="false">INDEX('Master Data'!$A$2:$B$8,MATCH(WEEKDAY('ARG Gas IM'!A83,3),'Master Data'!$A$2:$A$8,0),2)</f>
        <v>M</v>
      </c>
      <c r="D83" s="124" t="n">
        <f aca="false">-2307/27.0963</f>
        <v>-85.1407756778601</v>
      </c>
      <c r="E83" s="124" t="n">
        <v>0</v>
      </c>
      <c r="F83" s="124" t="n">
        <v>0</v>
      </c>
      <c r="G83" s="124" t="n">
        <v>-978127.05</v>
      </c>
      <c r="I83" s="124" t="n">
        <f aca="false">IF(MONTH($A83)=MONTH($A82),IF(G83=0,I82,G83),G83)</f>
        <v>-978127.05</v>
      </c>
      <c r="J83" s="124" t="n">
        <f aca="false">IF(MONTH($A83)=MONTH($A82),SUM(I83-I82),I83)</f>
        <v>-11422.7300000001</v>
      </c>
      <c r="K83" s="124" t="n">
        <f aca="false">IF(WEEKDAY(A83,3)&gt;4,0,(IF(A83&lt;K$2,0,IF(A83&lt;=K$3,1,0))))</f>
        <v>0</v>
      </c>
      <c r="L83" s="124" t="n">
        <f aca="false">J83*K83</f>
        <v>-0</v>
      </c>
      <c r="M83" s="124" t="n">
        <f aca="false">SUM(J$6:J83)</f>
        <v>-1068240.24</v>
      </c>
      <c r="N83" s="124" t="n">
        <f aca="false">SUM(J$6:J83)</f>
        <v>-1068240.24</v>
      </c>
      <c r="P83" s="124" t="n">
        <f aca="false">D83/P$3</f>
        <v>-8.51407756778601E-005</v>
      </c>
      <c r="Q83" s="124" t="n">
        <f aca="false">E83/P$3</f>
        <v>0</v>
      </c>
      <c r="R83" s="124" t="n">
        <f aca="false">F83/R$3</f>
        <v>0</v>
      </c>
      <c r="S83" s="126" t="n">
        <f aca="false">J83/$R$3</f>
        <v>-11.4227300000001</v>
      </c>
      <c r="T83" s="126" t="n">
        <f aca="false">L83/$R$3</f>
        <v>-0</v>
      </c>
      <c r="U83" s="126" t="n">
        <f aca="false">I83/$R$3</f>
        <v>-978.12705</v>
      </c>
      <c r="V83" s="126" t="n">
        <f aca="false">M83/$R$3</f>
        <v>-1068.24024</v>
      </c>
      <c r="W83" s="126" t="n">
        <f aca="false">N83/$R$3</f>
        <v>-1068.24024</v>
      </c>
    </row>
    <row r="84" customFormat="false" ht="12.75" hidden="true" customHeight="false" outlineLevel="0" collapsed="false">
      <c r="A84" s="120" t="n">
        <f aca="false">A83+1</f>
        <v>36970</v>
      </c>
      <c r="B84" s="131" t="str">
        <f aca="false">INDEX('Master Data'!$A$2:$B$8,MATCH(WEEKDAY('ARG Gas IM'!A84,3),'Master Data'!$A$2:$A$8,0),2)</f>
        <v>T</v>
      </c>
      <c r="D84" s="124" t="n">
        <f aca="false">1158/27.0963</f>
        <v>42.7364621738023</v>
      </c>
      <c r="E84" s="124" t="n">
        <v>0</v>
      </c>
      <c r="F84" s="124" t="n">
        <v>0</v>
      </c>
      <c r="G84" s="124" t="n">
        <v>-968151.14</v>
      </c>
      <c r="I84" s="124" t="n">
        <f aca="false">IF(MONTH($A84)=MONTH($A83),IF(G84=0,I83,G84),G84)</f>
        <v>-968151.14</v>
      </c>
      <c r="J84" s="124" t="n">
        <f aca="false">IF(MONTH($A84)=MONTH($A83),SUM(I84-I83),I84)</f>
        <v>9975.91000000003</v>
      </c>
      <c r="K84" s="124" t="n">
        <f aca="false">IF(WEEKDAY(A84,3)&gt;4,0,(IF(A84&lt;K$2,0,IF(A84&lt;=K$3,1,0))))</f>
        <v>0</v>
      </c>
      <c r="L84" s="124" t="n">
        <f aca="false">J84*K84</f>
        <v>0</v>
      </c>
      <c r="M84" s="124" t="n">
        <f aca="false">SUM(J$6:J84)</f>
        <v>-1058264.33</v>
      </c>
      <c r="N84" s="124" t="n">
        <f aca="false">SUM(J$6:J84)</f>
        <v>-1058264.33</v>
      </c>
      <c r="P84" s="124" t="n">
        <f aca="false">D84/P$3</f>
        <v>4.27364621738023E-005</v>
      </c>
      <c r="Q84" s="124" t="n">
        <f aca="false">E84/P$3</f>
        <v>0</v>
      </c>
      <c r="R84" s="124" t="n">
        <f aca="false">F84/R$3</f>
        <v>0</v>
      </c>
      <c r="S84" s="126" t="n">
        <f aca="false">J84/$R$3</f>
        <v>9.97591000000003</v>
      </c>
      <c r="T84" s="126" t="n">
        <f aca="false">L84/$R$3</f>
        <v>0</v>
      </c>
      <c r="U84" s="126" t="n">
        <f aca="false">I84/$R$3</f>
        <v>-968.15114</v>
      </c>
      <c r="V84" s="126" t="n">
        <f aca="false">M84/$R$3</f>
        <v>-1058.26433</v>
      </c>
      <c r="W84" s="126" t="n">
        <f aca="false">N84/$R$3</f>
        <v>-1058.26433</v>
      </c>
    </row>
    <row r="85" customFormat="false" ht="12.75" hidden="true" customHeight="false" outlineLevel="0" collapsed="false">
      <c r="A85" s="120" t="n">
        <f aca="false">A84+1</f>
        <v>36971</v>
      </c>
      <c r="B85" s="131" t="str">
        <f aca="false">INDEX('Master Data'!$A$2:$B$8,MATCH(WEEKDAY('ARG Gas IM'!A85,3),'Master Data'!$A$2:$A$8,0),2)</f>
        <v>W</v>
      </c>
      <c r="D85" s="124" t="n">
        <f aca="false">1382/27.0963</f>
        <v>51.0032735096674</v>
      </c>
      <c r="E85" s="124" t="n">
        <v>0</v>
      </c>
      <c r="F85" s="124" t="n">
        <v>0</v>
      </c>
      <c r="G85" s="124" t="n">
        <v>-968018.32</v>
      </c>
      <c r="I85" s="124" t="n">
        <f aca="false">IF(MONTH($A85)=MONTH($A84),IF(G85=0,I84,G85),G85)</f>
        <v>-968018.32</v>
      </c>
      <c r="J85" s="124" t="n">
        <f aca="false">IF(MONTH($A85)=MONTH($A84),SUM(I85-I84),I85)</f>
        <v>132.820000000065</v>
      </c>
      <c r="K85" s="124" t="n">
        <f aca="false">IF(WEEKDAY(A85,3)&gt;4,0,(IF(A85&lt;K$2,0,IF(A85&lt;=K$3,1,0))))</f>
        <v>0</v>
      </c>
      <c r="L85" s="124" t="n">
        <f aca="false">J85*K85</f>
        <v>0</v>
      </c>
      <c r="M85" s="124" t="n">
        <f aca="false">SUM(J$6:J85)</f>
        <v>-1058131.51</v>
      </c>
      <c r="N85" s="124" t="n">
        <f aca="false">SUM(J$6:J85)</f>
        <v>-1058131.51</v>
      </c>
      <c r="P85" s="124" t="n">
        <f aca="false">D85/P$3</f>
        <v>5.10032735096674E-005</v>
      </c>
      <c r="Q85" s="124" t="n">
        <f aca="false">E85/P$3</f>
        <v>0</v>
      </c>
      <c r="R85" s="124" t="n">
        <f aca="false">F85/R$3</f>
        <v>0</v>
      </c>
      <c r="S85" s="126" t="n">
        <f aca="false">J85/$R$3</f>
        <v>0.132820000000065</v>
      </c>
      <c r="T85" s="126" t="n">
        <f aca="false">L85/$R$3</f>
        <v>0</v>
      </c>
      <c r="U85" s="126" t="n">
        <f aca="false">I85/$R$3</f>
        <v>-968.01832</v>
      </c>
      <c r="V85" s="126" t="n">
        <f aca="false">M85/$R$3</f>
        <v>-1058.13151</v>
      </c>
      <c r="W85" s="126" t="n">
        <f aca="false">N85/$R$3</f>
        <v>-1058.13151</v>
      </c>
    </row>
    <row r="86" customFormat="false" ht="12.75" hidden="true" customHeight="false" outlineLevel="0" collapsed="false">
      <c r="A86" s="120" t="n">
        <f aca="false">A85+1</f>
        <v>36972</v>
      </c>
      <c r="B86" s="131" t="str">
        <f aca="false">INDEX('Master Data'!$A$2:$B$8,MATCH(WEEKDAY('ARG Gas IM'!A86,3),'Master Data'!$A$2:$A$8,0),2)</f>
        <v>Th</v>
      </c>
      <c r="D86" s="124" t="n">
        <f aca="false">1606/27.0963</f>
        <v>59.2700848455324</v>
      </c>
      <c r="E86" s="124" t="n">
        <v>0</v>
      </c>
      <c r="F86" s="124" t="n">
        <v>0</v>
      </c>
      <c r="G86" s="124" t="n">
        <v>-1679055.49</v>
      </c>
      <c r="I86" s="124" t="n">
        <f aca="false">IF(MONTH($A86)=MONTH($A85),IF(G86=0,I85,G86),G86)</f>
        <v>-1679055.49</v>
      </c>
      <c r="J86" s="124" t="n">
        <f aca="false">IF(MONTH($A86)=MONTH($A85),SUM(I86-I85),I86)</f>
        <v>-711037.17</v>
      </c>
      <c r="K86" s="124" t="n">
        <f aca="false">IF(WEEKDAY(A86,3)&gt;4,0,(IF(A86&lt;K$2,0,IF(A86&lt;=K$3,1,0))))</f>
        <v>0</v>
      </c>
      <c r="L86" s="124" t="n">
        <f aca="false">J86*K86</f>
        <v>-0</v>
      </c>
      <c r="M86" s="124" t="n">
        <f aca="false">SUM(J$6:J86)</f>
        <v>-1769168.68</v>
      </c>
      <c r="N86" s="124" t="n">
        <f aca="false">SUM(J$6:J86)</f>
        <v>-1769168.68</v>
      </c>
      <c r="P86" s="124" t="n">
        <f aca="false">D86/P$3</f>
        <v>5.92700848455324E-005</v>
      </c>
      <c r="Q86" s="124" t="n">
        <f aca="false">E86/P$3</f>
        <v>0</v>
      </c>
      <c r="R86" s="124" t="n">
        <f aca="false">F86/R$3</f>
        <v>0</v>
      </c>
      <c r="S86" s="126" t="n">
        <f aca="false">J86/$R$3</f>
        <v>-711.03717</v>
      </c>
      <c r="T86" s="126" t="n">
        <f aca="false">L86/$R$3</f>
        <v>-0</v>
      </c>
      <c r="U86" s="126" t="n">
        <f aca="false">I86/$R$3</f>
        <v>-1679.05549</v>
      </c>
      <c r="V86" s="126" t="n">
        <f aca="false">M86/$R$3</f>
        <v>-1769.16868</v>
      </c>
      <c r="W86" s="126" t="n">
        <f aca="false">N86/$R$3</f>
        <v>-1769.16868</v>
      </c>
    </row>
    <row r="87" customFormat="false" ht="12.75" hidden="true" customHeight="false" outlineLevel="0" collapsed="false">
      <c r="A87" s="120" t="n">
        <f aca="false">A86+1</f>
        <v>36973</v>
      </c>
      <c r="B87" s="131" t="str">
        <f aca="false">INDEX('Master Data'!$A$2:$B$8,MATCH(WEEKDAY('ARG Gas IM'!A87,3),'Master Data'!$A$2:$A$8,0),2)</f>
        <v>F</v>
      </c>
      <c r="D87" s="124" t="n">
        <f aca="false">1830/27.0963</f>
        <v>67.5368961813975</v>
      </c>
      <c r="E87" s="124" t="n">
        <v>0</v>
      </c>
      <c r="F87" s="124" t="n">
        <v>0</v>
      </c>
      <c r="G87" s="124" t="n">
        <v>-1678924.66</v>
      </c>
      <c r="I87" s="124" t="n">
        <f aca="false">IF(MONTH($A87)=MONTH($A86),IF(G87=0,I86,G87),G87)</f>
        <v>-1678924.66</v>
      </c>
      <c r="J87" s="124" t="n">
        <f aca="false">IF(MONTH($A87)=MONTH($A86),SUM(I87-I86),I87)</f>
        <v>130.830000000075</v>
      </c>
      <c r="K87" s="124" t="n">
        <f aca="false">IF(WEEKDAY(A87,3)&gt;4,0,(IF(A87&lt;K$2,0,IF(A87&lt;=K$3,1,0))))</f>
        <v>0</v>
      </c>
      <c r="L87" s="124" t="n">
        <f aca="false">J87*K87</f>
        <v>0</v>
      </c>
      <c r="M87" s="124" t="n">
        <f aca="false">SUM(J$6:J87)</f>
        <v>-1769037.85</v>
      </c>
      <c r="N87" s="124" t="n">
        <f aca="false">SUM(J$6:J87)</f>
        <v>-1769037.85</v>
      </c>
      <c r="P87" s="124" t="n">
        <f aca="false">D87/P$3</f>
        <v>6.75368961813975E-005</v>
      </c>
      <c r="Q87" s="124" t="n">
        <f aca="false">E87/P$3</f>
        <v>0</v>
      </c>
      <c r="R87" s="124" t="n">
        <f aca="false">F87/R$3</f>
        <v>0</v>
      </c>
      <c r="S87" s="126" t="n">
        <f aca="false">J87/$R$3</f>
        <v>0.130830000000075</v>
      </c>
      <c r="T87" s="126" t="n">
        <f aca="false">L87/$R$3</f>
        <v>0</v>
      </c>
      <c r="U87" s="126" t="n">
        <f aca="false">I87/$R$3</f>
        <v>-1678.92466</v>
      </c>
      <c r="V87" s="126" t="n">
        <f aca="false">M87/$R$3</f>
        <v>-1769.03785</v>
      </c>
      <c r="W87" s="126" t="n">
        <f aca="false">N87/$R$3</f>
        <v>-1769.03785</v>
      </c>
    </row>
    <row r="88" customFormat="false" ht="12.75" hidden="true" customHeight="false" outlineLevel="0" collapsed="false">
      <c r="A88" s="120" t="n">
        <f aca="false">A87+1</f>
        <v>36974</v>
      </c>
      <c r="B88" s="131" t="str">
        <f aca="false">INDEX('Master Data'!$A$2:$B$8,MATCH(WEEKDAY('ARG Gas IM'!A88,3),'Master Data'!$A$2:$A$8,0),2)</f>
        <v>Sa</v>
      </c>
      <c r="D88" s="124" t="n">
        <v>0</v>
      </c>
      <c r="E88" s="124" t="n">
        <v>0</v>
      </c>
      <c r="F88" s="124" t="n">
        <v>0</v>
      </c>
      <c r="G88" s="124" t="n">
        <v>0</v>
      </c>
      <c r="I88" s="124" t="n">
        <f aca="false">IF(MONTH($A88)=MONTH($A87),IF(G88=0,I87,G88),G88)</f>
        <v>-1678924.66</v>
      </c>
      <c r="J88" s="124" t="n">
        <f aca="false">IF(MONTH($A88)=MONTH($A87),SUM(I88-I87),I88)</f>
        <v>0</v>
      </c>
      <c r="K88" s="124" t="n">
        <f aca="false">IF(WEEKDAY(A88,3)&gt;4,0,(IF(A88&lt;K$2,0,IF(A88&lt;=K$3,1,0))))</f>
        <v>0</v>
      </c>
      <c r="L88" s="124" t="n">
        <f aca="false">J88*K88</f>
        <v>0</v>
      </c>
      <c r="M88" s="124" t="n">
        <f aca="false">SUM(J$6:J88)</f>
        <v>-1769037.85</v>
      </c>
      <c r="N88" s="124" t="n">
        <f aca="false">SUM(J$6:J88)</f>
        <v>-1769037.85</v>
      </c>
      <c r="P88" s="124" t="n">
        <f aca="false">D88/P$3</f>
        <v>0</v>
      </c>
      <c r="Q88" s="124" t="n">
        <f aca="false">E88/P$3</f>
        <v>0</v>
      </c>
      <c r="R88" s="124" t="n">
        <f aca="false">F88/R$3</f>
        <v>0</v>
      </c>
      <c r="S88" s="126" t="n">
        <f aca="false">J88/$R$3</f>
        <v>0</v>
      </c>
      <c r="T88" s="126" t="n">
        <f aca="false">L88/$R$3</f>
        <v>0</v>
      </c>
      <c r="U88" s="126" t="n">
        <f aca="false">I88/$R$3</f>
        <v>-1678.92466</v>
      </c>
      <c r="V88" s="126" t="n">
        <f aca="false">M88/$R$3</f>
        <v>-1769.03785</v>
      </c>
      <c r="W88" s="126" t="n">
        <f aca="false">N88/$R$3</f>
        <v>-1769.03785</v>
      </c>
    </row>
    <row r="89" customFormat="false" ht="12.75" hidden="true" customHeight="false" outlineLevel="0" collapsed="false">
      <c r="A89" s="120" t="n">
        <f aca="false">A88+1</f>
        <v>36975</v>
      </c>
      <c r="B89" s="131" t="str">
        <f aca="false">INDEX('Master Data'!$A$2:$B$8,MATCH(WEEKDAY('ARG Gas IM'!A89,3),'Master Data'!$A$2:$A$8,0),2)</f>
        <v>Su</v>
      </c>
      <c r="D89" s="124" t="n">
        <v>0</v>
      </c>
      <c r="E89" s="124" t="n">
        <v>0</v>
      </c>
      <c r="F89" s="124" t="n">
        <v>0</v>
      </c>
      <c r="G89" s="124" t="n">
        <v>0</v>
      </c>
      <c r="I89" s="124" t="n">
        <f aca="false">IF(MONTH($A89)=MONTH($A88),IF(G89=0,I88,G89),G89)</f>
        <v>-1678924.66</v>
      </c>
      <c r="J89" s="124" t="n">
        <f aca="false">IF(MONTH($A89)=MONTH($A88),SUM(I89-I88),I89)</f>
        <v>0</v>
      </c>
      <c r="K89" s="124" t="n">
        <f aca="false">IF(WEEKDAY(A89,3)&gt;4,0,(IF(A89&lt;K$2,0,IF(A89&lt;=K$3,1,0))))</f>
        <v>0</v>
      </c>
      <c r="L89" s="124" t="n">
        <f aca="false">J89*K89</f>
        <v>0</v>
      </c>
      <c r="M89" s="124" t="n">
        <f aca="false">SUM(J$6:J89)</f>
        <v>-1769037.85</v>
      </c>
      <c r="N89" s="124" t="n">
        <f aca="false">SUM(J$6:J89)</f>
        <v>-1769037.85</v>
      </c>
      <c r="P89" s="124" t="n">
        <f aca="false">D89/P$3</f>
        <v>0</v>
      </c>
      <c r="Q89" s="124" t="n">
        <f aca="false">E89/P$3</f>
        <v>0</v>
      </c>
      <c r="R89" s="124" t="n">
        <f aca="false">F89/R$3</f>
        <v>0</v>
      </c>
      <c r="S89" s="126" t="n">
        <f aca="false">J89/$R$3</f>
        <v>0</v>
      </c>
      <c r="T89" s="126" t="n">
        <f aca="false">L89/$R$3</f>
        <v>0</v>
      </c>
      <c r="U89" s="126" t="n">
        <f aca="false">I89/$R$3</f>
        <v>-1678.92466</v>
      </c>
      <c r="V89" s="126" t="n">
        <f aca="false">M89/$R$3</f>
        <v>-1769.03785</v>
      </c>
      <c r="W89" s="126" t="n">
        <f aca="false">N89/$R$3</f>
        <v>-1769.03785</v>
      </c>
    </row>
    <row r="90" customFormat="false" ht="12.75" hidden="true" customHeight="false" outlineLevel="0" collapsed="false">
      <c r="A90" s="120" t="n">
        <f aca="false">A89+1</f>
        <v>36976</v>
      </c>
      <c r="B90" s="131" t="str">
        <f aca="false">INDEX('Master Data'!$A$2:$B$8,MATCH(WEEKDAY('ARG Gas IM'!A90,3),'Master Data'!$A$2:$A$8,0),2)</f>
        <v>M</v>
      </c>
      <c r="D90" s="124" t="n">
        <f aca="false">2186/27.0963</f>
        <v>80.675221340183</v>
      </c>
      <c r="E90" s="124" t="n">
        <v>0</v>
      </c>
      <c r="F90" s="124" t="n">
        <v>0</v>
      </c>
      <c r="G90" s="124" t="n">
        <v>-1678795.98</v>
      </c>
      <c r="I90" s="124" t="n">
        <f aca="false">IF(MONTH($A90)=MONTH($A89),IF(G90=0,I89,G90),G90)</f>
        <v>-1678795.98</v>
      </c>
      <c r="J90" s="124" t="n">
        <f aca="false">IF(MONTH($A90)=MONTH($A89),SUM(I90-I89),I90)</f>
        <v>128.679999999935</v>
      </c>
      <c r="K90" s="124" t="n">
        <f aca="false">IF(WEEKDAY(A90,3)&gt;4,0,(IF(A90&lt;K$2,0,IF(A90&lt;=K$3,1,0))))</f>
        <v>0</v>
      </c>
      <c r="L90" s="124" t="n">
        <f aca="false">J90*K90</f>
        <v>0</v>
      </c>
      <c r="M90" s="124" t="n">
        <f aca="false">SUM(J$6:J90)</f>
        <v>-1768909.17</v>
      </c>
      <c r="N90" s="124" t="n">
        <f aca="false">SUM(J$6:J90)</f>
        <v>-1768909.17</v>
      </c>
      <c r="P90" s="124" t="n">
        <f aca="false">D90/P$3</f>
        <v>8.0675221340183E-005</v>
      </c>
      <c r="Q90" s="124" t="n">
        <f aca="false">E90/P$3</f>
        <v>0</v>
      </c>
      <c r="R90" s="124" t="n">
        <f aca="false">F90/R$3</f>
        <v>0</v>
      </c>
      <c r="S90" s="126" t="n">
        <f aca="false">J90/$R$3</f>
        <v>0.128679999999935</v>
      </c>
      <c r="T90" s="126" t="n">
        <f aca="false">L90/$R$3</f>
        <v>0</v>
      </c>
      <c r="U90" s="126" t="n">
        <f aca="false">I90/$R$3</f>
        <v>-1678.79598</v>
      </c>
      <c r="V90" s="126" t="n">
        <f aca="false">M90/$R$3</f>
        <v>-1768.90917</v>
      </c>
      <c r="W90" s="126" t="n">
        <f aca="false">N90/$R$3</f>
        <v>-1768.90917</v>
      </c>
    </row>
    <row r="91" customFormat="false" ht="12.75" hidden="true" customHeight="false" outlineLevel="0" collapsed="false">
      <c r="A91" s="120" t="n">
        <f aca="false">A90+1</f>
        <v>36977</v>
      </c>
      <c r="B91" s="131" t="str">
        <f aca="false">INDEX('Master Data'!$A$2:$B$8,MATCH(WEEKDAY('ARG Gas IM'!A91,3),'Master Data'!$A$2:$A$8,0),2)</f>
        <v>T</v>
      </c>
      <c r="D91" s="124" t="n">
        <f aca="false">636/27.0963</f>
        <v>23.4718393286168</v>
      </c>
      <c r="E91" s="124" t="n">
        <v>0</v>
      </c>
      <c r="F91" s="124" t="n">
        <v>0</v>
      </c>
      <c r="G91" s="124" t="n">
        <v>-1682970.65</v>
      </c>
      <c r="I91" s="124" t="n">
        <f aca="false">IF(MONTH($A91)=MONTH($A90),IF(G91=0,I90,G91),G91)</f>
        <v>-1682970.65</v>
      </c>
      <c r="J91" s="124" t="n">
        <f aca="false">IF(MONTH($A91)=MONTH($A90),SUM(I91-I90),I91)</f>
        <v>-4174.66999999993</v>
      </c>
      <c r="K91" s="124" t="n">
        <f aca="false">IF(WEEKDAY(A91,3)&gt;4,0,(IF(A91&lt;K$2,0,IF(A91&lt;=K$3,1,0))))</f>
        <v>0</v>
      </c>
      <c r="L91" s="124" t="n">
        <f aca="false">J91*K91</f>
        <v>-0</v>
      </c>
      <c r="M91" s="124" t="n">
        <f aca="false">SUM(J$6:J91)</f>
        <v>-1773083.84</v>
      </c>
      <c r="N91" s="124" t="n">
        <f aca="false">SUM(J$6:J91)</f>
        <v>-1773083.84</v>
      </c>
      <c r="P91" s="124" t="n">
        <f aca="false">D91/P$3</f>
        <v>2.34718393286168E-005</v>
      </c>
      <c r="Q91" s="124" t="n">
        <f aca="false">E91/P$3</f>
        <v>0</v>
      </c>
      <c r="R91" s="124" t="n">
        <f aca="false">F91/R$3</f>
        <v>0</v>
      </c>
      <c r="S91" s="126" t="n">
        <f aca="false">J91/$R$3</f>
        <v>-4.17466999999993</v>
      </c>
      <c r="T91" s="126" t="n">
        <f aca="false">L91/$R$3</f>
        <v>-0</v>
      </c>
      <c r="U91" s="126" t="n">
        <f aca="false">I91/$R$3</f>
        <v>-1682.97065</v>
      </c>
      <c r="V91" s="126" t="n">
        <f aca="false">M91/$R$3</f>
        <v>-1773.08384</v>
      </c>
      <c r="W91" s="126" t="n">
        <f aca="false">N91/$R$3</f>
        <v>-1773.08384</v>
      </c>
    </row>
    <row r="92" customFormat="false" ht="12.75" hidden="true" customHeight="false" outlineLevel="0" collapsed="false">
      <c r="A92" s="120" t="n">
        <f aca="false">A91+1</f>
        <v>36978</v>
      </c>
      <c r="B92" s="131" t="str">
        <f aca="false">INDEX('Master Data'!$A$2:$B$8,MATCH(WEEKDAY('ARG Gas IM'!A92,3),'Master Data'!$A$2:$A$8,0),2)</f>
        <v>W</v>
      </c>
      <c r="D92" s="124" t="n">
        <f aca="false">860/27.0963</f>
        <v>31.7386506644819</v>
      </c>
      <c r="E92" s="124" t="n">
        <v>0</v>
      </c>
      <c r="F92" s="124" t="n">
        <v>0</v>
      </c>
      <c r="G92" s="124" t="n">
        <v>-288951.31</v>
      </c>
      <c r="I92" s="124" t="n">
        <f aca="false">IF(MONTH($A92)=MONTH($A91),IF(G92=0,I91,G92),G92)</f>
        <v>-288951.31</v>
      </c>
      <c r="J92" s="124" t="n">
        <f aca="false">IF(MONTH($A92)=MONTH($A91),SUM(I92-I91),I92)</f>
        <v>1394019.34</v>
      </c>
      <c r="K92" s="124" t="n">
        <f aca="false">IF(WEEKDAY(A92,3)&gt;4,0,(IF(A92&lt;K$2,0,IF(A92&lt;=K$3,1,0))))</f>
        <v>0</v>
      </c>
      <c r="L92" s="124" t="n">
        <f aca="false">J92*K92</f>
        <v>0</v>
      </c>
      <c r="M92" s="124" t="n">
        <f aca="false">SUM(J$6:J92)</f>
        <v>-379064.5</v>
      </c>
      <c r="N92" s="124" t="n">
        <f aca="false">SUM(J$6:J92)</f>
        <v>-379064.5</v>
      </c>
      <c r="P92" s="124" t="n">
        <f aca="false">D92/P$3</f>
        <v>3.17386506644819E-005</v>
      </c>
      <c r="Q92" s="124" t="n">
        <f aca="false">E92/P$3</f>
        <v>0</v>
      </c>
      <c r="R92" s="124" t="n">
        <f aca="false">F92/R$3</f>
        <v>0</v>
      </c>
      <c r="S92" s="126" t="n">
        <f aca="false">J92/$R$3</f>
        <v>1394.01934</v>
      </c>
      <c r="T92" s="126" t="n">
        <f aca="false">L92/$R$3</f>
        <v>0</v>
      </c>
      <c r="U92" s="126" t="n">
        <f aca="false">I92/$R$3</f>
        <v>-288.95131</v>
      </c>
      <c r="V92" s="126" t="n">
        <f aca="false">M92/$R$3</f>
        <v>-379.0645</v>
      </c>
      <c r="W92" s="126" t="n">
        <f aca="false">N92/$R$3</f>
        <v>-379.0645</v>
      </c>
    </row>
    <row r="93" customFormat="false" ht="12.75" hidden="true" customHeight="false" outlineLevel="0" collapsed="false">
      <c r="A93" s="120" t="n">
        <f aca="false">A92+1</f>
        <v>36979</v>
      </c>
      <c r="B93" s="131" t="str">
        <f aca="false">INDEX('Master Data'!$A$2:$B$8,MATCH(WEEKDAY('ARG Gas IM'!A93,3),'Master Data'!$A$2:$A$8,0),2)</f>
        <v>Th</v>
      </c>
      <c r="D93" s="124" t="n">
        <f aca="false">1084/27.0963</f>
        <v>40.0054620003469</v>
      </c>
      <c r="E93" s="124" t="n">
        <v>0</v>
      </c>
      <c r="F93" s="124" t="n">
        <v>0</v>
      </c>
      <c r="G93" s="124" t="n">
        <v>-288817.92</v>
      </c>
      <c r="I93" s="124" t="n">
        <f aca="false">IF(MONTH($A93)=MONTH($A92),IF(G93=0,I92,G93),G93)</f>
        <v>-288817.92</v>
      </c>
      <c r="J93" s="124" t="n">
        <f aca="false">IF(MONTH($A93)=MONTH($A92),SUM(I93-I92),I93)</f>
        <v>133.390000000014</v>
      </c>
      <c r="K93" s="124" t="n">
        <f aca="false">IF(WEEKDAY(A93,3)&gt;4,0,(IF(A93&lt;K$2,0,IF(A93&lt;=K$3,1,0))))</f>
        <v>0</v>
      </c>
      <c r="L93" s="124" t="n">
        <f aca="false">J93*K93</f>
        <v>0</v>
      </c>
      <c r="M93" s="124" t="n">
        <f aca="false">SUM(J$6:J93)</f>
        <v>-378931.11</v>
      </c>
      <c r="N93" s="124" t="n">
        <f aca="false">SUM(J$6:J93)</f>
        <v>-378931.11</v>
      </c>
      <c r="P93" s="124" t="n">
        <f aca="false">D93/P$3</f>
        <v>4.00054620003469E-005</v>
      </c>
      <c r="Q93" s="124" t="n">
        <f aca="false">E93/P$3</f>
        <v>0</v>
      </c>
      <c r="R93" s="124" t="n">
        <f aca="false">F93/R$3</f>
        <v>0</v>
      </c>
      <c r="S93" s="126" t="n">
        <f aca="false">J93/$R$3</f>
        <v>0.133390000000014</v>
      </c>
      <c r="T93" s="126" t="n">
        <f aca="false">L93/$R$3</f>
        <v>0</v>
      </c>
      <c r="U93" s="126" t="n">
        <f aca="false">I93/$R$3</f>
        <v>-288.81792</v>
      </c>
      <c r="V93" s="126" t="n">
        <f aca="false">M93/$R$3</f>
        <v>-378.93111</v>
      </c>
      <c r="W93" s="126" t="n">
        <f aca="false">N93/$R$3</f>
        <v>-378.93111</v>
      </c>
    </row>
    <row r="94" customFormat="false" ht="11.25" hidden="false" customHeight="true" outlineLevel="0" collapsed="false">
      <c r="A94" s="120" t="n">
        <f aca="false">A93+1</f>
        <v>36980</v>
      </c>
      <c r="B94" s="131" t="str">
        <f aca="false">INDEX('Master Data'!$A$2:$B$8,MATCH(WEEKDAY('ARG Gas IM'!A94,3),'Master Data'!$A$2:$A$8,0),2)</f>
        <v>F</v>
      </c>
      <c r="D94" s="124" t="n">
        <f aca="false">478/27.0963</f>
        <v>17.640784904212</v>
      </c>
      <c r="E94" s="124" t="n">
        <v>0</v>
      </c>
      <c r="F94" s="124" t="n">
        <v>0</v>
      </c>
      <c r="G94" s="124" t="n">
        <f aca="false">-280287.64+256232</f>
        <v>-24055.64</v>
      </c>
      <c r="I94" s="124" t="n">
        <f aca="false">IF(MONTH($A94)=MONTH($A93),IF(G94=0,I93,G94),G94)</f>
        <v>-24055.64</v>
      </c>
      <c r="J94" s="124" t="n">
        <f aca="false">IF(MONTH($A94)=MONTH($A93),SUM(I94-I93),I94)</f>
        <v>264762.28</v>
      </c>
      <c r="K94" s="124" t="n">
        <f aca="false">IF(WEEKDAY(A94,3)&gt;4,0,(IF(A94&lt;K$2,0,IF(A94&lt;=K$3,1,0))))</f>
        <v>0</v>
      </c>
      <c r="L94" s="124" t="n">
        <f aca="false">J94*K94</f>
        <v>0</v>
      </c>
      <c r="M94" s="124" t="n">
        <f aca="false">SUM(J$6:J94)</f>
        <v>-114168.83</v>
      </c>
      <c r="N94" s="124" t="n">
        <f aca="false">SUM(J$6:J94)</f>
        <v>-114168.83</v>
      </c>
      <c r="P94" s="124" t="n">
        <f aca="false">D94/P$3</f>
        <v>1.7640784904212E-005</v>
      </c>
      <c r="Q94" s="124" t="n">
        <f aca="false">E94/P$3</f>
        <v>0</v>
      </c>
      <c r="R94" s="124" t="n">
        <f aca="false">F94/R$3</f>
        <v>0</v>
      </c>
      <c r="S94" s="126" t="n">
        <f aca="false">J94/$R$3</f>
        <v>264.76228</v>
      </c>
      <c r="T94" s="126" t="n">
        <f aca="false">L94/$R$3</f>
        <v>0</v>
      </c>
      <c r="U94" s="126" t="n">
        <f aca="false">I94/$R$3</f>
        <v>-24.05564</v>
      </c>
      <c r="V94" s="126" t="n">
        <f aca="false">M94/$R$3</f>
        <v>-114.16883</v>
      </c>
      <c r="W94" s="126" t="n">
        <f aca="false">N94/$R$3</f>
        <v>-114.16883</v>
      </c>
    </row>
    <row r="95" customFormat="false" ht="12.75" hidden="false" customHeight="false" outlineLevel="0" collapsed="false">
      <c r="A95" s="120" t="n">
        <f aca="false">A94+1</f>
        <v>36981</v>
      </c>
      <c r="B95" s="131" t="str">
        <f aca="false">INDEX('Master Data'!$A$2:$B$8,MATCH(WEEKDAY('ARG Gas IM'!A95,3),'Master Data'!$A$2:$A$8,0),2)</f>
        <v>Sa</v>
      </c>
      <c r="D95" s="124" t="n">
        <v>0</v>
      </c>
      <c r="E95" s="124" t="n">
        <v>0</v>
      </c>
      <c r="F95" s="124" t="n">
        <v>0</v>
      </c>
      <c r="G95" s="124" t="n">
        <v>0</v>
      </c>
      <c r="I95" s="124" t="n">
        <f aca="false">IF(MONTH($A95)=MONTH($A94),IF(G95=0,I94,G95),G95)</f>
        <v>-24055.64</v>
      </c>
      <c r="J95" s="124" t="n">
        <f aca="false">IF(MONTH($A95)=MONTH($A94),SUM(I95-I94),I95)</f>
        <v>0</v>
      </c>
      <c r="K95" s="124" t="n">
        <f aca="false">IF(WEEKDAY(A95,3)&gt;4,0,(IF(A95&lt;K$2,0,IF(A95&lt;=K$3,1,0))))</f>
        <v>0</v>
      </c>
      <c r="L95" s="124" t="n">
        <f aca="false">J95*K95</f>
        <v>0</v>
      </c>
      <c r="M95" s="124" t="n">
        <f aca="false">SUM(J$6:J95)</f>
        <v>-114168.83</v>
      </c>
      <c r="N95" s="124" t="n">
        <f aca="false">SUM(J$6:J95)</f>
        <v>-114168.83</v>
      </c>
      <c r="P95" s="124" t="n">
        <f aca="false">D95/P$3</f>
        <v>0</v>
      </c>
      <c r="Q95" s="124" t="n">
        <f aca="false">E95/P$3</f>
        <v>0</v>
      </c>
      <c r="R95" s="124" t="n">
        <f aca="false">F95/R$3</f>
        <v>0</v>
      </c>
      <c r="S95" s="126" t="n">
        <f aca="false">J95/$R$3</f>
        <v>0</v>
      </c>
      <c r="T95" s="126" t="n">
        <f aca="false">L95/$R$3</f>
        <v>0</v>
      </c>
      <c r="U95" s="126" t="n">
        <f aca="false">I95/$R$3</f>
        <v>-24.05564</v>
      </c>
      <c r="V95" s="126" t="n">
        <f aca="false">M95/$R$3</f>
        <v>-114.16883</v>
      </c>
      <c r="W95" s="126" t="n">
        <f aca="false">N95/$R$3</f>
        <v>-114.16883</v>
      </c>
    </row>
    <row r="96" customFormat="false" ht="13.5" hidden="true" customHeight="true" outlineLevel="0" collapsed="false">
      <c r="A96" s="120" t="n">
        <f aca="false">A95+1</f>
        <v>36982</v>
      </c>
      <c r="B96" s="131" t="str">
        <f aca="false">INDEX('Master Data'!$A$2:$B$8,MATCH(WEEKDAY('ARG Gas IM'!A96,3),'Master Data'!$A$2:$A$8,0),2)</f>
        <v>Su</v>
      </c>
      <c r="D96" s="124" t="n">
        <v>0</v>
      </c>
      <c r="E96" s="124" t="n">
        <v>0</v>
      </c>
      <c r="F96" s="124" t="n">
        <v>0</v>
      </c>
      <c r="G96" s="124" t="n">
        <v>0</v>
      </c>
      <c r="I96" s="124" t="n">
        <f aca="false">IF(MONTH($A96)=MONTH($A95),IF(G96=0,I95,G96),G96)</f>
        <v>0</v>
      </c>
      <c r="J96" s="124" t="n">
        <f aca="false">IF(MONTH($A96)=MONTH($A95),SUM(I96-I95),I96)</f>
        <v>0</v>
      </c>
      <c r="K96" s="124" t="n">
        <f aca="false">IF(WEEKDAY(A96,3)&gt;4,0,(IF(A96&lt;K$2,0,IF(A96&lt;=K$3,1,0))))</f>
        <v>0</v>
      </c>
      <c r="L96" s="124" t="n">
        <f aca="false">J96*K96</f>
        <v>0</v>
      </c>
      <c r="M96" s="124" t="n">
        <f aca="false">SUM(J$6:J96)</f>
        <v>-114168.83</v>
      </c>
      <c r="N96" s="124" t="n">
        <f aca="false">SUM(J$6:J96)</f>
        <v>-114168.83</v>
      </c>
      <c r="P96" s="124" t="n">
        <f aca="false">D96/P$3</f>
        <v>0</v>
      </c>
      <c r="Q96" s="124" t="n">
        <f aca="false">E96/P$3</f>
        <v>0</v>
      </c>
      <c r="R96" s="124" t="n">
        <f aca="false">F96/R$3</f>
        <v>0</v>
      </c>
      <c r="S96" s="126" t="n">
        <f aca="false">J96/$R$3</f>
        <v>0</v>
      </c>
      <c r="T96" s="126" t="n">
        <f aca="false">L96/$R$3</f>
        <v>0</v>
      </c>
      <c r="U96" s="126" t="n">
        <f aca="false">I96/$R$3</f>
        <v>0</v>
      </c>
      <c r="V96" s="126" t="n">
        <f aca="false">M96/$R$3</f>
        <v>-114.16883</v>
      </c>
      <c r="W96" s="126" t="n">
        <f aca="false">N96/$R$3</f>
        <v>-114.16883</v>
      </c>
    </row>
    <row r="97" customFormat="false" ht="13.5" hidden="true" customHeight="true" outlineLevel="0" collapsed="false">
      <c r="A97" s="120" t="n">
        <f aca="false">A96+1</f>
        <v>36983</v>
      </c>
      <c r="B97" s="131" t="str">
        <f aca="false">INDEX('Master Data'!$A$2:$B$8,MATCH(WEEKDAY('ARG Gas IM'!A97,3),'Master Data'!$A$2:$A$8,0),2)</f>
        <v>M</v>
      </c>
      <c r="D97" s="124" t="n">
        <f aca="false">0/27.0963</f>
        <v>0</v>
      </c>
      <c r="E97" s="124" t="n">
        <v>0</v>
      </c>
      <c r="F97" s="124" t="n">
        <v>0</v>
      </c>
      <c r="G97" s="124" t="n">
        <v>-282778.3</v>
      </c>
      <c r="I97" s="124" t="n">
        <f aca="false">IF(MONTH($A97)=MONTH($A96),IF(G97=0,I96,G97),G97)</f>
        <v>-282778.3</v>
      </c>
      <c r="J97" s="124" t="n">
        <f aca="false">IF(MONTH($A97)=MONTH($A96),SUM(I97-I96),I97)</f>
        <v>-282778.3</v>
      </c>
      <c r="K97" s="124" t="n">
        <f aca="false">IF(WEEKDAY(A97,3)&gt;4,0,(IF(A97&lt;K$2,0,IF(A97&lt;=K$3,1,0))))</f>
        <v>0</v>
      </c>
      <c r="L97" s="124" t="n">
        <f aca="false">J97*K97</f>
        <v>-0</v>
      </c>
      <c r="M97" s="124" t="n">
        <f aca="false">SUM(J$97:J97)</f>
        <v>-282778.3</v>
      </c>
      <c r="N97" s="124" t="n">
        <f aca="false">SUM(J$6:J97)</f>
        <v>-396947.13</v>
      </c>
      <c r="P97" s="124" t="n">
        <f aca="false">D97/P$3</f>
        <v>0</v>
      </c>
      <c r="Q97" s="124" t="n">
        <f aca="false">E97/P$3</f>
        <v>0</v>
      </c>
      <c r="R97" s="124" t="n">
        <f aca="false">F97/R$3</f>
        <v>0</v>
      </c>
      <c r="S97" s="126" t="n">
        <f aca="false">J97/$R$3</f>
        <v>-282.7783</v>
      </c>
      <c r="T97" s="126" t="n">
        <f aca="false">L97/$R$3</f>
        <v>-0</v>
      </c>
      <c r="U97" s="126" t="n">
        <f aca="false">I97/$R$3</f>
        <v>-282.7783</v>
      </c>
      <c r="V97" s="126" t="n">
        <f aca="false">M97/$R$3</f>
        <v>-282.7783</v>
      </c>
      <c r="W97" s="126" t="n">
        <f aca="false">N97/$R$3</f>
        <v>-396.94713</v>
      </c>
    </row>
    <row r="98" customFormat="false" ht="13.5" hidden="true" customHeight="true" outlineLevel="0" collapsed="false">
      <c r="A98" s="120" t="n">
        <f aca="false">A97+1</f>
        <v>36984</v>
      </c>
      <c r="B98" s="131" t="str">
        <f aca="false">INDEX('Master Data'!$A$2:$B$8,MATCH(WEEKDAY('ARG Gas IM'!A98,3),'Master Data'!$A$2:$A$8,0),2)</f>
        <v>T</v>
      </c>
      <c r="D98" s="124" t="n">
        <f aca="false">-58959/27.0963</f>
        <v>-2175.90593549673</v>
      </c>
      <c r="E98" s="124" t="n">
        <v>0</v>
      </c>
      <c r="F98" s="124" t="n">
        <v>0</v>
      </c>
      <c r="G98" s="124" t="n">
        <v>-194455.4</v>
      </c>
      <c r="I98" s="124" t="n">
        <f aca="false">IF(MONTH($A98)=MONTH($A97),IF(G98=0,I97,G98),G98)</f>
        <v>-194455.4</v>
      </c>
      <c r="J98" s="124" t="n">
        <f aca="false">IF(MONTH($A98)=MONTH($A97),SUM(I98-I97),I98)</f>
        <v>88322.9</v>
      </c>
      <c r="K98" s="124" t="n">
        <f aca="false">IF(WEEKDAY(A98,3)&gt;4,0,(IF(A98&lt;K$2,0,IF(A98&lt;=K$3,1,0))))</f>
        <v>0</v>
      </c>
      <c r="L98" s="124" t="n">
        <f aca="false">J98*K98</f>
        <v>0</v>
      </c>
      <c r="M98" s="124" t="n">
        <f aca="false">SUM(J$97:J98)</f>
        <v>-194455.4</v>
      </c>
      <c r="N98" s="124" t="n">
        <f aca="false">SUM(J$6:J98)</f>
        <v>-308624.23</v>
      </c>
      <c r="P98" s="124" t="n">
        <f aca="false">D98/P$3</f>
        <v>-0.00217590593549673</v>
      </c>
      <c r="Q98" s="124" t="n">
        <f aca="false">E98/P$3</f>
        <v>0</v>
      </c>
      <c r="R98" s="124" t="n">
        <f aca="false">F98/R$3</f>
        <v>0</v>
      </c>
      <c r="S98" s="126" t="n">
        <f aca="false">J98/$R$3</f>
        <v>88.3229</v>
      </c>
      <c r="T98" s="126" t="n">
        <f aca="false">L98/$R$3</f>
        <v>0</v>
      </c>
      <c r="U98" s="126" t="n">
        <f aca="false">I98/$R$3</f>
        <v>-194.4554</v>
      </c>
      <c r="V98" s="126" t="n">
        <f aca="false">M98/$R$3</f>
        <v>-194.4554</v>
      </c>
      <c r="W98" s="126" t="n">
        <f aca="false">N98/$R$3</f>
        <v>-308.62423</v>
      </c>
    </row>
    <row r="99" customFormat="false" ht="13.5" hidden="true" customHeight="true" outlineLevel="0" collapsed="false">
      <c r="A99" s="120" t="n">
        <f aca="false">A98+1</f>
        <v>36985</v>
      </c>
      <c r="B99" s="131" t="str">
        <f aca="false">INDEX('Master Data'!$A$2:$B$8,MATCH(WEEKDAY('ARG Gas IM'!A99,3),'Master Data'!$A$2:$A$8,0),2)</f>
        <v>W</v>
      </c>
      <c r="D99" s="124" t="n">
        <f aca="false">0/27.0963</f>
        <v>0</v>
      </c>
      <c r="E99" s="124" t="n">
        <v>0</v>
      </c>
      <c r="F99" s="124" t="n">
        <v>0</v>
      </c>
      <c r="G99" s="124" t="n">
        <v>20603.73</v>
      </c>
      <c r="I99" s="124" t="n">
        <f aca="false">IF(MONTH($A99)=MONTH($A98),IF(G99=0,I98,G99),G99)</f>
        <v>20603.73</v>
      </c>
      <c r="J99" s="124" t="n">
        <f aca="false">IF(MONTH($A99)=MONTH($A98),SUM(I99-I98),I99)</f>
        <v>215059.13</v>
      </c>
      <c r="K99" s="124" t="n">
        <f aca="false">IF(WEEKDAY(A99,3)&gt;4,0,(IF(A99&lt;K$2,0,IF(A99&lt;=K$3,1,0))))</f>
        <v>0</v>
      </c>
      <c r="L99" s="124" t="n">
        <f aca="false">J99*K99</f>
        <v>0</v>
      </c>
      <c r="M99" s="124" t="n">
        <f aca="false">SUM(J$97:J99)</f>
        <v>20603.73</v>
      </c>
      <c r="N99" s="124" t="n">
        <f aca="false">SUM(J$6:J99)</f>
        <v>-93565.1000000001</v>
      </c>
      <c r="P99" s="124" t="n">
        <f aca="false">D99/P$3</f>
        <v>0</v>
      </c>
      <c r="Q99" s="124" t="n">
        <f aca="false">E99/P$3</f>
        <v>0</v>
      </c>
      <c r="R99" s="124" t="n">
        <f aca="false">F99/R$3</f>
        <v>0</v>
      </c>
      <c r="S99" s="126" t="n">
        <f aca="false">J99/$R$3</f>
        <v>215.05913</v>
      </c>
      <c r="T99" s="126" t="n">
        <f aca="false">L99/$R$3</f>
        <v>0</v>
      </c>
      <c r="U99" s="126" t="n">
        <f aca="false">I99/$R$3</f>
        <v>20.60373</v>
      </c>
      <c r="V99" s="126" t="n">
        <f aca="false">M99/$R$3</f>
        <v>20.60373</v>
      </c>
      <c r="W99" s="126" t="n">
        <f aca="false">N99/$R$3</f>
        <v>-93.5651000000001</v>
      </c>
    </row>
    <row r="100" customFormat="false" ht="13.5" hidden="true" customHeight="true" outlineLevel="0" collapsed="false">
      <c r="A100" s="120" t="n">
        <f aca="false">A99+1</f>
        <v>36986</v>
      </c>
      <c r="B100" s="131" t="str">
        <f aca="false">INDEX('Master Data'!$A$2:$B$8,MATCH(WEEKDAY('ARG Gas IM'!A100,3),'Master Data'!$A$2:$A$8,0),2)</f>
        <v>Th</v>
      </c>
      <c r="D100" s="124" t="n">
        <f aca="false">0/27.0963</f>
        <v>0</v>
      </c>
      <c r="E100" s="124" t="n">
        <v>0</v>
      </c>
      <c r="F100" s="124" t="n">
        <v>0</v>
      </c>
      <c r="G100" s="124" t="n">
        <v>18344.74</v>
      </c>
      <c r="I100" s="124" t="n">
        <f aca="false">IF(MONTH($A100)=MONTH($A99),IF(G100=0,I99,G100),G100)</f>
        <v>18344.74</v>
      </c>
      <c r="J100" s="124" t="n">
        <f aca="false">IF(MONTH($A100)=MONTH($A99),SUM(I100-I99),I100)</f>
        <v>-2258.99</v>
      </c>
      <c r="K100" s="124" t="n">
        <f aca="false">IF(WEEKDAY(A100,3)&gt;4,0,(IF(A100&lt;K$2,0,IF(A100&lt;=K$3,1,0))))</f>
        <v>0</v>
      </c>
      <c r="L100" s="124" t="n">
        <f aca="false">J100*K100</f>
        <v>-0</v>
      </c>
      <c r="M100" s="124" t="n">
        <f aca="false">SUM(J$97:J100)</f>
        <v>18344.74</v>
      </c>
      <c r="N100" s="124" t="n">
        <f aca="false">SUM(J$6:J100)</f>
        <v>-95824.0900000001</v>
      </c>
      <c r="P100" s="124" t="n">
        <f aca="false">D100/P$3</f>
        <v>0</v>
      </c>
      <c r="Q100" s="124" t="n">
        <f aca="false">E100/P$3</f>
        <v>0</v>
      </c>
      <c r="R100" s="124" t="n">
        <f aca="false">F100/R$3</f>
        <v>0</v>
      </c>
      <c r="S100" s="126" t="n">
        <f aca="false">J100/$R$3</f>
        <v>-2.25899</v>
      </c>
      <c r="T100" s="126" t="n">
        <f aca="false">L100/$R$3</f>
        <v>-0</v>
      </c>
      <c r="U100" s="126" t="n">
        <f aca="false">I100/$R$3</f>
        <v>18.34474</v>
      </c>
      <c r="V100" s="126" t="n">
        <f aca="false">M100/$R$3</f>
        <v>18.34474</v>
      </c>
      <c r="W100" s="126" t="n">
        <f aca="false">N100/$R$3</f>
        <v>-95.8240900000001</v>
      </c>
    </row>
    <row r="101" customFormat="false" ht="13.5" hidden="true" customHeight="true" outlineLevel="0" collapsed="false">
      <c r="A101" s="120" t="n">
        <f aca="false">A100+1</f>
        <v>36987</v>
      </c>
      <c r="B101" s="131" t="str">
        <f aca="false">INDEX('Master Data'!$A$2:$B$8,MATCH(WEEKDAY('ARG Gas IM'!A101,3),'Master Data'!$A$2:$A$8,0),2)</f>
        <v>F</v>
      </c>
      <c r="D101" s="124" t="n">
        <v>0</v>
      </c>
      <c r="E101" s="124" t="n">
        <v>0</v>
      </c>
      <c r="F101" s="124" t="n">
        <v>0</v>
      </c>
      <c r="G101" s="124" t="n">
        <v>16080.75</v>
      </c>
      <c r="I101" s="124" t="n">
        <f aca="false">IF(MONTH($A101)=MONTH($A100),IF(G101=0,I100,G101),G101)</f>
        <v>16080.75</v>
      </c>
      <c r="J101" s="124" t="n">
        <f aca="false">IF(MONTH($A101)=MONTH($A100),SUM(I101-I100),I101)</f>
        <v>-2263.99</v>
      </c>
      <c r="K101" s="124" t="n">
        <f aca="false">IF(WEEKDAY(A101,3)&gt;4,0,(IF(A101&lt;K$2,0,IF(A101&lt;=K$3,1,0))))</f>
        <v>0</v>
      </c>
      <c r="L101" s="124" t="n">
        <f aca="false">J101*K101</f>
        <v>-0</v>
      </c>
      <c r="M101" s="124" t="n">
        <f aca="false">SUM(J$97:J101)</f>
        <v>16080.75</v>
      </c>
      <c r="N101" s="124" t="n">
        <f aca="false">SUM(J$6:J101)</f>
        <v>-98088.0800000001</v>
      </c>
      <c r="P101" s="124" t="n">
        <f aca="false">D101/P$3</f>
        <v>0</v>
      </c>
      <c r="Q101" s="124" t="n">
        <f aca="false">E101/P$3</f>
        <v>0</v>
      </c>
      <c r="R101" s="124" t="n">
        <f aca="false">F101/R$3</f>
        <v>0</v>
      </c>
      <c r="S101" s="126" t="n">
        <f aca="false">J101/$R$3</f>
        <v>-2.26399</v>
      </c>
      <c r="T101" s="126" t="n">
        <f aca="false">L101/$R$3</f>
        <v>-0</v>
      </c>
      <c r="U101" s="126" t="n">
        <f aca="false">I101/$R$3</f>
        <v>16.08075</v>
      </c>
      <c r="V101" s="126" t="n">
        <f aca="false">M101/$R$3</f>
        <v>16.08075</v>
      </c>
      <c r="W101" s="126" t="n">
        <f aca="false">N101/$R$3</f>
        <v>-98.0880800000001</v>
      </c>
    </row>
    <row r="102" customFormat="false" ht="13.5" hidden="true" customHeight="true" outlineLevel="0" collapsed="false">
      <c r="A102" s="120" t="n">
        <f aca="false">A101+1</f>
        <v>36988</v>
      </c>
      <c r="B102" s="131" t="str">
        <f aca="false">INDEX('Master Data'!$A$2:$B$8,MATCH(WEEKDAY('ARG Gas IM'!A102,3),'Master Data'!$A$2:$A$8,0),2)</f>
        <v>Sa</v>
      </c>
      <c r="D102" s="124" t="n">
        <v>0</v>
      </c>
      <c r="E102" s="124" t="n">
        <v>0</v>
      </c>
      <c r="F102" s="124" t="n">
        <v>0</v>
      </c>
      <c r="G102" s="124" t="n">
        <v>0</v>
      </c>
      <c r="I102" s="124" t="n">
        <f aca="false">IF(MONTH($A102)=MONTH($A101),IF(G102=0,I101,G102),G102)</f>
        <v>16080.75</v>
      </c>
      <c r="J102" s="124" t="n">
        <f aca="false">IF(MONTH($A102)=MONTH($A101),SUM(I102-I101),I102)</f>
        <v>0</v>
      </c>
      <c r="K102" s="124" t="n">
        <f aca="false">IF(WEEKDAY(A102,3)&gt;4,0,(IF(A102&lt;K$2,0,IF(A102&lt;=K$3,1,0))))</f>
        <v>0</v>
      </c>
      <c r="L102" s="124" t="n">
        <f aca="false">J102*K102</f>
        <v>0</v>
      </c>
      <c r="M102" s="124" t="n">
        <f aca="false">SUM(J$97:J102)</f>
        <v>16080.75</v>
      </c>
      <c r="N102" s="124" t="n">
        <f aca="false">SUM(J$6:J102)</f>
        <v>-98088.0800000001</v>
      </c>
      <c r="P102" s="124" t="n">
        <f aca="false">D102/P$3</f>
        <v>0</v>
      </c>
      <c r="Q102" s="124" t="n">
        <f aca="false">E102/P$3</f>
        <v>0</v>
      </c>
      <c r="R102" s="124" t="n">
        <f aca="false">F102/R$3</f>
        <v>0</v>
      </c>
      <c r="S102" s="126" t="n">
        <f aca="false">J102/$R$3</f>
        <v>0</v>
      </c>
      <c r="T102" s="126" t="n">
        <f aca="false">L102/$R$3</f>
        <v>0</v>
      </c>
      <c r="U102" s="126" t="n">
        <f aca="false">I102/$R$3</f>
        <v>16.08075</v>
      </c>
      <c r="V102" s="126" t="n">
        <f aca="false">M102/$R$3</f>
        <v>16.08075</v>
      </c>
      <c r="W102" s="126" t="n">
        <f aca="false">N102/$R$3</f>
        <v>-98.0880800000001</v>
      </c>
    </row>
    <row r="103" customFormat="false" ht="13.5" hidden="true" customHeight="true" outlineLevel="0" collapsed="false">
      <c r="A103" s="120" t="n">
        <f aca="false">A102+1</f>
        <v>36989</v>
      </c>
      <c r="B103" s="131" t="str">
        <f aca="false">INDEX('Master Data'!$A$2:$B$8,MATCH(WEEKDAY('ARG Gas IM'!A103,3),'Master Data'!$A$2:$A$8,0),2)</f>
        <v>Su</v>
      </c>
      <c r="D103" s="124" t="n">
        <v>0</v>
      </c>
      <c r="E103" s="124" t="n">
        <v>0</v>
      </c>
      <c r="F103" s="124" t="n">
        <v>0</v>
      </c>
      <c r="G103" s="124" t="n">
        <v>0</v>
      </c>
      <c r="I103" s="124" t="n">
        <f aca="false">IF(MONTH($A103)=MONTH($A102),IF(G103=0,I102,G103),G103)</f>
        <v>16080.75</v>
      </c>
      <c r="J103" s="124" t="n">
        <f aca="false">IF(MONTH($A103)=MONTH($A102),SUM(I103-I102),I103)</f>
        <v>0</v>
      </c>
      <c r="K103" s="124" t="n">
        <f aca="false">IF(WEEKDAY(A103,3)&gt;4,0,(IF(A103&lt;K$2,0,IF(A103&lt;=K$3,1,0))))</f>
        <v>0</v>
      </c>
      <c r="L103" s="124" t="n">
        <f aca="false">J103*K103</f>
        <v>0</v>
      </c>
      <c r="M103" s="124" t="n">
        <f aca="false">SUM(J$97:J103)</f>
        <v>16080.75</v>
      </c>
      <c r="N103" s="124" t="n">
        <f aca="false">SUM(J$6:J103)</f>
        <v>-98088.0800000001</v>
      </c>
      <c r="P103" s="124" t="n">
        <f aca="false">D103/P$3</f>
        <v>0</v>
      </c>
      <c r="Q103" s="124" t="n">
        <f aca="false">E103/P$3</f>
        <v>0</v>
      </c>
      <c r="R103" s="124" t="n">
        <f aca="false">F103/R$3</f>
        <v>0</v>
      </c>
      <c r="S103" s="126" t="n">
        <f aca="false">J103/$R$3</f>
        <v>0</v>
      </c>
      <c r="T103" s="126" t="n">
        <f aca="false">L103/$R$3</f>
        <v>0</v>
      </c>
      <c r="U103" s="126" t="n">
        <f aca="false">I103/$R$3</f>
        <v>16.08075</v>
      </c>
      <c r="V103" s="126" t="n">
        <f aca="false">M103/$R$3</f>
        <v>16.08075</v>
      </c>
      <c r="W103" s="126" t="n">
        <f aca="false">N103/$R$3</f>
        <v>-98.0880800000001</v>
      </c>
    </row>
    <row r="104" customFormat="false" ht="13.5" hidden="true" customHeight="true" outlineLevel="0" collapsed="false">
      <c r="A104" s="120" t="n">
        <f aca="false">A103+1</f>
        <v>36990</v>
      </c>
      <c r="B104" s="131" t="str">
        <f aca="false">INDEX('Master Data'!$A$2:$B$8,MATCH(WEEKDAY('ARG Gas IM'!A104,3),'Master Data'!$A$2:$A$8,0),2)</f>
        <v>M</v>
      </c>
      <c r="D104" s="124" t="n">
        <v>0</v>
      </c>
      <c r="E104" s="124" t="n">
        <v>0</v>
      </c>
      <c r="F104" s="124" t="n">
        <v>0</v>
      </c>
      <c r="G104" s="124" t="n">
        <v>9315.78000000001</v>
      </c>
      <c r="I104" s="124" t="n">
        <f aca="false">IF(MONTH($A104)=MONTH($A103),IF(G104=0,I103,G104),G104)</f>
        <v>9315.78000000001</v>
      </c>
      <c r="J104" s="124" t="n">
        <f aca="false">IF(MONTH($A104)=MONTH($A103),SUM(I104-I103),I104)</f>
        <v>-6764.96999999999</v>
      </c>
      <c r="K104" s="124" t="n">
        <f aca="false">IF(WEEKDAY(A104,3)&gt;4,0,(IF(A104&lt;K$2,0,IF(A104&lt;=K$3,1,0))))</f>
        <v>0</v>
      </c>
      <c r="L104" s="124" t="n">
        <f aca="false">J104*K104</f>
        <v>-0</v>
      </c>
      <c r="M104" s="124" t="n">
        <f aca="false">SUM(J$97:J104)</f>
        <v>9315.78000000002</v>
      </c>
      <c r="N104" s="124" t="n">
        <f aca="false">SUM(J$6:J104)</f>
        <v>-104853.05</v>
      </c>
      <c r="P104" s="124" t="n">
        <f aca="false">D104/P$3</f>
        <v>0</v>
      </c>
      <c r="Q104" s="124" t="n">
        <f aca="false">E104/P$3</f>
        <v>0</v>
      </c>
      <c r="R104" s="124" t="n">
        <f aca="false">F104/R$3</f>
        <v>0</v>
      </c>
      <c r="S104" s="126" t="n">
        <f aca="false">J104/$R$3</f>
        <v>-6.76496999999999</v>
      </c>
      <c r="T104" s="126" t="n">
        <f aca="false">L104/$R$3</f>
        <v>-0</v>
      </c>
      <c r="U104" s="126" t="n">
        <f aca="false">I104/$R$3</f>
        <v>9.31578000000001</v>
      </c>
      <c r="V104" s="126" t="n">
        <f aca="false">M104/$R$3</f>
        <v>9.31578000000003</v>
      </c>
      <c r="W104" s="126" t="n">
        <f aca="false">N104/$R$3</f>
        <v>-104.85305</v>
      </c>
    </row>
    <row r="105" customFormat="false" ht="13.5" hidden="true" customHeight="true" outlineLevel="0" collapsed="false">
      <c r="A105" s="120" t="n">
        <f aca="false">A104+1</f>
        <v>36991</v>
      </c>
      <c r="B105" s="131" t="str">
        <f aca="false">INDEX('Master Data'!$A$2:$B$8,MATCH(WEEKDAY('ARG Gas IM'!A105,3),'Master Data'!$A$2:$A$8,0),2)</f>
        <v>T</v>
      </c>
      <c r="D105" s="124" t="n">
        <v>0</v>
      </c>
      <c r="E105" s="124" t="n">
        <v>0</v>
      </c>
      <c r="F105" s="124" t="n">
        <v>0</v>
      </c>
      <c r="G105" s="124" t="n">
        <v>1833.40000000001</v>
      </c>
      <c r="I105" s="124" t="n">
        <f aca="false">IF(MONTH($A105)=MONTH($A104),IF(G105=0,I104,G105),G105)</f>
        <v>1833.40000000001</v>
      </c>
      <c r="J105" s="124" t="n">
        <f aca="false">IF(MONTH($A105)=MONTH($A104),SUM(I105-I104),I105)</f>
        <v>-7482.38</v>
      </c>
      <c r="K105" s="124" t="n">
        <f aca="false">IF(WEEKDAY(A105,3)&gt;4,0,(IF(A105&lt;K$2,0,IF(A105&lt;=K$3,1,0))))</f>
        <v>0</v>
      </c>
      <c r="L105" s="124" t="n">
        <f aca="false">J105*K105</f>
        <v>-0</v>
      </c>
      <c r="M105" s="124" t="n">
        <f aca="false">SUM(J$97:J105)</f>
        <v>1833.40000000002</v>
      </c>
      <c r="N105" s="124" t="n">
        <f aca="false">SUM(J$6:J105)</f>
        <v>-112335.43</v>
      </c>
      <c r="P105" s="124" t="n">
        <f aca="false">D105/P$3</f>
        <v>0</v>
      </c>
      <c r="Q105" s="124" t="n">
        <f aca="false">E105/P$3</f>
        <v>0</v>
      </c>
      <c r="R105" s="124" t="n">
        <f aca="false">F105/R$3</f>
        <v>0</v>
      </c>
      <c r="S105" s="126" t="n">
        <f aca="false">J105/$R$3</f>
        <v>-7.48238</v>
      </c>
      <c r="T105" s="126" t="n">
        <f aca="false">L105/$R$3</f>
        <v>-0</v>
      </c>
      <c r="U105" s="126" t="n">
        <f aca="false">I105/$R$3</f>
        <v>1.83340000000001</v>
      </c>
      <c r="V105" s="126" t="n">
        <f aca="false">M105/$R$3</f>
        <v>1.83340000000002</v>
      </c>
      <c r="W105" s="126" t="n">
        <f aca="false">N105/$R$3</f>
        <v>-112.33543</v>
      </c>
    </row>
    <row r="106" customFormat="false" ht="13.5" hidden="true" customHeight="true" outlineLevel="0" collapsed="false">
      <c r="A106" s="120" t="n">
        <f aca="false">A105+1</f>
        <v>36992</v>
      </c>
      <c r="B106" s="131" t="str">
        <f aca="false">INDEX('Master Data'!$A$2:$B$8,MATCH(WEEKDAY('ARG Gas IM'!A106,3),'Master Data'!$A$2:$A$8,0),2)</f>
        <v>W</v>
      </c>
      <c r="D106" s="124" t="n">
        <v>0</v>
      </c>
      <c r="E106" s="124" t="n">
        <v>0</v>
      </c>
      <c r="F106" s="124" t="n">
        <v>0</v>
      </c>
      <c r="G106" s="124" t="n">
        <v>-439.429999999987</v>
      </c>
      <c r="I106" s="124" t="n">
        <f aca="false">IF(MONTH($A106)=MONTH($A105),IF(G106=0,I105,G106),G106)</f>
        <v>-439.429999999987</v>
      </c>
      <c r="J106" s="124" t="n">
        <f aca="false">IF(MONTH($A106)=MONTH($A105),SUM(I106-I105),I106)</f>
        <v>-2272.83</v>
      </c>
      <c r="K106" s="124" t="n">
        <f aca="false">IF(WEEKDAY(A106,3)&gt;4,0,(IF(A106&lt;K$2,0,IF(A106&lt;=K$3,1,0))))</f>
        <v>0</v>
      </c>
      <c r="L106" s="124" t="n">
        <f aca="false">J106*K106</f>
        <v>-0</v>
      </c>
      <c r="M106" s="124" t="n">
        <f aca="false">SUM(J$97:J106)</f>
        <v>-439.429999999976</v>
      </c>
      <c r="N106" s="124" t="n">
        <f aca="false">SUM(J$6:J106)</f>
        <v>-114608.26</v>
      </c>
      <c r="P106" s="124" t="n">
        <f aca="false">D106/P$3</f>
        <v>0</v>
      </c>
      <c r="Q106" s="124" t="n">
        <f aca="false">E106/P$3</f>
        <v>0</v>
      </c>
      <c r="R106" s="124" t="n">
        <f aca="false">F106/R$3</f>
        <v>0</v>
      </c>
      <c r="S106" s="126" t="n">
        <f aca="false">J106/$R$3</f>
        <v>-2.27283</v>
      </c>
      <c r="T106" s="126" t="n">
        <f aca="false">L106/$R$3</f>
        <v>-0</v>
      </c>
      <c r="U106" s="126" t="n">
        <f aca="false">I106/$R$3</f>
        <v>-0.439429999999987</v>
      </c>
      <c r="V106" s="126" t="n">
        <f aca="false">M106/$R$3</f>
        <v>-0.439429999999976</v>
      </c>
      <c r="W106" s="126" t="n">
        <f aca="false">N106/$R$3</f>
        <v>-114.60826</v>
      </c>
    </row>
    <row r="107" customFormat="false" ht="13.5" hidden="true" customHeight="true" outlineLevel="0" collapsed="false">
      <c r="A107" s="120" t="n">
        <f aca="false">A106+1</f>
        <v>36993</v>
      </c>
      <c r="B107" s="131" t="str">
        <f aca="false">INDEX('Master Data'!$A$2:$B$8,MATCH(WEEKDAY('ARG Gas IM'!A107,3),'Master Data'!$A$2:$A$8,0),2)</f>
        <v>Th</v>
      </c>
      <c r="D107" s="124" t="n">
        <v>0</v>
      </c>
      <c r="E107" s="124" t="n">
        <v>0</v>
      </c>
      <c r="F107" s="124" t="n">
        <v>0</v>
      </c>
      <c r="G107" s="124" t="n">
        <v>-2713.25999999999</v>
      </c>
      <c r="I107" s="124" t="n">
        <f aca="false">IF(MONTH($A107)=MONTH($A106),IF(G107=0,I106,G107),G107)</f>
        <v>-2713.25999999999</v>
      </c>
      <c r="J107" s="124" t="n">
        <f aca="false">IF(MONTH($A107)=MONTH($A106),SUM(I107-I106),I107)</f>
        <v>-2273.83</v>
      </c>
      <c r="K107" s="124" t="n">
        <f aca="false">IF(WEEKDAY(A107,3)&gt;4,0,(IF(A107&lt;K$2,0,IF(A107&lt;=K$3,1,0))))</f>
        <v>0</v>
      </c>
      <c r="L107" s="124" t="n">
        <f aca="false">J107*K107</f>
        <v>-0</v>
      </c>
      <c r="M107" s="124" t="n">
        <f aca="false">SUM(J$97:J107)</f>
        <v>-2713.25999999998</v>
      </c>
      <c r="N107" s="124" t="n">
        <f aca="false">SUM(J$6:J107)</f>
        <v>-116882.09</v>
      </c>
      <c r="P107" s="124" t="n">
        <f aca="false">D107/P$3</f>
        <v>0</v>
      </c>
      <c r="Q107" s="124" t="n">
        <f aca="false">E107/P$3</f>
        <v>0</v>
      </c>
      <c r="R107" s="124" t="n">
        <f aca="false">F107/R$3</f>
        <v>0</v>
      </c>
      <c r="S107" s="126" t="n">
        <f aca="false">J107/$R$3</f>
        <v>-2.27383</v>
      </c>
      <c r="T107" s="126" t="n">
        <f aca="false">L107/$R$3</f>
        <v>-0</v>
      </c>
      <c r="U107" s="126" t="n">
        <f aca="false">I107/$R$3</f>
        <v>-2.71325999999999</v>
      </c>
      <c r="V107" s="126" t="n">
        <f aca="false">M107/$R$3</f>
        <v>-2.71325999999998</v>
      </c>
      <c r="W107" s="126" t="n">
        <f aca="false">N107/$R$3</f>
        <v>-116.88209</v>
      </c>
    </row>
    <row r="108" customFormat="false" ht="13.5" hidden="true" customHeight="true" outlineLevel="0" collapsed="false">
      <c r="A108" s="120" t="n">
        <f aca="false">A107+1</f>
        <v>36994</v>
      </c>
      <c r="B108" s="131" t="str">
        <f aca="false">INDEX('Master Data'!$A$2:$B$8,MATCH(WEEKDAY('ARG Gas IM'!A108,3),'Master Data'!$A$2:$A$8,0),2)</f>
        <v>F</v>
      </c>
      <c r="D108" s="124" t="n">
        <v>0</v>
      </c>
      <c r="E108" s="124" t="n">
        <v>0</v>
      </c>
      <c r="F108" s="124" t="n">
        <v>0</v>
      </c>
      <c r="G108" s="124" t="n">
        <v>0</v>
      </c>
      <c r="I108" s="124" t="n">
        <f aca="false">IF(MONTH($A108)=MONTH($A107),IF(G108=0,I107,G108),G108)</f>
        <v>-2713.25999999999</v>
      </c>
      <c r="J108" s="124" t="n">
        <f aca="false">IF(MONTH($A108)=MONTH($A107),SUM(I108-I107),I108)</f>
        <v>0</v>
      </c>
      <c r="K108" s="124" t="n">
        <f aca="false">IF(WEEKDAY(A108,3)&gt;4,0,(IF(A108&lt;K$2,0,IF(A108&lt;=K$3,1,0))))</f>
        <v>0</v>
      </c>
      <c r="L108" s="124" t="n">
        <f aca="false">J108*K108</f>
        <v>0</v>
      </c>
      <c r="M108" s="124" t="n">
        <f aca="false">SUM(J$97:J108)</f>
        <v>-2713.25999999998</v>
      </c>
      <c r="N108" s="124" t="n">
        <f aca="false">SUM(J$6:J108)</f>
        <v>-116882.09</v>
      </c>
      <c r="P108" s="124" t="n">
        <f aca="false">D108/P$3</f>
        <v>0</v>
      </c>
      <c r="Q108" s="124" t="n">
        <f aca="false">E108/P$3</f>
        <v>0</v>
      </c>
      <c r="R108" s="124" t="n">
        <f aca="false">F108/R$3</f>
        <v>0</v>
      </c>
      <c r="S108" s="126" t="n">
        <f aca="false">J108/$R$3</f>
        <v>0</v>
      </c>
      <c r="T108" s="126" t="n">
        <f aca="false">L108/$R$3</f>
        <v>0</v>
      </c>
      <c r="U108" s="126" t="n">
        <f aca="false">I108/$R$3</f>
        <v>-2.71325999999999</v>
      </c>
      <c r="V108" s="126" t="n">
        <f aca="false">M108/$R$3</f>
        <v>-2.71325999999998</v>
      </c>
      <c r="W108" s="126" t="n">
        <f aca="false">N108/$R$3</f>
        <v>-116.88209</v>
      </c>
    </row>
    <row r="109" customFormat="false" ht="13.5" hidden="true" customHeight="true" outlineLevel="0" collapsed="false">
      <c r="A109" s="120" t="n">
        <f aca="false">A108+1</f>
        <v>36995</v>
      </c>
      <c r="B109" s="131" t="str">
        <f aca="false">INDEX('Master Data'!$A$2:$B$8,MATCH(WEEKDAY('ARG Gas IM'!A109,3),'Master Data'!$A$2:$A$8,0),2)</f>
        <v>Sa</v>
      </c>
      <c r="D109" s="124" t="n">
        <v>0</v>
      </c>
      <c r="E109" s="124" t="n">
        <v>0</v>
      </c>
      <c r="F109" s="124" t="n">
        <v>0</v>
      </c>
      <c r="G109" s="124" t="n">
        <v>0</v>
      </c>
      <c r="I109" s="124" t="n">
        <f aca="false">IF(MONTH($A109)=MONTH($A108),IF(G109=0,I108,G109),G109)</f>
        <v>-2713.25999999999</v>
      </c>
      <c r="J109" s="124" t="n">
        <f aca="false">IF(MONTH($A109)=MONTH($A108),SUM(I109-I108),I109)</f>
        <v>0</v>
      </c>
      <c r="K109" s="124" t="n">
        <f aca="false">IF(WEEKDAY(A109,3)&gt;4,0,(IF(A109&lt;K$2,0,IF(A109&lt;=K$3,1,0))))</f>
        <v>0</v>
      </c>
      <c r="L109" s="124" t="n">
        <f aca="false">J109*K109</f>
        <v>0</v>
      </c>
      <c r="M109" s="124" t="n">
        <f aca="false">SUM(J$97:J109)</f>
        <v>-2713.25999999998</v>
      </c>
      <c r="N109" s="124" t="n">
        <f aca="false">SUM(J$6:J109)</f>
        <v>-116882.09</v>
      </c>
      <c r="P109" s="124" t="n">
        <f aca="false">D109/P$3</f>
        <v>0</v>
      </c>
      <c r="Q109" s="124" t="n">
        <f aca="false">E109/P$3</f>
        <v>0</v>
      </c>
      <c r="R109" s="124" t="n">
        <f aca="false">F109/R$3</f>
        <v>0</v>
      </c>
      <c r="S109" s="126" t="n">
        <f aca="false">J109/$R$3</f>
        <v>0</v>
      </c>
      <c r="T109" s="126" t="n">
        <f aca="false">L109/$R$3</f>
        <v>0</v>
      </c>
      <c r="U109" s="126" t="n">
        <f aca="false">I109/$R$3</f>
        <v>-2.71325999999999</v>
      </c>
      <c r="V109" s="126" t="n">
        <f aca="false">M109/$R$3</f>
        <v>-2.71325999999998</v>
      </c>
      <c r="W109" s="126" t="n">
        <f aca="false">N109/$R$3</f>
        <v>-116.88209</v>
      </c>
    </row>
    <row r="110" customFormat="false" ht="13.5" hidden="true" customHeight="true" outlineLevel="0" collapsed="false">
      <c r="A110" s="120" t="n">
        <f aca="false">A109+1</f>
        <v>36996</v>
      </c>
      <c r="B110" s="131" t="str">
        <f aca="false">INDEX('Master Data'!$A$2:$B$8,MATCH(WEEKDAY('ARG Gas IM'!A110,3),'Master Data'!$A$2:$A$8,0),2)</f>
        <v>Su</v>
      </c>
      <c r="D110" s="124" t="n">
        <v>0</v>
      </c>
      <c r="E110" s="124" t="n">
        <v>0</v>
      </c>
      <c r="F110" s="124" t="n">
        <v>0</v>
      </c>
      <c r="G110" s="124" t="n">
        <v>0</v>
      </c>
      <c r="I110" s="124" t="n">
        <f aca="false">IF(MONTH($A110)=MONTH($A109),IF(G110=0,I109,G110),G110)</f>
        <v>-2713.25999999999</v>
      </c>
      <c r="J110" s="124" t="n">
        <f aca="false">IF(MONTH($A110)=MONTH($A109),SUM(I110-I109),I110)</f>
        <v>0</v>
      </c>
      <c r="K110" s="124" t="n">
        <f aca="false">IF(WEEKDAY(A110,3)&gt;4,0,(IF(A110&lt;K$2,0,IF(A110&lt;=K$3,1,0))))</f>
        <v>0</v>
      </c>
      <c r="L110" s="124" t="n">
        <f aca="false">J110*K110</f>
        <v>0</v>
      </c>
      <c r="M110" s="124" t="n">
        <f aca="false">SUM(J$97:J110)</f>
        <v>-2713.25999999998</v>
      </c>
      <c r="N110" s="124" t="n">
        <f aca="false">SUM(J$6:J110)</f>
        <v>-116882.09</v>
      </c>
      <c r="P110" s="124" t="n">
        <f aca="false">D110/P$3</f>
        <v>0</v>
      </c>
      <c r="Q110" s="124" t="n">
        <f aca="false">E110/P$3</f>
        <v>0</v>
      </c>
      <c r="R110" s="124" t="n">
        <f aca="false">F110/R$3</f>
        <v>0</v>
      </c>
      <c r="S110" s="126" t="n">
        <f aca="false">J110/$R$3</f>
        <v>0</v>
      </c>
      <c r="T110" s="126" t="n">
        <f aca="false">L110/$R$3</f>
        <v>0</v>
      </c>
      <c r="U110" s="126" t="n">
        <f aca="false">I110/$R$3</f>
        <v>-2.71325999999999</v>
      </c>
      <c r="V110" s="126" t="n">
        <f aca="false">M110/$R$3</f>
        <v>-2.71325999999998</v>
      </c>
      <c r="W110" s="126" t="n">
        <f aca="false">N110/$R$3</f>
        <v>-116.88209</v>
      </c>
    </row>
    <row r="111" customFormat="false" ht="13.5" hidden="true" customHeight="true" outlineLevel="0" collapsed="false">
      <c r="A111" s="120" t="n">
        <f aca="false">A110+1</f>
        <v>36997</v>
      </c>
      <c r="B111" s="131" t="str">
        <f aca="false">INDEX('Master Data'!$A$2:$B$8,MATCH(WEEKDAY('ARG Gas IM'!A111,3),'Master Data'!$A$2:$A$8,0),2)</f>
        <v>M</v>
      </c>
      <c r="D111" s="124" t="n">
        <f aca="false">-523/27.0963</f>
        <v>-19.3015282529349</v>
      </c>
      <c r="E111" s="124" t="n">
        <v>0</v>
      </c>
      <c r="F111" s="124" t="n">
        <v>0</v>
      </c>
      <c r="G111" s="124" t="n">
        <v>-11628.69</v>
      </c>
      <c r="I111" s="124" t="n">
        <f aca="false">IF(MONTH($A111)=MONTH($A110),IF(G111=0,I110,G111),G111)</f>
        <v>-11628.69</v>
      </c>
      <c r="J111" s="124" t="n">
        <f aca="false">IF(MONTH($A111)=MONTH($A110),SUM(I111-I110),I111)</f>
        <v>-8915.43000000002</v>
      </c>
      <c r="K111" s="124" t="n">
        <f aca="false">IF(WEEKDAY(A111,3)&gt;4,0,(IF(A111&lt;K$2,0,IF(A111&lt;=K$3,1,0))))</f>
        <v>0</v>
      </c>
      <c r="L111" s="124" t="n">
        <f aca="false">J111*K111</f>
        <v>-0</v>
      </c>
      <c r="M111" s="124" t="n">
        <f aca="false">SUM(J$97:J111)</f>
        <v>-11628.69</v>
      </c>
      <c r="N111" s="124" t="n">
        <f aca="false">SUM(J$6:J111)</f>
        <v>-125797.52</v>
      </c>
      <c r="P111" s="124" t="n">
        <f aca="false">D111/P$3</f>
        <v>-1.93015282529349E-005</v>
      </c>
      <c r="Q111" s="124" t="n">
        <f aca="false">E111/P$3</f>
        <v>0</v>
      </c>
      <c r="R111" s="124" t="n">
        <f aca="false">F111/R$3</f>
        <v>0</v>
      </c>
      <c r="S111" s="126" t="n">
        <f aca="false">J111/$R$3</f>
        <v>-8.91543000000002</v>
      </c>
      <c r="T111" s="126" t="n">
        <f aca="false">L111/$R$3</f>
        <v>-0</v>
      </c>
      <c r="U111" s="126" t="n">
        <f aca="false">I111/$R$3</f>
        <v>-11.62869</v>
      </c>
      <c r="V111" s="126" t="n">
        <f aca="false">M111/$R$3</f>
        <v>-11.62869</v>
      </c>
      <c r="W111" s="126" t="n">
        <f aca="false">N111/$R$3</f>
        <v>-125.79752</v>
      </c>
    </row>
    <row r="112" customFormat="false" ht="13.5" hidden="true" customHeight="true" outlineLevel="0" collapsed="false">
      <c r="A112" s="120" t="n">
        <f aca="false">A111+1</f>
        <v>36998</v>
      </c>
      <c r="B112" s="131" t="str">
        <f aca="false">INDEX('Master Data'!$A$2:$B$8,MATCH(WEEKDAY('ARG Gas IM'!A112,3),'Master Data'!$A$2:$A$8,0),2)</f>
        <v>T</v>
      </c>
      <c r="D112" s="124" t="n">
        <f aca="false">-1023/27.0963</f>
        <v>-37.7542321276337</v>
      </c>
      <c r="E112" s="124" t="n">
        <v>0</v>
      </c>
      <c r="F112" s="124" t="n">
        <v>0</v>
      </c>
      <c r="G112" s="124" t="n">
        <v>-5254.03999999999</v>
      </c>
      <c r="I112" s="124" t="n">
        <f aca="false">IF(MONTH($A112)=MONTH($A111),IF(G112=0,I111,G112),G112)</f>
        <v>-5254.03999999999</v>
      </c>
      <c r="J112" s="124" t="n">
        <f aca="false">IF(MONTH($A112)=MONTH($A111),SUM(I112-I111),I112)</f>
        <v>6374.65000000001</v>
      </c>
      <c r="K112" s="124" t="n">
        <f aca="false">IF(WEEKDAY(A112,3)&gt;4,0,(IF(A112&lt;K$2,0,IF(A112&lt;=K$3,1,0))))</f>
        <v>0</v>
      </c>
      <c r="L112" s="124" t="n">
        <f aca="false">J112*K112</f>
        <v>0</v>
      </c>
      <c r="M112" s="124" t="n">
        <f aca="false">SUM(J$97:J112)</f>
        <v>-5254.03999999998</v>
      </c>
      <c r="N112" s="124" t="n">
        <f aca="false">SUM(J$6:J112)</f>
        <v>-119422.87</v>
      </c>
      <c r="P112" s="124" t="n">
        <f aca="false">D112/P$3</f>
        <v>-3.77542321276337E-005</v>
      </c>
      <c r="Q112" s="124" t="n">
        <f aca="false">E112/P$3</f>
        <v>0</v>
      </c>
      <c r="R112" s="124" t="n">
        <f aca="false">F112/R$3</f>
        <v>0</v>
      </c>
      <c r="S112" s="126" t="n">
        <f aca="false">J112/$R$3</f>
        <v>6.37465000000001</v>
      </c>
      <c r="T112" s="126" t="n">
        <f aca="false">L112/$R$3</f>
        <v>0</v>
      </c>
      <c r="U112" s="126" t="n">
        <f aca="false">I112/$R$3</f>
        <v>-5.25403999999999</v>
      </c>
      <c r="V112" s="126" t="n">
        <f aca="false">M112/$R$3</f>
        <v>-5.25403999999998</v>
      </c>
      <c r="W112" s="126" t="n">
        <f aca="false">N112/$R$3</f>
        <v>-119.42287</v>
      </c>
    </row>
    <row r="113" customFormat="false" ht="13.5" hidden="true" customHeight="true" outlineLevel="0" collapsed="false">
      <c r="A113" s="120" t="n">
        <f aca="false">A112+1</f>
        <v>36999</v>
      </c>
      <c r="B113" s="131" t="str">
        <f aca="false">INDEX('Master Data'!$A$2:$B$8,MATCH(WEEKDAY('ARG Gas IM'!A113,3),'Master Data'!$A$2:$A$8,0),2)</f>
        <v>W</v>
      </c>
      <c r="D113" s="124" t="n">
        <f aca="false">-1523/27.0963</f>
        <v>-56.2069360023324</v>
      </c>
      <c r="E113" s="124" t="n">
        <v>0</v>
      </c>
      <c r="F113" s="124" t="n">
        <v>0</v>
      </c>
      <c r="G113" s="124" t="n">
        <v>-7522.30999999999</v>
      </c>
      <c r="I113" s="124" t="n">
        <f aca="false">IF(MONTH($A113)=MONTH($A112),IF(G113=0,I112,G113),G113)</f>
        <v>-7522.30999999999</v>
      </c>
      <c r="J113" s="124" t="n">
        <f aca="false">IF(MONTH($A113)=MONTH($A112),SUM(I113-I112),I113)</f>
        <v>-2268.27</v>
      </c>
      <c r="K113" s="124" t="n">
        <f aca="false">IF(WEEKDAY(A113,3)&gt;4,0,(IF(A113&lt;K$2,0,IF(A113&lt;=K$3,1,0))))</f>
        <v>0</v>
      </c>
      <c r="L113" s="124" t="n">
        <f aca="false">J113*K113</f>
        <v>-0</v>
      </c>
      <c r="M113" s="124" t="n">
        <f aca="false">SUM(J$97:J113)</f>
        <v>-7522.30999999998</v>
      </c>
      <c r="N113" s="124" t="n">
        <f aca="false">SUM(J$6:J113)</f>
        <v>-121691.14</v>
      </c>
      <c r="P113" s="124" t="n">
        <f aca="false">D113/P$3</f>
        <v>-5.62069360023324E-005</v>
      </c>
      <c r="Q113" s="124" t="n">
        <f aca="false">E113/P$3</f>
        <v>0</v>
      </c>
      <c r="R113" s="124" t="n">
        <f aca="false">F113/R$3</f>
        <v>0</v>
      </c>
      <c r="S113" s="126" t="n">
        <f aca="false">J113/$R$3</f>
        <v>-2.26827</v>
      </c>
      <c r="T113" s="126" t="n">
        <f aca="false">L113/$R$3</f>
        <v>-0</v>
      </c>
      <c r="U113" s="126" t="n">
        <f aca="false">I113/$R$3</f>
        <v>-7.52230999999999</v>
      </c>
      <c r="V113" s="126" t="n">
        <f aca="false">M113/$R$3</f>
        <v>-7.52230999999998</v>
      </c>
      <c r="W113" s="126" t="n">
        <f aca="false">N113/$R$3</f>
        <v>-121.69114</v>
      </c>
    </row>
    <row r="114" customFormat="false" ht="13.5" hidden="true" customHeight="true" outlineLevel="0" collapsed="false">
      <c r="A114" s="120" t="n">
        <f aca="false">A113+1</f>
        <v>37000</v>
      </c>
      <c r="B114" s="131" t="str">
        <f aca="false">INDEX('Master Data'!$A$2:$B$8,MATCH(WEEKDAY('ARG Gas IM'!A114,3),'Master Data'!$A$2:$A$8,0),2)</f>
        <v>Th</v>
      </c>
      <c r="D114" s="124" t="n">
        <f aca="false">-2023/27.0963</f>
        <v>-74.6596398770312</v>
      </c>
      <c r="E114" s="124" t="n">
        <v>0</v>
      </c>
      <c r="F114" s="124" t="n">
        <v>0</v>
      </c>
      <c r="G114" s="124" t="n">
        <v>-9785.56999999999</v>
      </c>
      <c r="I114" s="124" t="n">
        <f aca="false">IF(MONTH($A114)=MONTH($A113),IF(G114=0,I113,G114),G114)</f>
        <v>-9785.56999999999</v>
      </c>
      <c r="J114" s="124" t="n">
        <f aca="false">IF(MONTH($A114)=MONTH($A113),SUM(I114-I113),I114)</f>
        <v>-2263.26</v>
      </c>
      <c r="K114" s="124" t="n">
        <f aca="false">IF(WEEKDAY(A114,3)&gt;4,0,(IF(A114&lt;K$2,0,IF(A114&lt;=K$3,1,0))))</f>
        <v>0</v>
      </c>
      <c r="L114" s="124" t="n">
        <f aca="false">J114*K114</f>
        <v>-0</v>
      </c>
      <c r="M114" s="124" t="n">
        <f aca="false">SUM(J$97:J114)</f>
        <v>-9785.56999999998</v>
      </c>
      <c r="N114" s="124" t="n">
        <f aca="false">SUM(J$6:J114)</f>
        <v>-123954.4</v>
      </c>
      <c r="P114" s="124" t="n">
        <f aca="false">D114/P$3</f>
        <v>-7.46596398770312E-005</v>
      </c>
      <c r="Q114" s="124" t="n">
        <f aca="false">E114/P$3</f>
        <v>0</v>
      </c>
      <c r="R114" s="124" t="n">
        <f aca="false">F114/R$3</f>
        <v>0</v>
      </c>
      <c r="S114" s="126" t="n">
        <f aca="false">J114/$R$3</f>
        <v>-2.26326</v>
      </c>
      <c r="T114" s="126" t="n">
        <f aca="false">L114/$R$3</f>
        <v>-0</v>
      </c>
      <c r="U114" s="126" t="n">
        <f aca="false">I114/$R$3</f>
        <v>-9.78556999999999</v>
      </c>
      <c r="V114" s="126" t="n">
        <f aca="false">M114/$R$3</f>
        <v>-9.78556999999998</v>
      </c>
      <c r="W114" s="126" t="n">
        <f aca="false">N114/$R$3</f>
        <v>-123.9544</v>
      </c>
    </row>
    <row r="115" customFormat="false" ht="13.5" hidden="true" customHeight="true" outlineLevel="0" collapsed="false">
      <c r="A115" s="120" t="n">
        <f aca="false">A114+1</f>
        <v>37001</v>
      </c>
      <c r="B115" s="131" t="str">
        <f aca="false">INDEX('Master Data'!$A$2:$B$8,MATCH(WEEKDAY('ARG Gas IM'!A115,3),'Master Data'!$A$2:$A$8,0),2)</f>
        <v>F</v>
      </c>
      <c r="D115" s="124" t="n">
        <f aca="false">-2523/27.0963</f>
        <v>-93.1123437517299</v>
      </c>
      <c r="E115" s="124" t="n">
        <v>0</v>
      </c>
      <c r="F115" s="124" t="n">
        <v>0</v>
      </c>
      <c r="G115" s="124" t="n">
        <v>-12029.93</v>
      </c>
      <c r="I115" s="124" t="n">
        <f aca="false">IF(MONTH($A115)=MONTH($A114),IF(G115=0,I114,G115),G115)</f>
        <v>-12029.93</v>
      </c>
      <c r="J115" s="124" t="n">
        <f aca="false">IF(MONTH($A115)=MONTH($A114),SUM(I115-I114),I115)</f>
        <v>-2244.36000000001</v>
      </c>
      <c r="K115" s="124" t="n">
        <f aca="false">IF(WEEKDAY(A115,3)&gt;4,0,(IF(A115&lt;K$2,0,IF(A115&lt;=K$3,1,0))))</f>
        <v>0</v>
      </c>
      <c r="L115" s="124" t="n">
        <f aca="false">J115*K115</f>
        <v>-0</v>
      </c>
      <c r="M115" s="124" t="n">
        <f aca="false">SUM(J$97:J115)</f>
        <v>-12029.93</v>
      </c>
      <c r="N115" s="124" t="n">
        <f aca="false">SUM(J$6:J115)</f>
        <v>-126198.76</v>
      </c>
      <c r="P115" s="124" t="n">
        <f aca="false">D115/P$3</f>
        <v>-9.31123437517299E-005</v>
      </c>
      <c r="Q115" s="124" t="n">
        <f aca="false">E115/P$3</f>
        <v>0</v>
      </c>
      <c r="R115" s="124" t="n">
        <f aca="false">F115/R$3</f>
        <v>0</v>
      </c>
      <c r="S115" s="126" t="n">
        <f aca="false">J115/$R$3</f>
        <v>-2.24436000000001</v>
      </c>
      <c r="T115" s="126" t="n">
        <f aca="false">L115/$R$3</f>
        <v>-0</v>
      </c>
      <c r="U115" s="126" t="n">
        <f aca="false">I115/$R$3</f>
        <v>-12.02993</v>
      </c>
      <c r="V115" s="126" t="n">
        <f aca="false">M115/$R$3</f>
        <v>-12.02993</v>
      </c>
      <c r="W115" s="126" t="n">
        <f aca="false">N115/$R$3</f>
        <v>-126.19876</v>
      </c>
    </row>
    <row r="116" customFormat="false" ht="13.5" hidden="true" customHeight="true" outlineLevel="0" collapsed="false">
      <c r="A116" s="120" t="n">
        <f aca="false">A115+1</f>
        <v>37002</v>
      </c>
      <c r="B116" s="131" t="str">
        <f aca="false">INDEX('Master Data'!$A$2:$B$8,MATCH(WEEKDAY('ARG Gas IM'!A116,3),'Master Data'!$A$2:$A$8,0),2)</f>
        <v>Sa</v>
      </c>
      <c r="D116" s="124" t="n">
        <v>0</v>
      </c>
      <c r="E116" s="124" t="n">
        <v>0</v>
      </c>
      <c r="F116" s="124" t="n">
        <v>0</v>
      </c>
      <c r="G116" s="124" t="n">
        <v>0</v>
      </c>
      <c r="I116" s="124" t="n">
        <f aca="false">IF(MONTH($A116)=MONTH($A115),IF(G116=0,I115,G116),G116)</f>
        <v>-12029.93</v>
      </c>
      <c r="J116" s="124" t="n">
        <f aca="false">IF(MONTH($A116)=MONTH($A115),SUM(I116-I115),I116)</f>
        <v>0</v>
      </c>
      <c r="K116" s="124" t="n">
        <f aca="false">IF(WEEKDAY(A116,3)&gt;4,0,(IF(A116&lt;K$2,0,IF(A116&lt;=K$3,1,0))))</f>
        <v>0</v>
      </c>
      <c r="L116" s="124" t="n">
        <f aca="false">J116*K116</f>
        <v>0</v>
      </c>
      <c r="M116" s="124" t="n">
        <f aca="false">SUM(J$97:J116)</f>
        <v>-12029.93</v>
      </c>
      <c r="N116" s="124" t="n">
        <f aca="false">SUM(J$6:J116)</f>
        <v>-126198.76</v>
      </c>
      <c r="P116" s="124" t="n">
        <f aca="false">D116/P$3</f>
        <v>0</v>
      </c>
      <c r="Q116" s="124" t="n">
        <f aca="false">E116/P$3</f>
        <v>0</v>
      </c>
      <c r="R116" s="124" t="n">
        <f aca="false">F116/R$3</f>
        <v>0</v>
      </c>
      <c r="S116" s="126" t="n">
        <f aca="false">J116/$R$3</f>
        <v>0</v>
      </c>
      <c r="T116" s="126" t="n">
        <f aca="false">L116/$R$3</f>
        <v>0</v>
      </c>
      <c r="U116" s="126" t="n">
        <f aca="false">I116/$R$3</f>
        <v>-12.02993</v>
      </c>
      <c r="V116" s="126" t="n">
        <f aca="false">M116/$R$3</f>
        <v>-12.02993</v>
      </c>
      <c r="W116" s="126" t="n">
        <f aca="false">N116/$R$3</f>
        <v>-126.19876</v>
      </c>
    </row>
    <row r="117" customFormat="false" ht="13.5" hidden="true" customHeight="true" outlineLevel="0" collapsed="false">
      <c r="A117" s="120" t="n">
        <f aca="false">A116+1</f>
        <v>37003</v>
      </c>
      <c r="B117" s="131" t="str">
        <f aca="false">INDEX('Master Data'!$A$2:$B$8,MATCH(WEEKDAY('ARG Gas IM'!A117,3),'Master Data'!$A$2:$A$8,0),2)</f>
        <v>Su</v>
      </c>
      <c r="D117" s="124" t="n">
        <v>0</v>
      </c>
      <c r="E117" s="124" t="n">
        <v>0</v>
      </c>
      <c r="F117" s="124" t="n">
        <v>0</v>
      </c>
      <c r="G117" s="124" t="n">
        <v>0</v>
      </c>
      <c r="I117" s="124" t="n">
        <f aca="false">IF(MONTH($A117)=MONTH($A116),IF(G117=0,I116,G117),G117)</f>
        <v>-12029.93</v>
      </c>
      <c r="J117" s="124" t="n">
        <f aca="false">IF(MONTH($A117)=MONTH($A116),SUM(I117-I116),I117)</f>
        <v>0</v>
      </c>
      <c r="K117" s="124" t="n">
        <f aca="false">IF(WEEKDAY(A117,3)&gt;4,0,(IF(A117&lt;K$2,0,IF(A117&lt;=K$3,1,0))))</f>
        <v>0</v>
      </c>
      <c r="L117" s="124" t="n">
        <f aca="false">J117*K117</f>
        <v>0</v>
      </c>
      <c r="M117" s="124" t="n">
        <f aca="false">SUM(J$97:J117)</f>
        <v>-12029.93</v>
      </c>
      <c r="N117" s="124" t="n">
        <f aca="false">SUM(J$6:J117)</f>
        <v>-126198.76</v>
      </c>
      <c r="P117" s="124" t="n">
        <f aca="false">D117/P$3</f>
        <v>0</v>
      </c>
      <c r="Q117" s="124" t="n">
        <f aca="false">E117/P$3</f>
        <v>0</v>
      </c>
      <c r="R117" s="124" t="n">
        <f aca="false">F117/R$3</f>
        <v>0</v>
      </c>
      <c r="S117" s="126" t="n">
        <f aca="false">J117/$R$3</f>
        <v>0</v>
      </c>
      <c r="T117" s="126" t="n">
        <f aca="false">L117/$R$3</f>
        <v>0</v>
      </c>
      <c r="U117" s="126" t="n">
        <f aca="false">I117/$R$3</f>
        <v>-12.02993</v>
      </c>
      <c r="V117" s="126" t="n">
        <f aca="false">M117/$R$3</f>
        <v>-12.02993</v>
      </c>
      <c r="W117" s="126" t="n">
        <f aca="false">N117/$R$3</f>
        <v>-126.19876</v>
      </c>
    </row>
    <row r="118" customFormat="false" ht="13.5" hidden="true" customHeight="true" outlineLevel="0" collapsed="false">
      <c r="A118" s="120" t="n">
        <f aca="false">A117+1</f>
        <v>37004</v>
      </c>
      <c r="B118" s="131" t="str">
        <f aca="false">INDEX('Master Data'!$A$2:$B$8,MATCH(WEEKDAY('ARG Gas IM'!A118,3),'Master Data'!$A$2:$A$8,0),2)</f>
        <v>M</v>
      </c>
      <c r="D118" s="124" t="n">
        <f aca="false">9477/27.0963</f>
        <v>349.75254924104</v>
      </c>
      <c r="E118" s="124" t="n">
        <v>0</v>
      </c>
      <c r="F118" s="124" t="n">
        <v>0</v>
      </c>
      <c r="G118" s="124" t="n">
        <v>-19187.08</v>
      </c>
      <c r="I118" s="124" t="n">
        <f aca="false">IF(MONTH($A118)=MONTH($A117),IF(G118=0,I117,G118),G118)</f>
        <v>-19187.08</v>
      </c>
      <c r="J118" s="124" t="n">
        <f aca="false">IF(MONTH($A118)=MONTH($A117),SUM(I118-I117),I118)</f>
        <v>-7157.15</v>
      </c>
      <c r="K118" s="124" t="n">
        <f aca="false">IF(WEEKDAY(A118,3)&gt;4,0,(IF(A118&lt;K$2,0,IF(A118&lt;=K$3,1,0))))</f>
        <v>0</v>
      </c>
      <c r="L118" s="124" t="n">
        <f aca="false">J118*K118</f>
        <v>-0</v>
      </c>
      <c r="M118" s="124" t="n">
        <f aca="false">SUM(J$97:J118)</f>
        <v>-19187.08</v>
      </c>
      <c r="N118" s="124" t="n">
        <f aca="false">SUM(J$6:J118)</f>
        <v>-133355.91</v>
      </c>
      <c r="P118" s="124" t="n">
        <f aca="false">D118/P$3</f>
        <v>0.00034975254924104</v>
      </c>
      <c r="Q118" s="124" t="n">
        <f aca="false">E118/P$3</f>
        <v>0</v>
      </c>
      <c r="R118" s="124" t="n">
        <f aca="false">F118/R$3</f>
        <v>0</v>
      </c>
      <c r="S118" s="126" t="n">
        <f aca="false">J118/$R$3</f>
        <v>-7.15715</v>
      </c>
      <c r="T118" s="126" t="n">
        <f aca="false">L118/$R$3</f>
        <v>-0</v>
      </c>
      <c r="U118" s="126" t="n">
        <f aca="false">I118/$R$3</f>
        <v>-19.18708</v>
      </c>
      <c r="V118" s="126" t="n">
        <f aca="false">M118/$R$3</f>
        <v>-19.18708</v>
      </c>
      <c r="W118" s="126" t="n">
        <f aca="false">N118/$R$3</f>
        <v>-133.35591</v>
      </c>
    </row>
    <row r="119" customFormat="false" ht="13.5" hidden="true" customHeight="true" outlineLevel="0" collapsed="false">
      <c r="A119" s="120" t="n">
        <f aca="false">A118+1</f>
        <v>37005</v>
      </c>
      <c r="B119" s="131" t="str">
        <f aca="false">INDEX('Master Data'!$A$2:$B$8,MATCH(WEEKDAY('ARG Gas IM'!A119,3),'Master Data'!$A$2:$A$8,0),2)</f>
        <v>T</v>
      </c>
      <c r="D119" s="124" t="n">
        <f aca="false">21477/27.0963</f>
        <v>792.617442233811</v>
      </c>
      <c r="E119" s="124" t="n">
        <v>0</v>
      </c>
      <c r="F119" s="124" t="n">
        <v>0</v>
      </c>
      <c r="G119" s="124" t="n">
        <v>-21790.55</v>
      </c>
      <c r="I119" s="124" t="n">
        <f aca="false">IF(MONTH($A119)=MONTH($A118),IF(G119=0,I118,G119),G119)</f>
        <v>-21790.55</v>
      </c>
      <c r="J119" s="124" t="n">
        <f aca="false">IF(MONTH($A119)=MONTH($A118),SUM(I119-I118),I119)</f>
        <v>-2603.47</v>
      </c>
      <c r="K119" s="124" t="n">
        <f aca="false">IF(WEEKDAY(A119,3)&gt;4,0,(IF(A119&lt;K$2,0,IF(A119&lt;=K$3,1,0))))</f>
        <v>0</v>
      </c>
      <c r="L119" s="124" t="n">
        <f aca="false">J119*K119</f>
        <v>-0</v>
      </c>
      <c r="M119" s="124" t="n">
        <f aca="false">SUM(J$97:J119)</f>
        <v>-21790.55</v>
      </c>
      <c r="N119" s="124" t="n">
        <f aca="false">SUM(J$6:J119)</f>
        <v>-135959.38</v>
      </c>
      <c r="P119" s="124" t="n">
        <f aca="false">D119/P$3</f>
        <v>0.000792617442233811</v>
      </c>
      <c r="Q119" s="124" t="n">
        <f aca="false">E119/P$3</f>
        <v>0</v>
      </c>
      <c r="R119" s="124" t="n">
        <f aca="false">F119/R$3</f>
        <v>0</v>
      </c>
      <c r="S119" s="126" t="n">
        <f aca="false">J119/$R$3</f>
        <v>-2.60347</v>
      </c>
      <c r="T119" s="126" t="n">
        <f aca="false">L119/$R$3</f>
        <v>-0</v>
      </c>
      <c r="U119" s="126" t="n">
        <f aca="false">I119/$R$3</f>
        <v>-21.79055</v>
      </c>
      <c r="V119" s="126" t="n">
        <f aca="false">M119/$R$3</f>
        <v>-21.79055</v>
      </c>
      <c r="W119" s="126" t="n">
        <f aca="false">N119/$R$3</f>
        <v>-135.95938</v>
      </c>
    </row>
    <row r="120" customFormat="false" ht="13.5" hidden="true" customHeight="true" outlineLevel="0" collapsed="false">
      <c r="A120" s="120" t="n">
        <f aca="false">A119+1</f>
        <v>37006</v>
      </c>
      <c r="B120" s="131" t="str">
        <f aca="false">INDEX('Master Data'!$A$2:$B$8,MATCH(WEEKDAY('ARG Gas IM'!A120,3),'Master Data'!$A$2:$A$8,0),2)</f>
        <v>W</v>
      </c>
      <c r="D120" s="124" t="n">
        <f aca="false">-26/27.0963</f>
        <v>-0.959540601484336</v>
      </c>
      <c r="E120" s="124" t="n">
        <v>0</v>
      </c>
      <c r="F120" s="124" t="n">
        <v>0</v>
      </c>
      <c r="G120" s="124" t="n">
        <v>-25309.82</v>
      </c>
      <c r="I120" s="124" t="n">
        <f aca="false">IF(MONTH($A120)=MONTH($A119),IF(G120=0,I119,G120),G120)</f>
        <v>-25309.82</v>
      </c>
      <c r="J120" s="124" t="n">
        <f aca="false">IF(MONTH($A120)=MONTH($A119),SUM(I120-I119),I120)</f>
        <v>-3519.27</v>
      </c>
      <c r="K120" s="124" t="n">
        <f aca="false">IF(WEEKDAY(A120,3)&gt;4,0,(IF(A120&lt;K$2,0,IF(A120&lt;=K$3,1,0))))</f>
        <v>0</v>
      </c>
      <c r="L120" s="124" t="n">
        <f aca="false">J120*K120</f>
        <v>-0</v>
      </c>
      <c r="M120" s="124" t="n">
        <f aca="false">SUM(J$97:J120)</f>
        <v>-25309.82</v>
      </c>
      <c r="N120" s="124" t="n">
        <f aca="false">SUM(J$6:J120)</f>
        <v>-139478.65</v>
      </c>
      <c r="P120" s="124" t="n">
        <f aca="false">D120/P$3</f>
        <v>-9.59540601484335E-007</v>
      </c>
      <c r="Q120" s="124" t="n">
        <f aca="false">E120/P$3</f>
        <v>0</v>
      </c>
      <c r="R120" s="124" t="n">
        <f aca="false">F120/R$3</f>
        <v>0</v>
      </c>
      <c r="S120" s="126" t="n">
        <f aca="false">J120/$R$3</f>
        <v>-3.51927</v>
      </c>
      <c r="T120" s="126" t="n">
        <f aca="false">L120/$R$3</f>
        <v>-0</v>
      </c>
      <c r="U120" s="126" t="n">
        <f aca="false">I120/$R$3</f>
        <v>-25.30982</v>
      </c>
      <c r="V120" s="126" t="n">
        <f aca="false">M120/$R$3</f>
        <v>-25.30982</v>
      </c>
      <c r="W120" s="126" t="n">
        <f aca="false">N120/$R$3</f>
        <v>-139.47865</v>
      </c>
    </row>
    <row r="121" customFormat="false" ht="13.5" hidden="true" customHeight="true" outlineLevel="0" collapsed="false">
      <c r="A121" s="120" t="n">
        <f aca="false">A120+1</f>
        <v>37007</v>
      </c>
      <c r="B121" s="131" t="str">
        <f aca="false">INDEX('Master Data'!$A$2:$B$8,MATCH(WEEKDAY('ARG Gas IM'!A121,3),'Master Data'!$A$2:$A$8,0),2)</f>
        <v>Th</v>
      </c>
      <c r="D121" s="124" t="n">
        <f aca="false">-26/27.0963</f>
        <v>-0.959540601484336</v>
      </c>
      <c r="E121" s="124" t="n">
        <v>0</v>
      </c>
      <c r="F121" s="124" t="n">
        <v>0</v>
      </c>
      <c r="G121" s="124" t="n">
        <v>-27619.69</v>
      </c>
      <c r="I121" s="124" t="n">
        <f aca="false">IF(MONTH($A121)=MONTH($A120),IF(G121=0,I120,G121),G121)</f>
        <v>-27619.69</v>
      </c>
      <c r="J121" s="124" t="n">
        <f aca="false">IF(MONTH($A121)=MONTH($A120),SUM(I121-I120),I121)</f>
        <v>-2309.87</v>
      </c>
      <c r="K121" s="124" t="n">
        <f aca="false">IF(WEEKDAY(A121,3)&gt;4,0,(IF(A121&lt;K$2,0,IF(A121&lt;=K$3,1,0))))</f>
        <v>0</v>
      </c>
      <c r="L121" s="124" t="n">
        <f aca="false">J121*K121</f>
        <v>-0</v>
      </c>
      <c r="M121" s="124" t="n">
        <f aca="false">SUM(J$97:J121)</f>
        <v>-27619.69</v>
      </c>
      <c r="N121" s="124" t="n">
        <f aca="false">SUM(J$6:J121)</f>
        <v>-141788.52</v>
      </c>
      <c r="P121" s="124" t="n">
        <f aca="false">D121/P$3</f>
        <v>-9.59540601484335E-007</v>
      </c>
      <c r="Q121" s="124" t="n">
        <f aca="false">E121/P$3</f>
        <v>0</v>
      </c>
      <c r="R121" s="124" t="n">
        <f aca="false">F121/R$3</f>
        <v>0</v>
      </c>
      <c r="S121" s="126" t="n">
        <f aca="false">J121/$R$3</f>
        <v>-2.30987</v>
      </c>
      <c r="T121" s="126" t="n">
        <f aca="false">L121/$R$3</f>
        <v>-0</v>
      </c>
      <c r="U121" s="126" t="n">
        <f aca="false">I121/$R$3</f>
        <v>-27.61969</v>
      </c>
      <c r="V121" s="126" t="n">
        <f aca="false">M121/$R$3</f>
        <v>-27.61969</v>
      </c>
      <c r="W121" s="126" t="n">
        <f aca="false">N121/$R$3</f>
        <v>-141.78852</v>
      </c>
    </row>
    <row r="122" customFormat="false" ht="13.5" hidden="true" customHeight="true" outlineLevel="0" collapsed="false">
      <c r="A122" s="120" t="n">
        <f aca="false">A121+1</f>
        <v>37008</v>
      </c>
      <c r="B122" s="131" t="str">
        <f aca="false">INDEX('Master Data'!$A$2:$B$8,MATCH(WEEKDAY('ARG Gas IM'!A122,3),'Master Data'!$A$2:$A$8,0),2)</f>
        <v>F</v>
      </c>
      <c r="D122" s="124" t="n">
        <f aca="false">-26/27.0963</f>
        <v>-0.959540601484336</v>
      </c>
      <c r="E122" s="124" t="n">
        <v>0</v>
      </c>
      <c r="F122" s="124" t="n">
        <v>0</v>
      </c>
      <c r="G122" s="124" t="n">
        <v>-29927.56</v>
      </c>
      <c r="I122" s="124" t="n">
        <f aca="false">IF(MONTH($A122)=MONTH($A121),IF(G122=0,I121,G122),G122)</f>
        <v>-29927.56</v>
      </c>
      <c r="J122" s="124" t="n">
        <f aca="false">IF(MONTH($A122)=MONTH($A121),SUM(I122-I121),I122)</f>
        <v>-2307.87</v>
      </c>
      <c r="K122" s="124" t="n">
        <f aca="false">IF(WEEKDAY(A122,3)&gt;4,0,(IF(A122&lt;K$2,0,IF(A122&lt;=K$3,1,0))))</f>
        <v>0</v>
      </c>
      <c r="L122" s="124" t="n">
        <f aca="false">J122*K122</f>
        <v>-0</v>
      </c>
      <c r="M122" s="124" t="n">
        <f aca="false">SUM(J$97:J122)</f>
        <v>-29927.56</v>
      </c>
      <c r="N122" s="124" t="n">
        <f aca="false">SUM(J$6:J122)</f>
        <v>-144096.39</v>
      </c>
      <c r="P122" s="124" t="n">
        <f aca="false">D122/P$3</f>
        <v>-9.59540601484335E-007</v>
      </c>
      <c r="Q122" s="124" t="n">
        <f aca="false">E122/P$3</f>
        <v>0</v>
      </c>
      <c r="R122" s="124" t="n">
        <f aca="false">F122/R$3</f>
        <v>0</v>
      </c>
      <c r="S122" s="126" t="n">
        <f aca="false">J122/$R$3</f>
        <v>-2.30787</v>
      </c>
      <c r="T122" s="126" t="n">
        <f aca="false">L122/$R$3</f>
        <v>-0</v>
      </c>
      <c r="U122" s="126" t="n">
        <f aca="false">I122/$R$3</f>
        <v>-29.92756</v>
      </c>
      <c r="V122" s="126" t="n">
        <f aca="false">M122/$R$3</f>
        <v>-29.92756</v>
      </c>
      <c r="W122" s="126" t="n">
        <f aca="false">N122/$R$3</f>
        <v>-144.09639</v>
      </c>
    </row>
    <row r="123" customFormat="false" ht="13.5" hidden="true" customHeight="true" outlineLevel="0" collapsed="false">
      <c r="A123" s="120" t="n">
        <f aca="false">A122+1</f>
        <v>37009</v>
      </c>
      <c r="B123" s="131" t="str">
        <f aca="false">INDEX('Master Data'!$A$2:$B$8,MATCH(WEEKDAY('ARG Gas IM'!A123,3),'Master Data'!$A$2:$A$8,0),2)</f>
        <v>Sa</v>
      </c>
      <c r="D123" s="124" t="n">
        <v>0</v>
      </c>
      <c r="E123" s="124" t="n">
        <v>0</v>
      </c>
      <c r="F123" s="124" t="n">
        <v>0</v>
      </c>
      <c r="G123" s="124" t="n">
        <v>0</v>
      </c>
      <c r="I123" s="124" t="n">
        <f aca="false">IF(MONTH($A123)=MONTH($A122),IF(G123=0,I122,G123),G123)</f>
        <v>-29927.56</v>
      </c>
      <c r="J123" s="124" t="n">
        <f aca="false">IF(MONTH($A123)=MONTH($A122),SUM(I123-I122),I123)</f>
        <v>0</v>
      </c>
      <c r="K123" s="124" t="n">
        <f aca="false">IF(WEEKDAY(A123,3)&gt;4,0,(IF(A123&lt;K$2,0,IF(A123&lt;=K$3,1,0))))</f>
        <v>0</v>
      </c>
      <c r="L123" s="124" t="n">
        <f aca="false">J123*K123</f>
        <v>0</v>
      </c>
      <c r="M123" s="124" t="n">
        <f aca="false">SUM(J$97:J123)</f>
        <v>-29927.56</v>
      </c>
      <c r="N123" s="124" t="n">
        <f aca="false">SUM(J$6:J123)</f>
        <v>-144096.39</v>
      </c>
      <c r="P123" s="124" t="n">
        <f aca="false">D123/P$3</f>
        <v>0</v>
      </c>
      <c r="Q123" s="124" t="n">
        <f aca="false">E123/P$3</f>
        <v>0</v>
      </c>
      <c r="R123" s="124" t="n">
        <f aca="false">F123/R$3</f>
        <v>0</v>
      </c>
      <c r="S123" s="126" t="n">
        <f aca="false">J123/$R$3</f>
        <v>0</v>
      </c>
      <c r="T123" s="126" t="n">
        <f aca="false">L123/$R$3</f>
        <v>0</v>
      </c>
      <c r="U123" s="126" t="n">
        <f aca="false">I123/$R$3</f>
        <v>-29.92756</v>
      </c>
      <c r="V123" s="126" t="n">
        <f aca="false">M123/$R$3</f>
        <v>-29.92756</v>
      </c>
      <c r="W123" s="126" t="n">
        <f aca="false">N123/$R$3</f>
        <v>-144.09639</v>
      </c>
    </row>
    <row r="124" customFormat="false" ht="13.5" hidden="true" customHeight="true" outlineLevel="0" collapsed="false">
      <c r="A124" s="120" t="n">
        <f aca="false">A123+1</f>
        <v>37010</v>
      </c>
      <c r="B124" s="131" t="str">
        <f aca="false">INDEX('Master Data'!$A$2:$B$8,MATCH(WEEKDAY('ARG Gas IM'!A124,3),'Master Data'!$A$2:$A$8,0),2)</f>
        <v>Su</v>
      </c>
      <c r="D124" s="124" t="n">
        <v>0</v>
      </c>
      <c r="E124" s="124" t="n">
        <v>0</v>
      </c>
      <c r="F124" s="124" t="n">
        <v>0</v>
      </c>
      <c r="G124" s="124" t="n">
        <v>0</v>
      </c>
      <c r="I124" s="124" t="n">
        <f aca="false">IF(MONTH($A124)=MONTH($A123),IF(G124=0,I123,G124),G124)</f>
        <v>-29927.56</v>
      </c>
      <c r="J124" s="124" t="n">
        <f aca="false">IF(MONTH($A124)=MONTH($A123),SUM(I124-I123),I124)</f>
        <v>0</v>
      </c>
      <c r="K124" s="124" t="n">
        <f aca="false">IF(WEEKDAY(A124,3)&gt;4,0,(IF(A124&lt;K$2,0,IF(A124&lt;=K$3,1,0))))</f>
        <v>0</v>
      </c>
      <c r="L124" s="124" t="n">
        <f aca="false">J124*K124</f>
        <v>0</v>
      </c>
      <c r="M124" s="124" t="n">
        <f aca="false">SUM(J$97:J124)</f>
        <v>-29927.56</v>
      </c>
      <c r="N124" s="124" t="n">
        <f aca="false">SUM(J$6:J124)</f>
        <v>-144096.39</v>
      </c>
      <c r="P124" s="124" t="n">
        <f aca="false">D124/P$3</f>
        <v>0</v>
      </c>
      <c r="Q124" s="124" t="n">
        <f aca="false">E124/P$3</f>
        <v>0</v>
      </c>
      <c r="R124" s="124" t="n">
        <f aca="false">F124/R$3</f>
        <v>0</v>
      </c>
      <c r="S124" s="126" t="n">
        <f aca="false">J124/$R$3</f>
        <v>0</v>
      </c>
      <c r="T124" s="126" t="n">
        <f aca="false">L124/$R$3</f>
        <v>0</v>
      </c>
      <c r="U124" s="126" t="n">
        <f aca="false">I124/$R$3</f>
        <v>-29.92756</v>
      </c>
      <c r="V124" s="126" t="n">
        <f aca="false">M124/$R$3</f>
        <v>-29.92756</v>
      </c>
      <c r="W124" s="126" t="n">
        <f aca="false">N124/$R$3</f>
        <v>-144.09639</v>
      </c>
    </row>
    <row r="125" customFormat="false" ht="13.5" hidden="false" customHeight="true" outlineLevel="0" collapsed="false">
      <c r="A125" s="120" t="n">
        <f aca="false">A124+1</f>
        <v>37011</v>
      </c>
      <c r="B125" s="131" t="str">
        <f aca="false">INDEX('Master Data'!$A$2:$B$8,MATCH(WEEKDAY('ARG Gas IM'!A125,3),'Master Data'!$A$2:$A$8,0),2)</f>
        <v>M</v>
      </c>
      <c r="D125" s="124" t="n">
        <f aca="false">-95155/27.0963</f>
        <v>-3511.73407439392</v>
      </c>
      <c r="E125" s="124" t="n">
        <v>0</v>
      </c>
      <c r="F125" s="124" t="n">
        <v>0</v>
      </c>
      <c r="G125" s="124" t="n">
        <v>-29604.73</v>
      </c>
      <c r="I125" s="124" t="n">
        <f aca="false">IF(MONTH($A125)=MONTH($A124),IF(G125=0,I124,G125),G125)</f>
        <v>-29604.73</v>
      </c>
      <c r="J125" s="124" t="n">
        <f aca="false">IF(MONTH($A125)=MONTH($A124),SUM(I125-I124),I125)</f>
        <v>322.830000000002</v>
      </c>
      <c r="K125" s="124" t="n">
        <f aca="false">IF(WEEKDAY(A125,3)&gt;4,0,(IF(A125&lt;K$2,0,IF(A125&lt;=K$3,1,0))))</f>
        <v>0</v>
      </c>
      <c r="L125" s="124" t="n">
        <f aca="false">J125*K125</f>
        <v>0</v>
      </c>
      <c r="M125" s="124" t="n">
        <f aca="false">SUM(J$97:J125)</f>
        <v>-29604.73</v>
      </c>
      <c r="N125" s="124" t="n">
        <f aca="false">SUM(J$6:J125)</f>
        <v>-143773.56</v>
      </c>
      <c r="P125" s="124" t="n">
        <f aca="false">D125/P$3</f>
        <v>-0.00351173407439392</v>
      </c>
      <c r="Q125" s="124" t="n">
        <f aca="false">E125/P$3</f>
        <v>0</v>
      </c>
      <c r="R125" s="124" t="n">
        <f aca="false">F125/R$3</f>
        <v>0</v>
      </c>
      <c r="S125" s="126" t="n">
        <f aca="false">J125/$R$3</f>
        <v>0.322830000000002</v>
      </c>
      <c r="T125" s="126" t="n">
        <f aca="false">L125/$R$3</f>
        <v>0</v>
      </c>
      <c r="U125" s="126" t="n">
        <f aca="false">I125/$R$3</f>
        <v>-29.60473</v>
      </c>
      <c r="V125" s="126" t="n">
        <f aca="false">M125/$R$3</f>
        <v>-29.60473</v>
      </c>
      <c r="W125" s="126" t="n">
        <f aca="false">N125/$R$3</f>
        <v>-143.77356</v>
      </c>
    </row>
    <row r="126" customFormat="false" ht="13.5" hidden="true" customHeight="true" outlineLevel="0" collapsed="false">
      <c r="A126" s="120" t="n">
        <f aca="false">A125+1</f>
        <v>37012</v>
      </c>
      <c r="B126" s="131" t="str">
        <f aca="false">INDEX('Master Data'!$A$2:$B$8,MATCH(WEEKDAY('ARG Gas IM'!A126,3),'Master Data'!$A$2:$A$8,0),2)</f>
        <v>T</v>
      </c>
      <c r="D126" s="124" t="n">
        <f aca="false">14554</f>
        <v>14554</v>
      </c>
      <c r="E126" s="124" t="n">
        <v>0</v>
      </c>
      <c r="F126" s="124" t="n">
        <v>0</v>
      </c>
      <c r="G126" s="124" t="n">
        <v>-1021.36</v>
      </c>
      <c r="I126" s="124" t="n">
        <f aca="false">IF(MONTH($A126)=MONTH($A125),IF(G126=0,I125,G126),G126)</f>
        <v>-1021.36</v>
      </c>
      <c r="J126" s="124" t="n">
        <f aca="false">IF(MONTH($A126)=MONTH($A125),SUM(I126-I125),I126)</f>
        <v>-1021.36</v>
      </c>
      <c r="K126" s="124" t="n">
        <f aca="false">IF(WEEKDAY(A126,3)&gt;4,0,(IF(A126&lt;K$2,0,IF(A126&lt;=K$3,1,0))))</f>
        <v>0</v>
      </c>
      <c r="L126" s="124" t="n">
        <f aca="false">J126*K126</f>
        <v>-0</v>
      </c>
      <c r="M126" s="124" t="n">
        <f aca="false">SUM(J$97:J126)</f>
        <v>-30626.09</v>
      </c>
      <c r="N126" s="124" t="n">
        <f aca="false">SUM(J$6:J126)</f>
        <v>-144794.92</v>
      </c>
      <c r="P126" s="124" t="n">
        <f aca="false">D126/P$3</f>
        <v>0.014554</v>
      </c>
      <c r="Q126" s="124" t="n">
        <f aca="false">E126/P$3</f>
        <v>0</v>
      </c>
      <c r="R126" s="124" t="n">
        <f aca="false">F126/R$3</f>
        <v>0</v>
      </c>
      <c r="S126" s="126" t="n">
        <f aca="false">J126/$R$3</f>
        <v>-1.02136</v>
      </c>
      <c r="T126" s="126" t="n">
        <f aca="false">L126/$R$3</f>
        <v>-0</v>
      </c>
      <c r="U126" s="126" t="n">
        <f aca="false">I126/$R$3</f>
        <v>-1.02136</v>
      </c>
      <c r="V126" s="126" t="n">
        <f aca="false">M126/$R$3</f>
        <v>-30.62609</v>
      </c>
      <c r="W126" s="126" t="n">
        <f aca="false">N126/$R$3</f>
        <v>-144.79492</v>
      </c>
    </row>
    <row r="127" customFormat="false" ht="13.5" hidden="true" customHeight="true" outlineLevel="0" collapsed="false">
      <c r="A127" s="120" t="n">
        <f aca="false">A126+1</f>
        <v>37013</v>
      </c>
      <c r="B127" s="131" t="str">
        <f aca="false">INDEX('Master Data'!$A$2:$B$8,MATCH(WEEKDAY('ARG Gas IM'!A127,3),'Master Data'!$A$2:$A$8,0),2)</f>
        <v>W</v>
      </c>
      <c r="D127" s="124" t="n">
        <v>14070.9420999996</v>
      </c>
      <c r="E127" s="124" t="n">
        <v>0</v>
      </c>
      <c r="F127" s="124" t="n">
        <v>0</v>
      </c>
      <c r="G127" s="124" t="n">
        <v>-27545.23</v>
      </c>
      <c r="I127" s="124" t="n">
        <f aca="false">IF(MONTH($A127)=MONTH($A126),IF(G127=0,I126,G127),G127)</f>
        <v>-27545.23</v>
      </c>
      <c r="J127" s="124" t="n">
        <f aca="false">IF(MONTH($A127)=MONTH($A126),SUM(I127-I126),I127)</f>
        <v>-26523.87</v>
      </c>
      <c r="K127" s="124" t="n">
        <f aca="false">IF(WEEKDAY(A127,3)&gt;4,0,(IF(A127&lt;K$2,0,IF(A127&lt;=K$3,1,0))))</f>
        <v>0</v>
      </c>
      <c r="L127" s="124" t="n">
        <f aca="false">J127*K127</f>
        <v>-0</v>
      </c>
      <c r="M127" s="124" t="n">
        <f aca="false">SUM(J$97:J127)</f>
        <v>-57149.96</v>
      </c>
      <c r="N127" s="124" t="n">
        <f aca="false">SUM(J$6:J127)</f>
        <v>-171318.79</v>
      </c>
      <c r="P127" s="124" t="n">
        <f aca="false">D127/P$3</f>
        <v>0.0140709420999996</v>
      </c>
      <c r="Q127" s="124" t="n">
        <f aca="false">E127/P$3</f>
        <v>0</v>
      </c>
      <c r="R127" s="124" t="n">
        <f aca="false">F127/R$3</f>
        <v>0</v>
      </c>
      <c r="S127" s="126" t="n">
        <f aca="false">J127/$R$3</f>
        <v>-26.52387</v>
      </c>
      <c r="T127" s="126" t="n">
        <f aca="false">L127/$R$3</f>
        <v>-0</v>
      </c>
      <c r="U127" s="126" t="n">
        <f aca="false">I127/$R$3</f>
        <v>-27.54523</v>
      </c>
      <c r="V127" s="126" t="n">
        <f aca="false">M127/$R$3</f>
        <v>-57.14996</v>
      </c>
      <c r="W127" s="126" t="n">
        <f aca="false">N127/$R$3</f>
        <v>-171.31879</v>
      </c>
    </row>
    <row r="128" customFormat="false" ht="13.5" hidden="true" customHeight="true" outlineLevel="0" collapsed="false">
      <c r="A128" s="120" t="n">
        <f aca="false">A127+1</f>
        <v>37014</v>
      </c>
      <c r="B128" s="131" t="str">
        <f aca="false">INDEX('Master Data'!$A$2:$B$8,MATCH(WEEKDAY('ARG Gas IM'!A128,3),'Master Data'!$A$2:$A$8,0),2)</f>
        <v>Th</v>
      </c>
      <c r="D128" s="124" t="n">
        <v>-7343.8664</v>
      </c>
      <c r="E128" s="124" t="n">
        <v>0</v>
      </c>
      <c r="F128" s="124" t="n">
        <v>0</v>
      </c>
      <c r="G128" s="124" t="n">
        <v>-18792.63</v>
      </c>
      <c r="I128" s="124" t="n">
        <f aca="false">IF(MONTH($A128)=MONTH($A127),IF(G128=0,I127,G128),G128)</f>
        <v>-18792.63</v>
      </c>
      <c r="J128" s="124" t="n">
        <f aca="false">IF(MONTH($A128)=MONTH($A127),SUM(I128-I127),I128)</f>
        <v>8752.6</v>
      </c>
      <c r="K128" s="124" t="n">
        <f aca="false">IF(WEEKDAY(A128,3)&gt;4,0,(IF(A128&lt;K$2,0,IF(A128&lt;=K$3,1,0))))</f>
        <v>0</v>
      </c>
      <c r="L128" s="124" t="n">
        <f aca="false">J128*K128</f>
        <v>0</v>
      </c>
      <c r="M128" s="124" t="n">
        <f aca="false">SUM(J$97:J128)</f>
        <v>-48397.36</v>
      </c>
      <c r="N128" s="124" t="n">
        <f aca="false">SUM(J$6:J128)</f>
        <v>-162566.19</v>
      </c>
      <c r="P128" s="124" t="n">
        <f aca="false">D128/P$3</f>
        <v>-0.0073438664</v>
      </c>
      <c r="Q128" s="124" t="n">
        <f aca="false">E128/P$3</f>
        <v>0</v>
      </c>
      <c r="R128" s="124" t="n">
        <f aca="false">F128/R$3</f>
        <v>0</v>
      </c>
      <c r="S128" s="126" t="n">
        <f aca="false">J128/$R$3</f>
        <v>8.7526</v>
      </c>
      <c r="T128" s="126" t="n">
        <f aca="false">L128/$R$3</f>
        <v>0</v>
      </c>
      <c r="U128" s="126" t="n">
        <f aca="false">I128/$R$3</f>
        <v>-18.79263</v>
      </c>
      <c r="V128" s="126" t="n">
        <f aca="false">M128/$R$3</f>
        <v>-48.39736</v>
      </c>
      <c r="W128" s="126" t="n">
        <f aca="false">N128/$R$3</f>
        <v>-162.56619</v>
      </c>
    </row>
    <row r="129" customFormat="false" ht="13.5" hidden="true" customHeight="true" outlineLevel="0" collapsed="false">
      <c r="A129" s="120" t="n">
        <f aca="false">A128+1</f>
        <v>37015</v>
      </c>
      <c r="B129" s="131" t="str">
        <f aca="false">INDEX('Master Data'!$A$2:$B$8,MATCH(WEEKDAY('ARG Gas IM'!A129,3),'Master Data'!$A$2:$A$8,0),2)</f>
        <v>F</v>
      </c>
      <c r="D129" s="124" t="n">
        <v>9106.76230000141</v>
      </c>
      <c r="E129" s="124" t="n">
        <v>0</v>
      </c>
      <c r="F129" s="124" t="n">
        <v>0</v>
      </c>
      <c r="G129" s="124" t="n">
        <v>-18815.97</v>
      </c>
      <c r="I129" s="124" t="n">
        <f aca="false">IF(MONTH($A129)=MONTH($A128),IF(G129=0,I128,G129),G129)</f>
        <v>-18815.97</v>
      </c>
      <c r="J129" s="124" t="n">
        <f aca="false">IF(MONTH($A129)=MONTH($A128),SUM(I129-I128),I129)</f>
        <v>-23.3400000000001</v>
      </c>
      <c r="K129" s="124" t="n">
        <f aca="false">IF(WEEKDAY(A129,3)&gt;4,0,(IF(A129&lt;K$2,0,IF(A129&lt;=K$3,1,0))))</f>
        <v>0</v>
      </c>
      <c r="L129" s="124" t="n">
        <f aca="false">J129*K129</f>
        <v>-0</v>
      </c>
      <c r="M129" s="124" t="n">
        <f aca="false">SUM(J$97:J129)</f>
        <v>-48420.7</v>
      </c>
      <c r="N129" s="124" t="n">
        <f aca="false">SUM(J$6:J129)</f>
        <v>-162589.53</v>
      </c>
      <c r="P129" s="124" t="n">
        <f aca="false">D129/P$3</f>
        <v>0.00910676230000141</v>
      </c>
      <c r="Q129" s="124" t="n">
        <f aca="false">E129/P$3</f>
        <v>0</v>
      </c>
      <c r="R129" s="124" t="n">
        <f aca="false">F129/R$3</f>
        <v>0</v>
      </c>
      <c r="S129" s="126" t="n">
        <f aca="false">J129/$R$3</f>
        <v>-0.0233400000000001</v>
      </c>
      <c r="T129" s="126" t="n">
        <f aca="false">L129/$R$3</f>
        <v>-0</v>
      </c>
      <c r="U129" s="126" t="n">
        <f aca="false">I129/$R$3</f>
        <v>-18.81597</v>
      </c>
      <c r="V129" s="126" t="n">
        <f aca="false">M129/$R$3</f>
        <v>-48.4207</v>
      </c>
      <c r="W129" s="126" t="n">
        <f aca="false">N129/$R$3</f>
        <v>-162.58953</v>
      </c>
    </row>
    <row r="130" customFormat="false" ht="13.5" hidden="true" customHeight="true" outlineLevel="0" collapsed="false">
      <c r="A130" s="120" t="n">
        <f aca="false">A129+1</f>
        <v>37016</v>
      </c>
      <c r="B130" s="131" t="str">
        <f aca="false">INDEX('Master Data'!$A$2:$B$8,MATCH(WEEKDAY('ARG Gas IM'!A130,3),'Master Data'!$A$2:$A$8,0),2)</f>
        <v>Sa</v>
      </c>
      <c r="D130" s="124" t="n">
        <v>0</v>
      </c>
      <c r="E130" s="124" t="n">
        <v>0</v>
      </c>
      <c r="F130" s="124" t="n">
        <v>0</v>
      </c>
      <c r="G130" s="124" t="n">
        <v>0</v>
      </c>
      <c r="I130" s="124" t="n">
        <f aca="false">IF(MONTH($A130)=MONTH($A129),IF(G130=0,I129,G130),G130)</f>
        <v>-18815.97</v>
      </c>
      <c r="J130" s="124" t="n">
        <f aca="false">IF(MONTH($A130)=MONTH($A129),SUM(I130-I129),I130)</f>
        <v>0</v>
      </c>
      <c r="K130" s="124" t="n">
        <f aca="false">IF(WEEKDAY(A130,3)&gt;4,0,(IF(A130&lt;K$2,0,IF(A130&lt;=K$3,1,0))))</f>
        <v>0</v>
      </c>
      <c r="L130" s="124" t="n">
        <f aca="false">J130*K130</f>
        <v>0</v>
      </c>
      <c r="M130" s="124" t="n">
        <f aca="false">SUM(J$97:J130)</f>
        <v>-48420.7</v>
      </c>
      <c r="N130" s="124" t="n">
        <f aca="false">SUM(J$6:J130)</f>
        <v>-162589.53</v>
      </c>
      <c r="P130" s="124" t="n">
        <f aca="false">D130/P$3</f>
        <v>0</v>
      </c>
      <c r="Q130" s="124" t="n">
        <f aca="false">E130/P$3</f>
        <v>0</v>
      </c>
      <c r="R130" s="124" t="n">
        <f aca="false">F130/R$3</f>
        <v>0</v>
      </c>
      <c r="S130" s="126" t="n">
        <f aca="false">J130/$R$3</f>
        <v>0</v>
      </c>
      <c r="T130" s="126" t="n">
        <f aca="false">L130/$R$3</f>
        <v>0</v>
      </c>
      <c r="U130" s="126" t="n">
        <f aca="false">I130/$R$3</f>
        <v>-18.81597</v>
      </c>
      <c r="V130" s="126" t="n">
        <f aca="false">M130/$R$3</f>
        <v>-48.4207</v>
      </c>
      <c r="W130" s="126" t="n">
        <f aca="false">N130/$R$3</f>
        <v>-162.58953</v>
      </c>
    </row>
    <row r="131" customFormat="false" ht="13.5" hidden="true" customHeight="true" outlineLevel="0" collapsed="false">
      <c r="A131" s="120" t="n">
        <f aca="false">A130+1</f>
        <v>37017</v>
      </c>
      <c r="B131" s="131" t="str">
        <f aca="false">INDEX('Master Data'!$A$2:$B$8,MATCH(WEEKDAY('ARG Gas IM'!A131,3),'Master Data'!$A$2:$A$8,0),2)</f>
        <v>Su</v>
      </c>
      <c r="D131" s="124" t="n">
        <v>0</v>
      </c>
      <c r="E131" s="124" t="n">
        <v>0</v>
      </c>
      <c r="F131" s="124" t="n">
        <v>0</v>
      </c>
      <c r="G131" s="124" t="n">
        <v>0</v>
      </c>
      <c r="I131" s="124" t="n">
        <f aca="false">IF(MONTH($A131)=MONTH($A130),IF(G131=0,I130,G131),G131)</f>
        <v>-18815.97</v>
      </c>
      <c r="J131" s="124" t="n">
        <f aca="false">IF(MONTH($A131)=MONTH($A130),SUM(I131-I130),I131)</f>
        <v>0</v>
      </c>
      <c r="K131" s="124" t="n">
        <f aca="false">IF(WEEKDAY(A131,3)&gt;4,0,(IF(A131&lt;K$2,0,IF(A131&lt;=K$3,1,0))))</f>
        <v>0</v>
      </c>
      <c r="L131" s="124" t="n">
        <f aca="false">J131*K131</f>
        <v>0</v>
      </c>
      <c r="M131" s="124" t="n">
        <f aca="false">SUM(J$97:J131)</f>
        <v>-48420.7</v>
      </c>
      <c r="N131" s="124" t="n">
        <f aca="false">SUM(J$6:J131)</f>
        <v>-162589.53</v>
      </c>
      <c r="P131" s="124" t="n">
        <f aca="false">D131/P$3</f>
        <v>0</v>
      </c>
      <c r="Q131" s="124" t="n">
        <f aca="false">E131/P$3</f>
        <v>0</v>
      </c>
      <c r="R131" s="124" t="n">
        <f aca="false">F131/R$3</f>
        <v>0</v>
      </c>
      <c r="S131" s="126" t="n">
        <f aca="false">J131/$R$3</f>
        <v>0</v>
      </c>
      <c r="T131" s="126" t="n">
        <f aca="false">L131/$R$3</f>
        <v>0</v>
      </c>
      <c r="U131" s="126" t="n">
        <f aca="false">I131/$R$3</f>
        <v>-18.81597</v>
      </c>
      <c r="V131" s="126" t="n">
        <f aca="false">M131/$R$3</f>
        <v>-48.4207</v>
      </c>
      <c r="W131" s="126" t="n">
        <f aca="false">N131/$R$3</f>
        <v>-162.58953</v>
      </c>
    </row>
    <row r="132" customFormat="false" ht="13.5" hidden="true" customHeight="true" outlineLevel="0" collapsed="false">
      <c r="A132" s="120" t="n">
        <f aca="false">A131+1</f>
        <v>37018</v>
      </c>
      <c r="B132" s="131" t="str">
        <f aca="false">INDEX('Master Data'!$A$2:$B$8,MATCH(WEEKDAY('ARG Gas IM'!A132,3),'Master Data'!$A$2:$A$8,0),2)</f>
        <v>M</v>
      </c>
      <c r="D132" s="124" t="n">
        <v>11652.2208000007</v>
      </c>
      <c r="E132" s="124" t="n">
        <v>0</v>
      </c>
      <c r="F132" s="124" t="n">
        <v>0</v>
      </c>
      <c r="G132" s="124" t="n">
        <v>-19247</v>
      </c>
      <c r="I132" s="124" t="n">
        <f aca="false">IF(MONTH($A132)=MONTH($A131),IF(G132=0,I131,G132),G132)</f>
        <v>-19247</v>
      </c>
      <c r="J132" s="124" t="n">
        <f aca="false">IF(MONTH($A132)=MONTH($A131),SUM(I132-I131),I132)</f>
        <v>-431.029999999999</v>
      </c>
      <c r="K132" s="124" t="n">
        <f aca="false">IF(WEEKDAY(A132,3)&gt;4,0,(IF(A132&lt;K$2,0,IF(A132&lt;=K$3,1,0))))</f>
        <v>0</v>
      </c>
      <c r="L132" s="124" t="n">
        <f aca="false">J132*K132</f>
        <v>-0</v>
      </c>
      <c r="M132" s="124" t="n">
        <f aca="false">SUM(J$97:J132)</f>
        <v>-48851.73</v>
      </c>
      <c r="N132" s="124" t="n">
        <f aca="false">SUM(J$6:J132)</f>
        <v>-163020.56</v>
      </c>
      <c r="P132" s="124" t="n">
        <f aca="false">D132/P$3</f>
        <v>0.0116522208000007</v>
      </c>
      <c r="Q132" s="124" t="n">
        <f aca="false">E132/P$3</f>
        <v>0</v>
      </c>
      <c r="R132" s="124" t="n">
        <f aca="false">F132/R$3</f>
        <v>0</v>
      </c>
      <c r="S132" s="126" t="n">
        <f aca="false">J132/$R$3</f>
        <v>-0.431029999999999</v>
      </c>
      <c r="T132" s="126" t="n">
        <f aca="false">L132/$R$3</f>
        <v>-0</v>
      </c>
      <c r="U132" s="126" t="n">
        <f aca="false">I132/$R$3</f>
        <v>-19.247</v>
      </c>
      <c r="V132" s="126" t="n">
        <f aca="false">M132/$R$3</f>
        <v>-48.85173</v>
      </c>
      <c r="W132" s="126" t="n">
        <f aca="false">N132/$R$3</f>
        <v>-163.02056</v>
      </c>
    </row>
    <row r="133" customFormat="false" ht="13.5" hidden="true" customHeight="true" outlineLevel="0" collapsed="false">
      <c r="A133" s="120" t="n">
        <f aca="false">A132+1</f>
        <v>37019</v>
      </c>
      <c r="B133" s="131" t="str">
        <f aca="false">INDEX('Master Data'!$A$2:$B$8,MATCH(WEEKDAY('ARG Gas IM'!A133,3),'Master Data'!$A$2:$A$8,0),2)</f>
        <v>T</v>
      </c>
      <c r="D133" s="124" t="n">
        <v>11169.9177999991</v>
      </c>
      <c r="E133" s="124" t="n">
        <v>0</v>
      </c>
      <c r="F133" s="124" t="n">
        <v>0</v>
      </c>
      <c r="G133" s="124" t="n">
        <v>-38965</v>
      </c>
      <c r="I133" s="124" t="n">
        <f aca="false">IF(MONTH($A133)=MONTH($A132),IF(G133=0,I132,G133),G133)</f>
        <v>-38965</v>
      </c>
      <c r="J133" s="124" t="n">
        <f aca="false">IF(MONTH($A133)=MONTH($A132),SUM(I133-I132),I133)</f>
        <v>-19718</v>
      </c>
      <c r="K133" s="124" t="n">
        <f aca="false">IF(WEEKDAY(A133,3)&gt;4,0,(IF(A133&lt;K$2,0,IF(A133&lt;=K$3,1,0))))</f>
        <v>0</v>
      </c>
      <c r="L133" s="124" t="n">
        <f aca="false">J133*K133</f>
        <v>-0</v>
      </c>
      <c r="M133" s="124" t="n">
        <f aca="false">SUM(J$97:J133)</f>
        <v>-68569.73</v>
      </c>
      <c r="N133" s="124" t="n">
        <f aca="false">SUM(J$6:J133)</f>
        <v>-182738.56</v>
      </c>
      <c r="P133" s="124" t="n">
        <f aca="false">D133/P$3</f>
        <v>0.0111699177999991</v>
      </c>
      <c r="Q133" s="124" t="n">
        <f aca="false">E133/P$3</f>
        <v>0</v>
      </c>
      <c r="R133" s="124" t="n">
        <f aca="false">F133/R$3</f>
        <v>0</v>
      </c>
      <c r="S133" s="126" t="n">
        <f aca="false">J133/$R$3</f>
        <v>-19.718</v>
      </c>
      <c r="T133" s="126" t="n">
        <f aca="false">L133/$R$3</f>
        <v>-0</v>
      </c>
      <c r="U133" s="126" t="n">
        <f aca="false">I133/$R$3</f>
        <v>-38.965</v>
      </c>
      <c r="V133" s="126" t="n">
        <f aca="false">M133/$R$3</f>
        <v>-68.56973</v>
      </c>
      <c r="W133" s="126" t="n">
        <f aca="false">N133/$R$3</f>
        <v>-182.73856</v>
      </c>
    </row>
    <row r="134" customFormat="false" ht="13.5" hidden="true" customHeight="true" outlineLevel="0" collapsed="false">
      <c r="A134" s="120" t="n">
        <f aca="false">A133+1</f>
        <v>37020</v>
      </c>
      <c r="B134" s="131" t="str">
        <f aca="false">INDEX('Master Data'!$A$2:$B$8,MATCH(WEEKDAY('ARG Gas IM'!A134,3),'Master Data'!$A$2:$A$8,0),2)</f>
        <v>W</v>
      </c>
      <c r="D134" s="124" t="n">
        <v>10685.545200001</v>
      </c>
      <c r="E134" s="124" t="n">
        <v>0</v>
      </c>
      <c r="F134" s="124" t="n">
        <v>0</v>
      </c>
      <c r="G134" s="124" t="n">
        <v>-56750</v>
      </c>
      <c r="I134" s="124" t="n">
        <f aca="false">IF(MONTH($A134)=MONTH($A133),IF(G134=0,I133,G134),G134)</f>
        <v>-56750</v>
      </c>
      <c r="J134" s="124" t="n">
        <f aca="false">IF(MONTH($A134)=MONTH($A133),SUM(I134-I133),I134)</f>
        <v>-17785</v>
      </c>
      <c r="K134" s="124" t="n">
        <f aca="false">IF(WEEKDAY(A134,3)&gt;4,0,(IF(A134&lt;K$2,0,IF(A134&lt;=K$3,1,0))))</f>
        <v>0</v>
      </c>
      <c r="L134" s="124" t="n">
        <f aca="false">J134*K134</f>
        <v>-0</v>
      </c>
      <c r="M134" s="124" t="n">
        <f aca="false">SUM(J$97:J134)</f>
        <v>-86354.73</v>
      </c>
      <c r="N134" s="124" t="n">
        <f aca="false">SUM(J$6:J134)</f>
        <v>-200523.56</v>
      </c>
      <c r="P134" s="124" t="n">
        <f aca="false">D134/P$3</f>
        <v>0.010685545200001</v>
      </c>
      <c r="Q134" s="124" t="n">
        <f aca="false">E134/P$3</f>
        <v>0</v>
      </c>
      <c r="R134" s="124" t="n">
        <f aca="false">F134/R$3</f>
        <v>0</v>
      </c>
      <c r="S134" s="126" t="n">
        <f aca="false">J134/$R$3</f>
        <v>-17.785</v>
      </c>
      <c r="T134" s="126" t="n">
        <f aca="false">L134/$R$3</f>
        <v>-0</v>
      </c>
      <c r="U134" s="126" t="n">
        <f aca="false">I134/$R$3</f>
        <v>-56.75</v>
      </c>
      <c r="V134" s="126" t="n">
        <f aca="false">M134/$R$3</f>
        <v>-86.35473</v>
      </c>
      <c r="W134" s="126" t="n">
        <f aca="false">N134/$R$3</f>
        <v>-200.52356</v>
      </c>
    </row>
    <row r="135" customFormat="false" ht="13.5" hidden="true" customHeight="true" outlineLevel="0" collapsed="false">
      <c r="A135" s="120" t="n">
        <f aca="false">A134+1</f>
        <v>37021</v>
      </c>
      <c r="B135" s="131" t="str">
        <f aca="false">INDEX('Master Data'!$A$2:$B$8,MATCH(WEEKDAY('ARG Gas IM'!A135,3),'Master Data'!$A$2:$A$8,0),2)</f>
        <v>Th</v>
      </c>
      <c r="D135" s="124" t="n">
        <v>31670.4107999999</v>
      </c>
      <c r="E135" s="124" t="n">
        <v>0</v>
      </c>
      <c r="F135" s="124" t="n">
        <v>0</v>
      </c>
      <c r="G135" s="124" t="n">
        <v>-117156</v>
      </c>
      <c r="I135" s="124" t="n">
        <f aca="false">IF(MONTH($A135)=MONTH($A134),IF(G135=0,I134,G135),G135)</f>
        <v>-117156</v>
      </c>
      <c r="J135" s="124" t="n">
        <f aca="false">IF(MONTH($A135)=MONTH($A134),SUM(I135-I134),I135)</f>
        <v>-60406</v>
      </c>
      <c r="K135" s="124" t="n">
        <f aca="false">IF(WEEKDAY(A135,3)&gt;4,0,(IF(A135&lt;K$2,0,IF(A135&lt;=K$3,1,0))))</f>
        <v>0</v>
      </c>
      <c r="L135" s="124" t="n">
        <f aca="false">J135*K135</f>
        <v>-0</v>
      </c>
      <c r="M135" s="124" t="n">
        <f aca="false">SUM(J$97:J135)</f>
        <v>-146760.73</v>
      </c>
      <c r="N135" s="124" t="n">
        <f aca="false">SUM(J$6:J135)</f>
        <v>-260929.56</v>
      </c>
      <c r="P135" s="124" t="n">
        <f aca="false">D135/P$3</f>
        <v>0.0316704107999999</v>
      </c>
      <c r="Q135" s="124" t="n">
        <f aca="false">E135/P$3</f>
        <v>0</v>
      </c>
      <c r="R135" s="124" t="n">
        <f aca="false">F135/R$3</f>
        <v>0</v>
      </c>
      <c r="S135" s="126" t="n">
        <f aca="false">J135/$R$3</f>
        <v>-60.406</v>
      </c>
      <c r="T135" s="126" t="n">
        <f aca="false">L135/$R$3</f>
        <v>-0</v>
      </c>
      <c r="U135" s="126" t="n">
        <f aca="false">I135/$R$3</f>
        <v>-117.156</v>
      </c>
      <c r="V135" s="126" t="n">
        <f aca="false">M135/$R$3</f>
        <v>-146.76073</v>
      </c>
      <c r="W135" s="126" t="n">
        <f aca="false">N135/$R$3</f>
        <v>-260.92956</v>
      </c>
    </row>
    <row r="136" customFormat="false" ht="13.5" hidden="true" customHeight="true" outlineLevel="0" collapsed="false">
      <c r="A136" s="120" t="n">
        <f aca="false">A135+1</f>
        <v>37022</v>
      </c>
      <c r="B136" s="131" t="str">
        <f aca="false">INDEX('Master Data'!$A$2:$B$8,MATCH(WEEKDAY('ARG Gas IM'!A136,3),'Master Data'!$A$2:$A$8,0),2)</f>
        <v>F</v>
      </c>
      <c r="D136" s="124" t="n">
        <v>30166.0774000001</v>
      </c>
      <c r="E136" s="124" t="n">
        <v>0</v>
      </c>
      <c r="F136" s="124" t="n">
        <v>0</v>
      </c>
      <c r="G136" s="124" t="n">
        <v>-117348</v>
      </c>
      <c r="I136" s="124" t="n">
        <f aca="false">IF(MONTH($A136)=MONTH($A135),IF(G136=0,I135,G136),G136)</f>
        <v>-117348</v>
      </c>
      <c r="J136" s="124" t="n">
        <f aca="false">IF(MONTH($A136)=MONTH($A135),SUM(I136-I135),I136)</f>
        <v>-192</v>
      </c>
      <c r="K136" s="124" t="n">
        <f aca="false">IF(WEEKDAY(A136,3)&gt;4,0,(IF(A136&lt;K$2,0,IF(A136&lt;=K$3,1,0))))</f>
        <v>0</v>
      </c>
      <c r="L136" s="124" t="n">
        <f aca="false">J136*K136</f>
        <v>-0</v>
      </c>
      <c r="M136" s="124" t="n">
        <f aca="false">SUM(J$97:J136)</f>
        <v>-146952.73</v>
      </c>
      <c r="N136" s="124" t="n">
        <f aca="false">SUM(J$6:J136)</f>
        <v>-261121.56</v>
      </c>
      <c r="P136" s="124" t="n">
        <f aca="false">D136/P$3</f>
        <v>0.0301660774000001</v>
      </c>
      <c r="Q136" s="124" t="n">
        <f aca="false">E136/P$3</f>
        <v>0</v>
      </c>
      <c r="R136" s="124" t="n">
        <f aca="false">F136/R$3</f>
        <v>0</v>
      </c>
      <c r="S136" s="126" t="n">
        <f aca="false">J136/$R$3</f>
        <v>-0.192</v>
      </c>
      <c r="T136" s="126" t="n">
        <f aca="false">L136/$R$3</f>
        <v>-0</v>
      </c>
      <c r="U136" s="126" t="n">
        <f aca="false">I136/$R$3</f>
        <v>-117.348</v>
      </c>
      <c r="V136" s="126" t="n">
        <f aca="false">M136/$R$3</f>
        <v>-146.95273</v>
      </c>
      <c r="W136" s="126" t="n">
        <f aca="false">N136/$R$3</f>
        <v>-261.12156</v>
      </c>
    </row>
    <row r="137" customFormat="false" ht="13.5" hidden="true" customHeight="true" outlineLevel="0" collapsed="false">
      <c r="A137" s="120" t="n">
        <f aca="false">A136+1</f>
        <v>37023</v>
      </c>
      <c r="B137" s="131" t="str">
        <f aca="false">INDEX('Master Data'!$A$2:$B$8,MATCH(WEEKDAY('ARG Gas IM'!A137,3),'Master Data'!$A$2:$A$8,0),2)</f>
        <v>Sa</v>
      </c>
      <c r="D137" s="124"/>
      <c r="E137" s="124"/>
      <c r="F137" s="124"/>
      <c r="G137" s="124"/>
      <c r="I137" s="124" t="n">
        <f aca="false">IF(MONTH($A137)=MONTH($A136),IF(G137=0,I136,G137),G137)</f>
        <v>-117348</v>
      </c>
      <c r="J137" s="124" t="n">
        <f aca="false">IF(MONTH($A137)=MONTH($A136),SUM(I137-I136),I137)</f>
        <v>0</v>
      </c>
      <c r="K137" s="124" t="n">
        <f aca="false">IF(WEEKDAY(A137,3)&gt;4,0,(IF(A137&lt;K$2,0,IF(A137&lt;=K$3,1,0))))</f>
        <v>0</v>
      </c>
      <c r="L137" s="124" t="n">
        <f aca="false">J137*K137</f>
        <v>0</v>
      </c>
      <c r="M137" s="124" t="n">
        <f aca="false">SUM(J$97:J137)</f>
        <v>-146952.73</v>
      </c>
      <c r="N137" s="124" t="n">
        <f aca="false">SUM(J$6:J137)</f>
        <v>-261121.56</v>
      </c>
      <c r="P137" s="124" t="n">
        <f aca="false">D137/P$3</f>
        <v>0</v>
      </c>
      <c r="Q137" s="124" t="n">
        <f aca="false">E137/P$3</f>
        <v>0</v>
      </c>
      <c r="R137" s="124" t="n">
        <f aca="false">F137/R$3</f>
        <v>0</v>
      </c>
      <c r="S137" s="126" t="n">
        <f aca="false">J137/$R$3</f>
        <v>0</v>
      </c>
      <c r="T137" s="126" t="n">
        <f aca="false">L137/$R$3</f>
        <v>0</v>
      </c>
      <c r="U137" s="126" t="n">
        <f aca="false">I137/$R$3</f>
        <v>-117.348</v>
      </c>
      <c r="V137" s="126" t="n">
        <f aca="false">M137/$R$3</f>
        <v>-146.95273</v>
      </c>
      <c r="W137" s="126" t="n">
        <f aca="false">N137/$R$3</f>
        <v>-261.12156</v>
      </c>
    </row>
    <row r="138" customFormat="false" ht="13.5" hidden="true" customHeight="true" outlineLevel="0" collapsed="false">
      <c r="A138" s="120" t="n">
        <f aca="false">A137+1</f>
        <v>37024</v>
      </c>
      <c r="B138" s="131" t="str">
        <f aca="false">INDEX('Master Data'!$A$2:$B$8,MATCH(WEEKDAY('ARG Gas IM'!A138,3),'Master Data'!$A$2:$A$8,0),2)</f>
        <v>Su</v>
      </c>
      <c r="D138" s="124"/>
      <c r="E138" s="124"/>
      <c r="F138" s="124"/>
      <c r="G138" s="124"/>
      <c r="I138" s="124" t="n">
        <f aca="false">IF(MONTH($A138)=MONTH($A137),IF(G138=0,I137,G138),G138)</f>
        <v>-117348</v>
      </c>
      <c r="J138" s="124" t="n">
        <f aca="false">IF(MONTH($A138)=MONTH($A137),SUM(I138-I137),I138)</f>
        <v>0</v>
      </c>
      <c r="K138" s="124" t="n">
        <f aca="false">IF(WEEKDAY(A138,3)&gt;4,0,(IF(A138&lt;K$2,0,IF(A138&lt;=K$3,1,0))))</f>
        <v>0</v>
      </c>
      <c r="L138" s="124" t="n">
        <f aca="false">J138*K138</f>
        <v>0</v>
      </c>
      <c r="M138" s="124" t="n">
        <f aca="false">SUM(J$97:J138)</f>
        <v>-146952.73</v>
      </c>
      <c r="N138" s="124" t="n">
        <f aca="false">SUM(J$6:J138)</f>
        <v>-261121.56</v>
      </c>
      <c r="P138" s="124" t="n">
        <f aca="false">D138/P$3</f>
        <v>0</v>
      </c>
      <c r="Q138" s="124" t="n">
        <f aca="false">E138/P$3</f>
        <v>0</v>
      </c>
      <c r="R138" s="124" t="n">
        <f aca="false">F138/R$3</f>
        <v>0</v>
      </c>
      <c r="S138" s="126" t="n">
        <f aca="false">J138/$R$3</f>
        <v>0</v>
      </c>
      <c r="T138" s="126" t="n">
        <f aca="false">L138/$R$3</f>
        <v>0</v>
      </c>
      <c r="U138" s="126" t="n">
        <f aca="false">I138/$R$3</f>
        <v>-117.348</v>
      </c>
      <c r="V138" s="126" t="n">
        <f aca="false">M138/$R$3</f>
        <v>-146.95273</v>
      </c>
      <c r="W138" s="126" t="n">
        <f aca="false">N138/$R$3</f>
        <v>-261.12156</v>
      </c>
    </row>
    <row r="139" customFormat="false" ht="13.5" hidden="true" customHeight="true" outlineLevel="0" collapsed="false">
      <c r="A139" s="120" t="n">
        <f aca="false">A138+1</f>
        <v>37025</v>
      </c>
      <c r="B139" s="131" t="str">
        <f aca="false">INDEX('Master Data'!$A$2:$B$8,MATCH(WEEKDAY('ARG Gas IM'!A139,3),'Master Data'!$A$2:$A$8,0),2)</f>
        <v>M</v>
      </c>
      <c r="D139" s="124" t="n">
        <v>25650.2018000001</v>
      </c>
      <c r="E139" s="124"/>
      <c r="F139" s="124"/>
      <c r="G139" s="124" t="n">
        <v>-112271.196841248</v>
      </c>
      <c r="I139" s="124" t="n">
        <f aca="false">IF(MONTH($A139)=MONTH($A138),IF(G139=0,I138,G139),G139)</f>
        <v>-112271.196841248</v>
      </c>
      <c r="J139" s="124" t="n">
        <f aca="false">IF(MONTH($A139)=MONTH($A138),SUM(I139-I138),I139)</f>
        <v>5076.8031587516</v>
      </c>
      <c r="K139" s="124" t="n">
        <f aca="false">IF(WEEKDAY(A139,3)&gt;4,0,(IF(A139&lt;K$2,0,IF(A139&lt;=K$3,1,0))))</f>
        <v>0</v>
      </c>
      <c r="L139" s="124" t="n">
        <f aca="false">J139*K139</f>
        <v>0</v>
      </c>
      <c r="M139" s="124" t="n">
        <f aca="false">SUM(J$97:J139)</f>
        <v>-141875.926841248</v>
      </c>
      <c r="N139" s="124" t="n">
        <f aca="false">SUM(J$6:J139)</f>
        <v>-256044.756841248</v>
      </c>
      <c r="P139" s="124" t="n">
        <f aca="false">D139/P$3</f>
        <v>0.0256502018000001</v>
      </c>
      <c r="Q139" s="124" t="n">
        <f aca="false">E139/P$3</f>
        <v>0</v>
      </c>
      <c r="R139" s="124" t="n">
        <f aca="false">F139/R$3</f>
        <v>0</v>
      </c>
      <c r="S139" s="126" t="n">
        <f aca="false">J139/$R$3</f>
        <v>5.0768031587516</v>
      </c>
      <c r="T139" s="126" t="n">
        <f aca="false">L139/$R$3</f>
        <v>0</v>
      </c>
      <c r="U139" s="126" t="n">
        <f aca="false">I139/$R$3</f>
        <v>-112.271196841248</v>
      </c>
      <c r="V139" s="126" t="n">
        <f aca="false">M139/$R$3</f>
        <v>-141.875926841248</v>
      </c>
      <c r="W139" s="126" t="n">
        <f aca="false">N139/$R$3</f>
        <v>-256.044756841248</v>
      </c>
    </row>
    <row r="140" customFormat="false" ht="13.5" hidden="true" customHeight="true" outlineLevel="0" collapsed="false">
      <c r="A140" s="120" t="n">
        <f aca="false">A139+1</f>
        <v>37026</v>
      </c>
      <c r="B140" s="131" t="str">
        <f aca="false">INDEX('Master Data'!$A$2:$B$8,MATCH(WEEKDAY('ARG Gas IM'!A140,3),'Master Data'!$A$2:$A$8,0),2)</f>
        <v>T</v>
      </c>
      <c r="D140" s="124" t="n">
        <v>24145</v>
      </c>
      <c r="E140" s="124"/>
      <c r="F140" s="124"/>
      <c r="G140" s="124" t="n">
        <v>-110790</v>
      </c>
      <c r="I140" s="124" t="n">
        <f aca="false">IF(MONTH($A140)=MONTH($A139),IF(G140=0,I139,G140),G140)</f>
        <v>-110790</v>
      </c>
      <c r="J140" s="124" t="n">
        <f aca="false">IF(MONTH($A140)=MONTH($A139),SUM(I140-I139),I140)</f>
        <v>1481.1968412484</v>
      </c>
      <c r="K140" s="124" t="n">
        <f aca="false">IF(WEEKDAY(A140,3)&gt;4,0,(IF(A140&lt;K$2,0,IF(A140&lt;=K$3,1,0))))</f>
        <v>0</v>
      </c>
      <c r="L140" s="124" t="n">
        <f aca="false">J140*K140</f>
        <v>0</v>
      </c>
      <c r="M140" s="124" t="n">
        <f aca="false">SUM(J$97:J140)</f>
        <v>-140394.73</v>
      </c>
      <c r="N140" s="124" t="n">
        <f aca="false">SUM(J$6:J140)</f>
        <v>-254563.56</v>
      </c>
      <c r="P140" s="124" t="n">
        <f aca="false">D140/P$3</f>
        <v>0.024145</v>
      </c>
      <c r="Q140" s="124" t="n">
        <f aca="false">E140/P$3</f>
        <v>0</v>
      </c>
      <c r="R140" s="124" t="n">
        <f aca="false">F140/R$3</f>
        <v>0</v>
      </c>
      <c r="S140" s="126" t="n">
        <f aca="false">J140/$R$3</f>
        <v>1.4811968412484</v>
      </c>
      <c r="T140" s="126" t="n">
        <f aca="false">L140/$R$3</f>
        <v>0</v>
      </c>
      <c r="U140" s="126" t="n">
        <f aca="false">I140/$R$3</f>
        <v>-110.79</v>
      </c>
      <c r="V140" s="126" t="n">
        <f aca="false">M140/$R$3</f>
        <v>-140.39473</v>
      </c>
      <c r="W140" s="126" t="n">
        <f aca="false">N140/$R$3</f>
        <v>-254.56356</v>
      </c>
    </row>
    <row r="141" customFormat="false" ht="13.5" hidden="true" customHeight="true" outlineLevel="0" collapsed="false">
      <c r="A141" s="120" t="n">
        <f aca="false">A140+1</f>
        <v>37027</v>
      </c>
      <c r="B141" s="131" t="str">
        <f aca="false">INDEX('Master Data'!$A$2:$B$8,MATCH(WEEKDAY('ARG Gas IM'!A141,3),'Master Data'!$A$2:$A$8,0),2)</f>
        <v>W</v>
      </c>
      <c r="D141" s="124" t="n">
        <v>22969.1325000002</v>
      </c>
      <c r="E141" s="124"/>
      <c r="F141" s="124"/>
      <c r="G141" s="124" t="n">
        <v>-99952</v>
      </c>
      <c r="I141" s="124" t="n">
        <f aca="false">IF(MONTH($A141)=MONTH($A140),IF(G141=0,I140,G141),G141)</f>
        <v>-99952</v>
      </c>
      <c r="J141" s="124" t="n">
        <f aca="false">IF(MONTH($A141)=MONTH($A140),SUM(I141-I140),I141)</f>
        <v>10838</v>
      </c>
      <c r="K141" s="124" t="n">
        <f aca="false">IF(WEEKDAY(A141,3)&gt;4,0,(IF(A141&lt;K$2,0,IF(A141&lt;=K$3,1,0))))</f>
        <v>0</v>
      </c>
      <c r="L141" s="124" t="n">
        <f aca="false">J141*K141</f>
        <v>0</v>
      </c>
      <c r="M141" s="124" t="n">
        <f aca="false">SUM(J$97:J141)</f>
        <v>-129556.73</v>
      </c>
      <c r="N141" s="124" t="n">
        <f aca="false">SUM(J$6:J141)</f>
        <v>-243725.56</v>
      </c>
      <c r="P141" s="124" t="n">
        <f aca="false">D141/P$3</f>
        <v>0.0229691325000002</v>
      </c>
      <c r="Q141" s="124" t="n">
        <f aca="false">E141/P$3</f>
        <v>0</v>
      </c>
      <c r="R141" s="124" t="n">
        <f aca="false">F141/R$3</f>
        <v>0</v>
      </c>
      <c r="S141" s="126" t="n">
        <f aca="false">J141/$R$3</f>
        <v>10.838</v>
      </c>
      <c r="T141" s="126" t="n">
        <f aca="false">L141/$R$3</f>
        <v>0</v>
      </c>
      <c r="U141" s="126" t="n">
        <f aca="false">I141/$R$3</f>
        <v>-99.952</v>
      </c>
      <c r="V141" s="126" t="n">
        <f aca="false">M141/$R$3</f>
        <v>-129.55673</v>
      </c>
      <c r="W141" s="126" t="n">
        <f aca="false">N141/$R$3</f>
        <v>-243.72556</v>
      </c>
    </row>
    <row r="142" customFormat="false" ht="13.5" hidden="true" customHeight="true" outlineLevel="0" collapsed="false">
      <c r="A142" s="120" t="n">
        <f aca="false">A141+1</f>
        <v>37028</v>
      </c>
      <c r="B142" s="131" t="str">
        <f aca="false">INDEX('Master Data'!$A$2:$B$8,MATCH(WEEKDAY('ARG Gas IM'!A142,3),'Master Data'!$A$2:$A$8,0),2)</f>
        <v>Th</v>
      </c>
      <c r="D142" s="124" t="n">
        <v>18645.4072000003</v>
      </c>
      <c r="E142" s="124"/>
      <c r="F142" s="124"/>
      <c r="G142" s="124" t="n">
        <v>-87989</v>
      </c>
      <c r="I142" s="124" t="n">
        <f aca="false">IF(MONTH($A142)=MONTH($A141),IF(G142=0,I141,G142),G142)</f>
        <v>-87989</v>
      </c>
      <c r="J142" s="124" t="n">
        <f aca="false">IF(MONTH($A142)=MONTH($A141),SUM(I142-I141),I142)</f>
        <v>11963</v>
      </c>
      <c r="K142" s="124" t="n">
        <f aca="false">IF(WEEKDAY(A142,3)&gt;4,0,(IF(A142&lt;K$2,0,IF(A142&lt;=K$3,1,0))))</f>
        <v>0</v>
      </c>
      <c r="L142" s="124" t="n">
        <f aca="false">J142*K142</f>
        <v>0</v>
      </c>
      <c r="M142" s="124" t="n">
        <f aca="false">SUM(J$97:J142)</f>
        <v>-117593.73</v>
      </c>
      <c r="N142" s="124" t="n">
        <f aca="false">SUM(J$6:J142)</f>
        <v>-231762.56</v>
      </c>
      <c r="P142" s="124" t="n">
        <f aca="false">D142/P$3</f>
        <v>0.0186454072000003</v>
      </c>
      <c r="Q142" s="124" t="n">
        <f aca="false">E142/P$3</f>
        <v>0</v>
      </c>
      <c r="R142" s="124" t="n">
        <f aca="false">F142/R$3</f>
        <v>0</v>
      </c>
      <c r="S142" s="126" t="n">
        <f aca="false">J142/$R$3</f>
        <v>11.963</v>
      </c>
      <c r="T142" s="126" t="n">
        <f aca="false">L142/$R$3</f>
        <v>0</v>
      </c>
      <c r="U142" s="126" t="n">
        <f aca="false">I142/$R$3</f>
        <v>-87.989</v>
      </c>
      <c r="V142" s="126" t="n">
        <f aca="false">M142/$R$3</f>
        <v>-117.59373</v>
      </c>
      <c r="W142" s="126" t="n">
        <f aca="false">N142/$R$3</f>
        <v>-231.76256</v>
      </c>
    </row>
    <row r="143" customFormat="false" ht="13.5" hidden="true" customHeight="true" outlineLevel="0" collapsed="false">
      <c r="A143" s="120" t="n">
        <f aca="false">A142+1</f>
        <v>37029</v>
      </c>
      <c r="B143" s="131" t="str">
        <f aca="false">INDEX('Master Data'!$A$2:$B$8,MATCH(WEEKDAY('ARG Gas IM'!A143,3),'Master Data'!$A$2:$A$8,0),2)</f>
        <v>F</v>
      </c>
      <c r="D143" s="124" t="n">
        <v>17315.8652000003</v>
      </c>
      <c r="E143" s="124"/>
      <c r="F143" s="124"/>
      <c r="G143" s="124" t="n">
        <v>-81252</v>
      </c>
      <c r="I143" s="124" t="n">
        <f aca="false">IF(MONTH($A143)=MONTH($A142),IF(G143=0,I142,G143),G143)</f>
        <v>-81252</v>
      </c>
      <c r="J143" s="124" t="n">
        <f aca="false">IF(MONTH($A143)=MONTH($A142),SUM(I143-I142),I143)</f>
        <v>6737</v>
      </c>
      <c r="K143" s="124" t="n">
        <f aca="false">IF(WEEKDAY(A143,3)&gt;4,0,(IF(A143&lt;K$2,0,IF(A143&lt;=K$3,1,0))))</f>
        <v>0</v>
      </c>
      <c r="L143" s="124" t="n">
        <f aca="false">J143*K143</f>
        <v>0</v>
      </c>
      <c r="M143" s="124" t="n">
        <f aca="false">SUM(J$97:J143)</f>
        <v>-110856.73</v>
      </c>
      <c r="N143" s="124" t="n">
        <f aca="false">SUM(J$6:J143)</f>
        <v>-225025.56</v>
      </c>
      <c r="P143" s="124" t="n">
        <f aca="false">D143/P$3</f>
        <v>0.0173158652000003</v>
      </c>
      <c r="Q143" s="124" t="n">
        <f aca="false">E143/P$3</f>
        <v>0</v>
      </c>
      <c r="R143" s="124" t="n">
        <f aca="false">F143/R$3</f>
        <v>0</v>
      </c>
      <c r="S143" s="126" t="n">
        <f aca="false">J143/$R$3</f>
        <v>6.737</v>
      </c>
      <c r="T143" s="126" t="n">
        <f aca="false">L143/$R$3</f>
        <v>0</v>
      </c>
      <c r="U143" s="126" t="n">
        <f aca="false">I143/$R$3</f>
        <v>-81.252</v>
      </c>
      <c r="V143" s="126" t="n">
        <f aca="false">M143/$R$3</f>
        <v>-110.85673</v>
      </c>
      <c r="W143" s="126" t="n">
        <f aca="false">N143/$R$3</f>
        <v>-225.02556</v>
      </c>
    </row>
    <row r="144" customFormat="false" ht="13.5" hidden="true" customHeight="true" outlineLevel="0" collapsed="false">
      <c r="A144" s="120" t="n">
        <f aca="false">A143+1</f>
        <v>37030</v>
      </c>
      <c r="B144" s="131" t="str">
        <f aca="false">INDEX('Master Data'!$A$2:$B$8,MATCH(WEEKDAY('ARG Gas IM'!A144,3),'Master Data'!$A$2:$A$8,0),2)</f>
        <v>Sa</v>
      </c>
      <c r="D144" s="124"/>
      <c r="E144" s="124"/>
      <c r="F144" s="124"/>
      <c r="G144" s="124"/>
      <c r="I144" s="124" t="n">
        <f aca="false">IF(MONTH($A144)=MONTH($A143),IF(G144=0,I143,G144),G144)</f>
        <v>-81252</v>
      </c>
      <c r="J144" s="124" t="n">
        <f aca="false">IF(MONTH($A144)=MONTH($A143),SUM(I144-I143),I144)</f>
        <v>0</v>
      </c>
      <c r="K144" s="124" t="n">
        <f aca="false">IF(WEEKDAY(A144,3)&gt;4,0,(IF(A144&lt;K$2,0,IF(A144&lt;=K$3,1,0))))</f>
        <v>0</v>
      </c>
      <c r="L144" s="124" t="n">
        <f aca="false">J144*K144</f>
        <v>0</v>
      </c>
      <c r="M144" s="124" t="n">
        <f aca="false">SUM(J$97:J144)</f>
        <v>-110856.73</v>
      </c>
      <c r="N144" s="124" t="n">
        <f aca="false">SUM(J$6:J144)</f>
        <v>-225025.56</v>
      </c>
      <c r="P144" s="124" t="n">
        <f aca="false">D144/P$3</f>
        <v>0</v>
      </c>
      <c r="Q144" s="124" t="n">
        <f aca="false">E144/P$3</f>
        <v>0</v>
      </c>
      <c r="R144" s="124" t="n">
        <f aca="false">F144/R$3</f>
        <v>0</v>
      </c>
      <c r="S144" s="126" t="n">
        <f aca="false">J144/$R$3</f>
        <v>0</v>
      </c>
      <c r="T144" s="126" t="n">
        <f aca="false">L144/$R$3</f>
        <v>0</v>
      </c>
      <c r="U144" s="126" t="n">
        <f aca="false">I144/$R$3</f>
        <v>-81.252</v>
      </c>
      <c r="V144" s="126" t="n">
        <f aca="false">M144/$R$3</f>
        <v>-110.85673</v>
      </c>
      <c r="W144" s="126" t="n">
        <f aca="false">N144/$R$3</f>
        <v>-225.02556</v>
      </c>
    </row>
    <row r="145" customFormat="false" ht="13.5" hidden="true" customHeight="true" outlineLevel="0" collapsed="false">
      <c r="A145" s="120" t="n">
        <f aca="false">A144+1</f>
        <v>37031</v>
      </c>
      <c r="B145" s="131" t="str">
        <f aca="false">INDEX('Master Data'!$A$2:$B$8,MATCH(WEEKDAY('ARG Gas IM'!A145,3),'Master Data'!$A$2:$A$8,0),2)</f>
        <v>Su</v>
      </c>
      <c r="D145" s="124"/>
      <c r="E145" s="124"/>
      <c r="F145" s="124"/>
      <c r="G145" s="124"/>
      <c r="I145" s="124" t="n">
        <f aca="false">IF(MONTH($A145)=MONTH($A144),IF(G145=0,I144,G145),G145)</f>
        <v>-81252</v>
      </c>
      <c r="J145" s="124" t="n">
        <f aca="false">IF(MONTH($A145)=MONTH($A144),SUM(I145-I144),I145)</f>
        <v>0</v>
      </c>
      <c r="K145" s="124" t="n">
        <f aca="false">IF(WEEKDAY(A145,3)&gt;4,0,(IF(A145&lt;K$2,0,IF(A145&lt;=K$3,1,0))))</f>
        <v>0</v>
      </c>
      <c r="L145" s="124" t="n">
        <f aca="false">J145*K145</f>
        <v>0</v>
      </c>
      <c r="M145" s="124" t="n">
        <f aca="false">SUM(J$97:J145)</f>
        <v>-110856.73</v>
      </c>
      <c r="N145" s="124" t="n">
        <f aca="false">SUM(J$6:J145)</f>
        <v>-225025.56</v>
      </c>
      <c r="P145" s="124" t="n">
        <f aca="false">D145/P$3</f>
        <v>0</v>
      </c>
      <c r="Q145" s="124" t="n">
        <f aca="false">E145/P$3</f>
        <v>0</v>
      </c>
      <c r="R145" s="124" t="n">
        <f aca="false">F145/R$3</f>
        <v>0</v>
      </c>
      <c r="S145" s="126" t="n">
        <f aca="false">J145/$R$3</f>
        <v>0</v>
      </c>
      <c r="T145" s="126" t="n">
        <f aca="false">L145/$R$3</f>
        <v>0</v>
      </c>
      <c r="U145" s="126" t="n">
        <f aca="false">I145/$R$3</f>
        <v>-81.252</v>
      </c>
      <c r="V145" s="126" t="n">
        <f aca="false">M145/$R$3</f>
        <v>-110.85673</v>
      </c>
      <c r="W145" s="126" t="n">
        <f aca="false">N145/$R$3</f>
        <v>-225.02556</v>
      </c>
    </row>
    <row r="146" customFormat="false" ht="13.5" hidden="true" customHeight="true" outlineLevel="0" collapsed="false">
      <c r="A146" s="120" t="n">
        <f aca="false">A145+1</f>
        <v>37032</v>
      </c>
      <c r="B146" s="131" t="str">
        <f aca="false">INDEX('Master Data'!$A$2:$B$8,MATCH(WEEKDAY('ARG Gas IM'!A146,3),'Master Data'!$A$2:$A$8,0),2)</f>
        <v>M</v>
      </c>
      <c r="D146" s="124" t="n">
        <v>13508</v>
      </c>
      <c r="E146" s="124"/>
      <c r="F146" s="124"/>
      <c r="G146" s="124" t="n">
        <v>-76251.4669978743</v>
      </c>
      <c r="I146" s="124" t="n">
        <f aca="false">IF(MONTH($A146)=MONTH($A145),IF(G146=0,I145,G146),G146)</f>
        <v>-76251.4669978743</v>
      </c>
      <c r="J146" s="124" t="n">
        <f aca="false">IF(MONTH($A146)=MONTH($A145),SUM(I146-I145),I146)</f>
        <v>5000.53300212568</v>
      </c>
      <c r="K146" s="124" t="n">
        <f aca="false">IF(WEEKDAY(A146,3)&gt;4,0,(IF(A146&lt;K$2,0,IF(A146&lt;=K$3,1,0))))</f>
        <v>0</v>
      </c>
      <c r="L146" s="124" t="n">
        <f aca="false">J146*K146</f>
        <v>0</v>
      </c>
      <c r="M146" s="124" t="n">
        <f aca="false">SUM(J$97:J146)</f>
        <v>-105856.196997874</v>
      </c>
      <c r="N146" s="124" t="n">
        <f aca="false">SUM(J$6:J146)</f>
        <v>-220025.026997874</v>
      </c>
      <c r="P146" s="124" t="n">
        <f aca="false">D146/P$3</f>
        <v>0.013508</v>
      </c>
      <c r="Q146" s="124" t="n">
        <f aca="false">E146/P$3</f>
        <v>0</v>
      </c>
      <c r="R146" s="124" t="n">
        <f aca="false">F146/R$3</f>
        <v>0</v>
      </c>
      <c r="S146" s="126" t="n">
        <f aca="false">J146/$R$3</f>
        <v>5.00053300212568</v>
      </c>
      <c r="T146" s="126" t="n">
        <f aca="false">L146/$R$3</f>
        <v>0</v>
      </c>
      <c r="U146" s="126" t="n">
        <f aca="false">I146/$R$3</f>
        <v>-76.2514669978743</v>
      </c>
      <c r="V146" s="126" t="n">
        <f aca="false">M146/$R$3</f>
        <v>-105.856196997874</v>
      </c>
      <c r="W146" s="126" t="n">
        <f aca="false">N146/$R$3</f>
        <v>-220.025026997874</v>
      </c>
    </row>
    <row r="147" customFormat="false" ht="13.5" hidden="true" customHeight="true" outlineLevel="0" collapsed="false">
      <c r="A147" s="120" t="n">
        <f aca="false">A146+1</f>
        <v>37033</v>
      </c>
      <c r="B147" s="131" t="str">
        <f aca="false">INDEX('Master Data'!$A$2:$B$8,MATCH(WEEKDAY('ARG Gas IM'!A147,3),'Master Data'!$A$2:$A$8,0),2)</f>
        <v>T</v>
      </c>
      <c r="D147" s="124" t="n">
        <v>11993.2038000002</v>
      </c>
      <c r="E147" s="124"/>
      <c r="F147" s="124"/>
      <c r="G147" s="124" t="n">
        <v>-73520</v>
      </c>
      <c r="I147" s="124" t="n">
        <f aca="false">IF(MONTH($A147)=MONTH($A146),IF(G147=0,I146,G147),G147)</f>
        <v>-73520</v>
      </c>
      <c r="J147" s="124" t="n">
        <f aca="false">IF(MONTH($A147)=MONTH($A146),SUM(I147-I146),I147)</f>
        <v>2731.46699787432</v>
      </c>
      <c r="K147" s="124" t="n">
        <f aca="false">IF(WEEKDAY(A147,3)&gt;4,0,(IF(A147&lt;K$2,0,IF(A147&lt;=K$3,1,0))))</f>
        <v>0</v>
      </c>
      <c r="L147" s="124" t="n">
        <f aca="false">J147*K147</f>
        <v>0</v>
      </c>
      <c r="M147" s="124" t="n">
        <f aca="false">SUM(J$97:J147)</f>
        <v>-103124.73</v>
      </c>
      <c r="N147" s="124" t="n">
        <f aca="false">SUM(J$6:J147)</f>
        <v>-217293.56</v>
      </c>
      <c r="P147" s="124" t="n">
        <f aca="false">D147/P$3</f>
        <v>0.0119932038000002</v>
      </c>
      <c r="Q147" s="124" t="n">
        <f aca="false">E147/P$3</f>
        <v>0</v>
      </c>
      <c r="R147" s="124" t="n">
        <f aca="false">F147/R$3</f>
        <v>0</v>
      </c>
      <c r="S147" s="126" t="n">
        <f aca="false">J147/$R$3</f>
        <v>2.73146699787432</v>
      </c>
      <c r="T147" s="126" t="n">
        <f aca="false">L147/$R$3</f>
        <v>0</v>
      </c>
      <c r="U147" s="126" t="n">
        <f aca="false">I147/$R$3</f>
        <v>-73.52</v>
      </c>
      <c r="V147" s="126" t="n">
        <f aca="false">M147/$R$3</f>
        <v>-103.12473</v>
      </c>
      <c r="W147" s="126" t="n">
        <f aca="false">N147/$R$3</f>
        <v>-217.29356</v>
      </c>
    </row>
    <row r="148" customFormat="false" ht="13.5" hidden="true" customHeight="true" outlineLevel="0" collapsed="false">
      <c r="A148" s="120" t="n">
        <f aca="false">A147+1</f>
        <v>37034</v>
      </c>
      <c r="B148" s="131" t="str">
        <f aca="false">INDEX('Master Data'!$A$2:$B$8,MATCH(WEEKDAY('ARG Gas IM'!A148,3),'Master Data'!$A$2:$A$8,0),2)</f>
        <v>W</v>
      </c>
      <c r="D148" s="124" t="n">
        <v>10662</v>
      </c>
      <c r="E148" s="124"/>
      <c r="F148" s="124"/>
      <c r="G148" s="124" t="n">
        <v>-73570</v>
      </c>
      <c r="I148" s="124" t="n">
        <f aca="false">IF(MONTH($A148)=MONTH($A147),IF(G148=0,I147,G148),G148)</f>
        <v>-73570</v>
      </c>
      <c r="J148" s="124" t="n">
        <f aca="false">IF(MONTH($A148)=MONTH($A147),SUM(I148-I147),I148)</f>
        <v>-50</v>
      </c>
      <c r="K148" s="124" t="n">
        <f aca="false">IF(WEEKDAY(A148,3)&gt;4,0,(IF(A148&lt;K$2,0,IF(A148&lt;=K$3,1,0))))</f>
        <v>0</v>
      </c>
      <c r="L148" s="124" t="n">
        <f aca="false">J148*K148</f>
        <v>-0</v>
      </c>
      <c r="M148" s="124" t="n">
        <f aca="false">SUM(J$97:J148)</f>
        <v>-103174.73</v>
      </c>
      <c r="N148" s="124" t="n">
        <f aca="false">SUM(J$6:J148)</f>
        <v>-217343.56</v>
      </c>
      <c r="P148" s="124" t="n">
        <f aca="false">D148/P$3</f>
        <v>0.010662</v>
      </c>
      <c r="Q148" s="124" t="n">
        <f aca="false">E148/P$3</f>
        <v>0</v>
      </c>
      <c r="R148" s="124" t="n">
        <f aca="false">F148/R$3</f>
        <v>0</v>
      </c>
      <c r="S148" s="126" t="n">
        <f aca="false">J148/$R$3</f>
        <v>-0.05</v>
      </c>
      <c r="T148" s="126" t="n">
        <f aca="false">L148/$R$3</f>
        <v>-0</v>
      </c>
      <c r="U148" s="126" t="n">
        <f aca="false">I148/$R$3</f>
        <v>-73.57</v>
      </c>
      <c r="V148" s="126" t="n">
        <f aca="false">M148/$R$3</f>
        <v>-103.17473</v>
      </c>
      <c r="W148" s="126" t="n">
        <f aca="false">N148/$R$3</f>
        <v>-217.34356</v>
      </c>
    </row>
    <row r="149" customFormat="false" ht="13.5" hidden="true" customHeight="true" outlineLevel="0" collapsed="false">
      <c r="A149" s="120" t="n">
        <f aca="false">A148+1</f>
        <v>37035</v>
      </c>
      <c r="B149" s="131" t="str">
        <f aca="false">INDEX('Master Data'!$A$2:$B$8,MATCH(WEEKDAY('ARG Gas IM'!A149,3),'Master Data'!$A$2:$A$8,0),2)</f>
        <v>Th</v>
      </c>
      <c r="D149" s="124" t="n">
        <v>7785.74929999994</v>
      </c>
      <c r="E149" s="124"/>
      <c r="F149" s="124"/>
      <c r="G149" s="124" t="n">
        <v>-76054</v>
      </c>
      <c r="I149" s="124" t="n">
        <f aca="false">IF(MONTH($A149)=MONTH($A148),IF(G149=0,I148,G149),G149)</f>
        <v>-76054</v>
      </c>
      <c r="J149" s="124" t="n">
        <f aca="false">IF(MONTH($A149)=MONTH($A148),SUM(I149-I148),I149)</f>
        <v>-2484</v>
      </c>
      <c r="K149" s="124" t="n">
        <f aca="false">IF(WEEKDAY(A149,3)&gt;4,0,(IF(A149&lt;K$2,0,IF(A149&lt;=K$3,1,0))))</f>
        <v>0</v>
      </c>
      <c r="L149" s="124" t="n">
        <f aca="false">J149*K149</f>
        <v>-0</v>
      </c>
      <c r="M149" s="124" t="n">
        <f aca="false">SUM(J$97:J149)</f>
        <v>-105658.73</v>
      </c>
      <c r="N149" s="124" t="n">
        <f aca="false">SUM(J$6:J149)</f>
        <v>-219827.56</v>
      </c>
      <c r="P149" s="124" t="n">
        <f aca="false">D149/P$3</f>
        <v>0.00778574929999994</v>
      </c>
      <c r="Q149" s="124" t="n">
        <f aca="false">E149/P$3</f>
        <v>0</v>
      </c>
      <c r="R149" s="124" t="n">
        <f aca="false">F149/R$3</f>
        <v>0</v>
      </c>
      <c r="S149" s="126" t="n">
        <f aca="false">J149/$R$3</f>
        <v>-2.484</v>
      </c>
      <c r="T149" s="126" t="n">
        <f aca="false">L149/$R$3</f>
        <v>-0</v>
      </c>
      <c r="U149" s="126" t="n">
        <f aca="false">I149/$R$3</f>
        <v>-76.054</v>
      </c>
      <c r="V149" s="126" t="n">
        <f aca="false">M149/$R$3</f>
        <v>-105.65873</v>
      </c>
      <c r="W149" s="126" t="n">
        <f aca="false">N149/$R$3</f>
        <v>-219.82756</v>
      </c>
    </row>
    <row r="150" customFormat="false" ht="13.5" hidden="true" customHeight="true" outlineLevel="0" collapsed="false">
      <c r="A150" s="120" t="n">
        <f aca="false">A149+1</f>
        <v>37036</v>
      </c>
      <c r="B150" s="131" t="str">
        <f aca="false">INDEX('Master Data'!$A$2:$B$8,MATCH(WEEKDAY('ARG Gas IM'!A150,3),'Master Data'!$A$2:$A$8,0),2)</f>
        <v>F</v>
      </c>
      <c r="D150" s="124" t="n">
        <v>7998.52000000003</v>
      </c>
      <c r="E150" s="124"/>
      <c r="F150" s="124"/>
      <c r="G150" s="124" t="n">
        <v>-71273</v>
      </c>
      <c r="I150" s="124" t="n">
        <f aca="false">IF(MONTH($A150)=MONTH($A149),IF(G150=0,I149,G150),G150)</f>
        <v>-71273</v>
      </c>
      <c r="J150" s="124" t="n">
        <f aca="false">IF(MONTH($A150)=MONTH($A149),SUM(I150-I149),I150)</f>
        <v>4781</v>
      </c>
      <c r="K150" s="124" t="n">
        <f aca="false">IF(WEEKDAY(A150,3)&gt;4,0,(IF(A150&lt;K$2,0,IF(A150&lt;=K$3,1,0))))</f>
        <v>0</v>
      </c>
      <c r="L150" s="124" t="n">
        <f aca="false">J150*K150</f>
        <v>0</v>
      </c>
      <c r="M150" s="124" t="n">
        <f aca="false">SUM(J$97:J150)</f>
        <v>-100877.73</v>
      </c>
      <c r="N150" s="124" t="n">
        <f aca="false">SUM(J$6:J150)</f>
        <v>-215046.56</v>
      </c>
      <c r="P150" s="124" t="n">
        <f aca="false">D150/P$3</f>
        <v>0.00799852000000003</v>
      </c>
      <c r="Q150" s="124" t="n">
        <f aca="false">E150/P$3</f>
        <v>0</v>
      </c>
      <c r="R150" s="124" t="n">
        <f aca="false">F150/R$3</f>
        <v>0</v>
      </c>
      <c r="S150" s="126" t="n">
        <f aca="false">J150/$R$3</f>
        <v>4.781</v>
      </c>
      <c r="T150" s="126" t="n">
        <f aca="false">L150/$R$3</f>
        <v>0</v>
      </c>
      <c r="U150" s="126" t="n">
        <f aca="false">I150/$R$3</f>
        <v>-71.273</v>
      </c>
      <c r="V150" s="126" t="n">
        <f aca="false">M150/$R$3</f>
        <v>-100.87773</v>
      </c>
      <c r="W150" s="126" t="n">
        <f aca="false">N150/$R$3</f>
        <v>-215.04656</v>
      </c>
    </row>
    <row r="151" customFormat="false" ht="13.5" hidden="true" customHeight="true" outlineLevel="0" collapsed="false">
      <c r="A151" s="120" t="n">
        <f aca="false">A150+1</f>
        <v>37037</v>
      </c>
      <c r="B151" s="131" t="str">
        <f aca="false">INDEX('Master Data'!$A$2:$B$8,MATCH(WEEKDAY('ARG Gas IM'!A151,3),'Master Data'!$A$2:$A$8,0),2)</f>
        <v>Sa</v>
      </c>
      <c r="D151" s="124"/>
      <c r="E151" s="124"/>
      <c r="F151" s="124"/>
      <c r="G151" s="124"/>
      <c r="I151" s="124" t="n">
        <f aca="false">IF(MONTH($A151)=MONTH($A150),IF(G151=0,I150,G151),G151)</f>
        <v>-71273</v>
      </c>
      <c r="J151" s="124" t="n">
        <f aca="false">IF(MONTH($A151)=MONTH($A150),SUM(I151-I150),I151)</f>
        <v>0</v>
      </c>
      <c r="K151" s="124" t="n">
        <f aca="false">IF(WEEKDAY(A151,3)&gt;4,0,(IF(A151&lt;K$2,0,IF(A151&lt;=K$3,1,0))))</f>
        <v>0</v>
      </c>
      <c r="L151" s="124" t="n">
        <f aca="false">J151*K151</f>
        <v>0</v>
      </c>
      <c r="M151" s="124" t="n">
        <f aca="false">SUM(J$97:J151)</f>
        <v>-100877.73</v>
      </c>
      <c r="N151" s="124" t="n">
        <f aca="false">SUM(J$6:J151)</f>
        <v>-215046.56</v>
      </c>
      <c r="P151" s="124" t="n">
        <f aca="false">D151/P$3</f>
        <v>0</v>
      </c>
      <c r="Q151" s="124" t="n">
        <f aca="false">E151/P$3</f>
        <v>0</v>
      </c>
      <c r="R151" s="124" t="n">
        <f aca="false">F151/R$3</f>
        <v>0</v>
      </c>
      <c r="S151" s="126" t="n">
        <f aca="false">J151/$R$3</f>
        <v>0</v>
      </c>
      <c r="T151" s="126" t="n">
        <f aca="false">L151/$R$3</f>
        <v>0</v>
      </c>
      <c r="U151" s="126" t="n">
        <f aca="false">I151/$R$3</f>
        <v>-71.273</v>
      </c>
      <c r="V151" s="126" t="n">
        <f aca="false">M151/$R$3</f>
        <v>-100.87773</v>
      </c>
      <c r="W151" s="126" t="n">
        <f aca="false">N151/$R$3</f>
        <v>-215.04656</v>
      </c>
    </row>
    <row r="152" customFormat="false" ht="13.5" hidden="true" customHeight="true" outlineLevel="0" collapsed="false">
      <c r="A152" s="120" t="n">
        <f aca="false">A151+1</f>
        <v>37038</v>
      </c>
      <c r="B152" s="131" t="str">
        <f aca="false">INDEX('Master Data'!$A$2:$B$8,MATCH(WEEKDAY('ARG Gas IM'!A152,3),'Master Data'!$A$2:$A$8,0),2)</f>
        <v>Su</v>
      </c>
      <c r="D152" s="124"/>
      <c r="E152" s="124"/>
      <c r="F152" s="124"/>
      <c r="G152" s="124"/>
      <c r="I152" s="124" t="n">
        <f aca="false">IF(MONTH($A152)=MONTH($A151),IF(G152=0,I151,G152),G152)</f>
        <v>-71273</v>
      </c>
      <c r="J152" s="124" t="n">
        <f aca="false">IF(MONTH($A152)=MONTH($A151),SUM(I152-I151),I152)</f>
        <v>0</v>
      </c>
      <c r="K152" s="124" t="n">
        <f aca="false">IF(WEEKDAY(A152,3)&gt;4,0,(IF(A152&lt;K$2,0,IF(A152&lt;=K$3,1,0))))</f>
        <v>0</v>
      </c>
      <c r="L152" s="124" t="n">
        <f aca="false">J152*K152</f>
        <v>0</v>
      </c>
      <c r="M152" s="124" t="n">
        <f aca="false">SUM(J$97:J152)</f>
        <v>-100877.73</v>
      </c>
      <c r="N152" s="124" t="n">
        <f aca="false">SUM(J$6:J152)</f>
        <v>-215046.56</v>
      </c>
      <c r="P152" s="124" t="n">
        <f aca="false">D152/P$3</f>
        <v>0</v>
      </c>
      <c r="Q152" s="124" t="n">
        <f aca="false">E152/P$3</f>
        <v>0</v>
      </c>
      <c r="R152" s="124" t="n">
        <f aca="false">F152/R$3</f>
        <v>0</v>
      </c>
      <c r="S152" s="126" t="n">
        <f aca="false">J152/$R$3</f>
        <v>0</v>
      </c>
      <c r="T152" s="126" t="n">
        <f aca="false">L152/$R$3</f>
        <v>0</v>
      </c>
      <c r="U152" s="126" t="n">
        <f aca="false">I152/$R$3</f>
        <v>-71.273</v>
      </c>
      <c r="V152" s="126" t="n">
        <f aca="false">M152/$R$3</f>
        <v>-100.87773</v>
      </c>
      <c r="W152" s="126" t="n">
        <f aca="false">N152/$R$3</f>
        <v>-215.04656</v>
      </c>
    </row>
    <row r="153" customFormat="false" ht="13.5" hidden="true" customHeight="true" outlineLevel="0" collapsed="false">
      <c r="A153" s="120" t="n">
        <f aca="false">A152+1</f>
        <v>37039</v>
      </c>
      <c r="B153" s="131" t="str">
        <f aca="false">INDEX('Master Data'!$A$2:$B$8,MATCH(WEEKDAY('ARG Gas IM'!A153,3),'Master Data'!$A$2:$A$8,0),2)</f>
        <v>M</v>
      </c>
      <c r="D153" s="124"/>
      <c r="E153" s="124"/>
      <c r="F153" s="124"/>
      <c r="G153" s="124"/>
      <c r="I153" s="124" t="n">
        <f aca="false">IF(MONTH($A153)=MONTH($A152),IF(G153=0,I152,G153),G153)</f>
        <v>-71273</v>
      </c>
      <c r="J153" s="124" t="n">
        <f aca="false">IF(MONTH($A153)=MONTH($A152),SUM(I153-I152),I153)</f>
        <v>0</v>
      </c>
      <c r="K153" s="124" t="n">
        <f aca="false">IF(WEEKDAY(A153,3)&gt;4,0,(IF(A153&lt;K$2,0,IF(A153&lt;=K$3,1,0))))</f>
        <v>0</v>
      </c>
      <c r="L153" s="124" t="n">
        <f aca="false">J153*K153</f>
        <v>0</v>
      </c>
      <c r="M153" s="124" t="n">
        <f aca="false">SUM(J$97:J153)</f>
        <v>-100877.73</v>
      </c>
      <c r="N153" s="124" t="n">
        <f aca="false">SUM(J$6:J153)</f>
        <v>-215046.56</v>
      </c>
      <c r="P153" s="124" t="n">
        <f aca="false">D153/P$3</f>
        <v>0</v>
      </c>
      <c r="Q153" s="124" t="n">
        <f aca="false">E153/P$3</f>
        <v>0</v>
      </c>
      <c r="R153" s="124" t="n">
        <f aca="false">F153/R$3</f>
        <v>0</v>
      </c>
      <c r="S153" s="126" t="n">
        <f aca="false">J153/$R$3</f>
        <v>0</v>
      </c>
      <c r="T153" s="126" t="n">
        <f aca="false">L153/$R$3</f>
        <v>0</v>
      </c>
      <c r="U153" s="126" t="n">
        <f aca="false">I153/$R$3</f>
        <v>-71.273</v>
      </c>
      <c r="V153" s="126" t="n">
        <f aca="false">M153/$R$3</f>
        <v>-100.87773</v>
      </c>
      <c r="W153" s="126" t="n">
        <f aca="false">N153/$R$3</f>
        <v>-215.04656</v>
      </c>
    </row>
    <row r="154" customFormat="false" ht="13.5" hidden="true" customHeight="true" outlineLevel="0" collapsed="false">
      <c r="A154" s="120" t="n">
        <f aca="false">A153+1</f>
        <v>37040</v>
      </c>
      <c r="B154" s="131" t="str">
        <f aca="false">INDEX('Master Data'!$A$2:$B$8,MATCH(WEEKDAY('ARG Gas IM'!A154,3),'Master Data'!$A$2:$A$8,0),2)</f>
        <v>T</v>
      </c>
      <c r="D154" s="124" t="n">
        <v>2667.38599999999</v>
      </c>
      <c r="E154" s="124"/>
      <c r="F154" s="124"/>
      <c r="G154" s="124" t="n">
        <v>-61738</v>
      </c>
      <c r="I154" s="124" t="n">
        <f aca="false">IF(MONTH($A154)=MONTH($A153),IF(G154=0,I153,G154),G154)</f>
        <v>-61738</v>
      </c>
      <c r="J154" s="124" t="n">
        <f aca="false">IF(MONTH($A154)=MONTH($A153),SUM(I154-I153),I154)</f>
        <v>9535</v>
      </c>
      <c r="K154" s="124" t="n">
        <f aca="false">IF(WEEKDAY(A154,3)&gt;4,0,(IF(A154&lt;K$2,0,IF(A154&lt;=K$3,1,0))))</f>
        <v>0</v>
      </c>
      <c r="L154" s="124" t="n">
        <f aca="false">J154*K154</f>
        <v>0</v>
      </c>
      <c r="M154" s="124" t="n">
        <f aca="false">SUM(J$97:J154)</f>
        <v>-91342.73</v>
      </c>
      <c r="N154" s="124" t="n">
        <f aca="false">SUM(J$6:J154)</f>
        <v>-205511.56</v>
      </c>
      <c r="P154" s="124" t="n">
        <f aca="false">D154/P$3</f>
        <v>0.00266738599999999</v>
      </c>
      <c r="Q154" s="124" t="n">
        <f aca="false">E154/P$3</f>
        <v>0</v>
      </c>
      <c r="R154" s="124" t="n">
        <f aca="false">F154/R$3</f>
        <v>0</v>
      </c>
      <c r="S154" s="126" t="n">
        <f aca="false">J154/$R$3</f>
        <v>9.535</v>
      </c>
      <c r="T154" s="126" t="n">
        <f aca="false">L154/$R$3</f>
        <v>0</v>
      </c>
      <c r="U154" s="126" t="n">
        <f aca="false">I154/$R$3</f>
        <v>-61.738</v>
      </c>
      <c r="V154" s="126" t="n">
        <f aca="false">M154/$R$3</f>
        <v>-91.34273</v>
      </c>
      <c r="W154" s="126" t="n">
        <f aca="false">N154/$R$3</f>
        <v>-205.51156</v>
      </c>
    </row>
    <row r="155" customFormat="false" ht="13.5" hidden="true" customHeight="true" outlineLevel="0" collapsed="false">
      <c r="A155" s="120" t="n">
        <f aca="false">A154+1</f>
        <v>37041</v>
      </c>
      <c r="B155" s="131" t="str">
        <f aca="false">INDEX('Master Data'!$A$2:$B$8,MATCH(WEEKDAY('ARG Gas IM'!A155,3),'Master Data'!$A$2:$A$8,0),2)</f>
        <v>W</v>
      </c>
      <c r="D155" s="124" t="n">
        <v>1329.3208</v>
      </c>
      <c r="E155" s="124"/>
      <c r="F155" s="124"/>
      <c r="G155" s="124" t="n">
        <v>-59323.0110577799</v>
      </c>
      <c r="I155" s="124" t="n">
        <f aca="false">IF(MONTH($A155)=MONTH($A154),IF(G155=0,I154,G155),G155)</f>
        <v>-59323.0110577799</v>
      </c>
      <c r="J155" s="124" t="n">
        <f aca="false">IF(MONTH($A155)=MONTH($A154),SUM(I155-I154),I155)</f>
        <v>2414.98894222014</v>
      </c>
      <c r="K155" s="124" t="n">
        <f aca="false">IF(WEEKDAY(A155,3)&gt;4,0,(IF(A155&lt;K$2,0,IF(A155&lt;=K$3,1,0))))</f>
        <v>0</v>
      </c>
      <c r="L155" s="124" t="n">
        <f aca="false">J155*K155</f>
        <v>0</v>
      </c>
      <c r="M155" s="124" t="n">
        <f aca="false">SUM(J$97:J155)</f>
        <v>-88927.7410577799</v>
      </c>
      <c r="N155" s="124" t="n">
        <f aca="false">SUM(J$6:J155)</f>
        <v>-203096.57105778</v>
      </c>
      <c r="P155" s="124" t="n">
        <f aca="false">D155/P$3</f>
        <v>0.0013293208</v>
      </c>
      <c r="Q155" s="124" t="n">
        <f aca="false">E155/P$3</f>
        <v>0</v>
      </c>
      <c r="R155" s="124" t="n">
        <f aca="false">F155/R$3</f>
        <v>0</v>
      </c>
      <c r="S155" s="126" t="n">
        <f aca="false">J155/$R$3</f>
        <v>2.41498894222014</v>
      </c>
      <c r="T155" s="126" t="n">
        <f aca="false">L155/$R$3</f>
        <v>0</v>
      </c>
      <c r="U155" s="126" t="n">
        <f aca="false">I155/$R$3</f>
        <v>-59.3230110577799</v>
      </c>
      <c r="V155" s="126" t="n">
        <f aca="false">M155/$R$3</f>
        <v>-88.9277410577799</v>
      </c>
      <c r="W155" s="126" t="n">
        <f aca="false">N155/$R$3</f>
        <v>-203.09657105778</v>
      </c>
    </row>
    <row r="156" customFormat="false" ht="13.5" hidden="false" customHeight="true" outlineLevel="0" collapsed="false">
      <c r="A156" s="120" t="n">
        <f aca="false">A155+1</f>
        <v>37042</v>
      </c>
      <c r="B156" s="131" t="str">
        <f aca="false">INDEX('Master Data'!$A$2:$B$8,MATCH(WEEKDAY('ARG Gas IM'!A156,3),'Master Data'!$A$2:$A$8,0),2)</f>
        <v>Th</v>
      </c>
      <c r="D156" s="124" t="n">
        <v>-30521.7119999999</v>
      </c>
      <c r="E156" s="124"/>
      <c r="F156" s="124"/>
      <c r="G156" s="124" t="n">
        <v>-69518</v>
      </c>
      <c r="I156" s="124" t="n">
        <f aca="false">IF(MONTH($A156)=MONTH($A155),IF(G156=0,I155,G156),G156)</f>
        <v>-69518</v>
      </c>
      <c r="J156" s="124" t="n">
        <f aca="false">IF(MONTH($A156)=MONTH($A155),SUM(I156-I155),I156)</f>
        <v>-10194.9889422201</v>
      </c>
      <c r="K156" s="124" t="n">
        <f aca="false">IF(WEEKDAY(A156,3)&gt;4,0,(IF(A156&lt;K$2,0,IF(A156&lt;=K$3,1,0))))</f>
        <v>0</v>
      </c>
      <c r="L156" s="124" t="n">
        <f aca="false">J156*K156</f>
        <v>-0</v>
      </c>
      <c r="M156" s="124" t="n">
        <f aca="false">SUM(J$97:J156)</f>
        <v>-99122.73</v>
      </c>
      <c r="N156" s="124" t="n">
        <f aca="false">SUM(J$6:J156)</f>
        <v>-213291.56</v>
      </c>
      <c r="P156" s="124" t="n">
        <f aca="false">D156/P$3</f>
        <v>-0.0305217119999999</v>
      </c>
      <c r="Q156" s="124" t="n">
        <f aca="false">E156/P$3</f>
        <v>0</v>
      </c>
      <c r="R156" s="124" t="n">
        <f aca="false">F156/R$3</f>
        <v>0</v>
      </c>
      <c r="S156" s="126" t="n">
        <f aca="false">J156/$R$3</f>
        <v>-10.1949889422201</v>
      </c>
      <c r="T156" s="126" t="n">
        <f aca="false">L156/$R$3</f>
        <v>-0</v>
      </c>
      <c r="U156" s="126" t="n">
        <f aca="false">I156/$R$3</f>
        <v>-69.518</v>
      </c>
      <c r="V156" s="126" t="n">
        <f aca="false">M156/$R$3</f>
        <v>-99.12273</v>
      </c>
      <c r="W156" s="126" t="n">
        <f aca="false">N156/$R$3</f>
        <v>-213.29156</v>
      </c>
    </row>
    <row r="157" customFormat="false" ht="13.5" hidden="true" customHeight="true" outlineLevel="0" collapsed="false">
      <c r="A157" s="120" t="n">
        <f aca="false">A156+1</f>
        <v>37043</v>
      </c>
      <c r="B157" s="131" t="str">
        <f aca="false">INDEX('Master Data'!$A$2:$B$8,MATCH(WEEKDAY('ARG Gas IM'!A157,3),'Master Data'!$A$2:$A$8,0),2)</f>
        <v>F</v>
      </c>
      <c r="D157" s="124" t="n">
        <v>-29507.6421</v>
      </c>
      <c r="E157" s="124"/>
      <c r="F157" s="124"/>
      <c r="G157" s="124" t="n">
        <v>-38738.184056391</v>
      </c>
      <c r="I157" s="124" t="n">
        <f aca="false">IF(MONTH($A157)=MONTH($A156),IF(G157=0,I156,G157),G157)</f>
        <v>-38738.184056391</v>
      </c>
      <c r="J157" s="124" t="n">
        <f aca="false">IF(MONTH($A157)=MONTH($A156),SUM(I157-I156),I157)</f>
        <v>-38738.184056391</v>
      </c>
      <c r="K157" s="124" t="n">
        <f aca="false">IF(WEEKDAY(A157,3)&gt;4,0,(IF(A157&lt;K$2,0,IF(A157&lt;=K$3,1,0))))</f>
        <v>0</v>
      </c>
      <c r="L157" s="124" t="n">
        <f aca="false">J157*K157</f>
        <v>-0</v>
      </c>
      <c r="M157" s="124" t="n">
        <f aca="false">SUM(J$97:J157)</f>
        <v>-137860.914056391</v>
      </c>
      <c r="N157" s="124" t="n">
        <f aca="false">SUM(J$6:J157)</f>
        <v>-252029.744056391</v>
      </c>
      <c r="P157" s="124" t="n">
        <f aca="false">D157/P$3</f>
        <v>-0.0295076421</v>
      </c>
      <c r="Q157" s="124" t="n">
        <f aca="false">E157/P$3</f>
        <v>0</v>
      </c>
      <c r="R157" s="124" t="n">
        <f aca="false">F157/R$3</f>
        <v>0</v>
      </c>
      <c r="S157" s="126" t="n">
        <f aca="false">J157/$R$3</f>
        <v>-38.738184056391</v>
      </c>
      <c r="T157" s="126" t="n">
        <f aca="false">L157/$R$3</f>
        <v>-0</v>
      </c>
      <c r="U157" s="126" t="n">
        <f aca="false">I157/$R$3</f>
        <v>-38.738184056391</v>
      </c>
      <c r="V157" s="126" t="n">
        <f aca="false">M157/$R$3</f>
        <v>-137.860914056391</v>
      </c>
      <c r="W157" s="126" t="n">
        <f aca="false">N157/$R$3</f>
        <v>-252.029744056391</v>
      </c>
    </row>
    <row r="158" customFormat="false" ht="12.75" hidden="true" customHeight="false" outlineLevel="0" collapsed="false">
      <c r="A158" s="120" t="n">
        <f aca="false">A157+1</f>
        <v>37044</v>
      </c>
      <c r="B158" s="131" t="str">
        <f aca="false">INDEX('Master Data'!$A$2:$B$8,MATCH(WEEKDAY('ARG Gas IM'!A158,3),'Master Data'!$A$2:$A$8,0),2)</f>
        <v>Sa</v>
      </c>
      <c r="D158" s="124"/>
      <c r="E158" s="124"/>
      <c r="F158" s="124"/>
      <c r="G158" s="124"/>
      <c r="I158" s="124" t="n">
        <f aca="false">IF(MONTH($A158)=MONTH($A157),IF(G158=0,I157,G158),G158)</f>
        <v>-38738.184056391</v>
      </c>
      <c r="J158" s="124" t="n">
        <f aca="false">IF(MONTH($A158)=MONTH($A157),SUM(I158-I157),I158)</f>
        <v>0</v>
      </c>
      <c r="K158" s="124" t="n">
        <f aca="false">IF(WEEKDAY(A158,3)&gt;4,0,(IF(A158&lt;K$2,0,IF(A158&lt;=K$3,1,0))))</f>
        <v>0</v>
      </c>
      <c r="L158" s="124" t="n">
        <f aca="false">J158*K158</f>
        <v>0</v>
      </c>
      <c r="M158" s="124" t="n">
        <f aca="false">SUM(J$97:J158)</f>
        <v>-137860.914056391</v>
      </c>
      <c r="N158" s="124" t="n">
        <f aca="false">SUM(J$6:J158)</f>
        <v>-252029.744056391</v>
      </c>
      <c r="P158" s="124" t="n">
        <f aca="false">D158/P$3</f>
        <v>0</v>
      </c>
      <c r="Q158" s="124" t="n">
        <f aca="false">E158/P$3</f>
        <v>0</v>
      </c>
      <c r="R158" s="124" t="n">
        <f aca="false">F158/R$3</f>
        <v>0</v>
      </c>
      <c r="S158" s="126" t="n">
        <f aca="false">J158/$R$3</f>
        <v>0</v>
      </c>
      <c r="T158" s="126" t="n">
        <f aca="false">L158/$R$3</f>
        <v>0</v>
      </c>
      <c r="U158" s="126" t="n">
        <f aca="false">I158/$R$3</f>
        <v>-38.738184056391</v>
      </c>
      <c r="V158" s="126" t="n">
        <f aca="false">M158/$R$3</f>
        <v>-137.860914056391</v>
      </c>
      <c r="W158" s="126" t="n">
        <f aca="false">N158/$R$3</f>
        <v>-252.029744056391</v>
      </c>
    </row>
    <row r="159" customFormat="false" ht="12.75" hidden="true" customHeight="false" outlineLevel="0" collapsed="false">
      <c r="A159" s="120" t="n">
        <f aca="false">A158+1</f>
        <v>37045</v>
      </c>
      <c r="B159" s="131" t="str">
        <f aca="false">INDEX('Master Data'!$A$2:$B$8,MATCH(WEEKDAY('ARG Gas IM'!A159,3),'Master Data'!$A$2:$A$8,0),2)</f>
        <v>Su</v>
      </c>
      <c r="D159" s="124"/>
      <c r="E159" s="124"/>
      <c r="F159" s="124"/>
      <c r="G159" s="124"/>
      <c r="I159" s="124" t="n">
        <f aca="false">IF(MONTH($A159)=MONTH($A158),IF(G159=0,I158,G159),G159)</f>
        <v>-38738.184056391</v>
      </c>
      <c r="J159" s="124" t="n">
        <f aca="false">IF(MONTH($A159)=MONTH($A158),SUM(I159-I158),I159)</f>
        <v>0</v>
      </c>
      <c r="K159" s="124" t="n">
        <f aca="false">IF(WEEKDAY(A159,3)&gt;4,0,(IF(A159&lt;K$2,0,IF(A159&lt;=K$3,1,0))))</f>
        <v>0</v>
      </c>
      <c r="L159" s="124" t="n">
        <f aca="false">J159*K159</f>
        <v>0</v>
      </c>
      <c r="M159" s="124" t="n">
        <f aca="false">SUM(J$97:J159)</f>
        <v>-137860.914056391</v>
      </c>
      <c r="N159" s="124" t="n">
        <f aca="false">SUM(J$6:J159)</f>
        <v>-252029.744056391</v>
      </c>
      <c r="P159" s="124" t="n">
        <f aca="false">D159/P$3</f>
        <v>0</v>
      </c>
      <c r="Q159" s="124" t="n">
        <f aca="false">E159/P$3</f>
        <v>0</v>
      </c>
      <c r="R159" s="124" t="n">
        <f aca="false">F159/R$3</f>
        <v>0</v>
      </c>
      <c r="S159" s="126" t="n">
        <f aca="false">J159/$R$3</f>
        <v>0</v>
      </c>
      <c r="T159" s="126" t="n">
        <f aca="false">L159/$R$3</f>
        <v>0</v>
      </c>
      <c r="U159" s="126" t="n">
        <f aca="false">I159/$R$3</f>
        <v>-38.738184056391</v>
      </c>
      <c r="V159" s="126" t="n">
        <f aca="false">M159/$R$3</f>
        <v>-137.860914056391</v>
      </c>
      <c r="W159" s="126" t="n">
        <f aca="false">N159/$R$3</f>
        <v>-252.029744056391</v>
      </c>
    </row>
    <row r="160" customFormat="false" ht="12.75" hidden="true" customHeight="false" outlineLevel="0" collapsed="false">
      <c r="A160" s="120" t="n">
        <f aca="false">A159+1</f>
        <v>37046</v>
      </c>
      <c r="B160" s="131" t="str">
        <f aca="false">INDEX('Master Data'!$A$2:$B$8,MATCH(WEEKDAY('ARG Gas IM'!A160,3),'Master Data'!$A$2:$A$8,0),2)</f>
        <v>M</v>
      </c>
      <c r="D160" s="124" t="n">
        <v>-30536.4749999996</v>
      </c>
      <c r="E160" s="124"/>
      <c r="F160" s="124"/>
      <c r="G160" s="124" t="n">
        <v>-45696</v>
      </c>
      <c r="I160" s="124" t="n">
        <f aca="false">IF(MONTH($A160)=MONTH($A159),IF(G160=0,I159,G160),G160)</f>
        <v>-45696</v>
      </c>
      <c r="J160" s="124" t="n">
        <f aca="false">IF(MONTH($A160)=MONTH($A159),SUM(I160-I159),I160)</f>
        <v>-6957.81594360901</v>
      </c>
      <c r="K160" s="124" t="n">
        <f aca="false">IF(WEEKDAY(A160,3)&gt;4,0,(IF(A160&lt;K$2,0,IF(A160&lt;=K$3,1,0))))</f>
        <v>0</v>
      </c>
      <c r="L160" s="124" t="n">
        <f aca="false">J160*K160</f>
        <v>-0</v>
      </c>
      <c r="M160" s="124" t="n">
        <f aca="false">SUM(J$97:J160)</f>
        <v>-144818.73</v>
      </c>
      <c r="N160" s="124" t="n">
        <f aca="false">SUM(J$6:J160)</f>
        <v>-258987.56</v>
      </c>
      <c r="P160" s="124" t="n">
        <f aca="false">D160/P$3</f>
        <v>-0.0305364749999996</v>
      </c>
      <c r="Q160" s="124" t="n">
        <f aca="false">E160/P$3</f>
        <v>0</v>
      </c>
      <c r="R160" s="124" t="n">
        <f aca="false">F160/R$3</f>
        <v>0</v>
      </c>
      <c r="S160" s="126" t="n">
        <f aca="false">J160/$R$3</f>
        <v>-6.95781594360901</v>
      </c>
      <c r="T160" s="126" t="n">
        <f aca="false">L160/$R$3</f>
        <v>-0</v>
      </c>
      <c r="U160" s="126" t="n">
        <f aca="false">I160/$R$3</f>
        <v>-45.696</v>
      </c>
      <c r="V160" s="126" t="n">
        <f aca="false">M160/$R$3</f>
        <v>-144.81873</v>
      </c>
      <c r="W160" s="126" t="n">
        <f aca="false">N160/$R$3</f>
        <v>-258.98756</v>
      </c>
    </row>
    <row r="161" customFormat="false" ht="12.75" hidden="true" customHeight="false" outlineLevel="0" collapsed="false">
      <c r="A161" s="120" t="n">
        <f aca="false">A160+1</f>
        <v>37047</v>
      </c>
      <c r="B161" s="131" t="str">
        <f aca="false">INDEX('Master Data'!$A$2:$B$8,MATCH(WEEKDAY('ARG Gas IM'!A161,3),'Master Data'!$A$2:$A$8,0),2)</f>
        <v>T</v>
      </c>
      <c r="D161" s="124" t="n">
        <v>78963.7679000002</v>
      </c>
      <c r="E161" s="124"/>
      <c r="F161" s="124"/>
      <c r="G161" s="124" t="n">
        <v>-62292</v>
      </c>
      <c r="I161" s="124" t="n">
        <f aca="false">IF(MONTH($A161)=MONTH($A160),IF(G161=0,I160,G161),G161)</f>
        <v>-62292</v>
      </c>
      <c r="J161" s="124" t="n">
        <f aca="false">IF(MONTH($A161)=MONTH($A160),SUM(I161-I160),I161)</f>
        <v>-16596</v>
      </c>
      <c r="K161" s="124" t="n">
        <f aca="false">IF(WEEKDAY(A161,3)&gt;4,0,(IF(A161&lt;K$2,0,IF(A161&lt;=K$3,1,0))))</f>
        <v>0</v>
      </c>
      <c r="L161" s="124" t="n">
        <f aca="false">J161*K161</f>
        <v>-0</v>
      </c>
      <c r="M161" s="124" t="n">
        <f aca="false">SUM(J$97:J161)</f>
        <v>-161414.73</v>
      </c>
      <c r="N161" s="124" t="n">
        <f aca="false">SUM(J$6:J161)</f>
        <v>-275583.56</v>
      </c>
      <c r="P161" s="124" t="n">
        <f aca="false">D161/P$3</f>
        <v>0.0789637679000002</v>
      </c>
      <c r="Q161" s="124" t="n">
        <f aca="false">E161/P$3</f>
        <v>0</v>
      </c>
      <c r="R161" s="124" t="n">
        <f aca="false">F161/R$3</f>
        <v>0</v>
      </c>
      <c r="S161" s="126" t="n">
        <f aca="false">J161/$R$3</f>
        <v>-16.596</v>
      </c>
      <c r="T161" s="126" t="n">
        <f aca="false">L161/$R$3</f>
        <v>-0</v>
      </c>
      <c r="U161" s="126" t="n">
        <f aca="false">I161/$R$3</f>
        <v>-62.292</v>
      </c>
      <c r="V161" s="126" t="n">
        <f aca="false">M161/$R$3</f>
        <v>-161.41473</v>
      </c>
      <c r="W161" s="126" t="n">
        <f aca="false">N161/$R$3</f>
        <v>-275.58356</v>
      </c>
    </row>
    <row r="162" customFormat="false" ht="12.75" hidden="true" customHeight="false" outlineLevel="0" collapsed="false">
      <c r="A162" s="120" t="n">
        <f aca="false">A161+1</f>
        <v>37048</v>
      </c>
      <c r="B162" s="131" t="str">
        <f aca="false">INDEX('Master Data'!$A$2:$B$8,MATCH(WEEKDAY('ARG Gas IM'!A162,3),'Master Data'!$A$2:$A$8,0),2)</f>
        <v>W</v>
      </c>
      <c r="D162" s="124" t="n">
        <v>76328.5913999994</v>
      </c>
      <c r="E162" s="124"/>
      <c r="F162" s="124"/>
      <c r="G162" s="124" t="n">
        <v>-63582</v>
      </c>
      <c r="I162" s="124" t="n">
        <f aca="false">IF(MONTH($A162)=MONTH($A161),IF(G162=0,I161,G162),G162)</f>
        <v>-63582</v>
      </c>
      <c r="J162" s="124" t="n">
        <f aca="false">IF(MONTH($A162)=MONTH($A161),SUM(I162-I161),I162)</f>
        <v>-1290</v>
      </c>
      <c r="K162" s="124" t="n">
        <f aca="false">IF(WEEKDAY(A162,3)&gt;4,0,(IF(A162&lt;K$2,0,IF(A162&lt;=K$3,1,0))))</f>
        <v>0</v>
      </c>
      <c r="L162" s="124" t="n">
        <f aca="false">J162*K162</f>
        <v>-0</v>
      </c>
      <c r="M162" s="124" t="n">
        <f aca="false">SUM(J$97:J162)</f>
        <v>-162704.73</v>
      </c>
      <c r="N162" s="124" t="n">
        <f aca="false">SUM(J$6:J162)</f>
        <v>-276873.56</v>
      </c>
      <c r="P162" s="124" t="n">
        <f aca="false">D162/P$3</f>
        <v>0.0763285913999994</v>
      </c>
      <c r="Q162" s="124" t="n">
        <f aca="false">E162/P$3</f>
        <v>0</v>
      </c>
      <c r="R162" s="124" t="n">
        <f aca="false">F162/R$3</f>
        <v>0</v>
      </c>
      <c r="S162" s="126" t="n">
        <f aca="false">J162/$R$3</f>
        <v>-1.29</v>
      </c>
      <c r="T162" s="126" t="n">
        <f aca="false">L162/$R$3</f>
        <v>-0</v>
      </c>
      <c r="U162" s="126" t="n">
        <f aca="false">I162/$R$3</f>
        <v>-63.582</v>
      </c>
      <c r="V162" s="126" t="n">
        <f aca="false">M162/$R$3</f>
        <v>-162.70473</v>
      </c>
      <c r="W162" s="126" t="n">
        <f aca="false">N162/$R$3</f>
        <v>-276.87356</v>
      </c>
    </row>
    <row r="163" customFormat="false" ht="12.75" hidden="true" customHeight="false" outlineLevel="0" collapsed="false">
      <c r="A163" s="120" t="n">
        <f aca="false">A162+1</f>
        <v>37049</v>
      </c>
      <c r="B163" s="131" t="str">
        <f aca="false">INDEX('Master Data'!$A$2:$B$8,MATCH(WEEKDAY('ARG Gas IM'!A163,3),'Master Data'!$A$2:$A$8,0),2)</f>
        <v>Th</v>
      </c>
      <c r="D163" s="124" t="n">
        <v>73692.2456</v>
      </c>
      <c r="E163" s="124"/>
      <c r="F163" s="124"/>
      <c r="G163" s="124" t="n">
        <v>-53964</v>
      </c>
      <c r="I163" s="124" t="n">
        <f aca="false">IF(MONTH($A163)=MONTH($A162),IF(G163=0,I162,G163),G163)</f>
        <v>-53964</v>
      </c>
      <c r="J163" s="124" t="n">
        <f aca="false">IF(MONTH($A163)=MONTH($A162),SUM(I163-I162),I163)</f>
        <v>9618</v>
      </c>
      <c r="K163" s="124" t="n">
        <f aca="false">IF(WEEKDAY(A163,3)&gt;4,0,(IF(A163&lt;K$2,0,IF(A163&lt;=K$3,1,0))))</f>
        <v>0</v>
      </c>
      <c r="L163" s="124" t="n">
        <f aca="false">J163*K163</f>
        <v>0</v>
      </c>
      <c r="M163" s="124" t="n">
        <f aca="false">SUM(J$97:J163)</f>
        <v>-153086.73</v>
      </c>
      <c r="N163" s="124" t="n">
        <f aca="false">SUM(J$6:J163)</f>
        <v>-267255.56</v>
      </c>
      <c r="P163" s="124" t="n">
        <f aca="false">D163/P$3</f>
        <v>0.0736922456</v>
      </c>
      <c r="Q163" s="124" t="n">
        <f aca="false">E163/P$3</f>
        <v>0</v>
      </c>
      <c r="R163" s="124" t="n">
        <f aca="false">F163/R$3</f>
        <v>0</v>
      </c>
      <c r="S163" s="126" t="n">
        <f aca="false">J163/$R$3</f>
        <v>9.618</v>
      </c>
      <c r="T163" s="126" t="n">
        <f aca="false">L163/$R$3</f>
        <v>0</v>
      </c>
      <c r="U163" s="126" t="n">
        <f aca="false">I163/$R$3</f>
        <v>-53.964</v>
      </c>
      <c r="V163" s="126" t="n">
        <f aca="false">M163/$R$3</f>
        <v>-153.08673</v>
      </c>
      <c r="W163" s="126" t="n">
        <f aca="false">N163/$R$3</f>
        <v>-267.25556</v>
      </c>
    </row>
    <row r="164" customFormat="false" ht="12.75" hidden="true" customHeight="false" outlineLevel="0" collapsed="false">
      <c r="A164" s="120" t="n">
        <f aca="false">A163+1</f>
        <v>37050</v>
      </c>
      <c r="B164" s="131" t="str">
        <f aca="false">INDEX('Master Data'!$A$2:$B$8,MATCH(WEEKDAY('ARG Gas IM'!A164,3),'Master Data'!$A$2:$A$8,0),2)</f>
        <v>F</v>
      </c>
      <c r="D164" s="124" t="n">
        <v>29275.3229000005</v>
      </c>
      <c r="E164" s="124"/>
      <c r="F164" s="124"/>
      <c r="G164" s="124" t="n">
        <v>-43344</v>
      </c>
      <c r="I164" s="124" t="n">
        <f aca="false">IF(MONTH($A164)=MONTH($A163),IF(G164=0,I163,G164),G164)</f>
        <v>-43344</v>
      </c>
      <c r="J164" s="124" t="n">
        <f aca="false">IF(MONTH($A164)=MONTH($A163),SUM(I164-I163),I164)</f>
        <v>10620</v>
      </c>
      <c r="K164" s="124" t="n">
        <f aca="false">IF(WEEKDAY(A164,3)&gt;4,0,(IF(A164&lt;K$2,0,IF(A164&lt;=K$3,1,0))))</f>
        <v>0</v>
      </c>
      <c r="L164" s="124" t="n">
        <f aca="false">J164*K164</f>
        <v>0</v>
      </c>
      <c r="M164" s="124" t="n">
        <f aca="false">SUM(J$97:J164)</f>
        <v>-142466.73</v>
      </c>
      <c r="N164" s="124" t="n">
        <f aca="false">SUM(J$6:J164)</f>
        <v>-256635.56</v>
      </c>
      <c r="P164" s="124" t="n">
        <f aca="false">D164/P$3</f>
        <v>0.0292753229000005</v>
      </c>
      <c r="Q164" s="124" t="n">
        <f aca="false">E164/P$3</f>
        <v>0</v>
      </c>
      <c r="R164" s="124" t="n">
        <f aca="false">F164/R$3</f>
        <v>0</v>
      </c>
      <c r="S164" s="126" t="n">
        <f aca="false">J164/$R$3</f>
        <v>10.62</v>
      </c>
      <c r="T164" s="126" t="n">
        <f aca="false">L164/$R$3</f>
        <v>0</v>
      </c>
      <c r="U164" s="126" t="n">
        <f aca="false">I164/$R$3</f>
        <v>-43.344</v>
      </c>
      <c r="V164" s="126" t="n">
        <f aca="false">M164/$R$3</f>
        <v>-142.46673</v>
      </c>
      <c r="W164" s="126" t="n">
        <f aca="false">N164/$R$3</f>
        <v>-256.63556</v>
      </c>
    </row>
    <row r="165" customFormat="false" ht="12.75" hidden="true" customHeight="false" outlineLevel="0" collapsed="false">
      <c r="A165" s="120" t="n">
        <f aca="false">A164+1</f>
        <v>37051</v>
      </c>
      <c r="B165" s="131" t="str">
        <f aca="false">INDEX('Master Data'!$A$2:$B$8,MATCH(WEEKDAY('ARG Gas IM'!A165,3),'Master Data'!$A$2:$A$8,0),2)</f>
        <v>Sa</v>
      </c>
      <c r="D165" s="124"/>
      <c r="E165" s="124"/>
      <c r="F165" s="124"/>
      <c r="G165" s="124"/>
      <c r="I165" s="124" t="n">
        <f aca="false">IF(MONTH($A165)=MONTH($A164),IF(G165=0,I164,G165),G165)</f>
        <v>-43344</v>
      </c>
      <c r="J165" s="124" t="n">
        <f aca="false">IF(MONTH($A165)=MONTH($A164),SUM(I165-I164),I165)</f>
        <v>0</v>
      </c>
      <c r="K165" s="124" t="n">
        <f aca="false">IF(WEEKDAY(A165,3)&gt;4,0,(IF(A165&lt;K$2,0,IF(A165&lt;=K$3,1,0))))</f>
        <v>0</v>
      </c>
      <c r="L165" s="124" t="n">
        <f aca="false">J165*K165</f>
        <v>0</v>
      </c>
      <c r="M165" s="124" t="n">
        <f aca="false">SUM(J$97:J165)</f>
        <v>-142466.73</v>
      </c>
      <c r="N165" s="124" t="n">
        <f aca="false">SUM(J$6:J165)</f>
        <v>-256635.56</v>
      </c>
      <c r="P165" s="124" t="n">
        <f aca="false">D165/P$3</f>
        <v>0</v>
      </c>
      <c r="Q165" s="124" t="n">
        <f aca="false">E165/P$3</f>
        <v>0</v>
      </c>
      <c r="R165" s="124" t="n">
        <f aca="false">F165/R$3</f>
        <v>0</v>
      </c>
      <c r="S165" s="126" t="n">
        <f aca="false">J165/$R$3</f>
        <v>0</v>
      </c>
      <c r="T165" s="126" t="n">
        <f aca="false">L165/$R$3</f>
        <v>0</v>
      </c>
      <c r="U165" s="126" t="n">
        <f aca="false">I165/$R$3</f>
        <v>-43.344</v>
      </c>
      <c r="V165" s="126" t="n">
        <f aca="false">M165/$R$3</f>
        <v>-142.46673</v>
      </c>
      <c r="W165" s="126" t="n">
        <f aca="false">N165/$R$3</f>
        <v>-256.63556</v>
      </c>
    </row>
    <row r="166" customFormat="false" ht="12.75" hidden="true" customHeight="false" outlineLevel="0" collapsed="false">
      <c r="A166" s="120" t="n">
        <f aca="false">A165+1</f>
        <v>37052</v>
      </c>
      <c r="B166" s="131" t="str">
        <f aca="false">INDEX('Master Data'!$A$2:$B$8,MATCH(WEEKDAY('ARG Gas IM'!A166,3),'Master Data'!$A$2:$A$8,0),2)</f>
        <v>Su</v>
      </c>
      <c r="D166" s="124"/>
      <c r="E166" s="124"/>
      <c r="F166" s="124"/>
      <c r="G166" s="124"/>
      <c r="I166" s="124" t="n">
        <f aca="false">IF(MONTH($A166)=MONTH($A165),IF(G166=0,I165,G166),G166)</f>
        <v>-43344</v>
      </c>
      <c r="J166" s="124" t="n">
        <f aca="false">IF(MONTH($A166)=MONTH($A165),SUM(I166-I165),I166)</f>
        <v>0</v>
      </c>
      <c r="K166" s="124" t="n">
        <f aca="false">IF(WEEKDAY(A166,3)&gt;4,0,(IF(A166&lt;K$2,0,IF(A166&lt;=K$3,1,0))))</f>
        <v>0</v>
      </c>
      <c r="L166" s="124" t="n">
        <f aca="false">J166*K166</f>
        <v>0</v>
      </c>
      <c r="M166" s="124" t="n">
        <f aca="false">SUM(J$97:J166)</f>
        <v>-142466.73</v>
      </c>
      <c r="N166" s="124" t="n">
        <f aca="false">SUM(J$6:J166)</f>
        <v>-256635.56</v>
      </c>
      <c r="P166" s="124" t="n">
        <f aca="false">D166/P$3</f>
        <v>0</v>
      </c>
      <c r="Q166" s="124" t="n">
        <f aca="false">E166/P$3</f>
        <v>0</v>
      </c>
      <c r="R166" s="124" t="n">
        <f aca="false">F166/R$3</f>
        <v>0</v>
      </c>
      <c r="S166" s="126" t="n">
        <f aca="false">J166/$R$3</f>
        <v>0</v>
      </c>
      <c r="T166" s="126" t="n">
        <f aca="false">L166/$R$3</f>
        <v>0</v>
      </c>
      <c r="U166" s="126" t="n">
        <f aca="false">I166/$R$3</f>
        <v>-43.344</v>
      </c>
      <c r="V166" s="126" t="n">
        <f aca="false">M166/$R$3</f>
        <v>-142.46673</v>
      </c>
      <c r="W166" s="126" t="n">
        <f aca="false">N166/$R$3</f>
        <v>-256.63556</v>
      </c>
    </row>
    <row r="167" customFormat="false" ht="12.75" hidden="true" customHeight="false" outlineLevel="0" collapsed="false">
      <c r="A167" s="120" t="n">
        <f aca="false">A166+1</f>
        <v>37053</v>
      </c>
      <c r="B167" s="131" t="str">
        <f aca="false">INDEX('Master Data'!$A$2:$B$8,MATCH(WEEKDAY('ARG Gas IM'!A167,3),'Master Data'!$A$2:$A$8,0),2)</f>
        <v>M</v>
      </c>
      <c r="D167" s="124" t="n">
        <v>25291.717500001</v>
      </c>
      <c r="E167" s="124"/>
      <c r="F167" s="124"/>
      <c r="G167" s="124" t="n">
        <v>-43708</v>
      </c>
      <c r="I167" s="124" t="n">
        <f aca="false">IF(MONTH($A167)=MONTH($A166),IF(G167=0,I166,G167),G167)</f>
        <v>-43708</v>
      </c>
      <c r="J167" s="124" t="n">
        <f aca="false">IF(MONTH($A167)=MONTH($A166),SUM(I167-I166),I167)</f>
        <v>-364</v>
      </c>
      <c r="K167" s="124" t="n">
        <f aca="false">IF(WEEKDAY(A167,3)&gt;4,0,(IF(A167&lt;K$2,0,IF(A167&lt;=K$3,1,0))))</f>
        <v>0</v>
      </c>
      <c r="L167" s="124" t="n">
        <f aca="false">J167*K167</f>
        <v>-0</v>
      </c>
      <c r="M167" s="124" t="n">
        <f aca="false">SUM(J$97:J167)</f>
        <v>-142830.73</v>
      </c>
      <c r="N167" s="124" t="n">
        <f aca="false">SUM(J$6:J167)</f>
        <v>-256999.56</v>
      </c>
      <c r="P167" s="124" t="n">
        <f aca="false">D167/P$3</f>
        <v>0.025291717500001</v>
      </c>
      <c r="Q167" s="124" t="n">
        <f aca="false">E167/P$3</f>
        <v>0</v>
      </c>
      <c r="R167" s="124" t="n">
        <f aca="false">F167/R$3</f>
        <v>0</v>
      </c>
      <c r="S167" s="126" t="n">
        <f aca="false">J167/$R$3</f>
        <v>-0.364</v>
      </c>
      <c r="T167" s="126" t="n">
        <f aca="false">L167/$R$3</f>
        <v>-0</v>
      </c>
      <c r="U167" s="126" t="n">
        <f aca="false">I167/$R$3</f>
        <v>-43.708</v>
      </c>
      <c r="V167" s="126" t="n">
        <f aca="false">M167/$R$3</f>
        <v>-142.83073</v>
      </c>
      <c r="W167" s="126" t="n">
        <f aca="false">N167/$R$3</f>
        <v>-256.99956</v>
      </c>
    </row>
    <row r="168" customFormat="false" ht="12.75" hidden="true" customHeight="false" outlineLevel="0" collapsed="false">
      <c r="A168" s="120" t="n">
        <f aca="false">A167+1</f>
        <v>37054</v>
      </c>
      <c r="B168" s="131" t="str">
        <f aca="false">INDEX('Master Data'!$A$2:$B$8,MATCH(WEEKDAY('ARG Gas IM'!A168,3),'Master Data'!$A$2:$A$8,0),2)</f>
        <v>T</v>
      </c>
      <c r="D168" s="124" t="n">
        <v>23963.2474999997</v>
      </c>
      <c r="E168" s="124"/>
      <c r="F168" s="124"/>
      <c r="G168" s="124" t="n">
        <v>-43995</v>
      </c>
      <c r="I168" s="124" t="n">
        <f aca="false">IF(MONTH($A168)=MONTH($A167),IF(G168=0,I167,G168),G168)</f>
        <v>-43995</v>
      </c>
      <c r="J168" s="124" t="n">
        <f aca="false">IF(MONTH($A168)=MONTH($A167),SUM(I168-I167),I168)</f>
        <v>-287</v>
      </c>
      <c r="K168" s="124" t="n">
        <f aca="false">IF(WEEKDAY(A168,3)&gt;4,0,(IF(A168&lt;K$2,0,IF(A168&lt;=K$3,1,0))))</f>
        <v>0</v>
      </c>
      <c r="L168" s="124" t="n">
        <f aca="false">J168*K168</f>
        <v>-0</v>
      </c>
      <c r="M168" s="124" t="n">
        <f aca="false">SUM(J$97:J168)</f>
        <v>-143117.73</v>
      </c>
      <c r="N168" s="124" t="n">
        <f aca="false">SUM(J$6:J168)</f>
        <v>-257286.56</v>
      </c>
      <c r="P168" s="124" t="n">
        <f aca="false">D168/P$3</f>
        <v>0.0239632474999997</v>
      </c>
      <c r="Q168" s="124" t="n">
        <f aca="false">E168/P$3</f>
        <v>0</v>
      </c>
      <c r="R168" s="124" t="n">
        <f aca="false">F168/R$3</f>
        <v>0</v>
      </c>
      <c r="S168" s="126" t="n">
        <f aca="false">J168/$R$3</f>
        <v>-0.287</v>
      </c>
      <c r="T168" s="126" t="n">
        <f aca="false">L168/$R$3</f>
        <v>-0</v>
      </c>
      <c r="U168" s="126" t="n">
        <f aca="false">I168/$R$3</f>
        <v>-43.995</v>
      </c>
      <c r="V168" s="126" t="n">
        <f aca="false">M168/$R$3</f>
        <v>-143.11773</v>
      </c>
      <c r="W168" s="126" t="n">
        <f aca="false">N168/$R$3</f>
        <v>-257.28656</v>
      </c>
    </row>
    <row r="169" customFormat="false" ht="12.75" hidden="true" customHeight="false" outlineLevel="0" collapsed="false">
      <c r="A169" s="120" t="n">
        <f aca="false">A168+1</f>
        <v>37055</v>
      </c>
      <c r="B169" s="131" t="str">
        <f aca="false">INDEX('Master Data'!$A$2:$B$8,MATCH(WEEKDAY('ARG Gas IM'!A169,3),'Master Data'!$A$2:$A$8,0),2)</f>
        <v>W</v>
      </c>
      <c r="D169" s="124" t="n">
        <v>22634.5055000006</v>
      </c>
      <c r="E169" s="124"/>
      <c r="F169" s="124"/>
      <c r="G169" s="124" t="n">
        <v>-44285</v>
      </c>
      <c r="I169" s="124" t="n">
        <f aca="false">IF(MONTH($A169)=MONTH($A168),IF(G169=0,I168,G169),G169)</f>
        <v>-44285</v>
      </c>
      <c r="J169" s="124" t="n">
        <f aca="false">IF(MONTH($A169)=MONTH($A168),SUM(I169-I168),I169)</f>
        <v>-290</v>
      </c>
      <c r="K169" s="124" t="n">
        <f aca="false">IF(WEEKDAY(A169,3)&gt;4,0,(IF(A169&lt;K$2,0,IF(A169&lt;=K$3,1,0))))</f>
        <v>0</v>
      </c>
      <c r="L169" s="124" t="n">
        <f aca="false">J169*K169</f>
        <v>-0</v>
      </c>
      <c r="M169" s="124" t="n">
        <f aca="false">SUM(J$97:J169)</f>
        <v>-143407.73</v>
      </c>
      <c r="N169" s="124" t="n">
        <f aca="false">SUM(J$6:J169)</f>
        <v>-257576.56</v>
      </c>
      <c r="P169" s="124" t="n">
        <f aca="false">D169/P$3</f>
        <v>0.0226345055000005</v>
      </c>
      <c r="Q169" s="124" t="n">
        <f aca="false">E169/P$3</f>
        <v>0</v>
      </c>
      <c r="R169" s="124" t="n">
        <f aca="false">F169/R$3</f>
        <v>0</v>
      </c>
      <c r="S169" s="126" t="n">
        <f aca="false">J169/$R$3</f>
        <v>-0.29</v>
      </c>
      <c r="T169" s="126" t="n">
        <f aca="false">L169/$R$3</f>
        <v>-0</v>
      </c>
      <c r="U169" s="126" t="n">
        <f aca="false">I169/$R$3</f>
        <v>-44.285</v>
      </c>
      <c r="V169" s="126" t="n">
        <f aca="false">M169/$R$3</f>
        <v>-143.40773</v>
      </c>
      <c r="W169" s="126" t="n">
        <f aca="false">N169/$R$3</f>
        <v>-257.57656</v>
      </c>
    </row>
    <row r="170" customFormat="false" ht="12.75" hidden="true" customHeight="false" outlineLevel="0" collapsed="false">
      <c r="A170" s="120" t="n">
        <f aca="false">A169+1</f>
        <v>37056</v>
      </c>
      <c r="B170" s="131" t="str">
        <f aca="false">INDEX('Master Data'!$A$2:$B$8,MATCH(WEEKDAY('ARG Gas IM'!A170,3),'Master Data'!$A$2:$A$8,0),2)</f>
        <v>Th</v>
      </c>
      <c r="D170" s="124" t="n">
        <v>48678.6706000001</v>
      </c>
      <c r="E170" s="124"/>
      <c r="F170" s="124"/>
      <c r="G170" s="124" t="n">
        <v>-41293</v>
      </c>
      <c r="I170" s="124" t="n">
        <f aca="false">IF(MONTH($A170)=MONTH($A169),IF(G170=0,I169,G170),G170)</f>
        <v>-41293</v>
      </c>
      <c r="J170" s="124" t="n">
        <f aca="false">IF(MONTH($A170)=MONTH($A169),SUM(I170-I169),I170)</f>
        <v>2992</v>
      </c>
      <c r="K170" s="124" t="n">
        <f aca="false">IF(WEEKDAY(A170,3)&gt;4,0,(IF(A170&lt;K$2,0,IF(A170&lt;=K$3,1,0))))</f>
        <v>0</v>
      </c>
      <c r="L170" s="124" t="n">
        <f aca="false">J170*K170</f>
        <v>0</v>
      </c>
      <c r="M170" s="124" t="n">
        <f aca="false">SUM(J$97:J170)</f>
        <v>-140415.73</v>
      </c>
      <c r="N170" s="124" t="n">
        <f aca="false">SUM(J$6:J170)</f>
        <v>-254584.56</v>
      </c>
      <c r="P170" s="124" t="n">
        <f aca="false">D170/P$3</f>
        <v>0.0486786706000001</v>
      </c>
      <c r="Q170" s="124" t="n">
        <f aca="false">E170/P$3</f>
        <v>0</v>
      </c>
      <c r="R170" s="124" t="n">
        <f aca="false">F170/R$3</f>
        <v>0</v>
      </c>
      <c r="S170" s="126" t="n">
        <f aca="false">J170/$R$3</f>
        <v>2.992</v>
      </c>
      <c r="T170" s="126" t="n">
        <f aca="false">L170/$R$3</f>
        <v>0</v>
      </c>
      <c r="U170" s="126" t="n">
        <f aca="false">I170/$R$3</f>
        <v>-41.293</v>
      </c>
      <c r="V170" s="126" t="n">
        <f aca="false">M170/$R$3</f>
        <v>-140.41573</v>
      </c>
      <c r="W170" s="126" t="n">
        <f aca="false">N170/$R$3</f>
        <v>-254.58456</v>
      </c>
    </row>
    <row r="171" customFormat="false" ht="12.75" hidden="true" customHeight="false" outlineLevel="0" collapsed="false">
      <c r="A171" s="120" t="n">
        <f aca="false">A170+1</f>
        <v>37057</v>
      </c>
      <c r="B171" s="131" t="str">
        <f aca="false">INDEX('Master Data'!$A$2:$B$8,MATCH(WEEKDAY('ARG Gas IM'!A171,3),'Master Data'!$A$2:$A$8,0),2)</f>
        <v>F</v>
      </c>
      <c r="D171" s="124" t="n">
        <v>14927.8615000001</v>
      </c>
      <c r="E171" s="124"/>
      <c r="F171" s="124"/>
      <c r="G171" s="124" t="n">
        <v>-104462</v>
      </c>
      <c r="I171" s="124" t="n">
        <f aca="false">IF(MONTH($A171)=MONTH($A170),IF(G171=0,I170,G171),G171)</f>
        <v>-104462</v>
      </c>
      <c r="J171" s="124" t="n">
        <f aca="false">IF(MONTH($A171)=MONTH($A170),SUM(I171-I170),I171)</f>
        <v>-63169</v>
      </c>
      <c r="K171" s="124" t="n">
        <f aca="false">IF(WEEKDAY(A171,3)&gt;4,0,(IF(A171&lt;K$2,0,IF(A171&lt;=K$3,1,0))))</f>
        <v>0</v>
      </c>
      <c r="L171" s="124" t="n">
        <f aca="false">J171*K171</f>
        <v>-0</v>
      </c>
      <c r="M171" s="124" t="n">
        <f aca="false">SUM(J$97:J171)</f>
        <v>-203584.73</v>
      </c>
      <c r="N171" s="124" t="n">
        <f aca="false">SUM(J$6:J171)</f>
        <v>-317753.56</v>
      </c>
      <c r="P171" s="124" t="n">
        <f aca="false">D171/P$3</f>
        <v>0.0149278615000001</v>
      </c>
      <c r="Q171" s="124" t="n">
        <f aca="false">E171/P$3</f>
        <v>0</v>
      </c>
      <c r="R171" s="124" t="n">
        <f aca="false">F171/R$3</f>
        <v>0</v>
      </c>
      <c r="S171" s="126" t="n">
        <f aca="false">J171/$R$3</f>
        <v>-63.169</v>
      </c>
      <c r="T171" s="126" t="n">
        <f aca="false">L171/$R$3</f>
        <v>-0</v>
      </c>
      <c r="U171" s="126" t="n">
        <f aca="false">I171/$R$3</f>
        <v>-104.462</v>
      </c>
      <c r="V171" s="126" t="n">
        <f aca="false">M171/$R$3</f>
        <v>-203.58473</v>
      </c>
      <c r="W171" s="126" t="n">
        <f aca="false">N171/$R$3</f>
        <v>-317.75356</v>
      </c>
    </row>
    <row r="172" customFormat="false" ht="12.75" hidden="true" customHeight="false" outlineLevel="0" collapsed="false">
      <c r="A172" s="120" t="n">
        <f aca="false">A171+1</f>
        <v>37058</v>
      </c>
      <c r="B172" s="131" t="str">
        <f aca="false">INDEX('Master Data'!$A$2:$B$8,MATCH(WEEKDAY('ARG Gas IM'!A172,3),'Master Data'!$A$2:$A$8,0),2)</f>
        <v>Sa</v>
      </c>
      <c r="D172" s="124"/>
      <c r="E172" s="124"/>
      <c r="F172" s="124"/>
      <c r="G172" s="124"/>
      <c r="I172" s="124" t="n">
        <f aca="false">IF(MONTH($A172)=MONTH($A171),IF(G172=0,I171,G172),G172)</f>
        <v>-104462</v>
      </c>
      <c r="J172" s="124" t="n">
        <f aca="false">IF(MONTH($A172)=MONTH($A171),SUM(I172-I171),I172)</f>
        <v>0</v>
      </c>
      <c r="K172" s="124" t="n">
        <f aca="false">IF(WEEKDAY(A172,3)&gt;4,0,(IF(A172&lt;K$2,0,IF(A172&lt;=K$3,1,0))))</f>
        <v>0</v>
      </c>
      <c r="L172" s="124" t="n">
        <f aca="false">J172*K172</f>
        <v>0</v>
      </c>
      <c r="M172" s="124" t="n">
        <f aca="false">SUM(J$97:J172)</f>
        <v>-203584.73</v>
      </c>
      <c r="N172" s="124" t="n">
        <f aca="false">SUM(J$6:J172)</f>
        <v>-317753.56</v>
      </c>
      <c r="P172" s="124" t="n">
        <f aca="false">D172/P$3</f>
        <v>0</v>
      </c>
      <c r="Q172" s="124" t="n">
        <f aca="false">E172/P$3</f>
        <v>0</v>
      </c>
      <c r="R172" s="124" t="n">
        <f aca="false">F172/R$3</f>
        <v>0</v>
      </c>
      <c r="S172" s="126" t="n">
        <f aca="false">J172/$R$3</f>
        <v>0</v>
      </c>
      <c r="T172" s="126" t="n">
        <f aca="false">L172/$R$3</f>
        <v>0</v>
      </c>
      <c r="U172" s="126" t="n">
        <f aca="false">I172/$R$3</f>
        <v>-104.462</v>
      </c>
      <c r="V172" s="126" t="n">
        <f aca="false">M172/$R$3</f>
        <v>-203.58473</v>
      </c>
      <c r="W172" s="126" t="n">
        <f aca="false">N172/$R$3</f>
        <v>-317.75356</v>
      </c>
    </row>
    <row r="173" customFormat="false" ht="12.75" hidden="true" customHeight="false" outlineLevel="0" collapsed="false">
      <c r="A173" s="120" t="n">
        <f aca="false">A172+1</f>
        <v>37059</v>
      </c>
      <c r="B173" s="131" t="str">
        <f aca="false">INDEX('Master Data'!$A$2:$B$8,MATCH(WEEKDAY('ARG Gas IM'!A173,3),'Master Data'!$A$2:$A$8,0),2)</f>
        <v>Su</v>
      </c>
      <c r="D173" s="124"/>
      <c r="E173" s="124"/>
      <c r="F173" s="124"/>
      <c r="G173" s="124"/>
      <c r="I173" s="124" t="n">
        <f aca="false">IF(MONTH($A173)=MONTH($A172),IF(G173=0,I172,G173),G173)</f>
        <v>-104462</v>
      </c>
      <c r="J173" s="124" t="n">
        <f aca="false">IF(MONTH($A173)=MONTH($A172),SUM(I173-I172),I173)</f>
        <v>0</v>
      </c>
      <c r="K173" s="124" t="n">
        <f aca="false">IF(WEEKDAY(A173,3)&gt;4,0,(IF(A173&lt;K$2,0,IF(A173&lt;=K$3,1,0))))</f>
        <v>0</v>
      </c>
      <c r="L173" s="124" t="n">
        <f aca="false">J173*K173</f>
        <v>0</v>
      </c>
      <c r="M173" s="124" t="n">
        <f aca="false">SUM(J$97:J173)</f>
        <v>-203584.73</v>
      </c>
      <c r="N173" s="124" t="n">
        <f aca="false">SUM(J$6:J173)</f>
        <v>-317753.56</v>
      </c>
      <c r="P173" s="124" t="n">
        <f aca="false">D173/P$3</f>
        <v>0</v>
      </c>
      <c r="Q173" s="124" t="n">
        <f aca="false">E173/P$3</f>
        <v>0</v>
      </c>
      <c r="R173" s="124" t="n">
        <f aca="false">F173/R$3</f>
        <v>0</v>
      </c>
      <c r="S173" s="126" t="n">
        <f aca="false">J173/$R$3</f>
        <v>0</v>
      </c>
      <c r="T173" s="126" t="n">
        <f aca="false">L173/$R$3</f>
        <v>0</v>
      </c>
      <c r="U173" s="126" t="n">
        <f aca="false">I173/$R$3</f>
        <v>-104.462</v>
      </c>
      <c r="V173" s="126" t="n">
        <f aca="false">M173/$R$3</f>
        <v>-203.58473</v>
      </c>
      <c r="W173" s="126" t="n">
        <f aca="false">N173/$R$3</f>
        <v>-317.75356</v>
      </c>
    </row>
    <row r="174" customFormat="false" ht="12.75" hidden="true" customHeight="false" outlineLevel="0" collapsed="false">
      <c r="A174" s="120" t="n">
        <f aca="false">A173+1</f>
        <v>37060</v>
      </c>
      <c r="B174" s="131" t="str">
        <f aca="false">INDEX('Master Data'!$A$2:$B$8,MATCH(WEEKDAY('ARG Gas IM'!A174,3),'Master Data'!$A$2:$A$8,0),2)</f>
        <v>M</v>
      </c>
      <c r="D174" s="124" t="n">
        <v>11581.2392</v>
      </c>
      <c r="E174" s="124"/>
      <c r="F174" s="124"/>
      <c r="G174" s="124" t="n">
        <v>-103659</v>
      </c>
      <c r="I174" s="124" t="n">
        <f aca="false">IF(MONTH($A174)=MONTH($A173),IF(G174=0,I173,G174),G174)</f>
        <v>-103659</v>
      </c>
      <c r="J174" s="124" t="n">
        <f aca="false">IF(MONTH($A174)=MONTH($A173),SUM(I174-I173),I174)</f>
        <v>803</v>
      </c>
      <c r="K174" s="124" t="n">
        <f aca="false">IF(WEEKDAY(A174,3)&gt;4,0,(IF(A174&lt;K$2,0,IF(A174&lt;=K$3,1,0))))</f>
        <v>0</v>
      </c>
      <c r="L174" s="124" t="n">
        <f aca="false">J174*K174</f>
        <v>0</v>
      </c>
      <c r="M174" s="124" t="n">
        <f aca="false">SUM(J$97:J174)</f>
        <v>-202781.73</v>
      </c>
      <c r="N174" s="124" t="n">
        <f aca="false">SUM(J$6:J174)</f>
        <v>-316950.56</v>
      </c>
      <c r="P174" s="124" t="n">
        <f aca="false">D174/P$3</f>
        <v>0.0115812392</v>
      </c>
      <c r="Q174" s="124" t="n">
        <f aca="false">E174/P$3</f>
        <v>0</v>
      </c>
      <c r="R174" s="124" t="n">
        <f aca="false">F174/R$3</f>
        <v>0</v>
      </c>
      <c r="S174" s="126" t="n">
        <f aca="false">J174/$R$3</f>
        <v>0.803</v>
      </c>
      <c r="T174" s="126" t="n">
        <f aca="false">L174/$R$3</f>
        <v>0</v>
      </c>
      <c r="U174" s="126" t="n">
        <f aca="false">I174/$R$3</f>
        <v>-103.659</v>
      </c>
      <c r="V174" s="126" t="n">
        <f aca="false">M174/$R$3</f>
        <v>-202.78173</v>
      </c>
      <c r="W174" s="126" t="n">
        <f aca="false">N174/$R$3</f>
        <v>-316.95056</v>
      </c>
    </row>
    <row r="175" customFormat="false" ht="12.75" hidden="true" customHeight="false" outlineLevel="0" collapsed="false">
      <c r="A175" s="120" t="n">
        <f aca="false">A174+1</f>
        <v>37061</v>
      </c>
      <c r="B175" s="131" t="str">
        <f aca="false">INDEX('Master Data'!$A$2:$B$8,MATCH(WEEKDAY('ARG Gas IM'!A175,3),'Master Data'!$A$2:$A$8,0),2)</f>
        <v>T</v>
      </c>
      <c r="D175" s="124" t="n">
        <v>3315.12030000002</v>
      </c>
      <c r="E175" s="124"/>
      <c r="F175" s="124"/>
      <c r="G175" s="124" t="n">
        <v>-81027</v>
      </c>
      <c r="I175" s="124" t="n">
        <f aca="false">IF(MONTH($A175)=MONTH($A174),IF(G175=0,I174,G175),G175)</f>
        <v>-81027</v>
      </c>
      <c r="J175" s="124" t="n">
        <f aca="false">IF(MONTH($A175)=MONTH($A174),SUM(I175-I174),I175)</f>
        <v>22632</v>
      </c>
      <c r="K175" s="124" t="n">
        <f aca="false">IF(WEEKDAY(A175,3)&gt;4,0,(IF(A175&lt;K$2,0,IF(A175&lt;=K$3,1,0))))</f>
        <v>0</v>
      </c>
      <c r="L175" s="124" t="n">
        <f aca="false">J175*K175</f>
        <v>0</v>
      </c>
      <c r="M175" s="124" t="n">
        <f aca="false">SUM(J$97:J175)</f>
        <v>-180149.73</v>
      </c>
      <c r="N175" s="124" t="n">
        <f aca="false">SUM(J$6:J175)</f>
        <v>-294318.56</v>
      </c>
      <c r="P175" s="124" t="n">
        <f aca="false">D175/P$3</f>
        <v>0.00331512030000002</v>
      </c>
      <c r="Q175" s="124" t="n">
        <f aca="false">E175/P$3</f>
        <v>0</v>
      </c>
      <c r="R175" s="124" t="n">
        <f aca="false">F175/R$3</f>
        <v>0</v>
      </c>
      <c r="S175" s="126" t="n">
        <f aca="false">J175/$R$3</f>
        <v>22.632</v>
      </c>
      <c r="T175" s="126" t="n">
        <f aca="false">L175/$R$3</f>
        <v>0</v>
      </c>
      <c r="U175" s="126" t="n">
        <f aca="false">I175/$R$3</f>
        <v>-81.027</v>
      </c>
      <c r="V175" s="126" t="n">
        <f aca="false">M175/$R$3</f>
        <v>-180.14973</v>
      </c>
      <c r="W175" s="126" t="n">
        <f aca="false">N175/$R$3</f>
        <v>-294.31856</v>
      </c>
    </row>
    <row r="176" customFormat="false" ht="12.75" hidden="true" customHeight="false" outlineLevel="0" collapsed="false">
      <c r="A176" s="120" t="n">
        <f aca="false">A175+1</f>
        <v>37062</v>
      </c>
      <c r="B176" s="131" t="str">
        <f aca="false">INDEX('Master Data'!$A$2:$B$8,MATCH(WEEKDAY('ARG Gas IM'!A176,3),'Master Data'!$A$2:$A$8,0),2)</f>
        <v>W</v>
      </c>
      <c r="D176" s="124" t="n">
        <v>2885.90879999996</v>
      </c>
      <c r="E176" s="124"/>
      <c r="F176" s="124"/>
      <c r="G176" s="124" t="n">
        <v>-85565</v>
      </c>
      <c r="I176" s="124" t="n">
        <f aca="false">IF(MONTH($A176)=MONTH($A175),IF(G176=0,I175,G176),G176)</f>
        <v>-85565</v>
      </c>
      <c r="J176" s="124" t="n">
        <f aca="false">IF(MONTH($A176)=MONTH($A175),SUM(I176-I175),I176)</f>
        <v>-4538</v>
      </c>
      <c r="K176" s="124" t="n">
        <f aca="false">IF(WEEKDAY(A176,3)&gt;4,0,(IF(A176&lt;K$2,0,IF(A176&lt;=K$3,1,0))))</f>
        <v>0</v>
      </c>
      <c r="L176" s="124" t="n">
        <f aca="false">J176*K176</f>
        <v>-0</v>
      </c>
      <c r="M176" s="124" t="n">
        <f aca="false">SUM(J$97:J176)</f>
        <v>-184687.73</v>
      </c>
      <c r="N176" s="124" t="n">
        <f aca="false">SUM(J$6:J176)</f>
        <v>-298856.56</v>
      </c>
      <c r="P176" s="124" t="n">
        <f aca="false">D176/P$3</f>
        <v>0.00288590879999996</v>
      </c>
      <c r="Q176" s="124" t="n">
        <f aca="false">E176/P$3</f>
        <v>0</v>
      </c>
      <c r="R176" s="124" t="n">
        <f aca="false">F176/R$3</f>
        <v>0</v>
      </c>
      <c r="S176" s="126" t="n">
        <f aca="false">J176/$R$3</f>
        <v>-4.538</v>
      </c>
      <c r="T176" s="126" t="n">
        <f aca="false">L176/$R$3</f>
        <v>-0</v>
      </c>
      <c r="U176" s="126" t="n">
        <f aca="false">I176/$R$3</f>
        <v>-85.565</v>
      </c>
      <c r="V176" s="126" t="n">
        <f aca="false">M176/$R$3</f>
        <v>-184.68773</v>
      </c>
      <c r="W176" s="126" t="n">
        <f aca="false">N176/$R$3</f>
        <v>-298.85656</v>
      </c>
    </row>
    <row r="177" customFormat="false" ht="12.75" hidden="true" customHeight="false" outlineLevel="0" collapsed="false">
      <c r="A177" s="120" t="n">
        <f aca="false">A176+1</f>
        <v>37063</v>
      </c>
      <c r="B177" s="131" t="str">
        <f aca="false">INDEX('Master Data'!$A$2:$B$8,MATCH(WEEKDAY('ARG Gas IM'!A177,3),'Master Data'!$A$2:$A$8,0),2)</f>
        <v>Th</v>
      </c>
      <c r="D177" s="124" t="n">
        <v>10707.6495</v>
      </c>
      <c r="E177" s="124"/>
      <c r="F177" s="124"/>
      <c r="G177" s="124" t="n">
        <v>-6372</v>
      </c>
      <c r="I177" s="124" t="n">
        <f aca="false">IF(MONTH($A177)=MONTH($A176),IF(G177=0,I176,G177),G177)</f>
        <v>-6372</v>
      </c>
      <c r="J177" s="124" t="n">
        <f aca="false">IF(MONTH($A177)=MONTH($A176),SUM(I177-I176),I177)</f>
        <v>79193</v>
      </c>
      <c r="K177" s="124" t="n">
        <f aca="false">IF(WEEKDAY(A177,3)&gt;4,0,(IF(A177&lt;K$2,0,IF(A177&lt;=K$3,1,0))))</f>
        <v>0</v>
      </c>
      <c r="L177" s="124" t="n">
        <f aca="false">J177*K177</f>
        <v>0</v>
      </c>
      <c r="M177" s="124" t="n">
        <f aca="false">SUM(J$97:J177)</f>
        <v>-105494.73</v>
      </c>
      <c r="N177" s="124" t="n">
        <f aca="false">SUM(J$6:J177)</f>
        <v>-219663.56</v>
      </c>
      <c r="P177" s="124" t="n">
        <f aca="false">D177/P$3</f>
        <v>0.0107076495</v>
      </c>
      <c r="Q177" s="124" t="n">
        <f aca="false">E177/P$3</f>
        <v>0</v>
      </c>
      <c r="R177" s="124" t="n">
        <f aca="false">F177/R$3</f>
        <v>0</v>
      </c>
      <c r="S177" s="126" t="n">
        <f aca="false">J177/$R$3</f>
        <v>79.193</v>
      </c>
      <c r="T177" s="126" t="n">
        <f aca="false">L177/$R$3</f>
        <v>0</v>
      </c>
      <c r="U177" s="126" t="n">
        <f aca="false">I177/$R$3</f>
        <v>-6.372</v>
      </c>
      <c r="V177" s="126" t="n">
        <f aca="false">M177/$R$3</f>
        <v>-105.49473</v>
      </c>
      <c r="W177" s="126" t="n">
        <f aca="false">N177/$R$3</f>
        <v>-219.66356</v>
      </c>
    </row>
    <row r="178" customFormat="false" ht="12.75" hidden="true" customHeight="false" outlineLevel="0" collapsed="false">
      <c r="A178" s="120" t="n">
        <f aca="false">A177+1</f>
        <v>37064</v>
      </c>
      <c r="B178" s="131" t="str">
        <f aca="false">INDEX('Master Data'!$A$2:$B$8,MATCH(WEEKDAY('ARG Gas IM'!A178,3),'Master Data'!$A$2:$A$8,0),2)</f>
        <v>F</v>
      </c>
      <c r="D178" s="124" t="n">
        <v>10609.9722</v>
      </c>
      <c r="E178" s="124"/>
      <c r="F178" s="124"/>
      <c r="G178" s="124" t="n">
        <v>-78219</v>
      </c>
      <c r="I178" s="124" t="n">
        <f aca="false">IF(MONTH($A178)=MONTH($A177),IF(G178=0,I177,G178),G178)</f>
        <v>-78219</v>
      </c>
      <c r="J178" s="124" t="n">
        <f aca="false">IF(MONTH($A178)=MONTH($A177),SUM(I178-I177),I178)</f>
        <v>-71847</v>
      </c>
      <c r="K178" s="124" t="n">
        <f aca="false">IF(WEEKDAY(A178,3)&gt;4,0,(IF(A178&lt;K$2,0,IF(A178&lt;=K$3,1,0))))</f>
        <v>0</v>
      </c>
      <c r="L178" s="124" t="n">
        <f aca="false">J178*K178</f>
        <v>-0</v>
      </c>
      <c r="M178" s="124" t="n">
        <f aca="false">SUM(J$97:J178)</f>
        <v>-177341.73</v>
      </c>
      <c r="N178" s="124" t="n">
        <f aca="false">SUM(J$6:J178)</f>
        <v>-291510.56</v>
      </c>
      <c r="P178" s="124" t="n">
        <f aca="false">D178/P$3</f>
        <v>0.0106099722</v>
      </c>
      <c r="Q178" s="124" t="n">
        <f aca="false">E178/P$3</f>
        <v>0</v>
      </c>
      <c r="R178" s="124" t="n">
        <f aca="false">F178/R$3</f>
        <v>0</v>
      </c>
      <c r="S178" s="126" t="n">
        <f aca="false">J178/$R$3</f>
        <v>-71.847</v>
      </c>
      <c r="T178" s="126" t="n">
        <f aca="false">L178/$R$3</f>
        <v>-0</v>
      </c>
      <c r="U178" s="126" t="n">
        <f aca="false">I178/$R$3</f>
        <v>-78.219</v>
      </c>
      <c r="V178" s="126" t="n">
        <f aca="false">M178/$R$3</f>
        <v>-177.34173</v>
      </c>
      <c r="W178" s="126" t="n">
        <f aca="false">N178/$R$3</f>
        <v>-291.51056</v>
      </c>
    </row>
    <row r="179" customFormat="false" ht="12.75" hidden="true" customHeight="false" outlineLevel="0" collapsed="false">
      <c r="A179" s="120" t="n">
        <f aca="false">A178+1</f>
        <v>37065</v>
      </c>
      <c r="B179" s="131" t="str">
        <f aca="false">INDEX('Master Data'!$A$2:$B$8,MATCH(WEEKDAY('ARG Gas IM'!A179,3),'Master Data'!$A$2:$A$8,0),2)</f>
        <v>Sa</v>
      </c>
      <c r="D179" s="124"/>
      <c r="E179" s="124"/>
      <c r="F179" s="124"/>
      <c r="G179" s="124"/>
      <c r="I179" s="124" t="n">
        <f aca="false">IF(MONTH($A179)=MONTH($A178),IF(G179=0,I178,G179),G179)</f>
        <v>-78219</v>
      </c>
      <c r="J179" s="124" t="n">
        <f aca="false">IF(MONTH($A179)=MONTH($A178),SUM(I179-I178),I179)</f>
        <v>0</v>
      </c>
      <c r="K179" s="124" t="n">
        <f aca="false">IF(WEEKDAY(A179,3)&gt;4,0,(IF(A179&lt;K$2,0,IF(A179&lt;=K$3,1,0))))</f>
        <v>0</v>
      </c>
      <c r="L179" s="124" t="n">
        <f aca="false">J179*K179</f>
        <v>0</v>
      </c>
      <c r="M179" s="124" t="n">
        <f aca="false">SUM(J$97:J179)</f>
        <v>-177341.73</v>
      </c>
      <c r="N179" s="124" t="n">
        <f aca="false">SUM(J$6:J179)</f>
        <v>-291510.56</v>
      </c>
      <c r="P179" s="124" t="n">
        <f aca="false">D179/P$3</f>
        <v>0</v>
      </c>
      <c r="Q179" s="124" t="n">
        <f aca="false">E179/P$3</f>
        <v>0</v>
      </c>
      <c r="R179" s="124" t="n">
        <f aca="false">F179/R$3</f>
        <v>0</v>
      </c>
      <c r="S179" s="126" t="n">
        <f aca="false">J179/$R$3</f>
        <v>0</v>
      </c>
      <c r="T179" s="126" t="n">
        <f aca="false">L179/$R$3</f>
        <v>0</v>
      </c>
      <c r="U179" s="126" t="n">
        <f aca="false">I179/$R$3</f>
        <v>-78.219</v>
      </c>
      <c r="V179" s="126" t="n">
        <f aca="false">M179/$R$3</f>
        <v>-177.34173</v>
      </c>
      <c r="W179" s="126" t="n">
        <f aca="false">N179/$R$3</f>
        <v>-291.51056</v>
      </c>
    </row>
    <row r="180" customFormat="false" ht="12.75" hidden="true" customHeight="false" outlineLevel="0" collapsed="false">
      <c r="A180" s="120" t="n">
        <f aca="false">A179+1</f>
        <v>37066</v>
      </c>
      <c r="B180" s="131" t="str">
        <f aca="false">INDEX('Master Data'!$A$2:$B$8,MATCH(WEEKDAY('ARG Gas IM'!A180,3),'Master Data'!$A$2:$A$8,0),2)</f>
        <v>Su</v>
      </c>
      <c r="D180" s="124"/>
      <c r="E180" s="124"/>
      <c r="F180" s="124"/>
      <c r="G180" s="124"/>
      <c r="I180" s="124" t="n">
        <f aca="false">IF(MONTH($A180)=MONTH($A179),IF(G180=0,I179,G180),G180)</f>
        <v>-78219</v>
      </c>
      <c r="J180" s="124" t="n">
        <f aca="false">IF(MONTH($A180)=MONTH($A179),SUM(I180-I179),I180)</f>
        <v>0</v>
      </c>
      <c r="K180" s="124" t="n">
        <f aca="false">IF(WEEKDAY(A180,3)&gt;4,0,(IF(A180&lt;K$2,0,IF(A180&lt;=K$3,1,0))))</f>
        <v>0</v>
      </c>
      <c r="L180" s="124" t="n">
        <f aca="false">J180*K180</f>
        <v>0</v>
      </c>
      <c r="M180" s="124" t="n">
        <f aca="false">SUM(J$97:J180)</f>
        <v>-177341.73</v>
      </c>
      <c r="N180" s="124" t="n">
        <f aca="false">SUM(J$6:J180)</f>
        <v>-291510.56</v>
      </c>
      <c r="P180" s="124" t="n">
        <f aca="false">D180/P$3</f>
        <v>0</v>
      </c>
      <c r="Q180" s="124" t="n">
        <f aca="false">E180/P$3</f>
        <v>0</v>
      </c>
      <c r="R180" s="124" t="n">
        <f aca="false">F180/R$3</f>
        <v>0</v>
      </c>
      <c r="S180" s="126" t="n">
        <f aca="false">J180/$R$3</f>
        <v>0</v>
      </c>
      <c r="T180" s="126" t="n">
        <f aca="false">L180/$R$3</f>
        <v>0</v>
      </c>
      <c r="U180" s="126" t="n">
        <f aca="false">I180/$R$3</f>
        <v>-78.219</v>
      </c>
      <c r="V180" s="126" t="n">
        <f aca="false">M180/$R$3</f>
        <v>-177.34173</v>
      </c>
      <c r="W180" s="126" t="n">
        <f aca="false">N180/$R$3</f>
        <v>-291.51056</v>
      </c>
    </row>
    <row r="181" customFormat="false" ht="12.75" hidden="true" customHeight="false" outlineLevel="0" collapsed="false">
      <c r="A181" s="120" t="n">
        <f aca="false">A180+1</f>
        <v>37067</v>
      </c>
      <c r="B181" s="131" t="str">
        <f aca="false">INDEX('Master Data'!$A$2:$B$8,MATCH(WEEKDAY('ARG Gas IM'!A181,3),'Master Data'!$A$2:$A$8,0),2)</f>
        <v>M</v>
      </c>
      <c r="D181" s="124" t="n">
        <v>6402.50900000002</v>
      </c>
      <c r="E181" s="124"/>
      <c r="F181" s="124"/>
      <c r="G181" s="124" t="n">
        <v>-71448.5</v>
      </c>
      <c r="I181" s="124" t="n">
        <f aca="false">IF(MONTH($A181)=MONTH($A180),IF(G181=0,I180,G181),G181)</f>
        <v>-71448.5</v>
      </c>
      <c r="J181" s="124" t="n">
        <f aca="false">IF(MONTH($A181)=MONTH($A180),SUM(I181-I180),I181)</f>
        <v>6770.5</v>
      </c>
      <c r="K181" s="124" t="n">
        <f aca="false">IF(WEEKDAY(A181,3)&gt;4,0,(IF(A181&lt;K$2,0,IF(A181&lt;=K$3,1,0))))</f>
        <v>0</v>
      </c>
      <c r="L181" s="124" t="n">
        <f aca="false">J181*K181</f>
        <v>0</v>
      </c>
      <c r="M181" s="124" t="n">
        <f aca="false">SUM(J$97:J181)</f>
        <v>-170571.23</v>
      </c>
      <c r="N181" s="124" t="n">
        <f aca="false">SUM(J$6:J181)</f>
        <v>-284740.06</v>
      </c>
      <c r="P181" s="124" t="n">
        <f aca="false">D181/P$3</f>
        <v>0.00640250900000001</v>
      </c>
      <c r="Q181" s="124" t="n">
        <f aca="false">E181/P$3</f>
        <v>0</v>
      </c>
      <c r="R181" s="124" t="n">
        <f aca="false">F181/R$3</f>
        <v>0</v>
      </c>
      <c r="S181" s="126" t="n">
        <f aca="false">J181/$R$3</f>
        <v>6.7705</v>
      </c>
      <c r="T181" s="126" t="n">
        <f aca="false">L181/$R$3</f>
        <v>0</v>
      </c>
      <c r="U181" s="126" t="n">
        <f aca="false">I181/$R$3</f>
        <v>-71.4485</v>
      </c>
      <c r="V181" s="126" t="n">
        <f aca="false">M181/$R$3</f>
        <v>-170.57123</v>
      </c>
      <c r="W181" s="126" t="n">
        <f aca="false">N181/$R$3</f>
        <v>-284.74006</v>
      </c>
    </row>
    <row r="182" customFormat="false" ht="12.75" hidden="true" customHeight="false" outlineLevel="0" collapsed="false">
      <c r="A182" s="120" t="n">
        <f aca="false">A181+1</f>
        <v>37068</v>
      </c>
      <c r="B182" s="131" t="str">
        <f aca="false">INDEX('Master Data'!$A$2:$B$8,MATCH(WEEKDAY('ARG Gas IM'!A182,3),'Master Data'!$A$2:$A$8,0),2)</f>
        <v>T</v>
      </c>
      <c r="D182" s="124" t="n">
        <v>5333.88690000001</v>
      </c>
      <c r="E182" s="124"/>
      <c r="F182" s="124"/>
      <c r="G182" s="124" t="n">
        <v>-31611</v>
      </c>
      <c r="I182" s="124" t="n">
        <f aca="false">IF(MONTH($A182)=MONTH($A181),IF(G182=0,I181,G182),G182)</f>
        <v>-31611</v>
      </c>
      <c r="J182" s="124" t="n">
        <f aca="false">IF(MONTH($A182)=MONTH($A181),SUM(I182-I181),I182)</f>
        <v>39837.5</v>
      </c>
      <c r="K182" s="124" t="n">
        <f aca="false">IF(WEEKDAY(A182,3)&gt;4,0,(IF(A182&lt;K$2,0,IF(A182&lt;=K$3,1,0))))</f>
        <v>0</v>
      </c>
      <c r="L182" s="124" t="n">
        <f aca="false">J182*K182</f>
        <v>0</v>
      </c>
      <c r="M182" s="124" t="n">
        <f aca="false">SUM(J$97:J182)</f>
        <v>-130733.73</v>
      </c>
      <c r="N182" s="124" t="n">
        <f aca="false">SUM(J$6:J182)</f>
        <v>-244902.56</v>
      </c>
      <c r="P182" s="124" t="n">
        <f aca="false">D182/P$3</f>
        <v>0.00533388690000001</v>
      </c>
      <c r="Q182" s="124" t="n">
        <f aca="false">E182/P$3</f>
        <v>0</v>
      </c>
      <c r="R182" s="124" t="n">
        <f aca="false">F182/R$3</f>
        <v>0</v>
      </c>
      <c r="S182" s="126" t="n">
        <f aca="false">J182/$R$3</f>
        <v>39.8375</v>
      </c>
      <c r="T182" s="126" t="n">
        <f aca="false">L182/$R$3</f>
        <v>0</v>
      </c>
      <c r="U182" s="126" t="n">
        <f aca="false">I182/$R$3</f>
        <v>-31.611</v>
      </c>
      <c r="V182" s="126" t="n">
        <f aca="false">M182/$R$3</f>
        <v>-130.73373</v>
      </c>
      <c r="W182" s="126" t="n">
        <f aca="false">N182/$R$3</f>
        <v>-244.90256</v>
      </c>
    </row>
    <row r="183" customFormat="false" ht="12.75" hidden="true" customHeight="false" outlineLevel="0" collapsed="false">
      <c r="A183" s="120" t="n">
        <f aca="false">A182+1</f>
        <v>37069</v>
      </c>
      <c r="B183" s="131" t="str">
        <f aca="false">INDEX('Master Data'!$A$2:$B$8,MATCH(WEEKDAY('ARG Gas IM'!A183,3),'Master Data'!$A$2:$A$8,0),2)</f>
        <v>W</v>
      </c>
      <c r="D183" s="124" t="n">
        <v>5157.54479999999</v>
      </c>
      <c r="E183" s="124"/>
      <c r="F183" s="124"/>
      <c r="G183" s="124" t="n">
        <v>-8647</v>
      </c>
      <c r="I183" s="124" t="n">
        <f aca="false">IF(MONTH($A183)=MONTH($A182),IF(G183=0,I182,G183),G183)</f>
        <v>-8647</v>
      </c>
      <c r="J183" s="124" t="n">
        <f aca="false">IF(MONTH($A183)=MONTH($A182),SUM(I183-I182),I183)</f>
        <v>22964</v>
      </c>
      <c r="K183" s="124" t="n">
        <f aca="false">IF(WEEKDAY(A183,3)&gt;4,0,(IF(A183&lt;K$2,0,IF(A183&lt;=K$3,1,0))))</f>
        <v>0</v>
      </c>
      <c r="L183" s="124" t="n">
        <f aca="false">J183*K183</f>
        <v>0</v>
      </c>
      <c r="M183" s="124" t="n">
        <f aca="false">SUM(J$97:J183)</f>
        <v>-107769.73</v>
      </c>
      <c r="N183" s="124" t="n">
        <f aca="false">SUM(J$6:J183)</f>
        <v>-221938.56</v>
      </c>
      <c r="P183" s="124" t="n">
        <f aca="false">D183/P$3</f>
        <v>0.00515754479999999</v>
      </c>
      <c r="Q183" s="124" t="n">
        <f aca="false">E183/P$3</f>
        <v>0</v>
      </c>
      <c r="R183" s="124" t="n">
        <f aca="false">F183/R$3</f>
        <v>0</v>
      </c>
      <c r="S183" s="126" t="n">
        <f aca="false">J183/$R$3</f>
        <v>22.964</v>
      </c>
      <c r="T183" s="126" t="n">
        <f aca="false">L183/$R$3</f>
        <v>0</v>
      </c>
      <c r="U183" s="126" t="n">
        <f aca="false">I183/$R$3</f>
        <v>-8.647</v>
      </c>
      <c r="V183" s="126" t="n">
        <f aca="false">M183/$R$3</f>
        <v>-107.76973</v>
      </c>
      <c r="W183" s="126" t="n">
        <f aca="false">N183/$R$3</f>
        <v>-221.93856</v>
      </c>
    </row>
    <row r="184" customFormat="false" ht="12.75" hidden="true" customHeight="false" outlineLevel="0" collapsed="false">
      <c r="A184" s="120" t="n">
        <f aca="false">A183+1</f>
        <v>37070</v>
      </c>
      <c r="B184" s="131" t="str">
        <f aca="false">INDEX('Master Data'!$A$2:$B$8,MATCH(WEEKDAY('ARG Gas IM'!A184,3),'Master Data'!$A$2:$A$8,0),2)</f>
        <v>Th</v>
      </c>
      <c r="D184" s="124" t="n">
        <v>3315.73309999999</v>
      </c>
      <c r="E184" s="124"/>
      <c r="F184" s="124"/>
      <c r="G184" s="124" t="n">
        <v>-11349</v>
      </c>
      <c r="I184" s="124" t="n">
        <f aca="false">IF(MONTH($A184)=MONTH($A183),IF(G184=0,I183,G184),G184)</f>
        <v>-11349</v>
      </c>
      <c r="J184" s="124" t="n">
        <f aca="false">IF(MONTH($A184)=MONTH($A183),SUM(I184-I183),I184)</f>
        <v>-2702</v>
      </c>
      <c r="K184" s="124" t="n">
        <f aca="false">IF(WEEKDAY(A184,3)&gt;4,0,(IF(A184&lt;K$2,0,IF(A184&lt;=K$3,1,0))))</f>
        <v>0</v>
      </c>
      <c r="L184" s="124" t="n">
        <f aca="false">J184*K184</f>
        <v>-0</v>
      </c>
      <c r="M184" s="124" t="n">
        <f aca="false">SUM(J$97:J184)</f>
        <v>-110471.73</v>
      </c>
      <c r="N184" s="124" t="n">
        <f aca="false">SUM(J$6:J184)</f>
        <v>-224640.56</v>
      </c>
      <c r="P184" s="124" t="n">
        <f aca="false">D184/P$3</f>
        <v>0.00331573309999999</v>
      </c>
      <c r="Q184" s="124" t="n">
        <f aca="false">E184/P$3</f>
        <v>0</v>
      </c>
      <c r="R184" s="124" t="n">
        <f aca="false">F184/R$3</f>
        <v>0</v>
      </c>
      <c r="S184" s="126" t="n">
        <f aca="false">J184/$R$3</f>
        <v>-2.702</v>
      </c>
      <c r="T184" s="126" t="n">
        <f aca="false">L184/$R$3</f>
        <v>-0</v>
      </c>
      <c r="U184" s="126" t="n">
        <f aca="false">I184/$R$3</f>
        <v>-11.349</v>
      </c>
      <c r="V184" s="126" t="n">
        <f aca="false">M184/$R$3</f>
        <v>-110.47173</v>
      </c>
      <c r="W184" s="126" t="n">
        <f aca="false">N184/$R$3</f>
        <v>-224.64056</v>
      </c>
    </row>
    <row r="185" customFormat="false" ht="12.75" hidden="true" customHeight="false" outlineLevel="0" collapsed="false">
      <c r="A185" s="120" t="n">
        <f aca="false">A184+1</f>
        <v>37071</v>
      </c>
      <c r="B185" s="131" t="str">
        <f aca="false">INDEX('Master Data'!$A$2:$B$8,MATCH(WEEKDAY('ARG Gas IM'!A185,3),'Master Data'!$A$2:$A$8,0),2)</f>
        <v>F</v>
      </c>
      <c r="D185" s="124" t="n">
        <v>0</v>
      </c>
      <c r="E185" s="124"/>
      <c r="F185" s="124"/>
      <c r="G185" s="124" t="n">
        <v>-51755</v>
      </c>
      <c r="I185" s="124" t="n">
        <f aca="false">IF(MONTH($A185)=MONTH($A184),IF(G185=0,I184,G185),G185)</f>
        <v>-51755</v>
      </c>
      <c r="J185" s="124" t="n">
        <f aca="false">IF(MONTH($A185)=MONTH($A184),SUM(I185-I184),I185)</f>
        <v>-40406</v>
      </c>
      <c r="K185" s="124" t="n">
        <f aca="false">IF(WEEKDAY(A185,3)&gt;4,0,(IF(A185&lt;K$2,0,IF(A185&lt;=K$3,1,0))))</f>
        <v>0</v>
      </c>
      <c r="L185" s="124" t="n">
        <f aca="false">J185*K185</f>
        <v>-0</v>
      </c>
      <c r="M185" s="124" t="n">
        <f aca="false">SUM(J$97:J185)</f>
        <v>-150877.73</v>
      </c>
      <c r="N185" s="124" t="n">
        <f aca="false">SUM(J$6:J185)</f>
        <v>-265046.56</v>
      </c>
      <c r="P185" s="124" t="n">
        <f aca="false">D185/P$3</f>
        <v>0</v>
      </c>
      <c r="Q185" s="124" t="n">
        <f aca="false">E185/P$3</f>
        <v>0</v>
      </c>
      <c r="R185" s="124" t="n">
        <f aca="false">F185/R$3</f>
        <v>0</v>
      </c>
      <c r="S185" s="126" t="n">
        <f aca="false">J185/$R$3</f>
        <v>-40.406</v>
      </c>
      <c r="T185" s="126" t="n">
        <f aca="false">L185/$R$3</f>
        <v>-0</v>
      </c>
      <c r="U185" s="126" t="n">
        <f aca="false">I185/$R$3</f>
        <v>-51.755</v>
      </c>
      <c r="V185" s="126" t="n">
        <f aca="false">M185/$R$3</f>
        <v>-150.87773</v>
      </c>
      <c r="W185" s="126" t="n">
        <f aca="false">N185/$R$3</f>
        <v>-265.04656</v>
      </c>
    </row>
    <row r="186" customFormat="false" ht="12.75" hidden="false" customHeight="false" outlineLevel="0" collapsed="false">
      <c r="A186" s="120" t="n">
        <f aca="false">A185+1</f>
        <v>37072</v>
      </c>
      <c r="B186" s="131" t="str">
        <f aca="false">INDEX('Master Data'!$A$2:$B$8,MATCH(WEEKDAY('ARG Gas IM'!A186,3),'Master Data'!$A$2:$A$8,0),2)</f>
        <v>Sa</v>
      </c>
      <c r="D186" s="124"/>
      <c r="E186" s="124"/>
      <c r="F186" s="124"/>
      <c r="G186" s="124"/>
      <c r="I186" s="124" t="n">
        <f aca="false">IF(MONTH($A186)=MONTH($A185),IF(G186=0,I185,G186),G186)</f>
        <v>-51755</v>
      </c>
      <c r="J186" s="124" t="n">
        <f aca="false">IF(MONTH($A186)=MONTH($A185),SUM(I186-I185),I186)</f>
        <v>0</v>
      </c>
      <c r="K186" s="124" t="n">
        <f aca="false">IF(WEEKDAY(A186,3)&gt;4,0,(IF(A186&lt;K$2,0,IF(A186&lt;=K$3,1,0))))</f>
        <v>0</v>
      </c>
      <c r="L186" s="124" t="n">
        <f aca="false">J186*K186</f>
        <v>0</v>
      </c>
      <c r="M186" s="124" t="n">
        <f aca="false">SUM(J$97:J186)</f>
        <v>-150877.73</v>
      </c>
      <c r="N186" s="124" t="n">
        <f aca="false">SUM(J$6:J186)</f>
        <v>-265046.56</v>
      </c>
      <c r="P186" s="124" t="n">
        <f aca="false">D186/P$3</f>
        <v>0</v>
      </c>
      <c r="Q186" s="124" t="n">
        <f aca="false">E186/P$3</f>
        <v>0</v>
      </c>
      <c r="R186" s="124" t="n">
        <f aca="false">F186/R$3</f>
        <v>0</v>
      </c>
      <c r="S186" s="126" t="n">
        <f aca="false">J186/$R$3</f>
        <v>0</v>
      </c>
      <c r="T186" s="126" t="n">
        <f aca="false">L186/$R$3</f>
        <v>0</v>
      </c>
      <c r="U186" s="126" t="n">
        <f aca="false">I186/$R$3</f>
        <v>-51.755</v>
      </c>
      <c r="V186" s="126" t="n">
        <f aca="false">M186/$R$3</f>
        <v>-150.87773</v>
      </c>
      <c r="W186" s="126" t="n">
        <f aca="false">N186/$R$3</f>
        <v>-265.04656</v>
      </c>
    </row>
    <row r="187" customFormat="false" ht="12.75" hidden="true" customHeight="false" outlineLevel="0" collapsed="false">
      <c r="A187" s="120" t="n">
        <f aca="false">A186+1</f>
        <v>37073</v>
      </c>
      <c r="B187" s="131" t="str">
        <f aca="false">INDEX('Master Data'!$A$2:$B$8,MATCH(WEEKDAY('ARG Gas IM'!A187,3),'Master Data'!$A$2:$A$8,0),2)</f>
        <v>Su</v>
      </c>
      <c r="D187" s="124"/>
      <c r="E187" s="124"/>
      <c r="F187" s="124"/>
      <c r="G187" s="124"/>
      <c r="I187" s="124" t="n">
        <f aca="false">IF(MONTH($A187)=MONTH($A186),IF(G187=0,I186,G187),G187)</f>
        <v>0</v>
      </c>
      <c r="J187" s="124" t="n">
        <f aca="false">IF(MONTH($A187)=MONTH($A186),SUM(I187-I186),I187)</f>
        <v>0</v>
      </c>
      <c r="K187" s="124" t="n">
        <f aca="false">IF(WEEKDAY(A187,3)&gt;4,0,(IF(A187&lt;K$2,0,IF(A187&lt;=K$3,1,0))))</f>
        <v>0</v>
      </c>
      <c r="L187" s="124" t="n">
        <f aca="false">J187*K187</f>
        <v>0</v>
      </c>
      <c r="M187" s="124" t="n">
        <f aca="false">SUM(J$97:J187)</f>
        <v>-150877.73</v>
      </c>
      <c r="N187" s="124" t="n">
        <f aca="false">SUM(J$6:J187)</f>
        <v>-265046.56</v>
      </c>
      <c r="P187" s="124" t="n">
        <f aca="false">D187/P$3</f>
        <v>0</v>
      </c>
      <c r="Q187" s="124" t="n">
        <f aca="false">E187/P$3</f>
        <v>0</v>
      </c>
      <c r="R187" s="124" t="n">
        <f aca="false">F187/R$3</f>
        <v>0</v>
      </c>
      <c r="S187" s="126" t="n">
        <f aca="false">J187/$R$3</f>
        <v>0</v>
      </c>
      <c r="T187" s="126" t="n">
        <f aca="false">L187/$R$3</f>
        <v>0</v>
      </c>
      <c r="U187" s="126" t="n">
        <f aca="false">I187/$R$3</f>
        <v>0</v>
      </c>
      <c r="V187" s="126" t="n">
        <f aca="false">M187/$R$3</f>
        <v>-150.87773</v>
      </c>
      <c r="W187" s="126" t="n">
        <f aca="false">N187/$R$3</f>
        <v>-265.04656</v>
      </c>
    </row>
    <row r="188" customFormat="false" ht="12.75" hidden="true" customHeight="false" outlineLevel="0" collapsed="false">
      <c r="A188" s="120" t="n">
        <f aca="false">A187+1</f>
        <v>37074</v>
      </c>
      <c r="B188" s="131" t="str">
        <f aca="false">INDEX('Master Data'!$A$2:$B$8,MATCH(WEEKDAY('ARG Gas IM'!A188,3),'Master Data'!$A$2:$A$8,0),2)</f>
        <v>M</v>
      </c>
      <c r="D188" s="124" t="n">
        <v>-7538.12469999945</v>
      </c>
      <c r="E188" s="124"/>
      <c r="F188" s="124"/>
      <c r="G188" s="124" t="n">
        <v>-112874</v>
      </c>
      <c r="I188" s="124" t="n">
        <f aca="false">IF(MONTH($A188)=MONTH($A187),IF(G188=0,I187,G188),G188)</f>
        <v>-112874</v>
      </c>
      <c r="J188" s="124" t="n">
        <f aca="false">IF(MONTH($A188)=MONTH($A187),SUM(I188-I187),I188)</f>
        <v>-112874</v>
      </c>
      <c r="K188" s="124" t="n">
        <f aca="false">IF(WEEKDAY(A188,3)&gt;4,0,(IF(A188&lt;K$2,0,IF(A188&lt;=K$3,1,0))))</f>
        <v>0</v>
      </c>
      <c r="L188" s="124" t="n">
        <f aca="false">J188*K188</f>
        <v>-0</v>
      </c>
      <c r="M188" s="124" t="n">
        <f aca="false">SUM(J$188:J188)</f>
        <v>-112874</v>
      </c>
      <c r="N188" s="124" t="n">
        <f aca="false">SUM(J$6:J188)</f>
        <v>-377920.56</v>
      </c>
      <c r="P188" s="124" t="n">
        <f aca="false">D188/P$3</f>
        <v>-0.00753812469999945</v>
      </c>
      <c r="Q188" s="124" t="n">
        <f aca="false">E188/P$3</f>
        <v>0</v>
      </c>
      <c r="R188" s="124" t="n">
        <f aca="false">F188/R$3</f>
        <v>0</v>
      </c>
      <c r="S188" s="126" t="n">
        <f aca="false">J188/$R$3</f>
        <v>-112.874</v>
      </c>
      <c r="T188" s="126" t="n">
        <f aca="false">L188/$R$3</f>
        <v>-0</v>
      </c>
      <c r="U188" s="126" t="n">
        <f aca="false">I188/$R$3</f>
        <v>-112.874</v>
      </c>
      <c r="V188" s="126" t="n">
        <f aca="false">M188/$R$3</f>
        <v>-112.874</v>
      </c>
      <c r="W188" s="126" t="n">
        <f aca="false">N188/$R$3</f>
        <v>-377.92056</v>
      </c>
    </row>
    <row r="189" customFormat="false" ht="12.75" hidden="true" customHeight="false" outlineLevel="0" collapsed="false">
      <c r="A189" s="120" t="n">
        <f aca="false">A188+1</f>
        <v>37075</v>
      </c>
      <c r="B189" s="131" t="str">
        <f aca="false">INDEX('Master Data'!$A$2:$B$8,MATCH(WEEKDAY('ARG Gas IM'!A189,3),'Master Data'!$A$2:$A$8,0),2)</f>
        <v>T</v>
      </c>
      <c r="D189" s="124" t="n">
        <v>50545.6086999998</v>
      </c>
      <c r="E189" s="124"/>
      <c r="F189" s="124"/>
      <c r="G189" s="124" t="n">
        <v>-124393</v>
      </c>
      <c r="I189" s="124" t="n">
        <f aca="false">IF(MONTH($A189)=MONTH($A188),IF(G189=0,I188,G189),G189)</f>
        <v>-124393</v>
      </c>
      <c r="J189" s="124" t="n">
        <f aca="false">IF(MONTH($A189)=MONTH($A188),SUM(I189-I188),I189)</f>
        <v>-11519</v>
      </c>
      <c r="K189" s="124" t="n">
        <f aca="false">IF(WEEKDAY(A189,3)&gt;4,0,(IF(A189&lt;K$2,0,IF(A189&lt;=K$3,1,0))))</f>
        <v>0</v>
      </c>
      <c r="L189" s="124" t="n">
        <f aca="false">J189*K189</f>
        <v>-0</v>
      </c>
      <c r="M189" s="124" t="n">
        <f aca="false">SUM(J$188:J189)</f>
        <v>-124393</v>
      </c>
      <c r="N189" s="124" t="n">
        <f aca="false">SUM(J$6:J189)</f>
        <v>-389439.56</v>
      </c>
      <c r="P189" s="124" t="n">
        <f aca="false">D189/P$3</f>
        <v>0.0505456086999998</v>
      </c>
      <c r="Q189" s="124" t="n">
        <f aca="false">E189/P$3</f>
        <v>0</v>
      </c>
      <c r="R189" s="124" t="n">
        <f aca="false">F189/R$3</f>
        <v>0</v>
      </c>
      <c r="S189" s="126" t="n">
        <f aca="false">J189/$R$3</f>
        <v>-11.519</v>
      </c>
      <c r="T189" s="126" t="n">
        <f aca="false">L189/$R$3</f>
        <v>-0</v>
      </c>
      <c r="U189" s="126" t="n">
        <f aca="false">I189/$R$3</f>
        <v>-124.393</v>
      </c>
      <c r="V189" s="126" t="n">
        <f aca="false">M189/$R$3</f>
        <v>-124.393</v>
      </c>
      <c r="W189" s="126" t="n">
        <f aca="false">N189/$R$3</f>
        <v>-389.43956</v>
      </c>
    </row>
    <row r="190" customFormat="false" ht="12.75" hidden="true" customHeight="false" outlineLevel="0" collapsed="false">
      <c r="A190" s="120" t="n">
        <f aca="false">A189+1</f>
        <v>37076</v>
      </c>
      <c r="B190" s="131" t="str">
        <f aca="false">INDEX('Master Data'!$A$2:$B$8,MATCH(WEEKDAY('ARG Gas IM'!A190,3),'Master Data'!$A$2:$A$8,0),2)</f>
        <v>W</v>
      </c>
      <c r="D190" s="124"/>
      <c r="E190" s="124"/>
      <c r="F190" s="124"/>
      <c r="G190" s="124"/>
      <c r="I190" s="124" t="n">
        <f aca="false">IF(MONTH($A190)=MONTH($A189),IF(G190=0,I189,G190),G190)</f>
        <v>-124393</v>
      </c>
      <c r="J190" s="124" t="n">
        <f aca="false">IF(MONTH($A190)=MONTH($A189),SUM(I190-I189),I190)</f>
        <v>0</v>
      </c>
      <c r="K190" s="124" t="n">
        <f aca="false">IF(WEEKDAY(A190,3)&gt;4,0,(IF(A190&lt;K$2,0,IF(A190&lt;=K$3,1,0))))</f>
        <v>0</v>
      </c>
      <c r="L190" s="124" t="n">
        <f aca="false">J190*K190</f>
        <v>0</v>
      </c>
      <c r="M190" s="124" t="n">
        <f aca="false">SUM(J$188:J190)</f>
        <v>-124393</v>
      </c>
      <c r="N190" s="124" t="n">
        <f aca="false">SUM(J$6:J190)</f>
        <v>-389439.56</v>
      </c>
      <c r="P190" s="124" t="n">
        <f aca="false">D190/P$3</f>
        <v>0</v>
      </c>
      <c r="Q190" s="124" t="n">
        <f aca="false">E190/P$3</f>
        <v>0</v>
      </c>
      <c r="R190" s="124" t="n">
        <f aca="false">F190/R$3</f>
        <v>0</v>
      </c>
      <c r="S190" s="126" t="n">
        <f aca="false">J190/$R$3</f>
        <v>0</v>
      </c>
      <c r="T190" s="126" t="n">
        <f aca="false">L190/$R$3</f>
        <v>0</v>
      </c>
      <c r="U190" s="126" t="n">
        <f aca="false">I190/$R$3</f>
        <v>-124.393</v>
      </c>
      <c r="V190" s="126" t="n">
        <f aca="false">M190/$R$3</f>
        <v>-124.393</v>
      </c>
      <c r="W190" s="126" t="n">
        <f aca="false">N190/$R$3</f>
        <v>-389.43956</v>
      </c>
    </row>
    <row r="191" customFormat="false" ht="12.75" hidden="true" customHeight="false" outlineLevel="0" collapsed="false">
      <c r="A191" s="120" t="n">
        <f aca="false">A190+1</f>
        <v>37077</v>
      </c>
      <c r="B191" s="131" t="str">
        <f aca="false">INDEX('Master Data'!$A$2:$B$8,MATCH(WEEKDAY('ARG Gas IM'!A191,3),'Master Data'!$A$2:$A$8,0),2)</f>
        <v>Th</v>
      </c>
      <c r="D191" s="124" t="n">
        <v>71333.194499999</v>
      </c>
      <c r="E191" s="124"/>
      <c r="F191" s="124"/>
      <c r="G191" s="124" t="n">
        <v>-108487</v>
      </c>
      <c r="I191" s="124" t="n">
        <f aca="false">IF(MONTH($A191)=MONTH($A190),IF(G191=0,I190,G191),G191)</f>
        <v>-108487</v>
      </c>
      <c r="J191" s="124" t="n">
        <f aca="false">IF(MONTH($A191)=MONTH($A190),SUM(I191-I190),I191)</f>
        <v>15906</v>
      </c>
      <c r="K191" s="124" t="n">
        <f aca="false">IF(WEEKDAY(A191,3)&gt;4,0,(IF(A191&lt;K$2,0,IF(A191&lt;=K$3,1,0))))</f>
        <v>0</v>
      </c>
      <c r="L191" s="124" t="n">
        <f aca="false">J191*K191</f>
        <v>0</v>
      </c>
      <c r="M191" s="124" t="n">
        <f aca="false">SUM(J$188:J191)</f>
        <v>-108487</v>
      </c>
      <c r="N191" s="124" t="n">
        <f aca="false">SUM(J$6:J191)</f>
        <v>-373533.56</v>
      </c>
      <c r="P191" s="124" t="n">
        <f aca="false">D191/P$3</f>
        <v>0.071333194499999</v>
      </c>
      <c r="Q191" s="124" t="n">
        <f aca="false">E191/P$3</f>
        <v>0</v>
      </c>
      <c r="R191" s="124" t="n">
        <f aca="false">F191/R$3</f>
        <v>0</v>
      </c>
      <c r="S191" s="126" t="n">
        <f aca="false">J191/$R$3</f>
        <v>15.906</v>
      </c>
      <c r="T191" s="126" t="n">
        <f aca="false">L191/$R$3</f>
        <v>0</v>
      </c>
      <c r="U191" s="126" t="n">
        <f aca="false">I191/$R$3</f>
        <v>-108.487</v>
      </c>
      <c r="V191" s="126" t="n">
        <f aca="false">M191/$R$3</f>
        <v>-108.487</v>
      </c>
      <c r="W191" s="126" t="n">
        <f aca="false">N191/$R$3</f>
        <v>-373.53356</v>
      </c>
    </row>
    <row r="192" customFormat="false" ht="12.75" hidden="true" customHeight="false" outlineLevel="0" collapsed="false">
      <c r="A192" s="120" t="n">
        <f aca="false">A191+1</f>
        <v>37078</v>
      </c>
      <c r="B192" s="131" t="str">
        <f aca="false">INDEX('Master Data'!$A$2:$B$8,MATCH(WEEKDAY('ARG Gas IM'!A192,3),'Master Data'!$A$2:$A$8,0),2)</f>
        <v>F</v>
      </c>
      <c r="D192" s="124" t="n">
        <v>75562.9179000003</v>
      </c>
      <c r="E192" s="124"/>
      <c r="F192" s="124"/>
      <c r="G192" s="124" t="n">
        <v>-101556</v>
      </c>
      <c r="I192" s="124" t="n">
        <f aca="false">IF(MONTH($A192)=MONTH($A191),IF(G192=0,I191,G192),G192)</f>
        <v>-101556</v>
      </c>
      <c r="J192" s="124" t="n">
        <f aca="false">IF(MONTH($A192)=MONTH($A191),SUM(I192-I191),I192)</f>
        <v>6931</v>
      </c>
      <c r="K192" s="124" t="n">
        <f aca="false">IF(WEEKDAY(A192,3)&gt;4,0,(IF(A192&lt;K$2,0,IF(A192&lt;=K$3,1,0))))</f>
        <v>0</v>
      </c>
      <c r="L192" s="124" t="n">
        <f aca="false">J192*K192</f>
        <v>0</v>
      </c>
      <c r="M192" s="124" t="n">
        <f aca="false">SUM(J$188:J192)</f>
        <v>-101556</v>
      </c>
      <c r="N192" s="124" t="n">
        <f aca="false">SUM(J$6:J192)</f>
        <v>-366602.56</v>
      </c>
      <c r="P192" s="124" t="n">
        <f aca="false">D192/P$3</f>
        <v>0.0755629179000003</v>
      </c>
      <c r="Q192" s="124" t="n">
        <f aca="false">E192/P$3</f>
        <v>0</v>
      </c>
      <c r="R192" s="124" t="n">
        <f aca="false">F192/R$3</f>
        <v>0</v>
      </c>
      <c r="S192" s="126" t="n">
        <f aca="false">J192/$R$3</f>
        <v>6.931</v>
      </c>
      <c r="T192" s="126" t="n">
        <f aca="false">L192/$R$3</f>
        <v>0</v>
      </c>
      <c r="U192" s="126" t="n">
        <f aca="false">I192/$R$3</f>
        <v>-101.556</v>
      </c>
      <c r="V192" s="126" t="n">
        <f aca="false">M192/$R$3</f>
        <v>-101.556</v>
      </c>
      <c r="W192" s="126" t="n">
        <f aca="false">N192/$R$3</f>
        <v>-366.60256</v>
      </c>
    </row>
    <row r="193" customFormat="false" ht="12.75" hidden="true" customHeight="false" outlineLevel="0" collapsed="false">
      <c r="A193" s="120" t="n">
        <f aca="false">A192+1</f>
        <v>37079</v>
      </c>
      <c r="B193" s="131" t="str">
        <f aca="false">INDEX('Master Data'!$A$2:$B$8,MATCH(WEEKDAY('ARG Gas IM'!A193,3),'Master Data'!$A$2:$A$8,0),2)</f>
        <v>Sa</v>
      </c>
      <c r="D193" s="124"/>
      <c r="E193" s="124"/>
      <c r="F193" s="124"/>
      <c r="G193" s="124"/>
      <c r="I193" s="124" t="n">
        <f aca="false">IF(MONTH($A193)=MONTH($A192),IF(G193=0,I192,G193),G193)</f>
        <v>-101556</v>
      </c>
      <c r="J193" s="124" t="n">
        <f aca="false">IF(MONTH($A193)=MONTH($A192),SUM(I193-I192),I193)</f>
        <v>0</v>
      </c>
      <c r="K193" s="124" t="n">
        <f aca="false">IF(WEEKDAY(A193,3)&gt;4,0,(IF(A193&lt;K$2,0,IF(A193&lt;=K$3,1,0))))</f>
        <v>0</v>
      </c>
      <c r="L193" s="124" t="n">
        <f aca="false">J193*K193</f>
        <v>0</v>
      </c>
      <c r="M193" s="124" t="n">
        <f aca="false">SUM(J$188:J193)</f>
        <v>-101556</v>
      </c>
      <c r="N193" s="124" t="n">
        <f aca="false">SUM(J$6:J193)</f>
        <v>-366602.56</v>
      </c>
      <c r="P193" s="124" t="n">
        <f aca="false">D193/P$3</f>
        <v>0</v>
      </c>
      <c r="Q193" s="124" t="n">
        <f aca="false">E193/P$3</f>
        <v>0</v>
      </c>
      <c r="R193" s="124" t="n">
        <f aca="false">F193/R$3</f>
        <v>0</v>
      </c>
      <c r="S193" s="126" t="n">
        <f aca="false">J193/$R$3</f>
        <v>0</v>
      </c>
      <c r="T193" s="126" t="n">
        <f aca="false">L193/$R$3</f>
        <v>0</v>
      </c>
      <c r="U193" s="126" t="n">
        <f aca="false">I193/$R$3</f>
        <v>-101.556</v>
      </c>
      <c r="V193" s="126" t="n">
        <f aca="false">M193/$R$3</f>
        <v>-101.556</v>
      </c>
      <c r="W193" s="126" t="n">
        <f aca="false">N193/$R$3</f>
        <v>-366.60256</v>
      </c>
    </row>
    <row r="194" customFormat="false" ht="12.75" hidden="true" customHeight="false" outlineLevel="0" collapsed="false">
      <c r="A194" s="120" t="n">
        <f aca="false">A193+1</f>
        <v>37080</v>
      </c>
      <c r="B194" s="131" t="str">
        <f aca="false">INDEX('Master Data'!$A$2:$B$8,MATCH(WEEKDAY('ARG Gas IM'!A194,3),'Master Data'!$A$2:$A$8,0),2)</f>
        <v>Su</v>
      </c>
      <c r="D194" s="124"/>
      <c r="E194" s="124"/>
      <c r="F194" s="124"/>
      <c r="G194" s="124"/>
      <c r="I194" s="124" t="n">
        <f aca="false">IF(MONTH($A194)=MONTH($A193),IF(G194=0,I193,G194),G194)</f>
        <v>-101556</v>
      </c>
      <c r="J194" s="124" t="n">
        <f aca="false">IF(MONTH($A194)=MONTH($A193),SUM(I194-I193),I194)</f>
        <v>0</v>
      </c>
      <c r="K194" s="124" t="n">
        <f aca="false">IF(WEEKDAY(A194,3)&gt;4,0,(IF(A194&lt;K$2,0,IF(A194&lt;=K$3,1,0))))</f>
        <v>0</v>
      </c>
      <c r="L194" s="124" t="n">
        <f aca="false">J194*K194</f>
        <v>0</v>
      </c>
      <c r="M194" s="124" t="n">
        <f aca="false">SUM(J$188:J194)</f>
        <v>-101556</v>
      </c>
      <c r="N194" s="124" t="n">
        <f aca="false">SUM(J$6:J194)</f>
        <v>-366602.56</v>
      </c>
      <c r="P194" s="124" t="n">
        <f aca="false">D194/P$3</f>
        <v>0</v>
      </c>
      <c r="Q194" s="124" t="n">
        <f aca="false">E194/P$3</f>
        <v>0</v>
      </c>
      <c r="R194" s="124" t="n">
        <f aca="false">F194/R$3</f>
        <v>0</v>
      </c>
      <c r="S194" s="126" t="n">
        <f aca="false">J194/$R$3</f>
        <v>0</v>
      </c>
      <c r="T194" s="126" t="n">
        <f aca="false">L194/$R$3</f>
        <v>0</v>
      </c>
      <c r="U194" s="126" t="n">
        <f aca="false">I194/$R$3</f>
        <v>-101.556</v>
      </c>
      <c r="V194" s="126" t="n">
        <f aca="false">M194/$R$3</f>
        <v>-101.556</v>
      </c>
      <c r="W194" s="126" t="n">
        <f aca="false">N194/$R$3</f>
        <v>-366.60256</v>
      </c>
    </row>
    <row r="195" customFormat="false" ht="12.75" hidden="true" customHeight="false" outlineLevel="0" collapsed="false">
      <c r="A195" s="120" t="n">
        <f aca="false">A194+1</f>
        <v>37081</v>
      </c>
      <c r="B195" s="131" t="str">
        <f aca="false">INDEX('Master Data'!$A$2:$B$8,MATCH(WEEKDAY('ARG Gas IM'!A195,3),'Master Data'!$A$2:$A$8,0),2)</f>
        <v>M</v>
      </c>
      <c r="D195" s="124" t="n">
        <v>60387.6837000007</v>
      </c>
      <c r="E195" s="124"/>
      <c r="F195" s="124"/>
      <c r="G195" s="124" t="n">
        <v>-121124</v>
      </c>
      <c r="I195" s="124" t="n">
        <f aca="false">IF(MONTH($A195)=MONTH($A194),IF(G195=0,I194,G195),G195)</f>
        <v>-121124</v>
      </c>
      <c r="J195" s="124" t="n">
        <f aca="false">IF(MONTH($A195)=MONTH($A194),SUM(I195-I194),I195)</f>
        <v>-19568</v>
      </c>
      <c r="K195" s="124" t="n">
        <f aca="false">IF(WEEKDAY(A195,3)&gt;4,0,(IF(A195&lt;K$2,0,IF(A195&lt;=K$3,1,0))))</f>
        <v>0</v>
      </c>
      <c r="L195" s="124" t="n">
        <f aca="false">J195*K195</f>
        <v>-0</v>
      </c>
      <c r="M195" s="124" t="n">
        <f aca="false">SUM(J$188:J195)</f>
        <v>-121124</v>
      </c>
      <c r="N195" s="124" t="n">
        <f aca="false">SUM(J$6:J195)</f>
        <v>-386170.56</v>
      </c>
      <c r="P195" s="124" t="n">
        <f aca="false">D195/P$3</f>
        <v>0.0603876837000007</v>
      </c>
      <c r="Q195" s="124" t="n">
        <f aca="false">E195/P$3</f>
        <v>0</v>
      </c>
      <c r="R195" s="124" t="n">
        <f aca="false">F195/R$3</f>
        <v>0</v>
      </c>
      <c r="S195" s="126" t="n">
        <f aca="false">J195/$R$3</f>
        <v>-19.568</v>
      </c>
      <c r="T195" s="126" t="n">
        <f aca="false">L195/$R$3</f>
        <v>-0</v>
      </c>
      <c r="U195" s="126" t="n">
        <f aca="false">I195/$R$3</f>
        <v>-121.124</v>
      </c>
      <c r="V195" s="126" t="n">
        <f aca="false">M195/$R$3</f>
        <v>-121.124</v>
      </c>
      <c r="W195" s="126" t="n">
        <f aca="false">N195/$R$3</f>
        <v>-386.17056</v>
      </c>
    </row>
    <row r="196" customFormat="false" ht="12.75" hidden="true" customHeight="false" outlineLevel="0" collapsed="false">
      <c r="A196" s="120" t="n">
        <f aca="false">A195+1</f>
        <v>37082</v>
      </c>
      <c r="B196" s="131" t="str">
        <f aca="false">INDEX('Master Data'!$A$2:$B$8,MATCH(WEEKDAY('ARG Gas IM'!A196,3),'Master Data'!$A$2:$A$8,0),2)</f>
        <v>T</v>
      </c>
      <c r="D196" s="124" t="n">
        <v>55023.9080999995</v>
      </c>
      <c r="E196" s="124"/>
      <c r="F196" s="124"/>
      <c r="G196" s="124" t="n">
        <v>-114025</v>
      </c>
      <c r="I196" s="124" t="n">
        <f aca="false">IF(MONTH($A196)=MONTH($A195),IF(G196=0,I195,G196),G196)</f>
        <v>-114025</v>
      </c>
      <c r="J196" s="124" t="n">
        <f aca="false">IF(MONTH($A196)=MONTH($A195),SUM(I196-I195),I196)</f>
        <v>7099</v>
      </c>
      <c r="K196" s="124" t="n">
        <f aca="false">IF(WEEKDAY(A196,3)&gt;4,0,(IF(A196&lt;K$2,0,IF(A196&lt;=K$3,1,0))))</f>
        <v>0</v>
      </c>
      <c r="L196" s="124" t="n">
        <f aca="false">J196*K196</f>
        <v>0</v>
      </c>
      <c r="M196" s="124" t="n">
        <f aca="false">SUM(J$188:J196)</f>
        <v>-114025</v>
      </c>
      <c r="N196" s="124" t="n">
        <f aca="false">SUM(J$6:J196)</f>
        <v>-379071.56</v>
      </c>
      <c r="P196" s="124" t="n">
        <f aca="false">D196/P$3</f>
        <v>0.0550239080999995</v>
      </c>
      <c r="Q196" s="124" t="n">
        <f aca="false">E196/P$3</f>
        <v>0</v>
      </c>
      <c r="R196" s="124" t="n">
        <f aca="false">F196/R$3</f>
        <v>0</v>
      </c>
      <c r="S196" s="126" t="n">
        <f aca="false">J196/$R$3</f>
        <v>7.099</v>
      </c>
      <c r="T196" s="126" t="n">
        <f aca="false">L196/$R$3</f>
        <v>0</v>
      </c>
      <c r="U196" s="126" t="n">
        <f aca="false">I196/$R$3</f>
        <v>-114.025</v>
      </c>
      <c r="V196" s="126" t="n">
        <f aca="false">M196/$R$3</f>
        <v>-114.025</v>
      </c>
      <c r="W196" s="126" t="n">
        <f aca="false">N196/$R$3</f>
        <v>-379.07156</v>
      </c>
    </row>
    <row r="197" customFormat="false" ht="12.75" hidden="true" customHeight="false" outlineLevel="0" collapsed="false">
      <c r="A197" s="120" t="n">
        <f aca="false">A196+1</f>
        <v>37083</v>
      </c>
      <c r="B197" s="131" t="str">
        <f aca="false">INDEX('Master Data'!$A$2:$B$8,MATCH(WEEKDAY('ARG Gas IM'!A197,3),'Master Data'!$A$2:$A$8,0),2)</f>
        <v>W</v>
      </c>
      <c r="D197" s="124" t="n">
        <v>52203.2010000001</v>
      </c>
      <c r="E197" s="124"/>
      <c r="F197" s="124"/>
      <c r="G197" s="124" t="n">
        <v>-100513</v>
      </c>
      <c r="I197" s="124" t="n">
        <f aca="false">IF(MONTH($A197)=MONTH($A196),IF(G197=0,I196,G197),G197)</f>
        <v>-100513</v>
      </c>
      <c r="J197" s="124" t="n">
        <f aca="false">IF(MONTH($A197)=MONTH($A196),SUM(I197-I196),I197)</f>
        <v>13512</v>
      </c>
      <c r="K197" s="124" t="n">
        <f aca="false">IF(WEEKDAY(A197,3)&gt;4,0,(IF(A197&lt;K$2,0,IF(A197&lt;=K$3,1,0))))</f>
        <v>0</v>
      </c>
      <c r="L197" s="124" t="n">
        <f aca="false">J197*K197</f>
        <v>0</v>
      </c>
      <c r="M197" s="124" t="n">
        <f aca="false">SUM(J$188:J197)</f>
        <v>-100513</v>
      </c>
      <c r="N197" s="124" t="n">
        <f aca="false">SUM(J$6:J197)</f>
        <v>-365559.56</v>
      </c>
      <c r="P197" s="124" t="n">
        <f aca="false">D197/P$3</f>
        <v>0.0522032010000001</v>
      </c>
      <c r="Q197" s="124" t="n">
        <f aca="false">E197/P$3</f>
        <v>0</v>
      </c>
      <c r="R197" s="124" t="n">
        <f aca="false">F197/R$3</f>
        <v>0</v>
      </c>
      <c r="S197" s="126" t="n">
        <f aca="false">J197/$R$3</f>
        <v>13.512</v>
      </c>
      <c r="T197" s="126" t="n">
        <f aca="false">L197/$R$3</f>
        <v>0</v>
      </c>
      <c r="U197" s="126" t="n">
        <f aca="false">I197/$R$3</f>
        <v>-100.513</v>
      </c>
      <c r="V197" s="126" t="n">
        <f aca="false">M197/$R$3</f>
        <v>-100.513</v>
      </c>
      <c r="W197" s="126" t="n">
        <f aca="false">N197/$R$3</f>
        <v>-365.55956</v>
      </c>
    </row>
    <row r="198" customFormat="false" ht="12.75" hidden="true" customHeight="false" outlineLevel="0" collapsed="false">
      <c r="A198" s="120" t="n">
        <f aca="false">A197+1</f>
        <v>37084</v>
      </c>
      <c r="B198" s="131" t="str">
        <f aca="false">INDEX('Master Data'!$A$2:$B$8,MATCH(WEEKDAY('ARG Gas IM'!A198,3),'Master Data'!$A$2:$A$8,0),2)</f>
        <v>Th</v>
      </c>
      <c r="D198" s="124" t="n">
        <v>54994.0457000005</v>
      </c>
      <c r="E198" s="124"/>
      <c r="F198" s="124"/>
      <c r="G198" s="124" t="n">
        <v>-81132</v>
      </c>
      <c r="I198" s="124" t="n">
        <f aca="false">IF(MONTH($A198)=MONTH($A197),IF(G198=0,I197,G198),G198)</f>
        <v>-81132</v>
      </c>
      <c r="J198" s="124" t="n">
        <f aca="false">IF(MONTH($A198)=MONTH($A197),SUM(I198-I197),I198)</f>
        <v>19381</v>
      </c>
      <c r="K198" s="124" t="n">
        <f aca="false">IF(WEEKDAY(A198,3)&gt;4,0,(IF(A198&lt;K$2,0,IF(A198&lt;=K$3,1,0))))</f>
        <v>0</v>
      </c>
      <c r="L198" s="124" t="n">
        <f aca="false">J198*K198</f>
        <v>0</v>
      </c>
      <c r="M198" s="124" t="n">
        <f aca="false">SUM(J$188:J198)</f>
        <v>-81132</v>
      </c>
      <c r="N198" s="124" t="n">
        <f aca="false">SUM(J$6:J198)</f>
        <v>-346178.56</v>
      </c>
      <c r="P198" s="124" t="n">
        <f aca="false">D198/P$3</f>
        <v>0.0549940457000005</v>
      </c>
      <c r="Q198" s="124" t="n">
        <f aca="false">E198/P$3</f>
        <v>0</v>
      </c>
      <c r="R198" s="124" t="n">
        <f aca="false">F198/R$3</f>
        <v>0</v>
      </c>
      <c r="S198" s="126" t="n">
        <f aca="false">J198/$R$3</f>
        <v>19.381</v>
      </c>
      <c r="T198" s="126" t="n">
        <f aca="false">L198/$R$3</f>
        <v>0</v>
      </c>
      <c r="U198" s="126" t="n">
        <f aca="false">I198/$R$3</f>
        <v>-81.132</v>
      </c>
      <c r="V198" s="126" t="n">
        <f aca="false">M198/$R$3</f>
        <v>-81.132</v>
      </c>
      <c r="W198" s="126" t="n">
        <f aca="false">N198/$R$3</f>
        <v>-346.17856</v>
      </c>
    </row>
    <row r="199" customFormat="false" ht="12.75" hidden="true" customHeight="false" outlineLevel="0" collapsed="false">
      <c r="A199" s="120" t="n">
        <f aca="false">A198+1</f>
        <v>37085</v>
      </c>
      <c r="B199" s="131" t="str">
        <f aca="false">INDEX('Master Data'!$A$2:$B$8,MATCH(WEEKDAY('ARG Gas IM'!A199,3),'Master Data'!$A$2:$A$8,0),2)</f>
        <v>F</v>
      </c>
      <c r="D199" s="124" t="n">
        <v>45694.5693999997</v>
      </c>
      <c r="E199" s="124"/>
      <c r="F199" s="124"/>
      <c r="G199" s="124" t="n">
        <v>-73193</v>
      </c>
      <c r="I199" s="124" t="n">
        <f aca="false">IF(MONTH($A199)=MONTH($A198),IF(G199=0,I198,G199),G199)</f>
        <v>-73193</v>
      </c>
      <c r="J199" s="124" t="n">
        <f aca="false">IF(MONTH($A199)=MONTH($A198),SUM(I199-I198),I199)</f>
        <v>7939</v>
      </c>
      <c r="K199" s="124" t="n">
        <f aca="false">IF(WEEKDAY(A199,3)&gt;4,0,(IF(A199&lt;K$2,0,IF(A199&lt;=K$3,1,0))))</f>
        <v>0</v>
      </c>
      <c r="L199" s="124" t="n">
        <f aca="false">J199*K199</f>
        <v>0</v>
      </c>
      <c r="M199" s="124" t="n">
        <f aca="false">SUM(J$188:J199)</f>
        <v>-73193</v>
      </c>
      <c r="N199" s="124" t="n">
        <f aca="false">SUM(J$6:J199)</f>
        <v>-338239.56</v>
      </c>
      <c r="P199" s="124" t="n">
        <f aca="false">D199/P$3</f>
        <v>0.0456945693999997</v>
      </c>
      <c r="Q199" s="124" t="n">
        <f aca="false">E199/P$3</f>
        <v>0</v>
      </c>
      <c r="R199" s="124" t="n">
        <f aca="false">F199/R$3</f>
        <v>0</v>
      </c>
      <c r="S199" s="126" t="n">
        <f aca="false">J199/$R$3</f>
        <v>7.939</v>
      </c>
      <c r="T199" s="126" t="n">
        <f aca="false">L199/$R$3</f>
        <v>0</v>
      </c>
      <c r="U199" s="126" t="n">
        <f aca="false">I199/$R$3</f>
        <v>-73.193</v>
      </c>
      <c r="V199" s="126" t="n">
        <f aca="false">M199/$R$3</f>
        <v>-73.193</v>
      </c>
      <c r="W199" s="126" t="n">
        <f aca="false">N199/$R$3</f>
        <v>-338.23956</v>
      </c>
    </row>
    <row r="200" customFormat="false" ht="12.75" hidden="true" customHeight="false" outlineLevel="0" collapsed="false">
      <c r="A200" s="120" t="n">
        <f aca="false">A199+1</f>
        <v>37086</v>
      </c>
      <c r="B200" s="131" t="str">
        <f aca="false">INDEX('Master Data'!$A$2:$B$8,MATCH(WEEKDAY('ARG Gas IM'!A200,3),'Master Data'!$A$2:$A$8,0),2)</f>
        <v>Sa</v>
      </c>
      <c r="D200" s="124"/>
      <c r="E200" s="124"/>
      <c r="F200" s="124"/>
      <c r="G200" s="124"/>
      <c r="I200" s="124" t="n">
        <f aca="false">IF(MONTH($A200)=MONTH($A199),IF(G200=0,I199,G200),G200)</f>
        <v>-73193</v>
      </c>
      <c r="J200" s="124" t="n">
        <f aca="false">IF(MONTH($A200)=MONTH($A199),SUM(I200-I199),I200)</f>
        <v>0</v>
      </c>
      <c r="K200" s="124" t="n">
        <f aca="false">IF(WEEKDAY(A200,3)&gt;4,0,(IF(A200&lt;K$2,0,IF(A200&lt;=K$3,1,0))))</f>
        <v>0</v>
      </c>
      <c r="L200" s="124" t="n">
        <f aca="false">J200*K200</f>
        <v>0</v>
      </c>
      <c r="M200" s="124" t="n">
        <f aca="false">SUM(J$188:J200)</f>
        <v>-73193</v>
      </c>
      <c r="N200" s="124" t="n">
        <f aca="false">SUM(J$6:J200)</f>
        <v>-338239.56</v>
      </c>
      <c r="P200" s="124" t="n">
        <f aca="false">D200/P$3</f>
        <v>0</v>
      </c>
      <c r="Q200" s="124" t="n">
        <f aca="false">E200/P$3</f>
        <v>0</v>
      </c>
      <c r="R200" s="124" t="n">
        <f aca="false">F200/R$3</f>
        <v>0</v>
      </c>
      <c r="S200" s="126" t="n">
        <f aca="false">J200/$R$3</f>
        <v>0</v>
      </c>
      <c r="T200" s="126" t="n">
        <f aca="false">L200/$R$3</f>
        <v>0</v>
      </c>
      <c r="U200" s="126" t="n">
        <f aca="false">I200/$R$3</f>
        <v>-73.193</v>
      </c>
      <c r="V200" s="126" t="n">
        <f aca="false">M200/$R$3</f>
        <v>-73.193</v>
      </c>
      <c r="W200" s="126" t="n">
        <f aca="false">N200/$R$3</f>
        <v>-338.23956</v>
      </c>
    </row>
    <row r="201" customFormat="false" ht="12.75" hidden="true" customHeight="false" outlineLevel="0" collapsed="false">
      <c r="A201" s="120" t="n">
        <f aca="false">A200+1</f>
        <v>37087</v>
      </c>
      <c r="B201" s="131" t="str">
        <f aca="false">INDEX('Master Data'!$A$2:$B$8,MATCH(WEEKDAY('ARG Gas IM'!A201,3),'Master Data'!$A$2:$A$8,0),2)</f>
        <v>Su</v>
      </c>
      <c r="D201" s="124"/>
      <c r="E201" s="124"/>
      <c r="F201" s="124"/>
      <c r="G201" s="124"/>
      <c r="I201" s="124" t="n">
        <f aca="false">IF(MONTH($A201)=MONTH($A200),IF(G201=0,I200,G201),G201)</f>
        <v>-73193</v>
      </c>
      <c r="J201" s="124" t="n">
        <f aca="false">IF(MONTH($A201)=MONTH($A200),SUM(I201-I200),I201)</f>
        <v>0</v>
      </c>
      <c r="K201" s="124" t="n">
        <f aca="false">IF(WEEKDAY(A201,3)&gt;4,0,(IF(A201&lt;K$2,0,IF(A201&lt;=K$3,1,0))))</f>
        <v>0</v>
      </c>
      <c r="L201" s="124" t="n">
        <f aca="false">J201*K201</f>
        <v>0</v>
      </c>
      <c r="M201" s="124" t="n">
        <f aca="false">SUM(J$188:J201)</f>
        <v>-73193</v>
      </c>
      <c r="N201" s="124" t="n">
        <f aca="false">SUM(J$6:J201)</f>
        <v>-338239.56</v>
      </c>
      <c r="P201" s="124" t="n">
        <f aca="false">D201/P$3</f>
        <v>0</v>
      </c>
      <c r="Q201" s="124" t="n">
        <f aca="false">E201/P$3</f>
        <v>0</v>
      </c>
      <c r="R201" s="124" t="n">
        <f aca="false">F201/R$3</f>
        <v>0</v>
      </c>
      <c r="S201" s="126" t="n">
        <f aca="false">J201/$R$3</f>
        <v>0</v>
      </c>
      <c r="T201" s="126" t="n">
        <f aca="false">L201/$R$3</f>
        <v>0</v>
      </c>
      <c r="U201" s="126" t="n">
        <f aca="false">I201/$R$3</f>
        <v>-73.193</v>
      </c>
      <c r="V201" s="126" t="n">
        <f aca="false">M201/$R$3</f>
        <v>-73.193</v>
      </c>
      <c r="W201" s="126" t="n">
        <f aca="false">N201/$R$3</f>
        <v>-338.23956</v>
      </c>
    </row>
    <row r="202" customFormat="false" ht="12.75" hidden="true" customHeight="false" outlineLevel="0" collapsed="false">
      <c r="A202" s="120" t="n">
        <f aca="false">A201+1</f>
        <v>37088</v>
      </c>
      <c r="B202" s="131" t="str">
        <f aca="false">INDEX('Master Data'!$A$2:$B$8,MATCH(WEEKDAY('ARG Gas IM'!A202,3),'Master Data'!$A$2:$A$8,0),2)</f>
        <v>M</v>
      </c>
      <c r="D202" s="124" t="n">
        <v>42253.1928000002</v>
      </c>
      <c r="E202" s="124"/>
      <c r="F202" s="124"/>
      <c r="G202" s="124" t="n">
        <v>-76154</v>
      </c>
      <c r="I202" s="124" t="n">
        <f aca="false">IF(MONTH($A202)=MONTH($A201),IF(G202=0,I201,G202),G202)</f>
        <v>-76154</v>
      </c>
      <c r="J202" s="124" t="n">
        <f aca="false">IF(MONTH($A202)=MONTH($A201),SUM(I202-I201),I202)</f>
        <v>-2961</v>
      </c>
      <c r="K202" s="124" t="n">
        <f aca="false">IF(WEEKDAY(A202,3)&gt;4,0,(IF(A202&lt;K$2,0,IF(A202&lt;=K$3,1,0))))</f>
        <v>0</v>
      </c>
      <c r="L202" s="124" t="n">
        <f aca="false">J202*K202</f>
        <v>-0</v>
      </c>
      <c r="M202" s="124" t="n">
        <f aca="false">SUM(J$188:J202)</f>
        <v>-76154</v>
      </c>
      <c r="N202" s="124" t="n">
        <f aca="false">SUM(J$6:J202)</f>
        <v>-341200.56</v>
      </c>
      <c r="P202" s="124" t="n">
        <f aca="false">D202/P$3</f>
        <v>0.0422531928000002</v>
      </c>
      <c r="Q202" s="124" t="n">
        <f aca="false">E202/P$3</f>
        <v>0</v>
      </c>
      <c r="R202" s="124" t="n">
        <f aca="false">F202/R$3</f>
        <v>0</v>
      </c>
      <c r="S202" s="126" t="n">
        <f aca="false">J202/$R$3</f>
        <v>-2.961</v>
      </c>
      <c r="T202" s="126" t="n">
        <f aca="false">L202/$R$3</f>
        <v>-0</v>
      </c>
      <c r="U202" s="126" t="n">
        <f aca="false">I202/$R$3</f>
        <v>-76.154</v>
      </c>
      <c r="V202" s="126" t="n">
        <f aca="false">M202/$R$3</f>
        <v>-76.154</v>
      </c>
      <c r="W202" s="126" t="n">
        <f aca="false">N202/$R$3</f>
        <v>-341.20056</v>
      </c>
    </row>
    <row r="203" customFormat="false" ht="12.75" hidden="true" customHeight="false" outlineLevel="0" collapsed="false">
      <c r="A203" s="120" t="n">
        <f aca="false">A202+1</f>
        <v>37089</v>
      </c>
      <c r="B203" s="131" t="str">
        <f aca="false">INDEX('Master Data'!$A$2:$B$8,MATCH(WEEKDAY('ARG Gas IM'!A203,3),'Master Data'!$A$2:$A$8,0),2)</f>
        <v>T</v>
      </c>
      <c r="D203" s="124" t="n">
        <v>38372.8772000001</v>
      </c>
      <c r="E203" s="124"/>
      <c r="F203" s="124"/>
      <c r="G203" s="124" t="n">
        <v>-89142</v>
      </c>
      <c r="I203" s="124" t="n">
        <f aca="false">IF(MONTH($A203)=MONTH($A202),IF(G203=0,I202,G203),G203)</f>
        <v>-89142</v>
      </c>
      <c r="J203" s="124" t="n">
        <f aca="false">IF(MONTH($A203)=MONTH($A202),SUM(I203-I202),I203)</f>
        <v>-12988</v>
      </c>
      <c r="K203" s="124" t="n">
        <f aca="false">IF(WEEKDAY(A203,3)&gt;4,0,(IF(A203&lt;K$2,0,IF(A203&lt;=K$3,1,0))))</f>
        <v>0</v>
      </c>
      <c r="L203" s="124" t="n">
        <f aca="false">J203*K203</f>
        <v>-0</v>
      </c>
      <c r="M203" s="124" t="n">
        <f aca="false">SUM(J$188:J203)</f>
        <v>-89142</v>
      </c>
      <c r="N203" s="124" t="n">
        <f aca="false">SUM(J$6:J203)</f>
        <v>-354188.56</v>
      </c>
      <c r="P203" s="124" t="n">
        <f aca="false">D203/P$3</f>
        <v>0.0383728772000001</v>
      </c>
      <c r="Q203" s="124" t="n">
        <f aca="false">E203/P$3</f>
        <v>0</v>
      </c>
      <c r="R203" s="124" t="n">
        <f aca="false">F203/R$3</f>
        <v>0</v>
      </c>
      <c r="S203" s="126" t="n">
        <f aca="false">J203/$R$3</f>
        <v>-12.988</v>
      </c>
      <c r="T203" s="126" t="n">
        <f aca="false">L203/$R$3</f>
        <v>-0</v>
      </c>
      <c r="U203" s="126" t="n">
        <f aca="false">I203/$R$3</f>
        <v>-89.142</v>
      </c>
      <c r="V203" s="126" t="n">
        <f aca="false">M203/$R$3</f>
        <v>-89.142</v>
      </c>
      <c r="W203" s="126" t="n">
        <f aca="false">N203/$R$3</f>
        <v>-354.18856</v>
      </c>
    </row>
    <row r="204" customFormat="false" ht="12.75" hidden="true" customHeight="false" outlineLevel="0" collapsed="false">
      <c r="A204" s="120" t="n">
        <f aca="false">A203+1</f>
        <v>37090</v>
      </c>
      <c r="B204" s="131" t="str">
        <f aca="false">INDEX('Master Data'!$A$2:$B$8,MATCH(WEEKDAY('ARG Gas IM'!A204,3),'Master Data'!$A$2:$A$8,0),2)</f>
        <v>W</v>
      </c>
      <c r="D204" s="124" t="n">
        <v>34905.6486000002</v>
      </c>
      <c r="E204" s="124"/>
      <c r="F204" s="124"/>
      <c r="G204" s="124" t="n">
        <v>-106051</v>
      </c>
      <c r="I204" s="124" t="n">
        <f aca="false">IF(MONTH($A204)=MONTH($A203),IF(G204=0,I203,G204),G204)</f>
        <v>-106051</v>
      </c>
      <c r="J204" s="124" t="n">
        <f aca="false">IF(MONTH($A204)=MONTH($A203),SUM(I204-I203),I204)</f>
        <v>-16909</v>
      </c>
      <c r="K204" s="124" t="n">
        <f aca="false">IF(WEEKDAY(A204,3)&gt;4,0,(IF(A204&lt;K$2,0,IF(A204&lt;=K$3,1,0))))</f>
        <v>0</v>
      </c>
      <c r="L204" s="124" t="n">
        <f aca="false">J204*K204</f>
        <v>-0</v>
      </c>
      <c r="M204" s="124" t="n">
        <f aca="false">SUM(J$188:J204)</f>
        <v>-106051</v>
      </c>
      <c r="N204" s="124" t="n">
        <f aca="false">SUM(J$6:J204)</f>
        <v>-371097.56</v>
      </c>
      <c r="P204" s="124" t="n">
        <f aca="false">D204/P$3</f>
        <v>0.0349056486000002</v>
      </c>
      <c r="Q204" s="124" t="n">
        <f aca="false">E204/P$3</f>
        <v>0</v>
      </c>
      <c r="R204" s="124" t="n">
        <f aca="false">F204/R$3</f>
        <v>0</v>
      </c>
      <c r="S204" s="126" t="n">
        <f aca="false">J204/$R$3</f>
        <v>-16.909</v>
      </c>
      <c r="T204" s="126" t="n">
        <f aca="false">L204/$R$3</f>
        <v>-0</v>
      </c>
      <c r="U204" s="126" t="n">
        <f aca="false">I204/$R$3</f>
        <v>-106.051</v>
      </c>
      <c r="V204" s="126" t="n">
        <f aca="false">M204/$R$3</f>
        <v>-106.051</v>
      </c>
      <c r="W204" s="126" t="n">
        <f aca="false">N204/$R$3</f>
        <v>-371.09756</v>
      </c>
    </row>
    <row r="205" customFormat="false" ht="12.75" hidden="true" customHeight="false" outlineLevel="0" collapsed="false">
      <c r="A205" s="120" t="n">
        <f aca="false">A204+1</f>
        <v>37091</v>
      </c>
      <c r="B205" s="131" t="str">
        <f aca="false">INDEX('Master Data'!$A$2:$B$8,MATCH(WEEKDAY('ARG Gas IM'!A205,3),'Master Data'!$A$2:$A$8,0),2)</f>
        <v>Th</v>
      </c>
      <c r="D205" s="124" t="n">
        <v>35214.4040000001</v>
      </c>
      <c r="E205" s="124"/>
      <c r="F205" s="124"/>
      <c r="G205" s="124" t="n">
        <v>-107056</v>
      </c>
      <c r="I205" s="124" t="n">
        <f aca="false">IF(MONTH($A205)=MONTH($A204),IF(G205=0,I204,G205),G205)</f>
        <v>-107056</v>
      </c>
      <c r="J205" s="124" t="n">
        <f aca="false">IF(MONTH($A205)=MONTH($A204),SUM(I205-I204),I205)</f>
        <v>-1005</v>
      </c>
      <c r="K205" s="124" t="n">
        <f aca="false">IF(WEEKDAY(A205,3)&gt;4,0,(IF(A205&lt;K$2,0,IF(A205&lt;=K$3,1,0))))</f>
        <v>0</v>
      </c>
      <c r="L205" s="124" t="n">
        <f aca="false">J205*K205</f>
        <v>-0</v>
      </c>
      <c r="M205" s="124" t="n">
        <f aca="false">SUM(J$188:J205)</f>
        <v>-107056</v>
      </c>
      <c r="N205" s="124" t="n">
        <f aca="false">SUM(J$6:J205)</f>
        <v>-372102.56</v>
      </c>
      <c r="P205" s="124" t="n">
        <f aca="false">D205/P$3</f>
        <v>0.0352144040000001</v>
      </c>
      <c r="Q205" s="124" t="n">
        <f aca="false">E205/P$3</f>
        <v>0</v>
      </c>
      <c r="R205" s="124" t="n">
        <f aca="false">F205/R$3</f>
        <v>0</v>
      </c>
      <c r="S205" s="126" t="n">
        <f aca="false">J205/$R$3</f>
        <v>-1.005</v>
      </c>
      <c r="T205" s="126" t="n">
        <f aca="false">L205/$R$3</f>
        <v>-0</v>
      </c>
      <c r="U205" s="126" t="n">
        <f aca="false">I205/$R$3</f>
        <v>-107.056</v>
      </c>
      <c r="V205" s="126" t="n">
        <f aca="false">M205/$R$3</f>
        <v>-107.056</v>
      </c>
      <c r="W205" s="126" t="n">
        <f aca="false">N205/$R$3</f>
        <v>-372.10256</v>
      </c>
    </row>
    <row r="206" customFormat="false" ht="12.75" hidden="true" customHeight="false" outlineLevel="0" collapsed="false">
      <c r="A206" s="120" t="n">
        <f aca="false">A205+1</f>
        <v>37092</v>
      </c>
      <c r="B206" s="131" t="str">
        <f aca="false">INDEX('Master Data'!$A$2:$B$8,MATCH(WEEKDAY('ARG Gas IM'!A206,3),'Master Data'!$A$2:$A$8,0),2)</f>
        <v>F</v>
      </c>
      <c r="D206" s="124" t="n">
        <v>34382.8443999997</v>
      </c>
      <c r="E206" s="124"/>
      <c r="F206" s="124"/>
      <c r="G206" s="124" t="n">
        <v>-116187</v>
      </c>
      <c r="I206" s="124" t="n">
        <f aca="false">IF(MONTH($A206)=MONTH($A205),IF(G206=0,I205,G206),G206)</f>
        <v>-116187</v>
      </c>
      <c r="J206" s="124" t="n">
        <f aca="false">IF(MONTH($A206)=MONTH($A205),SUM(I206-I205),I206)</f>
        <v>-9131</v>
      </c>
      <c r="K206" s="124" t="n">
        <f aca="false">IF(WEEKDAY(A206,3)&gt;4,0,(IF(A206&lt;K$2,0,IF(A206&lt;=K$3,1,0))))</f>
        <v>0</v>
      </c>
      <c r="L206" s="124" t="n">
        <f aca="false">J206*K206</f>
        <v>-0</v>
      </c>
      <c r="M206" s="124" t="n">
        <f aca="false">SUM(J$188:J206)</f>
        <v>-116187</v>
      </c>
      <c r="N206" s="124" t="n">
        <f aca="false">SUM(J$6:J206)</f>
        <v>-381233.56</v>
      </c>
      <c r="P206" s="124" t="n">
        <f aca="false">D206/P$3</f>
        <v>0.0343828443999997</v>
      </c>
      <c r="Q206" s="124" t="n">
        <f aca="false">E206/P$3</f>
        <v>0</v>
      </c>
      <c r="R206" s="124" t="n">
        <f aca="false">F206/R$3</f>
        <v>0</v>
      </c>
      <c r="S206" s="126" t="n">
        <f aca="false">J206/$R$3</f>
        <v>-9.131</v>
      </c>
      <c r="T206" s="126" t="n">
        <f aca="false">L206/$R$3</f>
        <v>-0</v>
      </c>
      <c r="U206" s="126" t="n">
        <f aca="false">I206/$R$3</f>
        <v>-116.187</v>
      </c>
      <c r="V206" s="126" t="n">
        <f aca="false">M206/$R$3</f>
        <v>-116.187</v>
      </c>
      <c r="W206" s="126" t="n">
        <f aca="false">N206/$R$3</f>
        <v>-381.23356</v>
      </c>
    </row>
    <row r="207" customFormat="false" ht="12.75" hidden="true" customHeight="false" outlineLevel="0" collapsed="false">
      <c r="A207" s="120" t="n">
        <f aca="false">A206+1</f>
        <v>37093</v>
      </c>
      <c r="B207" s="131" t="str">
        <f aca="false">INDEX('Master Data'!$A$2:$B$8,MATCH(WEEKDAY('ARG Gas IM'!A207,3),'Master Data'!$A$2:$A$8,0),2)</f>
        <v>Sa</v>
      </c>
      <c r="D207" s="124"/>
      <c r="E207" s="124"/>
      <c r="F207" s="124"/>
      <c r="G207" s="124"/>
      <c r="I207" s="124" t="n">
        <f aca="false">IF(MONTH($A207)=MONTH($A206),IF(G207=0,I206,G207),G207)</f>
        <v>-116187</v>
      </c>
      <c r="J207" s="124" t="n">
        <f aca="false">IF(MONTH($A207)=MONTH($A206),SUM(I207-I206),I207)</f>
        <v>0</v>
      </c>
      <c r="K207" s="124" t="n">
        <f aca="false">IF(WEEKDAY(A207,3)&gt;4,0,(IF(A207&lt;K$2,0,IF(A207&lt;=K$3,1,0))))</f>
        <v>0</v>
      </c>
      <c r="L207" s="124" t="n">
        <f aca="false">J207*K207</f>
        <v>0</v>
      </c>
      <c r="M207" s="124" t="n">
        <f aca="false">SUM(J$188:J207)</f>
        <v>-116187</v>
      </c>
      <c r="N207" s="124" t="n">
        <f aca="false">SUM(J$6:J207)</f>
        <v>-381233.56</v>
      </c>
      <c r="P207" s="124" t="n">
        <f aca="false">D207/P$3</f>
        <v>0</v>
      </c>
      <c r="Q207" s="124" t="n">
        <f aca="false">E207/P$3</f>
        <v>0</v>
      </c>
      <c r="R207" s="124" t="n">
        <f aca="false">F207/R$3</f>
        <v>0</v>
      </c>
      <c r="S207" s="126" t="n">
        <f aca="false">J207/$R$3</f>
        <v>0</v>
      </c>
      <c r="T207" s="126" t="n">
        <f aca="false">L207/$R$3</f>
        <v>0</v>
      </c>
      <c r="U207" s="126" t="n">
        <f aca="false">I207/$R$3</f>
        <v>-116.187</v>
      </c>
      <c r="V207" s="126" t="n">
        <f aca="false">M207/$R$3</f>
        <v>-116.187</v>
      </c>
      <c r="W207" s="126" t="n">
        <f aca="false">N207/$R$3</f>
        <v>-381.23356</v>
      </c>
    </row>
    <row r="208" customFormat="false" ht="12.75" hidden="true" customHeight="false" outlineLevel="0" collapsed="false">
      <c r="A208" s="120" t="n">
        <f aca="false">A207+1</f>
        <v>37094</v>
      </c>
      <c r="B208" s="131" t="str">
        <f aca="false">INDEX('Master Data'!$A$2:$B$8,MATCH(WEEKDAY('ARG Gas IM'!A208,3),'Master Data'!$A$2:$A$8,0),2)</f>
        <v>Su</v>
      </c>
      <c r="D208" s="124"/>
      <c r="E208" s="124"/>
      <c r="F208" s="124"/>
      <c r="G208" s="124"/>
      <c r="I208" s="124" t="n">
        <f aca="false">IF(MONTH($A208)=MONTH($A207),IF(G208=0,I207,G208),G208)</f>
        <v>-116187</v>
      </c>
      <c r="J208" s="124" t="n">
        <f aca="false">IF(MONTH($A208)=MONTH($A207),SUM(I208-I207),I208)</f>
        <v>0</v>
      </c>
      <c r="K208" s="124" t="n">
        <f aca="false">IF(WEEKDAY(A208,3)&gt;4,0,(IF(A208&lt;K$2,0,IF(A208&lt;=K$3,1,0))))</f>
        <v>0</v>
      </c>
      <c r="L208" s="124" t="n">
        <f aca="false">J208*K208</f>
        <v>0</v>
      </c>
      <c r="M208" s="124" t="n">
        <f aca="false">SUM(J$188:J208)</f>
        <v>-116187</v>
      </c>
      <c r="N208" s="124" t="n">
        <f aca="false">SUM(J$6:J208)</f>
        <v>-381233.56</v>
      </c>
      <c r="P208" s="124" t="n">
        <f aca="false">D208/P$3</f>
        <v>0</v>
      </c>
      <c r="Q208" s="124" t="n">
        <f aca="false">E208/P$3</f>
        <v>0</v>
      </c>
      <c r="R208" s="124" t="n">
        <f aca="false">F208/R$3</f>
        <v>0</v>
      </c>
      <c r="S208" s="126" t="n">
        <f aca="false">J208/$R$3</f>
        <v>0</v>
      </c>
      <c r="T208" s="126" t="n">
        <f aca="false">L208/$R$3</f>
        <v>0</v>
      </c>
      <c r="U208" s="126" t="n">
        <f aca="false">I208/$R$3</f>
        <v>-116.187</v>
      </c>
      <c r="V208" s="126" t="n">
        <f aca="false">M208/$R$3</f>
        <v>-116.187</v>
      </c>
      <c r="W208" s="126" t="n">
        <f aca="false">N208/$R$3</f>
        <v>-381.23356</v>
      </c>
    </row>
    <row r="209" customFormat="false" ht="12.75" hidden="true" customHeight="false" outlineLevel="0" collapsed="false">
      <c r="A209" s="120" t="n">
        <f aca="false">A208+1</f>
        <v>37095</v>
      </c>
      <c r="B209" s="131" t="str">
        <f aca="false">INDEX('Master Data'!$A$2:$B$8,MATCH(WEEKDAY('ARG Gas IM'!A209,3),'Master Data'!$A$2:$A$8,0),2)</f>
        <v>M</v>
      </c>
      <c r="D209" s="124" t="n">
        <v>23942.8626</v>
      </c>
      <c r="E209" s="124"/>
      <c r="F209" s="124"/>
      <c r="G209" s="124" t="n">
        <v>-106058</v>
      </c>
      <c r="I209" s="124" t="n">
        <f aca="false">IF(MONTH($A209)=MONTH($A208),IF(G209=0,I208,G209),G209)</f>
        <v>-106058</v>
      </c>
      <c r="J209" s="124" t="n">
        <f aca="false">IF(MONTH($A209)=MONTH($A208),SUM(I209-I208),I209)</f>
        <v>10129</v>
      </c>
      <c r="K209" s="124" t="n">
        <f aca="false">IF(WEEKDAY(A209,3)&gt;4,0,(IF(A209&lt;K$2,0,IF(A209&lt;=K$3,1,0))))</f>
        <v>0</v>
      </c>
      <c r="L209" s="124" t="n">
        <f aca="false">J209*K209</f>
        <v>0</v>
      </c>
      <c r="M209" s="124" t="n">
        <f aca="false">SUM(J$188:J209)</f>
        <v>-106058</v>
      </c>
      <c r="N209" s="124" t="n">
        <f aca="false">SUM(J$6:J209)</f>
        <v>-371104.56</v>
      </c>
      <c r="P209" s="124" t="n">
        <f aca="false">D209/P$3</f>
        <v>0.0239428626</v>
      </c>
      <c r="Q209" s="124" t="n">
        <f aca="false">E209/P$3</f>
        <v>0</v>
      </c>
      <c r="R209" s="124" t="n">
        <f aca="false">F209/R$3</f>
        <v>0</v>
      </c>
      <c r="S209" s="126" t="n">
        <f aca="false">J209/$R$3</f>
        <v>10.129</v>
      </c>
      <c r="T209" s="126" t="n">
        <f aca="false">L209/$R$3</f>
        <v>0</v>
      </c>
      <c r="U209" s="126" t="n">
        <f aca="false">I209/$R$3</f>
        <v>-106.058</v>
      </c>
      <c r="V209" s="126" t="n">
        <f aca="false">M209/$R$3</f>
        <v>-106.058</v>
      </c>
      <c r="W209" s="126" t="n">
        <f aca="false">N209/$R$3</f>
        <v>-371.10456</v>
      </c>
    </row>
    <row r="210" customFormat="false" ht="12.75" hidden="true" customHeight="false" outlineLevel="0" collapsed="false">
      <c r="A210" s="120" t="n">
        <f aca="false">A209+1</f>
        <v>37096</v>
      </c>
      <c r="B210" s="131" t="str">
        <f aca="false">INDEX('Master Data'!$A$2:$B$8,MATCH(WEEKDAY('ARG Gas IM'!A210,3),'Master Data'!$A$2:$A$8,0),2)</f>
        <v>T</v>
      </c>
      <c r="D210" s="124" t="n">
        <v>24171.4937</v>
      </c>
      <c r="E210" s="124"/>
      <c r="F210" s="124"/>
      <c r="G210" s="124" t="n">
        <v>-101689</v>
      </c>
      <c r="I210" s="124" t="n">
        <f aca="false">IF(MONTH($A210)=MONTH($A209),IF(G210=0,I209,G210),G210)</f>
        <v>-101689</v>
      </c>
      <c r="J210" s="124" t="n">
        <f aca="false">IF(MONTH($A210)=MONTH($A209),SUM(I210-I209),I210)</f>
        <v>4369</v>
      </c>
      <c r="K210" s="124" t="n">
        <f aca="false">IF(WEEKDAY(A210,3)&gt;4,0,(IF(A210&lt;K$2,0,IF(A210&lt;=K$3,1,0))))</f>
        <v>0</v>
      </c>
      <c r="L210" s="124" t="n">
        <f aca="false">J210*K210</f>
        <v>0</v>
      </c>
      <c r="M210" s="124" t="n">
        <f aca="false">SUM(J$188:J210)</f>
        <v>-101689</v>
      </c>
      <c r="N210" s="124" t="n">
        <f aca="false">SUM(J$6:J210)</f>
        <v>-366735.56</v>
      </c>
      <c r="P210" s="124" t="n">
        <f aca="false">D210/P$3</f>
        <v>0.0241714937</v>
      </c>
      <c r="Q210" s="124" t="n">
        <f aca="false">E210/P$3</f>
        <v>0</v>
      </c>
      <c r="R210" s="124" t="n">
        <f aca="false">F210/R$3</f>
        <v>0</v>
      </c>
      <c r="S210" s="126" t="n">
        <f aca="false">J210/$R$3</f>
        <v>4.369</v>
      </c>
      <c r="T210" s="126" t="n">
        <f aca="false">L210/$R$3</f>
        <v>0</v>
      </c>
      <c r="U210" s="126" t="n">
        <f aca="false">I210/$R$3</f>
        <v>-101.689</v>
      </c>
      <c r="V210" s="126" t="n">
        <f aca="false">M210/$R$3</f>
        <v>-101.689</v>
      </c>
      <c r="W210" s="126" t="n">
        <f aca="false">N210/$R$3</f>
        <v>-366.73556</v>
      </c>
    </row>
    <row r="211" customFormat="false" ht="12.75" hidden="true" customHeight="false" outlineLevel="0" collapsed="false">
      <c r="A211" s="120" t="n">
        <f aca="false">A210+1</f>
        <v>37097</v>
      </c>
      <c r="B211" s="131" t="str">
        <f aca="false">INDEX('Master Data'!$A$2:$B$8,MATCH(WEEKDAY('ARG Gas IM'!A211,3),'Master Data'!$A$2:$A$8,0),2)</f>
        <v>W</v>
      </c>
      <c r="D211" s="124" t="n">
        <v>20353</v>
      </c>
      <c r="E211" s="124"/>
      <c r="F211" s="124"/>
      <c r="G211" s="124" t="n">
        <v>-91859.5</v>
      </c>
      <c r="I211" s="124" t="n">
        <f aca="false">IF(MONTH($A211)=MONTH($A210),IF(G211=0,I210,G211),G211)</f>
        <v>-91859.5</v>
      </c>
      <c r="J211" s="124" t="n">
        <f aca="false">IF(MONTH($A211)=MONTH($A210),SUM(I211-I210),I211)</f>
        <v>9829.5</v>
      </c>
      <c r="K211" s="124" t="n">
        <f aca="false">IF(WEEKDAY(A211,3)&gt;4,0,(IF(A211&lt;K$2,0,IF(A211&lt;=K$3,1,0))))</f>
        <v>0</v>
      </c>
      <c r="L211" s="124" t="n">
        <f aca="false">J211*K211</f>
        <v>0</v>
      </c>
      <c r="M211" s="124" t="n">
        <f aca="false">SUM(J$188:J211)</f>
        <v>-91859.5</v>
      </c>
      <c r="N211" s="124" t="n">
        <f aca="false">SUM(J$6:J211)</f>
        <v>-356906.06</v>
      </c>
      <c r="P211" s="124" t="n">
        <f aca="false">D211/P$3</f>
        <v>0.020353</v>
      </c>
      <c r="Q211" s="124" t="n">
        <f aca="false">E211/P$3</f>
        <v>0</v>
      </c>
      <c r="R211" s="124" t="n">
        <f aca="false">F211/R$3</f>
        <v>0</v>
      </c>
      <c r="S211" s="126" t="n">
        <f aca="false">J211/$R$3</f>
        <v>9.8295</v>
      </c>
      <c r="T211" s="126" t="n">
        <f aca="false">L211/$R$3</f>
        <v>0</v>
      </c>
      <c r="U211" s="126" t="n">
        <f aca="false">I211/$R$3</f>
        <v>-91.8595</v>
      </c>
      <c r="V211" s="126" t="n">
        <f aca="false">M211/$R$3</f>
        <v>-91.8595</v>
      </c>
      <c r="W211" s="126" t="n">
        <f aca="false">N211/$R$3</f>
        <v>-356.90606</v>
      </c>
    </row>
    <row r="212" customFormat="false" ht="12.75" hidden="true" customHeight="false" outlineLevel="0" collapsed="false">
      <c r="A212" s="120" t="n">
        <f aca="false">A211+1</f>
        <v>37098</v>
      </c>
      <c r="B212" s="131" t="str">
        <f aca="false">INDEX('Master Data'!$A$2:$B$8,MATCH(WEEKDAY('ARG Gas IM'!A212,3),'Master Data'!$A$2:$A$8,0),2)</f>
        <v>Th</v>
      </c>
      <c r="D212" s="124" t="n">
        <v>16981.3187</v>
      </c>
      <c r="E212" s="124"/>
      <c r="F212" s="124"/>
      <c r="G212" s="124" t="n">
        <v>-85335</v>
      </c>
      <c r="I212" s="124" t="n">
        <f aca="false">IF(MONTH($A212)=MONTH($A211),IF(G212=0,I211,G212),G212)</f>
        <v>-85335</v>
      </c>
      <c r="J212" s="124" t="n">
        <f aca="false">IF(MONTH($A212)=MONTH($A211),SUM(I212-I211),I212)</f>
        <v>6524.5</v>
      </c>
      <c r="K212" s="124" t="n">
        <f aca="false">IF(WEEKDAY(A212,3)&gt;4,0,(IF(A212&lt;K$2,0,IF(A212&lt;=K$3,1,0))))</f>
        <v>0</v>
      </c>
      <c r="L212" s="124" t="n">
        <f aca="false">J212*K212</f>
        <v>0</v>
      </c>
      <c r="M212" s="124" t="n">
        <f aca="false">SUM(J$188:J212)</f>
        <v>-85335</v>
      </c>
      <c r="N212" s="124" t="n">
        <f aca="false">SUM(J$6:J212)</f>
        <v>-350381.56</v>
      </c>
      <c r="P212" s="124" t="n">
        <f aca="false">D212/P$3</f>
        <v>0.0169813187</v>
      </c>
      <c r="Q212" s="124" t="n">
        <f aca="false">E212/P$3</f>
        <v>0</v>
      </c>
      <c r="R212" s="124" t="n">
        <f aca="false">F212/R$3</f>
        <v>0</v>
      </c>
      <c r="S212" s="126" t="n">
        <f aca="false">J212/$R$3</f>
        <v>6.5245</v>
      </c>
      <c r="T212" s="126" t="n">
        <f aca="false">L212/$R$3</f>
        <v>0</v>
      </c>
      <c r="U212" s="126" t="n">
        <f aca="false">I212/$R$3</f>
        <v>-85.335</v>
      </c>
      <c r="V212" s="126" t="n">
        <f aca="false">M212/$R$3</f>
        <v>-85.335</v>
      </c>
      <c r="W212" s="126" t="n">
        <f aca="false">N212/$R$3</f>
        <v>-350.38156</v>
      </c>
    </row>
    <row r="213" customFormat="false" ht="12.75" hidden="true" customHeight="false" outlineLevel="0" collapsed="false">
      <c r="A213" s="120" t="n">
        <f aca="false">A212+1</f>
        <v>37099</v>
      </c>
      <c r="B213" s="131" t="str">
        <f aca="false">INDEX('Master Data'!$A$2:$B$8,MATCH(WEEKDAY('ARG Gas IM'!A213,3),'Master Data'!$A$2:$A$8,0),2)</f>
        <v>F</v>
      </c>
      <c r="D213" s="124" t="n">
        <v>7328.21579999997</v>
      </c>
      <c r="E213" s="124"/>
      <c r="F213" s="124"/>
      <c r="G213" s="124" t="n">
        <v>-75918</v>
      </c>
      <c r="I213" s="124" t="n">
        <f aca="false">IF(MONTH($A213)=MONTH($A212),IF(G213=0,I212,G213),G213)</f>
        <v>-75918</v>
      </c>
      <c r="J213" s="124" t="n">
        <f aca="false">IF(MONTH($A213)=MONTH($A212),SUM(I213-I212),I213)</f>
        <v>9417</v>
      </c>
      <c r="K213" s="124" t="n">
        <f aca="false">IF(WEEKDAY(A213,3)&gt;4,0,(IF(A213&lt;K$2,0,IF(A213&lt;=K$3,1,0))))</f>
        <v>0</v>
      </c>
      <c r="L213" s="124" t="n">
        <f aca="false">J213*K213</f>
        <v>0</v>
      </c>
      <c r="M213" s="124" t="n">
        <f aca="false">SUM(J$188:J213)</f>
        <v>-75918</v>
      </c>
      <c r="N213" s="124" t="n">
        <f aca="false">SUM(J$6:J213)</f>
        <v>-340964.56</v>
      </c>
      <c r="P213" s="124" t="n">
        <f aca="false">D213/P$3</f>
        <v>0.00732821579999997</v>
      </c>
      <c r="Q213" s="124" t="n">
        <f aca="false">E213/P$3</f>
        <v>0</v>
      </c>
      <c r="R213" s="124" t="n">
        <f aca="false">F213/R$3</f>
        <v>0</v>
      </c>
      <c r="S213" s="126" t="n">
        <f aca="false">J213/$R$3</f>
        <v>9.417</v>
      </c>
      <c r="T213" s="126" t="n">
        <f aca="false">L213/$R$3</f>
        <v>0</v>
      </c>
      <c r="U213" s="126" t="n">
        <f aca="false">I213/$R$3</f>
        <v>-75.918</v>
      </c>
      <c r="V213" s="126" t="n">
        <f aca="false">M213/$R$3</f>
        <v>-75.918</v>
      </c>
      <c r="W213" s="126" t="n">
        <f aca="false">N213/$R$3</f>
        <v>-340.96456</v>
      </c>
    </row>
    <row r="214" customFormat="false" ht="12.75" hidden="true" customHeight="false" outlineLevel="0" collapsed="false">
      <c r="A214" s="120" t="n">
        <f aca="false">A213+1</f>
        <v>37100</v>
      </c>
      <c r="B214" s="131" t="str">
        <f aca="false">INDEX('Master Data'!$A$2:$B$8,MATCH(WEEKDAY('ARG Gas IM'!A214,3),'Master Data'!$A$2:$A$8,0),2)</f>
        <v>Sa</v>
      </c>
      <c r="D214" s="124"/>
      <c r="E214" s="124"/>
      <c r="F214" s="124"/>
      <c r="G214" s="124"/>
      <c r="I214" s="124" t="n">
        <f aca="false">IF(MONTH($A214)=MONTH($A213),IF(G214=0,I213,G214),G214)</f>
        <v>-75918</v>
      </c>
      <c r="J214" s="124" t="n">
        <f aca="false">IF(MONTH($A214)=MONTH($A213),SUM(I214-I213),I214)</f>
        <v>0</v>
      </c>
      <c r="K214" s="124" t="n">
        <f aca="false">IF(WEEKDAY(A214,3)&gt;4,0,(IF(A214&lt;K$2,0,IF(A214&lt;=K$3,1,0))))</f>
        <v>0</v>
      </c>
      <c r="L214" s="124" t="n">
        <f aca="false">J214*K214</f>
        <v>0</v>
      </c>
      <c r="M214" s="124" t="n">
        <f aca="false">SUM(J$188:J214)</f>
        <v>-75918</v>
      </c>
      <c r="N214" s="124" t="n">
        <f aca="false">SUM(J$6:J214)</f>
        <v>-340964.56</v>
      </c>
      <c r="P214" s="124" t="n">
        <f aca="false">D214/P$3</f>
        <v>0</v>
      </c>
      <c r="Q214" s="124" t="n">
        <f aca="false">E214/P$3</f>
        <v>0</v>
      </c>
      <c r="R214" s="124" t="n">
        <f aca="false">F214/R$3</f>
        <v>0</v>
      </c>
      <c r="S214" s="126" t="n">
        <f aca="false">J214/$R$3</f>
        <v>0</v>
      </c>
      <c r="T214" s="126" t="n">
        <f aca="false">L214/$R$3</f>
        <v>0</v>
      </c>
      <c r="U214" s="126" t="n">
        <f aca="false">I214/$R$3</f>
        <v>-75.918</v>
      </c>
      <c r="V214" s="126" t="n">
        <f aca="false">M214/$R$3</f>
        <v>-75.918</v>
      </c>
      <c r="W214" s="126" t="n">
        <f aca="false">N214/$R$3</f>
        <v>-340.96456</v>
      </c>
    </row>
    <row r="215" customFormat="false" ht="12.75" hidden="true" customHeight="false" outlineLevel="0" collapsed="false">
      <c r="A215" s="120" t="n">
        <f aca="false">A214+1</f>
        <v>37101</v>
      </c>
      <c r="B215" s="131" t="str">
        <f aca="false">INDEX('Master Data'!$A$2:$B$8,MATCH(WEEKDAY('ARG Gas IM'!A215,3),'Master Data'!$A$2:$A$8,0),2)</f>
        <v>Su</v>
      </c>
      <c r="D215" s="124"/>
      <c r="E215" s="124"/>
      <c r="F215" s="124"/>
      <c r="G215" s="124"/>
      <c r="I215" s="124" t="n">
        <f aca="false">IF(MONTH($A215)=MONTH($A214),IF(G215=0,I214,G215),G215)</f>
        <v>-75918</v>
      </c>
      <c r="J215" s="124" t="n">
        <f aca="false">IF(MONTH($A215)=MONTH($A214),SUM(I215-I214),I215)</f>
        <v>0</v>
      </c>
      <c r="K215" s="124" t="n">
        <f aca="false">IF(WEEKDAY(A215,3)&gt;4,0,(IF(A215&lt;K$2,0,IF(A215&lt;=K$3,1,0))))</f>
        <v>0</v>
      </c>
      <c r="L215" s="124" t="n">
        <f aca="false">J215*K215</f>
        <v>0</v>
      </c>
      <c r="M215" s="124" t="n">
        <f aca="false">SUM(J$188:J215)</f>
        <v>-75918</v>
      </c>
      <c r="N215" s="124" t="n">
        <f aca="false">SUM(J$6:J215)</f>
        <v>-340964.56</v>
      </c>
      <c r="P215" s="124" t="n">
        <f aca="false">D215/P$3</f>
        <v>0</v>
      </c>
      <c r="Q215" s="124" t="n">
        <f aca="false">E215/P$3</f>
        <v>0</v>
      </c>
      <c r="R215" s="124" t="n">
        <f aca="false">F215/R$3</f>
        <v>0</v>
      </c>
      <c r="S215" s="126" t="n">
        <f aca="false">J215/$R$3</f>
        <v>0</v>
      </c>
      <c r="T215" s="126" t="n">
        <f aca="false">L215/$R$3</f>
        <v>0</v>
      </c>
      <c r="U215" s="126" t="n">
        <f aca="false">I215/$R$3</f>
        <v>-75.918</v>
      </c>
      <c r="V215" s="126" t="n">
        <f aca="false">M215/$R$3</f>
        <v>-75.918</v>
      </c>
      <c r="W215" s="126" t="n">
        <f aca="false">N215/$R$3</f>
        <v>-340.96456</v>
      </c>
    </row>
    <row r="216" customFormat="false" ht="12.75" hidden="true" customHeight="false" outlineLevel="0" collapsed="false">
      <c r="A216" s="120" t="n">
        <f aca="false">A215+1</f>
        <v>37102</v>
      </c>
      <c r="B216" s="131" t="str">
        <f aca="false">INDEX('Master Data'!$A$2:$B$8,MATCH(WEEKDAY('ARG Gas IM'!A216,3),'Master Data'!$A$2:$A$8,0),2)</f>
        <v>M</v>
      </c>
      <c r="D216" s="124" t="n">
        <v>-345.596900000003</v>
      </c>
      <c r="E216" s="124"/>
      <c r="F216" s="124"/>
      <c r="G216" s="124" t="n">
        <v>-88790</v>
      </c>
      <c r="I216" s="124" t="n">
        <f aca="false">IF(MONTH($A216)=MONTH($A215),IF(G216=0,I215,G216),G216)</f>
        <v>-88790</v>
      </c>
      <c r="J216" s="124" t="n">
        <f aca="false">IF(MONTH($A216)=MONTH($A215),SUM(I216-I215),I216)</f>
        <v>-12872</v>
      </c>
      <c r="K216" s="124" t="n">
        <f aca="false">IF(WEEKDAY(A216,3)&gt;4,0,(IF(A216&lt;K$2,0,IF(A216&lt;=K$3,1,0))))</f>
        <v>0</v>
      </c>
      <c r="L216" s="124" t="n">
        <f aca="false">J216*K216</f>
        <v>-0</v>
      </c>
      <c r="M216" s="124" t="n">
        <f aca="false">SUM(J$188:J216)</f>
        <v>-88790</v>
      </c>
      <c r="N216" s="124" t="n">
        <f aca="false">SUM(J$6:J216)</f>
        <v>-353836.56</v>
      </c>
      <c r="P216" s="124" t="n">
        <f aca="false">D216/P$3</f>
        <v>-0.000345596900000003</v>
      </c>
      <c r="Q216" s="124" t="n">
        <f aca="false">E216/P$3</f>
        <v>0</v>
      </c>
      <c r="R216" s="124" t="n">
        <f aca="false">F216/R$3</f>
        <v>0</v>
      </c>
      <c r="S216" s="126" t="n">
        <f aca="false">J216/$R$3</f>
        <v>-12.872</v>
      </c>
      <c r="T216" s="126" t="n">
        <f aca="false">L216/$R$3</f>
        <v>-0</v>
      </c>
      <c r="U216" s="126" t="n">
        <f aca="false">I216/$R$3</f>
        <v>-88.79</v>
      </c>
      <c r="V216" s="126" t="n">
        <f aca="false">M216/$R$3</f>
        <v>-88.79</v>
      </c>
      <c r="W216" s="126" t="n">
        <f aca="false">N216/$R$3</f>
        <v>-353.83656</v>
      </c>
    </row>
    <row r="217" customFormat="false" ht="12.75" hidden="false" customHeight="false" outlineLevel="0" collapsed="false">
      <c r="A217" s="120" t="n">
        <f aca="false">A216+1</f>
        <v>37103</v>
      </c>
      <c r="B217" s="131" t="str">
        <f aca="false">INDEX('Master Data'!$A$2:$B$8,MATCH(WEEKDAY('ARG Gas IM'!A217,3),'Master Data'!$A$2:$A$8,0),2)</f>
        <v>T</v>
      </c>
      <c r="D217" s="124" t="n">
        <v>45780.877699998</v>
      </c>
      <c r="E217" s="124"/>
      <c r="F217" s="124"/>
      <c r="G217" s="124" t="n">
        <v>-96235</v>
      </c>
      <c r="I217" s="124" t="n">
        <f aca="false">IF(MONTH($A217)=MONTH($A216),IF(G217=0,I216,G217),G217)</f>
        <v>-96235</v>
      </c>
      <c r="J217" s="124" t="n">
        <f aca="false">IF(MONTH($A217)=MONTH($A216),SUM(I217-I216),I217)</f>
        <v>-7445</v>
      </c>
      <c r="K217" s="124" t="n">
        <f aca="false">IF(WEEKDAY(A217,3)&gt;4,0,(IF(A217&lt;K$2,0,IF(A217&lt;=K$3,1,0))))</f>
        <v>0</v>
      </c>
      <c r="L217" s="124" t="n">
        <f aca="false">J217*K217</f>
        <v>-0</v>
      </c>
      <c r="M217" s="124" t="n">
        <f aca="false">SUM(J$188:J217)</f>
        <v>-96235</v>
      </c>
      <c r="N217" s="124" t="n">
        <f aca="false">SUM(J$6:J217)</f>
        <v>-361281.56</v>
      </c>
      <c r="P217" s="124" t="n">
        <f aca="false">D217/P$3</f>
        <v>0.045780877699998</v>
      </c>
      <c r="Q217" s="124" t="n">
        <f aca="false">E217/P$3</f>
        <v>0</v>
      </c>
      <c r="R217" s="124" t="n">
        <f aca="false">F217/R$3</f>
        <v>0</v>
      </c>
      <c r="S217" s="126" t="n">
        <f aca="false">J217/$R$3</f>
        <v>-7.445</v>
      </c>
      <c r="T217" s="126" t="n">
        <f aca="false">L217/$R$3</f>
        <v>-0</v>
      </c>
      <c r="U217" s="126" t="n">
        <f aca="false">I217/$R$3</f>
        <v>-96.235</v>
      </c>
      <c r="V217" s="126" t="n">
        <f aca="false">M217/$R$3</f>
        <v>-96.235</v>
      </c>
      <c r="W217" s="126" t="n">
        <f aca="false">N217/$R$3</f>
        <v>-361.28156</v>
      </c>
    </row>
    <row r="218" customFormat="false" ht="12.75" hidden="true" customHeight="false" outlineLevel="0" collapsed="false">
      <c r="A218" s="120" t="n">
        <f aca="false">A217+1</f>
        <v>37104</v>
      </c>
      <c r="B218" s="131" t="str">
        <f aca="false">INDEX('Master Data'!$A$2:$B$8,MATCH(WEEKDAY('ARG Gas IM'!A218,3),'Master Data'!$A$2:$A$8,0),2)</f>
        <v>W</v>
      </c>
      <c r="D218" s="124" t="n">
        <v>45209.1626999995</v>
      </c>
      <c r="E218" s="124"/>
      <c r="F218" s="124"/>
      <c r="G218" s="124" t="n">
        <v>-5693</v>
      </c>
      <c r="I218" s="124" t="n">
        <f aca="false">IF(MONTH($A218)=MONTH($A217),IF(G218=0,I217,G218),G218)</f>
        <v>-5693</v>
      </c>
      <c r="J218" s="124" t="n">
        <f aca="false">IF(MONTH($A218)=MONTH($A217),SUM(I218-I217),I218)</f>
        <v>-5693</v>
      </c>
      <c r="K218" s="124" t="n">
        <f aca="false">IF(WEEKDAY(A218,3)&gt;4,0,(IF(A218&lt;K$2,0,IF(A218&lt;=K$3,1,0))))</f>
        <v>0</v>
      </c>
      <c r="L218" s="124" t="n">
        <f aca="false">J218*K218</f>
        <v>-0</v>
      </c>
      <c r="M218" s="124" t="n">
        <f aca="false">SUM(J$188:J218)</f>
        <v>-101928</v>
      </c>
      <c r="N218" s="124" t="n">
        <f aca="false">SUM(J$6:J218)</f>
        <v>-366974.56</v>
      </c>
      <c r="P218" s="124" t="n">
        <f aca="false">D218/P$3</f>
        <v>0.0452091626999995</v>
      </c>
      <c r="Q218" s="124" t="n">
        <f aca="false">E218/P$3</f>
        <v>0</v>
      </c>
      <c r="R218" s="124" t="n">
        <f aca="false">F218/R$3</f>
        <v>0</v>
      </c>
      <c r="S218" s="126" t="n">
        <f aca="false">J218/$R$3</f>
        <v>-5.693</v>
      </c>
      <c r="T218" s="126" t="n">
        <f aca="false">L218/$R$3</f>
        <v>-0</v>
      </c>
      <c r="U218" s="126" t="n">
        <f aca="false">I218/$R$3</f>
        <v>-5.693</v>
      </c>
      <c r="V218" s="126" t="n">
        <f aca="false">M218/$R$3</f>
        <v>-101.928</v>
      </c>
      <c r="W218" s="126" t="n">
        <f aca="false">N218/$R$3</f>
        <v>-366.97456</v>
      </c>
    </row>
    <row r="219" customFormat="false" ht="12.75" hidden="true" customHeight="false" outlineLevel="0" collapsed="false">
      <c r="A219" s="120" t="n">
        <f aca="false">A218+1</f>
        <v>37105</v>
      </c>
      <c r="B219" s="131" t="str">
        <f aca="false">INDEX('Master Data'!$A$2:$B$8,MATCH(WEEKDAY('ARG Gas IM'!A219,3),'Master Data'!$A$2:$A$8,0),2)</f>
        <v>Th</v>
      </c>
      <c r="D219" s="124" t="n">
        <v>83130.3117999987</v>
      </c>
      <c r="E219" s="124"/>
      <c r="F219" s="124"/>
      <c r="G219" s="124" t="n">
        <v>-57459</v>
      </c>
      <c r="I219" s="124" t="n">
        <f aca="false">IF(MONTH($A219)=MONTH($A218),IF(G219=0,I218,G219),G219)</f>
        <v>-57459</v>
      </c>
      <c r="J219" s="124" t="n">
        <f aca="false">IF(MONTH($A219)=MONTH($A218),SUM(I219-I218),I219)</f>
        <v>-51766</v>
      </c>
      <c r="K219" s="124" t="n">
        <f aca="false">IF(WEEKDAY(A219,3)&gt;4,0,(IF(A219&lt;K$2,0,IF(A219&lt;=K$3,1,0))))</f>
        <v>0</v>
      </c>
      <c r="L219" s="124" t="n">
        <f aca="false">J219*K219</f>
        <v>-0</v>
      </c>
      <c r="M219" s="124" t="n">
        <f aca="false">SUM(J$188:J219)</f>
        <v>-153694</v>
      </c>
      <c r="N219" s="124" t="n">
        <f aca="false">SUM(J$6:J219)</f>
        <v>-418740.56</v>
      </c>
      <c r="P219" s="124" t="n">
        <f aca="false">D219/P$3</f>
        <v>0.0831303117999987</v>
      </c>
      <c r="Q219" s="124" t="n">
        <f aca="false">E219/P$3</f>
        <v>0</v>
      </c>
      <c r="R219" s="124" t="n">
        <f aca="false">F219/R$3</f>
        <v>0</v>
      </c>
      <c r="S219" s="126" t="n">
        <f aca="false">J219/$R$3</f>
        <v>-51.766</v>
      </c>
      <c r="T219" s="126" t="n">
        <f aca="false">L219/$R$3</f>
        <v>-0</v>
      </c>
      <c r="U219" s="126" t="n">
        <f aca="false">I219/$R$3</f>
        <v>-57.459</v>
      </c>
      <c r="V219" s="126" t="n">
        <f aca="false">M219/$R$3</f>
        <v>-153.694</v>
      </c>
      <c r="W219" s="126" t="n">
        <f aca="false">N219/$R$3</f>
        <v>-418.74056</v>
      </c>
    </row>
    <row r="220" customFormat="false" ht="12.75" hidden="true" customHeight="false" outlineLevel="0" collapsed="false">
      <c r="A220" s="120" t="n">
        <f aca="false">A219+1</f>
        <v>37106</v>
      </c>
      <c r="B220" s="131" t="str">
        <f aca="false">INDEX('Master Data'!$A$2:$B$8,MATCH(WEEKDAY('ARG Gas IM'!A220,3),'Master Data'!$A$2:$A$8,0),2)</f>
        <v>F</v>
      </c>
      <c r="D220" s="124" t="n">
        <v>114515.467500001</v>
      </c>
      <c r="E220" s="124"/>
      <c r="F220" s="124"/>
      <c r="G220" s="124" t="n">
        <v>18261</v>
      </c>
      <c r="I220" s="124" t="n">
        <f aca="false">IF(MONTH($A220)=MONTH($A219),IF(G220=0,I219,G220),G220)</f>
        <v>18261</v>
      </c>
      <c r="J220" s="124" t="n">
        <f aca="false">IF(MONTH($A220)=MONTH($A219),SUM(I220-I219),I220)</f>
        <v>75720</v>
      </c>
      <c r="K220" s="124" t="n">
        <f aca="false">IF(WEEKDAY(A220,3)&gt;4,0,(IF(A220&lt;K$2,0,IF(A220&lt;=K$3,1,0))))</f>
        <v>0</v>
      </c>
      <c r="L220" s="124" t="n">
        <f aca="false">J220*K220</f>
        <v>0</v>
      </c>
      <c r="M220" s="124" t="n">
        <f aca="false">SUM(J$188:J220)</f>
        <v>-77974</v>
      </c>
      <c r="N220" s="124" t="n">
        <f aca="false">SUM(J$6:J220)</f>
        <v>-343020.56</v>
      </c>
      <c r="P220" s="124" t="n">
        <f aca="false">D220/P$3</f>
        <v>0.114515467500001</v>
      </c>
      <c r="Q220" s="124" t="n">
        <f aca="false">E220/P$3</f>
        <v>0</v>
      </c>
      <c r="R220" s="124" t="n">
        <f aca="false">F220/R$3</f>
        <v>0</v>
      </c>
      <c r="S220" s="126" t="n">
        <f aca="false">J220/$R$3</f>
        <v>75.72</v>
      </c>
      <c r="T220" s="126" t="n">
        <f aca="false">L220/$R$3</f>
        <v>0</v>
      </c>
      <c r="U220" s="126" t="n">
        <f aca="false">I220/$R$3</f>
        <v>18.261</v>
      </c>
      <c r="V220" s="126" t="n">
        <f aca="false">M220/$R$3</f>
        <v>-77.974</v>
      </c>
      <c r="W220" s="126" t="n">
        <f aca="false">N220/$R$3</f>
        <v>-343.02056</v>
      </c>
    </row>
    <row r="221" customFormat="false" ht="12.75" hidden="true" customHeight="false" outlineLevel="0" collapsed="false">
      <c r="A221" s="120" t="n">
        <f aca="false">A220+1</f>
        <v>37107</v>
      </c>
      <c r="B221" s="131" t="str">
        <f aca="false">INDEX('Master Data'!$A$2:$B$8,MATCH(WEEKDAY('ARG Gas IM'!A221,3),'Master Data'!$A$2:$A$8,0),2)</f>
        <v>Sa</v>
      </c>
      <c r="D221" s="124"/>
      <c r="E221" s="124"/>
      <c r="F221" s="124"/>
      <c r="G221" s="124"/>
      <c r="I221" s="124" t="n">
        <f aca="false">IF(MONTH($A221)=MONTH($A220),IF(G221=0,I220,G221),G221)</f>
        <v>18261</v>
      </c>
      <c r="J221" s="124" t="n">
        <f aca="false">IF(MONTH($A221)=MONTH($A220),SUM(I221-I220),I221)</f>
        <v>0</v>
      </c>
      <c r="K221" s="124" t="n">
        <f aca="false">IF(WEEKDAY(A221,3)&gt;4,0,(IF(A221&lt;K$2,0,IF(A221&lt;=K$3,1,0))))</f>
        <v>0</v>
      </c>
      <c r="L221" s="124" t="n">
        <f aca="false">J221*K221</f>
        <v>0</v>
      </c>
      <c r="M221" s="124" t="n">
        <f aca="false">SUM(J$188:J221)</f>
        <v>-77974</v>
      </c>
      <c r="N221" s="124" t="n">
        <f aca="false">SUM(J$6:J221)</f>
        <v>-343020.56</v>
      </c>
      <c r="P221" s="124" t="n">
        <f aca="false">D221/P$3</f>
        <v>0</v>
      </c>
      <c r="Q221" s="124" t="n">
        <f aca="false">E221/P$3</f>
        <v>0</v>
      </c>
      <c r="R221" s="124" t="n">
        <f aca="false">F221/R$3</f>
        <v>0</v>
      </c>
      <c r="S221" s="126" t="n">
        <f aca="false">J221/$R$3</f>
        <v>0</v>
      </c>
      <c r="T221" s="126" t="n">
        <f aca="false">L221/$R$3</f>
        <v>0</v>
      </c>
      <c r="U221" s="126" t="n">
        <f aca="false">I221/$R$3</f>
        <v>18.261</v>
      </c>
      <c r="V221" s="126" t="n">
        <f aca="false">M221/$R$3</f>
        <v>-77.974</v>
      </c>
      <c r="W221" s="126" t="n">
        <f aca="false">N221/$R$3</f>
        <v>-343.02056</v>
      </c>
    </row>
    <row r="222" customFormat="false" ht="12.75" hidden="true" customHeight="false" outlineLevel="0" collapsed="false">
      <c r="A222" s="120" t="n">
        <f aca="false">A221+1</f>
        <v>37108</v>
      </c>
      <c r="B222" s="131" t="str">
        <f aca="false">INDEX('Master Data'!$A$2:$B$8,MATCH(WEEKDAY('ARG Gas IM'!A222,3),'Master Data'!$A$2:$A$8,0),2)</f>
        <v>Su</v>
      </c>
      <c r="D222" s="124"/>
      <c r="E222" s="124"/>
      <c r="F222" s="124"/>
      <c r="G222" s="124"/>
      <c r="I222" s="124" t="n">
        <f aca="false">IF(MONTH($A222)=MONTH($A221),IF(G222=0,I221,G222),G222)</f>
        <v>18261</v>
      </c>
      <c r="J222" s="124" t="n">
        <f aca="false">IF(MONTH($A222)=MONTH($A221),SUM(I222-I221),I222)</f>
        <v>0</v>
      </c>
      <c r="K222" s="124" t="n">
        <f aca="false">IF(WEEKDAY(A222,3)&gt;4,0,(IF(A222&lt;K$2,0,IF(A222&lt;=K$3,1,0))))</f>
        <v>0</v>
      </c>
      <c r="L222" s="124" t="n">
        <f aca="false">J222*K222</f>
        <v>0</v>
      </c>
      <c r="M222" s="124" t="n">
        <f aca="false">SUM(J$188:J222)</f>
        <v>-77974</v>
      </c>
      <c r="N222" s="124" t="n">
        <f aca="false">SUM(J$6:J222)</f>
        <v>-343020.56</v>
      </c>
      <c r="P222" s="124" t="n">
        <f aca="false">D222/P$3</f>
        <v>0</v>
      </c>
      <c r="Q222" s="124" t="n">
        <f aca="false">E222/P$3</f>
        <v>0</v>
      </c>
      <c r="R222" s="124" t="n">
        <f aca="false">F222/R$3</f>
        <v>0</v>
      </c>
      <c r="S222" s="126" t="n">
        <f aca="false">J222/$R$3</f>
        <v>0</v>
      </c>
      <c r="T222" s="126" t="n">
        <f aca="false">L222/$R$3</f>
        <v>0</v>
      </c>
      <c r="U222" s="126" t="n">
        <f aca="false">I222/$R$3</f>
        <v>18.261</v>
      </c>
      <c r="V222" s="126" t="n">
        <f aca="false">M222/$R$3</f>
        <v>-77.974</v>
      </c>
      <c r="W222" s="126" t="n">
        <f aca="false">N222/$R$3</f>
        <v>-343.02056</v>
      </c>
    </row>
    <row r="223" customFormat="false" ht="12.75" hidden="true" customHeight="false" outlineLevel="0" collapsed="false">
      <c r="A223" s="120" t="n">
        <f aca="false">A222+1</f>
        <v>37109</v>
      </c>
      <c r="B223" s="131" t="str">
        <f aca="false">INDEX('Master Data'!$A$2:$B$8,MATCH(WEEKDAY('ARG Gas IM'!A223,3),'Master Data'!$A$2:$A$8,0),2)</f>
        <v>M</v>
      </c>
      <c r="D223" s="124" t="n">
        <v>102193.859</v>
      </c>
      <c r="E223" s="124"/>
      <c r="F223" s="124"/>
      <c r="G223" s="124" t="n">
        <v>3521</v>
      </c>
      <c r="I223" s="124" t="n">
        <f aca="false">IF(MONTH($A223)=MONTH($A222),IF(G223=0,I222,G223),G223)</f>
        <v>3521</v>
      </c>
      <c r="J223" s="124" t="n">
        <f aca="false">IF(MONTH($A223)=MONTH($A222),SUM(I223-I222),I223)</f>
        <v>-14740</v>
      </c>
      <c r="K223" s="124" t="n">
        <f aca="false">IF(WEEKDAY(A223,3)&gt;4,0,(IF(A223&lt;K$2,0,IF(A223&lt;=K$3,1,0))))</f>
        <v>0</v>
      </c>
      <c r="L223" s="124" t="n">
        <f aca="false">J223*K223</f>
        <v>-0</v>
      </c>
      <c r="M223" s="124" t="n">
        <f aca="false">SUM(J$188:J223)</f>
        <v>-92714</v>
      </c>
      <c r="N223" s="124" t="n">
        <f aca="false">SUM(J$6:J223)</f>
        <v>-357760.56</v>
      </c>
      <c r="P223" s="124" t="n">
        <f aca="false">D223/P$3</f>
        <v>0.102193859</v>
      </c>
      <c r="Q223" s="124" t="n">
        <f aca="false">E223/P$3</f>
        <v>0</v>
      </c>
      <c r="R223" s="124" t="n">
        <f aca="false">F223/R$3</f>
        <v>0</v>
      </c>
      <c r="S223" s="126" t="n">
        <f aca="false">J223/$R$3</f>
        <v>-14.74</v>
      </c>
      <c r="T223" s="126" t="n">
        <f aca="false">L223/$R$3</f>
        <v>-0</v>
      </c>
      <c r="U223" s="126" t="n">
        <f aca="false">I223/$R$3</f>
        <v>3.521</v>
      </c>
      <c r="V223" s="126" t="n">
        <f aca="false">M223/$R$3</f>
        <v>-92.714</v>
      </c>
      <c r="W223" s="126" t="n">
        <f aca="false">N223/$R$3</f>
        <v>-357.76056</v>
      </c>
    </row>
    <row r="224" customFormat="false" ht="12.75" hidden="true" customHeight="false" outlineLevel="0" collapsed="false">
      <c r="A224" s="120" t="n">
        <f aca="false">A223+1</f>
        <v>37110</v>
      </c>
      <c r="B224" s="131" t="str">
        <f aca="false">INDEX('Master Data'!$A$2:$B$8,MATCH(WEEKDAY('ARG Gas IM'!A224,3),'Master Data'!$A$2:$A$8,0),2)</f>
        <v>T</v>
      </c>
      <c r="D224" s="124" t="n">
        <v>98305.876899999</v>
      </c>
      <c r="E224" s="124"/>
      <c r="F224" s="124"/>
      <c r="G224" s="124" t="n">
        <v>-164</v>
      </c>
      <c r="I224" s="124" t="n">
        <f aca="false">IF(MONTH($A224)=MONTH($A223),IF(G224=0,I223,G224),G224)</f>
        <v>-164</v>
      </c>
      <c r="J224" s="124" t="n">
        <f aca="false">IF(MONTH($A224)=MONTH($A223),SUM(I224-I223),I224)</f>
        <v>-3685</v>
      </c>
      <c r="K224" s="124" t="n">
        <f aca="false">IF(WEEKDAY(A224,3)&gt;4,0,(IF(A224&lt;K$2,0,IF(A224&lt;=K$3,1,0))))</f>
        <v>0</v>
      </c>
      <c r="L224" s="124" t="n">
        <f aca="false">J224*K224</f>
        <v>-0</v>
      </c>
      <c r="M224" s="124" t="n">
        <f aca="false">SUM(J$188:J224)</f>
        <v>-96399</v>
      </c>
      <c r="N224" s="124" t="n">
        <f aca="false">SUM(J$6:J224)</f>
        <v>-361445.56</v>
      </c>
      <c r="P224" s="124" t="n">
        <f aca="false">D224/P$3</f>
        <v>0.098305876899999</v>
      </c>
      <c r="Q224" s="124" t="n">
        <f aca="false">E224/P$3</f>
        <v>0</v>
      </c>
      <c r="R224" s="124" t="n">
        <f aca="false">F224/R$3</f>
        <v>0</v>
      </c>
      <c r="S224" s="126" t="n">
        <f aca="false">J224/$R$3</f>
        <v>-3.685</v>
      </c>
      <c r="T224" s="126" t="n">
        <f aca="false">L224/$R$3</f>
        <v>-0</v>
      </c>
      <c r="U224" s="126" t="n">
        <f aca="false">I224/$R$3</f>
        <v>-0.164</v>
      </c>
      <c r="V224" s="126" t="n">
        <f aca="false">M224/$R$3</f>
        <v>-96.399</v>
      </c>
      <c r="W224" s="126" t="n">
        <f aca="false">N224/$R$3</f>
        <v>-361.44556</v>
      </c>
    </row>
    <row r="225" customFormat="false" ht="12.75" hidden="true" customHeight="false" outlineLevel="0" collapsed="false">
      <c r="A225" s="120" t="n">
        <f aca="false">A224+1</f>
        <v>37111</v>
      </c>
      <c r="B225" s="131" t="str">
        <f aca="false">INDEX('Master Data'!$A$2:$B$8,MATCH(WEEKDAY('ARG Gas IM'!A225,3),'Master Data'!$A$2:$A$8,0),2)</f>
        <v>W</v>
      </c>
      <c r="D225" s="124" t="n">
        <v>90938.6460999989</v>
      </c>
      <c r="E225" s="124"/>
      <c r="F225" s="124"/>
      <c r="G225" s="124" t="n">
        <v>-15628</v>
      </c>
      <c r="I225" s="124" t="n">
        <f aca="false">IF(MONTH($A225)=MONTH($A224),IF(G225=0,I224,G225),G225)</f>
        <v>-15628</v>
      </c>
      <c r="J225" s="124" t="n">
        <f aca="false">IF(MONTH($A225)=MONTH($A224),SUM(I225-I224),I225)</f>
        <v>-15464</v>
      </c>
      <c r="K225" s="124" t="n">
        <f aca="false">IF(WEEKDAY(A225,3)&gt;4,0,(IF(A225&lt;K$2,0,IF(A225&lt;=K$3,1,0))))</f>
        <v>0</v>
      </c>
      <c r="L225" s="124" t="n">
        <f aca="false">J225*K225</f>
        <v>-0</v>
      </c>
      <c r="M225" s="124" t="n">
        <f aca="false">SUM(J$188:J225)</f>
        <v>-111863</v>
      </c>
      <c r="N225" s="124" t="n">
        <f aca="false">SUM(J$6:J225)</f>
        <v>-376909.56</v>
      </c>
      <c r="P225" s="124" t="n">
        <f aca="false">D225/P$3</f>
        <v>0.0909386460999989</v>
      </c>
      <c r="Q225" s="124" t="n">
        <f aca="false">E225/P$3</f>
        <v>0</v>
      </c>
      <c r="R225" s="124" t="n">
        <f aca="false">F225/R$3</f>
        <v>0</v>
      </c>
      <c r="S225" s="126" t="n">
        <f aca="false">J225/$R$3</f>
        <v>-15.464</v>
      </c>
      <c r="T225" s="126" t="n">
        <f aca="false">L225/$R$3</f>
        <v>-0</v>
      </c>
      <c r="U225" s="126" t="n">
        <f aca="false">I225/$R$3</f>
        <v>-15.628</v>
      </c>
      <c r="V225" s="126" t="n">
        <f aca="false">M225/$R$3</f>
        <v>-111.863</v>
      </c>
      <c r="W225" s="126" t="n">
        <f aca="false">N225/$R$3</f>
        <v>-376.90956</v>
      </c>
    </row>
    <row r="226" customFormat="false" ht="12.75" hidden="true" customHeight="false" outlineLevel="0" collapsed="false">
      <c r="A226" s="120" t="n">
        <f aca="false">A225+1</f>
        <v>37112</v>
      </c>
      <c r="B226" s="131" t="str">
        <f aca="false">INDEX('Master Data'!$A$2:$B$8,MATCH(WEEKDAY('ARG Gas IM'!A226,3),'Master Data'!$A$2:$A$8,0),2)</f>
        <v>Th</v>
      </c>
      <c r="D226" s="124" t="n">
        <v>88253.8427999997</v>
      </c>
      <c r="E226" s="124"/>
      <c r="F226" s="124"/>
      <c r="G226" s="124" t="n">
        <v>-27935</v>
      </c>
      <c r="I226" s="124" t="n">
        <f aca="false">IF(MONTH($A226)=MONTH($A225),IF(G226=0,I225,G226),G226)</f>
        <v>-27935</v>
      </c>
      <c r="J226" s="124" t="n">
        <f aca="false">IF(MONTH($A226)=MONTH($A225),SUM(I226-I225),I226)</f>
        <v>-12307</v>
      </c>
      <c r="K226" s="124" t="n">
        <f aca="false">IF(WEEKDAY(A226,3)&gt;4,0,(IF(A226&lt;K$2,0,IF(A226&lt;=K$3,1,0))))</f>
        <v>0</v>
      </c>
      <c r="L226" s="124" t="n">
        <f aca="false">J226*K226</f>
        <v>-0</v>
      </c>
      <c r="M226" s="124" t="n">
        <f aca="false">SUM(J$188:J226)</f>
        <v>-124170</v>
      </c>
      <c r="N226" s="124" t="n">
        <f aca="false">SUM(J$6:J226)</f>
        <v>-389216.56</v>
      </c>
      <c r="P226" s="124" t="n">
        <f aca="false">D226/P$3</f>
        <v>0.0882538427999997</v>
      </c>
      <c r="Q226" s="124" t="n">
        <f aca="false">E226/P$3</f>
        <v>0</v>
      </c>
      <c r="R226" s="124" t="n">
        <f aca="false">F226/R$3</f>
        <v>0</v>
      </c>
      <c r="S226" s="126" t="n">
        <f aca="false">J226/$R$3</f>
        <v>-12.307</v>
      </c>
      <c r="T226" s="126" t="n">
        <f aca="false">L226/$R$3</f>
        <v>-0</v>
      </c>
      <c r="U226" s="126" t="n">
        <f aca="false">I226/$R$3</f>
        <v>-27.935</v>
      </c>
      <c r="V226" s="126" t="n">
        <f aca="false">M226/$R$3</f>
        <v>-124.17</v>
      </c>
      <c r="W226" s="126" t="n">
        <f aca="false">N226/$R$3</f>
        <v>-389.21656</v>
      </c>
    </row>
    <row r="227" customFormat="false" ht="12.75" hidden="true" customHeight="false" outlineLevel="0" collapsed="false">
      <c r="A227" s="120" t="n">
        <f aca="false">A226+1</f>
        <v>37113</v>
      </c>
      <c r="B227" s="131" t="str">
        <f aca="false">INDEX('Master Data'!$A$2:$B$8,MATCH(WEEKDAY('ARG Gas IM'!A227,3),'Master Data'!$A$2:$A$8,0),2)</f>
        <v>F</v>
      </c>
      <c r="D227" s="124" t="n">
        <v>84136.2333000001</v>
      </c>
      <c r="E227" s="124"/>
      <c r="F227" s="124"/>
      <c r="G227" s="124" t="n">
        <v>-33608</v>
      </c>
      <c r="I227" s="124" t="n">
        <f aca="false">IF(MONTH($A227)=MONTH($A226),IF(G227=0,I226,G227),G227)</f>
        <v>-33608</v>
      </c>
      <c r="J227" s="124" t="n">
        <f aca="false">IF(MONTH($A227)=MONTH($A226),SUM(I227-I226),I227)</f>
        <v>-5673</v>
      </c>
      <c r="K227" s="124" t="n">
        <f aca="false">IF(WEEKDAY(A227,3)&gt;4,0,(IF(A227&lt;K$2,0,IF(A227&lt;=K$3,1,0))))</f>
        <v>0</v>
      </c>
      <c r="L227" s="124" t="n">
        <f aca="false">J227*K227</f>
        <v>-0</v>
      </c>
      <c r="M227" s="124" t="n">
        <f aca="false">SUM(J$188:J227)</f>
        <v>-129843</v>
      </c>
      <c r="N227" s="124" t="n">
        <f aca="false">SUM(J$6:J227)</f>
        <v>-394889.56</v>
      </c>
      <c r="P227" s="124" t="n">
        <f aca="false">D227/P$3</f>
        <v>0.0841362333000001</v>
      </c>
      <c r="Q227" s="124" t="n">
        <f aca="false">E227/P$3</f>
        <v>0</v>
      </c>
      <c r="R227" s="124" t="n">
        <f aca="false">F227/R$3</f>
        <v>0</v>
      </c>
      <c r="S227" s="126" t="n">
        <f aca="false">J227/$R$3</f>
        <v>-5.673</v>
      </c>
      <c r="T227" s="126" t="n">
        <f aca="false">L227/$R$3</f>
        <v>-0</v>
      </c>
      <c r="U227" s="126" t="n">
        <f aca="false">I227/$R$3</f>
        <v>-33.608</v>
      </c>
      <c r="V227" s="126" t="n">
        <f aca="false">M227/$R$3</f>
        <v>-129.843</v>
      </c>
      <c r="W227" s="126" t="n">
        <f aca="false">N227/$R$3</f>
        <v>-394.88956</v>
      </c>
    </row>
    <row r="228" customFormat="false" ht="12.75" hidden="true" customHeight="false" outlineLevel="0" collapsed="false">
      <c r="A228" s="120" t="n">
        <f aca="false">A227+1</f>
        <v>37114</v>
      </c>
      <c r="B228" s="131" t="str">
        <f aca="false">INDEX('Master Data'!$A$2:$B$8,MATCH(WEEKDAY('ARG Gas IM'!A228,3),'Master Data'!$A$2:$A$8,0),2)</f>
        <v>Sa</v>
      </c>
      <c r="D228" s="124"/>
      <c r="E228" s="124"/>
      <c r="F228" s="124"/>
      <c r="G228" s="124"/>
      <c r="I228" s="124" t="n">
        <f aca="false">IF(MONTH($A228)=MONTH($A227),IF(G228=0,I227,G228),G228)</f>
        <v>-33608</v>
      </c>
      <c r="J228" s="124" t="n">
        <f aca="false">IF(MONTH($A228)=MONTH($A227),SUM(I228-I227),I228)</f>
        <v>0</v>
      </c>
      <c r="K228" s="124" t="n">
        <f aca="false">IF(WEEKDAY(A228,3)&gt;4,0,(IF(A228&lt;K$2,0,IF(A228&lt;=K$3,1,0))))</f>
        <v>0</v>
      </c>
      <c r="L228" s="124" t="n">
        <f aca="false">J228*K228</f>
        <v>0</v>
      </c>
      <c r="M228" s="124" t="n">
        <f aca="false">SUM(J$188:J228)</f>
        <v>-129843</v>
      </c>
      <c r="N228" s="124" t="n">
        <f aca="false">SUM(J$6:J228)</f>
        <v>-394889.56</v>
      </c>
      <c r="P228" s="124" t="n">
        <f aca="false">D228/P$3</f>
        <v>0</v>
      </c>
      <c r="Q228" s="124" t="n">
        <f aca="false">E228/P$3</f>
        <v>0</v>
      </c>
      <c r="R228" s="124" t="n">
        <f aca="false">F228/R$3</f>
        <v>0</v>
      </c>
      <c r="S228" s="126" t="n">
        <f aca="false">J228/$R$3</f>
        <v>0</v>
      </c>
      <c r="T228" s="126" t="n">
        <f aca="false">L228/$R$3</f>
        <v>0</v>
      </c>
      <c r="U228" s="126" t="n">
        <f aca="false">I228/$R$3</f>
        <v>-33.608</v>
      </c>
      <c r="V228" s="126" t="n">
        <f aca="false">M228/$R$3</f>
        <v>-129.843</v>
      </c>
      <c r="W228" s="126" t="n">
        <f aca="false">N228/$R$3</f>
        <v>-394.88956</v>
      </c>
    </row>
    <row r="229" customFormat="false" ht="12.75" hidden="true" customHeight="false" outlineLevel="0" collapsed="false">
      <c r="A229" s="120" t="n">
        <f aca="false">A228+1</f>
        <v>37115</v>
      </c>
      <c r="B229" s="131" t="str">
        <f aca="false">INDEX('Master Data'!$A$2:$B$8,MATCH(WEEKDAY('ARG Gas IM'!A229,3),'Master Data'!$A$2:$A$8,0),2)</f>
        <v>Su</v>
      </c>
      <c r="D229" s="124"/>
      <c r="E229" s="124"/>
      <c r="F229" s="124"/>
      <c r="G229" s="124"/>
      <c r="I229" s="124" t="n">
        <f aca="false">IF(MONTH($A229)=MONTH($A228),IF(G229=0,I228,G229),G229)</f>
        <v>-33608</v>
      </c>
      <c r="J229" s="124" t="n">
        <f aca="false">IF(MONTH($A229)=MONTH($A228),SUM(I229-I228),I229)</f>
        <v>0</v>
      </c>
      <c r="K229" s="124" t="n">
        <f aca="false">IF(WEEKDAY(A229,3)&gt;4,0,(IF(A229&lt;K$2,0,IF(A229&lt;=K$3,1,0))))</f>
        <v>0</v>
      </c>
      <c r="L229" s="124" t="n">
        <f aca="false">J229*K229</f>
        <v>0</v>
      </c>
      <c r="M229" s="124" t="n">
        <f aca="false">SUM(J$188:J229)</f>
        <v>-129843</v>
      </c>
      <c r="N229" s="124" t="n">
        <f aca="false">SUM(J$6:J229)</f>
        <v>-394889.56</v>
      </c>
      <c r="P229" s="124" t="n">
        <f aca="false">D229/P$3</f>
        <v>0</v>
      </c>
      <c r="Q229" s="124" t="n">
        <f aca="false">E229/P$3</f>
        <v>0</v>
      </c>
      <c r="R229" s="124" t="n">
        <f aca="false">F229/R$3</f>
        <v>0</v>
      </c>
      <c r="S229" s="126" t="n">
        <f aca="false">J229/$R$3</f>
        <v>0</v>
      </c>
      <c r="T229" s="126" t="n">
        <f aca="false">L229/$R$3</f>
        <v>0</v>
      </c>
      <c r="U229" s="126" t="n">
        <f aca="false">I229/$R$3</f>
        <v>-33.608</v>
      </c>
      <c r="V229" s="126" t="n">
        <f aca="false">M229/$R$3</f>
        <v>-129.843</v>
      </c>
      <c r="W229" s="126" t="n">
        <f aca="false">N229/$R$3</f>
        <v>-394.88956</v>
      </c>
    </row>
    <row r="230" customFormat="false" ht="12.75" hidden="true" customHeight="false" outlineLevel="0" collapsed="false">
      <c r="A230" s="120" t="n">
        <f aca="false">A229+1</f>
        <v>37116</v>
      </c>
      <c r="B230" s="131" t="str">
        <f aca="false">INDEX('Master Data'!$A$2:$B$8,MATCH(WEEKDAY('ARG Gas IM'!A230,3),'Master Data'!$A$2:$A$8,0),2)</f>
        <v>M</v>
      </c>
      <c r="D230" s="124" t="n">
        <v>72546.7772999999</v>
      </c>
      <c r="E230" s="124"/>
      <c r="F230" s="124"/>
      <c r="G230" s="124" t="n">
        <v>-49657</v>
      </c>
      <c r="I230" s="124" t="n">
        <f aca="false">IF(MONTH($A230)=MONTH($A229),IF(G230=0,I229,G230),G230)</f>
        <v>-49657</v>
      </c>
      <c r="J230" s="124" t="n">
        <f aca="false">IF(MONTH($A230)=MONTH($A229),SUM(I230-I229),I230)</f>
        <v>-16049</v>
      </c>
      <c r="K230" s="124" t="n">
        <f aca="false">IF(WEEKDAY(A230,3)&gt;4,0,(IF(A230&lt;K$2,0,IF(A230&lt;=K$3,1,0))))</f>
        <v>0</v>
      </c>
      <c r="L230" s="124" t="n">
        <f aca="false">J230*K230</f>
        <v>-0</v>
      </c>
      <c r="M230" s="124" t="n">
        <f aca="false">SUM(J$188:J230)</f>
        <v>-145892</v>
      </c>
      <c r="N230" s="124" t="n">
        <f aca="false">SUM(J$6:J230)</f>
        <v>-410938.56</v>
      </c>
      <c r="P230" s="124" t="n">
        <f aca="false">D230/P$3</f>
        <v>0.0725467772999999</v>
      </c>
      <c r="Q230" s="124" t="n">
        <f aca="false">E230/P$3</f>
        <v>0</v>
      </c>
      <c r="R230" s="124" t="n">
        <f aca="false">F230/R$3</f>
        <v>0</v>
      </c>
      <c r="S230" s="126" t="n">
        <f aca="false">J230/$R$3</f>
        <v>-16.049</v>
      </c>
      <c r="T230" s="126" t="n">
        <f aca="false">L230/$R$3</f>
        <v>-0</v>
      </c>
      <c r="U230" s="126" t="n">
        <f aca="false">I230/$R$3</f>
        <v>-49.657</v>
      </c>
      <c r="V230" s="126" t="n">
        <f aca="false">M230/$R$3</f>
        <v>-145.892</v>
      </c>
      <c r="W230" s="126" t="n">
        <f aca="false">N230/$R$3</f>
        <v>-410.93856</v>
      </c>
    </row>
    <row r="231" customFormat="false" ht="12.75" hidden="true" customHeight="false" outlineLevel="0" collapsed="false">
      <c r="A231" s="120" t="n">
        <f aca="false">A230+1</f>
        <v>37117</v>
      </c>
      <c r="B231" s="131" t="str">
        <f aca="false">INDEX('Master Data'!$A$2:$B$8,MATCH(WEEKDAY('ARG Gas IM'!A231,3),'Master Data'!$A$2:$A$8,0),2)</f>
        <v>T</v>
      </c>
      <c r="D231" s="124" t="n">
        <v>66475.8689000001</v>
      </c>
      <c r="E231" s="124"/>
      <c r="F231" s="124"/>
      <c r="G231" s="124" t="n">
        <v>-50486</v>
      </c>
      <c r="I231" s="124" t="n">
        <f aca="false">IF(MONTH($A231)=MONTH($A230),IF(G231=0,I230,G231),G231)</f>
        <v>-50486</v>
      </c>
      <c r="J231" s="124" t="n">
        <f aca="false">IF(MONTH($A231)=MONTH($A230),SUM(I231-I230),I231)</f>
        <v>-829</v>
      </c>
      <c r="K231" s="124" t="n">
        <f aca="false">IF(WEEKDAY(A231,3)&gt;4,0,(IF(A231&lt;K$2,0,IF(A231&lt;=K$3,1,0))))</f>
        <v>0</v>
      </c>
      <c r="L231" s="124" t="n">
        <f aca="false">J231*K231</f>
        <v>-0</v>
      </c>
      <c r="M231" s="124" t="n">
        <f aca="false">SUM(J$188:J231)</f>
        <v>-146721</v>
      </c>
      <c r="N231" s="124" t="n">
        <f aca="false">SUM(J$6:J231)</f>
        <v>-411767.56</v>
      </c>
      <c r="P231" s="124" t="n">
        <f aca="false">D231/P$3</f>
        <v>0.0664758689000001</v>
      </c>
      <c r="Q231" s="124" t="n">
        <f aca="false">E231/P$3</f>
        <v>0</v>
      </c>
      <c r="R231" s="124" t="n">
        <f aca="false">F231/R$3</f>
        <v>0</v>
      </c>
      <c r="S231" s="126" t="n">
        <f aca="false">J231/$R$3</f>
        <v>-0.829</v>
      </c>
      <c r="T231" s="126" t="n">
        <f aca="false">L231/$R$3</f>
        <v>-0</v>
      </c>
      <c r="U231" s="126" t="n">
        <f aca="false">I231/$R$3</f>
        <v>-50.486</v>
      </c>
      <c r="V231" s="126" t="n">
        <f aca="false">M231/$R$3</f>
        <v>-146.721</v>
      </c>
      <c r="W231" s="126" t="n">
        <f aca="false">N231/$R$3</f>
        <v>-411.76756</v>
      </c>
    </row>
    <row r="232" customFormat="false" ht="12.75" hidden="true" customHeight="false" outlineLevel="0" collapsed="false">
      <c r="A232" s="120" t="n">
        <f aca="false">A231+1</f>
        <v>37118</v>
      </c>
      <c r="B232" s="131" t="str">
        <f aca="false">INDEX('Master Data'!$A$2:$B$8,MATCH(WEEKDAY('ARG Gas IM'!A232,3),'Master Data'!$A$2:$A$8,0),2)</f>
        <v>W</v>
      </c>
      <c r="D232" s="124" t="n">
        <v>66290.809</v>
      </c>
      <c r="E232" s="124"/>
      <c r="F232" s="124"/>
      <c r="G232" s="124" t="n">
        <v>-53306</v>
      </c>
      <c r="I232" s="124" t="n">
        <f aca="false">IF(MONTH($A232)=MONTH($A231),IF(G232=0,I231,G232),G232)</f>
        <v>-53306</v>
      </c>
      <c r="J232" s="124" t="n">
        <f aca="false">IF(MONTH($A232)=MONTH($A231),SUM(I232-I231),I232)</f>
        <v>-2820</v>
      </c>
      <c r="K232" s="124" t="n">
        <f aca="false">IF(WEEKDAY(A232,3)&gt;4,0,(IF(A232&lt;K$2,0,IF(A232&lt;=K$3,1,0))))</f>
        <v>0</v>
      </c>
      <c r="L232" s="124" t="n">
        <f aca="false">J232*K232</f>
        <v>-0</v>
      </c>
      <c r="M232" s="124" t="n">
        <f aca="false">SUM(J$188:J232)</f>
        <v>-149541</v>
      </c>
      <c r="N232" s="124" t="n">
        <f aca="false">SUM(J$6:J232)</f>
        <v>-414587.56</v>
      </c>
      <c r="P232" s="124" t="n">
        <f aca="false">D232/P$3</f>
        <v>0.066290809</v>
      </c>
      <c r="Q232" s="124" t="n">
        <f aca="false">E232/P$3</f>
        <v>0</v>
      </c>
      <c r="R232" s="124" t="n">
        <f aca="false">F232/R$3</f>
        <v>0</v>
      </c>
      <c r="S232" s="126" t="n">
        <f aca="false">J232/$R$3</f>
        <v>-2.82</v>
      </c>
      <c r="T232" s="126" t="n">
        <f aca="false">L232/$R$3</f>
        <v>-0</v>
      </c>
      <c r="U232" s="126" t="n">
        <f aca="false">I232/$R$3</f>
        <v>-53.306</v>
      </c>
      <c r="V232" s="126" t="n">
        <f aca="false">M232/$R$3</f>
        <v>-149.541</v>
      </c>
      <c r="W232" s="126" t="n">
        <f aca="false">N232/$R$3</f>
        <v>-414.58756</v>
      </c>
    </row>
    <row r="233" customFormat="false" ht="12.75" hidden="true" customHeight="false" outlineLevel="0" collapsed="false">
      <c r="A233" s="120" t="n">
        <f aca="false">A232+1</f>
        <v>37119</v>
      </c>
      <c r="B233" s="131" t="str">
        <f aca="false">INDEX('Master Data'!$A$2:$B$8,MATCH(WEEKDAY('ARG Gas IM'!A233,3),'Master Data'!$A$2:$A$8,0),2)</f>
        <v>Th</v>
      </c>
      <c r="D233" s="124" t="n">
        <v>62501.1134999997</v>
      </c>
      <c r="E233" s="124"/>
      <c r="F233" s="124"/>
      <c r="G233" s="124" t="n">
        <v>-56552</v>
      </c>
      <c r="I233" s="124" t="n">
        <f aca="false">IF(MONTH($A233)=MONTH($A232),IF(G233=0,I232,G233),G233)</f>
        <v>-56552</v>
      </c>
      <c r="J233" s="124" t="n">
        <f aca="false">IF(MONTH($A233)=MONTH($A232),SUM(I233-I232),I233)</f>
        <v>-3246</v>
      </c>
      <c r="K233" s="124" t="n">
        <f aca="false">IF(WEEKDAY(A233,3)&gt;4,0,(IF(A233&lt;K$2,0,IF(A233&lt;=K$3,1,0))))</f>
        <v>0</v>
      </c>
      <c r="L233" s="124" t="n">
        <f aca="false">J233*K233</f>
        <v>-0</v>
      </c>
      <c r="M233" s="124" t="n">
        <f aca="false">SUM(J$188:J233)</f>
        <v>-152787</v>
      </c>
      <c r="N233" s="124" t="n">
        <f aca="false">SUM(J$6:J233)</f>
        <v>-417833.56</v>
      </c>
      <c r="P233" s="124" t="n">
        <f aca="false">D233/P$3</f>
        <v>0.0625011134999997</v>
      </c>
      <c r="Q233" s="124" t="n">
        <f aca="false">E233/P$3</f>
        <v>0</v>
      </c>
      <c r="R233" s="124" t="n">
        <f aca="false">F233/R$3</f>
        <v>0</v>
      </c>
      <c r="S233" s="126" t="n">
        <f aca="false">J233/$R$3</f>
        <v>-3.246</v>
      </c>
      <c r="T233" s="126" t="n">
        <f aca="false">L233/$R$3</f>
        <v>-0</v>
      </c>
      <c r="U233" s="126" t="n">
        <f aca="false">I233/$R$3</f>
        <v>-56.552</v>
      </c>
      <c r="V233" s="126" t="n">
        <f aca="false">M233/$R$3</f>
        <v>-152.787</v>
      </c>
      <c r="W233" s="126" t="n">
        <f aca="false">N233/$R$3</f>
        <v>-417.83356</v>
      </c>
    </row>
    <row r="234" customFormat="false" ht="12.75" hidden="true" customHeight="false" outlineLevel="0" collapsed="false">
      <c r="A234" s="120" t="n">
        <f aca="false">A233+1</f>
        <v>37120</v>
      </c>
      <c r="B234" s="131" t="str">
        <f aca="false">INDEX('Master Data'!$A$2:$B$8,MATCH(WEEKDAY('ARG Gas IM'!A234,3),'Master Data'!$A$2:$A$8,0),2)</f>
        <v>F</v>
      </c>
      <c r="D234" s="124" t="n">
        <v>58342.0487999997</v>
      </c>
      <c r="E234" s="124"/>
      <c r="F234" s="124"/>
      <c r="G234" s="124" t="n">
        <v>-41537</v>
      </c>
      <c r="I234" s="124" t="n">
        <f aca="false">IF(MONTH($A234)=MONTH($A233),IF(G234=0,I233,G234),G234)</f>
        <v>-41537</v>
      </c>
      <c r="J234" s="124" t="n">
        <f aca="false">IF(MONTH($A234)=MONTH($A233),SUM(I234-I233),I234)</f>
        <v>15015</v>
      </c>
      <c r="K234" s="124" t="n">
        <f aca="false">IF(WEEKDAY(A234,3)&gt;4,0,(IF(A234&lt;K$2,0,IF(A234&lt;=K$3,1,0))))</f>
        <v>0</v>
      </c>
      <c r="L234" s="124" t="n">
        <f aca="false">J234*K234</f>
        <v>0</v>
      </c>
      <c r="M234" s="124" t="n">
        <f aca="false">SUM(J$188:J234)</f>
        <v>-137772</v>
      </c>
      <c r="N234" s="124" t="n">
        <f aca="false">SUM(J$6:J234)</f>
        <v>-402818.56</v>
      </c>
      <c r="P234" s="124" t="n">
        <f aca="false">D234/P$3</f>
        <v>0.0583420487999997</v>
      </c>
      <c r="Q234" s="124" t="n">
        <f aca="false">E234/P$3</f>
        <v>0</v>
      </c>
      <c r="R234" s="124" t="n">
        <f aca="false">F234/R$3</f>
        <v>0</v>
      </c>
      <c r="S234" s="126" t="n">
        <f aca="false">J234/$R$3</f>
        <v>15.015</v>
      </c>
      <c r="T234" s="126" t="n">
        <f aca="false">L234/$R$3</f>
        <v>0</v>
      </c>
      <c r="U234" s="126" t="n">
        <f aca="false">I234/$R$3</f>
        <v>-41.537</v>
      </c>
      <c r="V234" s="126" t="n">
        <f aca="false">M234/$R$3</f>
        <v>-137.772</v>
      </c>
      <c r="W234" s="126" t="n">
        <f aca="false">N234/$R$3</f>
        <v>-402.81856</v>
      </c>
    </row>
    <row r="235" customFormat="false" ht="12.75" hidden="true" customHeight="false" outlineLevel="0" collapsed="false">
      <c r="A235" s="120" t="n">
        <f aca="false">A234+1</f>
        <v>37121</v>
      </c>
      <c r="B235" s="131" t="str">
        <f aca="false">INDEX('Master Data'!$A$2:$B$8,MATCH(WEEKDAY('ARG Gas IM'!A235,3),'Master Data'!$A$2:$A$8,0),2)</f>
        <v>Sa</v>
      </c>
      <c r="D235" s="124"/>
      <c r="E235" s="124"/>
      <c r="F235" s="124"/>
      <c r="G235" s="124"/>
      <c r="I235" s="124" t="n">
        <f aca="false">IF(MONTH($A235)=MONTH($A234),IF(G235=0,I234,G235),G235)</f>
        <v>-41537</v>
      </c>
      <c r="J235" s="124" t="n">
        <f aca="false">IF(MONTH($A235)=MONTH($A234),SUM(I235-I234),I235)</f>
        <v>0</v>
      </c>
      <c r="K235" s="124" t="n">
        <f aca="false">IF(WEEKDAY(A235,3)&gt;4,0,(IF(A235&lt;K$2,0,IF(A235&lt;=K$3,1,0))))</f>
        <v>0</v>
      </c>
      <c r="L235" s="124" t="n">
        <f aca="false">J235*K235</f>
        <v>0</v>
      </c>
      <c r="M235" s="124" t="n">
        <f aca="false">SUM(J$188:J235)</f>
        <v>-137772</v>
      </c>
      <c r="N235" s="124" t="n">
        <f aca="false">SUM(J$6:J235)</f>
        <v>-402818.56</v>
      </c>
      <c r="P235" s="124" t="n">
        <f aca="false">D235/P$3</f>
        <v>0</v>
      </c>
      <c r="Q235" s="124" t="n">
        <f aca="false">E235/P$3</f>
        <v>0</v>
      </c>
      <c r="R235" s="124" t="n">
        <f aca="false">F235/R$3</f>
        <v>0</v>
      </c>
      <c r="S235" s="126" t="n">
        <f aca="false">J235/$R$3</f>
        <v>0</v>
      </c>
      <c r="T235" s="126" t="n">
        <f aca="false">L235/$R$3</f>
        <v>0</v>
      </c>
      <c r="U235" s="126" t="n">
        <f aca="false">I235/$R$3</f>
        <v>-41.537</v>
      </c>
      <c r="V235" s="126" t="n">
        <f aca="false">M235/$R$3</f>
        <v>-137.772</v>
      </c>
      <c r="W235" s="126" t="n">
        <f aca="false">N235/$R$3</f>
        <v>-402.81856</v>
      </c>
    </row>
    <row r="236" customFormat="false" ht="12.75" hidden="true" customHeight="false" outlineLevel="0" collapsed="false">
      <c r="A236" s="120" t="n">
        <f aca="false">A235+1</f>
        <v>37122</v>
      </c>
      <c r="B236" s="131" t="str">
        <f aca="false">INDEX('Master Data'!$A$2:$B$8,MATCH(WEEKDAY('ARG Gas IM'!A236,3),'Master Data'!$A$2:$A$8,0),2)</f>
        <v>Su</v>
      </c>
      <c r="D236" s="124"/>
      <c r="E236" s="124"/>
      <c r="F236" s="124"/>
      <c r="G236" s="124"/>
      <c r="I236" s="124" t="n">
        <f aca="false">IF(MONTH($A236)=MONTH($A235),IF(G236=0,I235,G236),G236)</f>
        <v>-41537</v>
      </c>
      <c r="J236" s="124" t="n">
        <f aca="false">IF(MONTH($A236)=MONTH($A235),SUM(I236-I235),I236)</f>
        <v>0</v>
      </c>
      <c r="K236" s="124" t="n">
        <f aca="false">IF(WEEKDAY(A236,3)&gt;4,0,(IF(A236&lt;K$2,0,IF(A236&lt;=K$3,1,0))))</f>
        <v>0</v>
      </c>
      <c r="L236" s="124" t="n">
        <f aca="false">J236*K236</f>
        <v>0</v>
      </c>
      <c r="M236" s="124" t="n">
        <f aca="false">SUM(J$188:J236)</f>
        <v>-137772</v>
      </c>
      <c r="N236" s="124" t="n">
        <f aca="false">SUM(J$6:J236)</f>
        <v>-402818.56</v>
      </c>
      <c r="P236" s="124" t="n">
        <f aca="false">D236/P$3</f>
        <v>0</v>
      </c>
      <c r="Q236" s="124" t="n">
        <f aca="false">E236/P$3</f>
        <v>0</v>
      </c>
      <c r="R236" s="124" t="n">
        <f aca="false">F236/R$3</f>
        <v>0</v>
      </c>
      <c r="S236" s="126" t="n">
        <f aca="false">J236/$R$3</f>
        <v>0</v>
      </c>
      <c r="T236" s="126" t="n">
        <f aca="false">L236/$R$3</f>
        <v>0</v>
      </c>
      <c r="U236" s="126" t="n">
        <f aca="false">I236/$R$3</f>
        <v>-41.537</v>
      </c>
      <c r="V236" s="126" t="n">
        <f aca="false">M236/$R$3</f>
        <v>-137.772</v>
      </c>
      <c r="W236" s="126" t="n">
        <f aca="false">N236/$R$3</f>
        <v>-402.81856</v>
      </c>
    </row>
    <row r="237" customFormat="false" ht="12.75" hidden="true" customHeight="false" outlineLevel="0" collapsed="false">
      <c r="A237" s="120" t="n">
        <f aca="false">A236+1</f>
        <v>37123</v>
      </c>
      <c r="B237" s="131" t="str">
        <f aca="false">INDEX('Master Data'!$A$2:$B$8,MATCH(WEEKDAY('ARG Gas IM'!A237,3),'Master Data'!$A$2:$A$8,0),2)</f>
        <v>M</v>
      </c>
      <c r="D237" s="124" t="n">
        <v>44162.7303000002</v>
      </c>
      <c r="E237" s="124"/>
      <c r="F237" s="124"/>
      <c r="G237" s="124" t="n">
        <v>-59190</v>
      </c>
      <c r="I237" s="124" t="n">
        <f aca="false">IF(MONTH($A237)=MONTH($A236),IF(G237=0,I236,G237),G237)</f>
        <v>-59190</v>
      </c>
      <c r="J237" s="124" t="n">
        <f aca="false">IF(MONTH($A237)=MONTH($A236),SUM(I237-I236),I237)</f>
        <v>-17653</v>
      </c>
      <c r="K237" s="124" t="n">
        <f aca="false">IF(WEEKDAY(A237,3)&gt;4,0,(IF(A237&lt;K$2,0,IF(A237&lt;=K$3,1,0))))</f>
        <v>0</v>
      </c>
      <c r="L237" s="124" t="n">
        <f aca="false">J237*K237</f>
        <v>-0</v>
      </c>
      <c r="M237" s="124" t="n">
        <f aca="false">SUM(J$188:J237)</f>
        <v>-155425</v>
      </c>
      <c r="N237" s="124" t="n">
        <f aca="false">SUM(J$6:J237)</f>
        <v>-420471.56</v>
      </c>
      <c r="P237" s="124" t="n">
        <f aca="false">D237/P$3</f>
        <v>0.0441627303000002</v>
      </c>
      <c r="Q237" s="124" t="n">
        <f aca="false">E237/P$3</f>
        <v>0</v>
      </c>
      <c r="R237" s="124" t="n">
        <f aca="false">F237/R$3</f>
        <v>0</v>
      </c>
      <c r="S237" s="126" t="n">
        <f aca="false">J237/$R$3</f>
        <v>-17.653</v>
      </c>
      <c r="T237" s="126" t="n">
        <f aca="false">L237/$R$3</f>
        <v>-0</v>
      </c>
      <c r="U237" s="126" t="n">
        <f aca="false">I237/$R$3</f>
        <v>-59.19</v>
      </c>
      <c r="V237" s="126" t="n">
        <f aca="false">M237/$R$3</f>
        <v>-155.425</v>
      </c>
      <c r="W237" s="126" t="n">
        <f aca="false">N237/$R$3</f>
        <v>-420.47156</v>
      </c>
    </row>
    <row r="238" customFormat="false" ht="12.75" hidden="true" customHeight="false" outlineLevel="0" collapsed="false">
      <c r="A238" s="120" t="n">
        <f aca="false">A237+1</f>
        <v>37124</v>
      </c>
      <c r="B238" s="131" t="str">
        <f aca="false">INDEX('Master Data'!$A$2:$B$8,MATCH(WEEKDAY('ARG Gas IM'!A238,3),'Master Data'!$A$2:$A$8,0),2)</f>
        <v>T</v>
      </c>
      <c r="D238" s="124" t="n">
        <v>41692.7080000001</v>
      </c>
      <c r="E238" s="124"/>
      <c r="F238" s="124"/>
      <c r="G238" s="124" t="n">
        <v>-64879</v>
      </c>
      <c r="I238" s="124" t="n">
        <f aca="false">IF(MONTH($A238)=MONTH($A237),IF(G238=0,I237,G238),G238)</f>
        <v>-64879</v>
      </c>
      <c r="J238" s="124" t="n">
        <f aca="false">IF(MONTH($A238)=MONTH($A237),SUM(I238-I237),I238)</f>
        <v>-5689</v>
      </c>
      <c r="K238" s="124" t="n">
        <f aca="false">IF(WEEKDAY(A238,3)&gt;4,0,(IF(A238&lt;K$2,0,IF(A238&lt;=K$3,1,0))))</f>
        <v>0</v>
      </c>
      <c r="L238" s="124" t="n">
        <f aca="false">J238*K238</f>
        <v>-0</v>
      </c>
      <c r="M238" s="124" t="n">
        <f aca="false">SUM(J$188:J238)</f>
        <v>-161114</v>
      </c>
      <c r="N238" s="124" t="n">
        <f aca="false">SUM(J$6:J238)</f>
        <v>-426160.56</v>
      </c>
      <c r="P238" s="124" t="n">
        <f aca="false">D238/P$3</f>
        <v>0.0416927080000001</v>
      </c>
      <c r="Q238" s="124" t="n">
        <f aca="false">E238/P$3</f>
        <v>0</v>
      </c>
      <c r="R238" s="124" t="n">
        <f aca="false">F238/R$3</f>
        <v>0</v>
      </c>
      <c r="S238" s="126" t="n">
        <f aca="false">J238/$R$3</f>
        <v>-5.689</v>
      </c>
      <c r="T238" s="126" t="n">
        <f aca="false">L238/$R$3</f>
        <v>-0</v>
      </c>
      <c r="U238" s="126" t="n">
        <f aca="false">I238/$R$3</f>
        <v>-64.879</v>
      </c>
      <c r="V238" s="126" t="n">
        <f aca="false">M238/$R$3</f>
        <v>-161.114</v>
      </c>
      <c r="W238" s="126" t="n">
        <f aca="false">N238/$R$3</f>
        <v>-426.16056</v>
      </c>
    </row>
    <row r="239" customFormat="false" ht="12.75" hidden="true" customHeight="false" outlineLevel="0" collapsed="false">
      <c r="A239" s="120" t="n">
        <f aca="false">A238+1</f>
        <v>37125</v>
      </c>
      <c r="B239" s="131" t="str">
        <f aca="false">INDEX('Master Data'!$A$2:$B$8,MATCH(WEEKDAY('ARG Gas IM'!A239,3),'Master Data'!$A$2:$A$8,0),2)</f>
        <v>W</v>
      </c>
      <c r="D239" s="124" t="n">
        <v>35609.6397</v>
      </c>
      <c r="E239" s="124"/>
      <c r="F239" s="124"/>
      <c r="G239" s="124" t="n">
        <v>-37902</v>
      </c>
      <c r="I239" s="124" t="n">
        <f aca="false">IF(MONTH($A239)=MONTH($A238),IF(G239=0,I238,G239),G239)</f>
        <v>-37902</v>
      </c>
      <c r="J239" s="124" t="n">
        <f aca="false">IF(MONTH($A239)=MONTH($A238),SUM(I239-I238),I239)</f>
        <v>26977</v>
      </c>
      <c r="K239" s="124" t="n">
        <f aca="false">IF(WEEKDAY(A239,3)&gt;4,0,(IF(A239&lt;K$2,0,IF(A239&lt;=K$3,1,0))))</f>
        <v>0</v>
      </c>
      <c r="L239" s="124" t="n">
        <f aca="false">J239*K239</f>
        <v>0</v>
      </c>
      <c r="M239" s="124" t="n">
        <f aca="false">SUM(J$188:J239)</f>
        <v>-134137</v>
      </c>
      <c r="N239" s="124" t="n">
        <f aca="false">SUM(J$6:J239)</f>
        <v>-399183.56</v>
      </c>
      <c r="P239" s="124" t="n">
        <f aca="false">D239/P$3</f>
        <v>0.0356096397</v>
      </c>
      <c r="Q239" s="124" t="n">
        <f aca="false">E239/P$3</f>
        <v>0</v>
      </c>
      <c r="R239" s="124" t="n">
        <f aca="false">F239/R$3</f>
        <v>0</v>
      </c>
      <c r="S239" s="126" t="n">
        <f aca="false">J239/$R$3</f>
        <v>26.977</v>
      </c>
      <c r="T239" s="126" t="n">
        <f aca="false">L239/$R$3</f>
        <v>0</v>
      </c>
      <c r="U239" s="126" t="n">
        <f aca="false">I239/$R$3</f>
        <v>-37.902</v>
      </c>
      <c r="V239" s="126" t="n">
        <f aca="false">M239/$R$3</f>
        <v>-134.137</v>
      </c>
      <c r="W239" s="126" t="n">
        <f aca="false">N239/$R$3</f>
        <v>-399.18356</v>
      </c>
    </row>
    <row r="240" customFormat="false" ht="12.75" hidden="true" customHeight="false" outlineLevel="0" collapsed="false">
      <c r="A240" s="120" t="n">
        <f aca="false">A239+1</f>
        <v>37126</v>
      </c>
      <c r="B240" s="131" t="str">
        <f aca="false">INDEX('Master Data'!$A$2:$B$8,MATCH(WEEKDAY('ARG Gas IM'!A240,3),'Master Data'!$A$2:$A$8,0),2)</f>
        <v>Th</v>
      </c>
      <c r="D240" s="124" t="n">
        <v>33361.0616000001</v>
      </c>
      <c r="E240" s="124"/>
      <c r="F240" s="124"/>
      <c r="G240" s="124" t="n">
        <v>-43386</v>
      </c>
      <c r="I240" s="124" t="n">
        <f aca="false">IF(MONTH($A240)=MONTH($A239),IF(G240=0,I239,G240),G240)</f>
        <v>-43386</v>
      </c>
      <c r="J240" s="124" t="n">
        <f aca="false">IF(MONTH($A240)=MONTH($A239),SUM(I240-I239),I240)</f>
        <v>-5484</v>
      </c>
      <c r="K240" s="124" t="n">
        <f aca="false">IF(WEEKDAY(A240,3)&gt;4,0,(IF(A240&lt;K$2,0,IF(A240&lt;=K$3,1,0))))</f>
        <v>0</v>
      </c>
      <c r="L240" s="124" t="n">
        <f aca="false">J240*K240</f>
        <v>-0</v>
      </c>
      <c r="M240" s="124" t="n">
        <f aca="false">SUM(J$188:J240)</f>
        <v>-139621</v>
      </c>
      <c r="N240" s="124" t="n">
        <f aca="false">SUM(J$6:J240)</f>
        <v>-404667.56</v>
      </c>
      <c r="P240" s="124" t="n">
        <f aca="false">D240/P$3</f>
        <v>0.0333610616000001</v>
      </c>
      <c r="Q240" s="124" t="n">
        <f aca="false">E240/P$3</f>
        <v>0</v>
      </c>
      <c r="R240" s="124" t="n">
        <f aca="false">F240/R$3</f>
        <v>0</v>
      </c>
      <c r="S240" s="126" t="n">
        <f aca="false">J240/$R$3</f>
        <v>-5.484</v>
      </c>
      <c r="T240" s="126" t="n">
        <f aca="false">L240/$R$3</f>
        <v>-0</v>
      </c>
      <c r="U240" s="126" t="n">
        <f aca="false">I240/$R$3</f>
        <v>-43.386</v>
      </c>
      <c r="V240" s="126" t="n">
        <f aca="false">M240/$R$3</f>
        <v>-139.621</v>
      </c>
      <c r="W240" s="126" t="n">
        <f aca="false">N240/$R$3</f>
        <v>-404.66756</v>
      </c>
    </row>
    <row r="241" customFormat="false" ht="12.75" hidden="true" customHeight="false" outlineLevel="0" collapsed="false">
      <c r="A241" s="120" t="n">
        <f aca="false">A240+1</f>
        <v>37127</v>
      </c>
      <c r="B241" s="131" t="str">
        <f aca="false">INDEX('Master Data'!$A$2:$B$8,MATCH(WEEKDAY('ARG Gas IM'!A241,3),'Master Data'!$A$2:$A$8,0),2)</f>
        <v>F</v>
      </c>
      <c r="D241" s="124" t="n">
        <v>19883.5447000001</v>
      </c>
      <c r="E241" s="124"/>
      <c r="F241" s="124"/>
      <c r="G241" s="124" t="n">
        <v>-49391</v>
      </c>
      <c r="I241" s="124" t="n">
        <f aca="false">IF(MONTH($A241)=MONTH($A240),IF(G241=0,I240,G241),G241)</f>
        <v>-49391</v>
      </c>
      <c r="J241" s="124" t="n">
        <f aca="false">IF(MONTH($A241)=MONTH($A240),SUM(I241-I240),I241)</f>
        <v>-6005</v>
      </c>
      <c r="K241" s="124" t="n">
        <f aca="false">IF(WEEKDAY(A241,3)&gt;4,0,(IF(A241&lt;K$2,0,IF(A241&lt;=K$3,1,0))))</f>
        <v>0</v>
      </c>
      <c r="L241" s="124" t="n">
        <f aca="false">J241*K241</f>
        <v>-0</v>
      </c>
      <c r="M241" s="124" t="n">
        <f aca="false">SUM(J$188:J241)</f>
        <v>-145626</v>
      </c>
      <c r="N241" s="124" t="n">
        <f aca="false">SUM(J$6:J241)</f>
        <v>-410672.56</v>
      </c>
      <c r="P241" s="124" t="n">
        <f aca="false">D241/P$3</f>
        <v>0.0198835447000001</v>
      </c>
      <c r="Q241" s="124" t="n">
        <f aca="false">E241/P$3</f>
        <v>0</v>
      </c>
      <c r="R241" s="124" t="n">
        <f aca="false">F241/R$3</f>
        <v>0</v>
      </c>
      <c r="S241" s="126" t="n">
        <f aca="false">J241/$R$3</f>
        <v>-6.005</v>
      </c>
      <c r="T241" s="126" t="n">
        <f aca="false">L241/$R$3</f>
        <v>-0</v>
      </c>
      <c r="U241" s="126" t="n">
        <f aca="false">I241/$R$3</f>
        <v>-49.391</v>
      </c>
      <c r="V241" s="126" t="n">
        <f aca="false">M241/$R$3</f>
        <v>-145.626</v>
      </c>
      <c r="W241" s="126" t="n">
        <f aca="false">N241/$R$3</f>
        <v>-410.67256</v>
      </c>
    </row>
    <row r="242" customFormat="false" ht="12.75" hidden="true" customHeight="false" outlineLevel="0" collapsed="false">
      <c r="A242" s="120" t="n">
        <f aca="false">A241+1</f>
        <v>37128</v>
      </c>
      <c r="B242" s="131" t="str">
        <f aca="false">INDEX('Master Data'!$A$2:$B$8,MATCH(WEEKDAY('ARG Gas IM'!A242,3),'Master Data'!$A$2:$A$8,0),2)</f>
        <v>Sa</v>
      </c>
      <c r="D242" s="124"/>
      <c r="E242" s="124"/>
      <c r="F242" s="124"/>
      <c r="G242" s="124"/>
      <c r="I242" s="124" t="n">
        <f aca="false">IF(MONTH($A242)=MONTH($A241),IF(G242=0,I241,G242),G242)</f>
        <v>-49391</v>
      </c>
      <c r="J242" s="124" t="n">
        <f aca="false">IF(MONTH($A242)=MONTH($A241),SUM(I242-I241),I242)</f>
        <v>0</v>
      </c>
      <c r="K242" s="124" t="n">
        <f aca="false">IF(WEEKDAY(A242,3)&gt;4,0,(IF(A242&lt;K$2,0,IF(A242&lt;=K$3,1,0))))</f>
        <v>0</v>
      </c>
      <c r="L242" s="124" t="n">
        <f aca="false">J242*K242</f>
        <v>0</v>
      </c>
      <c r="M242" s="124" t="n">
        <f aca="false">SUM(J$188:J242)</f>
        <v>-145626</v>
      </c>
      <c r="N242" s="124" t="n">
        <f aca="false">SUM(J$6:J242)</f>
        <v>-410672.56</v>
      </c>
      <c r="P242" s="124" t="n">
        <f aca="false">D242/P$3</f>
        <v>0</v>
      </c>
      <c r="Q242" s="124" t="n">
        <f aca="false">E242/P$3</f>
        <v>0</v>
      </c>
      <c r="R242" s="124" t="n">
        <f aca="false">F242/R$3</f>
        <v>0</v>
      </c>
      <c r="S242" s="126" t="n">
        <f aca="false">J242/$R$3</f>
        <v>0</v>
      </c>
      <c r="T242" s="126" t="n">
        <f aca="false">L242/$R$3</f>
        <v>0</v>
      </c>
      <c r="U242" s="126" t="n">
        <f aca="false">I242/$R$3</f>
        <v>-49.391</v>
      </c>
      <c r="V242" s="126" t="n">
        <f aca="false">M242/$R$3</f>
        <v>-145.626</v>
      </c>
      <c r="W242" s="126" t="n">
        <f aca="false">N242/$R$3</f>
        <v>-410.67256</v>
      </c>
    </row>
    <row r="243" customFormat="false" ht="12.75" hidden="true" customHeight="false" outlineLevel="0" collapsed="false">
      <c r="A243" s="120" t="n">
        <f aca="false">A242+1</f>
        <v>37129</v>
      </c>
      <c r="B243" s="131" t="str">
        <f aca="false">INDEX('Master Data'!$A$2:$B$8,MATCH(WEEKDAY('ARG Gas IM'!A243,3),'Master Data'!$A$2:$A$8,0),2)</f>
        <v>Su</v>
      </c>
      <c r="D243" s="124"/>
      <c r="E243" s="124"/>
      <c r="F243" s="124"/>
      <c r="G243" s="124"/>
      <c r="I243" s="124" t="n">
        <f aca="false">IF(MONTH($A243)=MONTH($A242),IF(G243=0,I242,G243),G243)</f>
        <v>-49391</v>
      </c>
      <c r="J243" s="124" t="n">
        <f aca="false">IF(MONTH($A243)=MONTH($A242),SUM(I243-I242),I243)</f>
        <v>0</v>
      </c>
      <c r="K243" s="124" t="n">
        <f aca="false">IF(WEEKDAY(A243,3)&gt;4,0,(IF(A243&lt;K$2,0,IF(A243&lt;=K$3,1,0))))</f>
        <v>0</v>
      </c>
      <c r="L243" s="124" t="n">
        <f aca="false">J243*K243</f>
        <v>0</v>
      </c>
      <c r="M243" s="124" t="n">
        <f aca="false">SUM(J$188:J243)</f>
        <v>-145626</v>
      </c>
      <c r="N243" s="124" t="n">
        <f aca="false">SUM(J$6:J243)</f>
        <v>-410672.56</v>
      </c>
      <c r="P243" s="124" t="n">
        <f aca="false">D243/P$3</f>
        <v>0</v>
      </c>
      <c r="Q243" s="124" t="n">
        <f aca="false">E243/P$3</f>
        <v>0</v>
      </c>
      <c r="R243" s="124" t="n">
        <f aca="false">F243/R$3</f>
        <v>0</v>
      </c>
      <c r="S243" s="126" t="n">
        <f aca="false">J243/$R$3</f>
        <v>0</v>
      </c>
      <c r="T243" s="126" t="n">
        <f aca="false">L243/$R$3</f>
        <v>0</v>
      </c>
      <c r="U243" s="126" t="n">
        <f aca="false">I243/$R$3</f>
        <v>-49.391</v>
      </c>
      <c r="V243" s="126" t="n">
        <f aca="false">M243/$R$3</f>
        <v>-145.626</v>
      </c>
      <c r="W243" s="126" t="n">
        <f aca="false">N243/$R$3</f>
        <v>-410.67256</v>
      </c>
    </row>
    <row r="244" customFormat="false" ht="12.75" hidden="true" customHeight="false" outlineLevel="0" collapsed="false">
      <c r="A244" s="120" t="n">
        <f aca="false">A243+1</f>
        <v>37130</v>
      </c>
      <c r="B244" s="131" t="str">
        <f aca="false">INDEX('Master Data'!$A$2:$B$8,MATCH(WEEKDAY('ARG Gas IM'!A244,3),'Master Data'!$A$2:$A$8,0),2)</f>
        <v>M</v>
      </c>
      <c r="D244" s="124" t="n">
        <v>16069.3756</v>
      </c>
      <c r="E244" s="124"/>
      <c r="F244" s="124"/>
      <c r="G244" s="124" t="n">
        <v>-81925</v>
      </c>
      <c r="I244" s="124" t="n">
        <f aca="false">IF(MONTH($A244)=MONTH($A243),IF(G244=0,I243,G244),G244)</f>
        <v>-81925</v>
      </c>
      <c r="J244" s="124" t="n">
        <f aca="false">IF(MONTH($A244)=MONTH($A243),SUM(I244-I243),I244)</f>
        <v>-32534</v>
      </c>
      <c r="K244" s="124" t="n">
        <f aca="false">IF(WEEKDAY(A244,3)&gt;4,0,(IF(A244&lt;K$2,0,IF(A244&lt;=K$3,1,0))))</f>
        <v>0</v>
      </c>
      <c r="L244" s="124" t="n">
        <f aca="false">J244*K244</f>
        <v>-0</v>
      </c>
      <c r="M244" s="124" t="n">
        <f aca="false">SUM(J$188:J244)</f>
        <v>-178160</v>
      </c>
      <c r="N244" s="124" t="n">
        <f aca="false">SUM(J$6:J244)</f>
        <v>-443206.56</v>
      </c>
      <c r="P244" s="124" t="n">
        <f aca="false">D244/P$3</f>
        <v>0.0160693756</v>
      </c>
      <c r="Q244" s="124" t="n">
        <f aca="false">E244/P$3</f>
        <v>0</v>
      </c>
      <c r="R244" s="124" t="n">
        <f aca="false">F244/R$3</f>
        <v>0</v>
      </c>
      <c r="S244" s="126" t="n">
        <f aca="false">J244/$R$3</f>
        <v>-32.534</v>
      </c>
      <c r="T244" s="126" t="n">
        <f aca="false">L244/$R$3</f>
        <v>-0</v>
      </c>
      <c r="U244" s="126" t="n">
        <f aca="false">I244/$R$3</f>
        <v>-81.925</v>
      </c>
      <c r="V244" s="126" t="n">
        <f aca="false">M244/$R$3</f>
        <v>-178.16</v>
      </c>
      <c r="W244" s="126" t="n">
        <f aca="false">N244/$R$3</f>
        <v>-443.20656</v>
      </c>
    </row>
    <row r="245" customFormat="false" ht="12.75" hidden="true" customHeight="false" outlineLevel="0" collapsed="false">
      <c r="A245" s="120" t="n">
        <f aca="false">A244+1</f>
        <v>37131</v>
      </c>
      <c r="B245" s="131" t="str">
        <f aca="false">INDEX('Master Data'!$A$2:$B$8,MATCH(WEEKDAY('ARG Gas IM'!A245,3),'Master Data'!$A$2:$A$8,0),2)</f>
        <v>T</v>
      </c>
      <c r="D245" s="124" t="n">
        <v>15185.0076</v>
      </c>
      <c r="E245" s="124"/>
      <c r="F245" s="124"/>
      <c r="G245" s="124" t="n">
        <v>-85424</v>
      </c>
      <c r="I245" s="124" t="n">
        <f aca="false">IF(MONTH($A245)=MONTH($A244),IF(G245=0,I244,G245),G245)</f>
        <v>-85424</v>
      </c>
      <c r="J245" s="124" t="n">
        <f aca="false">IF(MONTH($A245)=MONTH($A244),SUM(I245-I244),I245)</f>
        <v>-3499</v>
      </c>
      <c r="K245" s="124" t="n">
        <f aca="false">IF(WEEKDAY(A245,3)&gt;4,0,(IF(A245&lt;K$2,0,IF(A245&lt;=K$3,1,0))))</f>
        <v>0</v>
      </c>
      <c r="L245" s="124" t="n">
        <f aca="false">J245*K245</f>
        <v>-0</v>
      </c>
      <c r="M245" s="124" t="n">
        <f aca="false">SUM(J$188:J245)</f>
        <v>-181659</v>
      </c>
      <c r="N245" s="124" t="n">
        <f aca="false">SUM(J$6:J245)</f>
        <v>-446705.56</v>
      </c>
      <c r="P245" s="124" t="n">
        <f aca="false">D245/P$3</f>
        <v>0.0151850076</v>
      </c>
      <c r="Q245" s="124" t="n">
        <f aca="false">E245/P$3</f>
        <v>0</v>
      </c>
      <c r="R245" s="124" t="n">
        <f aca="false">F245/R$3</f>
        <v>0</v>
      </c>
      <c r="S245" s="126" t="n">
        <f aca="false">J245/$R$3</f>
        <v>-3.499</v>
      </c>
      <c r="T245" s="126" t="n">
        <f aca="false">L245/$R$3</f>
        <v>-0</v>
      </c>
      <c r="U245" s="126" t="n">
        <f aca="false">I245/$R$3</f>
        <v>-85.424</v>
      </c>
      <c r="V245" s="126" t="n">
        <f aca="false">M245/$R$3</f>
        <v>-181.659</v>
      </c>
      <c r="W245" s="126" t="n">
        <f aca="false">N245/$R$3</f>
        <v>-446.70556</v>
      </c>
    </row>
    <row r="246" customFormat="false" ht="12.75" hidden="true" customHeight="false" outlineLevel="0" collapsed="false">
      <c r="A246" s="120" t="n">
        <f aca="false">A245+1</f>
        <v>37132</v>
      </c>
      <c r="B246" s="131" t="str">
        <f aca="false">INDEX('Master Data'!$A$2:$B$8,MATCH(WEEKDAY('ARG Gas IM'!A246,3),'Master Data'!$A$2:$A$8,0),2)</f>
        <v>W</v>
      </c>
      <c r="D246" s="124" t="n">
        <v>14441.9981</v>
      </c>
      <c r="E246" s="124"/>
      <c r="F246" s="124"/>
      <c r="G246" s="124" t="n">
        <v>-93433</v>
      </c>
      <c r="I246" s="124" t="n">
        <f aca="false">IF(MONTH($A246)=MONTH($A245),IF(G246=0,I245,G246),G246)</f>
        <v>-93433</v>
      </c>
      <c r="J246" s="124" t="n">
        <f aca="false">IF(MONTH($A246)=MONTH($A245),SUM(I246-I245),I246)</f>
        <v>-8009</v>
      </c>
      <c r="K246" s="124" t="n">
        <f aca="false">IF(WEEKDAY(A246,3)&gt;4,0,(IF(A246&lt;K$2,0,IF(A246&lt;=K$3,1,0))))</f>
        <v>0</v>
      </c>
      <c r="L246" s="124" t="n">
        <f aca="false">J246*K246</f>
        <v>-0</v>
      </c>
      <c r="M246" s="124" t="n">
        <f aca="false">SUM(J$188:J246)</f>
        <v>-189668</v>
      </c>
      <c r="N246" s="124" t="n">
        <f aca="false">SUM(J$6:J246)</f>
        <v>-454714.56</v>
      </c>
      <c r="P246" s="124" t="n">
        <f aca="false">D246/P$3</f>
        <v>0.0144419981</v>
      </c>
      <c r="Q246" s="124" t="n">
        <f aca="false">E246/P$3</f>
        <v>0</v>
      </c>
      <c r="R246" s="124" t="n">
        <f aca="false">F246/R$3</f>
        <v>0</v>
      </c>
      <c r="S246" s="126" t="n">
        <f aca="false">J246/$R$3</f>
        <v>-8.009</v>
      </c>
      <c r="T246" s="126" t="n">
        <f aca="false">L246/$R$3</f>
        <v>-0</v>
      </c>
      <c r="U246" s="126" t="n">
        <f aca="false">I246/$R$3</f>
        <v>-93.433</v>
      </c>
      <c r="V246" s="126" t="n">
        <f aca="false">M246/$R$3</f>
        <v>-189.668</v>
      </c>
      <c r="W246" s="126" t="n">
        <f aca="false">N246/$R$3</f>
        <v>-454.71456</v>
      </c>
    </row>
    <row r="247" customFormat="false" ht="12.75" hidden="true" customHeight="false" outlineLevel="0" collapsed="false">
      <c r="A247" s="120" t="n">
        <f aca="false">A246+1</f>
        <v>37133</v>
      </c>
      <c r="B247" s="131" t="str">
        <f aca="false">INDEX('Master Data'!$A$2:$B$8,MATCH(WEEKDAY('ARG Gas IM'!A247,3),'Master Data'!$A$2:$A$8,0),2)</f>
        <v>Th</v>
      </c>
      <c r="D247" s="124" t="n">
        <v>7846.7167</v>
      </c>
      <c r="E247" s="124"/>
      <c r="F247" s="124"/>
      <c r="G247" s="124" t="n">
        <v>-98424</v>
      </c>
      <c r="I247" s="124" t="n">
        <f aca="false">IF(MONTH($A247)=MONTH($A246),IF(G247=0,I246,G247),G247)</f>
        <v>-98424</v>
      </c>
      <c r="J247" s="124" t="n">
        <f aca="false">IF(MONTH($A247)=MONTH($A246),SUM(I247-I246),I247)</f>
        <v>-4991</v>
      </c>
      <c r="K247" s="124" t="n">
        <f aca="false">IF(WEEKDAY(A247,3)&gt;4,0,(IF(A247&lt;K$2,0,IF(A247&lt;=K$3,1,0))))</f>
        <v>0</v>
      </c>
      <c r="L247" s="124" t="n">
        <f aca="false">J247*K247</f>
        <v>-0</v>
      </c>
      <c r="M247" s="124" t="n">
        <f aca="false">SUM(J$188:J247)</f>
        <v>-194659</v>
      </c>
      <c r="N247" s="124" t="n">
        <f aca="false">SUM(J$6:J247)</f>
        <v>-459705.56</v>
      </c>
      <c r="P247" s="124" t="n">
        <f aca="false">D247/P$3</f>
        <v>0.0078467167</v>
      </c>
      <c r="Q247" s="124" t="n">
        <f aca="false">E247/P$3</f>
        <v>0</v>
      </c>
      <c r="R247" s="124" t="n">
        <f aca="false">F247/R$3</f>
        <v>0</v>
      </c>
      <c r="S247" s="126" t="n">
        <f aca="false">J247/$R$3</f>
        <v>-4.991</v>
      </c>
      <c r="T247" s="126" t="n">
        <f aca="false">L247/$R$3</f>
        <v>-0</v>
      </c>
      <c r="U247" s="126" t="n">
        <f aca="false">I247/$R$3</f>
        <v>-98.424</v>
      </c>
      <c r="V247" s="126" t="n">
        <f aca="false">M247/$R$3</f>
        <v>-194.659</v>
      </c>
      <c r="W247" s="126" t="n">
        <f aca="false">N247/$R$3</f>
        <v>-459.70556</v>
      </c>
    </row>
    <row r="248" customFormat="false" ht="12.75" hidden="false" customHeight="false" outlineLevel="0" collapsed="false">
      <c r="A248" s="120" t="n">
        <f aca="false">A247+1</f>
        <v>37134</v>
      </c>
      <c r="B248" s="131" t="str">
        <f aca="false">INDEX('Master Data'!$A$2:$B$8,MATCH(WEEKDAY('ARG Gas IM'!A248,3),'Master Data'!$A$2:$A$8,0),2)</f>
        <v>F</v>
      </c>
      <c r="D248" s="124" t="n">
        <v>77361.972</v>
      </c>
      <c r="E248" s="124"/>
      <c r="F248" s="124"/>
      <c r="G248" s="124" t="n">
        <v>-110804</v>
      </c>
      <c r="I248" s="124" t="n">
        <f aca="false">IF(MONTH($A248)=MONTH($A247),IF(G248=0,I247,G248),G248)</f>
        <v>-110804</v>
      </c>
      <c r="J248" s="124" t="n">
        <f aca="false">IF(MONTH($A248)=MONTH($A247),SUM(I248-I247),I248)</f>
        <v>-12380</v>
      </c>
      <c r="K248" s="124" t="n">
        <f aca="false">IF(WEEKDAY(A248,3)&gt;4,0,(IF(A248&lt;K$2,0,IF(A248&lt;=K$3,1,0))))</f>
        <v>0</v>
      </c>
      <c r="L248" s="124" t="n">
        <f aca="false">J248*K248</f>
        <v>-0</v>
      </c>
      <c r="M248" s="124" t="n">
        <f aca="false">SUM(J$188:J248)</f>
        <v>-207039</v>
      </c>
      <c r="N248" s="124" t="n">
        <f aca="false">SUM(J$6:J248)</f>
        <v>-472085.56</v>
      </c>
      <c r="P248" s="124" t="n">
        <f aca="false">D248/P$3</f>
        <v>0.077361972</v>
      </c>
      <c r="Q248" s="124" t="n">
        <f aca="false">E248/P$3</f>
        <v>0</v>
      </c>
      <c r="R248" s="124" t="n">
        <f aca="false">F248/R$3</f>
        <v>0</v>
      </c>
      <c r="S248" s="126" t="n">
        <f aca="false">J248/$R$3</f>
        <v>-12.38</v>
      </c>
      <c r="T248" s="126" t="n">
        <f aca="false">L248/$R$3</f>
        <v>-0</v>
      </c>
      <c r="U248" s="126" t="n">
        <f aca="false">I248/$R$3</f>
        <v>-110.804</v>
      </c>
      <c r="V248" s="126" t="n">
        <f aca="false">M248/$R$3</f>
        <v>-207.039</v>
      </c>
      <c r="W248" s="126" t="n">
        <f aca="false">N248/$R$3</f>
        <v>-472.08556</v>
      </c>
    </row>
    <row r="249" customFormat="false" ht="12.75" hidden="true" customHeight="false" outlineLevel="0" collapsed="false">
      <c r="A249" s="120" t="n">
        <f aca="false">A248+1</f>
        <v>37135</v>
      </c>
      <c r="B249" s="131" t="str">
        <f aca="false">INDEX('Master Data'!$A$2:$B$8,MATCH(WEEKDAY('ARG Gas IM'!A249,3),'Master Data'!$A$2:$A$8,0),2)</f>
        <v>Sa</v>
      </c>
      <c r="D249" s="124"/>
      <c r="E249" s="124"/>
      <c r="F249" s="124"/>
      <c r="G249" s="124"/>
      <c r="I249" s="124" t="n">
        <f aca="false">IF(MONTH($A249)=MONTH($A248),IF(G249=0,I248,G249),G249)</f>
        <v>0</v>
      </c>
      <c r="J249" s="124" t="n">
        <f aca="false">IF(MONTH($A249)=MONTH($A248),SUM(I249-I248),I249)</f>
        <v>0</v>
      </c>
      <c r="K249" s="124" t="n">
        <f aca="false">IF(WEEKDAY(A249,3)&gt;4,0,(IF(A249&lt;K$2,0,IF(A249&lt;=K$3,1,0))))</f>
        <v>0</v>
      </c>
      <c r="L249" s="124" t="n">
        <f aca="false">J249*K249</f>
        <v>0</v>
      </c>
      <c r="M249" s="124" t="n">
        <f aca="false">SUM(J$188:J249)</f>
        <v>-207039</v>
      </c>
      <c r="N249" s="124" t="n">
        <f aca="false">SUM(J$6:J249)</f>
        <v>-472085.56</v>
      </c>
      <c r="P249" s="124" t="n">
        <f aca="false">D249/P$3</f>
        <v>0</v>
      </c>
      <c r="Q249" s="124" t="n">
        <f aca="false">E249/P$3</f>
        <v>0</v>
      </c>
      <c r="R249" s="124" t="n">
        <f aca="false">F249/R$3</f>
        <v>0</v>
      </c>
      <c r="S249" s="126" t="n">
        <f aca="false">J249/$R$3</f>
        <v>0</v>
      </c>
      <c r="T249" s="126" t="n">
        <f aca="false">L249/$R$3</f>
        <v>0</v>
      </c>
      <c r="U249" s="126" t="n">
        <f aca="false">I249/$R$3</f>
        <v>0</v>
      </c>
      <c r="V249" s="126" t="n">
        <f aca="false">M249/$R$3</f>
        <v>-207.039</v>
      </c>
      <c r="W249" s="126" t="n">
        <f aca="false">N249/$R$3</f>
        <v>-472.08556</v>
      </c>
    </row>
    <row r="250" customFormat="false" ht="12.75" hidden="true" customHeight="false" outlineLevel="0" collapsed="false">
      <c r="A250" s="120" t="n">
        <f aca="false">A249+1</f>
        <v>37136</v>
      </c>
      <c r="B250" s="131" t="str">
        <f aca="false">INDEX('Master Data'!$A$2:$B$8,MATCH(WEEKDAY('ARG Gas IM'!A250,3),'Master Data'!$A$2:$A$8,0),2)</f>
        <v>Su</v>
      </c>
      <c r="D250" s="124"/>
      <c r="E250" s="124"/>
      <c r="F250" s="124"/>
      <c r="G250" s="124"/>
      <c r="I250" s="124" t="n">
        <f aca="false">IF(MONTH($A250)=MONTH($A249),IF(G250=0,I249,G250),G250)</f>
        <v>0</v>
      </c>
      <c r="J250" s="124" t="n">
        <f aca="false">IF(MONTH($A250)=MONTH($A249),SUM(I250-I249),I250)</f>
        <v>0</v>
      </c>
      <c r="K250" s="124" t="n">
        <f aca="false">IF(WEEKDAY(A250,3)&gt;4,0,(IF(A250&lt;K$2,0,IF(A250&lt;=K$3,1,0))))</f>
        <v>0</v>
      </c>
      <c r="L250" s="124" t="n">
        <f aca="false">J250*K250</f>
        <v>0</v>
      </c>
      <c r="M250" s="124" t="n">
        <f aca="false">SUM(J$188:J250)</f>
        <v>-207039</v>
      </c>
      <c r="N250" s="124" t="n">
        <f aca="false">SUM(J$6:J250)</f>
        <v>-472085.56</v>
      </c>
      <c r="P250" s="124" t="n">
        <f aca="false">D250/P$3</f>
        <v>0</v>
      </c>
      <c r="Q250" s="124" t="n">
        <f aca="false">E250/P$3</f>
        <v>0</v>
      </c>
      <c r="R250" s="124" t="n">
        <f aca="false">F250/R$3</f>
        <v>0</v>
      </c>
      <c r="S250" s="126" t="n">
        <f aca="false">J250/$R$3</f>
        <v>0</v>
      </c>
      <c r="T250" s="126" t="n">
        <f aca="false">L250/$R$3</f>
        <v>0</v>
      </c>
      <c r="U250" s="126" t="n">
        <f aca="false">I250/$R$3</f>
        <v>0</v>
      </c>
      <c r="V250" s="126" t="n">
        <f aca="false">M250/$R$3</f>
        <v>-207.039</v>
      </c>
      <c r="W250" s="126" t="n">
        <f aca="false">N250/$R$3</f>
        <v>-472.08556</v>
      </c>
    </row>
    <row r="251" customFormat="false" ht="12.75" hidden="true" customHeight="false" outlineLevel="0" collapsed="false">
      <c r="A251" s="120" t="n">
        <f aca="false">A250+1</f>
        <v>37137</v>
      </c>
      <c r="B251" s="131" t="str">
        <f aca="false">INDEX('Master Data'!$A$2:$B$8,MATCH(WEEKDAY('ARG Gas IM'!A251,3),'Master Data'!$A$2:$A$8,0),2)</f>
        <v>M</v>
      </c>
      <c r="D251" s="124"/>
      <c r="E251" s="124"/>
      <c r="F251" s="124"/>
      <c r="G251" s="124"/>
      <c r="I251" s="124" t="n">
        <f aca="false">IF(MONTH($A251)=MONTH($A250),IF(G251=0,I250,G251),G251)</f>
        <v>0</v>
      </c>
      <c r="J251" s="124" t="n">
        <f aca="false">IF(MONTH($A251)=MONTH($A250),SUM(I251-I250),I251)</f>
        <v>0</v>
      </c>
      <c r="K251" s="124" t="n">
        <f aca="false">IF(WEEKDAY(A251,3)&gt;4,0,(IF(A251&lt;K$2,0,IF(A251&lt;=K$3,1,0))))</f>
        <v>0</v>
      </c>
      <c r="L251" s="124" t="n">
        <f aca="false">J251*K251</f>
        <v>0</v>
      </c>
      <c r="M251" s="124" t="n">
        <f aca="false">SUM(J$188:J251)</f>
        <v>-207039</v>
      </c>
      <c r="N251" s="124" t="n">
        <f aca="false">SUM(J$6:J251)</f>
        <v>-472085.56</v>
      </c>
      <c r="P251" s="124" t="n">
        <f aca="false">D251/P$3</f>
        <v>0</v>
      </c>
      <c r="Q251" s="124" t="n">
        <f aca="false">E251/P$3</f>
        <v>0</v>
      </c>
      <c r="R251" s="124" t="n">
        <f aca="false">F251/R$3</f>
        <v>0</v>
      </c>
      <c r="S251" s="126" t="n">
        <f aca="false">J251/$R$3</f>
        <v>0</v>
      </c>
      <c r="T251" s="126" t="n">
        <f aca="false">L251/$R$3</f>
        <v>0</v>
      </c>
      <c r="U251" s="126" t="n">
        <f aca="false">I251/$R$3</f>
        <v>0</v>
      </c>
      <c r="V251" s="126" t="n">
        <f aca="false">M251/$R$3</f>
        <v>-207.039</v>
      </c>
      <c r="W251" s="126" t="n">
        <f aca="false">N251/$R$3</f>
        <v>-472.08556</v>
      </c>
    </row>
    <row r="252" customFormat="false" ht="12.75" hidden="true" customHeight="false" outlineLevel="0" collapsed="false">
      <c r="A252" s="120" t="n">
        <f aca="false">A251+1</f>
        <v>37138</v>
      </c>
      <c r="B252" s="131" t="str">
        <f aca="false">INDEX('Master Data'!$A$2:$B$8,MATCH(WEEKDAY('ARG Gas IM'!A252,3),'Master Data'!$A$2:$A$8,0),2)</f>
        <v>T</v>
      </c>
      <c r="D252" s="124" t="n">
        <v>67076.3885</v>
      </c>
      <c r="E252" s="124"/>
      <c r="F252" s="124"/>
      <c r="G252" s="124" t="n">
        <v>-7113</v>
      </c>
      <c r="I252" s="124" t="n">
        <f aca="false">IF(MONTH($A252)=MONTH($A251),IF(G252=0,I251,G252),G252)</f>
        <v>-7113</v>
      </c>
      <c r="J252" s="124" t="n">
        <f aca="false">IF(MONTH($A252)=MONTH($A251),SUM(I252-I251),I252)</f>
        <v>-7113</v>
      </c>
      <c r="K252" s="124" t="n">
        <f aca="false">IF(WEEKDAY(A252,3)&gt;4,0,(IF(A252&lt;K$2,0,IF(A252&lt;=K$3,1,0))))</f>
        <v>0</v>
      </c>
      <c r="L252" s="124" t="n">
        <f aca="false">J252*K252</f>
        <v>-0</v>
      </c>
      <c r="M252" s="124" t="n">
        <f aca="false">SUM(J$188:J252)</f>
        <v>-214152</v>
      </c>
      <c r="N252" s="124" t="n">
        <f aca="false">SUM(J$6:J252)</f>
        <v>-479198.56</v>
      </c>
      <c r="P252" s="124" t="n">
        <f aca="false">D252/P$3</f>
        <v>0.0670763885</v>
      </c>
      <c r="Q252" s="124" t="n">
        <f aca="false">E252/P$3</f>
        <v>0</v>
      </c>
      <c r="R252" s="124" t="n">
        <f aca="false">F252/R$3</f>
        <v>0</v>
      </c>
      <c r="S252" s="126" t="n">
        <f aca="false">J252/$R$3</f>
        <v>-7.113</v>
      </c>
      <c r="T252" s="126" t="n">
        <f aca="false">L252/$R$3</f>
        <v>-0</v>
      </c>
      <c r="U252" s="126" t="n">
        <f aca="false">I252/$R$3</f>
        <v>-7.113</v>
      </c>
      <c r="V252" s="126" t="n">
        <f aca="false">M252/$R$3</f>
        <v>-214.152</v>
      </c>
      <c r="W252" s="126" t="n">
        <f aca="false">N252/$R$3</f>
        <v>-479.19856</v>
      </c>
    </row>
    <row r="253" customFormat="false" ht="12.75" hidden="true" customHeight="false" outlineLevel="0" collapsed="false">
      <c r="A253" s="120" t="n">
        <f aca="false">A252+1</f>
        <v>37139</v>
      </c>
      <c r="B253" s="131" t="str">
        <f aca="false">INDEX('Master Data'!$A$2:$B$8,MATCH(WEEKDAY('ARG Gas IM'!A253,3),'Master Data'!$A$2:$A$8,0),2)</f>
        <v>W</v>
      </c>
      <c r="D253" s="124" t="n">
        <v>66522.4325</v>
      </c>
      <c r="E253" s="124"/>
      <c r="F253" s="124"/>
      <c r="G253" s="124" t="n">
        <v>-6168</v>
      </c>
      <c r="I253" s="124" t="n">
        <f aca="false">IF(MONTH($A253)=MONTH($A252),IF(G253=0,I252,G253),G253)</f>
        <v>-6168</v>
      </c>
      <c r="J253" s="124" t="n">
        <f aca="false">IF(MONTH($A253)=MONTH($A252),SUM(I253-I252),I253)</f>
        <v>945</v>
      </c>
      <c r="K253" s="124" t="n">
        <f aca="false">IF(WEEKDAY(A253,3)&gt;4,0,(IF(A253&lt;K$2,0,IF(A253&lt;=K$3,1,0))))</f>
        <v>0</v>
      </c>
      <c r="L253" s="124" t="n">
        <f aca="false">J253*K253</f>
        <v>0</v>
      </c>
      <c r="M253" s="124" t="n">
        <f aca="false">SUM(J$188:J253)</f>
        <v>-213207</v>
      </c>
      <c r="N253" s="124" t="n">
        <f aca="false">SUM(J$6:J253)</f>
        <v>-478253.56</v>
      </c>
      <c r="P253" s="124" t="n">
        <f aca="false">D253/P$3</f>
        <v>0.0665224325</v>
      </c>
      <c r="Q253" s="124" t="n">
        <f aca="false">E253/P$3</f>
        <v>0</v>
      </c>
      <c r="R253" s="124" t="n">
        <f aca="false">F253/R$3</f>
        <v>0</v>
      </c>
      <c r="S253" s="126" t="n">
        <f aca="false">J253/$R$3</f>
        <v>0.945</v>
      </c>
      <c r="T253" s="126" t="n">
        <f aca="false">L253/$R$3</f>
        <v>0</v>
      </c>
      <c r="U253" s="126" t="n">
        <f aca="false">I253/$R$3</f>
        <v>-6.168</v>
      </c>
      <c r="V253" s="126" t="n">
        <f aca="false">M253/$R$3</f>
        <v>-213.207</v>
      </c>
      <c r="W253" s="126" t="n">
        <f aca="false">N253/$R$3</f>
        <v>-478.25356</v>
      </c>
    </row>
    <row r="254" customFormat="false" ht="12.75" hidden="true" customHeight="false" outlineLevel="0" collapsed="false">
      <c r="A254" s="120" t="n">
        <f aca="false">A253+1</f>
        <v>37140</v>
      </c>
      <c r="B254" s="131" t="str">
        <f aca="false">INDEX('Master Data'!$A$2:$B$8,MATCH(WEEKDAY('ARG Gas IM'!A254,3),'Master Data'!$A$2:$A$8,0),2)</f>
        <v>Th</v>
      </c>
      <c r="D254" s="124" t="n">
        <v>-155832.5748</v>
      </c>
      <c r="E254" s="124"/>
      <c r="F254" s="124"/>
      <c r="G254" s="124" t="n">
        <v>-7270</v>
      </c>
      <c r="I254" s="124" t="n">
        <f aca="false">IF(MONTH($A254)=MONTH($A253),IF(G254=0,I253,G254),G254)</f>
        <v>-7270</v>
      </c>
      <c r="J254" s="124" t="n">
        <f aca="false">IF(MONTH($A254)=MONTH($A253),SUM(I254-I253),I254)</f>
        <v>-1102</v>
      </c>
      <c r="K254" s="124" t="n">
        <f aca="false">IF(WEEKDAY(A254,3)&gt;4,0,(IF(A254&lt;K$2,0,IF(A254&lt;=K$3,1,0))))</f>
        <v>0</v>
      </c>
      <c r="L254" s="124" t="n">
        <f aca="false">J254*K254</f>
        <v>-0</v>
      </c>
      <c r="M254" s="124" t="n">
        <f aca="false">SUM(J$188:J254)</f>
        <v>-214309</v>
      </c>
      <c r="N254" s="124" t="n">
        <f aca="false">SUM(J$6:J254)</f>
        <v>-479355.56</v>
      </c>
      <c r="P254" s="124" t="n">
        <f aca="false">D254/P$3</f>
        <v>-0.1558325748</v>
      </c>
      <c r="Q254" s="124" t="n">
        <f aca="false">E254/P$3</f>
        <v>0</v>
      </c>
      <c r="R254" s="124" t="n">
        <f aca="false">F254/R$3</f>
        <v>0</v>
      </c>
      <c r="S254" s="126" t="n">
        <f aca="false">J254/$R$3</f>
        <v>-1.102</v>
      </c>
      <c r="T254" s="126" t="n">
        <f aca="false">L254/$R$3</f>
        <v>-0</v>
      </c>
      <c r="U254" s="126" t="n">
        <f aca="false">I254/$R$3</f>
        <v>-7.27</v>
      </c>
      <c r="V254" s="126" t="n">
        <f aca="false">M254/$R$3</f>
        <v>-214.309</v>
      </c>
      <c r="W254" s="126" t="n">
        <f aca="false">N254/$R$3</f>
        <v>-479.35556</v>
      </c>
    </row>
    <row r="255" customFormat="false" ht="12.75" hidden="true" customHeight="false" outlineLevel="0" collapsed="false">
      <c r="A255" s="120" t="n">
        <f aca="false">A254+1</f>
        <v>37141</v>
      </c>
      <c r="B255" s="131" t="str">
        <f aca="false">INDEX('Master Data'!$A$2:$B$8,MATCH(WEEKDAY('ARG Gas IM'!A255,3),'Master Data'!$A$2:$A$8,0),2)</f>
        <v>F</v>
      </c>
      <c r="D255" s="124" t="n">
        <v>-157021.883</v>
      </c>
      <c r="E255" s="124"/>
      <c r="F255" s="124"/>
      <c r="G255" s="124" t="n">
        <v>-7916</v>
      </c>
      <c r="I255" s="124" t="n">
        <f aca="false">IF(MONTH($A255)=MONTH($A254),IF(G255=0,I254,G255),G255)</f>
        <v>-7916</v>
      </c>
      <c r="J255" s="124" t="n">
        <f aca="false">IF(MONTH($A255)=MONTH($A254),SUM(I255-I254),I255)</f>
        <v>-646</v>
      </c>
      <c r="K255" s="124" t="n">
        <f aca="false">IF(WEEKDAY(A255,3)&gt;4,0,(IF(A255&lt;K$2,0,IF(A255&lt;=K$3,1,0))))</f>
        <v>0</v>
      </c>
      <c r="L255" s="124" t="n">
        <f aca="false">J255*K255</f>
        <v>-0</v>
      </c>
      <c r="M255" s="124" t="n">
        <f aca="false">SUM(J$188:J255)</f>
        <v>-214955</v>
      </c>
      <c r="N255" s="124" t="n">
        <f aca="false">SUM(J$6:J255)</f>
        <v>-480001.56</v>
      </c>
      <c r="P255" s="124" t="n">
        <f aca="false">D255/P$3</f>
        <v>-0.157021883</v>
      </c>
      <c r="Q255" s="124" t="n">
        <f aca="false">E255/P$3</f>
        <v>0</v>
      </c>
      <c r="R255" s="124" t="n">
        <f aca="false">F255/R$3</f>
        <v>0</v>
      </c>
      <c r="S255" s="126" t="n">
        <f aca="false">J255/$R$3</f>
        <v>-0.646</v>
      </c>
      <c r="T255" s="126" t="n">
        <f aca="false">L255/$R$3</f>
        <v>-0</v>
      </c>
      <c r="U255" s="126" t="n">
        <f aca="false">I255/$R$3</f>
        <v>-7.916</v>
      </c>
      <c r="V255" s="126" t="n">
        <f aca="false">M255/$R$3</f>
        <v>-214.955</v>
      </c>
      <c r="W255" s="126" t="n">
        <f aca="false">N255/$R$3</f>
        <v>-480.00156</v>
      </c>
    </row>
    <row r="256" customFormat="false" ht="12.75" hidden="true" customHeight="false" outlineLevel="0" collapsed="false">
      <c r="A256" s="120" t="n">
        <f aca="false">A255+1</f>
        <v>37142</v>
      </c>
      <c r="B256" s="131" t="str">
        <f aca="false">INDEX('Master Data'!$A$2:$B$8,MATCH(WEEKDAY('ARG Gas IM'!A256,3),'Master Data'!$A$2:$A$8,0),2)</f>
        <v>Sa</v>
      </c>
      <c r="D256" s="124"/>
      <c r="E256" s="124"/>
      <c r="F256" s="124"/>
      <c r="G256" s="124"/>
      <c r="I256" s="124" t="n">
        <f aca="false">IF(MONTH($A256)=MONTH($A255),IF(G256=0,I255,G256),G256)</f>
        <v>-7916</v>
      </c>
      <c r="J256" s="124" t="n">
        <f aca="false">IF(MONTH($A256)=MONTH($A255),SUM(I256-I255),I256)</f>
        <v>0</v>
      </c>
      <c r="K256" s="124" t="n">
        <f aca="false">IF(WEEKDAY(A256,3)&gt;4,0,(IF(A256&lt;K$2,0,IF(A256&lt;=K$3,1,0))))</f>
        <v>0</v>
      </c>
      <c r="L256" s="124" t="n">
        <f aca="false">J256*K256</f>
        <v>0</v>
      </c>
      <c r="M256" s="124" t="n">
        <f aca="false">SUM(J$188:J256)</f>
        <v>-214955</v>
      </c>
      <c r="N256" s="124" t="n">
        <f aca="false">SUM(J$6:J256)</f>
        <v>-480001.56</v>
      </c>
      <c r="P256" s="124" t="n">
        <f aca="false">D256/P$3</f>
        <v>0</v>
      </c>
      <c r="Q256" s="124" t="n">
        <f aca="false">E256/P$3</f>
        <v>0</v>
      </c>
      <c r="R256" s="124" t="n">
        <f aca="false">F256/R$3</f>
        <v>0</v>
      </c>
      <c r="S256" s="126" t="n">
        <f aca="false">J256/$R$3</f>
        <v>0</v>
      </c>
      <c r="T256" s="126" t="n">
        <f aca="false">L256/$R$3</f>
        <v>0</v>
      </c>
      <c r="U256" s="126" t="n">
        <f aca="false">I256/$R$3</f>
        <v>-7.916</v>
      </c>
      <c r="V256" s="126" t="n">
        <f aca="false">M256/$R$3</f>
        <v>-214.955</v>
      </c>
      <c r="W256" s="126" t="n">
        <f aca="false">N256/$R$3</f>
        <v>-480.00156</v>
      </c>
    </row>
    <row r="257" customFormat="false" ht="12.75" hidden="true" customHeight="false" outlineLevel="0" collapsed="false">
      <c r="A257" s="120" t="n">
        <f aca="false">A256+1</f>
        <v>37143</v>
      </c>
      <c r="B257" s="131" t="str">
        <f aca="false">INDEX('Master Data'!$A$2:$B$8,MATCH(WEEKDAY('ARG Gas IM'!A257,3),'Master Data'!$A$2:$A$8,0),2)</f>
        <v>Su</v>
      </c>
      <c r="D257" s="124"/>
      <c r="E257" s="124"/>
      <c r="F257" s="124"/>
      <c r="G257" s="124"/>
      <c r="I257" s="124" t="n">
        <f aca="false">IF(MONTH($A257)=MONTH($A256),IF(G257=0,I256,G257),G257)</f>
        <v>-7916</v>
      </c>
      <c r="J257" s="124" t="n">
        <f aca="false">IF(MONTH($A257)=MONTH($A256),SUM(I257-I256),I257)</f>
        <v>0</v>
      </c>
      <c r="K257" s="124" t="n">
        <f aca="false">IF(WEEKDAY(A257,3)&gt;4,0,(IF(A257&lt;K$2,0,IF(A257&lt;=K$3,1,0))))</f>
        <v>0</v>
      </c>
      <c r="L257" s="124" t="n">
        <f aca="false">J257*K257</f>
        <v>0</v>
      </c>
      <c r="M257" s="124" t="n">
        <f aca="false">SUM(J$188:J257)</f>
        <v>-214955</v>
      </c>
      <c r="N257" s="124" t="n">
        <f aca="false">SUM(J$6:J257)</f>
        <v>-480001.56</v>
      </c>
      <c r="P257" s="124" t="n">
        <f aca="false">D257/P$3</f>
        <v>0</v>
      </c>
      <c r="Q257" s="124" t="n">
        <f aca="false">E257/P$3</f>
        <v>0</v>
      </c>
      <c r="R257" s="124" t="n">
        <f aca="false">F257/R$3</f>
        <v>0</v>
      </c>
      <c r="S257" s="126" t="n">
        <f aca="false">J257/$R$3</f>
        <v>0</v>
      </c>
      <c r="T257" s="126" t="n">
        <f aca="false">L257/$R$3</f>
        <v>0</v>
      </c>
      <c r="U257" s="126" t="n">
        <f aca="false">I257/$R$3</f>
        <v>-7.916</v>
      </c>
      <c r="V257" s="126" t="n">
        <f aca="false">M257/$R$3</f>
        <v>-214.955</v>
      </c>
      <c r="W257" s="126" t="n">
        <f aca="false">N257/$R$3</f>
        <v>-480.00156</v>
      </c>
    </row>
    <row r="258" customFormat="false" ht="12.75" hidden="true" customHeight="false" outlineLevel="0" collapsed="false">
      <c r="A258" s="120" t="n">
        <f aca="false">A257+1</f>
        <v>37144</v>
      </c>
      <c r="B258" s="131" t="str">
        <f aca="false">INDEX('Master Data'!$A$2:$B$8,MATCH(WEEKDAY('ARG Gas IM'!A258,3),'Master Data'!$A$2:$A$8,0),2)</f>
        <v>M</v>
      </c>
      <c r="D258" s="124" t="n">
        <v>-123977.5868</v>
      </c>
      <c r="E258" s="124"/>
      <c r="F258" s="124"/>
      <c r="G258" s="124" t="n">
        <v>53957</v>
      </c>
      <c r="I258" s="124" t="n">
        <f aca="false">IF(MONTH($A258)=MONTH($A257),IF(G258=0,I257,G258),G258)</f>
        <v>53957</v>
      </c>
      <c r="J258" s="124" t="n">
        <f aca="false">IF(MONTH($A258)=MONTH($A257),SUM(I258-I257),I258)</f>
        <v>61873</v>
      </c>
      <c r="K258" s="124" t="n">
        <f aca="false">IF(WEEKDAY(A258,3)&gt;4,0,(IF(A258&lt;K$2,0,IF(A258&lt;=K$3,1,0))))</f>
        <v>0</v>
      </c>
      <c r="L258" s="124" t="n">
        <f aca="false">J258*K258</f>
        <v>0</v>
      </c>
      <c r="M258" s="124" t="n">
        <f aca="false">SUM(J$188:J258)</f>
        <v>-153082</v>
      </c>
      <c r="N258" s="124" t="n">
        <f aca="false">SUM(J$6:J258)</f>
        <v>-418128.56</v>
      </c>
      <c r="P258" s="124" t="n">
        <f aca="false">D258/P$3</f>
        <v>-0.1239775868</v>
      </c>
      <c r="Q258" s="124" t="n">
        <f aca="false">E258/P$3</f>
        <v>0</v>
      </c>
      <c r="R258" s="124" t="n">
        <f aca="false">F258/R$3</f>
        <v>0</v>
      </c>
      <c r="S258" s="126" t="n">
        <f aca="false">J258/$R$3</f>
        <v>61.873</v>
      </c>
      <c r="T258" s="126" t="n">
        <f aca="false">L258/$R$3</f>
        <v>0</v>
      </c>
      <c r="U258" s="126" t="n">
        <f aca="false">I258/$R$3</f>
        <v>53.957</v>
      </c>
      <c r="V258" s="126" t="n">
        <f aca="false">M258/$R$3</f>
        <v>-153.082</v>
      </c>
      <c r="W258" s="126" t="n">
        <f aca="false">N258/$R$3</f>
        <v>-418.12856</v>
      </c>
    </row>
    <row r="259" customFormat="false" ht="12.75" hidden="true" customHeight="false" outlineLevel="0" collapsed="false">
      <c r="A259" s="120" t="n">
        <f aca="false">A258+1</f>
        <v>37145</v>
      </c>
      <c r="B259" s="131" t="str">
        <f aca="false">INDEX('Master Data'!$A$2:$B$8,MATCH(WEEKDAY('ARG Gas IM'!A259,3),'Master Data'!$A$2:$A$8,0),2)</f>
        <v>T</v>
      </c>
      <c r="D259" s="124"/>
      <c r="E259" s="124"/>
      <c r="F259" s="124"/>
      <c r="G259" s="124"/>
      <c r="I259" s="124" t="n">
        <f aca="false">IF(MONTH($A259)=MONTH($A258),IF(G259=0,I258,G259),G259)</f>
        <v>53957</v>
      </c>
      <c r="J259" s="124" t="n">
        <f aca="false">IF(MONTH($A259)=MONTH($A258),SUM(I259-I258),I259)</f>
        <v>0</v>
      </c>
      <c r="K259" s="124" t="n">
        <f aca="false">IF(WEEKDAY(A259,3)&gt;4,0,(IF(A259&lt;K$2,0,IF(A259&lt;=K$3,1,0))))</f>
        <v>0</v>
      </c>
      <c r="L259" s="124" t="n">
        <f aca="false">J259*K259</f>
        <v>0</v>
      </c>
      <c r="M259" s="124" t="n">
        <f aca="false">SUM(J$188:J259)</f>
        <v>-153082</v>
      </c>
      <c r="N259" s="124" t="n">
        <f aca="false">SUM(J$6:J259)</f>
        <v>-418128.56</v>
      </c>
      <c r="P259" s="124" t="n">
        <f aca="false">D259/P$3</f>
        <v>0</v>
      </c>
      <c r="Q259" s="124" t="n">
        <f aca="false">E259/P$3</f>
        <v>0</v>
      </c>
      <c r="R259" s="124" t="n">
        <f aca="false">F259/R$3</f>
        <v>0</v>
      </c>
      <c r="S259" s="126" t="n">
        <f aca="false">J259/$R$3</f>
        <v>0</v>
      </c>
      <c r="T259" s="126" t="n">
        <f aca="false">L259/$R$3</f>
        <v>0</v>
      </c>
      <c r="U259" s="126" t="n">
        <f aca="false">I259/$R$3</f>
        <v>53.957</v>
      </c>
      <c r="V259" s="126" t="n">
        <f aca="false">M259/$R$3</f>
        <v>-153.082</v>
      </c>
      <c r="W259" s="126" t="n">
        <f aca="false">N259/$R$3</f>
        <v>-418.12856</v>
      </c>
    </row>
    <row r="260" customFormat="false" ht="12.75" hidden="true" customHeight="false" outlineLevel="0" collapsed="false">
      <c r="A260" s="120" t="n">
        <f aca="false">A259+1</f>
        <v>37146</v>
      </c>
      <c r="B260" s="131" t="str">
        <f aca="false">INDEX('Master Data'!$A$2:$B$8,MATCH(WEEKDAY('ARG Gas IM'!A260,3),'Master Data'!$A$2:$A$8,0),2)</f>
        <v>W</v>
      </c>
      <c r="D260" s="124" t="n">
        <v>-113466.7376</v>
      </c>
      <c r="E260" s="124"/>
      <c r="F260" s="124"/>
      <c r="G260" s="124" t="n">
        <v>54387.4</v>
      </c>
      <c r="I260" s="124" t="n">
        <f aca="false">IF(MONTH($A260)=MONTH($A259),IF(G260=0,I259,G260),G260)</f>
        <v>54387.4</v>
      </c>
      <c r="J260" s="124" t="n">
        <f aca="false">IF(MONTH($A260)=MONTH($A259),SUM(I260-I259),I260)</f>
        <v>430.400000000001</v>
      </c>
      <c r="K260" s="124" t="n">
        <f aca="false">IF(WEEKDAY(A260,3)&gt;4,0,(IF(A260&lt;K$2,0,IF(A260&lt;=K$3,1,0))))</f>
        <v>0</v>
      </c>
      <c r="L260" s="124" t="n">
        <f aca="false">J260*K260</f>
        <v>0</v>
      </c>
      <c r="M260" s="124" t="n">
        <f aca="false">SUM(J$188:J260)</f>
        <v>-152651.6</v>
      </c>
      <c r="N260" s="124" t="n">
        <f aca="false">SUM(J$6:J260)</f>
        <v>-417698.16</v>
      </c>
      <c r="P260" s="124" t="n">
        <f aca="false">D260/P$3</f>
        <v>-0.1134667376</v>
      </c>
      <c r="Q260" s="124" t="n">
        <f aca="false">E260/P$3</f>
        <v>0</v>
      </c>
      <c r="R260" s="124" t="n">
        <f aca="false">F260/R$3</f>
        <v>0</v>
      </c>
      <c r="S260" s="126" t="n">
        <f aca="false">J260/$R$3</f>
        <v>0.430400000000001</v>
      </c>
      <c r="T260" s="126" t="n">
        <f aca="false">L260/$R$3</f>
        <v>0</v>
      </c>
      <c r="U260" s="126" t="n">
        <f aca="false">I260/$R$3</f>
        <v>54.3874</v>
      </c>
      <c r="V260" s="126" t="n">
        <f aca="false">M260/$R$3</f>
        <v>-152.6516</v>
      </c>
      <c r="W260" s="126" t="n">
        <f aca="false">N260/$R$3</f>
        <v>-417.69816</v>
      </c>
    </row>
    <row r="261" customFormat="false" ht="12.75" hidden="true" customHeight="false" outlineLevel="0" collapsed="false">
      <c r="A261" s="120" t="n">
        <f aca="false">A260+1</f>
        <v>37147</v>
      </c>
      <c r="B261" s="131" t="str">
        <f aca="false">INDEX('Master Data'!$A$2:$B$8,MATCH(WEEKDAY('ARG Gas IM'!A261,3),'Master Data'!$A$2:$A$8,0),2)</f>
        <v>Th</v>
      </c>
      <c r="D261" s="124" t="n">
        <v>-113173.027</v>
      </c>
      <c r="E261" s="124"/>
      <c r="F261" s="124"/>
      <c r="G261" s="124" t="n">
        <v>54766</v>
      </c>
      <c r="I261" s="124" t="n">
        <f aca="false">IF(MONTH($A261)=MONTH($A260),IF(G261=0,I260,G261),G261)</f>
        <v>54766</v>
      </c>
      <c r="J261" s="124" t="n">
        <f aca="false">IF(MONTH($A261)=MONTH($A260),SUM(I261-I260),I261)</f>
        <v>378.599999999999</v>
      </c>
      <c r="K261" s="124" t="n">
        <f aca="false">IF(WEEKDAY(A261,3)&gt;4,0,(IF(A261&lt;K$2,0,IF(A261&lt;=K$3,1,0))))</f>
        <v>0</v>
      </c>
      <c r="L261" s="124" t="n">
        <f aca="false">J261*K261</f>
        <v>0</v>
      </c>
      <c r="M261" s="124" t="n">
        <f aca="false">SUM(J$188:J261)</f>
        <v>-152273</v>
      </c>
      <c r="N261" s="124" t="n">
        <f aca="false">SUM(J$6:J261)</f>
        <v>-417319.56</v>
      </c>
      <c r="P261" s="124" t="n">
        <f aca="false">D261/P$3</f>
        <v>-0.113173027</v>
      </c>
      <c r="Q261" s="124" t="n">
        <f aca="false">E261/P$3</f>
        <v>0</v>
      </c>
      <c r="R261" s="124" t="n">
        <f aca="false">F261/R$3</f>
        <v>0</v>
      </c>
      <c r="S261" s="126" t="n">
        <f aca="false">J261/$R$3</f>
        <v>0.378599999999999</v>
      </c>
      <c r="T261" s="126" t="n">
        <f aca="false">L261/$R$3</f>
        <v>0</v>
      </c>
      <c r="U261" s="126" t="n">
        <f aca="false">I261/$R$3</f>
        <v>54.766</v>
      </c>
      <c r="V261" s="126" t="n">
        <f aca="false">M261/$R$3</f>
        <v>-152.273</v>
      </c>
      <c r="W261" s="126" t="n">
        <f aca="false">N261/$R$3</f>
        <v>-417.31956</v>
      </c>
    </row>
    <row r="262" customFormat="false" ht="12.75" hidden="true" customHeight="false" outlineLevel="0" collapsed="false">
      <c r="A262" s="120" t="n">
        <f aca="false">A261+1</f>
        <v>37148</v>
      </c>
      <c r="B262" s="131" t="str">
        <f aca="false">INDEX('Master Data'!$A$2:$B$8,MATCH(WEEKDAY('ARG Gas IM'!A262,3),'Master Data'!$A$2:$A$8,0),2)</f>
        <v>F</v>
      </c>
      <c r="D262" s="124" t="n">
        <v>-103046.7109</v>
      </c>
      <c r="E262" s="124"/>
      <c r="F262" s="124"/>
      <c r="G262" s="124" t="n">
        <v>55537.8618111226</v>
      </c>
      <c r="I262" s="124" t="n">
        <f aca="false">IF(MONTH($A262)=MONTH($A261),IF(G262=0,I261,G262),G262)</f>
        <v>55537.8618111226</v>
      </c>
      <c r="J262" s="124" t="n">
        <f aca="false">IF(MONTH($A262)=MONTH($A261),SUM(I262-I261),I262)</f>
        <v>771.861811122602</v>
      </c>
      <c r="K262" s="124" t="n">
        <f aca="false">IF(WEEKDAY(A262,3)&gt;4,0,(IF(A262&lt;K$2,0,IF(A262&lt;=K$3,1,0))))</f>
        <v>0</v>
      </c>
      <c r="L262" s="124" t="n">
        <f aca="false">J262*K262</f>
        <v>0</v>
      </c>
      <c r="M262" s="124" t="n">
        <f aca="false">SUM(J$188:J262)</f>
        <v>-151501.138188877</v>
      </c>
      <c r="N262" s="124" t="n">
        <f aca="false">SUM(J$6:J262)</f>
        <v>-416547.698188877</v>
      </c>
      <c r="P262" s="124" t="n">
        <f aca="false">D262/P$3</f>
        <v>-0.1030467109</v>
      </c>
      <c r="Q262" s="124" t="n">
        <f aca="false">E262/P$3</f>
        <v>0</v>
      </c>
      <c r="R262" s="124" t="n">
        <f aca="false">F262/R$3</f>
        <v>0</v>
      </c>
      <c r="S262" s="126" t="n">
        <f aca="false">J262/$R$3</f>
        <v>0.771861811122602</v>
      </c>
      <c r="T262" s="126" t="n">
        <f aca="false">L262/$R$3</f>
        <v>0</v>
      </c>
      <c r="U262" s="126" t="n">
        <f aca="false">I262/$R$3</f>
        <v>55.5378618111226</v>
      </c>
      <c r="V262" s="126" t="n">
        <f aca="false">M262/$R$3</f>
        <v>-151.501138188877</v>
      </c>
      <c r="W262" s="126" t="n">
        <f aca="false">N262/$R$3</f>
        <v>-416.547698188877</v>
      </c>
    </row>
    <row r="263" customFormat="false" ht="12.75" hidden="true" customHeight="false" outlineLevel="0" collapsed="false">
      <c r="A263" s="120" t="n">
        <f aca="false">A262+1</f>
        <v>37149</v>
      </c>
      <c r="B263" s="131" t="str">
        <f aca="false">INDEX('Master Data'!$A$2:$B$8,MATCH(WEEKDAY('ARG Gas IM'!A263,3),'Master Data'!$A$2:$A$8,0),2)</f>
        <v>Sa</v>
      </c>
      <c r="D263" s="124"/>
      <c r="E263" s="124"/>
      <c r="F263" s="124"/>
      <c r="G263" s="124"/>
      <c r="I263" s="124" t="n">
        <f aca="false">IF(MONTH($A263)=MONTH($A262),IF(G263=0,I262,G263),G263)</f>
        <v>55537.8618111226</v>
      </c>
      <c r="J263" s="124" t="n">
        <f aca="false">IF(MONTH($A263)=MONTH($A262),SUM(I263-I262),I263)</f>
        <v>0</v>
      </c>
      <c r="K263" s="124" t="n">
        <f aca="false">IF(WEEKDAY(A263,3)&gt;4,0,(IF(A263&lt;K$2,0,IF(A263&lt;=K$3,1,0))))</f>
        <v>0</v>
      </c>
      <c r="L263" s="124" t="n">
        <f aca="false">J263*K263</f>
        <v>0</v>
      </c>
      <c r="M263" s="124" t="n">
        <f aca="false">SUM(J$188:J263)</f>
        <v>-151501.138188877</v>
      </c>
      <c r="N263" s="124" t="n">
        <f aca="false">SUM(J$6:J263)</f>
        <v>-416547.698188877</v>
      </c>
      <c r="P263" s="124" t="n">
        <f aca="false">D263/P$3</f>
        <v>0</v>
      </c>
      <c r="Q263" s="124" t="n">
        <f aca="false">E263/P$3</f>
        <v>0</v>
      </c>
      <c r="R263" s="124" t="n">
        <f aca="false">F263/R$3</f>
        <v>0</v>
      </c>
      <c r="S263" s="126" t="n">
        <f aca="false">J263/$R$3</f>
        <v>0</v>
      </c>
      <c r="T263" s="126" t="n">
        <f aca="false">L263/$R$3</f>
        <v>0</v>
      </c>
      <c r="U263" s="126" t="n">
        <f aca="false">I263/$R$3</f>
        <v>55.5378618111226</v>
      </c>
      <c r="V263" s="126" t="n">
        <f aca="false">M263/$R$3</f>
        <v>-151.501138188877</v>
      </c>
      <c r="W263" s="126" t="n">
        <f aca="false">N263/$R$3</f>
        <v>-416.547698188877</v>
      </c>
    </row>
    <row r="264" customFormat="false" ht="12.75" hidden="true" customHeight="false" outlineLevel="0" collapsed="false">
      <c r="A264" s="120" t="n">
        <f aca="false">A263+1</f>
        <v>37150</v>
      </c>
      <c r="B264" s="131" t="str">
        <f aca="false">INDEX('Master Data'!$A$2:$B$8,MATCH(WEEKDAY('ARG Gas IM'!A264,3),'Master Data'!$A$2:$A$8,0),2)</f>
        <v>Su</v>
      </c>
      <c r="D264" s="124"/>
      <c r="E264" s="124"/>
      <c r="F264" s="124"/>
      <c r="G264" s="124"/>
      <c r="I264" s="124" t="n">
        <f aca="false">IF(MONTH($A264)=MONTH($A263),IF(G264=0,I263,G264),G264)</f>
        <v>55537.8618111226</v>
      </c>
      <c r="J264" s="124" t="n">
        <f aca="false">IF(MONTH($A264)=MONTH($A263),SUM(I264-I263),I264)</f>
        <v>0</v>
      </c>
      <c r="K264" s="124" t="n">
        <f aca="false">IF(WEEKDAY(A264,3)&gt;4,0,(IF(A264&lt;K$2,0,IF(A264&lt;=K$3,1,0))))</f>
        <v>0</v>
      </c>
      <c r="L264" s="124" t="n">
        <f aca="false">J264*K264</f>
        <v>0</v>
      </c>
      <c r="M264" s="124" t="n">
        <f aca="false">SUM(J$188:J264)</f>
        <v>-151501.138188877</v>
      </c>
      <c r="N264" s="124" t="n">
        <f aca="false">SUM(J$6:J264)</f>
        <v>-416547.698188877</v>
      </c>
      <c r="P264" s="124" t="n">
        <f aca="false">D264/P$3</f>
        <v>0</v>
      </c>
      <c r="Q264" s="124" t="n">
        <f aca="false">E264/P$3</f>
        <v>0</v>
      </c>
      <c r="R264" s="124" t="n">
        <f aca="false">F264/R$3</f>
        <v>0</v>
      </c>
      <c r="S264" s="126" t="n">
        <f aca="false">J264/$R$3</f>
        <v>0</v>
      </c>
      <c r="T264" s="126" t="n">
        <f aca="false">L264/$R$3</f>
        <v>0</v>
      </c>
      <c r="U264" s="126" t="n">
        <f aca="false">I264/$R$3</f>
        <v>55.5378618111226</v>
      </c>
      <c r="V264" s="126" t="n">
        <f aca="false">M264/$R$3</f>
        <v>-151.501138188877</v>
      </c>
      <c r="W264" s="126" t="n">
        <f aca="false">N264/$R$3</f>
        <v>-416.547698188877</v>
      </c>
    </row>
    <row r="265" customFormat="false" ht="12.75" hidden="true" customHeight="false" outlineLevel="0" collapsed="false">
      <c r="A265" s="120" t="n">
        <f aca="false">A264+1</f>
        <v>37151</v>
      </c>
      <c r="B265" s="131" t="str">
        <f aca="false">INDEX('Master Data'!$A$2:$B$8,MATCH(WEEKDAY('ARG Gas IM'!A265,3),'Master Data'!$A$2:$A$8,0),2)</f>
        <v>M</v>
      </c>
      <c r="D265" s="124" t="n">
        <v>-83536.8962</v>
      </c>
      <c r="E265" s="124"/>
      <c r="F265" s="124"/>
      <c r="G265" s="124" t="n">
        <v>54778</v>
      </c>
      <c r="I265" s="124" t="n">
        <f aca="false">IF(MONTH($A265)=MONTH($A264),IF(G265=0,I264,G265),G265)</f>
        <v>54778</v>
      </c>
      <c r="J265" s="124" t="n">
        <f aca="false">IF(MONTH($A265)=MONTH($A264),SUM(I265-I264),I265)</f>
        <v>-759.861811122602</v>
      </c>
      <c r="K265" s="124" t="n">
        <f aca="false">IF(WEEKDAY(A265,3)&gt;4,0,(IF(A265&lt;K$2,0,IF(A265&lt;=K$3,1,0))))</f>
        <v>0</v>
      </c>
      <c r="L265" s="124" t="n">
        <f aca="false">J265*K265</f>
        <v>-0</v>
      </c>
      <c r="M265" s="124" t="n">
        <f aca="false">SUM(J$188:J265)</f>
        <v>-152261</v>
      </c>
      <c r="N265" s="124" t="n">
        <f aca="false">SUM(J$6:J265)</f>
        <v>-417307.56</v>
      </c>
      <c r="P265" s="124" t="n">
        <f aca="false">D265/P$3</f>
        <v>-0.0835368962</v>
      </c>
      <c r="Q265" s="124" t="n">
        <f aca="false">E265/P$3</f>
        <v>0</v>
      </c>
      <c r="R265" s="124" t="n">
        <f aca="false">F265/R$3</f>
        <v>0</v>
      </c>
      <c r="S265" s="126" t="n">
        <f aca="false">J265/$R$3</f>
        <v>-0.759861811122602</v>
      </c>
      <c r="T265" s="126" t="n">
        <f aca="false">L265/$R$3</f>
        <v>-0</v>
      </c>
      <c r="U265" s="126" t="n">
        <f aca="false">I265/$R$3</f>
        <v>54.778</v>
      </c>
      <c r="V265" s="126" t="n">
        <f aca="false">M265/$R$3</f>
        <v>-152.261</v>
      </c>
      <c r="W265" s="126" t="n">
        <f aca="false">N265/$R$3</f>
        <v>-417.30756</v>
      </c>
    </row>
    <row r="266" customFormat="false" ht="12.75" hidden="true" customHeight="false" outlineLevel="0" collapsed="false">
      <c r="A266" s="120" t="n">
        <f aca="false">A265+1</f>
        <v>37152</v>
      </c>
      <c r="B266" s="131" t="str">
        <f aca="false">INDEX('Master Data'!$A$2:$B$8,MATCH(WEEKDAY('ARG Gas IM'!A266,3),'Master Data'!$A$2:$A$8,0),2)</f>
        <v>T</v>
      </c>
      <c r="D266" s="124" t="n">
        <v>-76199.0827</v>
      </c>
      <c r="E266" s="124"/>
      <c r="F266" s="124"/>
      <c r="G266" s="124" t="n">
        <v>59038</v>
      </c>
      <c r="I266" s="124" t="n">
        <f aca="false">IF(MONTH($A266)=MONTH($A265),IF(G266=0,I265,G266),G266)</f>
        <v>59038</v>
      </c>
      <c r="J266" s="124" t="n">
        <f aca="false">IF(MONTH($A266)=MONTH($A265),SUM(I266-I265),I266)</f>
        <v>4260</v>
      </c>
      <c r="K266" s="124" t="n">
        <f aca="false">IF(WEEKDAY(A266,3)&gt;4,0,(IF(A266&lt;K$2,0,IF(A266&lt;=K$3,1,0))))</f>
        <v>0</v>
      </c>
      <c r="L266" s="124" t="n">
        <f aca="false">J266*K266</f>
        <v>0</v>
      </c>
      <c r="M266" s="124" t="n">
        <f aca="false">SUM(J$188:J266)</f>
        <v>-148001</v>
      </c>
      <c r="N266" s="124" t="n">
        <f aca="false">SUM(J$6:J266)</f>
        <v>-413047.56</v>
      </c>
      <c r="P266" s="124" t="n">
        <f aca="false">D266/P$3</f>
        <v>-0.0761990827</v>
      </c>
      <c r="Q266" s="124" t="n">
        <f aca="false">E266/P$3</f>
        <v>0</v>
      </c>
      <c r="R266" s="124" t="n">
        <f aca="false">F266/R$3</f>
        <v>0</v>
      </c>
      <c r="S266" s="126" t="n">
        <f aca="false">J266/$R$3</f>
        <v>4.26</v>
      </c>
      <c r="T266" s="126" t="n">
        <f aca="false">L266/$R$3</f>
        <v>0</v>
      </c>
      <c r="U266" s="126" t="n">
        <f aca="false">I266/$R$3</f>
        <v>59.038</v>
      </c>
      <c r="V266" s="126" t="n">
        <f aca="false">M266/$R$3</f>
        <v>-148.001</v>
      </c>
      <c r="W266" s="126" t="n">
        <f aca="false">N266/$R$3</f>
        <v>-413.04756</v>
      </c>
    </row>
    <row r="267" customFormat="false" ht="12.75" hidden="true" customHeight="false" outlineLevel="0" collapsed="false">
      <c r="A267" s="120" t="n">
        <f aca="false">A266+1</f>
        <v>37153</v>
      </c>
      <c r="B267" s="131" t="str">
        <f aca="false">INDEX('Master Data'!$A$2:$B$8,MATCH(WEEKDAY('ARG Gas IM'!A267,3),'Master Data'!$A$2:$A$8,0),2)</f>
        <v>W</v>
      </c>
      <c r="D267" s="124" t="n">
        <v>-65046.5744000001</v>
      </c>
      <c r="E267" s="124"/>
      <c r="F267" s="124"/>
      <c r="G267" s="124" t="n">
        <v>58320</v>
      </c>
      <c r="I267" s="124" t="n">
        <f aca="false">IF(MONTH($A267)=MONTH($A266),IF(G267=0,I266,G267),G267)</f>
        <v>58320</v>
      </c>
      <c r="J267" s="124" t="n">
        <f aca="false">IF(MONTH($A267)=MONTH($A266),SUM(I267-I266),I267)</f>
        <v>-718</v>
      </c>
      <c r="K267" s="124" t="n">
        <f aca="false">IF(WEEKDAY(A267,3)&gt;4,0,(IF(A267&lt;K$2,0,IF(A267&lt;=K$3,1,0))))</f>
        <v>0</v>
      </c>
      <c r="L267" s="124" t="n">
        <f aca="false">J267*K267</f>
        <v>-0</v>
      </c>
      <c r="M267" s="124" t="n">
        <f aca="false">SUM(J$188:J267)</f>
        <v>-148719</v>
      </c>
      <c r="N267" s="124" t="n">
        <f aca="false">SUM(J$6:J267)</f>
        <v>-413765.56</v>
      </c>
      <c r="P267" s="124" t="n">
        <f aca="false">D267/P$3</f>
        <v>-0.0650465744000001</v>
      </c>
      <c r="Q267" s="124" t="n">
        <f aca="false">E267/P$3</f>
        <v>0</v>
      </c>
      <c r="R267" s="124" t="n">
        <f aca="false">F267/R$3</f>
        <v>0</v>
      </c>
      <c r="S267" s="126" t="n">
        <f aca="false">J267/$R$3</f>
        <v>-0.718</v>
      </c>
      <c r="T267" s="126" t="n">
        <f aca="false">L267/$R$3</f>
        <v>-0</v>
      </c>
      <c r="U267" s="126" t="n">
        <f aca="false">I267/$R$3</f>
        <v>58.32</v>
      </c>
      <c r="V267" s="126" t="n">
        <f aca="false">M267/$R$3</f>
        <v>-148.719</v>
      </c>
      <c r="W267" s="126" t="n">
        <f aca="false">N267/$R$3</f>
        <v>-413.76556</v>
      </c>
    </row>
    <row r="268" customFormat="false" ht="12.75" hidden="true" customHeight="false" outlineLevel="0" collapsed="false">
      <c r="A268" s="120" t="n">
        <f aca="false">A267+1</f>
        <v>37154</v>
      </c>
      <c r="B268" s="131" t="str">
        <f aca="false">INDEX('Master Data'!$A$2:$B$8,MATCH(WEEKDAY('ARG Gas IM'!A268,3),'Master Data'!$A$2:$A$8,0),2)</f>
        <v>Th</v>
      </c>
      <c r="D268" s="124" t="n">
        <v>-69311.3370000001</v>
      </c>
      <c r="E268" s="124"/>
      <c r="F268" s="124"/>
      <c r="G268" s="124" t="n">
        <v>56530</v>
      </c>
      <c r="I268" s="124" t="n">
        <f aca="false">IF(MONTH($A268)=MONTH($A267),IF(G268=0,I267,G268),G268)</f>
        <v>56530</v>
      </c>
      <c r="J268" s="124" t="n">
        <f aca="false">IF(MONTH($A268)=MONTH($A267),SUM(I268-I267),I268)</f>
        <v>-1790</v>
      </c>
      <c r="K268" s="124" t="n">
        <f aca="false">IF(WEEKDAY(A268,3)&gt;4,0,(IF(A268&lt;K$2,0,IF(A268&lt;=K$3,1,0))))</f>
        <v>0</v>
      </c>
      <c r="L268" s="124" t="n">
        <f aca="false">J268*K268</f>
        <v>-0</v>
      </c>
      <c r="M268" s="124" t="n">
        <f aca="false">SUM(J$188:J268)</f>
        <v>-150509</v>
      </c>
      <c r="N268" s="124" t="n">
        <f aca="false">SUM(J$6:J268)</f>
        <v>-415555.56</v>
      </c>
      <c r="P268" s="124" t="n">
        <f aca="false">D268/P$3</f>
        <v>-0.0693113370000001</v>
      </c>
      <c r="Q268" s="124" t="n">
        <f aca="false">E268/P$3</f>
        <v>0</v>
      </c>
      <c r="R268" s="124" t="n">
        <f aca="false">F268/R$3</f>
        <v>0</v>
      </c>
      <c r="S268" s="126" t="n">
        <f aca="false">J268/$R$3</f>
        <v>-1.79</v>
      </c>
      <c r="T268" s="126" t="n">
        <f aca="false">L268/$R$3</f>
        <v>-0</v>
      </c>
      <c r="U268" s="126" t="n">
        <f aca="false">I268/$R$3</f>
        <v>56.53</v>
      </c>
      <c r="V268" s="126" t="n">
        <f aca="false">M268/$R$3</f>
        <v>-150.509</v>
      </c>
      <c r="W268" s="126" t="n">
        <f aca="false">N268/$R$3</f>
        <v>-415.55556</v>
      </c>
    </row>
    <row r="269" customFormat="false" ht="12.75" hidden="true" customHeight="false" outlineLevel="0" collapsed="false">
      <c r="A269" s="120" t="n">
        <f aca="false">A268+1</f>
        <v>37155</v>
      </c>
      <c r="B269" s="131" t="str">
        <f aca="false">INDEX('Master Data'!$A$2:$B$8,MATCH(WEEKDAY('ARG Gas IM'!A269,3),'Master Data'!$A$2:$A$8,0),2)</f>
        <v>F</v>
      </c>
      <c r="D269" s="124" t="n">
        <v>-61708.143</v>
      </c>
      <c r="E269" s="124"/>
      <c r="F269" s="124"/>
      <c r="G269" s="124" t="n">
        <v>56227</v>
      </c>
      <c r="I269" s="124" t="n">
        <f aca="false">IF(MONTH($A269)=MONTH($A268),IF(G269=0,I268,G269),G269)</f>
        <v>56227</v>
      </c>
      <c r="J269" s="124" t="n">
        <f aca="false">IF(MONTH($A269)=MONTH($A268),SUM(I269-I268),I269)</f>
        <v>-303</v>
      </c>
      <c r="K269" s="124" t="n">
        <f aca="false">IF(WEEKDAY(A269,3)&gt;4,0,(IF(A269&lt;K$2,0,IF(A269&lt;=K$3,1,0))))</f>
        <v>0</v>
      </c>
      <c r="L269" s="124" t="n">
        <f aca="false">J269*K269</f>
        <v>-0</v>
      </c>
      <c r="M269" s="124" t="n">
        <f aca="false">SUM(J$188:J269)</f>
        <v>-150812</v>
      </c>
      <c r="N269" s="124" t="n">
        <f aca="false">SUM(J$6:J269)</f>
        <v>-415858.56</v>
      </c>
      <c r="P269" s="124" t="n">
        <f aca="false">D269/P$3</f>
        <v>-0.061708143</v>
      </c>
      <c r="Q269" s="124" t="n">
        <f aca="false">E269/P$3</f>
        <v>0</v>
      </c>
      <c r="R269" s="124" t="n">
        <f aca="false">F269/R$3</f>
        <v>0</v>
      </c>
      <c r="S269" s="126" t="n">
        <f aca="false">J269/$R$3</f>
        <v>-0.303</v>
      </c>
      <c r="T269" s="126" t="n">
        <f aca="false">L269/$R$3</f>
        <v>-0</v>
      </c>
      <c r="U269" s="126" t="n">
        <f aca="false">I269/$R$3</f>
        <v>56.227</v>
      </c>
      <c r="V269" s="126" t="n">
        <f aca="false">M269/$R$3</f>
        <v>-150.812</v>
      </c>
      <c r="W269" s="126" t="n">
        <f aca="false">N269/$R$3</f>
        <v>-415.85856</v>
      </c>
    </row>
    <row r="270" customFormat="false" ht="12.75" hidden="true" customHeight="false" outlineLevel="0" collapsed="false">
      <c r="A270" s="120" t="n">
        <f aca="false">A269+1</f>
        <v>37156</v>
      </c>
      <c r="B270" s="131" t="str">
        <f aca="false">INDEX('Master Data'!$A$2:$B$8,MATCH(WEEKDAY('ARG Gas IM'!A270,3),'Master Data'!$A$2:$A$8,0),2)</f>
        <v>Sa</v>
      </c>
      <c r="D270" s="124"/>
      <c r="E270" s="124"/>
      <c r="F270" s="124"/>
      <c r="G270" s="124"/>
      <c r="I270" s="124" t="n">
        <f aca="false">IF(MONTH($A270)=MONTH($A269),IF(G270=0,I269,G270),G270)</f>
        <v>56227</v>
      </c>
      <c r="J270" s="124" t="n">
        <f aca="false">IF(MONTH($A270)=MONTH($A269),SUM(I270-I269),I270)</f>
        <v>0</v>
      </c>
      <c r="K270" s="124" t="n">
        <f aca="false">IF(WEEKDAY(A270,3)&gt;4,0,(IF(A270&lt;K$2,0,IF(A270&lt;=K$3,1,0))))</f>
        <v>0</v>
      </c>
      <c r="L270" s="124" t="n">
        <f aca="false">J270*K270</f>
        <v>0</v>
      </c>
      <c r="M270" s="124" t="n">
        <f aca="false">SUM(J$188:J270)</f>
        <v>-150812</v>
      </c>
      <c r="N270" s="124" t="n">
        <f aca="false">SUM(J$6:J270)</f>
        <v>-415858.56</v>
      </c>
      <c r="P270" s="124" t="n">
        <f aca="false">D270/P$3</f>
        <v>0</v>
      </c>
      <c r="Q270" s="124" t="n">
        <f aca="false">E270/P$3</f>
        <v>0</v>
      </c>
      <c r="R270" s="124" t="n">
        <f aca="false">F270/R$3</f>
        <v>0</v>
      </c>
      <c r="S270" s="126" t="n">
        <f aca="false">J270/$R$3</f>
        <v>0</v>
      </c>
      <c r="T270" s="126" t="n">
        <f aca="false">L270/$R$3</f>
        <v>0</v>
      </c>
      <c r="U270" s="126" t="n">
        <f aca="false">I270/$R$3</f>
        <v>56.227</v>
      </c>
      <c r="V270" s="126" t="n">
        <f aca="false">M270/$R$3</f>
        <v>-150.812</v>
      </c>
      <c r="W270" s="126" t="n">
        <f aca="false">N270/$R$3</f>
        <v>-415.85856</v>
      </c>
    </row>
    <row r="271" customFormat="false" ht="12.75" hidden="true" customHeight="false" outlineLevel="0" collapsed="false">
      <c r="A271" s="120" t="n">
        <f aca="false">A270+1</f>
        <v>37157</v>
      </c>
      <c r="B271" s="131" t="str">
        <f aca="false">INDEX('Master Data'!$A$2:$B$8,MATCH(WEEKDAY('ARG Gas IM'!A271,3),'Master Data'!$A$2:$A$8,0),2)</f>
        <v>Su</v>
      </c>
      <c r="D271" s="124"/>
      <c r="E271" s="124"/>
      <c r="F271" s="124"/>
      <c r="G271" s="124"/>
      <c r="I271" s="124" t="n">
        <f aca="false">IF(MONTH($A271)=MONTH($A270),IF(G271=0,I270,G271),G271)</f>
        <v>56227</v>
      </c>
      <c r="J271" s="124" t="n">
        <f aca="false">IF(MONTH($A271)=MONTH($A270),SUM(I271-I270),I271)</f>
        <v>0</v>
      </c>
      <c r="K271" s="124" t="n">
        <f aca="false">IF(WEEKDAY(A271,3)&gt;4,0,(IF(A271&lt;K$2,0,IF(A271&lt;=K$3,1,0))))</f>
        <v>0</v>
      </c>
      <c r="L271" s="124" t="n">
        <f aca="false">J271*K271</f>
        <v>0</v>
      </c>
      <c r="M271" s="124" t="n">
        <f aca="false">SUM(J$188:J271)</f>
        <v>-150812</v>
      </c>
      <c r="N271" s="124" t="n">
        <f aca="false">SUM(J$6:J271)</f>
        <v>-415858.56</v>
      </c>
      <c r="P271" s="124" t="n">
        <f aca="false">D271/P$3</f>
        <v>0</v>
      </c>
      <c r="Q271" s="124" t="n">
        <f aca="false">E271/P$3</f>
        <v>0</v>
      </c>
      <c r="R271" s="124" t="n">
        <f aca="false">F271/R$3</f>
        <v>0</v>
      </c>
      <c r="S271" s="126" t="n">
        <f aca="false">J271/$R$3</f>
        <v>0</v>
      </c>
      <c r="T271" s="126" t="n">
        <f aca="false">L271/$R$3</f>
        <v>0</v>
      </c>
      <c r="U271" s="126" t="n">
        <f aca="false">I271/$R$3</f>
        <v>56.227</v>
      </c>
      <c r="V271" s="126" t="n">
        <f aca="false">M271/$R$3</f>
        <v>-150.812</v>
      </c>
      <c r="W271" s="126" t="n">
        <f aca="false">N271/$R$3</f>
        <v>-415.85856</v>
      </c>
    </row>
    <row r="272" customFormat="false" ht="12.75" hidden="true" customHeight="false" outlineLevel="0" collapsed="false">
      <c r="A272" s="120" t="n">
        <f aca="false">A271+1</f>
        <v>37158</v>
      </c>
      <c r="B272" s="131" t="str">
        <f aca="false">INDEX('Master Data'!$A$2:$B$8,MATCH(WEEKDAY('ARG Gas IM'!A272,3),'Master Data'!$A$2:$A$8,0),2)</f>
        <v>M</v>
      </c>
      <c r="D272" s="124" t="n">
        <v>-41620.1268</v>
      </c>
      <c r="E272" s="124"/>
      <c r="F272" s="124"/>
      <c r="G272" s="124" t="n">
        <v>56098</v>
      </c>
      <c r="I272" s="124" t="n">
        <f aca="false">IF(MONTH($A272)=MONTH($A271),IF(G272=0,I271,G272),G272)</f>
        <v>56098</v>
      </c>
      <c r="J272" s="124" t="n">
        <f aca="false">IF(MONTH($A272)=MONTH($A271),SUM(I272-I271),I272)</f>
        <v>-129</v>
      </c>
      <c r="K272" s="124" t="n">
        <f aca="false">IF(WEEKDAY(A272,3)&gt;4,0,(IF(A272&lt;K$2,0,IF(A272&lt;=K$3,1,0))))</f>
        <v>0</v>
      </c>
      <c r="L272" s="124" t="n">
        <f aca="false">J272*K272</f>
        <v>-0</v>
      </c>
      <c r="M272" s="124" t="n">
        <f aca="false">SUM(J$188:J272)</f>
        <v>-150941</v>
      </c>
      <c r="N272" s="124" t="n">
        <f aca="false">SUM(J$6:J272)</f>
        <v>-415987.56</v>
      </c>
      <c r="P272" s="124" t="n">
        <f aca="false">D272/P$3</f>
        <v>-0.0416201268</v>
      </c>
      <c r="Q272" s="124" t="n">
        <f aca="false">E272/P$3</f>
        <v>0</v>
      </c>
      <c r="R272" s="124" t="n">
        <f aca="false">F272/R$3</f>
        <v>0</v>
      </c>
      <c r="S272" s="126" t="n">
        <f aca="false">J272/$R$3</f>
        <v>-0.129</v>
      </c>
      <c r="T272" s="126" t="n">
        <f aca="false">L272/$R$3</f>
        <v>-0</v>
      </c>
      <c r="U272" s="126" t="n">
        <f aca="false">I272/$R$3</f>
        <v>56.098</v>
      </c>
      <c r="V272" s="126" t="n">
        <f aca="false">M272/$R$3</f>
        <v>-150.941</v>
      </c>
      <c r="W272" s="126" t="n">
        <f aca="false">N272/$R$3</f>
        <v>-415.98756</v>
      </c>
    </row>
    <row r="273" customFormat="false" ht="12.75" hidden="true" customHeight="false" outlineLevel="0" collapsed="false">
      <c r="A273" s="120" t="n">
        <f aca="false">A272+1</f>
        <v>37159</v>
      </c>
      <c r="B273" s="131" t="str">
        <f aca="false">INDEX('Master Data'!$A$2:$B$8,MATCH(WEEKDAY('ARG Gas IM'!A273,3),'Master Data'!$A$2:$A$8,0),2)</f>
        <v>T</v>
      </c>
      <c r="D273" s="124" t="n">
        <v>-27913.8038</v>
      </c>
      <c r="E273" s="124"/>
      <c r="F273" s="124"/>
      <c r="G273" s="124" t="n">
        <v>64334.0668608171</v>
      </c>
      <c r="I273" s="124" t="n">
        <f aca="false">IF(MONTH($A273)=MONTH($A272),IF(G273=0,I272,G273),G273)</f>
        <v>64334.0668608171</v>
      </c>
      <c r="J273" s="124" t="n">
        <f aca="false">IF(MONTH($A273)=MONTH($A272),SUM(I273-I272),I273)</f>
        <v>8236.06686081712</v>
      </c>
      <c r="K273" s="124" t="n">
        <f aca="false">IF(WEEKDAY(A273,3)&gt;4,0,(IF(A273&lt;K$2,0,IF(A273&lt;=K$3,1,0))))</f>
        <v>0</v>
      </c>
      <c r="L273" s="124" t="n">
        <f aca="false">J273*K273</f>
        <v>0</v>
      </c>
      <c r="M273" s="124" t="n">
        <f aca="false">SUM(J$188:J273)</f>
        <v>-142704.933139183</v>
      </c>
      <c r="N273" s="124" t="n">
        <f aca="false">SUM(J$6:J273)</f>
        <v>-407751.493139183</v>
      </c>
      <c r="P273" s="124" t="n">
        <f aca="false">D273/P$3</f>
        <v>-0.0279138038</v>
      </c>
      <c r="Q273" s="124" t="n">
        <f aca="false">E273/P$3</f>
        <v>0</v>
      </c>
      <c r="R273" s="124" t="n">
        <f aca="false">F273/R$3</f>
        <v>0</v>
      </c>
      <c r="S273" s="126" t="n">
        <f aca="false">J273/$R$3</f>
        <v>8.23606686081712</v>
      </c>
      <c r="T273" s="126" t="n">
        <f aca="false">L273/$R$3</f>
        <v>0</v>
      </c>
      <c r="U273" s="126" t="n">
        <f aca="false">I273/$R$3</f>
        <v>64.3340668608171</v>
      </c>
      <c r="V273" s="126" t="n">
        <f aca="false">M273/$R$3</f>
        <v>-142.704933139183</v>
      </c>
      <c r="W273" s="126" t="n">
        <f aca="false">N273/$R$3</f>
        <v>-407.751493139183</v>
      </c>
    </row>
    <row r="274" customFormat="false" ht="12.75" hidden="true" customHeight="false" outlineLevel="0" collapsed="false">
      <c r="A274" s="120" t="n">
        <f aca="false">A273+1</f>
        <v>37160</v>
      </c>
      <c r="B274" s="131" t="str">
        <f aca="false">INDEX('Master Data'!$A$2:$B$8,MATCH(WEEKDAY('ARG Gas IM'!A274,3),'Master Data'!$A$2:$A$8,0),2)</f>
        <v>W</v>
      </c>
      <c r="D274" s="124" t="n">
        <v>-28421.2837</v>
      </c>
      <c r="E274" s="124"/>
      <c r="F274" s="124"/>
      <c r="G274" s="124" t="n">
        <v>64983</v>
      </c>
      <c r="I274" s="124" t="n">
        <f aca="false">IF(MONTH($A274)=MONTH($A273),IF(G274=0,I273,G274),G274)</f>
        <v>64983</v>
      </c>
      <c r="J274" s="124" t="n">
        <f aca="false">IF(MONTH($A274)=MONTH($A273),SUM(I274-I273),I274)</f>
        <v>648.933139182882</v>
      </c>
      <c r="K274" s="124" t="n">
        <f aca="false">IF(WEEKDAY(A274,3)&gt;4,0,(IF(A274&lt;K$2,0,IF(A274&lt;=K$3,1,0))))</f>
        <v>0</v>
      </c>
      <c r="L274" s="124" t="n">
        <f aca="false">J274*K274</f>
        <v>0</v>
      </c>
      <c r="M274" s="124" t="n">
        <f aca="false">SUM(J$188:J274)</f>
        <v>-142056</v>
      </c>
      <c r="N274" s="124" t="n">
        <f aca="false">SUM(J$6:J274)</f>
        <v>-407102.56</v>
      </c>
      <c r="P274" s="124" t="n">
        <f aca="false">D274/P$3</f>
        <v>-0.0284212837</v>
      </c>
      <c r="Q274" s="124" t="n">
        <f aca="false">E274/P$3</f>
        <v>0</v>
      </c>
      <c r="R274" s="124" t="n">
        <f aca="false">F274/R$3</f>
        <v>0</v>
      </c>
      <c r="S274" s="126" t="n">
        <f aca="false">J274/$R$3</f>
        <v>0.648933139182882</v>
      </c>
      <c r="T274" s="126" t="n">
        <f aca="false">L274/$R$3</f>
        <v>0</v>
      </c>
      <c r="U274" s="126" t="n">
        <f aca="false">I274/$R$3</f>
        <v>64.983</v>
      </c>
      <c r="V274" s="126" t="n">
        <f aca="false">M274/$R$3</f>
        <v>-142.056</v>
      </c>
      <c r="W274" s="126" t="n">
        <f aca="false">N274/$R$3</f>
        <v>-407.10256</v>
      </c>
    </row>
    <row r="275" customFormat="false" ht="12.75" hidden="true" customHeight="false" outlineLevel="0" collapsed="false">
      <c r="A275" s="120" t="n">
        <f aca="false">A274+1</f>
        <v>37161</v>
      </c>
      <c r="B275" s="131" t="str">
        <f aca="false">INDEX('Master Data'!$A$2:$B$8,MATCH(WEEKDAY('ARG Gas IM'!A275,3),'Master Data'!$A$2:$A$8,0),2)</f>
        <v>Th</v>
      </c>
      <c r="D275" s="124" t="n">
        <v>-20808.5933</v>
      </c>
      <c r="E275" s="124"/>
      <c r="F275" s="124"/>
      <c r="G275" s="124" t="n">
        <v>64929</v>
      </c>
      <c r="I275" s="124" t="n">
        <f aca="false">IF(MONTH($A275)=MONTH($A274),IF(G275=0,I274,G275),G275)</f>
        <v>64929</v>
      </c>
      <c r="J275" s="124" t="n">
        <f aca="false">IF(MONTH($A275)=MONTH($A274),SUM(I275-I274),I275)</f>
        <v>-54</v>
      </c>
      <c r="K275" s="124" t="n">
        <f aca="false">IF(WEEKDAY(A275,3)&gt;4,0,(IF(A275&lt;K$2,0,IF(A275&lt;=K$3,1,0))))</f>
        <v>0</v>
      </c>
      <c r="L275" s="124" t="n">
        <f aca="false">J275*K275</f>
        <v>-0</v>
      </c>
      <c r="M275" s="124" t="n">
        <f aca="false">SUM(J$188:J275)</f>
        <v>-142110</v>
      </c>
      <c r="N275" s="124" t="n">
        <f aca="false">SUM(J$6:J275)</f>
        <v>-407156.56</v>
      </c>
      <c r="P275" s="124" t="n">
        <f aca="false">D275/P$3</f>
        <v>-0.0208085933</v>
      </c>
      <c r="Q275" s="124" t="n">
        <f aca="false">E275/P$3</f>
        <v>0</v>
      </c>
      <c r="R275" s="124" t="n">
        <f aca="false">F275/R$3</f>
        <v>0</v>
      </c>
      <c r="S275" s="126" t="n">
        <f aca="false">J275/$R$3</f>
        <v>-0.054</v>
      </c>
      <c r="T275" s="126" t="n">
        <f aca="false">L275/$R$3</f>
        <v>-0</v>
      </c>
      <c r="U275" s="126" t="n">
        <f aca="false">I275/$R$3</f>
        <v>64.929</v>
      </c>
      <c r="V275" s="126" t="n">
        <f aca="false">M275/$R$3</f>
        <v>-142.11</v>
      </c>
      <c r="W275" s="126" t="n">
        <f aca="false">N275/$R$3</f>
        <v>-407.15656</v>
      </c>
    </row>
    <row r="276" customFormat="false" ht="12.75" hidden="false" customHeight="false" outlineLevel="0" collapsed="false">
      <c r="A276" s="120" t="n">
        <f aca="false">A275+1</f>
        <v>37162</v>
      </c>
      <c r="B276" s="131" t="str">
        <f aca="false">INDEX('Master Data'!$A$2:$B$8,MATCH(WEEKDAY('ARG Gas IM'!A276,3),'Master Data'!$A$2:$A$8,0),2)</f>
        <v>F</v>
      </c>
      <c r="D276" s="124" t="n">
        <v>79123.2901999991</v>
      </c>
      <c r="E276" s="124"/>
      <c r="F276" s="124"/>
      <c r="G276" s="124" t="n">
        <v>14734</v>
      </c>
      <c r="I276" s="124" t="n">
        <f aca="false">IF(MONTH($A276)=MONTH($A275),IF(G276=0,I275,G276),G276)</f>
        <v>14734</v>
      </c>
      <c r="J276" s="124" t="n">
        <f aca="false">IF(MONTH($A276)=MONTH($A275),SUM(I276-I275),I276)</f>
        <v>-50195</v>
      </c>
      <c r="K276" s="124" t="n">
        <f aca="false">IF(WEEKDAY(A276,3)&gt;4,0,(IF(A276&lt;K$2,0,IF(A276&lt;=K$3,1,0))))</f>
        <v>0</v>
      </c>
      <c r="L276" s="124" t="n">
        <f aca="false">J276*K276</f>
        <v>-0</v>
      </c>
      <c r="M276" s="124" t="n">
        <f aca="false">SUM(J$188:J276)</f>
        <v>-192305</v>
      </c>
      <c r="N276" s="124" t="n">
        <f aca="false">SUM(J$6:J276)</f>
        <v>-457351.56</v>
      </c>
      <c r="P276" s="124" t="n">
        <f aca="false">D276/P$3</f>
        <v>0.0791232901999991</v>
      </c>
      <c r="Q276" s="124" t="n">
        <f aca="false">E276/P$3</f>
        <v>0</v>
      </c>
      <c r="R276" s="124" t="n">
        <f aca="false">F276/R$3</f>
        <v>0</v>
      </c>
      <c r="S276" s="126" t="n">
        <f aca="false">J276/$R$3</f>
        <v>-50.195</v>
      </c>
      <c r="T276" s="126" t="n">
        <f aca="false">L276/$R$3</f>
        <v>-0</v>
      </c>
      <c r="U276" s="126" t="n">
        <f aca="false">I276/$R$3</f>
        <v>14.734</v>
      </c>
      <c r="V276" s="126" t="n">
        <f aca="false">M276/$R$3</f>
        <v>-192.305</v>
      </c>
      <c r="W276" s="126" t="n">
        <f aca="false">N276/$R$3</f>
        <v>-457.35156</v>
      </c>
    </row>
    <row r="277" customFormat="false" ht="12.75" hidden="false" customHeight="false" outlineLevel="0" collapsed="false">
      <c r="A277" s="120" t="n">
        <f aca="false">A276+1</f>
        <v>37163</v>
      </c>
      <c r="B277" s="131" t="str">
        <f aca="false">INDEX('Master Data'!$A$2:$B$8,MATCH(WEEKDAY('ARG Gas IM'!A277,3),'Master Data'!$A$2:$A$8,0),2)</f>
        <v>Sa</v>
      </c>
      <c r="D277" s="124"/>
      <c r="E277" s="124"/>
      <c r="F277" s="124"/>
      <c r="G277" s="124"/>
      <c r="I277" s="124" t="n">
        <f aca="false">IF(MONTH($A277)=MONTH($A276),IF(G277=0,I276,G277),G277)</f>
        <v>14734</v>
      </c>
      <c r="J277" s="124" t="n">
        <f aca="false">IF(MONTH($A277)=MONTH($A276),SUM(I277-I276),I277)</f>
        <v>0</v>
      </c>
      <c r="K277" s="124" t="n">
        <f aca="false">IF(WEEKDAY(A277,3)&gt;4,0,(IF(A277&lt;K$2,0,IF(A277&lt;=K$3,1,0))))</f>
        <v>0</v>
      </c>
      <c r="L277" s="124" t="n">
        <f aca="false">J277*K277</f>
        <v>0</v>
      </c>
      <c r="M277" s="124" t="n">
        <f aca="false">SUM(J$188:J277)</f>
        <v>-192305</v>
      </c>
      <c r="N277" s="124" t="n">
        <f aca="false">SUM(J$6:J277)</f>
        <v>-457351.56</v>
      </c>
      <c r="P277" s="124" t="n">
        <f aca="false">D277/P$3</f>
        <v>0</v>
      </c>
      <c r="Q277" s="124" t="n">
        <f aca="false">E277/P$3</f>
        <v>0</v>
      </c>
      <c r="R277" s="124" t="n">
        <f aca="false">F277/R$3</f>
        <v>0</v>
      </c>
      <c r="S277" s="126" t="n">
        <f aca="false">J277/$R$3</f>
        <v>0</v>
      </c>
      <c r="T277" s="126" t="n">
        <f aca="false">L277/$R$3</f>
        <v>0</v>
      </c>
      <c r="U277" s="126" t="n">
        <f aca="false">I277/$R$3</f>
        <v>14.734</v>
      </c>
      <c r="V277" s="126" t="n">
        <f aca="false">M277/$R$3</f>
        <v>-192.305</v>
      </c>
      <c r="W277" s="126" t="n">
        <f aca="false">N277/$R$3</f>
        <v>-457.35156</v>
      </c>
    </row>
    <row r="278" customFormat="false" ht="12.75" hidden="false" customHeight="false" outlineLevel="0" collapsed="false">
      <c r="A278" s="120" t="n">
        <f aca="false">A277+1</f>
        <v>37164</v>
      </c>
      <c r="B278" s="131" t="str">
        <f aca="false">INDEX('Master Data'!$A$2:$B$8,MATCH(WEEKDAY('ARG Gas IM'!A278,3),'Master Data'!$A$2:$A$8,0),2)</f>
        <v>Su</v>
      </c>
      <c r="D278" s="124"/>
      <c r="E278" s="124"/>
      <c r="F278" s="124"/>
      <c r="G278" s="124"/>
      <c r="I278" s="124" t="n">
        <f aca="false">IF(MONTH($A278)=MONTH($A277),IF(G278=0,I277,G278),G278)</f>
        <v>14734</v>
      </c>
      <c r="J278" s="124" t="n">
        <f aca="false">IF(MONTH($A278)=MONTH($A277),SUM(I278-I277),I278)</f>
        <v>0</v>
      </c>
      <c r="K278" s="124" t="n">
        <f aca="false">IF(WEEKDAY(A278,3)&gt;4,0,(IF(A278&lt;K$2,0,IF(A278&lt;=K$3,1,0))))</f>
        <v>0</v>
      </c>
      <c r="L278" s="124" t="n">
        <f aca="false">J278*K278</f>
        <v>0</v>
      </c>
      <c r="M278" s="124" t="n">
        <f aca="false">SUM(J$188:J278)</f>
        <v>-192305</v>
      </c>
      <c r="N278" s="124" t="n">
        <f aca="false">SUM(J$6:J278)</f>
        <v>-457351.56</v>
      </c>
      <c r="P278" s="124" t="n">
        <f aca="false">D278/P$3</f>
        <v>0</v>
      </c>
      <c r="Q278" s="124" t="n">
        <f aca="false">E278/P$3</f>
        <v>0</v>
      </c>
      <c r="R278" s="124" t="n">
        <f aca="false">F278/R$3</f>
        <v>0</v>
      </c>
      <c r="S278" s="126" t="n">
        <f aca="false">J278/$R$3</f>
        <v>0</v>
      </c>
      <c r="T278" s="126" t="n">
        <f aca="false">L278/$R$3</f>
        <v>0</v>
      </c>
      <c r="U278" s="126" t="n">
        <f aca="false">I278/$R$3</f>
        <v>14.734</v>
      </c>
      <c r="V278" s="126" t="n">
        <f aca="false">M278/$R$3</f>
        <v>-192.305</v>
      </c>
      <c r="W278" s="126" t="n">
        <f aca="false">N278/$R$3</f>
        <v>-457.35156</v>
      </c>
    </row>
    <row r="279" customFormat="false" ht="12.75" hidden="true" customHeight="false" outlineLevel="0" collapsed="false">
      <c r="A279" s="120" t="n">
        <f aca="false">A278+1</f>
        <v>37165</v>
      </c>
      <c r="B279" s="131" t="str">
        <f aca="false">INDEX('Master Data'!$A$2:$B$8,MATCH(WEEKDAY('ARG Gas IM'!A279,3),'Master Data'!$A$2:$A$8,0),2)</f>
        <v>M</v>
      </c>
      <c r="D279" s="124" t="n">
        <v>3948.47699999868</v>
      </c>
      <c r="E279" s="124"/>
      <c r="F279" s="124"/>
      <c r="G279" s="124" t="n">
        <v>-6661</v>
      </c>
      <c r="I279" s="124" t="n">
        <f aca="false">IF(MONTH($A279)=MONTH($A278),IF(G279=0,I278,G279),G279)</f>
        <v>-6661</v>
      </c>
      <c r="J279" s="124" t="n">
        <f aca="false">IF(MONTH($A279)=MONTH($A278),SUM(I279-I278),I279)</f>
        <v>-6661</v>
      </c>
      <c r="K279" s="124" t="n">
        <f aca="false">IF(WEEKDAY(A279,3)&gt;4,0,(IF(A279&lt;K$2,0,IF(A279&lt;=K$3,1,0))))</f>
        <v>0</v>
      </c>
      <c r="L279" s="124" t="n">
        <f aca="false">J279*K279</f>
        <v>-0</v>
      </c>
      <c r="M279" s="124" t="n">
        <f aca="false">SUM(J$188:J279)</f>
        <v>-198966</v>
      </c>
      <c r="N279" s="124" t="n">
        <f aca="false">SUM(J$6:J279)</f>
        <v>-464012.56</v>
      </c>
      <c r="P279" s="124" t="n">
        <f aca="false">D279/P$3</f>
        <v>0.00394847699999868</v>
      </c>
      <c r="Q279" s="124" t="n">
        <f aca="false">E279/P$3</f>
        <v>0</v>
      </c>
      <c r="R279" s="124" t="n">
        <f aca="false">F279/R$3</f>
        <v>0</v>
      </c>
      <c r="S279" s="126" t="n">
        <f aca="false">J279/$R$3</f>
        <v>-6.661</v>
      </c>
      <c r="T279" s="126" t="n">
        <f aca="false">L279/$R$3</f>
        <v>-0</v>
      </c>
      <c r="U279" s="126" t="n">
        <f aca="false">I279/$R$3</f>
        <v>-6.661</v>
      </c>
      <c r="V279" s="126" t="n">
        <f aca="false">M279/$R$3</f>
        <v>-198.966</v>
      </c>
      <c r="W279" s="126" t="n">
        <f aca="false">N279/$R$3</f>
        <v>-464.01256</v>
      </c>
    </row>
    <row r="280" customFormat="false" ht="12.75" hidden="true" customHeight="false" outlineLevel="0" collapsed="false">
      <c r="A280" s="120" t="n">
        <f aca="false">A279+1</f>
        <v>37166</v>
      </c>
      <c r="B280" s="131" t="str">
        <f aca="false">INDEX('Master Data'!$A$2:$B$8,MATCH(WEEKDAY('ARG Gas IM'!A280,3),'Master Data'!$A$2:$A$8,0),2)</f>
        <v>T</v>
      </c>
      <c r="D280" s="124" t="n">
        <v>3817.41790000011</v>
      </c>
      <c r="E280" s="124"/>
      <c r="F280" s="124"/>
      <c r="G280" s="124" t="n">
        <v>-8605</v>
      </c>
      <c r="I280" s="124" t="n">
        <f aca="false">IF(MONTH($A280)=MONTH($A279),IF(G280=0,I279,G280),G280)</f>
        <v>-8605</v>
      </c>
      <c r="J280" s="124" t="n">
        <f aca="false">IF(MONTH($A280)=MONTH($A279),SUM(I280-I279),I280)</f>
        <v>-1944</v>
      </c>
      <c r="K280" s="124" t="n">
        <f aca="false">IF(WEEKDAY(A280,3)&gt;4,0,(IF(A280&lt;K$2,0,IF(A280&lt;=K$3,1,0))))</f>
        <v>0</v>
      </c>
      <c r="L280" s="124" t="n">
        <f aca="false">J280*K280</f>
        <v>-0</v>
      </c>
      <c r="M280" s="124" t="n">
        <f aca="false">SUM(J$280:J280)</f>
        <v>-1944</v>
      </c>
      <c r="N280" s="124" t="n">
        <f aca="false">SUM(J$6:J280)</f>
        <v>-465956.56</v>
      </c>
      <c r="P280" s="124" t="n">
        <f aca="false">D280/P$3</f>
        <v>0.00381741790000011</v>
      </c>
      <c r="Q280" s="124" t="n">
        <f aca="false">E280/P$3</f>
        <v>0</v>
      </c>
      <c r="R280" s="124" t="n">
        <f aca="false">F280/R$3</f>
        <v>0</v>
      </c>
      <c r="S280" s="126" t="n">
        <f aca="false">J280/$R$3</f>
        <v>-1.944</v>
      </c>
      <c r="T280" s="126" t="n">
        <f aca="false">L280/$R$3</f>
        <v>-0</v>
      </c>
      <c r="U280" s="126" t="n">
        <f aca="false">I280/$R$3</f>
        <v>-8.605</v>
      </c>
      <c r="V280" s="126" t="n">
        <f aca="false">M280/$R$3</f>
        <v>-1.944</v>
      </c>
      <c r="W280" s="126" t="n">
        <f aca="false">N280/$R$3</f>
        <v>-465.95656</v>
      </c>
    </row>
    <row r="281" customFormat="false" ht="12.75" hidden="true" customHeight="false" outlineLevel="0" collapsed="false">
      <c r="A281" s="120" t="n">
        <f aca="false">A280+1</f>
        <v>37167</v>
      </c>
      <c r="B281" s="131" t="str">
        <f aca="false">INDEX('Master Data'!$A$2:$B$8,MATCH(WEEKDAY('ARG Gas IM'!A281,3),'Master Data'!$A$2:$A$8,0),2)</f>
        <v>W</v>
      </c>
      <c r="D281" s="124" t="n">
        <v>3686.37360000019</v>
      </c>
      <c r="E281" s="124"/>
      <c r="F281" s="124"/>
      <c r="G281" s="124" t="n">
        <v>-9449</v>
      </c>
      <c r="I281" s="124" t="n">
        <f aca="false">IF(MONTH($A281)=MONTH($A280),IF(G281=0,I280,G281),G281)</f>
        <v>-9449</v>
      </c>
      <c r="J281" s="124" t="n">
        <f aca="false">IF(MONTH($A281)=MONTH($A280),SUM(I281-I280),I281)</f>
        <v>-844</v>
      </c>
      <c r="K281" s="124" t="n">
        <f aca="false">IF(WEEKDAY(A281,3)&gt;4,0,(IF(A281&lt;K$2,0,IF(A281&lt;=K$3,1,0))))</f>
        <v>0</v>
      </c>
      <c r="L281" s="124" t="n">
        <f aca="false">J281*K281</f>
        <v>-0</v>
      </c>
      <c r="M281" s="124" t="n">
        <f aca="false">SUM(J$280:J281)</f>
        <v>-2788</v>
      </c>
      <c r="N281" s="124" t="n">
        <f aca="false">SUM(J$6:J281)</f>
        <v>-466800.56</v>
      </c>
      <c r="P281" s="124" t="n">
        <f aca="false">D281/P$3</f>
        <v>0.00368637360000019</v>
      </c>
      <c r="Q281" s="124" t="n">
        <f aca="false">E281/P$3</f>
        <v>0</v>
      </c>
      <c r="R281" s="124" t="n">
        <f aca="false">F281/R$3</f>
        <v>0</v>
      </c>
      <c r="S281" s="126" t="n">
        <f aca="false">J281/$R$3</f>
        <v>-0.844</v>
      </c>
      <c r="T281" s="126" t="n">
        <f aca="false">L281/$R$3</f>
        <v>-0</v>
      </c>
      <c r="U281" s="126" t="n">
        <f aca="false">I281/$R$3</f>
        <v>-9.449</v>
      </c>
      <c r="V281" s="126" t="n">
        <f aca="false">M281/$R$3</f>
        <v>-2.788</v>
      </c>
      <c r="W281" s="126" t="n">
        <f aca="false">N281/$R$3</f>
        <v>-466.80056</v>
      </c>
    </row>
    <row r="282" customFormat="false" ht="12.75" hidden="true" customHeight="false" outlineLevel="0" collapsed="false">
      <c r="A282" s="120" t="n">
        <f aca="false">A281+1</f>
        <v>37168</v>
      </c>
      <c r="B282" s="131" t="str">
        <f aca="false">INDEX('Master Data'!$A$2:$B$8,MATCH(WEEKDAY('ARG Gas IM'!A282,3),'Master Data'!$A$2:$A$8,0),2)</f>
        <v>Th</v>
      </c>
      <c r="D282" s="124" t="n">
        <v>3555.03869999944</v>
      </c>
      <c r="E282" s="124"/>
      <c r="F282" s="124"/>
      <c r="G282" s="124" t="n">
        <v>-10296</v>
      </c>
      <c r="I282" s="124" t="n">
        <f aca="false">IF(MONTH($A282)=MONTH($A281),IF(G282=0,I281,G282),G282)</f>
        <v>-10296</v>
      </c>
      <c r="J282" s="124" t="n">
        <f aca="false">IF(MONTH($A282)=MONTH($A281),SUM(I282-I281),I282)</f>
        <v>-847</v>
      </c>
      <c r="K282" s="124" t="n">
        <f aca="false">IF(WEEKDAY(A282,3)&gt;4,0,(IF(A282&lt;K$2,0,IF(A282&lt;=K$3,1,0))))</f>
        <v>0</v>
      </c>
      <c r="L282" s="124" t="n">
        <f aca="false">J282*K282</f>
        <v>-0</v>
      </c>
      <c r="M282" s="124" t="n">
        <f aca="false">SUM(J$280:J282)</f>
        <v>-3635</v>
      </c>
      <c r="N282" s="124" t="n">
        <f aca="false">SUM(J$6:J282)</f>
        <v>-467647.56</v>
      </c>
      <c r="P282" s="124" t="n">
        <f aca="false">D282/P$3</f>
        <v>0.00355503869999943</v>
      </c>
      <c r="Q282" s="124" t="n">
        <f aca="false">E282/P$3</f>
        <v>0</v>
      </c>
      <c r="R282" s="124" t="n">
        <f aca="false">F282/R$3</f>
        <v>0</v>
      </c>
      <c r="S282" s="126" t="n">
        <f aca="false">J282/$R$3</f>
        <v>-0.847</v>
      </c>
      <c r="T282" s="126" t="n">
        <f aca="false">L282/$R$3</f>
        <v>-0</v>
      </c>
      <c r="U282" s="126" t="n">
        <f aca="false">I282/$R$3</f>
        <v>-10.296</v>
      </c>
      <c r="V282" s="126" t="n">
        <f aca="false">M282/$R$3</f>
        <v>-3.635</v>
      </c>
      <c r="W282" s="126" t="n">
        <f aca="false">N282/$R$3</f>
        <v>-467.64756</v>
      </c>
    </row>
    <row r="283" customFormat="false" ht="12.75" hidden="true" customHeight="false" outlineLevel="0" collapsed="false">
      <c r="A283" s="120" t="n">
        <f aca="false">A282+1</f>
        <v>37169</v>
      </c>
      <c r="B283" s="131" t="str">
        <f aca="false">INDEX('Master Data'!$A$2:$B$8,MATCH(WEEKDAY('ARG Gas IM'!A283,3),'Master Data'!$A$2:$A$8,0),2)</f>
        <v>F</v>
      </c>
      <c r="D283" s="124" t="n">
        <v>3423.74500000056</v>
      </c>
      <c r="E283" s="124"/>
      <c r="F283" s="124"/>
      <c r="G283" s="124" t="n">
        <v>-11140</v>
      </c>
      <c r="I283" s="124" t="n">
        <f aca="false">IF(MONTH($A283)=MONTH($A282),IF(G283=0,I282,G283),G283)</f>
        <v>-11140</v>
      </c>
      <c r="J283" s="124" t="n">
        <f aca="false">IF(MONTH($A283)=MONTH($A282),SUM(I283-I282),I283)</f>
        <v>-844</v>
      </c>
      <c r="K283" s="124" t="n">
        <f aca="false">IF(WEEKDAY(A283,3)&gt;4,0,(IF(A283&lt;K$2,0,IF(A283&lt;=K$3,1,0))))</f>
        <v>0</v>
      </c>
      <c r="L283" s="124" t="n">
        <f aca="false">J283*K283</f>
        <v>-0</v>
      </c>
      <c r="M283" s="124" t="n">
        <f aca="false">SUM(J$280:J283)</f>
        <v>-4479</v>
      </c>
      <c r="N283" s="124" t="n">
        <f aca="false">SUM(J$6:J283)</f>
        <v>-468491.56</v>
      </c>
      <c r="P283" s="124" t="n">
        <f aca="false">D283/P$3</f>
        <v>0.00342374500000056</v>
      </c>
      <c r="Q283" s="124" t="n">
        <f aca="false">E283/P$3</f>
        <v>0</v>
      </c>
      <c r="R283" s="124" t="n">
        <f aca="false">F283/R$3</f>
        <v>0</v>
      </c>
      <c r="S283" s="126" t="n">
        <f aca="false">J283/$R$3</f>
        <v>-0.844</v>
      </c>
      <c r="T283" s="126" t="n">
        <f aca="false">L283/$R$3</f>
        <v>-0</v>
      </c>
      <c r="U283" s="126" t="n">
        <f aca="false">I283/$R$3</f>
        <v>-11.14</v>
      </c>
      <c r="V283" s="126" t="n">
        <f aca="false">M283/$R$3</f>
        <v>-4.479</v>
      </c>
      <c r="W283" s="126" t="n">
        <f aca="false">N283/$R$3</f>
        <v>-468.49156</v>
      </c>
    </row>
    <row r="284" customFormat="false" ht="12.75" hidden="true" customHeight="false" outlineLevel="0" collapsed="false">
      <c r="A284" s="120" t="n">
        <f aca="false">A283+1</f>
        <v>37170</v>
      </c>
      <c r="B284" s="131" t="str">
        <f aca="false">INDEX('Master Data'!$A$2:$B$8,MATCH(WEEKDAY('ARG Gas IM'!A284,3),'Master Data'!$A$2:$A$8,0),2)</f>
        <v>Sa</v>
      </c>
      <c r="D284" s="124"/>
      <c r="E284" s="124"/>
      <c r="F284" s="124"/>
      <c r="G284" s="124"/>
      <c r="I284" s="124" t="n">
        <f aca="false">IF(MONTH($A284)=MONTH($A283),IF(G284=0,I283,G284),G284)</f>
        <v>-11140</v>
      </c>
      <c r="J284" s="124" t="n">
        <f aca="false">IF(MONTH($A284)=MONTH($A283),SUM(I284-I283),I284)</f>
        <v>0</v>
      </c>
      <c r="K284" s="124" t="n">
        <f aca="false">IF(WEEKDAY(A284,3)&gt;4,0,(IF(A284&lt;K$2,0,IF(A284&lt;=K$3,1,0))))</f>
        <v>0</v>
      </c>
      <c r="L284" s="124" t="n">
        <f aca="false">J284*K284</f>
        <v>0</v>
      </c>
      <c r="M284" s="124" t="n">
        <f aca="false">SUM(J$280:J284)</f>
        <v>-4479</v>
      </c>
      <c r="N284" s="124" t="n">
        <f aca="false">SUM(J$6:J284)</f>
        <v>-468491.56</v>
      </c>
      <c r="P284" s="124" t="n">
        <f aca="false">D284/P$3</f>
        <v>0</v>
      </c>
      <c r="Q284" s="124" t="n">
        <f aca="false">E284/P$3</f>
        <v>0</v>
      </c>
      <c r="R284" s="124" t="n">
        <f aca="false">F284/R$3</f>
        <v>0</v>
      </c>
      <c r="S284" s="126" t="n">
        <f aca="false">J284/$R$3</f>
        <v>0</v>
      </c>
      <c r="T284" s="126" t="n">
        <f aca="false">L284/$R$3</f>
        <v>0</v>
      </c>
      <c r="U284" s="126" t="n">
        <f aca="false">I284/$R$3</f>
        <v>-11.14</v>
      </c>
      <c r="V284" s="126" t="n">
        <f aca="false">M284/$R$3</f>
        <v>-4.479</v>
      </c>
      <c r="W284" s="126" t="n">
        <f aca="false">N284/$R$3</f>
        <v>-468.49156</v>
      </c>
    </row>
    <row r="285" customFormat="false" ht="12.75" hidden="true" customHeight="false" outlineLevel="0" collapsed="false">
      <c r="A285" s="120" t="n">
        <f aca="false">A284+1</f>
        <v>37171</v>
      </c>
      <c r="B285" s="131" t="str">
        <f aca="false">INDEX('Master Data'!$A$2:$B$8,MATCH(WEEKDAY('ARG Gas IM'!A285,3),'Master Data'!$A$2:$A$8,0),2)</f>
        <v>Su</v>
      </c>
      <c r="D285" s="124"/>
      <c r="E285" s="124"/>
      <c r="F285" s="124"/>
      <c r="G285" s="124"/>
      <c r="I285" s="124" t="n">
        <f aca="false">IF(MONTH($A285)=MONTH($A284),IF(G285=0,I284,G285),G285)</f>
        <v>-11140</v>
      </c>
      <c r="J285" s="124" t="n">
        <f aca="false">IF(MONTH($A285)=MONTH($A284),SUM(I285-I284),I285)</f>
        <v>0</v>
      </c>
      <c r="K285" s="124" t="n">
        <f aca="false">IF(WEEKDAY(A285,3)&gt;4,0,(IF(A285&lt;K$2,0,IF(A285&lt;=K$3,1,0))))</f>
        <v>0</v>
      </c>
      <c r="L285" s="124" t="n">
        <f aca="false">J285*K285</f>
        <v>0</v>
      </c>
      <c r="M285" s="124" t="n">
        <f aca="false">SUM(J$280:J285)</f>
        <v>-4479</v>
      </c>
      <c r="N285" s="124" t="n">
        <f aca="false">SUM(J$6:J285)</f>
        <v>-468491.56</v>
      </c>
      <c r="P285" s="124" t="n">
        <f aca="false">D285/P$3</f>
        <v>0</v>
      </c>
      <c r="Q285" s="124" t="n">
        <f aca="false">E285/P$3</f>
        <v>0</v>
      </c>
      <c r="R285" s="124" t="n">
        <f aca="false">F285/R$3</f>
        <v>0</v>
      </c>
      <c r="S285" s="126" t="n">
        <f aca="false">J285/$R$3</f>
        <v>0</v>
      </c>
      <c r="T285" s="126" t="n">
        <f aca="false">L285/$R$3</f>
        <v>0</v>
      </c>
      <c r="U285" s="126" t="n">
        <f aca="false">I285/$R$3</f>
        <v>-11.14</v>
      </c>
      <c r="V285" s="126" t="n">
        <f aca="false">M285/$R$3</f>
        <v>-4.479</v>
      </c>
      <c r="W285" s="126" t="n">
        <f aca="false">N285/$R$3</f>
        <v>-468.49156</v>
      </c>
    </row>
    <row r="286" customFormat="false" ht="12.75" hidden="true" customHeight="false" outlineLevel="0" collapsed="false">
      <c r="A286" s="120" t="n">
        <f aca="false">A285+1</f>
        <v>37172</v>
      </c>
      <c r="B286" s="131" t="str">
        <f aca="false">INDEX('Master Data'!$A$2:$B$8,MATCH(WEEKDAY('ARG Gas IM'!A286,3),'Master Data'!$A$2:$A$8,0),2)</f>
        <v>M</v>
      </c>
      <c r="D286" s="124" t="n">
        <v>3029.29780000087</v>
      </c>
      <c r="E286" s="124"/>
      <c r="F286" s="124"/>
      <c r="G286" s="124" t="n">
        <v>-13675</v>
      </c>
      <c r="I286" s="124" t="n">
        <f aca="false">IF(MONTH($A286)=MONTH($A285),IF(G286=0,I285,G286),G286)</f>
        <v>-13675</v>
      </c>
      <c r="J286" s="124" t="n">
        <f aca="false">IF(MONTH($A286)=MONTH($A285),SUM(I286-I285),I286)</f>
        <v>-2535</v>
      </c>
      <c r="K286" s="124" t="n">
        <f aca="false">IF(WEEKDAY(A286,3)&gt;4,0,(IF(A286&lt;K$2,0,IF(A286&lt;=K$3,1,0))))</f>
        <v>0</v>
      </c>
      <c r="L286" s="124" t="n">
        <f aca="false">J286*K286</f>
        <v>-0</v>
      </c>
      <c r="M286" s="124" t="n">
        <f aca="false">SUM(J$280:J286)</f>
        <v>-7014</v>
      </c>
      <c r="N286" s="124" t="n">
        <f aca="false">SUM(J$6:J286)</f>
        <v>-471026.56</v>
      </c>
      <c r="P286" s="124" t="n">
        <f aca="false">D286/P$3</f>
        <v>0.00302929780000087</v>
      </c>
      <c r="Q286" s="124" t="n">
        <f aca="false">E286/P$3</f>
        <v>0</v>
      </c>
      <c r="R286" s="124" t="n">
        <f aca="false">F286/R$3</f>
        <v>0</v>
      </c>
      <c r="S286" s="126" t="n">
        <f aca="false">J286/$R$3</f>
        <v>-2.535</v>
      </c>
      <c r="T286" s="126" t="n">
        <f aca="false">L286/$R$3</f>
        <v>-0</v>
      </c>
      <c r="U286" s="126" t="n">
        <f aca="false">I286/$R$3</f>
        <v>-13.675</v>
      </c>
      <c r="V286" s="126" t="n">
        <f aca="false">M286/$R$3</f>
        <v>-7.014</v>
      </c>
      <c r="W286" s="126" t="n">
        <f aca="false">N286/$R$3</f>
        <v>-471.02656</v>
      </c>
    </row>
    <row r="287" customFormat="false" ht="12.75" hidden="true" customHeight="false" outlineLevel="0" collapsed="false">
      <c r="A287" s="120" t="n">
        <f aca="false">A286+1</f>
        <v>37173</v>
      </c>
      <c r="B287" s="131" t="str">
        <f aca="false">INDEX('Master Data'!$A$2:$B$8,MATCH(WEEKDAY('ARG Gas IM'!A287,3),'Master Data'!$A$2:$A$8,0),2)</f>
        <v>T</v>
      </c>
      <c r="D287" s="124" t="n">
        <v>6037.34930000019</v>
      </c>
      <c r="E287" s="124"/>
      <c r="F287" s="124"/>
      <c r="G287" s="124" t="n">
        <v>-40764</v>
      </c>
      <c r="I287" s="124" t="n">
        <f aca="false">IF(MONTH($A287)=MONTH($A286),IF(G287=0,I286,G287),G287)</f>
        <v>-40764</v>
      </c>
      <c r="J287" s="124" t="n">
        <f aca="false">IF(MONTH($A287)=MONTH($A286),SUM(I287-I286),I287)</f>
        <v>-27089</v>
      </c>
      <c r="K287" s="124" t="n">
        <f aca="false">IF(WEEKDAY(A287,3)&gt;4,0,(IF(A287&lt;K$2,0,IF(A287&lt;=K$3,1,0))))</f>
        <v>0</v>
      </c>
      <c r="L287" s="124" t="n">
        <f aca="false">J287*K287</f>
        <v>-0</v>
      </c>
      <c r="M287" s="124" t="n">
        <f aca="false">SUM(J$280:J287)</f>
        <v>-34103</v>
      </c>
      <c r="N287" s="124" t="n">
        <f aca="false">SUM(J$6:J287)</f>
        <v>-498115.56</v>
      </c>
      <c r="P287" s="124" t="n">
        <f aca="false">D287/P$3</f>
        <v>0.00603734930000019</v>
      </c>
      <c r="Q287" s="124" t="n">
        <f aca="false">E287/P$3</f>
        <v>0</v>
      </c>
      <c r="R287" s="124" t="n">
        <f aca="false">F287/R$3</f>
        <v>0</v>
      </c>
      <c r="S287" s="126" t="n">
        <f aca="false">J287/$R$3</f>
        <v>-27.089</v>
      </c>
      <c r="T287" s="126" t="n">
        <f aca="false">L287/$R$3</f>
        <v>-0</v>
      </c>
      <c r="U287" s="126" t="n">
        <f aca="false">I287/$R$3</f>
        <v>-40.764</v>
      </c>
      <c r="V287" s="126" t="n">
        <f aca="false">M287/$R$3</f>
        <v>-34.103</v>
      </c>
      <c r="W287" s="126" t="n">
        <f aca="false">N287/$R$3</f>
        <v>-498.11556</v>
      </c>
    </row>
    <row r="288" customFormat="false" ht="12.75" hidden="true" customHeight="false" outlineLevel="0" collapsed="false">
      <c r="A288" s="120" t="n">
        <f aca="false">A287+1</f>
        <v>37174</v>
      </c>
      <c r="B288" s="131" t="str">
        <f aca="false">INDEX('Master Data'!$A$2:$B$8,MATCH(WEEKDAY('ARG Gas IM'!A288,3),'Master Data'!$A$2:$A$8,0),2)</f>
        <v>W</v>
      </c>
      <c r="D288" s="124" t="n">
        <v>4341.28800000006</v>
      </c>
      <c r="E288" s="124"/>
      <c r="F288" s="124"/>
      <c r="G288" s="124" t="n">
        <v>-41531</v>
      </c>
      <c r="I288" s="124" t="n">
        <f aca="false">IF(MONTH($A288)=MONTH($A287),IF(G288=0,I287,G288),G288)</f>
        <v>-41531</v>
      </c>
      <c r="J288" s="124" t="n">
        <f aca="false">IF(MONTH($A288)=MONTH($A287),SUM(I288-I287),I288)</f>
        <v>-767</v>
      </c>
      <c r="K288" s="124" t="n">
        <f aca="false">IF(WEEKDAY(A288,3)&gt;4,0,(IF(A288&lt;K$2,0,IF(A288&lt;=K$3,1,0))))</f>
        <v>0</v>
      </c>
      <c r="L288" s="124" t="n">
        <f aca="false">J288*K288</f>
        <v>-0</v>
      </c>
      <c r="M288" s="124" t="n">
        <f aca="false">SUM(J$280:J288)</f>
        <v>-34870</v>
      </c>
      <c r="N288" s="124" t="n">
        <f aca="false">SUM(J$6:J288)</f>
        <v>-498882.56</v>
      </c>
      <c r="P288" s="124" t="n">
        <f aca="false">D288/P$3</f>
        <v>0.00434128800000006</v>
      </c>
      <c r="Q288" s="124" t="n">
        <f aca="false">E288/P$3</f>
        <v>0</v>
      </c>
      <c r="R288" s="124" t="n">
        <f aca="false">F288/R$3</f>
        <v>0</v>
      </c>
      <c r="S288" s="126" t="n">
        <f aca="false">J288/$R$3</f>
        <v>-0.767</v>
      </c>
      <c r="T288" s="126" t="n">
        <f aca="false">L288/$R$3</f>
        <v>-0</v>
      </c>
      <c r="U288" s="126" t="n">
        <f aca="false">I288/$R$3</f>
        <v>-41.531</v>
      </c>
      <c r="V288" s="126" t="n">
        <f aca="false">M288/$R$3</f>
        <v>-34.87</v>
      </c>
      <c r="W288" s="126" t="n">
        <f aca="false">N288/$R$3</f>
        <v>-498.88256</v>
      </c>
    </row>
    <row r="289" customFormat="false" ht="12.75" hidden="true" customHeight="false" outlineLevel="0" collapsed="false">
      <c r="A289" s="120" t="n">
        <f aca="false">A288+1</f>
        <v>37175</v>
      </c>
      <c r="B289" s="131" t="str">
        <f aca="false">INDEX('Master Data'!$A$2:$B$8,MATCH(WEEKDAY('ARG Gas IM'!A289,3),'Master Data'!$A$2:$A$8,0),2)</f>
        <v>Th</v>
      </c>
      <c r="D289" s="124" t="n">
        <v>4631.66190000014</v>
      </c>
      <c r="E289" s="124"/>
      <c r="F289" s="124"/>
      <c r="G289" s="124" t="n">
        <v>-40819</v>
      </c>
      <c r="I289" s="124" t="n">
        <f aca="false">IF(MONTH($A289)=MONTH($A288),IF(G289=0,I288,G289),G289)</f>
        <v>-40819</v>
      </c>
      <c r="J289" s="124" t="n">
        <f aca="false">IF(MONTH($A289)=MONTH($A288),SUM(I289-I288),I289)</f>
        <v>712</v>
      </c>
      <c r="K289" s="124" t="n">
        <f aca="false">IF(WEEKDAY(A289,3)&gt;4,0,(IF(A289&lt;K$2,0,IF(A289&lt;=K$3,1,0))))</f>
        <v>0</v>
      </c>
      <c r="L289" s="124" t="n">
        <f aca="false">J289*K289</f>
        <v>0</v>
      </c>
      <c r="M289" s="124" t="n">
        <f aca="false">SUM(J$280:J289)</f>
        <v>-34158</v>
      </c>
      <c r="N289" s="124" t="n">
        <f aca="false">SUM(J$6:J289)</f>
        <v>-498170.56</v>
      </c>
      <c r="P289" s="124" t="n">
        <f aca="false">D289/P$3</f>
        <v>0.00463166190000014</v>
      </c>
      <c r="Q289" s="124" t="n">
        <f aca="false">E289/P$3</f>
        <v>0</v>
      </c>
      <c r="R289" s="124" t="n">
        <f aca="false">F289/R$3</f>
        <v>0</v>
      </c>
      <c r="S289" s="126" t="n">
        <f aca="false">J289/$R$3</f>
        <v>0.712</v>
      </c>
      <c r="T289" s="126" t="n">
        <f aca="false">L289/$R$3</f>
        <v>0</v>
      </c>
      <c r="U289" s="126" t="n">
        <f aca="false">I289/$R$3</f>
        <v>-40.819</v>
      </c>
      <c r="V289" s="126" t="n">
        <f aca="false">M289/$R$3</f>
        <v>-34.158</v>
      </c>
      <c r="W289" s="126" t="n">
        <f aca="false">N289/$R$3</f>
        <v>-498.17056</v>
      </c>
    </row>
    <row r="290" customFormat="false" ht="12.75" hidden="true" customHeight="false" outlineLevel="0" collapsed="false">
      <c r="A290" s="120" t="n">
        <f aca="false">A289+1</f>
        <v>37176</v>
      </c>
      <c r="B290" s="131" t="str">
        <f aca="false">INDEX('Master Data'!$A$2:$B$8,MATCH(WEEKDAY('ARG Gas IM'!A290,3),'Master Data'!$A$2:$A$8,0),2)</f>
        <v>F</v>
      </c>
      <c r="D290" s="124" t="n">
        <v>8490.69120000012</v>
      </c>
      <c r="E290" s="124"/>
      <c r="F290" s="124"/>
      <c r="G290" s="124" t="n">
        <v>-42175</v>
      </c>
      <c r="I290" s="124" t="n">
        <f aca="false">IF(MONTH($A290)=MONTH($A289),IF(G290=0,I289,G290),G290)</f>
        <v>-42175</v>
      </c>
      <c r="J290" s="124" t="n">
        <f aca="false">IF(MONTH($A290)=MONTH($A289),SUM(I290-I289),I290)</f>
        <v>-1356</v>
      </c>
      <c r="K290" s="124" t="n">
        <f aca="false">IF(WEEKDAY(A290,3)&gt;4,0,(IF(A290&lt;K$2,0,IF(A290&lt;=K$3,1,0))))</f>
        <v>0</v>
      </c>
      <c r="L290" s="124" t="n">
        <f aca="false">J290*K290</f>
        <v>-0</v>
      </c>
      <c r="M290" s="124" t="n">
        <f aca="false">SUM(J$280:J290)</f>
        <v>-35514</v>
      </c>
      <c r="N290" s="124" t="n">
        <f aca="false">SUM(J$6:J290)</f>
        <v>-499526.56</v>
      </c>
      <c r="P290" s="124" t="n">
        <f aca="false">D290/P$3</f>
        <v>0.00849069120000012</v>
      </c>
      <c r="Q290" s="124" t="n">
        <f aca="false">E290/P$3</f>
        <v>0</v>
      </c>
      <c r="R290" s="124" t="n">
        <f aca="false">F290/R$3</f>
        <v>0</v>
      </c>
      <c r="S290" s="126" t="n">
        <f aca="false">J290/$R$3</f>
        <v>-1.356</v>
      </c>
      <c r="T290" s="126" t="n">
        <f aca="false">L290/$R$3</f>
        <v>-0</v>
      </c>
      <c r="U290" s="126" t="n">
        <f aca="false">I290/$R$3</f>
        <v>-42.175</v>
      </c>
      <c r="V290" s="126" t="n">
        <f aca="false">M290/$R$3</f>
        <v>-35.514</v>
      </c>
      <c r="W290" s="126" t="n">
        <f aca="false">N290/$R$3</f>
        <v>-499.52656</v>
      </c>
    </row>
    <row r="291" customFormat="false" ht="12.75" hidden="true" customHeight="false" outlineLevel="0" collapsed="false">
      <c r="A291" s="120" t="n">
        <f aca="false">A290+1</f>
        <v>37177</v>
      </c>
      <c r="B291" s="131" t="str">
        <f aca="false">INDEX('Master Data'!$A$2:$B$8,MATCH(WEEKDAY('ARG Gas IM'!A291,3),'Master Data'!$A$2:$A$8,0),2)</f>
        <v>Sa</v>
      </c>
      <c r="D291" s="124"/>
      <c r="E291" s="124"/>
      <c r="F291" s="124"/>
      <c r="G291" s="124"/>
      <c r="I291" s="124" t="n">
        <f aca="false">IF(MONTH($A291)=MONTH($A290),IF(G291=0,I290,G291),G291)</f>
        <v>-42175</v>
      </c>
      <c r="J291" s="124" t="n">
        <f aca="false">IF(MONTH($A291)=MONTH($A290),SUM(I291-I290),I291)</f>
        <v>0</v>
      </c>
      <c r="K291" s="124" t="n">
        <f aca="false">IF(WEEKDAY(A291,3)&gt;4,0,(IF(A291&lt;K$2,0,IF(A291&lt;=K$3,1,0))))</f>
        <v>0</v>
      </c>
      <c r="L291" s="124" t="n">
        <f aca="false">J291*K291</f>
        <v>0</v>
      </c>
      <c r="M291" s="124" t="n">
        <f aca="false">SUM(J$280:J291)</f>
        <v>-35514</v>
      </c>
      <c r="N291" s="124" t="n">
        <f aca="false">SUM(J$6:J291)</f>
        <v>-499526.56</v>
      </c>
      <c r="P291" s="124" t="n">
        <f aca="false">D291/P$3</f>
        <v>0</v>
      </c>
      <c r="Q291" s="124" t="n">
        <f aca="false">E291/P$3</f>
        <v>0</v>
      </c>
      <c r="R291" s="124" t="n">
        <f aca="false">F291/R$3</f>
        <v>0</v>
      </c>
      <c r="S291" s="126" t="n">
        <f aca="false">J291/$R$3</f>
        <v>0</v>
      </c>
      <c r="T291" s="126" t="n">
        <f aca="false">L291/$R$3</f>
        <v>0</v>
      </c>
      <c r="U291" s="126" t="n">
        <f aca="false">I291/$R$3</f>
        <v>-42.175</v>
      </c>
      <c r="V291" s="126" t="n">
        <f aca="false">M291/$R$3</f>
        <v>-35.514</v>
      </c>
      <c r="W291" s="126" t="n">
        <f aca="false">N291/$R$3</f>
        <v>-499.52656</v>
      </c>
    </row>
    <row r="292" customFormat="false" ht="12.75" hidden="true" customHeight="false" outlineLevel="0" collapsed="false">
      <c r="A292" s="120" t="n">
        <f aca="false">A291+1</f>
        <v>37178</v>
      </c>
      <c r="B292" s="131" t="str">
        <f aca="false">INDEX('Master Data'!$A$2:$B$8,MATCH(WEEKDAY('ARG Gas IM'!A292,3),'Master Data'!$A$2:$A$8,0),2)</f>
        <v>Su</v>
      </c>
      <c r="D292" s="124"/>
      <c r="E292" s="124"/>
      <c r="F292" s="124"/>
      <c r="G292" s="124"/>
      <c r="I292" s="124" t="n">
        <f aca="false">IF(MONTH($A292)=MONTH($A291),IF(G292=0,I291,G292),G292)</f>
        <v>-42175</v>
      </c>
      <c r="J292" s="124" t="n">
        <f aca="false">IF(MONTH($A292)=MONTH($A291),SUM(I292-I291),I292)</f>
        <v>0</v>
      </c>
      <c r="K292" s="124" t="n">
        <f aca="false">IF(WEEKDAY(A292,3)&gt;4,0,(IF(A292&lt;K$2,0,IF(A292&lt;=K$3,1,0))))</f>
        <v>0</v>
      </c>
      <c r="L292" s="124" t="n">
        <f aca="false">J292*K292</f>
        <v>0</v>
      </c>
      <c r="M292" s="124" t="n">
        <f aca="false">SUM(J$280:J292)</f>
        <v>-35514</v>
      </c>
      <c r="N292" s="124" t="n">
        <f aca="false">SUM(J$6:J292)</f>
        <v>-499526.56</v>
      </c>
      <c r="P292" s="124" t="n">
        <f aca="false">D292/P$3</f>
        <v>0</v>
      </c>
      <c r="Q292" s="124" t="n">
        <f aca="false">E292/P$3</f>
        <v>0</v>
      </c>
      <c r="R292" s="124" t="n">
        <f aca="false">F292/R$3</f>
        <v>0</v>
      </c>
      <c r="S292" s="126" t="n">
        <f aca="false">J292/$R$3</f>
        <v>0</v>
      </c>
      <c r="T292" s="126" t="n">
        <f aca="false">L292/$R$3</f>
        <v>0</v>
      </c>
      <c r="U292" s="126" t="n">
        <f aca="false">I292/$R$3</f>
        <v>-42.175</v>
      </c>
      <c r="V292" s="126" t="n">
        <f aca="false">M292/$R$3</f>
        <v>-35.514</v>
      </c>
      <c r="W292" s="126" t="n">
        <f aca="false">N292/$R$3</f>
        <v>-499.52656</v>
      </c>
    </row>
    <row r="293" customFormat="false" ht="12.75" hidden="true" customHeight="false" outlineLevel="0" collapsed="false">
      <c r="A293" s="120" t="n">
        <f aca="false">A292+1</f>
        <v>37179</v>
      </c>
      <c r="B293" s="131" t="str">
        <f aca="false">INDEX('Master Data'!$A$2:$B$8,MATCH(WEEKDAY('ARG Gas IM'!A293,3),'Master Data'!$A$2:$A$8,0),2)</f>
        <v>M</v>
      </c>
      <c r="D293" s="124" t="n">
        <v>29911.1066000001</v>
      </c>
      <c r="E293" s="124"/>
      <c r="F293" s="124"/>
      <c r="G293" s="124" t="n">
        <v>-26422</v>
      </c>
      <c r="I293" s="124" t="n">
        <f aca="false">IF(MONTH($A293)=MONTH($A292),IF(G293=0,I292,G293),G293)</f>
        <v>-26422</v>
      </c>
      <c r="J293" s="124" t="n">
        <f aca="false">IF(MONTH($A293)=MONTH($A292),SUM(I293-I292),I293)</f>
        <v>15753</v>
      </c>
      <c r="K293" s="124" t="n">
        <f aca="false">IF(WEEKDAY(A293,3)&gt;4,0,(IF(A293&lt;K$2,0,IF(A293&lt;=K$3,1,0))))</f>
        <v>0</v>
      </c>
      <c r="L293" s="124" t="n">
        <f aca="false">J293*K293</f>
        <v>0</v>
      </c>
      <c r="M293" s="124" t="n">
        <f aca="false">SUM(J$280:J293)</f>
        <v>-19761</v>
      </c>
      <c r="N293" s="124" t="n">
        <f aca="false">SUM(J$6:J293)</f>
        <v>-483773.56</v>
      </c>
      <c r="P293" s="124" t="n">
        <f aca="false">D293/P$3</f>
        <v>0.0299111066000001</v>
      </c>
      <c r="Q293" s="124" t="n">
        <f aca="false">E293/P$3</f>
        <v>0</v>
      </c>
      <c r="R293" s="124" t="n">
        <f aca="false">F293/R$3</f>
        <v>0</v>
      </c>
      <c r="S293" s="126" t="n">
        <f aca="false">J293/$R$3</f>
        <v>15.753</v>
      </c>
      <c r="T293" s="126" t="n">
        <f aca="false">L293/$R$3</f>
        <v>0</v>
      </c>
      <c r="U293" s="126" t="n">
        <f aca="false">I293/$R$3</f>
        <v>-26.422</v>
      </c>
      <c r="V293" s="126" t="n">
        <f aca="false">M293/$R$3</f>
        <v>-19.761</v>
      </c>
      <c r="W293" s="126" t="n">
        <f aca="false">N293/$R$3</f>
        <v>-483.77356</v>
      </c>
    </row>
    <row r="294" customFormat="false" ht="12.75" hidden="true" customHeight="false" outlineLevel="0" collapsed="false">
      <c r="A294" s="120" t="n">
        <f aca="false">A293+1</f>
        <v>37180</v>
      </c>
      <c r="B294" s="131" t="str">
        <f aca="false">INDEX('Master Data'!$A$2:$B$8,MATCH(WEEKDAY('ARG Gas IM'!A294,3),'Master Data'!$A$2:$A$8,0),2)</f>
        <v>T</v>
      </c>
      <c r="D294" s="124" t="n">
        <v>27942.9088999999</v>
      </c>
      <c r="E294" s="124"/>
      <c r="F294" s="124"/>
      <c r="G294" s="124" t="n">
        <v>-24239</v>
      </c>
      <c r="I294" s="124" t="n">
        <f aca="false">IF(MONTH($A294)=MONTH($A293),IF(G294=0,I293,G294),G294)</f>
        <v>-24239</v>
      </c>
      <c r="J294" s="124" t="n">
        <f aca="false">IF(MONTH($A294)=MONTH($A293),SUM(I294-I293),I294)</f>
        <v>2183</v>
      </c>
      <c r="K294" s="124" t="n">
        <f aca="false">IF(WEEKDAY(A294,3)&gt;4,0,(IF(A294&lt;K$2,0,IF(A294&lt;=K$3,1,0))))</f>
        <v>0</v>
      </c>
      <c r="L294" s="124" t="n">
        <f aca="false">J294*K294</f>
        <v>0</v>
      </c>
      <c r="M294" s="124" t="n">
        <f aca="false">SUM(J$280:J294)</f>
        <v>-17578</v>
      </c>
      <c r="N294" s="124" t="n">
        <f aca="false">SUM(J$6:J294)</f>
        <v>-481590.56</v>
      </c>
      <c r="P294" s="124" t="n">
        <f aca="false">D294/P$3</f>
        <v>0.0279429088999999</v>
      </c>
      <c r="Q294" s="124" t="n">
        <f aca="false">E294/P$3</f>
        <v>0</v>
      </c>
      <c r="R294" s="124" t="n">
        <f aca="false">F294/R$3</f>
        <v>0</v>
      </c>
      <c r="S294" s="126" t="n">
        <f aca="false">J294/$R$3</f>
        <v>2.183</v>
      </c>
      <c r="T294" s="126" t="n">
        <f aca="false">L294/$R$3</f>
        <v>0</v>
      </c>
      <c r="U294" s="126" t="n">
        <f aca="false">I294/$R$3</f>
        <v>-24.239</v>
      </c>
      <c r="V294" s="126" t="n">
        <f aca="false">M294/$R$3</f>
        <v>-17.578</v>
      </c>
      <c r="W294" s="126" t="n">
        <f aca="false">N294/$R$3</f>
        <v>-481.59056</v>
      </c>
    </row>
    <row r="295" customFormat="false" ht="12.75" hidden="true" customHeight="false" outlineLevel="0" collapsed="false">
      <c r="A295" s="120" t="n">
        <f aca="false">A294+1</f>
        <v>37181</v>
      </c>
      <c r="B295" s="131" t="str">
        <f aca="false">INDEX('Master Data'!$A$2:$B$8,MATCH(WEEKDAY('ARG Gas IM'!A295,3),'Master Data'!$A$2:$A$8,0),2)</f>
        <v>W</v>
      </c>
      <c r="D295" s="124" t="n">
        <v>26120.4575999998</v>
      </c>
      <c r="E295" s="124"/>
      <c r="F295" s="124"/>
      <c r="G295" s="124" t="n">
        <v>-26103</v>
      </c>
      <c r="I295" s="124" t="n">
        <f aca="false">IF(MONTH($A295)=MONTH($A294),IF(G295=0,I294,G295),G295)</f>
        <v>-26103</v>
      </c>
      <c r="J295" s="124" t="n">
        <f aca="false">IF(MONTH($A295)=MONTH($A294),SUM(I295-I294),I295)</f>
        <v>-1864</v>
      </c>
      <c r="K295" s="124" t="n">
        <f aca="false">IF(WEEKDAY(A295,3)&gt;4,0,(IF(A295&lt;K$2,0,IF(A295&lt;=K$3,1,0))))</f>
        <v>0</v>
      </c>
      <c r="L295" s="124" t="n">
        <f aca="false">J295*K295</f>
        <v>-0</v>
      </c>
      <c r="M295" s="124" t="n">
        <f aca="false">SUM(J$280:J295)</f>
        <v>-19442</v>
      </c>
      <c r="N295" s="124" t="n">
        <f aca="false">SUM(J$6:J295)</f>
        <v>-483454.56</v>
      </c>
      <c r="P295" s="124" t="n">
        <f aca="false">D295/P$3</f>
        <v>0.0261204575999998</v>
      </c>
      <c r="Q295" s="124" t="n">
        <f aca="false">E295/P$3</f>
        <v>0</v>
      </c>
      <c r="R295" s="124" t="n">
        <f aca="false">F295/R$3</f>
        <v>0</v>
      </c>
      <c r="S295" s="126" t="n">
        <f aca="false">J295/$R$3</f>
        <v>-1.864</v>
      </c>
      <c r="T295" s="126" t="n">
        <f aca="false">L295/$R$3</f>
        <v>-0</v>
      </c>
      <c r="U295" s="126" t="n">
        <f aca="false">I295/$R$3</f>
        <v>-26.103</v>
      </c>
      <c r="V295" s="126" t="n">
        <f aca="false">M295/$R$3</f>
        <v>-19.442</v>
      </c>
      <c r="W295" s="126" t="n">
        <f aca="false">N295/$R$3</f>
        <v>-483.45456</v>
      </c>
    </row>
    <row r="296" customFormat="false" ht="12.75" hidden="true" customHeight="false" outlineLevel="0" collapsed="false">
      <c r="A296" s="120" t="n">
        <f aca="false">A295+1</f>
        <v>37182</v>
      </c>
      <c r="B296" s="131" t="str">
        <f aca="false">INDEX('Master Data'!$A$2:$B$8,MATCH(WEEKDAY('ARG Gas IM'!A296,3),'Master Data'!$A$2:$A$8,0),2)</f>
        <v>Th</v>
      </c>
      <c r="D296" s="124" t="n">
        <v>24294.4514</v>
      </c>
      <c r="E296" s="124"/>
      <c r="F296" s="124"/>
      <c r="G296" s="124" t="n">
        <v>-27969</v>
      </c>
      <c r="I296" s="124" t="n">
        <f aca="false">IF(MONTH($A296)=MONTH($A295),IF(G296=0,I295,G296),G296)</f>
        <v>-27969</v>
      </c>
      <c r="J296" s="124" t="n">
        <f aca="false">IF(MONTH($A296)=MONTH($A295),SUM(I296-I295),I296)</f>
        <v>-1866</v>
      </c>
      <c r="K296" s="124" t="n">
        <f aca="false">IF(WEEKDAY(A296,3)&gt;4,0,(IF(A296&lt;K$2,0,IF(A296&lt;=K$3,1,0))))</f>
        <v>0</v>
      </c>
      <c r="L296" s="124" t="n">
        <f aca="false">J296*K296</f>
        <v>-0</v>
      </c>
      <c r="M296" s="124" t="n">
        <f aca="false">SUM(J$280:J296)</f>
        <v>-21308</v>
      </c>
      <c r="N296" s="124" t="n">
        <f aca="false">SUM(J$6:J296)</f>
        <v>-485320.56</v>
      </c>
      <c r="P296" s="124" t="n">
        <f aca="false">D296/P$3</f>
        <v>0.0242944514</v>
      </c>
      <c r="Q296" s="124" t="n">
        <f aca="false">E296/P$3</f>
        <v>0</v>
      </c>
      <c r="R296" s="124" t="n">
        <f aca="false">F296/R$3</f>
        <v>0</v>
      </c>
      <c r="S296" s="126" t="n">
        <f aca="false">J296/$R$3</f>
        <v>-1.866</v>
      </c>
      <c r="T296" s="126" t="n">
        <f aca="false">L296/$R$3</f>
        <v>-0</v>
      </c>
      <c r="U296" s="126" t="n">
        <f aca="false">I296/$R$3</f>
        <v>-27.969</v>
      </c>
      <c r="V296" s="126" t="n">
        <f aca="false">M296/$R$3</f>
        <v>-21.308</v>
      </c>
      <c r="W296" s="126" t="n">
        <f aca="false">N296/$R$3</f>
        <v>-485.32056</v>
      </c>
    </row>
    <row r="297" customFormat="false" ht="12.75" hidden="true" customHeight="false" outlineLevel="0" collapsed="false">
      <c r="A297" s="120" t="n">
        <f aca="false">A296+1</f>
        <v>37183</v>
      </c>
      <c r="B297" s="131" t="str">
        <f aca="false">INDEX('Master Data'!$A$2:$B$8,MATCH(WEEKDAY('ARG Gas IM'!A297,3),'Master Data'!$A$2:$A$8,0),2)</f>
        <v>F</v>
      </c>
      <c r="D297" s="124" t="n">
        <v>22469.7034</v>
      </c>
      <c r="E297" s="124"/>
      <c r="F297" s="124"/>
      <c r="G297" s="124" t="n">
        <v>-29835</v>
      </c>
      <c r="I297" s="124" t="n">
        <f aca="false">IF(MONTH($A297)=MONTH($A296),IF(G297=0,I296,G297),G297)</f>
        <v>-29835</v>
      </c>
      <c r="J297" s="124" t="n">
        <f aca="false">IF(MONTH($A297)=MONTH($A296),SUM(I297-I296),I297)</f>
        <v>-1866</v>
      </c>
      <c r="K297" s="124" t="n">
        <f aca="false">IF(WEEKDAY(A297,3)&gt;4,0,(IF(A297&lt;K$2,0,IF(A297&lt;=K$3,1,0))))</f>
        <v>0</v>
      </c>
      <c r="L297" s="124" t="n">
        <f aca="false">J297*K297</f>
        <v>-0</v>
      </c>
      <c r="M297" s="124" t="n">
        <f aca="false">SUM(J$280:J297)</f>
        <v>-23174</v>
      </c>
      <c r="N297" s="124" t="n">
        <f aca="false">SUM(J$6:J297)</f>
        <v>-487186.56</v>
      </c>
      <c r="P297" s="124" t="n">
        <f aca="false">D297/P$3</f>
        <v>0.0224697034</v>
      </c>
      <c r="Q297" s="124" t="n">
        <f aca="false">E297/P$3</f>
        <v>0</v>
      </c>
      <c r="R297" s="124" t="n">
        <f aca="false">F297/R$3</f>
        <v>0</v>
      </c>
      <c r="S297" s="126" t="n">
        <f aca="false">J297/$R$3</f>
        <v>-1.866</v>
      </c>
      <c r="T297" s="126" t="n">
        <f aca="false">L297/$R$3</f>
        <v>-0</v>
      </c>
      <c r="U297" s="126" t="n">
        <f aca="false">I297/$R$3</f>
        <v>-29.835</v>
      </c>
      <c r="V297" s="126" t="n">
        <f aca="false">M297/$R$3</f>
        <v>-23.174</v>
      </c>
      <c r="W297" s="126" t="n">
        <f aca="false">N297/$R$3</f>
        <v>-487.18656</v>
      </c>
    </row>
    <row r="298" customFormat="false" ht="12.75" hidden="true" customHeight="false" outlineLevel="0" collapsed="false">
      <c r="A298" s="120" t="n">
        <f aca="false">A297+1</f>
        <v>37184</v>
      </c>
      <c r="B298" s="131" t="str">
        <f aca="false">INDEX('Master Data'!$A$2:$B$8,MATCH(WEEKDAY('ARG Gas IM'!A298,3),'Master Data'!$A$2:$A$8,0),2)</f>
        <v>Sa</v>
      </c>
      <c r="D298" s="124"/>
      <c r="E298" s="124"/>
      <c r="F298" s="124"/>
      <c r="G298" s="124"/>
      <c r="I298" s="124" t="n">
        <f aca="false">IF(MONTH($A298)=MONTH($A297),IF(G298=0,I297,G298),G298)</f>
        <v>-29835</v>
      </c>
      <c r="J298" s="124" t="n">
        <f aca="false">IF(MONTH($A298)=MONTH($A297),SUM(I298-I297),I298)</f>
        <v>0</v>
      </c>
      <c r="K298" s="124" t="n">
        <f aca="false">IF(WEEKDAY(A298,3)&gt;4,0,(IF(A298&lt;K$2,0,IF(A298&lt;=K$3,1,0))))</f>
        <v>0</v>
      </c>
      <c r="L298" s="124" t="n">
        <f aca="false">J298*K298</f>
        <v>0</v>
      </c>
      <c r="M298" s="124" t="n">
        <f aca="false">SUM(J$280:J298)</f>
        <v>-23174</v>
      </c>
      <c r="N298" s="124" t="n">
        <f aca="false">SUM(J$6:J298)</f>
        <v>-487186.56</v>
      </c>
      <c r="P298" s="124" t="n">
        <f aca="false">D298/P$3</f>
        <v>0</v>
      </c>
      <c r="Q298" s="124" t="n">
        <f aca="false">E298/P$3</f>
        <v>0</v>
      </c>
      <c r="R298" s="124" t="n">
        <f aca="false">F298/R$3</f>
        <v>0</v>
      </c>
      <c r="S298" s="126" t="n">
        <f aca="false">J298/$R$3</f>
        <v>0</v>
      </c>
      <c r="T298" s="126" t="n">
        <f aca="false">L298/$R$3</f>
        <v>0</v>
      </c>
      <c r="U298" s="126" t="n">
        <f aca="false">I298/$R$3</f>
        <v>-29.835</v>
      </c>
      <c r="V298" s="126" t="n">
        <f aca="false">M298/$R$3</f>
        <v>-23.174</v>
      </c>
      <c r="W298" s="126" t="n">
        <f aca="false">N298/$R$3</f>
        <v>-487.18656</v>
      </c>
    </row>
    <row r="299" customFormat="false" ht="12.75" hidden="true" customHeight="false" outlineLevel="0" collapsed="false">
      <c r="A299" s="120" t="n">
        <f aca="false">A298+1</f>
        <v>37185</v>
      </c>
      <c r="B299" s="131" t="str">
        <f aca="false">INDEX('Master Data'!$A$2:$B$8,MATCH(WEEKDAY('ARG Gas IM'!A299,3),'Master Data'!$A$2:$A$8,0),2)</f>
        <v>Su</v>
      </c>
      <c r="D299" s="124"/>
      <c r="E299" s="124"/>
      <c r="F299" s="124"/>
      <c r="G299" s="124"/>
      <c r="I299" s="124" t="n">
        <f aca="false">IF(MONTH($A299)=MONTH($A298),IF(G299=0,I298,G299),G299)</f>
        <v>-29835</v>
      </c>
      <c r="J299" s="124" t="n">
        <f aca="false">IF(MONTH($A299)=MONTH($A298),SUM(I299-I298),I299)</f>
        <v>0</v>
      </c>
      <c r="K299" s="124" t="n">
        <f aca="false">IF(WEEKDAY(A299,3)&gt;4,0,(IF(A299&lt;K$2,0,IF(A299&lt;=K$3,1,0))))</f>
        <v>0</v>
      </c>
      <c r="L299" s="124" t="n">
        <f aca="false">J299*K299</f>
        <v>0</v>
      </c>
      <c r="M299" s="124" t="n">
        <f aca="false">SUM(J$280:J299)</f>
        <v>-23174</v>
      </c>
      <c r="N299" s="124" t="n">
        <f aca="false">SUM(J$6:J299)</f>
        <v>-487186.56</v>
      </c>
      <c r="P299" s="124" t="n">
        <f aca="false">D299/P$3</f>
        <v>0</v>
      </c>
      <c r="Q299" s="124" t="n">
        <f aca="false">E299/P$3</f>
        <v>0</v>
      </c>
      <c r="R299" s="124" t="n">
        <f aca="false">F299/R$3</f>
        <v>0</v>
      </c>
      <c r="S299" s="126" t="n">
        <f aca="false">J299/$R$3</f>
        <v>0</v>
      </c>
      <c r="T299" s="126" t="n">
        <f aca="false">L299/$R$3</f>
        <v>0</v>
      </c>
      <c r="U299" s="126" t="n">
        <f aca="false">I299/$R$3</f>
        <v>-29.835</v>
      </c>
      <c r="V299" s="126" t="n">
        <f aca="false">M299/$R$3</f>
        <v>-23.174</v>
      </c>
      <c r="W299" s="126" t="n">
        <f aca="false">N299/$R$3</f>
        <v>-487.18656</v>
      </c>
    </row>
    <row r="300" customFormat="false" ht="12.75" hidden="false" customHeight="false" outlineLevel="0" collapsed="false">
      <c r="A300" s="120" t="n">
        <f aca="false">A299+1</f>
        <v>37186</v>
      </c>
      <c r="B300" s="131" t="str">
        <f aca="false">INDEX('Master Data'!$A$2:$B$8,MATCH(WEEKDAY('ARG Gas IM'!A300,3),'Master Data'!$A$2:$A$8,0),2)</f>
        <v>M</v>
      </c>
      <c r="D300" s="124" t="n">
        <v>6501.22290000006</v>
      </c>
      <c r="E300" s="124"/>
      <c r="F300" s="124"/>
      <c r="G300" s="124" t="n">
        <v>-29748</v>
      </c>
      <c r="I300" s="124" t="n">
        <f aca="false">IF(MONTH($A300)=MONTH($A299),IF(G300=0,I299,G300),G300)</f>
        <v>-29748</v>
      </c>
      <c r="J300" s="124" t="n">
        <f aca="false">IF(MONTH($A300)=MONTH($A299),SUM(I300-I299),I300)</f>
        <v>87</v>
      </c>
      <c r="K300" s="124" t="n">
        <f aca="false">IF(WEEKDAY(A300,3)&gt;4,0,(IF(A300&lt;K$2,0,IF(A300&lt;=K$3,1,0))))</f>
        <v>0</v>
      </c>
      <c r="L300" s="124" t="n">
        <f aca="false">J300*K300</f>
        <v>0</v>
      </c>
      <c r="M300" s="124" t="n">
        <f aca="false">SUM(J$280:J300)</f>
        <v>-23087</v>
      </c>
      <c r="N300" s="124" t="n">
        <f aca="false">SUM(J$6:J300)</f>
        <v>-487099.56</v>
      </c>
      <c r="P300" s="124" t="n">
        <f aca="false">D300/P$3</f>
        <v>0.00650122290000006</v>
      </c>
      <c r="Q300" s="124" t="n">
        <f aca="false">E300/P$3</f>
        <v>0</v>
      </c>
      <c r="R300" s="124" t="n">
        <f aca="false">F300/R$3</f>
        <v>0</v>
      </c>
      <c r="S300" s="126" t="n">
        <f aca="false">J300/$R$3</f>
        <v>0.087</v>
      </c>
      <c r="T300" s="126" t="n">
        <f aca="false">L300/$R$3</f>
        <v>0</v>
      </c>
      <c r="U300" s="126" t="n">
        <f aca="false">I300/$R$3</f>
        <v>-29.748</v>
      </c>
      <c r="V300" s="126" t="n">
        <f aca="false">M300/$R$3</f>
        <v>-23.087</v>
      </c>
      <c r="W300" s="126" t="n">
        <f aca="false">N300/$R$3</f>
        <v>-487.09956</v>
      </c>
    </row>
    <row r="301" customFormat="false" ht="12.75" hidden="false" customHeight="false" outlineLevel="0" collapsed="false">
      <c r="A301" s="120" t="n">
        <f aca="false">A300+1</f>
        <v>37187</v>
      </c>
      <c r="B301" s="131" t="str">
        <f aca="false">INDEX('Master Data'!$A$2:$B$8,MATCH(WEEKDAY('ARG Gas IM'!A301,3),'Master Data'!$A$2:$A$8,0),2)</f>
        <v>T</v>
      </c>
      <c r="D301" s="124" t="n">
        <v>5779.11360000001</v>
      </c>
      <c r="E301" s="124"/>
      <c r="F301" s="124"/>
      <c r="G301" s="124" t="n">
        <v>-35776</v>
      </c>
      <c r="I301" s="124" t="n">
        <f aca="false">IF(MONTH($A301)=MONTH($A300),IF(G301=0,I300,G301),G301)</f>
        <v>-35776</v>
      </c>
      <c r="J301" s="124" t="n">
        <f aca="false">IF(MONTH($A301)=MONTH($A300),SUM(I301-I300),I301)</f>
        <v>-6028</v>
      </c>
      <c r="K301" s="124" t="n">
        <f aca="false">IF(WEEKDAY(A301,3)&gt;4,0,(IF(A301&lt;K$2,0,IF(A301&lt;=K$3,1,0))))</f>
        <v>0</v>
      </c>
      <c r="L301" s="124" t="n">
        <f aca="false">J301*K301</f>
        <v>-0</v>
      </c>
      <c r="M301" s="124" t="n">
        <f aca="false">SUM(J$280:J301)</f>
        <v>-29115</v>
      </c>
      <c r="N301" s="124" t="n">
        <f aca="false">SUM(J$6:J301)</f>
        <v>-493127.56</v>
      </c>
      <c r="P301" s="124" t="n">
        <f aca="false">D301/P$3</f>
        <v>0.00577911360000001</v>
      </c>
      <c r="Q301" s="124" t="n">
        <f aca="false">E301/P$3</f>
        <v>0</v>
      </c>
      <c r="R301" s="124" t="n">
        <f aca="false">F301/R$3</f>
        <v>0</v>
      </c>
      <c r="S301" s="126" t="n">
        <f aca="false">J301/$R$3</f>
        <v>-6.028</v>
      </c>
      <c r="T301" s="126" t="n">
        <f aca="false">L301/$R$3</f>
        <v>-0</v>
      </c>
      <c r="U301" s="126" t="n">
        <f aca="false">I301/$R$3</f>
        <v>-35.776</v>
      </c>
      <c r="V301" s="126" t="n">
        <f aca="false">M301/$R$3</f>
        <v>-29.115</v>
      </c>
      <c r="W301" s="126" t="n">
        <f aca="false">N301/$R$3</f>
        <v>-493.12756</v>
      </c>
    </row>
    <row r="302" customFormat="false" ht="12.75" hidden="false" customHeight="false" outlineLevel="0" collapsed="false">
      <c r="A302" s="120" t="n">
        <f aca="false">A301+1</f>
        <v>37188</v>
      </c>
      <c r="B302" s="131" t="str">
        <f aca="false">INDEX('Master Data'!$A$2:$B$8,MATCH(WEEKDAY('ARG Gas IM'!A302,3),'Master Data'!$A$2:$A$8,0),2)</f>
        <v>W</v>
      </c>
      <c r="D302" s="124" t="n">
        <v>5057.09399999996</v>
      </c>
      <c r="E302" s="124"/>
      <c r="F302" s="124"/>
      <c r="G302" s="124" t="n">
        <v>-45093</v>
      </c>
      <c r="I302" s="124" t="n">
        <f aca="false">IF(MONTH($A302)=MONTH($A301),IF(G302=0,I301,G302),G302)</f>
        <v>-45093</v>
      </c>
      <c r="J302" s="124" t="n">
        <f aca="false">IF(MONTH($A302)=MONTH($A301),SUM(I302-I301),I302)</f>
        <v>-9317</v>
      </c>
      <c r="K302" s="124" t="n">
        <f aca="false">IF(WEEKDAY(A302,3)&gt;4,0,(IF(A302&lt;K$2,0,IF(A302&lt;=K$3,1,0))))</f>
        <v>0</v>
      </c>
      <c r="L302" s="124" t="n">
        <f aca="false">J302*K302</f>
        <v>-0</v>
      </c>
      <c r="M302" s="124" t="n">
        <f aca="false">SUM(J$280:J302)</f>
        <v>-38432</v>
      </c>
      <c r="N302" s="124" t="n">
        <f aca="false">SUM(J$6:J302)</f>
        <v>-502444.56</v>
      </c>
      <c r="P302" s="124" t="n">
        <f aca="false">D302/P$3</f>
        <v>0.00505709399999996</v>
      </c>
      <c r="Q302" s="124" t="n">
        <f aca="false">E302/P$3</f>
        <v>0</v>
      </c>
      <c r="R302" s="124" t="n">
        <f aca="false">F302/R$3</f>
        <v>0</v>
      </c>
      <c r="S302" s="126" t="n">
        <f aca="false">J302/$R$3</f>
        <v>-9.317</v>
      </c>
      <c r="T302" s="126" t="n">
        <f aca="false">L302/$R$3</f>
        <v>-0</v>
      </c>
      <c r="U302" s="126" t="n">
        <f aca="false">I302/$R$3</f>
        <v>-45.093</v>
      </c>
      <c r="V302" s="126" t="n">
        <f aca="false">M302/$R$3</f>
        <v>-38.432</v>
      </c>
      <c r="W302" s="126" t="n">
        <f aca="false">N302/$R$3</f>
        <v>-502.44456</v>
      </c>
    </row>
    <row r="303" customFormat="false" ht="12.75" hidden="false" customHeight="false" outlineLevel="0" collapsed="false">
      <c r="A303" s="120" t="n">
        <f aca="false">A302+1</f>
        <v>37189</v>
      </c>
      <c r="B303" s="131" t="str">
        <f aca="false">INDEX('Master Data'!$A$2:$B$8,MATCH(WEEKDAY('ARG Gas IM'!A303,3),'Master Data'!$A$2:$A$8,0),2)</f>
        <v>Th</v>
      </c>
      <c r="D303" s="124" t="n">
        <v>4334.97420000004</v>
      </c>
      <c r="E303" s="124"/>
      <c r="F303" s="124"/>
      <c r="G303" s="124" t="n">
        <v>-57437</v>
      </c>
      <c r="I303" s="124" t="n">
        <f aca="false">IF(MONTH($A303)=MONTH($A302),IF(G303=0,I302,G303),G303)</f>
        <v>-57437</v>
      </c>
      <c r="J303" s="124" t="n">
        <f aca="false">IF(MONTH($A303)=MONTH($A302),SUM(I303-I302),I303)</f>
        <v>-12344</v>
      </c>
      <c r="K303" s="124" t="n">
        <f aca="false">IF(WEEKDAY(A303,3)&gt;4,0,(IF(A303&lt;K$2,0,IF(A303&lt;=K$3,1,0))))</f>
        <v>0</v>
      </c>
      <c r="L303" s="124" t="n">
        <f aca="false">J303*K303</f>
        <v>-0</v>
      </c>
      <c r="M303" s="124" t="n">
        <f aca="false">SUM(J$280:J303)</f>
        <v>-50776</v>
      </c>
      <c r="N303" s="124" t="n">
        <f aca="false">SUM(J$6:J303)</f>
        <v>-514788.56</v>
      </c>
      <c r="P303" s="124" t="n">
        <f aca="false">D303/P$3</f>
        <v>0.00433497420000004</v>
      </c>
      <c r="Q303" s="124" t="n">
        <f aca="false">E303/P$3</f>
        <v>0</v>
      </c>
      <c r="R303" s="124" t="n">
        <f aca="false">F303/R$3</f>
        <v>0</v>
      </c>
      <c r="S303" s="126" t="n">
        <f aca="false">J303/$R$3</f>
        <v>-12.344</v>
      </c>
      <c r="T303" s="126" t="n">
        <f aca="false">L303/$R$3</f>
        <v>-0</v>
      </c>
      <c r="U303" s="126" t="n">
        <f aca="false">I303/$R$3</f>
        <v>-57.437</v>
      </c>
      <c r="V303" s="126" t="n">
        <f aca="false">M303/$R$3</f>
        <v>-50.776</v>
      </c>
      <c r="W303" s="126" t="n">
        <f aca="false">N303/$R$3</f>
        <v>-514.78856</v>
      </c>
    </row>
    <row r="304" customFormat="false" ht="12.75" hidden="false" customHeight="false" outlineLevel="0" collapsed="false">
      <c r="A304" s="120" t="n">
        <f aca="false">A303+1</f>
        <v>37190</v>
      </c>
      <c r="B304" s="131" t="str">
        <f aca="false">INDEX('Master Data'!$A$2:$B$8,MATCH(WEEKDAY('ARG Gas IM'!A304,3),'Master Data'!$A$2:$A$8,0),2)</f>
        <v>F</v>
      </c>
      <c r="D304" s="124" t="n">
        <v>3612.78050000002</v>
      </c>
      <c r="E304" s="124"/>
      <c r="F304" s="124"/>
      <c r="G304" s="124" t="n">
        <v>-57794</v>
      </c>
      <c r="I304" s="124" t="n">
        <f aca="false">IF(MONTH($A304)=MONTH($A303),IF(G304=0,I303,G304),G304)</f>
        <v>-57794</v>
      </c>
      <c r="J304" s="124" t="n">
        <f aca="false">IF(MONTH($A304)=MONTH($A303),SUM(I304-I303),I304)</f>
        <v>-357</v>
      </c>
      <c r="K304" s="124" t="n">
        <f aca="false">IF(WEEKDAY(A304,3)&gt;4,0,(IF(A304&lt;K$2,0,IF(A304&lt;=K$3,1,0))))</f>
        <v>1</v>
      </c>
      <c r="L304" s="124" t="n">
        <f aca="false">J304*K304</f>
        <v>-357</v>
      </c>
      <c r="M304" s="124" t="n">
        <f aca="false">SUM(J$280:J304)</f>
        <v>-51133</v>
      </c>
      <c r="N304" s="124" t="n">
        <f aca="false">SUM(J$6:J304)</f>
        <v>-515145.56</v>
      </c>
      <c r="P304" s="124" t="n">
        <f aca="false">D304/P$3</f>
        <v>0.00361278050000002</v>
      </c>
      <c r="Q304" s="124" t="n">
        <f aca="false">E304/P$3</f>
        <v>0</v>
      </c>
      <c r="R304" s="124" t="n">
        <f aca="false">F304/R$3</f>
        <v>0</v>
      </c>
      <c r="S304" s="126" t="n">
        <f aca="false">J304/$R$3</f>
        <v>-0.357</v>
      </c>
      <c r="T304" s="126" t="n">
        <f aca="false">L304/$R$3</f>
        <v>-0.357</v>
      </c>
      <c r="U304" s="126" t="n">
        <f aca="false">I304/$R$3</f>
        <v>-57.794</v>
      </c>
      <c r="V304" s="126" t="n">
        <f aca="false">M304/$R$3</f>
        <v>-51.133</v>
      </c>
      <c r="W304" s="126" t="n">
        <f aca="false">N304/$R$3</f>
        <v>-515.14556</v>
      </c>
    </row>
    <row r="305" customFormat="false" ht="12.75" hidden="false" customHeight="false" outlineLevel="0" collapsed="false">
      <c r="A305" s="120" t="n">
        <f aca="false">A304+1</f>
        <v>37191</v>
      </c>
      <c r="B305" s="131" t="str">
        <f aca="false">INDEX('Master Data'!$A$2:$B$8,MATCH(WEEKDAY('ARG Gas IM'!A305,3),'Master Data'!$A$2:$A$8,0),2)</f>
        <v>Sa</v>
      </c>
      <c r="D305" s="124"/>
      <c r="E305" s="124"/>
      <c r="F305" s="124"/>
      <c r="G305" s="124"/>
      <c r="I305" s="124" t="n">
        <f aca="false">IF(MONTH($A305)=MONTH($A304),IF(G305=0,I304,G305),G305)</f>
        <v>-57794</v>
      </c>
      <c r="J305" s="124" t="n">
        <f aca="false">IF(MONTH($A305)=MONTH($A304),SUM(I305-I304),I305)</f>
        <v>0</v>
      </c>
      <c r="K305" s="124" t="n">
        <f aca="false">IF(WEEKDAY(A305,3)&gt;4,0,(IF(A305&lt;K$2,0,IF(A305&lt;=K$3,1,0))))</f>
        <v>0</v>
      </c>
      <c r="L305" s="124" t="n">
        <f aca="false">J305*K305</f>
        <v>0</v>
      </c>
      <c r="M305" s="124" t="n">
        <f aca="false">SUM(J$280:J305)</f>
        <v>-51133</v>
      </c>
      <c r="N305" s="124" t="n">
        <f aca="false">SUM(J$6:J305)</f>
        <v>-515145.56</v>
      </c>
      <c r="P305" s="124" t="n">
        <f aca="false">D305/P$3</f>
        <v>0</v>
      </c>
      <c r="Q305" s="124" t="n">
        <f aca="false">E305/P$3</f>
        <v>0</v>
      </c>
      <c r="R305" s="124" t="n">
        <f aca="false">F305/R$3</f>
        <v>0</v>
      </c>
      <c r="S305" s="126" t="n">
        <f aca="false">J305/$R$3</f>
        <v>0</v>
      </c>
      <c r="T305" s="126" t="n">
        <f aca="false">L305/$R$3</f>
        <v>0</v>
      </c>
      <c r="U305" s="126" t="n">
        <f aca="false">I305/$R$3</f>
        <v>-57.794</v>
      </c>
      <c r="V305" s="126" t="n">
        <f aca="false">M305/$R$3</f>
        <v>-51.133</v>
      </c>
      <c r="W305" s="126" t="n">
        <f aca="false">N305/$R$3</f>
        <v>-515.14556</v>
      </c>
    </row>
    <row r="306" customFormat="false" ht="12.75" hidden="false" customHeight="false" outlineLevel="0" collapsed="false">
      <c r="A306" s="120" t="n">
        <f aca="false">A305+1</f>
        <v>37192</v>
      </c>
      <c r="B306" s="131" t="str">
        <f aca="false">INDEX('Master Data'!$A$2:$B$8,MATCH(WEEKDAY('ARG Gas IM'!A306,3),'Master Data'!$A$2:$A$8,0),2)</f>
        <v>Su</v>
      </c>
      <c r="D306" s="124"/>
      <c r="E306" s="124"/>
      <c r="F306" s="124"/>
      <c r="G306" s="124"/>
      <c r="I306" s="124" t="n">
        <f aca="false">IF(MONTH($A306)=MONTH($A305),IF(G306=0,I305,G306),G306)</f>
        <v>-57794</v>
      </c>
      <c r="J306" s="124" t="n">
        <f aca="false">IF(MONTH($A306)=MONTH($A305),SUM(I306-I305),I306)</f>
        <v>0</v>
      </c>
      <c r="K306" s="124" t="n">
        <f aca="false">IF(WEEKDAY(A306,3)&gt;4,0,(IF(A306&lt;K$2,0,IF(A306&lt;=K$3,1,0))))</f>
        <v>0</v>
      </c>
      <c r="L306" s="124" t="n">
        <f aca="false">J306*K306</f>
        <v>0</v>
      </c>
      <c r="M306" s="124" t="n">
        <f aca="false">SUM(J$280:J306)</f>
        <v>-51133</v>
      </c>
      <c r="N306" s="124" t="n">
        <f aca="false">SUM(J$6:J306)</f>
        <v>-515145.56</v>
      </c>
      <c r="P306" s="124" t="n">
        <f aca="false">D306/P$3</f>
        <v>0</v>
      </c>
      <c r="Q306" s="124" t="n">
        <f aca="false">E306/P$3</f>
        <v>0</v>
      </c>
      <c r="R306" s="124" t="n">
        <f aca="false">F306/R$3</f>
        <v>0</v>
      </c>
      <c r="S306" s="126" t="n">
        <f aca="false">J306/$R$3</f>
        <v>0</v>
      </c>
      <c r="T306" s="126" t="n">
        <f aca="false">L306/$R$3</f>
        <v>0</v>
      </c>
      <c r="U306" s="126" t="n">
        <f aca="false">I306/$R$3</f>
        <v>-57.794</v>
      </c>
      <c r="V306" s="126" t="n">
        <f aca="false">M306/$R$3</f>
        <v>-51.133</v>
      </c>
      <c r="W306" s="126" t="n">
        <f aca="false">N306/$R$3</f>
        <v>-515.14556</v>
      </c>
    </row>
    <row r="307" customFormat="false" ht="12.75" hidden="false" customHeight="false" outlineLevel="0" collapsed="false">
      <c r="A307" s="120" t="n">
        <f aca="false">A306+1</f>
        <v>37193</v>
      </c>
      <c r="B307" s="131" t="str">
        <f aca="false">INDEX('Master Data'!$A$2:$B$8,MATCH(WEEKDAY('ARG Gas IM'!A307,3),'Master Data'!$A$2:$A$8,0),2)</f>
        <v>M</v>
      </c>
      <c r="D307" s="124" t="n">
        <v>1113.8768</v>
      </c>
      <c r="E307" s="124"/>
      <c r="F307" s="124"/>
      <c r="G307" s="124" t="n">
        <v>-62722</v>
      </c>
      <c r="I307" s="124" t="n">
        <f aca="false">IF(MONTH($A307)=MONTH($A306),IF(G307=0,I306,G307),G307)</f>
        <v>-62722</v>
      </c>
      <c r="J307" s="124" t="n">
        <f aca="false">IF(MONTH($A307)=MONTH($A306),SUM(I307-I306),I307)</f>
        <v>-4928</v>
      </c>
      <c r="K307" s="124" t="n">
        <f aca="false">IF(WEEKDAY(A307,3)&gt;4,0,(IF(A307&lt;K$2,0,IF(A307&lt;=K$3,1,0))))</f>
        <v>1</v>
      </c>
      <c r="L307" s="124" t="n">
        <f aca="false">J307*K307</f>
        <v>-4928</v>
      </c>
      <c r="M307" s="124" t="n">
        <f aca="false">SUM(J$280:J307)</f>
        <v>-56061</v>
      </c>
      <c r="N307" s="124" t="n">
        <f aca="false">SUM(J$6:J307)</f>
        <v>-520073.56</v>
      </c>
      <c r="P307" s="124" t="n">
        <f aca="false">D307/P$3</f>
        <v>0.0011138768</v>
      </c>
      <c r="Q307" s="124" t="n">
        <f aca="false">E307/P$3</f>
        <v>0</v>
      </c>
      <c r="R307" s="124" t="n">
        <f aca="false">F307/R$3</f>
        <v>0</v>
      </c>
      <c r="S307" s="126" t="n">
        <f aca="false">J307/$R$3</f>
        <v>-4.928</v>
      </c>
      <c r="T307" s="126" t="n">
        <f aca="false">L307/$R$3</f>
        <v>-4.928</v>
      </c>
      <c r="U307" s="126" t="n">
        <f aca="false">I307/$R$3</f>
        <v>-62.722</v>
      </c>
      <c r="V307" s="126" t="n">
        <f aca="false">M307/$R$3</f>
        <v>-56.061</v>
      </c>
      <c r="W307" s="126" t="n">
        <f aca="false">N307/$R$3</f>
        <v>-520.07356</v>
      </c>
    </row>
    <row r="308" customFormat="false" ht="12.75" hidden="false" customHeight="false" outlineLevel="0" collapsed="false">
      <c r="A308" s="120" t="n">
        <f aca="false">A307+1</f>
        <v>37194</v>
      </c>
      <c r="B308" s="131" t="str">
        <f aca="false">INDEX('Master Data'!$A$2:$B$8,MATCH(WEEKDAY('ARG Gas IM'!A308,3),'Master Data'!$A$2:$A$8,0),2)</f>
        <v>T</v>
      </c>
      <c r="D308" s="124" t="n">
        <v>572.608799999999</v>
      </c>
      <c r="E308" s="124"/>
      <c r="F308" s="124"/>
      <c r="G308" s="124" t="n">
        <v>-62907</v>
      </c>
      <c r="I308" s="124" t="n">
        <f aca="false">IF(MONTH($A308)=MONTH($A307),IF(G308=0,I307,G308),G308)</f>
        <v>-62907</v>
      </c>
      <c r="J308" s="124" t="n">
        <f aca="false">IF(MONTH($A308)=MONTH($A307),SUM(I308-I307),I308)</f>
        <v>-185</v>
      </c>
      <c r="K308" s="124" t="n">
        <f aca="false">IF(WEEKDAY(A308,3)&gt;4,0,(IF(A308&lt;K$2,0,IF(A308&lt;=K$3,1,0))))</f>
        <v>1</v>
      </c>
      <c r="L308" s="124" t="n">
        <f aca="false">J308*K308</f>
        <v>-185</v>
      </c>
      <c r="M308" s="124" t="n">
        <f aca="false">SUM(J$280:J308)</f>
        <v>-56246</v>
      </c>
      <c r="N308" s="124" t="n">
        <f aca="false">SUM(J$6:J308)</f>
        <v>-520258.56</v>
      </c>
      <c r="P308" s="124" t="n">
        <f aca="false">D308/P$3</f>
        <v>0.000572608799999999</v>
      </c>
      <c r="Q308" s="124" t="n">
        <f aca="false">E308/P$3</f>
        <v>0</v>
      </c>
      <c r="R308" s="124" t="n">
        <f aca="false">F308/R$3</f>
        <v>0</v>
      </c>
      <c r="S308" s="126" t="n">
        <f aca="false">J308/$R$3</f>
        <v>-0.185</v>
      </c>
      <c r="T308" s="126" t="n">
        <f aca="false">L308/$R$3</f>
        <v>-0.185</v>
      </c>
      <c r="U308" s="126" t="n">
        <f aca="false">I308/$R$3</f>
        <v>-62.907</v>
      </c>
      <c r="V308" s="126" t="n">
        <f aca="false">M308/$R$3</f>
        <v>-56.246</v>
      </c>
      <c r="W308" s="126" t="n">
        <f aca="false">N308/$R$3</f>
        <v>-520.25856</v>
      </c>
    </row>
    <row r="309" customFormat="false" ht="12.75" hidden="false" customHeight="false" outlineLevel="0" collapsed="false">
      <c r="A309" s="120" t="n">
        <f aca="false">A308+1</f>
        <v>37195</v>
      </c>
      <c r="B309" s="131" t="str">
        <f aca="false">INDEX('Master Data'!$A$2:$B$8,MATCH(WEEKDAY('ARG Gas IM'!A309,3),'Master Data'!$A$2:$A$8,0),2)</f>
        <v>W</v>
      </c>
      <c r="D309" s="124" t="n">
        <v>-594.626999999983</v>
      </c>
      <c r="E309" s="124"/>
      <c r="F309" s="124"/>
      <c r="G309" s="124" t="n">
        <v>-58955</v>
      </c>
      <c r="I309" s="124" t="n">
        <f aca="false">IF(MONTH($A309)=MONTH($A308),IF(G309=0,I308,G309),G309)</f>
        <v>-58955</v>
      </c>
      <c r="J309" s="124" t="n">
        <f aca="false">IF(MONTH($A309)=MONTH($A308),SUM(I309-I308),I309)</f>
        <v>3952</v>
      </c>
      <c r="K309" s="124" t="n">
        <f aca="false">IF(WEEKDAY(A309,3)&gt;4,0,(IF(A309&lt;K$2,0,IF(A309&lt;=K$3,1,0))))</f>
        <v>1</v>
      </c>
      <c r="L309" s="124" t="n">
        <f aca="false">J309*K309</f>
        <v>3952</v>
      </c>
      <c r="M309" s="124" t="n">
        <f aca="false">SUM(J$280:J309)</f>
        <v>-52294</v>
      </c>
      <c r="N309" s="124" t="n">
        <f aca="false">SUM(J$6:J309)</f>
        <v>-516306.56</v>
      </c>
      <c r="P309" s="124" t="n">
        <f aca="false">D309/P$3</f>
        <v>-0.000594626999999983</v>
      </c>
      <c r="Q309" s="124" t="n">
        <f aca="false">E309/P$3</f>
        <v>0</v>
      </c>
      <c r="R309" s="124" t="n">
        <f aca="false">F309/R$3</f>
        <v>0</v>
      </c>
      <c r="S309" s="126" t="n">
        <f aca="false">J309/$R$3</f>
        <v>3.952</v>
      </c>
      <c r="T309" s="126" t="n">
        <f aca="false">L309/$R$3</f>
        <v>3.952</v>
      </c>
      <c r="U309" s="126" t="n">
        <f aca="false">I309/$R$3</f>
        <v>-58.955</v>
      </c>
      <c r="V309" s="126" t="n">
        <f aca="false">M309/$R$3</f>
        <v>-52.294</v>
      </c>
      <c r="W309" s="126" t="n">
        <f aca="false">N309/$R$3</f>
        <v>-516.30656</v>
      </c>
    </row>
    <row r="310" customFormat="false" ht="12.75" hidden="false" customHeight="false" outlineLevel="0" collapsed="false">
      <c r="A310" s="120" t="n">
        <f aca="false">A309+1</f>
        <v>37196</v>
      </c>
      <c r="B310" s="131" t="str">
        <f aca="false">INDEX('Master Data'!$A$2:$B$8,MATCH(WEEKDAY('ARG Gas IM'!A310,3),'Master Data'!$A$2:$A$8,0),2)</f>
        <v>Th</v>
      </c>
      <c r="D310" s="124" t="n">
        <v>6245.901</v>
      </c>
      <c r="E310" s="124"/>
      <c r="F310" s="124"/>
      <c r="G310" s="124" t="n">
        <v>-18968</v>
      </c>
      <c r="I310" s="124" t="n">
        <f aca="false">IF(MONTH($A310)=MONTH($A309),IF(G310=0,I309,G310),G310)</f>
        <v>-18968</v>
      </c>
      <c r="J310" s="124" t="n">
        <f aca="false">IF(MONTH($A310)=MONTH($A309),SUM(I310-I309),I310)</f>
        <v>-18968</v>
      </c>
      <c r="K310" s="124" t="n">
        <f aca="false">IF(WEEKDAY(A310,3)&gt;4,0,(IF(A310&lt;K$2,0,IF(A310&lt;=K$3,1,0))))</f>
        <v>1</v>
      </c>
      <c r="L310" s="124" t="n">
        <f aca="false">J310*K310</f>
        <v>-18968</v>
      </c>
      <c r="M310" s="124" t="n">
        <f aca="false">SUM(J$280:J310)</f>
        <v>-71262</v>
      </c>
      <c r="N310" s="124" t="n">
        <f aca="false">SUM(J$6:J310)</f>
        <v>-535274.56</v>
      </c>
      <c r="P310" s="124" t="n">
        <f aca="false">D310/P$3</f>
        <v>0.006245901</v>
      </c>
      <c r="Q310" s="124" t="n">
        <f aca="false">E310/P$3</f>
        <v>0</v>
      </c>
      <c r="R310" s="124" t="n">
        <f aca="false">F310/R$3</f>
        <v>0</v>
      </c>
      <c r="S310" s="126" t="n">
        <f aca="false">J310/$R$3</f>
        <v>-18.968</v>
      </c>
      <c r="T310" s="126" t="n">
        <f aca="false">L310/$R$3</f>
        <v>-18.968</v>
      </c>
      <c r="U310" s="126" t="n">
        <f aca="false">I310/$R$3</f>
        <v>-18.968</v>
      </c>
      <c r="V310" s="126" t="n">
        <f aca="false">M310/$R$3</f>
        <v>-71.262</v>
      </c>
      <c r="W310" s="126" t="n">
        <f aca="false">N310/$R$3</f>
        <v>-535.27456</v>
      </c>
    </row>
    <row r="311" customFormat="false" ht="12.75" hidden="false" customHeight="false" outlineLevel="0" collapsed="false">
      <c r="A311" s="120" t="n">
        <f aca="false">A310+1</f>
        <v>37197</v>
      </c>
      <c r="B311" s="131" t="str">
        <f aca="false">INDEX('Master Data'!$A$2:$B$8,MATCH(WEEKDAY('ARG Gas IM'!A311,3),'Master Data'!$A$2:$A$8,0),2)</f>
        <v>F</v>
      </c>
      <c r="D311" s="124"/>
      <c r="E311" s="124"/>
      <c r="F311" s="124"/>
      <c r="G311" s="124"/>
      <c r="I311" s="124" t="n">
        <f aca="false">IF(MONTH($A311)=MONTH($A310),IF(G311=0,I310,G311),G311)</f>
        <v>-18968</v>
      </c>
      <c r="J311" s="124" t="n">
        <f aca="false">IF(MONTH($A311)=MONTH($A310),SUM(I311-I310),I311)</f>
        <v>0</v>
      </c>
      <c r="K311" s="124" t="n">
        <f aca="false">IF(WEEKDAY(A311,3)&gt;4,0,(IF(A311&lt;K$2,0,IF(A311&lt;=K$3,1,0))))</f>
        <v>0</v>
      </c>
      <c r="L311" s="124" t="n">
        <f aca="false">J311*K311</f>
        <v>0</v>
      </c>
      <c r="M311" s="124" t="n">
        <f aca="false">SUM(J$280:J311)</f>
        <v>-71262</v>
      </c>
      <c r="N311" s="124" t="n">
        <f aca="false">SUM(J$6:J311)</f>
        <v>-535274.56</v>
      </c>
      <c r="P311" s="124" t="n">
        <f aca="false">D311/P$3</f>
        <v>0</v>
      </c>
      <c r="Q311" s="124" t="n">
        <f aca="false">E311/P$3</f>
        <v>0</v>
      </c>
      <c r="R311" s="124" t="n">
        <f aca="false">F311/R$3</f>
        <v>0</v>
      </c>
      <c r="S311" s="126" t="n">
        <f aca="false">J311/$R$3</f>
        <v>0</v>
      </c>
      <c r="T311" s="126" t="n">
        <f aca="false">L311/$R$3</f>
        <v>0</v>
      </c>
      <c r="U311" s="126" t="n">
        <f aca="false">I311/$R$3</f>
        <v>-18.968</v>
      </c>
      <c r="V311" s="126" t="n">
        <f aca="false">M311/$R$3</f>
        <v>-71.262</v>
      </c>
      <c r="W311" s="126" t="n">
        <f aca="false">N311/$R$3</f>
        <v>-535.27456</v>
      </c>
    </row>
    <row r="312" customFormat="false" ht="12.75" hidden="false" customHeight="false" outlineLevel="0" collapsed="false">
      <c r="A312" s="120" t="n">
        <f aca="false">A311+1</f>
        <v>37198</v>
      </c>
      <c r="B312" s="131" t="str">
        <f aca="false">INDEX('Master Data'!$A$2:$B$8,MATCH(WEEKDAY('ARG Gas IM'!A312,3),'Master Data'!$A$2:$A$8,0),2)</f>
        <v>Sa</v>
      </c>
      <c r="D312" s="124"/>
      <c r="E312" s="124"/>
      <c r="F312" s="124"/>
      <c r="G312" s="124"/>
      <c r="I312" s="124" t="n">
        <f aca="false">IF(MONTH($A312)=MONTH($A311),IF(G312=0,I311,G312),G312)</f>
        <v>-18968</v>
      </c>
      <c r="J312" s="124" t="n">
        <f aca="false">IF(MONTH($A312)=MONTH($A311),SUM(I312-I311),I312)</f>
        <v>0</v>
      </c>
      <c r="K312" s="124" t="n">
        <f aca="false">IF(WEEKDAY(A312,3)&gt;4,0,(IF(A312&lt;K$2,0,IF(A312&lt;=K$3,1,0))))</f>
        <v>0</v>
      </c>
      <c r="L312" s="124" t="n">
        <f aca="false">J312*K312</f>
        <v>0</v>
      </c>
      <c r="M312" s="124" t="n">
        <f aca="false">SUM(J$280:J312)</f>
        <v>-71262</v>
      </c>
      <c r="N312" s="124" t="n">
        <f aca="false">SUM(J$6:J312)</f>
        <v>-535274.56</v>
      </c>
      <c r="P312" s="124" t="n">
        <f aca="false">D312/P$3</f>
        <v>0</v>
      </c>
      <c r="Q312" s="124" t="n">
        <f aca="false">E312/P$3</f>
        <v>0</v>
      </c>
      <c r="R312" s="124" t="n">
        <f aca="false">F312/R$3</f>
        <v>0</v>
      </c>
      <c r="S312" s="126" t="n">
        <f aca="false">J312/$R$3</f>
        <v>0</v>
      </c>
      <c r="T312" s="126" t="n">
        <f aca="false">L312/$R$3</f>
        <v>0</v>
      </c>
      <c r="U312" s="126" t="n">
        <f aca="false">I312/$R$3</f>
        <v>-18.968</v>
      </c>
      <c r="V312" s="126" t="n">
        <f aca="false">M312/$R$3</f>
        <v>-71.262</v>
      </c>
      <c r="W312" s="126" t="n">
        <f aca="false">N312/$R$3</f>
        <v>-535.27456</v>
      </c>
    </row>
    <row r="313" customFormat="false" ht="12.75" hidden="false" customHeight="false" outlineLevel="0" collapsed="false">
      <c r="A313" s="120" t="n">
        <f aca="false">A312+1</f>
        <v>37199</v>
      </c>
      <c r="B313" s="131" t="str">
        <f aca="false">INDEX('Master Data'!$A$2:$B$8,MATCH(WEEKDAY('ARG Gas IM'!A313,3),'Master Data'!$A$2:$A$8,0),2)</f>
        <v>Su</v>
      </c>
      <c r="D313" s="124"/>
      <c r="E313" s="124"/>
      <c r="F313" s="124"/>
      <c r="G313" s="124"/>
      <c r="I313" s="124" t="n">
        <f aca="false">IF(MONTH($A313)=MONTH($A312),IF(G313=0,I312,G313),G313)</f>
        <v>-18968</v>
      </c>
      <c r="J313" s="124" t="n">
        <f aca="false">IF(MONTH($A313)=MONTH($A312),SUM(I313-I312),I313)</f>
        <v>0</v>
      </c>
      <c r="K313" s="124" t="n">
        <f aca="false">IF(WEEKDAY(A313,3)&gt;4,0,(IF(A313&lt;K$2,0,IF(A313&lt;=K$3,1,0))))</f>
        <v>0</v>
      </c>
      <c r="L313" s="124" t="n">
        <f aca="false">J313*K313</f>
        <v>0</v>
      </c>
      <c r="M313" s="124" t="n">
        <f aca="false">SUM(J$280:J313)</f>
        <v>-71262</v>
      </c>
      <c r="N313" s="124" t="n">
        <f aca="false">SUM(J$6:J313)</f>
        <v>-535274.56</v>
      </c>
      <c r="P313" s="124" t="n">
        <f aca="false">D313/P$3</f>
        <v>0</v>
      </c>
      <c r="Q313" s="124" t="n">
        <f aca="false">E313/P$3</f>
        <v>0</v>
      </c>
      <c r="R313" s="124" t="n">
        <f aca="false">F313/R$3</f>
        <v>0</v>
      </c>
      <c r="S313" s="126" t="n">
        <f aca="false">J313/$R$3</f>
        <v>0</v>
      </c>
      <c r="T313" s="126" t="n">
        <f aca="false">L313/$R$3</f>
        <v>0</v>
      </c>
      <c r="U313" s="126" t="n">
        <f aca="false">I313/$R$3</f>
        <v>-18.968</v>
      </c>
      <c r="V313" s="126" t="n">
        <f aca="false">M313/$R$3</f>
        <v>-71.262</v>
      </c>
      <c r="W313" s="126" t="n">
        <f aca="false">N313/$R$3</f>
        <v>-535.27456</v>
      </c>
    </row>
    <row r="314" customFormat="false" ht="12.75" hidden="false" customHeight="false" outlineLevel="0" collapsed="false">
      <c r="A314" s="120" t="n">
        <f aca="false">A313+1</f>
        <v>37200</v>
      </c>
      <c r="B314" s="131" t="str">
        <f aca="false">INDEX('Master Data'!$A$2:$B$8,MATCH(WEEKDAY('ARG Gas IM'!A314,3),'Master Data'!$A$2:$A$8,0),2)</f>
        <v>M</v>
      </c>
      <c r="D314" s="124"/>
      <c r="E314" s="124"/>
      <c r="F314" s="124"/>
      <c r="G314" s="124"/>
      <c r="I314" s="124" t="n">
        <f aca="false">IF(MONTH($A314)=MONTH($A313),IF(G314=0,I313,G314),G314)</f>
        <v>-18968</v>
      </c>
      <c r="J314" s="124" t="n">
        <f aca="false">IF(MONTH($A314)=MONTH($A313),SUM(I314-I313),I314)</f>
        <v>0</v>
      </c>
      <c r="K314" s="124" t="n">
        <f aca="false">IF(WEEKDAY(A314,3)&gt;4,0,(IF(A314&lt;K$2,0,IF(A314&lt;=K$3,1,0))))</f>
        <v>0</v>
      </c>
      <c r="L314" s="124" t="n">
        <f aca="false">J314*K314</f>
        <v>0</v>
      </c>
      <c r="M314" s="124" t="n">
        <f aca="false">SUM(J$280:J314)</f>
        <v>-71262</v>
      </c>
      <c r="N314" s="124" t="n">
        <f aca="false">SUM(J$6:J314)</f>
        <v>-535274.56</v>
      </c>
      <c r="P314" s="124" t="n">
        <f aca="false">D314/P$3</f>
        <v>0</v>
      </c>
      <c r="Q314" s="124" t="n">
        <f aca="false">E314/P$3</f>
        <v>0</v>
      </c>
      <c r="R314" s="124" t="n">
        <f aca="false">F314/R$3</f>
        <v>0</v>
      </c>
      <c r="S314" s="126" t="n">
        <f aca="false">J314/$R$3</f>
        <v>0</v>
      </c>
      <c r="T314" s="126" t="n">
        <f aca="false">L314/$R$3</f>
        <v>0</v>
      </c>
      <c r="U314" s="126" t="n">
        <f aca="false">I314/$R$3</f>
        <v>-18.968</v>
      </c>
      <c r="V314" s="126" t="n">
        <f aca="false">M314/$R$3</f>
        <v>-71.262</v>
      </c>
      <c r="W314" s="126" t="n">
        <f aca="false">N314/$R$3</f>
        <v>-535.27456</v>
      </c>
    </row>
    <row r="315" customFormat="false" ht="12.75" hidden="false" customHeight="false" outlineLevel="0" collapsed="false">
      <c r="A315" s="120" t="n">
        <f aca="false">A314+1</f>
        <v>37201</v>
      </c>
      <c r="B315" s="131" t="str">
        <f aca="false">INDEX('Master Data'!$A$2:$B$8,MATCH(WEEKDAY('ARG Gas IM'!A315,3),'Master Data'!$A$2:$A$8,0),2)</f>
        <v>T</v>
      </c>
      <c r="D315" s="124"/>
      <c r="E315" s="124"/>
      <c r="F315" s="124"/>
      <c r="G315" s="124"/>
      <c r="I315" s="124" t="n">
        <f aca="false">IF(MONTH($A315)=MONTH($A314),IF(G315=0,I314,G315),G315)</f>
        <v>-18968</v>
      </c>
      <c r="J315" s="124" t="n">
        <f aca="false">IF(MONTH($A315)=MONTH($A314),SUM(I315-I314),I315)</f>
        <v>0</v>
      </c>
      <c r="K315" s="124" t="n">
        <f aca="false">IF(WEEKDAY(A315,3)&gt;4,0,(IF(A315&lt;K$2,0,IF(A315&lt;=K$3,1,0))))</f>
        <v>0</v>
      </c>
      <c r="L315" s="124" t="n">
        <f aca="false">J315*K315</f>
        <v>0</v>
      </c>
      <c r="M315" s="124" t="n">
        <f aca="false">SUM(J$280:J315)</f>
        <v>-71262</v>
      </c>
      <c r="N315" s="124" t="n">
        <f aca="false">SUM(J$6:J315)</f>
        <v>-535274.56</v>
      </c>
      <c r="P315" s="124" t="n">
        <f aca="false">D315/P$3</f>
        <v>0</v>
      </c>
      <c r="Q315" s="124" t="n">
        <f aca="false">E315/P$3</f>
        <v>0</v>
      </c>
      <c r="R315" s="124" t="n">
        <f aca="false">F315/R$3</f>
        <v>0</v>
      </c>
      <c r="S315" s="126" t="n">
        <f aca="false">J315/$R$3</f>
        <v>0</v>
      </c>
      <c r="T315" s="126" t="n">
        <f aca="false">L315/$R$3</f>
        <v>0</v>
      </c>
      <c r="U315" s="126" t="n">
        <f aca="false">I315/$R$3</f>
        <v>-18.968</v>
      </c>
      <c r="V315" s="126" t="n">
        <f aca="false">M315/$R$3</f>
        <v>-71.262</v>
      </c>
      <c r="W315" s="126" t="n">
        <f aca="false">N315/$R$3</f>
        <v>-535.27456</v>
      </c>
    </row>
    <row r="316" customFormat="false" ht="12.75" hidden="false" customHeight="false" outlineLevel="0" collapsed="false">
      <c r="A316" s="120" t="n">
        <f aca="false">A315+1</f>
        <v>37202</v>
      </c>
      <c r="B316" s="131" t="str">
        <f aca="false">INDEX('Master Data'!$A$2:$B$8,MATCH(WEEKDAY('ARG Gas IM'!A316,3),'Master Data'!$A$2:$A$8,0),2)</f>
        <v>W</v>
      </c>
      <c r="D316" s="124"/>
      <c r="E316" s="124"/>
      <c r="F316" s="124"/>
      <c r="G316" s="124"/>
      <c r="I316" s="124" t="n">
        <f aca="false">IF(MONTH($A316)=MONTH($A315),IF(G316=0,I315,G316),G316)</f>
        <v>-18968</v>
      </c>
      <c r="J316" s="124" t="n">
        <f aca="false">IF(MONTH($A316)=MONTH($A315),SUM(I316-I315),I316)</f>
        <v>0</v>
      </c>
      <c r="K316" s="124" t="n">
        <f aca="false">IF(WEEKDAY(A316,3)&gt;4,0,(IF(A316&lt;K$2,0,IF(A316&lt;=K$3,1,0))))</f>
        <v>0</v>
      </c>
      <c r="L316" s="124" t="n">
        <f aca="false">J316*K316</f>
        <v>0</v>
      </c>
      <c r="M316" s="124" t="n">
        <f aca="false">SUM(J$280:J316)</f>
        <v>-71262</v>
      </c>
      <c r="N316" s="124" t="n">
        <f aca="false">SUM(J$6:J316)</f>
        <v>-535274.56</v>
      </c>
      <c r="P316" s="124" t="n">
        <f aca="false">D316/P$3</f>
        <v>0</v>
      </c>
      <c r="Q316" s="124" t="n">
        <f aca="false">E316/P$3</f>
        <v>0</v>
      </c>
      <c r="R316" s="124" t="n">
        <f aca="false">F316/R$3</f>
        <v>0</v>
      </c>
      <c r="S316" s="126" t="n">
        <f aca="false">J316/$R$3</f>
        <v>0</v>
      </c>
      <c r="T316" s="126" t="n">
        <f aca="false">L316/$R$3</f>
        <v>0</v>
      </c>
      <c r="U316" s="126" t="n">
        <f aca="false">I316/$R$3</f>
        <v>-18.968</v>
      </c>
      <c r="V316" s="126" t="n">
        <f aca="false">M316/$R$3</f>
        <v>-71.262</v>
      </c>
      <c r="W316" s="126" t="n">
        <f aca="false">N316/$R$3</f>
        <v>-535.27456</v>
      </c>
    </row>
    <row r="317" customFormat="false" ht="12.75" hidden="false" customHeight="false" outlineLevel="0" collapsed="false">
      <c r="A317" s="120" t="n">
        <f aca="false">A316+1</f>
        <v>37203</v>
      </c>
      <c r="B317" s="131" t="str">
        <f aca="false">INDEX('Master Data'!$A$2:$B$8,MATCH(WEEKDAY('ARG Gas IM'!A317,3),'Master Data'!$A$2:$A$8,0),2)</f>
        <v>Th</v>
      </c>
      <c r="D317" s="124"/>
      <c r="E317" s="124"/>
      <c r="F317" s="124"/>
      <c r="G317" s="124"/>
      <c r="I317" s="124" t="n">
        <f aca="false">IF(MONTH($A317)=MONTH($A316),IF(G317=0,I316,G317),G317)</f>
        <v>-18968</v>
      </c>
      <c r="J317" s="124" t="n">
        <f aca="false">IF(MONTH($A317)=MONTH($A316),SUM(I317-I316),I317)</f>
        <v>0</v>
      </c>
      <c r="K317" s="124" t="n">
        <f aca="false">IF(WEEKDAY(A317,3)&gt;4,0,(IF(A317&lt;K$2,0,IF(A317&lt;=K$3,1,0))))</f>
        <v>0</v>
      </c>
      <c r="L317" s="124" t="n">
        <f aca="false">J317*K317</f>
        <v>0</v>
      </c>
      <c r="M317" s="124" t="n">
        <f aca="false">SUM(J$280:J317)</f>
        <v>-71262</v>
      </c>
      <c r="N317" s="124" t="n">
        <f aca="false">SUM(J$6:J317)</f>
        <v>-535274.56</v>
      </c>
      <c r="P317" s="124" t="n">
        <f aca="false">D317/P$3</f>
        <v>0</v>
      </c>
      <c r="Q317" s="124" t="n">
        <f aca="false">E317/P$3</f>
        <v>0</v>
      </c>
      <c r="R317" s="124" t="n">
        <f aca="false">F317/R$3</f>
        <v>0</v>
      </c>
      <c r="S317" s="126" t="n">
        <f aca="false">J317/$R$3</f>
        <v>0</v>
      </c>
      <c r="T317" s="126" t="n">
        <f aca="false">L317/$R$3</f>
        <v>0</v>
      </c>
      <c r="U317" s="126" t="n">
        <f aca="false">I317/$R$3</f>
        <v>-18.968</v>
      </c>
      <c r="V317" s="126" t="n">
        <f aca="false">M317/$R$3</f>
        <v>-71.262</v>
      </c>
      <c r="W317" s="126" t="n">
        <f aca="false">N317/$R$3</f>
        <v>-535.27456</v>
      </c>
    </row>
    <row r="318" customFormat="false" ht="12.75" hidden="false" customHeight="false" outlineLevel="0" collapsed="false">
      <c r="A318" s="120" t="n">
        <f aca="false">A317+1</f>
        <v>37204</v>
      </c>
      <c r="B318" s="131" t="str">
        <f aca="false">INDEX('Master Data'!$A$2:$B$8,MATCH(WEEKDAY('ARG Gas IM'!A318,3),'Master Data'!$A$2:$A$8,0),2)</f>
        <v>F</v>
      </c>
      <c r="D318" s="124"/>
      <c r="E318" s="124"/>
      <c r="F318" s="124"/>
      <c r="G318" s="124"/>
      <c r="I318" s="124" t="n">
        <f aca="false">IF(MONTH($A318)=MONTH($A317),IF(G318=0,I317,G318),G318)</f>
        <v>-18968</v>
      </c>
      <c r="J318" s="124" t="n">
        <f aca="false">IF(MONTH($A318)=MONTH($A317),SUM(I318-I317),I318)</f>
        <v>0</v>
      </c>
      <c r="K318" s="124" t="n">
        <f aca="false">IF(WEEKDAY(A318,3)&gt;4,0,(IF(A318&lt;K$2,0,IF(A318&lt;=K$3,1,0))))</f>
        <v>0</v>
      </c>
      <c r="L318" s="124" t="n">
        <f aca="false">J318*K318</f>
        <v>0</v>
      </c>
      <c r="M318" s="124" t="n">
        <f aca="false">SUM(J$280:J318)</f>
        <v>-71262</v>
      </c>
      <c r="N318" s="124" t="n">
        <f aca="false">SUM(J$6:J318)</f>
        <v>-535274.56</v>
      </c>
      <c r="P318" s="124" t="n">
        <f aca="false">D318/P$3</f>
        <v>0</v>
      </c>
      <c r="Q318" s="124" t="n">
        <f aca="false">E318/P$3</f>
        <v>0</v>
      </c>
      <c r="R318" s="124" t="n">
        <f aca="false">F318/R$3</f>
        <v>0</v>
      </c>
      <c r="S318" s="126" t="n">
        <f aca="false">J318/$R$3</f>
        <v>0</v>
      </c>
      <c r="T318" s="126" t="n">
        <f aca="false">L318/$R$3</f>
        <v>0</v>
      </c>
      <c r="U318" s="126" t="n">
        <f aca="false">I318/$R$3</f>
        <v>-18.968</v>
      </c>
      <c r="V318" s="126" t="n">
        <f aca="false">M318/$R$3</f>
        <v>-71.262</v>
      </c>
      <c r="W318" s="126" t="n">
        <f aca="false">N318/$R$3</f>
        <v>-535.27456</v>
      </c>
    </row>
    <row r="319" customFormat="false" ht="12.75" hidden="false" customHeight="false" outlineLevel="0" collapsed="false">
      <c r="A319" s="120" t="n">
        <f aca="false">A318+1</f>
        <v>37205</v>
      </c>
      <c r="B319" s="131" t="str">
        <f aca="false">INDEX('Master Data'!$A$2:$B$8,MATCH(WEEKDAY('ARG Gas IM'!A319,3),'Master Data'!$A$2:$A$8,0),2)</f>
        <v>Sa</v>
      </c>
      <c r="D319" s="124"/>
      <c r="E319" s="124"/>
      <c r="F319" s="124"/>
      <c r="G319" s="124"/>
      <c r="I319" s="124" t="n">
        <f aca="false">IF(MONTH($A319)=MONTH($A318),IF(G319=0,I318,G319),G319)</f>
        <v>-18968</v>
      </c>
      <c r="J319" s="124" t="n">
        <f aca="false">IF(MONTH($A319)=MONTH($A318),SUM(I319-I318),I319)</f>
        <v>0</v>
      </c>
      <c r="K319" s="124" t="n">
        <f aca="false">IF(WEEKDAY(A319,3)&gt;4,0,(IF(A319&lt;K$2,0,IF(A319&lt;=K$3,1,0))))</f>
        <v>0</v>
      </c>
      <c r="L319" s="124" t="n">
        <f aca="false">J319*K319</f>
        <v>0</v>
      </c>
      <c r="M319" s="124" t="n">
        <f aca="false">SUM(J$280:J319)</f>
        <v>-71262</v>
      </c>
      <c r="N319" s="124" t="n">
        <f aca="false">SUM(J$6:J319)</f>
        <v>-535274.56</v>
      </c>
      <c r="P319" s="124" t="n">
        <f aca="false">D319/P$3</f>
        <v>0</v>
      </c>
      <c r="Q319" s="124" t="n">
        <f aca="false">E319/P$3</f>
        <v>0</v>
      </c>
      <c r="R319" s="124" t="n">
        <f aca="false">F319/R$3</f>
        <v>0</v>
      </c>
      <c r="S319" s="126" t="n">
        <f aca="false">J319/$R$3</f>
        <v>0</v>
      </c>
      <c r="T319" s="126" t="n">
        <f aca="false">L319/$R$3</f>
        <v>0</v>
      </c>
      <c r="U319" s="126" t="n">
        <f aca="false">I319/$R$3</f>
        <v>-18.968</v>
      </c>
      <c r="V319" s="126" t="n">
        <f aca="false">M319/$R$3</f>
        <v>-71.262</v>
      </c>
      <c r="W319" s="126" t="n">
        <f aca="false">N319/$R$3</f>
        <v>-535.27456</v>
      </c>
    </row>
    <row r="320" customFormat="false" ht="12.75" hidden="false" customHeight="false" outlineLevel="0" collapsed="false">
      <c r="A320" s="120" t="n">
        <f aca="false">A319+1</f>
        <v>37206</v>
      </c>
      <c r="B320" s="131" t="str">
        <f aca="false">INDEX('Master Data'!$A$2:$B$8,MATCH(WEEKDAY('ARG Gas IM'!A320,3),'Master Data'!$A$2:$A$8,0),2)</f>
        <v>Su</v>
      </c>
      <c r="D320" s="124"/>
      <c r="E320" s="124"/>
      <c r="F320" s="124"/>
      <c r="G320" s="124"/>
      <c r="I320" s="124" t="n">
        <f aca="false">IF(MONTH($A320)=MONTH($A319),IF(G320=0,I319,G320),G320)</f>
        <v>-18968</v>
      </c>
      <c r="J320" s="124" t="n">
        <f aca="false">IF(MONTH($A320)=MONTH($A319),SUM(I320-I319),I320)</f>
        <v>0</v>
      </c>
      <c r="K320" s="124" t="n">
        <f aca="false">IF(WEEKDAY(A320,3)&gt;4,0,(IF(A320&lt;K$2,0,IF(A320&lt;=K$3,1,0))))</f>
        <v>0</v>
      </c>
      <c r="L320" s="124" t="n">
        <f aca="false">J320*K320</f>
        <v>0</v>
      </c>
      <c r="M320" s="124" t="n">
        <f aca="false">SUM(J$280:J320)</f>
        <v>-71262</v>
      </c>
      <c r="N320" s="124" t="n">
        <f aca="false">SUM(J$6:J320)</f>
        <v>-535274.56</v>
      </c>
      <c r="P320" s="124" t="n">
        <f aca="false">D320/P$3</f>
        <v>0</v>
      </c>
      <c r="Q320" s="124" t="n">
        <f aca="false">E320/P$3</f>
        <v>0</v>
      </c>
      <c r="R320" s="124" t="n">
        <f aca="false">F320/R$3</f>
        <v>0</v>
      </c>
      <c r="S320" s="126" t="n">
        <f aca="false">J320/$R$3</f>
        <v>0</v>
      </c>
      <c r="T320" s="126" t="n">
        <f aca="false">L320/$R$3</f>
        <v>0</v>
      </c>
      <c r="U320" s="126" t="n">
        <f aca="false">I320/$R$3</f>
        <v>-18.968</v>
      </c>
      <c r="V320" s="126" t="n">
        <f aca="false">M320/$R$3</f>
        <v>-71.262</v>
      </c>
      <c r="W320" s="126" t="n">
        <f aca="false">N320/$R$3</f>
        <v>-535.27456</v>
      </c>
    </row>
    <row r="321" customFormat="false" ht="12.75" hidden="false" customHeight="false" outlineLevel="0" collapsed="false">
      <c r="A321" s="120" t="n">
        <f aca="false">A320+1</f>
        <v>37207</v>
      </c>
      <c r="B321" s="131" t="str">
        <f aca="false">INDEX('Master Data'!$A$2:$B$8,MATCH(WEEKDAY('ARG Gas IM'!A321,3),'Master Data'!$A$2:$A$8,0),2)</f>
        <v>M</v>
      </c>
      <c r="D321" s="124"/>
      <c r="E321" s="124"/>
      <c r="F321" s="124"/>
      <c r="G321" s="124"/>
      <c r="I321" s="124" t="n">
        <f aca="false">IF(MONTH($A321)=MONTH($A320),IF(G321=0,I320,G321),G321)</f>
        <v>-18968</v>
      </c>
      <c r="J321" s="124" t="n">
        <f aca="false">IF(MONTH($A321)=MONTH($A320),SUM(I321-I320),I321)</f>
        <v>0</v>
      </c>
      <c r="K321" s="124" t="n">
        <f aca="false">IF(WEEKDAY(A321,3)&gt;4,0,(IF(A321&lt;K$2,0,IF(A321&lt;=K$3,1,0))))</f>
        <v>0</v>
      </c>
      <c r="L321" s="124" t="n">
        <f aca="false">J321*K321</f>
        <v>0</v>
      </c>
      <c r="M321" s="124" t="n">
        <f aca="false">SUM(J$280:J321)</f>
        <v>-71262</v>
      </c>
      <c r="N321" s="124" t="n">
        <f aca="false">SUM(J$6:J321)</f>
        <v>-535274.56</v>
      </c>
      <c r="P321" s="124" t="n">
        <f aca="false">D321/P$3</f>
        <v>0</v>
      </c>
      <c r="Q321" s="124" t="n">
        <f aca="false">E321/P$3</f>
        <v>0</v>
      </c>
      <c r="R321" s="124" t="n">
        <f aca="false">F321/R$3</f>
        <v>0</v>
      </c>
      <c r="S321" s="126" t="n">
        <f aca="false">J321/$R$3</f>
        <v>0</v>
      </c>
      <c r="T321" s="126" t="n">
        <f aca="false">L321/$R$3</f>
        <v>0</v>
      </c>
      <c r="U321" s="126" t="n">
        <f aca="false">I321/$R$3</f>
        <v>-18.968</v>
      </c>
      <c r="V321" s="126" t="n">
        <f aca="false">M321/$R$3</f>
        <v>-71.262</v>
      </c>
      <c r="W321" s="126" t="n">
        <f aca="false">N321/$R$3</f>
        <v>-535.27456</v>
      </c>
    </row>
    <row r="322" customFormat="false" ht="12.75" hidden="false" customHeight="false" outlineLevel="0" collapsed="false">
      <c r="A322" s="120" t="n">
        <f aca="false">A321+1</f>
        <v>37208</v>
      </c>
      <c r="B322" s="131" t="str">
        <f aca="false">INDEX('Master Data'!$A$2:$B$8,MATCH(WEEKDAY('ARG Gas IM'!A322,3),'Master Data'!$A$2:$A$8,0),2)</f>
        <v>T</v>
      </c>
      <c r="D322" s="124"/>
      <c r="E322" s="124"/>
      <c r="F322" s="124"/>
      <c r="G322" s="124"/>
      <c r="I322" s="124" t="n">
        <f aca="false">IF(MONTH($A322)=MONTH($A321),IF(G322=0,I321,G322),G322)</f>
        <v>-18968</v>
      </c>
      <c r="J322" s="124" t="n">
        <f aca="false">IF(MONTH($A322)=MONTH($A321),SUM(I322-I321),I322)</f>
        <v>0</v>
      </c>
      <c r="K322" s="124" t="n">
        <f aca="false">IF(WEEKDAY(A322,3)&gt;4,0,(IF(A322&lt;K$2,0,IF(A322&lt;=K$3,1,0))))</f>
        <v>0</v>
      </c>
      <c r="L322" s="124" t="n">
        <f aca="false">J322*K322</f>
        <v>0</v>
      </c>
      <c r="M322" s="124" t="n">
        <f aca="false">SUM(J$280:J322)</f>
        <v>-71262</v>
      </c>
      <c r="N322" s="124" t="n">
        <f aca="false">SUM(J$6:J322)</f>
        <v>-535274.56</v>
      </c>
      <c r="P322" s="124" t="n">
        <f aca="false">D322/P$3</f>
        <v>0</v>
      </c>
      <c r="Q322" s="124" t="n">
        <f aca="false">E322/P$3</f>
        <v>0</v>
      </c>
      <c r="R322" s="124" t="n">
        <f aca="false">F322/R$3</f>
        <v>0</v>
      </c>
      <c r="S322" s="126" t="n">
        <f aca="false">J322/$R$3</f>
        <v>0</v>
      </c>
      <c r="T322" s="126" t="n">
        <f aca="false">L322/$R$3</f>
        <v>0</v>
      </c>
      <c r="U322" s="126" t="n">
        <f aca="false">I322/$R$3</f>
        <v>-18.968</v>
      </c>
      <c r="V322" s="126" t="n">
        <f aca="false">M322/$R$3</f>
        <v>-71.262</v>
      </c>
      <c r="W322" s="126" t="n">
        <f aca="false">N322/$R$3</f>
        <v>-535.27456</v>
      </c>
    </row>
    <row r="323" customFormat="false" ht="12.75" hidden="false" customHeight="false" outlineLevel="0" collapsed="false">
      <c r="A323" s="120" t="n">
        <f aca="false">A322+1</f>
        <v>37209</v>
      </c>
      <c r="B323" s="131" t="str">
        <f aca="false">INDEX('Master Data'!$A$2:$B$8,MATCH(WEEKDAY('ARG Gas IM'!A323,3),'Master Data'!$A$2:$A$8,0),2)</f>
        <v>W</v>
      </c>
      <c r="D323" s="124"/>
      <c r="E323" s="124"/>
      <c r="F323" s="124"/>
      <c r="G323" s="124"/>
      <c r="I323" s="124" t="n">
        <f aca="false">IF(MONTH($A323)=MONTH($A322),IF(G323=0,I322,G323),G323)</f>
        <v>-18968</v>
      </c>
      <c r="J323" s="124" t="n">
        <f aca="false">IF(MONTH($A323)=MONTH($A322),SUM(I323-I322),I323)</f>
        <v>0</v>
      </c>
      <c r="K323" s="124" t="n">
        <f aca="false">IF(WEEKDAY(A323,3)&gt;4,0,(IF(A323&lt;K$2,0,IF(A323&lt;=K$3,1,0))))</f>
        <v>0</v>
      </c>
      <c r="L323" s="124" t="n">
        <f aca="false">J323*K323</f>
        <v>0</v>
      </c>
      <c r="M323" s="124" t="n">
        <f aca="false">SUM(J$280:J323)</f>
        <v>-71262</v>
      </c>
      <c r="N323" s="124" t="n">
        <f aca="false">SUM(J$6:J323)</f>
        <v>-535274.56</v>
      </c>
      <c r="P323" s="124" t="n">
        <f aca="false">D323/P$3</f>
        <v>0</v>
      </c>
      <c r="Q323" s="124" t="n">
        <f aca="false">E323/P$3</f>
        <v>0</v>
      </c>
      <c r="R323" s="124" t="n">
        <f aca="false">F323/R$3</f>
        <v>0</v>
      </c>
      <c r="S323" s="126" t="n">
        <f aca="false">J323/$R$3</f>
        <v>0</v>
      </c>
      <c r="T323" s="126" t="n">
        <f aca="false">L323/$R$3</f>
        <v>0</v>
      </c>
      <c r="U323" s="126" t="n">
        <f aca="false">I323/$R$3</f>
        <v>-18.968</v>
      </c>
      <c r="V323" s="126" t="n">
        <f aca="false">M323/$R$3</f>
        <v>-71.262</v>
      </c>
      <c r="W323" s="126" t="n">
        <f aca="false">N323/$R$3</f>
        <v>-535.27456</v>
      </c>
    </row>
    <row r="324" customFormat="false" ht="12.75" hidden="false" customHeight="false" outlineLevel="0" collapsed="false">
      <c r="A324" s="120" t="n">
        <f aca="false">A323+1</f>
        <v>37210</v>
      </c>
      <c r="B324" s="131" t="str">
        <f aca="false">INDEX('Master Data'!$A$2:$B$8,MATCH(WEEKDAY('ARG Gas IM'!A324,3),'Master Data'!$A$2:$A$8,0),2)</f>
        <v>Th</v>
      </c>
      <c r="D324" s="124"/>
      <c r="E324" s="124"/>
      <c r="F324" s="124"/>
      <c r="G324" s="124"/>
      <c r="I324" s="124" t="n">
        <f aca="false">IF(MONTH($A324)=MONTH($A323),IF(G324=0,I323,G324),G324)</f>
        <v>-18968</v>
      </c>
      <c r="J324" s="124" t="n">
        <f aca="false">IF(MONTH($A324)=MONTH($A323),SUM(I324-I323),I324)</f>
        <v>0</v>
      </c>
      <c r="K324" s="124" t="n">
        <f aca="false">IF(WEEKDAY(A324,3)&gt;4,0,(IF(A324&lt;K$2,0,IF(A324&lt;=K$3,1,0))))</f>
        <v>0</v>
      </c>
      <c r="L324" s="124" t="n">
        <f aca="false">J324*K324</f>
        <v>0</v>
      </c>
      <c r="M324" s="124" t="n">
        <f aca="false">SUM(J$280:J324)</f>
        <v>-71262</v>
      </c>
      <c r="N324" s="124" t="n">
        <f aca="false">SUM(J$6:J324)</f>
        <v>-535274.56</v>
      </c>
      <c r="P324" s="124" t="n">
        <f aca="false">D324/P$3</f>
        <v>0</v>
      </c>
      <c r="Q324" s="124" t="n">
        <f aca="false">E324/P$3</f>
        <v>0</v>
      </c>
      <c r="R324" s="124" t="n">
        <f aca="false">F324/R$3</f>
        <v>0</v>
      </c>
      <c r="S324" s="126" t="n">
        <f aca="false">J324/$R$3</f>
        <v>0</v>
      </c>
      <c r="T324" s="126" t="n">
        <f aca="false">L324/$R$3</f>
        <v>0</v>
      </c>
      <c r="U324" s="126" t="n">
        <f aca="false">I324/$R$3</f>
        <v>-18.968</v>
      </c>
      <c r="V324" s="126" t="n">
        <f aca="false">M324/$R$3</f>
        <v>-71.262</v>
      </c>
      <c r="W324" s="126" t="n">
        <f aca="false">N324/$R$3</f>
        <v>-535.27456</v>
      </c>
    </row>
    <row r="325" customFormat="false" ht="12.75" hidden="false" customHeight="false" outlineLevel="0" collapsed="false">
      <c r="A325" s="120" t="n">
        <f aca="false">A324+1</f>
        <v>37211</v>
      </c>
      <c r="B325" s="131" t="str">
        <f aca="false">INDEX('Master Data'!$A$2:$B$8,MATCH(WEEKDAY('ARG Gas IM'!A325,3),'Master Data'!$A$2:$A$8,0),2)</f>
        <v>F</v>
      </c>
      <c r="D325" s="124"/>
      <c r="E325" s="124"/>
      <c r="F325" s="124"/>
      <c r="G325" s="124"/>
      <c r="I325" s="124" t="n">
        <f aca="false">IF(MONTH($A325)=MONTH($A324),IF(G325=0,I324,G325),G325)</f>
        <v>-18968</v>
      </c>
      <c r="J325" s="124" t="n">
        <f aca="false">IF(MONTH($A325)=MONTH($A324),SUM(I325-I324),I325)</f>
        <v>0</v>
      </c>
      <c r="K325" s="124" t="n">
        <f aca="false">IF(WEEKDAY(A325,3)&gt;4,0,(IF(A325&lt;K$2,0,IF(A325&lt;=K$3,1,0))))</f>
        <v>0</v>
      </c>
      <c r="L325" s="124" t="n">
        <f aca="false">J325*K325</f>
        <v>0</v>
      </c>
      <c r="M325" s="124" t="n">
        <f aca="false">SUM(J$280:J325)</f>
        <v>-71262</v>
      </c>
      <c r="N325" s="124" t="n">
        <f aca="false">SUM(J$6:J325)</f>
        <v>-535274.56</v>
      </c>
      <c r="P325" s="124" t="n">
        <f aca="false">D325/P$3</f>
        <v>0</v>
      </c>
      <c r="Q325" s="124" t="n">
        <f aca="false">E325/P$3</f>
        <v>0</v>
      </c>
      <c r="R325" s="124" t="n">
        <f aca="false">F325/R$3</f>
        <v>0</v>
      </c>
      <c r="S325" s="126" t="n">
        <f aca="false">J325/$R$3</f>
        <v>0</v>
      </c>
      <c r="T325" s="126" t="n">
        <f aca="false">L325/$R$3</f>
        <v>0</v>
      </c>
      <c r="U325" s="126" t="n">
        <f aca="false">I325/$R$3</f>
        <v>-18.968</v>
      </c>
      <c r="V325" s="126" t="n">
        <f aca="false">M325/$R$3</f>
        <v>-71.262</v>
      </c>
      <c r="W325" s="126" t="n">
        <f aca="false">N325/$R$3</f>
        <v>-535.27456</v>
      </c>
    </row>
    <row r="326" customFormat="false" ht="12.75" hidden="false" customHeight="false" outlineLevel="0" collapsed="false">
      <c r="A326" s="120" t="n">
        <f aca="false">A325+1</f>
        <v>37212</v>
      </c>
      <c r="B326" s="131" t="str">
        <f aca="false">INDEX('Master Data'!$A$2:$B$8,MATCH(WEEKDAY('ARG Gas IM'!A326,3),'Master Data'!$A$2:$A$8,0),2)</f>
        <v>Sa</v>
      </c>
      <c r="D326" s="124"/>
      <c r="E326" s="124"/>
      <c r="F326" s="124"/>
      <c r="G326" s="124"/>
      <c r="I326" s="124" t="n">
        <f aca="false">IF(MONTH($A326)=MONTH($A325),IF(G326=0,I325,G326),G326)</f>
        <v>-18968</v>
      </c>
      <c r="J326" s="124" t="n">
        <f aca="false">IF(MONTH($A326)=MONTH($A325),SUM(I326-I325),I326)</f>
        <v>0</v>
      </c>
      <c r="K326" s="124" t="n">
        <f aca="false">IF(WEEKDAY(A326,3)&gt;4,0,(IF(A326&lt;K$2,0,IF(A326&lt;=K$3,1,0))))</f>
        <v>0</v>
      </c>
      <c r="L326" s="124" t="n">
        <f aca="false">J326*K326</f>
        <v>0</v>
      </c>
      <c r="M326" s="124" t="n">
        <f aca="false">SUM(J$280:J326)</f>
        <v>-71262</v>
      </c>
      <c r="N326" s="124" t="n">
        <f aca="false">SUM(J$6:J326)</f>
        <v>-535274.56</v>
      </c>
      <c r="P326" s="124" t="n">
        <f aca="false">D326/P$3</f>
        <v>0</v>
      </c>
      <c r="Q326" s="124" t="n">
        <f aca="false">E326/P$3</f>
        <v>0</v>
      </c>
      <c r="R326" s="124" t="n">
        <f aca="false">F326/R$3</f>
        <v>0</v>
      </c>
      <c r="S326" s="126" t="n">
        <f aca="false">J326/$R$3</f>
        <v>0</v>
      </c>
      <c r="T326" s="126" t="n">
        <f aca="false">L326/$R$3</f>
        <v>0</v>
      </c>
      <c r="U326" s="126" t="n">
        <f aca="false">I326/$R$3</f>
        <v>-18.968</v>
      </c>
      <c r="V326" s="126" t="n">
        <f aca="false">M326/$R$3</f>
        <v>-71.262</v>
      </c>
      <c r="W326" s="126" t="n">
        <f aca="false">N326/$R$3</f>
        <v>-535.27456</v>
      </c>
    </row>
    <row r="327" customFormat="false" ht="12.75" hidden="false" customHeight="false" outlineLevel="0" collapsed="false">
      <c r="A327" s="120" t="n">
        <f aca="false">A326+1</f>
        <v>37213</v>
      </c>
      <c r="B327" s="131" t="str">
        <f aca="false">INDEX('Master Data'!$A$2:$B$8,MATCH(WEEKDAY('ARG Gas IM'!A327,3),'Master Data'!$A$2:$A$8,0),2)</f>
        <v>Su</v>
      </c>
      <c r="D327" s="124"/>
      <c r="E327" s="124"/>
      <c r="F327" s="124"/>
      <c r="G327" s="124"/>
      <c r="I327" s="124" t="n">
        <f aca="false">IF(MONTH($A327)=MONTH($A326),IF(G327=0,I326,G327),G327)</f>
        <v>-18968</v>
      </c>
      <c r="J327" s="124" t="n">
        <f aca="false">IF(MONTH($A327)=MONTH($A326),SUM(I327-I326),I327)</f>
        <v>0</v>
      </c>
      <c r="K327" s="124" t="n">
        <f aca="false">IF(WEEKDAY(A327,3)&gt;4,0,(IF(A327&lt;K$2,0,IF(A327&lt;=K$3,1,0))))</f>
        <v>0</v>
      </c>
      <c r="L327" s="124" t="n">
        <f aca="false">J327*K327</f>
        <v>0</v>
      </c>
      <c r="M327" s="124" t="n">
        <f aca="false">SUM(J$280:J327)</f>
        <v>-71262</v>
      </c>
      <c r="N327" s="124" t="n">
        <f aca="false">SUM(J$6:J327)</f>
        <v>-535274.56</v>
      </c>
      <c r="P327" s="124" t="n">
        <f aca="false">D327/P$3</f>
        <v>0</v>
      </c>
      <c r="Q327" s="124" t="n">
        <f aca="false">E327/P$3</f>
        <v>0</v>
      </c>
      <c r="R327" s="124" t="n">
        <f aca="false">F327/R$3</f>
        <v>0</v>
      </c>
      <c r="S327" s="126" t="n">
        <f aca="false">J327/$R$3</f>
        <v>0</v>
      </c>
      <c r="T327" s="126" t="n">
        <f aca="false">L327/$R$3</f>
        <v>0</v>
      </c>
      <c r="U327" s="126" t="n">
        <f aca="false">I327/$R$3</f>
        <v>-18.968</v>
      </c>
      <c r="V327" s="126" t="n">
        <f aca="false">M327/$R$3</f>
        <v>-71.262</v>
      </c>
      <c r="W327" s="126" t="n">
        <f aca="false">N327/$R$3</f>
        <v>-535.27456</v>
      </c>
    </row>
    <row r="328" customFormat="false" ht="12.75" hidden="false" customHeight="false" outlineLevel="0" collapsed="false">
      <c r="A328" s="120" t="n">
        <f aca="false">A327+1</f>
        <v>37214</v>
      </c>
      <c r="B328" s="131" t="str">
        <f aca="false">INDEX('Master Data'!$A$2:$B$8,MATCH(WEEKDAY('ARG Gas IM'!A328,3),'Master Data'!$A$2:$A$8,0),2)</f>
        <v>M</v>
      </c>
      <c r="D328" s="124"/>
      <c r="E328" s="124"/>
      <c r="F328" s="124"/>
      <c r="G328" s="124"/>
      <c r="I328" s="124" t="n">
        <f aca="false">IF(MONTH($A328)=MONTH($A327),IF(G328=0,I327,G328),G328)</f>
        <v>-18968</v>
      </c>
      <c r="J328" s="124" t="n">
        <f aca="false">IF(MONTH($A328)=MONTH($A327),SUM(I328-I327),I328)</f>
        <v>0</v>
      </c>
      <c r="K328" s="124" t="n">
        <f aca="false">IF(WEEKDAY(A328,3)&gt;4,0,(IF(A328&lt;K$2,0,IF(A328&lt;=K$3,1,0))))</f>
        <v>0</v>
      </c>
      <c r="L328" s="124" t="n">
        <f aca="false">J328*K328</f>
        <v>0</v>
      </c>
      <c r="M328" s="124" t="n">
        <f aca="false">SUM(J$280:J328)</f>
        <v>-71262</v>
      </c>
      <c r="N328" s="124" t="n">
        <f aca="false">SUM(J$6:J328)</f>
        <v>-535274.56</v>
      </c>
      <c r="P328" s="124" t="n">
        <f aca="false">D328/P$3</f>
        <v>0</v>
      </c>
      <c r="Q328" s="124" t="n">
        <f aca="false">E328/P$3</f>
        <v>0</v>
      </c>
      <c r="R328" s="124" t="n">
        <f aca="false">F328/R$3</f>
        <v>0</v>
      </c>
      <c r="S328" s="126" t="n">
        <f aca="false">J328/$R$3</f>
        <v>0</v>
      </c>
      <c r="T328" s="126" t="n">
        <f aca="false">L328/$R$3</f>
        <v>0</v>
      </c>
      <c r="U328" s="126" t="n">
        <f aca="false">I328/$R$3</f>
        <v>-18.968</v>
      </c>
      <c r="V328" s="126" t="n">
        <f aca="false">M328/$R$3</f>
        <v>-71.262</v>
      </c>
      <c r="W328" s="126" t="n">
        <f aca="false">N328/$R$3</f>
        <v>-535.27456</v>
      </c>
    </row>
    <row r="329" customFormat="false" ht="12.75" hidden="false" customHeight="false" outlineLevel="0" collapsed="false">
      <c r="A329" s="120" t="n">
        <f aca="false">A328+1</f>
        <v>37215</v>
      </c>
      <c r="B329" s="131" t="str">
        <f aca="false">INDEX('Master Data'!$A$2:$B$8,MATCH(WEEKDAY('ARG Gas IM'!A329,3),'Master Data'!$A$2:$A$8,0),2)</f>
        <v>T</v>
      </c>
      <c r="D329" s="124"/>
      <c r="E329" s="124"/>
      <c r="F329" s="124"/>
      <c r="G329" s="124"/>
      <c r="I329" s="124" t="n">
        <f aca="false">IF(MONTH($A329)=MONTH($A328),IF(G329=0,I328,G329),G329)</f>
        <v>-18968</v>
      </c>
      <c r="J329" s="124" t="n">
        <f aca="false">IF(MONTH($A329)=MONTH($A328),SUM(I329-I328),I329)</f>
        <v>0</v>
      </c>
      <c r="K329" s="124" t="n">
        <f aca="false">IF(WEEKDAY(A329,3)&gt;4,0,(IF(A329&lt;K$2,0,IF(A329&lt;=K$3,1,0))))</f>
        <v>0</v>
      </c>
      <c r="L329" s="124" t="n">
        <f aca="false">J329*K329</f>
        <v>0</v>
      </c>
      <c r="M329" s="124" t="n">
        <f aca="false">SUM(J$280:J329)</f>
        <v>-71262</v>
      </c>
      <c r="N329" s="124" t="n">
        <f aca="false">SUM(J$6:J329)</f>
        <v>-535274.56</v>
      </c>
      <c r="P329" s="124" t="n">
        <f aca="false">D329/P$3</f>
        <v>0</v>
      </c>
      <c r="Q329" s="124" t="n">
        <f aca="false">E329/P$3</f>
        <v>0</v>
      </c>
      <c r="R329" s="124" t="n">
        <f aca="false">F329/R$3</f>
        <v>0</v>
      </c>
      <c r="S329" s="126" t="n">
        <f aca="false">J329/$R$3</f>
        <v>0</v>
      </c>
      <c r="T329" s="126" t="n">
        <f aca="false">L329/$R$3</f>
        <v>0</v>
      </c>
      <c r="U329" s="126" t="n">
        <f aca="false">I329/$R$3</f>
        <v>-18.968</v>
      </c>
      <c r="V329" s="126" t="n">
        <f aca="false">M329/$R$3</f>
        <v>-71.262</v>
      </c>
      <c r="W329" s="126" t="n">
        <f aca="false">N329/$R$3</f>
        <v>-535.27456</v>
      </c>
    </row>
    <row r="330" customFormat="false" ht="12.75" hidden="false" customHeight="false" outlineLevel="0" collapsed="false">
      <c r="A330" s="120" t="n">
        <f aca="false">A329+1</f>
        <v>37216</v>
      </c>
      <c r="B330" s="131" t="str">
        <f aca="false">INDEX('Master Data'!$A$2:$B$8,MATCH(WEEKDAY('ARG Gas IM'!A330,3),'Master Data'!$A$2:$A$8,0),2)</f>
        <v>W</v>
      </c>
      <c r="D330" s="124"/>
      <c r="E330" s="124"/>
      <c r="F330" s="124"/>
      <c r="G330" s="124"/>
      <c r="I330" s="124" t="n">
        <f aca="false">IF(MONTH($A330)=MONTH($A329),IF(G330=0,I329,G330),G330)</f>
        <v>-18968</v>
      </c>
      <c r="J330" s="124" t="n">
        <f aca="false">IF(MONTH($A330)=MONTH($A329),SUM(I330-I329),I330)</f>
        <v>0</v>
      </c>
      <c r="K330" s="124" t="n">
        <f aca="false">IF(WEEKDAY(A330,3)&gt;4,0,(IF(A330&lt;K$2,0,IF(A330&lt;=K$3,1,0))))</f>
        <v>0</v>
      </c>
      <c r="L330" s="124" t="n">
        <f aca="false">J330*K330</f>
        <v>0</v>
      </c>
      <c r="M330" s="124" t="n">
        <f aca="false">SUM(J$280:J330)</f>
        <v>-71262</v>
      </c>
      <c r="N330" s="124" t="n">
        <f aca="false">SUM(J$6:J330)</f>
        <v>-535274.56</v>
      </c>
      <c r="P330" s="124" t="n">
        <f aca="false">D330/P$3</f>
        <v>0</v>
      </c>
      <c r="Q330" s="124" t="n">
        <f aca="false">E330/P$3</f>
        <v>0</v>
      </c>
      <c r="R330" s="124" t="n">
        <f aca="false">F330/R$3</f>
        <v>0</v>
      </c>
      <c r="S330" s="126" t="n">
        <f aca="false">J330/$R$3</f>
        <v>0</v>
      </c>
      <c r="T330" s="126" t="n">
        <f aca="false">L330/$R$3</f>
        <v>0</v>
      </c>
      <c r="U330" s="126" t="n">
        <f aca="false">I330/$R$3</f>
        <v>-18.968</v>
      </c>
      <c r="V330" s="126" t="n">
        <f aca="false">M330/$R$3</f>
        <v>-71.262</v>
      </c>
      <c r="W330" s="126" t="n">
        <f aca="false">N330/$R$3</f>
        <v>-535.27456</v>
      </c>
    </row>
    <row r="331" customFormat="false" ht="12.75" hidden="false" customHeight="false" outlineLevel="0" collapsed="false">
      <c r="A331" s="120" t="n">
        <f aca="false">A330+1</f>
        <v>37217</v>
      </c>
      <c r="B331" s="131" t="str">
        <f aca="false">INDEX('Master Data'!$A$2:$B$8,MATCH(WEEKDAY('ARG Gas IM'!A331,3),'Master Data'!$A$2:$A$8,0),2)</f>
        <v>Th</v>
      </c>
      <c r="D331" s="124"/>
      <c r="E331" s="124"/>
      <c r="F331" s="124"/>
      <c r="G331" s="124"/>
      <c r="I331" s="124" t="n">
        <f aca="false">IF(MONTH($A331)=MONTH($A330),IF(G331=0,I330,G331),G331)</f>
        <v>-18968</v>
      </c>
      <c r="J331" s="124" t="n">
        <f aca="false">IF(MONTH($A331)=MONTH($A330),SUM(I331-I330),I331)</f>
        <v>0</v>
      </c>
      <c r="K331" s="124" t="n">
        <f aca="false">IF(WEEKDAY(A331,3)&gt;4,0,(IF(A331&lt;K$2,0,IF(A331&lt;=K$3,1,0))))</f>
        <v>0</v>
      </c>
      <c r="L331" s="124" t="n">
        <f aca="false">J331*K331</f>
        <v>0</v>
      </c>
      <c r="M331" s="124" t="n">
        <f aca="false">SUM(J$280:J331)</f>
        <v>-71262</v>
      </c>
      <c r="N331" s="124" t="n">
        <f aca="false">SUM(J$6:J331)</f>
        <v>-535274.56</v>
      </c>
      <c r="P331" s="124" t="n">
        <f aca="false">D331/P$3</f>
        <v>0</v>
      </c>
      <c r="Q331" s="124" t="n">
        <f aca="false">E331/P$3</f>
        <v>0</v>
      </c>
      <c r="R331" s="124" t="n">
        <f aca="false">F331/R$3</f>
        <v>0</v>
      </c>
      <c r="S331" s="126" t="n">
        <f aca="false">J331/$R$3</f>
        <v>0</v>
      </c>
      <c r="T331" s="126" t="n">
        <f aca="false">L331/$R$3</f>
        <v>0</v>
      </c>
      <c r="U331" s="126" t="n">
        <f aca="false">I331/$R$3</f>
        <v>-18.968</v>
      </c>
      <c r="V331" s="126" t="n">
        <f aca="false">M331/$R$3</f>
        <v>-71.262</v>
      </c>
      <c r="W331" s="126" t="n">
        <f aca="false">N331/$R$3</f>
        <v>-535.27456</v>
      </c>
    </row>
    <row r="332" customFormat="false" ht="12.75" hidden="false" customHeight="false" outlineLevel="0" collapsed="false">
      <c r="A332" s="120" t="n">
        <f aca="false">A331+1</f>
        <v>37218</v>
      </c>
      <c r="B332" s="131" t="str">
        <f aca="false">INDEX('Master Data'!$A$2:$B$8,MATCH(WEEKDAY('ARG Gas IM'!A332,3),'Master Data'!$A$2:$A$8,0),2)</f>
        <v>F</v>
      </c>
      <c r="D332" s="124"/>
      <c r="E332" s="124"/>
      <c r="F332" s="124"/>
      <c r="G332" s="124"/>
      <c r="I332" s="124" t="n">
        <f aca="false">IF(MONTH($A332)=MONTH($A331),IF(G332=0,I331,G332),G332)</f>
        <v>-18968</v>
      </c>
      <c r="J332" s="124" t="n">
        <f aca="false">IF(MONTH($A332)=MONTH($A331),SUM(I332-I331),I332)</f>
        <v>0</v>
      </c>
      <c r="K332" s="124" t="n">
        <f aca="false">IF(WEEKDAY(A332,3)&gt;4,0,(IF(A332&lt;K$2,0,IF(A332&lt;=K$3,1,0))))</f>
        <v>0</v>
      </c>
      <c r="L332" s="124" t="n">
        <f aca="false">J332*K332</f>
        <v>0</v>
      </c>
      <c r="M332" s="124" t="n">
        <f aca="false">SUM(J$280:J332)</f>
        <v>-71262</v>
      </c>
      <c r="N332" s="124" t="n">
        <f aca="false">SUM(J$6:J332)</f>
        <v>-535274.56</v>
      </c>
      <c r="P332" s="124" t="n">
        <f aca="false">D332/P$3</f>
        <v>0</v>
      </c>
      <c r="Q332" s="124" t="n">
        <f aca="false">E332/P$3</f>
        <v>0</v>
      </c>
      <c r="R332" s="124" t="n">
        <f aca="false">F332/R$3</f>
        <v>0</v>
      </c>
      <c r="S332" s="126" t="n">
        <f aca="false">J332/$R$3</f>
        <v>0</v>
      </c>
      <c r="T332" s="126" t="n">
        <f aca="false">L332/$R$3</f>
        <v>0</v>
      </c>
      <c r="U332" s="126" t="n">
        <f aca="false">I332/$R$3</f>
        <v>-18.968</v>
      </c>
      <c r="V332" s="126" t="n">
        <f aca="false">M332/$R$3</f>
        <v>-71.262</v>
      </c>
      <c r="W332" s="126" t="n">
        <f aca="false">N332/$R$3</f>
        <v>-535.27456</v>
      </c>
    </row>
    <row r="333" customFormat="false" ht="12.75" hidden="false" customHeight="false" outlineLevel="0" collapsed="false">
      <c r="A333" s="120" t="n">
        <f aca="false">A332+1</f>
        <v>37219</v>
      </c>
      <c r="B333" s="131" t="str">
        <f aca="false">INDEX('Master Data'!$A$2:$B$8,MATCH(WEEKDAY('ARG Gas IM'!A333,3),'Master Data'!$A$2:$A$8,0),2)</f>
        <v>Sa</v>
      </c>
      <c r="D333" s="124"/>
      <c r="E333" s="124"/>
      <c r="F333" s="124"/>
      <c r="G333" s="124"/>
      <c r="I333" s="124" t="n">
        <f aca="false">IF(MONTH($A333)=MONTH($A332),IF(G333=0,I332,G333),G333)</f>
        <v>-18968</v>
      </c>
      <c r="J333" s="124" t="n">
        <f aca="false">IF(MONTH($A333)=MONTH($A332),SUM(I333-I332),I333)</f>
        <v>0</v>
      </c>
      <c r="K333" s="124" t="n">
        <f aca="false">IF(WEEKDAY(A333,3)&gt;4,0,(IF(A333&lt;K$2,0,IF(A333&lt;=K$3,1,0))))</f>
        <v>0</v>
      </c>
      <c r="L333" s="124" t="n">
        <f aca="false">J333*K333</f>
        <v>0</v>
      </c>
      <c r="M333" s="124" t="n">
        <f aca="false">SUM(J$280:J333)</f>
        <v>-71262</v>
      </c>
      <c r="N333" s="124" t="n">
        <f aca="false">SUM(J$6:J333)</f>
        <v>-535274.56</v>
      </c>
      <c r="P333" s="124" t="n">
        <f aca="false">D333/P$3</f>
        <v>0</v>
      </c>
      <c r="Q333" s="124" t="n">
        <f aca="false">E333/P$3</f>
        <v>0</v>
      </c>
      <c r="R333" s="124" t="n">
        <f aca="false">F333/R$3</f>
        <v>0</v>
      </c>
      <c r="S333" s="126" t="n">
        <f aca="false">J333/$R$3</f>
        <v>0</v>
      </c>
      <c r="T333" s="126" t="n">
        <f aca="false">L333/$R$3</f>
        <v>0</v>
      </c>
      <c r="U333" s="126" t="n">
        <f aca="false">I333/$R$3</f>
        <v>-18.968</v>
      </c>
      <c r="V333" s="126" t="n">
        <f aca="false">M333/$R$3</f>
        <v>-71.262</v>
      </c>
      <c r="W333" s="126" t="n">
        <f aca="false">N333/$R$3</f>
        <v>-535.27456</v>
      </c>
    </row>
    <row r="334" customFormat="false" ht="12.75" hidden="false" customHeight="false" outlineLevel="0" collapsed="false">
      <c r="A334" s="120" t="n">
        <f aca="false">A333+1</f>
        <v>37220</v>
      </c>
      <c r="B334" s="131" t="str">
        <f aca="false">INDEX('Master Data'!$A$2:$B$8,MATCH(WEEKDAY('ARG Gas IM'!A334,3),'Master Data'!$A$2:$A$8,0),2)</f>
        <v>Su</v>
      </c>
      <c r="D334" s="124"/>
      <c r="E334" s="124"/>
      <c r="F334" s="124"/>
      <c r="G334" s="124"/>
      <c r="I334" s="124" t="n">
        <f aca="false">IF(MONTH($A334)=MONTH($A333),IF(G334=0,I333,G334),G334)</f>
        <v>-18968</v>
      </c>
      <c r="J334" s="124" t="n">
        <f aca="false">IF(MONTH($A334)=MONTH($A333),SUM(I334-I333),I334)</f>
        <v>0</v>
      </c>
      <c r="K334" s="124" t="n">
        <f aca="false">IF(WEEKDAY(A334,3)&gt;4,0,(IF(A334&lt;K$2,0,IF(A334&lt;=K$3,1,0))))</f>
        <v>0</v>
      </c>
      <c r="L334" s="124" t="n">
        <f aca="false">J334*K334</f>
        <v>0</v>
      </c>
      <c r="M334" s="124" t="n">
        <f aca="false">SUM(J$280:J334)</f>
        <v>-71262</v>
      </c>
      <c r="N334" s="124" t="n">
        <f aca="false">SUM(J$6:J334)</f>
        <v>-535274.56</v>
      </c>
      <c r="P334" s="124" t="n">
        <f aca="false">D334/P$3</f>
        <v>0</v>
      </c>
      <c r="Q334" s="124" t="n">
        <f aca="false">E334/P$3</f>
        <v>0</v>
      </c>
      <c r="R334" s="124" t="n">
        <f aca="false">F334/R$3</f>
        <v>0</v>
      </c>
      <c r="S334" s="126" t="n">
        <f aca="false">J334/$R$3</f>
        <v>0</v>
      </c>
      <c r="T334" s="126" t="n">
        <f aca="false">L334/$R$3</f>
        <v>0</v>
      </c>
      <c r="U334" s="126" t="n">
        <f aca="false">I334/$R$3</f>
        <v>-18.968</v>
      </c>
      <c r="V334" s="126" t="n">
        <f aca="false">M334/$R$3</f>
        <v>-71.262</v>
      </c>
      <c r="W334" s="126" t="n">
        <f aca="false">N334/$R$3</f>
        <v>-535.27456</v>
      </c>
    </row>
    <row r="335" customFormat="false" ht="12.75" hidden="false" customHeight="false" outlineLevel="0" collapsed="false">
      <c r="A335" s="120" t="n">
        <f aca="false">A334+1</f>
        <v>37221</v>
      </c>
      <c r="B335" s="131" t="str">
        <f aca="false">INDEX('Master Data'!$A$2:$B$8,MATCH(WEEKDAY('ARG Gas IM'!A335,3),'Master Data'!$A$2:$A$8,0),2)</f>
        <v>M</v>
      </c>
      <c r="D335" s="124"/>
      <c r="E335" s="124"/>
      <c r="F335" s="124"/>
      <c r="G335" s="124"/>
      <c r="I335" s="124" t="n">
        <f aca="false">IF(MONTH($A335)=MONTH($A334),IF(G335=0,I334,G335),G335)</f>
        <v>-18968</v>
      </c>
      <c r="J335" s="124" t="n">
        <f aca="false">IF(MONTH($A335)=MONTH($A334),SUM(I335-I334),I335)</f>
        <v>0</v>
      </c>
      <c r="K335" s="124" t="n">
        <f aca="false">IF(WEEKDAY(A335,3)&gt;4,0,(IF(A335&lt;K$2,0,IF(A335&lt;=K$3,1,0))))</f>
        <v>0</v>
      </c>
      <c r="L335" s="124" t="n">
        <f aca="false">J335*K335</f>
        <v>0</v>
      </c>
      <c r="M335" s="124" t="n">
        <f aca="false">SUM(J$280:J335)</f>
        <v>-71262</v>
      </c>
      <c r="N335" s="124" t="n">
        <f aca="false">SUM(J$6:J335)</f>
        <v>-535274.56</v>
      </c>
      <c r="P335" s="124" t="n">
        <f aca="false">D335/P$3</f>
        <v>0</v>
      </c>
      <c r="Q335" s="124" t="n">
        <f aca="false">E335/P$3</f>
        <v>0</v>
      </c>
      <c r="R335" s="124" t="n">
        <f aca="false">F335/R$3</f>
        <v>0</v>
      </c>
      <c r="S335" s="126" t="n">
        <f aca="false">J335/$R$3</f>
        <v>0</v>
      </c>
      <c r="T335" s="126" t="n">
        <f aca="false">L335/$R$3</f>
        <v>0</v>
      </c>
      <c r="U335" s="126" t="n">
        <f aca="false">I335/$R$3</f>
        <v>-18.968</v>
      </c>
      <c r="V335" s="126" t="n">
        <f aca="false">M335/$R$3</f>
        <v>-71.262</v>
      </c>
      <c r="W335" s="126" t="n">
        <f aca="false">N335/$R$3</f>
        <v>-535.27456</v>
      </c>
    </row>
    <row r="336" customFormat="false" ht="12.75" hidden="false" customHeight="false" outlineLevel="0" collapsed="false">
      <c r="A336" s="120" t="n">
        <f aca="false">A335+1</f>
        <v>37222</v>
      </c>
      <c r="B336" s="131" t="str">
        <f aca="false">INDEX('Master Data'!$A$2:$B$8,MATCH(WEEKDAY('ARG Gas IM'!A336,3),'Master Data'!$A$2:$A$8,0),2)</f>
        <v>T</v>
      </c>
      <c r="D336" s="124"/>
      <c r="E336" s="124"/>
      <c r="F336" s="124"/>
      <c r="G336" s="124"/>
      <c r="I336" s="124" t="n">
        <f aca="false">IF(MONTH($A336)=MONTH($A335),IF(G336=0,I335,G336),G336)</f>
        <v>-18968</v>
      </c>
      <c r="J336" s="124" t="n">
        <f aca="false">IF(MONTH($A336)=MONTH($A335),SUM(I336-I335),I336)</f>
        <v>0</v>
      </c>
      <c r="K336" s="124" t="n">
        <f aca="false">IF(WEEKDAY(A336,3)&gt;4,0,(IF(A336&lt;K$2,0,IF(A336&lt;=K$3,1,0))))</f>
        <v>0</v>
      </c>
      <c r="L336" s="124" t="n">
        <f aca="false">J336*K336</f>
        <v>0</v>
      </c>
      <c r="M336" s="124" t="n">
        <f aca="false">SUM(J$280:J336)</f>
        <v>-71262</v>
      </c>
      <c r="N336" s="124" t="n">
        <f aca="false">SUM(J$6:J336)</f>
        <v>-535274.56</v>
      </c>
      <c r="P336" s="124" t="n">
        <f aca="false">D336/P$3</f>
        <v>0</v>
      </c>
      <c r="Q336" s="124" t="n">
        <f aca="false">E336/P$3</f>
        <v>0</v>
      </c>
      <c r="R336" s="124" t="n">
        <f aca="false">F336/R$3</f>
        <v>0</v>
      </c>
      <c r="S336" s="126" t="n">
        <f aca="false">J336/$R$3</f>
        <v>0</v>
      </c>
      <c r="T336" s="126" t="n">
        <f aca="false">L336/$R$3</f>
        <v>0</v>
      </c>
      <c r="U336" s="126" t="n">
        <f aca="false">I336/$R$3</f>
        <v>-18.968</v>
      </c>
      <c r="V336" s="126" t="n">
        <f aca="false">M336/$R$3</f>
        <v>-71.262</v>
      </c>
      <c r="W336" s="126" t="n">
        <f aca="false">N336/$R$3</f>
        <v>-535.27456</v>
      </c>
    </row>
    <row r="337" customFormat="false" ht="12.75" hidden="false" customHeight="false" outlineLevel="0" collapsed="false">
      <c r="A337" s="120" t="n">
        <f aca="false">A336+1</f>
        <v>37223</v>
      </c>
      <c r="B337" s="131" t="str">
        <f aca="false">INDEX('Master Data'!$A$2:$B$8,MATCH(WEEKDAY('ARG Gas IM'!A337,3),'Master Data'!$A$2:$A$8,0),2)</f>
        <v>W</v>
      </c>
      <c r="D337" s="124"/>
      <c r="E337" s="124"/>
      <c r="F337" s="124"/>
      <c r="G337" s="124"/>
      <c r="I337" s="124" t="n">
        <f aca="false">IF(MONTH($A337)=MONTH($A336),IF(G337=0,I336,G337),G337)</f>
        <v>-18968</v>
      </c>
      <c r="J337" s="124" t="n">
        <f aca="false">IF(MONTH($A337)=MONTH($A336),SUM(I337-I336),I337)</f>
        <v>0</v>
      </c>
      <c r="K337" s="124" t="n">
        <f aca="false">IF(WEEKDAY(A337,3)&gt;4,0,(IF(A337&lt;K$2,0,IF(A337&lt;=K$3,1,0))))</f>
        <v>0</v>
      </c>
      <c r="L337" s="124" t="n">
        <f aca="false">J337*K337</f>
        <v>0</v>
      </c>
      <c r="M337" s="124" t="n">
        <f aca="false">SUM(J$280:J337)</f>
        <v>-71262</v>
      </c>
      <c r="N337" s="124" t="n">
        <f aca="false">SUM(J$6:J337)</f>
        <v>-535274.56</v>
      </c>
      <c r="P337" s="124" t="n">
        <f aca="false">D337/P$3</f>
        <v>0</v>
      </c>
      <c r="Q337" s="124" t="n">
        <f aca="false">E337/P$3</f>
        <v>0</v>
      </c>
      <c r="R337" s="124" t="n">
        <f aca="false">F337/R$3</f>
        <v>0</v>
      </c>
      <c r="S337" s="126" t="n">
        <f aca="false">J337/$R$3</f>
        <v>0</v>
      </c>
      <c r="T337" s="126" t="n">
        <f aca="false">L337/$R$3</f>
        <v>0</v>
      </c>
      <c r="U337" s="126" t="n">
        <f aca="false">I337/$R$3</f>
        <v>-18.968</v>
      </c>
      <c r="V337" s="126" t="n">
        <f aca="false">M337/$R$3</f>
        <v>-71.262</v>
      </c>
      <c r="W337" s="126" t="n">
        <f aca="false">N337/$R$3</f>
        <v>-535.27456</v>
      </c>
    </row>
    <row r="338" customFormat="false" ht="12.75" hidden="false" customHeight="false" outlineLevel="0" collapsed="false">
      <c r="A338" s="120" t="n">
        <f aca="false">A337+1</f>
        <v>37224</v>
      </c>
      <c r="B338" s="131" t="str">
        <f aca="false">INDEX('Master Data'!$A$2:$B$8,MATCH(WEEKDAY('ARG Gas IM'!A338,3),'Master Data'!$A$2:$A$8,0),2)</f>
        <v>Th</v>
      </c>
      <c r="D338" s="124"/>
      <c r="E338" s="124"/>
      <c r="F338" s="124"/>
      <c r="G338" s="124"/>
      <c r="I338" s="124" t="n">
        <f aca="false">IF(MONTH($A338)=MONTH($A337),IF(G338=0,I337,G338),G338)</f>
        <v>-18968</v>
      </c>
      <c r="J338" s="124" t="n">
        <f aca="false">IF(MONTH($A338)=MONTH($A337),SUM(I338-I337),I338)</f>
        <v>0</v>
      </c>
      <c r="K338" s="124" t="n">
        <f aca="false">IF(WEEKDAY(A338,3)&gt;4,0,(IF(A338&lt;K$2,0,IF(A338&lt;=K$3,1,0))))</f>
        <v>0</v>
      </c>
      <c r="L338" s="124" t="n">
        <f aca="false">J338*K338</f>
        <v>0</v>
      </c>
      <c r="M338" s="124" t="n">
        <f aca="false">SUM(J$280:J338)</f>
        <v>-71262</v>
      </c>
      <c r="N338" s="124" t="n">
        <f aca="false">SUM(J$6:J338)</f>
        <v>-535274.56</v>
      </c>
      <c r="P338" s="124" t="n">
        <f aca="false">D338/P$3</f>
        <v>0</v>
      </c>
      <c r="Q338" s="124" t="n">
        <f aca="false">E338/P$3</f>
        <v>0</v>
      </c>
      <c r="R338" s="124" t="n">
        <f aca="false">F338/R$3</f>
        <v>0</v>
      </c>
      <c r="S338" s="126" t="n">
        <f aca="false">J338/$R$3</f>
        <v>0</v>
      </c>
      <c r="T338" s="126" t="n">
        <f aca="false">L338/$R$3</f>
        <v>0</v>
      </c>
      <c r="U338" s="126" t="n">
        <f aca="false">I338/$R$3</f>
        <v>-18.968</v>
      </c>
      <c r="V338" s="126" t="n">
        <f aca="false">M338/$R$3</f>
        <v>-71.262</v>
      </c>
      <c r="W338" s="126" t="n">
        <f aca="false">N338/$R$3</f>
        <v>-535.27456</v>
      </c>
    </row>
    <row r="339" customFormat="false" ht="12.75" hidden="false" customHeight="false" outlineLevel="0" collapsed="false">
      <c r="A339" s="120" t="n">
        <f aca="false">A338+1</f>
        <v>37225</v>
      </c>
      <c r="B339" s="131" t="str">
        <f aca="false">INDEX('Master Data'!$A$2:$B$8,MATCH(WEEKDAY('ARG Gas IM'!A339,3),'Master Data'!$A$2:$A$8,0),2)</f>
        <v>F</v>
      </c>
      <c r="D339" s="124"/>
      <c r="E339" s="124"/>
      <c r="F339" s="124"/>
      <c r="G339" s="124"/>
      <c r="I339" s="124" t="n">
        <f aca="false">IF(MONTH($A339)=MONTH($A338),IF(G339=0,I338,G339),G339)</f>
        <v>-18968</v>
      </c>
      <c r="J339" s="124" t="n">
        <f aca="false">IF(MONTH($A339)=MONTH($A338),SUM(I339-I338),I339)</f>
        <v>0</v>
      </c>
      <c r="K339" s="124" t="n">
        <f aca="false">IF(WEEKDAY(A339,3)&gt;4,0,(IF(A339&lt;K$2,0,IF(A339&lt;=K$3,1,0))))</f>
        <v>0</v>
      </c>
      <c r="L339" s="124" t="n">
        <f aca="false">J339*K339</f>
        <v>0</v>
      </c>
      <c r="M339" s="124" t="n">
        <f aca="false">SUM(J$280:J339)</f>
        <v>-71262</v>
      </c>
      <c r="N339" s="124" t="n">
        <f aca="false">SUM(J$6:J339)</f>
        <v>-535274.56</v>
      </c>
      <c r="P339" s="124" t="n">
        <f aca="false">D339/P$3</f>
        <v>0</v>
      </c>
      <c r="Q339" s="124" t="n">
        <f aca="false">E339/P$3</f>
        <v>0</v>
      </c>
      <c r="R339" s="124" t="n">
        <f aca="false">F339/R$3</f>
        <v>0</v>
      </c>
      <c r="S339" s="126" t="n">
        <f aca="false">J339/$R$3</f>
        <v>0</v>
      </c>
      <c r="T339" s="126" t="n">
        <f aca="false">L339/$R$3</f>
        <v>0</v>
      </c>
      <c r="U339" s="126" t="n">
        <f aca="false">I339/$R$3</f>
        <v>-18.968</v>
      </c>
      <c r="V339" s="126" t="n">
        <f aca="false">M339/$R$3</f>
        <v>-71.262</v>
      </c>
      <c r="W339" s="126" t="n">
        <f aca="false">N339/$R$3</f>
        <v>-535.27456</v>
      </c>
    </row>
    <row r="340" customFormat="false" ht="12.75" hidden="false" customHeight="false" outlineLevel="0" collapsed="false">
      <c r="A340" s="120" t="n">
        <f aca="false">A339+1</f>
        <v>37226</v>
      </c>
      <c r="B340" s="131" t="str">
        <f aca="false">INDEX('Master Data'!$A$2:$B$8,MATCH(WEEKDAY('ARG Gas IM'!A340,3),'Master Data'!$A$2:$A$8,0),2)</f>
        <v>Sa</v>
      </c>
      <c r="D340" s="124"/>
      <c r="E340" s="124"/>
      <c r="F340" s="124"/>
      <c r="G340" s="124"/>
      <c r="I340" s="124" t="n">
        <f aca="false">IF(MONTH($A340)=MONTH($A339),IF(G340=0,I339,G340),G340)</f>
        <v>0</v>
      </c>
      <c r="J340" s="124" t="n">
        <f aca="false">IF(MONTH($A340)=MONTH($A339),SUM(I340-I339),I340)</f>
        <v>0</v>
      </c>
      <c r="K340" s="124" t="n">
        <f aca="false">IF(WEEKDAY(A340,3)&gt;4,0,(IF(A340&lt;K$2,0,IF(A340&lt;=K$3,1,0))))</f>
        <v>0</v>
      </c>
      <c r="L340" s="124" t="n">
        <f aca="false">J340*K340</f>
        <v>0</v>
      </c>
      <c r="M340" s="124" t="n">
        <f aca="false">SUM(J$280:J340)</f>
        <v>-71262</v>
      </c>
      <c r="N340" s="124" t="n">
        <f aca="false">SUM(J$6:J340)</f>
        <v>-535274.56</v>
      </c>
      <c r="P340" s="124" t="n">
        <f aca="false">D340/P$3</f>
        <v>0</v>
      </c>
      <c r="Q340" s="124" t="n">
        <f aca="false">E340/P$3</f>
        <v>0</v>
      </c>
      <c r="R340" s="124" t="n">
        <f aca="false">F340/R$3</f>
        <v>0</v>
      </c>
      <c r="S340" s="126" t="n">
        <f aca="false">J340/$R$3</f>
        <v>0</v>
      </c>
      <c r="T340" s="126" t="n">
        <f aca="false">L340/$R$3</f>
        <v>0</v>
      </c>
      <c r="U340" s="126" t="n">
        <f aca="false">I340/$R$3</f>
        <v>0</v>
      </c>
      <c r="V340" s="126" t="n">
        <f aca="false">M340/$R$3</f>
        <v>-71.262</v>
      </c>
      <c r="W340" s="126" t="n">
        <f aca="false">N340/$R$3</f>
        <v>-535.27456</v>
      </c>
    </row>
    <row r="341" customFormat="false" ht="12.75" hidden="false" customHeight="false" outlineLevel="0" collapsed="false">
      <c r="A341" s="120" t="n">
        <f aca="false">A340+1</f>
        <v>37227</v>
      </c>
      <c r="B341" s="131" t="str">
        <f aca="false">INDEX('Master Data'!$A$2:$B$8,MATCH(WEEKDAY('ARG Gas IM'!A341,3),'Master Data'!$A$2:$A$8,0),2)</f>
        <v>Su</v>
      </c>
      <c r="D341" s="124"/>
      <c r="E341" s="124"/>
      <c r="F341" s="124"/>
      <c r="G341" s="124"/>
      <c r="I341" s="124" t="n">
        <f aca="false">IF(MONTH($A341)=MONTH($A340),IF(G341=0,I340,G341),G341)</f>
        <v>0</v>
      </c>
      <c r="J341" s="124" t="n">
        <f aca="false">IF(MONTH($A341)=MONTH($A340),SUM(I341-I340),I341)</f>
        <v>0</v>
      </c>
      <c r="K341" s="124" t="n">
        <f aca="false">IF(WEEKDAY(A341,3)&gt;4,0,(IF(A341&lt;K$2,0,IF(A341&lt;=K$3,1,0))))</f>
        <v>0</v>
      </c>
      <c r="L341" s="124" t="n">
        <f aca="false">J341*K341</f>
        <v>0</v>
      </c>
      <c r="M341" s="124" t="n">
        <f aca="false">SUM(J$280:J341)</f>
        <v>-71262</v>
      </c>
      <c r="N341" s="124" t="n">
        <f aca="false">SUM(J$6:J341)</f>
        <v>-535274.56</v>
      </c>
      <c r="P341" s="124" t="n">
        <f aca="false">D341/P$3</f>
        <v>0</v>
      </c>
      <c r="Q341" s="124" t="n">
        <f aca="false">E341/P$3</f>
        <v>0</v>
      </c>
      <c r="R341" s="124" t="n">
        <f aca="false">F341/R$3</f>
        <v>0</v>
      </c>
      <c r="S341" s="126" t="n">
        <f aca="false">J341/$R$3</f>
        <v>0</v>
      </c>
      <c r="T341" s="126" t="n">
        <f aca="false">L341/$R$3</f>
        <v>0</v>
      </c>
      <c r="U341" s="126" t="n">
        <f aca="false">I341/$R$3</f>
        <v>0</v>
      </c>
      <c r="V341" s="126" t="n">
        <f aca="false">M341/$R$3</f>
        <v>-71.262</v>
      </c>
      <c r="W341" s="126" t="n">
        <f aca="false">N341/$R$3</f>
        <v>-535.27456</v>
      </c>
    </row>
    <row r="342" customFormat="false" ht="12.75" hidden="false" customHeight="false" outlineLevel="0" collapsed="false">
      <c r="A342" s="120" t="n">
        <f aca="false">A341+1</f>
        <v>37228</v>
      </c>
      <c r="B342" s="131" t="str">
        <f aca="false">INDEX('Master Data'!$A$2:$B$8,MATCH(WEEKDAY('ARG Gas IM'!A342,3),'Master Data'!$A$2:$A$8,0),2)</f>
        <v>M</v>
      </c>
      <c r="D342" s="124"/>
      <c r="E342" s="124"/>
      <c r="F342" s="124"/>
      <c r="G342" s="124"/>
      <c r="I342" s="124" t="n">
        <f aca="false">IF(MONTH($A342)=MONTH($A341),IF(G342=0,I341,G342),G342)</f>
        <v>0</v>
      </c>
      <c r="J342" s="124" t="n">
        <f aca="false">IF(MONTH($A342)=MONTH($A341),SUM(I342-I341),I342)</f>
        <v>0</v>
      </c>
      <c r="K342" s="124" t="n">
        <f aca="false">IF(WEEKDAY(A342,3)&gt;4,0,(IF(A342&lt;K$2,0,IF(A342&lt;=K$3,1,0))))</f>
        <v>0</v>
      </c>
      <c r="L342" s="124" t="n">
        <f aca="false">J342*K342</f>
        <v>0</v>
      </c>
      <c r="M342" s="124" t="n">
        <f aca="false">SUM(J$280:J342)</f>
        <v>-71262</v>
      </c>
      <c r="N342" s="124" t="n">
        <f aca="false">SUM(J$6:J342)</f>
        <v>-535274.56</v>
      </c>
      <c r="P342" s="124" t="n">
        <f aca="false">D342/P$3</f>
        <v>0</v>
      </c>
      <c r="Q342" s="124" t="n">
        <f aca="false">E342/P$3</f>
        <v>0</v>
      </c>
      <c r="R342" s="124" t="n">
        <f aca="false">F342/R$3</f>
        <v>0</v>
      </c>
      <c r="S342" s="126" t="n">
        <f aca="false">J342/$R$3</f>
        <v>0</v>
      </c>
      <c r="T342" s="126" t="n">
        <f aca="false">L342/$R$3</f>
        <v>0</v>
      </c>
      <c r="U342" s="126" t="n">
        <f aca="false">I342/$R$3</f>
        <v>0</v>
      </c>
      <c r="V342" s="126" t="n">
        <f aca="false">M342/$R$3</f>
        <v>-71.262</v>
      </c>
      <c r="W342" s="126" t="n">
        <f aca="false">N342/$R$3</f>
        <v>-535.27456</v>
      </c>
    </row>
    <row r="343" customFormat="false" ht="12.75" hidden="false" customHeight="false" outlineLevel="0" collapsed="false">
      <c r="A343" s="120" t="n">
        <f aca="false">A342+1</f>
        <v>37229</v>
      </c>
      <c r="B343" s="131" t="str">
        <f aca="false">INDEX('Master Data'!$A$2:$B$8,MATCH(WEEKDAY('ARG Gas IM'!A343,3),'Master Data'!$A$2:$A$8,0),2)</f>
        <v>T</v>
      </c>
      <c r="D343" s="124"/>
      <c r="E343" s="124"/>
      <c r="F343" s="124"/>
      <c r="G343" s="124"/>
      <c r="I343" s="124" t="n">
        <f aca="false">IF(MONTH($A343)=MONTH($A342),IF(G343=0,I342,G343),G343)</f>
        <v>0</v>
      </c>
      <c r="J343" s="124" t="n">
        <f aca="false">IF(MONTH($A343)=MONTH($A342),SUM(I343-I342),I343)</f>
        <v>0</v>
      </c>
      <c r="K343" s="124" t="n">
        <f aca="false">IF(WEEKDAY(A343,3)&gt;4,0,(IF(A343&lt;K$2,0,IF(A343&lt;=K$3,1,0))))</f>
        <v>0</v>
      </c>
      <c r="L343" s="124" t="n">
        <f aca="false">J343*K343</f>
        <v>0</v>
      </c>
      <c r="M343" s="124" t="n">
        <f aca="false">SUM(J$280:J343)</f>
        <v>-71262</v>
      </c>
      <c r="N343" s="124" t="n">
        <f aca="false">SUM(J$6:J343)</f>
        <v>-535274.56</v>
      </c>
      <c r="P343" s="124" t="n">
        <f aca="false">D343/P$3</f>
        <v>0</v>
      </c>
      <c r="Q343" s="124" t="n">
        <f aca="false">E343/P$3</f>
        <v>0</v>
      </c>
      <c r="R343" s="124" t="n">
        <f aca="false">F343/R$3</f>
        <v>0</v>
      </c>
      <c r="S343" s="126" t="n">
        <f aca="false">J343/$R$3</f>
        <v>0</v>
      </c>
      <c r="T343" s="126" t="n">
        <f aca="false">L343/$R$3</f>
        <v>0</v>
      </c>
      <c r="U343" s="126" t="n">
        <f aca="false">I343/$R$3</f>
        <v>0</v>
      </c>
      <c r="V343" s="126" t="n">
        <f aca="false">M343/$R$3</f>
        <v>-71.262</v>
      </c>
      <c r="W343" s="126" t="n">
        <f aca="false">N343/$R$3</f>
        <v>-535.27456</v>
      </c>
    </row>
    <row r="344" customFormat="false" ht="12.75" hidden="false" customHeight="false" outlineLevel="0" collapsed="false">
      <c r="A344" s="120" t="n">
        <f aca="false">A343+1</f>
        <v>37230</v>
      </c>
      <c r="B344" s="131" t="str">
        <f aca="false">INDEX('Master Data'!$A$2:$B$8,MATCH(WEEKDAY('ARG Gas IM'!A344,3),'Master Data'!$A$2:$A$8,0),2)</f>
        <v>W</v>
      </c>
      <c r="D344" s="124"/>
      <c r="E344" s="124"/>
      <c r="F344" s="124"/>
      <c r="G344" s="124"/>
      <c r="I344" s="124" t="n">
        <f aca="false">IF(MONTH($A344)=MONTH($A343),IF(G344=0,I343,G344),G344)</f>
        <v>0</v>
      </c>
      <c r="J344" s="124" t="n">
        <f aca="false">IF(MONTH($A344)=MONTH($A343),SUM(I344-I343),I344)</f>
        <v>0</v>
      </c>
      <c r="K344" s="124" t="n">
        <f aca="false">IF(WEEKDAY(A344,3)&gt;4,0,(IF(A344&lt;K$2,0,IF(A344&lt;=K$3,1,0))))</f>
        <v>0</v>
      </c>
      <c r="L344" s="124" t="n">
        <f aca="false">J344*K344</f>
        <v>0</v>
      </c>
      <c r="M344" s="124" t="n">
        <f aca="false">SUM(J$280:J344)</f>
        <v>-71262</v>
      </c>
      <c r="N344" s="124" t="n">
        <f aca="false">SUM(J$6:J344)</f>
        <v>-535274.56</v>
      </c>
      <c r="P344" s="124" t="n">
        <f aca="false">D344/P$3</f>
        <v>0</v>
      </c>
      <c r="Q344" s="124" t="n">
        <f aca="false">E344/P$3</f>
        <v>0</v>
      </c>
      <c r="R344" s="124" t="n">
        <f aca="false">F344/R$3</f>
        <v>0</v>
      </c>
      <c r="S344" s="126" t="n">
        <f aca="false">J344/$R$3</f>
        <v>0</v>
      </c>
      <c r="T344" s="126" t="n">
        <f aca="false">L344/$R$3</f>
        <v>0</v>
      </c>
      <c r="U344" s="126" t="n">
        <f aca="false">I344/$R$3</f>
        <v>0</v>
      </c>
      <c r="V344" s="126" t="n">
        <f aca="false">M344/$R$3</f>
        <v>-71.262</v>
      </c>
      <c r="W344" s="126" t="n">
        <f aca="false">N344/$R$3</f>
        <v>-535.27456</v>
      </c>
    </row>
    <row r="345" customFormat="false" ht="12.75" hidden="false" customHeight="false" outlineLevel="0" collapsed="false">
      <c r="A345" s="120" t="n">
        <f aca="false">A344+1</f>
        <v>37231</v>
      </c>
      <c r="B345" s="131" t="str">
        <f aca="false">INDEX('Master Data'!$A$2:$B$8,MATCH(WEEKDAY('ARG Gas IM'!A345,3),'Master Data'!$A$2:$A$8,0),2)</f>
        <v>Th</v>
      </c>
      <c r="D345" s="124"/>
      <c r="E345" s="124"/>
      <c r="F345" s="124"/>
      <c r="G345" s="124"/>
      <c r="I345" s="124" t="n">
        <f aca="false">IF(MONTH($A345)=MONTH($A344),IF(G345=0,I344,G345),G345)</f>
        <v>0</v>
      </c>
      <c r="J345" s="124" t="n">
        <f aca="false">IF(MONTH($A345)=MONTH($A344),SUM(I345-I344),I345)</f>
        <v>0</v>
      </c>
      <c r="K345" s="124" t="n">
        <f aca="false">IF(WEEKDAY(A345,3)&gt;4,0,(IF(A345&lt;K$2,0,IF(A345&lt;=K$3,1,0))))</f>
        <v>0</v>
      </c>
      <c r="L345" s="124" t="n">
        <f aca="false">J345*K345</f>
        <v>0</v>
      </c>
      <c r="M345" s="124" t="n">
        <f aca="false">SUM(J$280:J345)</f>
        <v>-71262</v>
      </c>
      <c r="N345" s="124" t="n">
        <f aca="false">SUM(J$6:J345)</f>
        <v>-535274.56</v>
      </c>
      <c r="P345" s="124" t="n">
        <f aca="false">D345/P$3</f>
        <v>0</v>
      </c>
      <c r="Q345" s="124" t="n">
        <f aca="false">E345/P$3</f>
        <v>0</v>
      </c>
      <c r="R345" s="124" t="n">
        <f aca="false">F345/R$3</f>
        <v>0</v>
      </c>
      <c r="S345" s="126" t="n">
        <f aca="false">J345/$R$3</f>
        <v>0</v>
      </c>
      <c r="T345" s="126" t="n">
        <f aca="false">L345/$R$3</f>
        <v>0</v>
      </c>
      <c r="U345" s="126" t="n">
        <f aca="false">I345/$R$3</f>
        <v>0</v>
      </c>
      <c r="V345" s="126" t="n">
        <f aca="false">M345/$R$3</f>
        <v>-71.262</v>
      </c>
      <c r="W345" s="126" t="n">
        <f aca="false">N345/$R$3</f>
        <v>-535.27456</v>
      </c>
    </row>
    <row r="346" customFormat="false" ht="12.75" hidden="false" customHeight="false" outlineLevel="0" collapsed="false">
      <c r="A346" s="120" t="n">
        <f aca="false">A345+1</f>
        <v>37232</v>
      </c>
      <c r="B346" s="131" t="str">
        <f aca="false">INDEX('Master Data'!$A$2:$B$8,MATCH(WEEKDAY('ARG Gas IM'!A346,3),'Master Data'!$A$2:$A$8,0),2)</f>
        <v>F</v>
      </c>
      <c r="D346" s="124"/>
      <c r="E346" s="124"/>
      <c r="F346" s="124"/>
      <c r="G346" s="124"/>
      <c r="I346" s="124" t="n">
        <f aca="false">IF(MONTH($A346)=MONTH($A345),IF(G346=0,I345,G346),G346)</f>
        <v>0</v>
      </c>
      <c r="J346" s="124" t="n">
        <f aca="false">IF(MONTH($A346)=MONTH($A345),SUM(I346-I345),I346)</f>
        <v>0</v>
      </c>
      <c r="K346" s="124" t="n">
        <f aca="false">IF(WEEKDAY(A346,3)&gt;4,0,(IF(A346&lt;K$2,0,IF(A346&lt;=K$3,1,0))))</f>
        <v>0</v>
      </c>
      <c r="L346" s="124" t="n">
        <f aca="false">J346*K346</f>
        <v>0</v>
      </c>
      <c r="M346" s="124" t="n">
        <f aca="false">SUM(J$280:J346)</f>
        <v>-71262</v>
      </c>
      <c r="N346" s="124" t="n">
        <f aca="false">SUM(J$6:J346)</f>
        <v>-535274.56</v>
      </c>
      <c r="P346" s="124" t="n">
        <f aca="false">D346/P$3</f>
        <v>0</v>
      </c>
      <c r="Q346" s="124" t="n">
        <f aca="false">E346/P$3</f>
        <v>0</v>
      </c>
      <c r="R346" s="124" t="n">
        <f aca="false">F346/R$3</f>
        <v>0</v>
      </c>
      <c r="S346" s="126" t="n">
        <f aca="false">J346/$R$3</f>
        <v>0</v>
      </c>
      <c r="T346" s="126" t="n">
        <f aca="false">L346/$R$3</f>
        <v>0</v>
      </c>
      <c r="U346" s="126" t="n">
        <f aca="false">I346/$R$3</f>
        <v>0</v>
      </c>
      <c r="V346" s="126" t="n">
        <f aca="false">M346/$R$3</f>
        <v>-71.262</v>
      </c>
      <c r="W346" s="126" t="n">
        <f aca="false">N346/$R$3</f>
        <v>-535.27456</v>
      </c>
    </row>
    <row r="347" customFormat="false" ht="12.75" hidden="false" customHeight="false" outlineLevel="0" collapsed="false">
      <c r="A347" s="120" t="n">
        <f aca="false">A346+1</f>
        <v>37233</v>
      </c>
      <c r="B347" s="131" t="str">
        <f aca="false">INDEX('Master Data'!$A$2:$B$8,MATCH(WEEKDAY('ARG Gas IM'!A347,3),'Master Data'!$A$2:$A$8,0),2)</f>
        <v>Sa</v>
      </c>
      <c r="D347" s="124"/>
      <c r="E347" s="124"/>
      <c r="F347" s="124"/>
      <c r="G347" s="124"/>
      <c r="I347" s="124" t="n">
        <f aca="false">IF(MONTH($A347)=MONTH($A346),IF(G347=0,I346,G347),G347)</f>
        <v>0</v>
      </c>
      <c r="J347" s="124" t="n">
        <f aca="false">IF(MONTH($A347)=MONTH($A346),SUM(I347-I346),I347)</f>
        <v>0</v>
      </c>
      <c r="K347" s="124" t="n">
        <f aca="false">IF(WEEKDAY(A347,3)&gt;4,0,(IF(A347&lt;K$2,0,IF(A347&lt;=K$3,1,0))))</f>
        <v>0</v>
      </c>
      <c r="L347" s="124" t="n">
        <f aca="false">J347*K347</f>
        <v>0</v>
      </c>
      <c r="M347" s="124" t="n">
        <f aca="false">SUM(J$280:J347)</f>
        <v>-71262</v>
      </c>
      <c r="N347" s="124" t="n">
        <f aca="false">SUM(J$6:J347)</f>
        <v>-535274.56</v>
      </c>
      <c r="P347" s="124" t="n">
        <f aca="false">D347/P$3</f>
        <v>0</v>
      </c>
      <c r="Q347" s="124" t="n">
        <f aca="false">E347/P$3</f>
        <v>0</v>
      </c>
      <c r="R347" s="124" t="n">
        <f aca="false">F347/R$3</f>
        <v>0</v>
      </c>
      <c r="S347" s="126" t="n">
        <f aca="false">J347/$R$3</f>
        <v>0</v>
      </c>
      <c r="T347" s="126" t="n">
        <f aca="false">L347/$R$3</f>
        <v>0</v>
      </c>
      <c r="U347" s="126" t="n">
        <f aca="false">I347/$R$3</f>
        <v>0</v>
      </c>
      <c r="V347" s="126" t="n">
        <f aca="false">M347/$R$3</f>
        <v>-71.262</v>
      </c>
      <c r="W347" s="126" t="n">
        <f aca="false">N347/$R$3</f>
        <v>-535.27456</v>
      </c>
    </row>
    <row r="348" customFormat="false" ht="12.75" hidden="false" customHeight="false" outlineLevel="0" collapsed="false">
      <c r="A348" s="120" t="n">
        <f aca="false">A347+1</f>
        <v>37234</v>
      </c>
      <c r="B348" s="131" t="str">
        <f aca="false">INDEX('Master Data'!$A$2:$B$8,MATCH(WEEKDAY('ARG Gas IM'!A348,3),'Master Data'!$A$2:$A$8,0),2)</f>
        <v>Su</v>
      </c>
      <c r="D348" s="124"/>
      <c r="E348" s="124"/>
      <c r="F348" s="124"/>
      <c r="G348" s="124"/>
      <c r="I348" s="124" t="n">
        <f aca="false">IF(MONTH($A348)=MONTH($A347),IF(G348=0,I347,G348),G348)</f>
        <v>0</v>
      </c>
      <c r="J348" s="124" t="n">
        <f aca="false">IF(MONTH($A348)=MONTH($A347),SUM(I348-I347),I348)</f>
        <v>0</v>
      </c>
      <c r="K348" s="124" t="n">
        <f aca="false">IF(WEEKDAY(A348,3)&gt;4,0,(IF(A348&lt;K$2,0,IF(A348&lt;=K$3,1,0))))</f>
        <v>0</v>
      </c>
      <c r="L348" s="124" t="n">
        <f aca="false">J348*K348</f>
        <v>0</v>
      </c>
      <c r="M348" s="124" t="n">
        <f aca="false">SUM(J$280:J348)</f>
        <v>-71262</v>
      </c>
      <c r="N348" s="124" t="n">
        <f aca="false">SUM(J$6:J348)</f>
        <v>-535274.56</v>
      </c>
      <c r="P348" s="124" t="n">
        <f aca="false">D348/P$3</f>
        <v>0</v>
      </c>
      <c r="Q348" s="124" t="n">
        <f aca="false">E348/P$3</f>
        <v>0</v>
      </c>
      <c r="R348" s="124" t="n">
        <f aca="false">F348/R$3</f>
        <v>0</v>
      </c>
      <c r="S348" s="126" t="n">
        <f aca="false">J348/$R$3</f>
        <v>0</v>
      </c>
      <c r="T348" s="126" t="n">
        <f aca="false">L348/$R$3</f>
        <v>0</v>
      </c>
      <c r="U348" s="126" t="n">
        <f aca="false">I348/$R$3</f>
        <v>0</v>
      </c>
      <c r="V348" s="126" t="n">
        <f aca="false">M348/$R$3</f>
        <v>-71.262</v>
      </c>
      <c r="W348" s="126" t="n">
        <f aca="false">N348/$R$3</f>
        <v>-535.27456</v>
      </c>
    </row>
    <row r="349" customFormat="false" ht="12.75" hidden="false" customHeight="false" outlineLevel="0" collapsed="false">
      <c r="A349" s="120" t="n">
        <f aca="false">A348+1</f>
        <v>37235</v>
      </c>
      <c r="B349" s="131" t="str">
        <f aca="false">INDEX('Master Data'!$A$2:$B$8,MATCH(WEEKDAY('ARG Gas IM'!A349,3),'Master Data'!$A$2:$A$8,0),2)</f>
        <v>M</v>
      </c>
      <c r="D349" s="124"/>
      <c r="E349" s="124"/>
      <c r="F349" s="124"/>
      <c r="G349" s="124"/>
      <c r="I349" s="124" t="n">
        <f aca="false">IF(MONTH($A349)=MONTH($A348),IF(G349=0,I348,G349),G349)</f>
        <v>0</v>
      </c>
      <c r="J349" s="124" t="n">
        <f aca="false">IF(MONTH($A349)=MONTH($A348),SUM(I349-I348),I349)</f>
        <v>0</v>
      </c>
      <c r="K349" s="124" t="n">
        <f aca="false">IF(WEEKDAY(A349,3)&gt;4,0,(IF(A349&lt;K$2,0,IF(A349&lt;=K$3,1,0))))</f>
        <v>0</v>
      </c>
      <c r="L349" s="124" t="n">
        <f aca="false">J349*K349</f>
        <v>0</v>
      </c>
      <c r="M349" s="124" t="n">
        <f aca="false">SUM(J$280:J349)</f>
        <v>-71262</v>
      </c>
      <c r="N349" s="124" t="n">
        <f aca="false">SUM(J$6:J349)</f>
        <v>-535274.56</v>
      </c>
      <c r="P349" s="124" t="n">
        <f aca="false">D349/P$3</f>
        <v>0</v>
      </c>
      <c r="Q349" s="124" t="n">
        <f aca="false">E349/P$3</f>
        <v>0</v>
      </c>
      <c r="R349" s="124" t="n">
        <f aca="false">F349/R$3</f>
        <v>0</v>
      </c>
      <c r="S349" s="126" t="n">
        <f aca="false">J349/$R$3</f>
        <v>0</v>
      </c>
      <c r="T349" s="126" t="n">
        <f aca="false">L349/$R$3</f>
        <v>0</v>
      </c>
      <c r="U349" s="126" t="n">
        <f aca="false">I349/$R$3</f>
        <v>0</v>
      </c>
      <c r="V349" s="126" t="n">
        <f aca="false">M349/$R$3</f>
        <v>-71.262</v>
      </c>
      <c r="W349" s="126" t="n">
        <f aca="false">N349/$R$3</f>
        <v>-535.27456</v>
      </c>
    </row>
    <row r="350" customFormat="false" ht="12.75" hidden="false" customHeight="false" outlineLevel="0" collapsed="false">
      <c r="A350" s="120" t="n">
        <f aca="false">A349+1</f>
        <v>37236</v>
      </c>
      <c r="B350" s="131" t="str">
        <f aca="false">INDEX('Master Data'!$A$2:$B$8,MATCH(WEEKDAY('ARG Gas IM'!A350,3),'Master Data'!$A$2:$A$8,0),2)</f>
        <v>T</v>
      </c>
      <c r="D350" s="124"/>
      <c r="E350" s="124"/>
      <c r="F350" s="124"/>
      <c r="G350" s="124"/>
      <c r="I350" s="124" t="n">
        <f aca="false">IF(MONTH($A350)=MONTH($A349),IF(G350=0,I349,G350),G350)</f>
        <v>0</v>
      </c>
      <c r="J350" s="124" t="n">
        <f aca="false">IF(MONTH($A350)=MONTH($A349),SUM(I350-I349),I350)</f>
        <v>0</v>
      </c>
      <c r="K350" s="124" t="n">
        <f aca="false">IF(WEEKDAY(A350,3)&gt;4,0,(IF(A350&lt;K$2,0,IF(A350&lt;=K$3,1,0))))</f>
        <v>0</v>
      </c>
      <c r="L350" s="124" t="n">
        <f aca="false">J350*K350</f>
        <v>0</v>
      </c>
      <c r="M350" s="124" t="n">
        <f aca="false">SUM(J$280:J350)</f>
        <v>-71262</v>
      </c>
      <c r="N350" s="124" t="n">
        <f aca="false">SUM(J$6:J350)</f>
        <v>-535274.56</v>
      </c>
      <c r="P350" s="124" t="n">
        <f aca="false">D350/P$3</f>
        <v>0</v>
      </c>
      <c r="Q350" s="124" t="n">
        <f aca="false">E350/P$3</f>
        <v>0</v>
      </c>
      <c r="R350" s="124" t="n">
        <f aca="false">F350/R$3</f>
        <v>0</v>
      </c>
      <c r="S350" s="126" t="n">
        <f aca="false">J350/$R$3</f>
        <v>0</v>
      </c>
      <c r="T350" s="126" t="n">
        <f aca="false">L350/$R$3</f>
        <v>0</v>
      </c>
      <c r="U350" s="126" t="n">
        <f aca="false">I350/$R$3</f>
        <v>0</v>
      </c>
      <c r="V350" s="126" t="n">
        <f aca="false">M350/$R$3</f>
        <v>-71.262</v>
      </c>
      <c r="W350" s="126" t="n">
        <f aca="false">N350/$R$3</f>
        <v>-535.27456</v>
      </c>
    </row>
    <row r="351" customFormat="false" ht="12.75" hidden="false" customHeight="false" outlineLevel="0" collapsed="false">
      <c r="A351" s="120" t="n">
        <f aca="false">A350+1</f>
        <v>37237</v>
      </c>
      <c r="B351" s="131" t="str">
        <f aca="false">INDEX('Master Data'!$A$2:$B$8,MATCH(WEEKDAY('ARG Gas IM'!A351,3),'Master Data'!$A$2:$A$8,0),2)</f>
        <v>W</v>
      </c>
      <c r="D351" s="124"/>
      <c r="E351" s="124"/>
      <c r="F351" s="124"/>
      <c r="G351" s="124"/>
      <c r="I351" s="124" t="n">
        <f aca="false">IF(MONTH($A351)=MONTH($A350),IF(G351=0,I350,G351),G351)</f>
        <v>0</v>
      </c>
      <c r="J351" s="124" t="n">
        <f aca="false">IF(MONTH($A351)=MONTH($A350),SUM(I351-I350),I351)</f>
        <v>0</v>
      </c>
      <c r="K351" s="124" t="n">
        <f aca="false">IF(WEEKDAY(A351,3)&gt;4,0,(IF(A351&lt;K$2,0,IF(A351&lt;=K$3,1,0))))</f>
        <v>0</v>
      </c>
      <c r="L351" s="124" t="n">
        <f aca="false">J351*K351</f>
        <v>0</v>
      </c>
      <c r="M351" s="124" t="n">
        <f aca="false">SUM(J$280:J351)</f>
        <v>-71262</v>
      </c>
      <c r="N351" s="124" t="n">
        <f aca="false">SUM(J$6:J351)</f>
        <v>-535274.56</v>
      </c>
      <c r="P351" s="124" t="n">
        <f aca="false">D351/P$3</f>
        <v>0</v>
      </c>
      <c r="Q351" s="124" t="n">
        <f aca="false">E351/P$3</f>
        <v>0</v>
      </c>
      <c r="R351" s="124" t="n">
        <f aca="false">F351/R$3</f>
        <v>0</v>
      </c>
      <c r="S351" s="126" t="n">
        <f aca="false">J351/$R$3</f>
        <v>0</v>
      </c>
      <c r="T351" s="126" t="n">
        <f aca="false">L351/$R$3</f>
        <v>0</v>
      </c>
      <c r="U351" s="126" t="n">
        <f aca="false">I351/$R$3</f>
        <v>0</v>
      </c>
      <c r="V351" s="126" t="n">
        <f aca="false">M351/$R$3</f>
        <v>-71.262</v>
      </c>
      <c r="W351" s="126" t="n">
        <f aca="false">N351/$R$3</f>
        <v>-535.27456</v>
      </c>
    </row>
    <row r="352" customFormat="false" ht="12.75" hidden="false" customHeight="false" outlineLevel="0" collapsed="false">
      <c r="A352" s="120" t="n">
        <f aca="false">A351+1</f>
        <v>37238</v>
      </c>
      <c r="B352" s="131" t="str">
        <f aca="false">INDEX('Master Data'!$A$2:$B$8,MATCH(WEEKDAY('ARG Gas IM'!A352,3),'Master Data'!$A$2:$A$8,0),2)</f>
        <v>Th</v>
      </c>
      <c r="D352" s="124"/>
      <c r="E352" s="124"/>
      <c r="F352" s="124"/>
      <c r="G352" s="124"/>
      <c r="I352" s="124" t="n">
        <f aca="false">IF(MONTH($A352)=MONTH($A351),IF(G352=0,I351,G352),G352)</f>
        <v>0</v>
      </c>
      <c r="J352" s="124" t="n">
        <f aca="false">IF(MONTH($A352)=MONTH($A351),SUM(I352-I351),I352)</f>
        <v>0</v>
      </c>
      <c r="K352" s="124" t="n">
        <f aca="false">IF(WEEKDAY(A352,3)&gt;4,0,(IF(A352&lt;K$2,0,IF(A352&lt;=K$3,1,0))))</f>
        <v>0</v>
      </c>
      <c r="L352" s="124" t="n">
        <f aca="false">J352*K352</f>
        <v>0</v>
      </c>
      <c r="M352" s="124" t="n">
        <f aca="false">SUM(J$280:J352)</f>
        <v>-71262</v>
      </c>
      <c r="N352" s="124" t="n">
        <f aca="false">SUM(J$6:J352)</f>
        <v>-535274.56</v>
      </c>
      <c r="P352" s="124" t="n">
        <f aca="false">D352/P$3</f>
        <v>0</v>
      </c>
      <c r="Q352" s="124" t="n">
        <f aca="false">E352/P$3</f>
        <v>0</v>
      </c>
      <c r="R352" s="124" t="n">
        <f aca="false">F352/R$3</f>
        <v>0</v>
      </c>
      <c r="S352" s="126" t="n">
        <f aca="false">J352/$R$3</f>
        <v>0</v>
      </c>
      <c r="T352" s="126" t="n">
        <f aca="false">L352/$R$3</f>
        <v>0</v>
      </c>
      <c r="U352" s="126" t="n">
        <f aca="false">I352/$R$3</f>
        <v>0</v>
      </c>
      <c r="V352" s="126" t="n">
        <f aca="false">M352/$R$3</f>
        <v>-71.262</v>
      </c>
      <c r="W352" s="126" t="n">
        <f aca="false">N352/$R$3</f>
        <v>-535.27456</v>
      </c>
    </row>
    <row r="353" customFormat="false" ht="12.75" hidden="false" customHeight="false" outlineLevel="0" collapsed="false">
      <c r="A353" s="120" t="n">
        <f aca="false">A352+1</f>
        <v>37239</v>
      </c>
      <c r="B353" s="131" t="str">
        <f aca="false">INDEX('Master Data'!$A$2:$B$8,MATCH(WEEKDAY('ARG Gas IM'!A353,3),'Master Data'!$A$2:$A$8,0),2)</f>
        <v>F</v>
      </c>
      <c r="D353" s="124"/>
      <c r="E353" s="124"/>
      <c r="F353" s="124"/>
      <c r="G353" s="124"/>
      <c r="I353" s="124" t="n">
        <f aca="false">IF(MONTH($A353)=MONTH($A352),IF(G353=0,I352,G353),G353)</f>
        <v>0</v>
      </c>
      <c r="J353" s="124" t="n">
        <f aca="false">IF(MONTH($A353)=MONTH($A352),SUM(I353-I352),I353)</f>
        <v>0</v>
      </c>
      <c r="K353" s="124" t="n">
        <f aca="false">IF(WEEKDAY(A353,3)&gt;4,0,(IF(A353&lt;K$2,0,IF(A353&lt;=K$3,1,0))))</f>
        <v>0</v>
      </c>
      <c r="L353" s="124" t="n">
        <f aca="false">J353*K353</f>
        <v>0</v>
      </c>
      <c r="M353" s="124" t="n">
        <f aca="false">SUM(J$280:J353)</f>
        <v>-71262</v>
      </c>
      <c r="N353" s="124" t="n">
        <f aca="false">SUM(J$6:J353)</f>
        <v>-535274.56</v>
      </c>
      <c r="P353" s="124" t="n">
        <f aca="false">D353/P$3</f>
        <v>0</v>
      </c>
      <c r="Q353" s="124" t="n">
        <f aca="false">E353/P$3</f>
        <v>0</v>
      </c>
      <c r="R353" s="124" t="n">
        <f aca="false">F353/R$3</f>
        <v>0</v>
      </c>
      <c r="S353" s="126" t="n">
        <f aca="false">J353/$R$3</f>
        <v>0</v>
      </c>
      <c r="T353" s="126" t="n">
        <f aca="false">L353/$R$3</f>
        <v>0</v>
      </c>
      <c r="U353" s="126" t="n">
        <f aca="false">I353/$R$3</f>
        <v>0</v>
      </c>
      <c r="V353" s="126" t="n">
        <f aca="false">M353/$R$3</f>
        <v>-71.262</v>
      </c>
      <c r="W353" s="126" t="n">
        <f aca="false">N353/$R$3</f>
        <v>-535.27456</v>
      </c>
    </row>
    <row r="354" customFormat="false" ht="12.75" hidden="false" customHeight="false" outlineLevel="0" collapsed="false">
      <c r="A354" s="120" t="n">
        <f aca="false">A353+1</f>
        <v>37240</v>
      </c>
      <c r="B354" s="131" t="str">
        <f aca="false">INDEX('Master Data'!$A$2:$B$8,MATCH(WEEKDAY('ARG Gas IM'!A354,3),'Master Data'!$A$2:$A$8,0),2)</f>
        <v>Sa</v>
      </c>
      <c r="D354" s="124"/>
      <c r="E354" s="124"/>
      <c r="F354" s="124"/>
      <c r="G354" s="124"/>
      <c r="I354" s="124" t="n">
        <f aca="false">IF(MONTH($A354)=MONTH($A353),IF(G354=0,I353,G354),G354)</f>
        <v>0</v>
      </c>
      <c r="J354" s="124" t="n">
        <f aca="false">IF(MONTH($A354)=MONTH($A353),SUM(I354-I353),I354)</f>
        <v>0</v>
      </c>
      <c r="K354" s="124" t="n">
        <f aca="false">IF(WEEKDAY(A354,3)&gt;4,0,(IF(A354&lt;K$2,0,IF(A354&lt;=K$3,1,0))))</f>
        <v>0</v>
      </c>
      <c r="L354" s="124" t="n">
        <f aca="false">J354*K354</f>
        <v>0</v>
      </c>
      <c r="M354" s="124" t="n">
        <f aca="false">SUM(J$280:J354)</f>
        <v>-71262</v>
      </c>
      <c r="N354" s="124" t="n">
        <f aca="false">SUM(J$6:J354)</f>
        <v>-535274.56</v>
      </c>
      <c r="P354" s="124" t="n">
        <f aca="false">D354/P$3</f>
        <v>0</v>
      </c>
      <c r="Q354" s="124" t="n">
        <f aca="false">E354/P$3</f>
        <v>0</v>
      </c>
      <c r="R354" s="124" t="n">
        <f aca="false">F354/R$3</f>
        <v>0</v>
      </c>
      <c r="S354" s="126" t="n">
        <f aca="false">J354/$R$3</f>
        <v>0</v>
      </c>
      <c r="T354" s="126" t="n">
        <f aca="false">L354/$R$3</f>
        <v>0</v>
      </c>
      <c r="U354" s="126" t="n">
        <f aca="false">I354/$R$3</f>
        <v>0</v>
      </c>
      <c r="V354" s="126" t="n">
        <f aca="false">M354/$R$3</f>
        <v>-71.262</v>
      </c>
      <c r="W354" s="126" t="n">
        <f aca="false">N354/$R$3</f>
        <v>-535.27456</v>
      </c>
    </row>
    <row r="355" customFormat="false" ht="12.75" hidden="false" customHeight="false" outlineLevel="0" collapsed="false">
      <c r="A355" s="120" t="n">
        <f aca="false">A354+1</f>
        <v>37241</v>
      </c>
      <c r="B355" s="131" t="str">
        <f aca="false">INDEX('Master Data'!$A$2:$B$8,MATCH(WEEKDAY('ARG Gas IM'!A355,3),'Master Data'!$A$2:$A$8,0),2)</f>
        <v>Su</v>
      </c>
      <c r="D355" s="124"/>
      <c r="E355" s="124"/>
      <c r="F355" s="124"/>
      <c r="G355" s="124"/>
      <c r="I355" s="124" t="n">
        <f aca="false">IF(MONTH($A355)=MONTH($A354),IF(G355=0,I354,G355),G355)</f>
        <v>0</v>
      </c>
      <c r="J355" s="124" t="n">
        <f aca="false">IF(MONTH($A355)=MONTH($A354),SUM(I355-I354),I355)</f>
        <v>0</v>
      </c>
      <c r="K355" s="124" t="n">
        <f aca="false">IF(WEEKDAY(A355,3)&gt;4,0,(IF(A355&lt;K$2,0,IF(A355&lt;=K$3,1,0))))</f>
        <v>0</v>
      </c>
      <c r="L355" s="124" t="n">
        <f aca="false">J355*K355</f>
        <v>0</v>
      </c>
      <c r="M355" s="124" t="n">
        <f aca="false">SUM(J$280:J355)</f>
        <v>-71262</v>
      </c>
      <c r="N355" s="124" t="n">
        <f aca="false">SUM(J$6:J355)</f>
        <v>-535274.56</v>
      </c>
      <c r="P355" s="124" t="n">
        <f aca="false">D355/P$3</f>
        <v>0</v>
      </c>
      <c r="Q355" s="124" t="n">
        <f aca="false">E355/P$3</f>
        <v>0</v>
      </c>
      <c r="R355" s="124" t="n">
        <f aca="false">F355/R$3</f>
        <v>0</v>
      </c>
      <c r="S355" s="126" t="n">
        <f aca="false">J355/$R$3</f>
        <v>0</v>
      </c>
      <c r="T355" s="126" t="n">
        <f aca="false">L355/$R$3</f>
        <v>0</v>
      </c>
      <c r="U355" s="126" t="n">
        <f aca="false">I355/$R$3</f>
        <v>0</v>
      </c>
      <c r="V355" s="126" t="n">
        <f aca="false">M355/$R$3</f>
        <v>-71.262</v>
      </c>
      <c r="W355" s="126" t="n">
        <f aca="false">N355/$R$3</f>
        <v>-535.27456</v>
      </c>
    </row>
    <row r="356" customFormat="false" ht="12.75" hidden="false" customHeight="false" outlineLevel="0" collapsed="false">
      <c r="A356" s="120" t="n">
        <f aca="false">A355+1</f>
        <v>37242</v>
      </c>
      <c r="B356" s="131" t="str">
        <f aca="false">INDEX('Master Data'!$A$2:$B$8,MATCH(WEEKDAY('ARG Gas IM'!A356,3),'Master Data'!$A$2:$A$8,0),2)</f>
        <v>M</v>
      </c>
      <c r="D356" s="124"/>
      <c r="E356" s="124"/>
      <c r="F356" s="124"/>
      <c r="G356" s="124"/>
      <c r="I356" s="124" t="n">
        <f aca="false">IF(MONTH($A356)=MONTH($A355),IF(G356=0,I355,G356),G356)</f>
        <v>0</v>
      </c>
      <c r="J356" s="124" t="n">
        <f aca="false">IF(MONTH($A356)=MONTH($A355),SUM(I356-I355),I356)</f>
        <v>0</v>
      </c>
      <c r="K356" s="124" t="n">
        <f aca="false">IF(WEEKDAY(A356,3)&gt;4,0,(IF(A356&lt;K$2,0,IF(A356&lt;=K$3,1,0))))</f>
        <v>0</v>
      </c>
      <c r="L356" s="124" t="n">
        <f aca="false">J356*K356</f>
        <v>0</v>
      </c>
      <c r="M356" s="124" t="n">
        <f aca="false">SUM(J$280:J356)</f>
        <v>-71262</v>
      </c>
      <c r="N356" s="124" t="n">
        <f aca="false">SUM(J$6:J356)</f>
        <v>-535274.56</v>
      </c>
      <c r="P356" s="124" t="n">
        <f aca="false">D356/P$3</f>
        <v>0</v>
      </c>
      <c r="Q356" s="124" t="n">
        <f aca="false">E356/P$3</f>
        <v>0</v>
      </c>
      <c r="R356" s="124" t="n">
        <f aca="false">F356/R$3</f>
        <v>0</v>
      </c>
      <c r="S356" s="126" t="n">
        <f aca="false">J356/$R$3</f>
        <v>0</v>
      </c>
      <c r="T356" s="126" t="n">
        <f aca="false">L356/$R$3</f>
        <v>0</v>
      </c>
      <c r="U356" s="126" t="n">
        <f aca="false">I356/$R$3</f>
        <v>0</v>
      </c>
      <c r="V356" s="126" t="n">
        <f aca="false">M356/$R$3</f>
        <v>-71.262</v>
      </c>
      <c r="W356" s="126" t="n">
        <f aca="false">N356/$R$3</f>
        <v>-535.27456</v>
      </c>
    </row>
    <row r="357" customFormat="false" ht="12.75" hidden="false" customHeight="false" outlineLevel="0" collapsed="false">
      <c r="A357" s="120" t="n">
        <f aca="false">A356+1</f>
        <v>37243</v>
      </c>
      <c r="B357" s="131" t="str">
        <f aca="false">INDEX('Master Data'!$A$2:$B$8,MATCH(WEEKDAY('ARG Gas IM'!A357,3),'Master Data'!$A$2:$A$8,0),2)</f>
        <v>T</v>
      </c>
      <c r="D357" s="124"/>
      <c r="E357" s="124"/>
      <c r="F357" s="124"/>
      <c r="G357" s="124"/>
      <c r="I357" s="124" t="n">
        <f aca="false">IF(MONTH($A357)=MONTH($A356),IF(G357=0,I356,G357),G357)</f>
        <v>0</v>
      </c>
      <c r="J357" s="124" t="n">
        <f aca="false">IF(MONTH($A357)=MONTH($A356),SUM(I357-I356),I357)</f>
        <v>0</v>
      </c>
      <c r="K357" s="124" t="n">
        <f aca="false">IF(WEEKDAY(A357,3)&gt;4,0,(IF(A357&lt;K$2,0,IF(A357&lt;=K$3,1,0))))</f>
        <v>0</v>
      </c>
      <c r="L357" s="124" t="n">
        <f aca="false">J357*K357</f>
        <v>0</v>
      </c>
      <c r="M357" s="124" t="n">
        <f aca="false">SUM(J$280:J357)</f>
        <v>-71262</v>
      </c>
      <c r="N357" s="124" t="n">
        <f aca="false">SUM(J$6:J357)</f>
        <v>-535274.56</v>
      </c>
      <c r="P357" s="124" t="n">
        <f aca="false">D357/P$3</f>
        <v>0</v>
      </c>
      <c r="Q357" s="124" t="n">
        <f aca="false">E357/P$3</f>
        <v>0</v>
      </c>
      <c r="R357" s="124" t="n">
        <f aca="false">F357/R$3</f>
        <v>0</v>
      </c>
      <c r="S357" s="126" t="n">
        <f aca="false">J357/$R$3</f>
        <v>0</v>
      </c>
      <c r="T357" s="126" t="n">
        <f aca="false">L357/$R$3</f>
        <v>0</v>
      </c>
      <c r="U357" s="126" t="n">
        <f aca="false">I357/$R$3</f>
        <v>0</v>
      </c>
      <c r="V357" s="126" t="n">
        <f aca="false">M357/$R$3</f>
        <v>-71.262</v>
      </c>
      <c r="W357" s="126" t="n">
        <f aca="false">N357/$R$3</f>
        <v>-535.27456</v>
      </c>
    </row>
    <row r="358" customFormat="false" ht="12.75" hidden="false" customHeight="false" outlineLevel="0" collapsed="false">
      <c r="A358" s="120" t="n">
        <f aca="false">A357+1</f>
        <v>37244</v>
      </c>
      <c r="B358" s="131" t="str">
        <f aca="false">INDEX('Master Data'!$A$2:$B$8,MATCH(WEEKDAY('ARG Gas IM'!A358,3),'Master Data'!$A$2:$A$8,0),2)</f>
        <v>W</v>
      </c>
      <c r="D358" s="124"/>
      <c r="E358" s="124"/>
      <c r="F358" s="124"/>
      <c r="G358" s="124"/>
      <c r="I358" s="124" t="n">
        <f aca="false">IF(MONTH($A358)=MONTH($A357),IF(G358=0,I357,G358),G358)</f>
        <v>0</v>
      </c>
      <c r="J358" s="124" t="n">
        <f aca="false">IF(MONTH($A358)=MONTH($A357),SUM(I358-I357),I358)</f>
        <v>0</v>
      </c>
      <c r="K358" s="124" t="n">
        <f aca="false">IF(WEEKDAY(A358,3)&gt;4,0,(IF(A358&lt;K$2,0,IF(A358&lt;=K$3,1,0))))</f>
        <v>0</v>
      </c>
      <c r="L358" s="124" t="n">
        <f aca="false">J358*K358</f>
        <v>0</v>
      </c>
      <c r="M358" s="124" t="n">
        <f aca="false">SUM(J$280:J358)</f>
        <v>-71262</v>
      </c>
      <c r="N358" s="124" t="n">
        <f aca="false">SUM(J$6:J358)</f>
        <v>-535274.56</v>
      </c>
      <c r="P358" s="124" t="n">
        <f aca="false">D358/P$3</f>
        <v>0</v>
      </c>
      <c r="Q358" s="124" t="n">
        <f aca="false">E358/P$3</f>
        <v>0</v>
      </c>
      <c r="R358" s="124" t="n">
        <f aca="false">F358/R$3</f>
        <v>0</v>
      </c>
      <c r="S358" s="126" t="n">
        <f aca="false">J358/$R$3</f>
        <v>0</v>
      </c>
      <c r="T358" s="126" t="n">
        <f aca="false">L358/$R$3</f>
        <v>0</v>
      </c>
      <c r="U358" s="126" t="n">
        <f aca="false">I358/$R$3</f>
        <v>0</v>
      </c>
      <c r="V358" s="126" t="n">
        <f aca="false">M358/$R$3</f>
        <v>-71.262</v>
      </c>
      <c r="W358" s="126" t="n">
        <f aca="false">N358/$R$3</f>
        <v>-535.27456</v>
      </c>
    </row>
    <row r="359" customFormat="false" ht="12.75" hidden="false" customHeight="false" outlineLevel="0" collapsed="false">
      <c r="A359" s="120" t="n">
        <f aca="false">A358+1</f>
        <v>37245</v>
      </c>
      <c r="B359" s="131" t="str">
        <f aca="false">INDEX('Master Data'!$A$2:$B$8,MATCH(WEEKDAY('ARG Gas IM'!A359,3),'Master Data'!$A$2:$A$8,0),2)</f>
        <v>Th</v>
      </c>
      <c r="D359" s="124"/>
      <c r="E359" s="124"/>
      <c r="F359" s="124"/>
      <c r="G359" s="124"/>
      <c r="I359" s="124" t="n">
        <f aca="false">IF(MONTH($A359)=MONTH($A358),IF(G359=0,I358,G359),G359)</f>
        <v>0</v>
      </c>
      <c r="J359" s="124" t="n">
        <f aca="false">IF(MONTH($A359)=MONTH($A358),SUM(I359-I358),I359)</f>
        <v>0</v>
      </c>
      <c r="K359" s="124" t="n">
        <f aca="false">IF(WEEKDAY(A359,3)&gt;4,0,(IF(A359&lt;K$2,0,IF(A359&lt;=K$3,1,0))))</f>
        <v>0</v>
      </c>
      <c r="L359" s="124" t="n">
        <f aca="false">J359*K359</f>
        <v>0</v>
      </c>
      <c r="M359" s="124" t="n">
        <f aca="false">SUM(J$280:J359)</f>
        <v>-71262</v>
      </c>
      <c r="N359" s="124" t="n">
        <f aca="false">SUM(J$6:J359)</f>
        <v>-535274.56</v>
      </c>
      <c r="P359" s="124" t="n">
        <f aca="false">D359/P$3</f>
        <v>0</v>
      </c>
      <c r="Q359" s="124" t="n">
        <f aca="false">E359/P$3</f>
        <v>0</v>
      </c>
      <c r="R359" s="124" t="n">
        <f aca="false">F359/R$3</f>
        <v>0</v>
      </c>
      <c r="S359" s="126" t="n">
        <f aca="false">J359/$R$3</f>
        <v>0</v>
      </c>
      <c r="T359" s="126" t="n">
        <f aca="false">L359/$R$3</f>
        <v>0</v>
      </c>
      <c r="U359" s="126" t="n">
        <f aca="false">I359/$R$3</f>
        <v>0</v>
      </c>
      <c r="V359" s="126" t="n">
        <f aca="false">M359/$R$3</f>
        <v>-71.262</v>
      </c>
      <c r="W359" s="126" t="n">
        <f aca="false">N359/$R$3</f>
        <v>-535.27456</v>
      </c>
    </row>
    <row r="360" customFormat="false" ht="12.75" hidden="false" customHeight="false" outlineLevel="0" collapsed="false">
      <c r="A360" s="120" t="n">
        <f aca="false">A359+1</f>
        <v>37246</v>
      </c>
      <c r="B360" s="131" t="str">
        <f aca="false">INDEX('Master Data'!$A$2:$B$8,MATCH(WEEKDAY('ARG Gas IM'!A360,3),'Master Data'!$A$2:$A$8,0),2)</f>
        <v>F</v>
      </c>
      <c r="D360" s="124"/>
      <c r="E360" s="124"/>
      <c r="F360" s="124"/>
      <c r="G360" s="124"/>
      <c r="I360" s="124" t="n">
        <f aca="false">IF(MONTH($A360)=MONTH($A359),IF(G360=0,I359,G360),G360)</f>
        <v>0</v>
      </c>
      <c r="J360" s="124" t="n">
        <f aca="false">IF(MONTH($A360)=MONTH($A359),SUM(I360-I359),I360)</f>
        <v>0</v>
      </c>
      <c r="K360" s="124" t="n">
        <f aca="false">IF(WEEKDAY(A360,3)&gt;4,0,(IF(A360&lt;K$2,0,IF(A360&lt;=K$3,1,0))))</f>
        <v>0</v>
      </c>
      <c r="L360" s="124" t="n">
        <f aca="false">J360*K360</f>
        <v>0</v>
      </c>
      <c r="M360" s="124" t="n">
        <f aca="false">SUM(J$280:J360)</f>
        <v>-71262</v>
      </c>
      <c r="N360" s="124" t="n">
        <f aca="false">SUM(J$6:J360)</f>
        <v>-535274.56</v>
      </c>
      <c r="P360" s="124" t="n">
        <f aca="false">D360/P$3</f>
        <v>0</v>
      </c>
      <c r="Q360" s="124" t="n">
        <f aca="false">E360/P$3</f>
        <v>0</v>
      </c>
      <c r="R360" s="124" t="n">
        <f aca="false">F360/R$3</f>
        <v>0</v>
      </c>
      <c r="S360" s="126" t="n">
        <f aca="false">J360/$R$3</f>
        <v>0</v>
      </c>
      <c r="T360" s="126" t="n">
        <f aca="false">L360/$R$3</f>
        <v>0</v>
      </c>
      <c r="U360" s="126" t="n">
        <f aca="false">I360/$R$3</f>
        <v>0</v>
      </c>
      <c r="V360" s="126" t="n">
        <f aca="false">M360/$R$3</f>
        <v>-71.262</v>
      </c>
      <c r="W360" s="126" t="n">
        <f aca="false">N360/$R$3</f>
        <v>-535.27456</v>
      </c>
    </row>
    <row r="361" customFormat="false" ht="12.75" hidden="false" customHeight="false" outlineLevel="0" collapsed="false">
      <c r="A361" s="120" t="n">
        <f aca="false">A360+1</f>
        <v>37247</v>
      </c>
      <c r="B361" s="131" t="str">
        <f aca="false">INDEX('Master Data'!$A$2:$B$8,MATCH(WEEKDAY('ARG Gas IM'!A361,3),'Master Data'!$A$2:$A$8,0),2)</f>
        <v>Sa</v>
      </c>
      <c r="D361" s="124"/>
      <c r="E361" s="124"/>
      <c r="F361" s="124"/>
      <c r="G361" s="124"/>
      <c r="I361" s="124" t="n">
        <f aca="false">IF(MONTH($A361)=MONTH($A360),IF(G361=0,I360,G361),G361)</f>
        <v>0</v>
      </c>
      <c r="J361" s="124" t="n">
        <f aca="false">IF(MONTH($A361)=MONTH($A360),SUM(I361-I360),I361)</f>
        <v>0</v>
      </c>
      <c r="K361" s="124" t="n">
        <f aca="false">IF(WEEKDAY(A361,3)&gt;4,0,(IF(A361&lt;K$2,0,IF(A361&lt;=K$3,1,0))))</f>
        <v>0</v>
      </c>
      <c r="L361" s="124" t="n">
        <f aca="false">J361*K361</f>
        <v>0</v>
      </c>
      <c r="M361" s="124" t="n">
        <f aca="false">SUM(J$280:J361)</f>
        <v>-71262</v>
      </c>
      <c r="N361" s="124" t="n">
        <f aca="false">SUM(J$6:J361)</f>
        <v>-535274.56</v>
      </c>
      <c r="P361" s="124" t="n">
        <f aca="false">D361/P$3</f>
        <v>0</v>
      </c>
      <c r="Q361" s="124" t="n">
        <f aca="false">E361/P$3</f>
        <v>0</v>
      </c>
      <c r="R361" s="124" t="n">
        <f aca="false">F361/R$3</f>
        <v>0</v>
      </c>
      <c r="S361" s="126" t="n">
        <f aca="false">J361/$R$3</f>
        <v>0</v>
      </c>
      <c r="T361" s="126" t="n">
        <f aca="false">L361/$R$3</f>
        <v>0</v>
      </c>
      <c r="U361" s="126" t="n">
        <f aca="false">I361/$R$3</f>
        <v>0</v>
      </c>
      <c r="V361" s="126" t="n">
        <f aca="false">M361/$R$3</f>
        <v>-71.262</v>
      </c>
      <c r="W361" s="126" t="n">
        <f aca="false">N361/$R$3</f>
        <v>-535.27456</v>
      </c>
    </row>
    <row r="362" customFormat="false" ht="12.75" hidden="false" customHeight="false" outlineLevel="0" collapsed="false">
      <c r="A362" s="120" t="n">
        <f aca="false">A361+1</f>
        <v>37248</v>
      </c>
      <c r="B362" s="131" t="str">
        <f aca="false">INDEX('Master Data'!$A$2:$B$8,MATCH(WEEKDAY('ARG Gas IM'!A362,3),'Master Data'!$A$2:$A$8,0),2)</f>
        <v>Su</v>
      </c>
      <c r="D362" s="124"/>
      <c r="E362" s="124"/>
      <c r="F362" s="124"/>
      <c r="G362" s="124"/>
      <c r="I362" s="124" t="n">
        <f aca="false">IF(MONTH($A362)=MONTH($A361),IF(G362=0,I361,G362),G362)</f>
        <v>0</v>
      </c>
      <c r="J362" s="124" t="n">
        <f aca="false">IF(MONTH($A362)=MONTH($A361),SUM(I362-I361),I362)</f>
        <v>0</v>
      </c>
      <c r="K362" s="124" t="n">
        <f aca="false">IF(WEEKDAY(A362,3)&gt;4,0,(IF(A362&lt;K$2,0,IF(A362&lt;=K$3,1,0))))</f>
        <v>0</v>
      </c>
      <c r="L362" s="124" t="n">
        <f aca="false">J362*K362</f>
        <v>0</v>
      </c>
      <c r="M362" s="124" t="n">
        <f aca="false">SUM(J$280:J362)</f>
        <v>-71262</v>
      </c>
      <c r="N362" s="124" t="n">
        <f aca="false">SUM(J$6:J362)</f>
        <v>-535274.56</v>
      </c>
      <c r="P362" s="124" t="n">
        <f aca="false">D362/P$3</f>
        <v>0</v>
      </c>
      <c r="Q362" s="124" t="n">
        <f aca="false">E362/P$3</f>
        <v>0</v>
      </c>
      <c r="R362" s="124" t="n">
        <f aca="false">F362/R$3</f>
        <v>0</v>
      </c>
      <c r="S362" s="126" t="n">
        <f aca="false">J362/$R$3</f>
        <v>0</v>
      </c>
      <c r="T362" s="126" t="n">
        <f aca="false">L362/$R$3</f>
        <v>0</v>
      </c>
      <c r="U362" s="126" t="n">
        <f aca="false">I362/$R$3</f>
        <v>0</v>
      </c>
      <c r="V362" s="126" t="n">
        <f aca="false">M362/$R$3</f>
        <v>-71.262</v>
      </c>
      <c r="W362" s="126" t="n">
        <f aca="false">N362/$R$3</f>
        <v>-535.27456</v>
      </c>
    </row>
    <row r="363" customFormat="false" ht="12.75" hidden="false" customHeight="false" outlineLevel="0" collapsed="false">
      <c r="A363" s="120" t="n">
        <f aca="false">A362+1</f>
        <v>37249</v>
      </c>
      <c r="B363" s="131" t="str">
        <f aca="false">INDEX('Master Data'!$A$2:$B$8,MATCH(WEEKDAY('ARG Gas IM'!A363,3),'Master Data'!$A$2:$A$8,0),2)</f>
        <v>M</v>
      </c>
      <c r="D363" s="124"/>
      <c r="E363" s="124"/>
      <c r="F363" s="124"/>
      <c r="G363" s="124"/>
      <c r="I363" s="124" t="n">
        <f aca="false">IF(MONTH($A363)=MONTH($A362),IF(G363=0,I362,G363),G363)</f>
        <v>0</v>
      </c>
      <c r="J363" s="124" t="n">
        <f aca="false">IF(MONTH($A363)=MONTH($A362),SUM(I363-I362),I363)</f>
        <v>0</v>
      </c>
      <c r="K363" s="124" t="n">
        <f aca="false">IF(WEEKDAY(A363,3)&gt;4,0,(IF(A363&lt;K$2,0,IF(A363&lt;=K$3,1,0))))</f>
        <v>0</v>
      </c>
      <c r="L363" s="124" t="n">
        <f aca="false">J363*K363</f>
        <v>0</v>
      </c>
      <c r="M363" s="124" t="n">
        <f aca="false">SUM(J$280:J363)</f>
        <v>-71262</v>
      </c>
      <c r="N363" s="124" t="n">
        <f aca="false">SUM(J$6:J363)</f>
        <v>-535274.56</v>
      </c>
      <c r="P363" s="124" t="n">
        <f aca="false">D363/P$3</f>
        <v>0</v>
      </c>
      <c r="Q363" s="124" t="n">
        <f aca="false">E363/P$3</f>
        <v>0</v>
      </c>
      <c r="R363" s="124" t="n">
        <f aca="false">F363/R$3</f>
        <v>0</v>
      </c>
      <c r="S363" s="126" t="n">
        <f aca="false">J363/$R$3</f>
        <v>0</v>
      </c>
      <c r="T363" s="126" t="n">
        <f aca="false">L363/$R$3</f>
        <v>0</v>
      </c>
      <c r="U363" s="126" t="n">
        <f aca="false">I363/$R$3</f>
        <v>0</v>
      </c>
      <c r="V363" s="126" t="n">
        <f aca="false">M363/$R$3</f>
        <v>-71.262</v>
      </c>
      <c r="W363" s="126" t="n">
        <f aca="false">N363/$R$3</f>
        <v>-535.27456</v>
      </c>
    </row>
    <row r="364" customFormat="false" ht="12.75" hidden="false" customHeight="false" outlineLevel="0" collapsed="false">
      <c r="A364" s="120" t="n">
        <f aca="false">A363+1</f>
        <v>37250</v>
      </c>
      <c r="B364" s="131" t="str">
        <f aca="false">INDEX('Master Data'!$A$2:$B$8,MATCH(WEEKDAY('ARG Gas IM'!A364,3),'Master Data'!$A$2:$A$8,0),2)</f>
        <v>T</v>
      </c>
      <c r="D364" s="124"/>
      <c r="E364" s="124"/>
      <c r="F364" s="124"/>
      <c r="G364" s="124"/>
      <c r="I364" s="124" t="n">
        <f aca="false">IF(MONTH($A364)=MONTH($A363),IF(G364=0,I363,G364),G364)</f>
        <v>0</v>
      </c>
      <c r="J364" s="124" t="n">
        <f aca="false">IF(MONTH($A364)=MONTH($A363),SUM(I364-I363),I364)</f>
        <v>0</v>
      </c>
      <c r="K364" s="124" t="n">
        <f aca="false">IF(WEEKDAY(A364,3)&gt;4,0,(IF(A364&lt;K$2,0,IF(A364&lt;=K$3,1,0))))</f>
        <v>0</v>
      </c>
      <c r="L364" s="124" t="n">
        <f aca="false">J364*K364</f>
        <v>0</v>
      </c>
      <c r="M364" s="124" t="n">
        <f aca="false">SUM(J$280:J364)</f>
        <v>-71262</v>
      </c>
      <c r="N364" s="124" t="n">
        <f aca="false">SUM(J$6:J364)</f>
        <v>-535274.56</v>
      </c>
      <c r="P364" s="124" t="n">
        <f aca="false">D364/P$3</f>
        <v>0</v>
      </c>
      <c r="Q364" s="124" t="n">
        <f aca="false">E364/P$3</f>
        <v>0</v>
      </c>
      <c r="R364" s="124" t="n">
        <f aca="false">F364/R$3</f>
        <v>0</v>
      </c>
      <c r="S364" s="126" t="n">
        <f aca="false">J364/$R$3</f>
        <v>0</v>
      </c>
      <c r="T364" s="126" t="n">
        <f aca="false">L364/$R$3</f>
        <v>0</v>
      </c>
      <c r="U364" s="126" t="n">
        <f aca="false">I364/$R$3</f>
        <v>0</v>
      </c>
      <c r="V364" s="126" t="n">
        <f aca="false">M364/$R$3</f>
        <v>-71.262</v>
      </c>
      <c r="W364" s="126" t="n">
        <f aca="false">N364/$R$3</f>
        <v>-535.27456</v>
      </c>
    </row>
    <row r="365" customFormat="false" ht="12.75" hidden="false" customHeight="false" outlineLevel="0" collapsed="false">
      <c r="A365" s="120" t="n">
        <f aca="false">A364+1</f>
        <v>37251</v>
      </c>
      <c r="B365" s="131" t="str">
        <f aca="false">INDEX('Master Data'!$A$2:$B$8,MATCH(WEEKDAY('ARG Gas IM'!A365,3),'Master Data'!$A$2:$A$8,0),2)</f>
        <v>W</v>
      </c>
      <c r="D365" s="124"/>
      <c r="E365" s="124"/>
      <c r="F365" s="124"/>
      <c r="G365" s="124"/>
      <c r="I365" s="124" t="n">
        <f aca="false">IF(MONTH($A365)=MONTH($A364),IF(G365=0,I364,G365),G365)</f>
        <v>0</v>
      </c>
      <c r="J365" s="124" t="n">
        <f aca="false">IF(MONTH($A365)=MONTH($A364),SUM(I365-I364),I365)</f>
        <v>0</v>
      </c>
      <c r="K365" s="124" t="n">
        <f aca="false">IF(WEEKDAY(A365,3)&gt;4,0,(IF(A365&lt;K$2,0,IF(A365&lt;=K$3,1,0))))</f>
        <v>0</v>
      </c>
      <c r="L365" s="124" t="n">
        <f aca="false">J365*K365</f>
        <v>0</v>
      </c>
      <c r="M365" s="124" t="n">
        <f aca="false">SUM(J$280:J365)</f>
        <v>-71262</v>
      </c>
      <c r="N365" s="124" t="n">
        <f aca="false">SUM(J$6:J365)</f>
        <v>-535274.56</v>
      </c>
      <c r="P365" s="124" t="n">
        <f aca="false">D365/P$3</f>
        <v>0</v>
      </c>
      <c r="Q365" s="124" t="n">
        <f aca="false">E365/P$3</f>
        <v>0</v>
      </c>
      <c r="R365" s="124" t="n">
        <f aca="false">F365/R$3</f>
        <v>0</v>
      </c>
      <c r="S365" s="126" t="n">
        <f aca="false">J365/$R$3</f>
        <v>0</v>
      </c>
      <c r="T365" s="126" t="n">
        <f aca="false">L365/$R$3</f>
        <v>0</v>
      </c>
      <c r="U365" s="126" t="n">
        <f aca="false">I365/$R$3</f>
        <v>0</v>
      </c>
      <c r="V365" s="126" t="n">
        <f aca="false">M365/$R$3</f>
        <v>-71.262</v>
      </c>
      <c r="W365" s="126" t="n">
        <f aca="false">N365/$R$3</f>
        <v>-535.27456</v>
      </c>
    </row>
    <row r="366" customFormat="false" ht="12.75" hidden="false" customHeight="false" outlineLevel="0" collapsed="false">
      <c r="A366" s="120" t="n">
        <f aca="false">A365+1</f>
        <v>37252</v>
      </c>
      <c r="B366" s="131" t="str">
        <f aca="false">INDEX('Master Data'!$A$2:$B$8,MATCH(WEEKDAY('ARG Gas IM'!A366,3),'Master Data'!$A$2:$A$8,0),2)</f>
        <v>Th</v>
      </c>
      <c r="D366" s="124"/>
      <c r="E366" s="124"/>
      <c r="F366" s="124"/>
      <c r="G366" s="124"/>
      <c r="I366" s="124" t="n">
        <f aca="false">IF(MONTH($A366)=MONTH($A365),IF(G366=0,I365,G366),G366)</f>
        <v>0</v>
      </c>
      <c r="J366" s="124" t="n">
        <f aca="false">IF(MONTH($A366)=MONTH($A365),SUM(I366-I365),I366)</f>
        <v>0</v>
      </c>
      <c r="K366" s="124" t="n">
        <f aca="false">IF(WEEKDAY(A366,3)&gt;4,0,(IF(A366&lt;K$2,0,IF(A366&lt;=K$3,1,0))))</f>
        <v>0</v>
      </c>
      <c r="L366" s="124" t="n">
        <f aca="false">J366*K366</f>
        <v>0</v>
      </c>
      <c r="M366" s="124" t="n">
        <f aca="false">SUM(J$280:J366)</f>
        <v>-71262</v>
      </c>
      <c r="N366" s="124" t="n">
        <f aca="false">SUM(J$6:J366)</f>
        <v>-535274.56</v>
      </c>
      <c r="P366" s="124" t="n">
        <f aca="false">D366/P$3</f>
        <v>0</v>
      </c>
      <c r="Q366" s="124" t="n">
        <f aca="false">E366/P$3</f>
        <v>0</v>
      </c>
      <c r="R366" s="124" t="n">
        <f aca="false">F366/R$3</f>
        <v>0</v>
      </c>
      <c r="S366" s="126" t="n">
        <f aca="false">J366/$R$3</f>
        <v>0</v>
      </c>
      <c r="T366" s="126" t="n">
        <f aca="false">L366/$R$3</f>
        <v>0</v>
      </c>
      <c r="U366" s="126" t="n">
        <f aca="false">I366/$R$3</f>
        <v>0</v>
      </c>
      <c r="V366" s="126" t="n">
        <f aca="false">M366/$R$3</f>
        <v>-71.262</v>
      </c>
      <c r="W366" s="126" t="n">
        <f aca="false">N366/$R$3</f>
        <v>-535.27456</v>
      </c>
    </row>
    <row r="367" customFormat="false" ht="12.75" hidden="false" customHeight="false" outlineLevel="0" collapsed="false">
      <c r="A367" s="120" t="n">
        <f aca="false">A366+1</f>
        <v>37253</v>
      </c>
      <c r="B367" s="131" t="str">
        <f aca="false">INDEX('Master Data'!$A$2:$B$8,MATCH(WEEKDAY('ARG Gas IM'!A367,3),'Master Data'!$A$2:$A$8,0),2)</f>
        <v>F</v>
      </c>
      <c r="D367" s="124"/>
      <c r="E367" s="124"/>
      <c r="F367" s="124"/>
      <c r="G367" s="124"/>
      <c r="I367" s="124" t="n">
        <f aca="false">IF(MONTH($A367)=MONTH($A366),IF(G367=0,I366,G367),G367)</f>
        <v>0</v>
      </c>
      <c r="J367" s="124" t="n">
        <f aca="false">IF(MONTH($A367)=MONTH($A366),SUM(I367-I366),I367)</f>
        <v>0</v>
      </c>
      <c r="K367" s="124" t="n">
        <f aca="false">IF(WEEKDAY(A367,3)&gt;4,0,(IF(A367&lt;K$2,0,IF(A367&lt;=K$3,1,0))))</f>
        <v>0</v>
      </c>
      <c r="L367" s="124" t="n">
        <f aca="false">J367*K367</f>
        <v>0</v>
      </c>
      <c r="M367" s="124" t="n">
        <f aca="false">SUM(J$280:J367)</f>
        <v>-71262</v>
      </c>
      <c r="N367" s="124" t="n">
        <f aca="false">SUM(J$6:J367)</f>
        <v>-535274.56</v>
      </c>
      <c r="P367" s="124" t="n">
        <f aca="false">D367/P$3</f>
        <v>0</v>
      </c>
      <c r="Q367" s="124" t="n">
        <f aca="false">E367/P$3</f>
        <v>0</v>
      </c>
      <c r="R367" s="124" t="n">
        <f aca="false">F367/R$3</f>
        <v>0</v>
      </c>
      <c r="S367" s="126" t="n">
        <f aca="false">J367/$R$3</f>
        <v>0</v>
      </c>
      <c r="T367" s="126" t="n">
        <f aca="false">L367/$R$3</f>
        <v>0</v>
      </c>
      <c r="U367" s="126" t="n">
        <f aca="false">I367/$R$3</f>
        <v>0</v>
      </c>
      <c r="V367" s="126" t="n">
        <f aca="false">M367/$R$3</f>
        <v>-71.262</v>
      </c>
      <c r="W367" s="126" t="n">
        <f aca="false">N367/$R$3</f>
        <v>-535.27456</v>
      </c>
    </row>
    <row r="368" customFormat="false" ht="12.75" hidden="false" customHeight="false" outlineLevel="0" collapsed="false">
      <c r="A368" s="120" t="n">
        <f aca="false">A367+1</f>
        <v>37254</v>
      </c>
      <c r="B368" s="131" t="str">
        <f aca="false">INDEX('Master Data'!$A$2:$B$8,MATCH(WEEKDAY('ARG Gas IM'!A368,3),'Master Data'!$A$2:$A$8,0),2)</f>
        <v>Sa</v>
      </c>
      <c r="D368" s="124"/>
      <c r="E368" s="124"/>
      <c r="F368" s="124"/>
      <c r="G368" s="124"/>
      <c r="I368" s="124" t="n">
        <f aca="false">IF(MONTH($A368)=MONTH($A367),IF(G368=0,I367,G368),G368)</f>
        <v>0</v>
      </c>
      <c r="J368" s="124" t="n">
        <f aca="false">IF(MONTH($A368)=MONTH($A367),SUM(I368-I367),I368)</f>
        <v>0</v>
      </c>
      <c r="K368" s="124" t="n">
        <f aca="false">IF(WEEKDAY(A368,3)&gt;4,0,(IF(A368&lt;K$2,0,IF(A368&lt;=K$3,1,0))))</f>
        <v>0</v>
      </c>
      <c r="L368" s="124" t="n">
        <f aca="false">J368*K368</f>
        <v>0</v>
      </c>
      <c r="M368" s="124" t="n">
        <f aca="false">SUM(J$280:J368)</f>
        <v>-71262</v>
      </c>
      <c r="N368" s="124" t="n">
        <f aca="false">SUM(J$6:J368)</f>
        <v>-535274.56</v>
      </c>
      <c r="P368" s="124" t="n">
        <f aca="false">D368/P$3</f>
        <v>0</v>
      </c>
      <c r="Q368" s="124" t="n">
        <f aca="false">E368/P$3</f>
        <v>0</v>
      </c>
      <c r="R368" s="124" t="n">
        <f aca="false">F368/R$3</f>
        <v>0</v>
      </c>
      <c r="S368" s="126" t="n">
        <f aca="false">J368/$R$3</f>
        <v>0</v>
      </c>
      <c r="T368" s="126" t="n">
        <f aca="false">L368/$R$3</f>
        <v>0</v>
      </c>
      <c r="U368" s="126" t="n">
        <f aca="false">I368/$R$3</f>
        <v>0</v>
      </c>
      <c r="V368" s="126" t="n">
        <f aca="false">M368/$R$3</f>
        <v>-71.262</v>
      </c>
      <c r="W368" s="126" t="n">
        <f aca="false">N368/$R$3</f>
        <v>-535.27456</v>
      </c>
    </row>
    <row r="369" customFormat="false" ht="12.75" hidden="false" customHeight="false" outlineLevel="0" collapsed="false">
      <c r="A369" s="120" t="n">
        <f aca="false">A368+1</f>
        <v>37255</v>
      </c>
      <c r="B369" s="131" t="str">
        <f aca="false">INDEX('Master Data'!$A$2:$B$8,MATCH(WEEKDAY('ARG Gas IM'!A369,3),'Master Data'!$A$2:$A$8,0),2)</f>
        <v>Su</v>
      </c>
      <c r="D369" s="124"/>
      <c r="E369" s="124"/>
      <c r="F369" s="124"/>
      <c r="G369" s="124"/>
      <c r="I369" s="124" t="n">
        <f aca="false">IF(MONTH($A369)=MONTH($A368),IF(G369=0,I368,G369),G369)</f>
        <v>0</v>
      </c>
      <c r="J369" s="124" t="n">
        <f aca="false">IF(MONTH($A369)=MONTH($A368),SUM(I369-I368),I369)</f>
        <v>0</v>
      </c>
      <c r="K369" s="124" t="n">
        <f aca="false">IF(WEEKDAY(A369,3)&gt;4,0,(IF(A369&lt;K$2,0,IF(A369&lt;=K$3,1,0))))</f>
        <v>0</v>
      </c>
      <c r="L369" s="124" t="n">
        <f aca="false">J369*K369</f>
        <v>0</v>
      </c>
      <c r="M369" s="124" t="n">
        <f aca="false">SUM(J$280:J369)</f>
        <v>-71262</v>
      </c>
      <c r="N369" s="124" t="n">
        <f aca="false">SUM(J$6:J369)</f>
        <v>-535274.56</v>
      </c>
      <c r="P369" s="124" t="n">
        <f aca="false">D369/P$3</f>
        <v>0</v>
      </c>
      <c r="Q369" s="124" t="n">
        <f aca="false">E369/P$3</f>
        <v>0</v>
      </c>
      <c r="R369" s="124" t="n">
        <f aca="false">F369/R$3</f>
        <v>0</v>
      </c>
      <c r="S369" s="126" t="n">
        <f aca="false">J369/$R$3</f>
        <v>0</v>
      </c>
      <c r="T369" s="126" t="n">
        <f aca="false">L369/$R$3</f>
        <v>0</v>
      </c>
      <c r="U369" s="126" t="n">
        <f aca="false">I369/$R$3</f>
        <v>0</v>
      </c>
      <c r="V369" s="126" t="n">
        <f aca="false">M369/$R$3</f>
        <v>-71.262</v>
      </c>
      <c r="W369" s="126" t="n">
        <f aca="false">N369/$R$3</f>
        <v>-535.27456</v>
      </c>
    </row>
    <row r="370" customFormat="false" ht="12.75" hidden="false" customHeight="false" outlineLevel="0" collapsed="false">
      <c r="A370" s="120" t="n">
        <f aca="false">A369+1</f>
        <v>37256</v>
      </c>
      <c r="B370" s="131" t="str">
        <f aca="false">INDEX('Master Data'!$A$2:$B$8,MATCH(WEEKDAY('ARG Gas IM'!A370,3),'Master Data'!$A$2:$A$8,0),2)</f>
        <v>M</v>
      </c>
      <c r="D370" s="124"/>
      <c r="E370" s="124"/>
      <c r="F370" s="124"/>
      <c r="G370" s="124"/>
      <c r="I370" s="124" t="n">
        <f aca="false">IF(MONTH($A370)=MONTH($A369),IF(G370=0,I369,G370),G370)</f>
        <v>0</v>
      </c>
      <c r="J370" s="124" t="n">
        <f aca="false">IF(MONTH($A370)=MONTH($A369),SUM(I370-I369),I370)</f>
        <v>0</v>
      </c>
      <c r="K370" s="124" t="n">
        <f aca="false">IF(WEEKDAY(A370,3)&gt;4,0,(IF(A370&lt;K$2,0,IF(A370&lt;=K$3,1,0))))</f>
        <v>0</v>
      </c>
      <c r="L370" s="124" t="n">
        <f aca="false">J370*K370</f>
        <v>0</v>
      </c>
      <c r="M370" s="124" t="n">
        <f aca="false">SUM(J$280:J370)</f>
        <v>-71262</v>
      </c>
      <c r="N370" s="124" t="n">
        <f aca="false">SUM(J$6:J370)</f>
        <v>-535274.56</v>
      </c>
      <c r="P370" s="124" t="n">
        <f aca="false">D370/P$3</f>
        <v>0</v>
      </c>
      <c r="Q370" s="124" t="n">
        <f aca="false">E370/P$3</f>
        <v>0</v>
      </c>
      <c r="R370" s="124" t="n">
        <f aca="false">F370/R$3</f>
        <v>0</v>
      </c>
      <c r="S370" s="126" t="n">
        <f aca="false">J370/$R$3</f>
        <v>0</v>
      </c>
      <c r="T370" s="126" t="n">
        <f aca="false">L370/$R$3</f>
        <v>0</v>
      </c>
      <c r="U370" s="126" t="n">
        <f aca="false">I370/$R$3</f>
        <v>0</v>
      </c>
      <c r="V370" s="126" t="n">
        <f aca="false">M370/$R$3</f>
        <v>-71.262</v>
      </c>
      <c r="W370" s="126" t="n">
        <f aca="false">N370/$R$3</f>
        <v>-535.27456</v>
      </c>
    </row>
    <row r="371" customFormat="false" ht="12.75" hidden="false" customHeight="false" outlineLevel="0" collapsed="false">
      <c r="A371" s="120" t="n">
        <f aca="false">A370+1</f>
        <v>37257</v>
      </c>
      <c r="B371" s="131" t="str">
        <f aca="false">INDEX('Master Data'!$A$2:$B$8,MATCH(WEEKDAY('ARG Gas IM'!A371,3),'Master Data'!$A$2:$A$8,0),2)</f>
        <v>T</v>
      </c>
      <c r="D371" s="124"/>
      <c r="E371" s="124"/>
      <c r="F371" s="124"/>
      <c r="G371" s="124"/>
      <c r="I371" s="124" t="n">
        <f aca="false">IF(MONTH($A371)=MONTH($A370),IF(G371=0,I370,G371),G371)</f>
        <v>0</v>
      </c>
      <c r="J371" s="124" t="n">
        <f aca="false">IF(MONTH($A371)=MONTH($A370),SUM(I371-I370),I371)</f>
        <v>0</v>
      </c>
      <c r="K371" s="124" t="n">
        <f aca="false">IF(WEEKDAY(A371,3)&gt;4,0,(IF(A371&lt;K$2,0,IF(A371&lt;=K$3,1,0))))</f>
        <v>0</v>
      </c>
      <c r="L371" s="124" t="n">
        <f aca="false">J371*K371</f>
        <v>0</v>
      </c>
      <c r="M371" s="124" t="n">
        <f aca="false">SUM(J$280:J371)</f>
        <v>-71262</v>
      </c>
      <c r="N371" s="124" t="n">
        <f aca="false">SUM(J$6:J371)</f>
        <v>-535274.56</v>
      </c>
      <c r="P371" s="124" t="n">
        <f aca="false">D371/P$3</f>
        <v>0</v>
      </c>
      <c r="Q371" s="124" t="n">
        <f aca="false">E371/P$3</f>
        <v>0</v>
      </c>
      <c r="R371" s="124" t="n">
        <f aca="false">F371/R$3</f>
        <v>0</v>
      </c>
      <c r="S371" s="126" t="n">
        <f aca="false">J371/$R$3</f>
        <v>0</v>
      </c>
      <c r="T371" s="126" t="n">
        <f aca="false">L371/$R$3</f>
        <v>0</v>
      </c>
      <c r="U371" s="126" t="n">
        <f aca="false">I371/$R$3</f>
        <v>0</v>
      </c>
      <c r="V371" s="126" t="n">
        <f aca="false">M371/$R$3</f>
        <v>-71.262</v>
      </c>
      <c r="W371" s="126" t="n">
        <f aca="false">N371/$R$3</f>
        <v>-535.27456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8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2" ySplit="5" topLeftCell="C125" activePane="bottomRight" state="frozen"/>
      <selection pane="topLeft" activeCell="A1" activeCellId="0" sqref="A1"/>
      <selection pane="topRight" activeCell="C1" activeCellId="0" sqref="C1"/>
      <selection pane="bottomLeft" activeCell="A125" activeCellId="0" sqref="A125"/>
      <selection pane="bottomRight" activeCell="D310" activeCellId="0" sqref="D310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20" width="7.28"/>
    <col collapsed="false" customWidth="true" hidden="false" outlineLevel="0" max="2" min="2" style="121" width="4.14"/>
    <col collapsed="false" customWidth="true" hidden="false" outlineLevel="0" max="3" min="3" style="122" width="2.7"/>
    <col collapsed="false" customWidth="true" hidden="false" outlineLevel="0" max="7" min="4" style="121" width="14.99"/>
    <col collapsed="false" customWidth="true" hidden="false" outlineLevel="0" max="8" min="8" style="122" width="2.7"/>
    <col collapsed="false" customWidth="true" hidden="false" outlineLevel="0" max="9" min="9" style="123" width="13.14"/>
    <col collapsed="false" customWidth="true" hidden="false" outlineLevel="0" max="10" min="10" style="124" width="13.14"/>
    <col collapsed="false" customWidth="true" hidden="false" outlineLevel="0" max="11" min="11" style="124" width="10.99"/>
    <col collapsed="false" customWidth="true" hidden="false" outlineLevel="0" max="14" min="12" style="124" width="13.14"/>
    <col collapsed="false" customWidth="true" hidden="false" outlineLevel="0" max="15" min="15" style="125" width="2.7"/>
    <col collapsed="false" customWidth="true" hidden="false" outlineLevel="0" max="18" min="16" style="121" width="16.13"/>
    <col collapsed="false" customWidth="true" hidden="false" outlineLevel="0" max="23" min="19" style="126" width="12.7"/>
    <col collapsed="false" customWidth="false" hidden="false" outlineLevel="0" max="257" min="24" style="121" width="9.14"/>
  </cols>
  <sheetData>
    <row r="1" customFormat="false" ht="12.75" hidden="false" customHeight="false" outlineLevel="0" collapsed="false">
      <c r="A1" s="127" t="n">
        <v>1</v>
      </c>
      <c r="B1" s="121" t="n">
        <f aca="false">+A1+1</f>
        <v>2</v>
      </c>
      <c r="C1" s="122" t="n">
        <f aca="false">+B1+1</f>
        <v>3</v>
      </c>
      <c r="D1" s="121" t="n">
        <f aca="false">+C1+1</f>
        <v>4</v>
      </c>
      <c r="E1" s="121" t="n">
        <f aca="false">+D1+1</f>
        <v>5</v>
      </c>
      <c r="F1" s="121" t="n">
        <f aca="false">+E1+1</f>
        <v>6</v>
      </c>
      <c r="G1" s="121" t="n">
        <f aca="false">+F1+1</f>
        <v>7</v>
      </c>
      <c r="H1" s="122" t="n">
        <f aca="false">+G1+1</f>
        <v>8</v>
      </c>
      <c r="I1" s="123" t="n">
        <f aca="false">+H1+1</f>
        <v>9</v>
      </c>
      <c r="J1" s="124" t="n">
        <f aca="false">+I1+1</f>
        <v>10</v>
      </c>
      <c r="K1" s="124" t="n">
        <f aca="false">+J1+1</f>
        <v>11</v>
      </c>
      <c r="L1" s="124" t="n">
        <f aca="false">+K1+1</f>
        <v>12</v>
      </c>
      <c r="M1" s="124" t="n">
        <f aca="false">+L1+1</f>
        <v>13</v>
      </c>
      <c r="N1" s="124" t="n">
        <f aca="false">+M1+1</f>
        <v>14</v>
      </c>
      <c r="O1" s="125" t="n">
        <f aca="false">+N1+1</f>
        <v>15</v>
      </c>
      <c r="P1" s="121" t="n">
        <f aca="false">+O1+1</f>
        <v>16</v>
      </c>
      <c r="Q1" s="121" t="n">
        <f aca="false">+P1+1</f>
        <v>17</v>
      </c>
      <c r="R1" s="121" t="n">
        <f aca="false">+Q1+1</f>
        <v>18</v>
      </c>
      <c r="S1" s="121" t="n">
        <f aca="false">+R1+1</f>
        <v>19</v>
      </c>
      <c r="T1" s="121" t="n">
        <f aca="false">+S1+1</f>
        <v>20</v>
      </c>
      <c r="U1" s="121" t="n">
        <f aca="false">+T1+1</f>
        <v>21</v>
      </c>
      <c r="V1" s="121" t="n">
        <f aca="false">+U1+1</f>
        <v>22</v>
      </c>
      <c r="W1" s="121" t="n">
        <f aca="false">+V1+1</f>
        <v>23</v>
      </c>
    </row>
    <row r="2" customFormat="false" ht="12.75" hidden="false" customHeight="false" outlineLevel="0" collapsed="false">
      <c r="G2" s="145"/>
      <c r="K2" s="128" t="n">
        <f aca="false">WORKDAY(K3,-4)</f>
        <v>37190</v>
      </c>
    </row>
    <row r="3" customFormat="false" ht="12.75" hidden="false" customHeight="false" outlineLevel="0" collapsed="false">
      <c r="G3" s="145"/>
      <c r="I3" s="146"/>
      <c r="K3" s="128" t="n">
        <f aca="false">Summary!B8</f>
        <v>37196</v>
      </c>
      <c r="L3" s="129" t="n">
        <f aca="false">SUM(L6:L371)</f>
        <v>-18786</v>
      </c>
      <c r="P3" s="124" t="n">
        <v>1000000</v>
      </c>
      <c r="Q3" s="124"/>
      <c r="R3" s="124" t="n">
        <v>1000</v>
      </c>
      <c r="S3" s="121"/>
      <c r="T3" s="130" t="n">
        <f aca="false">SUM(T6:T371)</f>
        <v>-18.786</v>
      </c>
    </row>
    <row r="4" customFormat="false" ht="12.75" hidden="false" customHeight="false" outlineLevel="0" collapsed="false">
      <c r="D4" s="131" t="s">
        <v>57</v>
      </c>
      <c r="E4" s="131" t="s">
        <v>57</v>
      </c>
      <c r="F4" s="131" t="s">
        <v>58</v>
      </c>
      <c r="G4" s="131" t="s">
        <v>58</v>
      </c>
      <c r="I4" s="132" t="s">
        <v>58</v>
      </c>
      <c r="J4" s="132"/>
      <c r="K4" s="132"/>
      <c r="L4" s="132"/>
      <c r="M4" s="132"/>
      <c r="N4" s="132"/>
      <c r="O4" s="133"/>
      <c r="P4" s="134" t="s">
        <v>59</v>
      </c>
      <c r="Q4" s="134"/>
      <c r="R4" s="135" t="s">
        <v>60</v>
      </c>
      <c r="S4" s="135"/>
      <c r="T4" s="135"/>
      <c r="U4" s="135"/>
      <c r="V4" s="135"/>
      <c r="W4" s="135"/>
    </row>
    <row r="5" customFormat="false" ht="12.75" hidden="false" customHeight="false" outlineLevel="0" collapsed="false">
      <c r="A5" s="136" t="s">
        <v>61</v>
      </c>
      <c r="B5" s="131" t="s">
        <v>62</v>
      </c>
      <c r="C5" s="137"/>
      <c r="D5" s="138" t="s">
        <v>63</v>
      </c>
      <c r="E5" s="138" t="s">
        <v>64</v>
      </c>
      <c r="F5" s="138" t="s">
        <v>65</v>
      </c>
      <c r="G5" s="138" t="s">
        <v>66</v>
      </c>
      <c r="H5" s="139"/>
      <c r="I5" s="138" t="s">
        <v>67</v>
      </c>
      <c r="J5" s="140" t="s">
        <v>68</v>
      </c>
      <c r="K5" s="140" t="s">
        <v>69</v>
      </c>
      <c r="L5" s="140" t="s">
        <v>70</v>
      </c>
      <c r="M5" s="140" t="s">
        <v>71</v>
      </c>
      <c r="N5" s="140" t="s">
        <v>72</v>
      </c>
      <c r="O5" s="141"/>
      <c r="P5" s="138" t="s">
        <v>63</v>
      </c>
      <c r="Q5" s="138" t="s">
        <v>64</v>
      </c>
      <c r="R5" s="138" t="s">
        <v>65</v>
      </c>
      <c r="S5" s="142" t="s">
        <v>68</v>
      </c>
      <c r="T5" s="140" t="s">
        <v>70</v>
      </c>
      <c r="U5" s="142" t="s">
        <v>66</v>
      </c>
      <c r="V5" s="142" t="s">
        <v>71</v>
      </c>
      <c r="W5" s="142" t="s">
        <v>72</v>
      </c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1"/>
      <c r="AW5" s="131"/>
      <c r="AX5" s="131"/>
      <c r="AY5" s="131"/>
      <c r="AZ5" s="131"/>
      <c r="BA5" s="131"/>
      <c r="BB5" s="131"/>
      <c r="BC5" s="131"/>
      <c r="BD5" s="131"/>
      <c r="BE5" s="131"/>
      <c r="BF5" s="131"/>
      <c r="BG5" s="131"/>
      <c r="BH5" s="131"/>
      <c r="BI5" s="131"/>
      <c r="BJ5" s="131"/>
      <c r="BK5" s="131"/>
      <c r="BL5" s="131"/>
      <c r="BM5" s="131"/>
      <c r="BN5" s="131"/>
      <c r="BO5" s="131"/>
      <c r="BP5" s="131"/>
      <c r="BQ5" s="131"/>
      <c r="BR5" s="131"/>
      <c r="BS5" s="131"/>
      <c r="BT5" s="131"/>
      <c r="BU5" s="131"/>
      <c r="BV5" s="131"/>
      <c r="BW5" s="131"/>
      <c r="BX5" s="131"/>
      <c r="BY5" s="131"/>
      <c r="BZ5" s="131"/>
      <c r="CA5" s="131"/>
      <c r="CB5" s="131"/>
      <c r="CC5" s="131"/>
      <c r="CD5" s="131"/>
      <c r="CE5" s="131"/>
      <c r="CF5" s="131"/>
      <c r="CG5" s="131"/>
      <c r="CH5" s="131"/>
      <c r="CI5" s="131"/>
      <c r="CJ5" s="131"/>
      <c r="CK5" s="131"/>
      <c r="CL5" s="131"/>
      <c r="CM5" s="131"/>
      <c r="CN5" s="131"/>
      <c r="CO5" s="131"/>
      <c r="CP5" s="131"/>
      <c r="CQ5" s="131"/>
      <c r="CR5" s="131"/>
      <c r="CS5" s="131"/>
      <c r="CT5" s="131"/>
      <c r="CU5" s="131"/>
      <c r="CV5" s="131"/>
      <c r="CW5" s="131"/>
      <c r="CX5" s="131"/>
      <c r="CY5" s="131"/>
      <c r="CZ5" s="131"/>
      <c r="DA5" s="131"/>
      <c r="DB5" s="131"/>
      <c r="DC5" s="131"/>
      <c r="DD5" s="131"/>
      <c r="DE5" s="131"/>
      <c r="DF5" s="131"/>
      <c r="DG5" s="131"/>
      <c r="DH5" s="131"/>
      <c r="DI5" s="131"/>
      <c r="DJ5" s="131"/>
      <c r="DK5" s="131"/>
      <c r="DL5" s="131"/>
      <c r="DM5" s="131"/>
      <c r="DN5" s="131"/>
      <c r="DO5" s="131"/>
      <c r="DP5" s="131"/>
      <c r="DQ5" s="131"/>
      <c r="DR5" s="131"/>
      <c r="DS5" s="131"/>
      <c r="DT5" s="131"/>
      <c r="DU5" s="131"/>
      <c r="DV5" s="131"/>
      <c r="DW5" s="131"/>
      <c r="DX5" s="131"/>
      <c r="DY5" s="131"/>
      <c r="DZ5" s="131"/>
      <c r="EA5" s="131"/>
      <c r="EB5" s="131"/>
      <c r="EC5" s="131"/>
      <c r="ED5" s="131"/>
      <c r="EE5" s="131"/>
      <c r="EF5" s="131"/>
      <c r="EG5" s="131"/>
      <c r="EH5" s="131"/>
      <c r="EI5" s="131"/>
      <c r="EJ5" s="131"/>
      <c r="EK5" s="131"/>
      <c r="EL5" s="131"/>
      <c r="EM5" s="131"/>
      <c r="EN5" s="131"/>
      <c r="EO5" s="131"/>
      <c r="EP5" s="131"/>
      <c r="EQ5" s="131"/>
      <c r="ER5" s="131"/>
      <c r="ES5" s="131"/>
      <c r="ET5" s="131"/>
      <c r="EU5" s="131"/>
      <c r="EV5" s="131"/>
      <c r="EW5" s="131"/>
      <c r="EX5" s="131"/>
      <c r="EY5" s="131"/>
      <c r="EZ5" s="131"/>
      <c r="FA5" s="131"/>
      <c r="FB5" s="131"/>
      <c r="FC5" s="131"/>
      <c r="FD5" s="131"/>
      <c r="FE5" s="131"/>
      <c r="FF5" s="131"/>
      <c r="FG5" s="131"/>
      <c r="FH5" s="131"/>
      <c r="FI5" s="131"/>
      <c r="FJ5" s="131"/>
      <c r="FK5" s="131"/>
      <c r="FL5" s="131"/>
      <c r="FM5" s="131"/>
      <c r="FN5" s="131"/>
      <c r="FO5" s="131"/>
      <c r="FP5" s="131"/>
      <c r="FQ5" s="131"/>
      <c r="FR5" s="131"/>
      <c r="FS5" s="131"/>
      <c r="FT5" s="131"/>
      <c r="FU5" s="131"/>
      <c r="FV5" s="131"/>
      <c r="FW5" s="131"/>
      <c r="FX5" s="131"/>
      <c r="FY5" s="131"/>
      <c r="FZ5" s="131"/>
      <c r="GA5" s="131"/>
      <c r="GB5" s="131"/>
      <c r="GC5" s="131"/>
      <c r="GD5" s="131"/>
      <c r="GE5" s="131"/>
      <c r="GF5" s="131"/>
      <c r="GG5" s="131"/>
      <c r="GH5" s="131"/>
      <c r="GI5" s="131"/>
      <c r="GJ5" s="131"/>
      <c r="GK5" s="131"/>
      <c r="GL5" s="131"/>
      <c r="GM5" s="131"/>
      <c r="GN5" s="131"/>
      <c r="GO5" s="131"/>
      <c r="GP5" s="131"/>
      <c r="GQ5" s="131"/>
      <c r="GR5" s="131"/>
      <c r="GS5" s="131"/>
      <c r="GT5" s="131"/>
      <c r="GU5" s="131"/>
      <c r="GV5" s="131"/>
      <c r="GW5" s="131"/>
      <c r="GX5" s="131"/>
      <c r="GY5" s="131"/>
      <c r="GZ5" s="131"/>
      <c r="HA5" s="131"/>
      <c r="HB5" s="131"/>
      <c r="HC5" s="131"/>
      <c r="HD5" s="131"/>
      <c r="HE5" s="131"/>
      <c r="HF5" s="131"/>
      <c r="HG5" s="131"/>
      <c r="HH5" s="131"/>
      <c r="HI5" s="131"/>
      <c r="HJ5" s="131"/>
      <c r="HK5" s="131"/>
      <c r="HL5" s="131"/>
      <c r="HM5" s="131"/>
      <c r="HN5" s="131"/>
      <c r="HO5" s="131"/>
      <c r="HP5" s="131"/>
      <c r="HQ5" s="131"/>
      <c r="HR5" s="131"/>
      <c r="HS5" s="131"/>
      <c r="HT5" s="131"/>
      <c r="HU5" s="131"/>
      <c r="HV5" s="131"/>
      <c r="HW5" s="131"/>
      <c r="HX5" s="131"/>
      <c r="HY5" s="131"/>
      <c r="HZ5" s="131"/>
      <c r="IA5" s="131"/>
      <c r="IB5" s="131"/>
      <c r="IC5" s="131"/>
      <c r="ID5" s="131"/>
      <c r="IE5" s="131"/>
      <c r="IF5" s="131"/>
      <c r="IG5" s="131"/>
      <c r="IH5" s="131"/>
      <c r="II5" s="131"/>
      <c r="IJ5" s="131"/>
      <c r="IK5" s="131"/>
      <c r="IL5" s="131"/>
      <c r="IM5" s="131"/>
      <c r="IN5" s="131"/>
      <c r="IO5" s="131"/>
      <c r="IP5" s="131"/>
      <c r="IQ5" s="131"/>
      <c r="IR5" s="131"/>
      <c r="IS5" s="131"/>
      <c r="IT5" s="131"/>
      <c r="IU5" s="131"/>
      <c r="IV5" s="131"/>
      <c r="IW5" s="131"/>
    </row>
    <row r="6" customFormat="false" ht="12.75" hidden="false" customHeight="false" outlineLevel="0" collapsed="false">
      <c r="A6" s="120" t="n">
        <v>36892</v>
      </c>
      <c r="B6" s="131" t="str">
        <f aca="false">INDEX('Master Data'!$A$2:$B$8,MATCH(WEEKDAY('EZE Power Trading'!A6,3),'Master Data'!$A$2:$A$8,0),2)</f>
        <v>M</v>
      </c>
      <c r="D6" s="124" t="n">
        <v>0</v>
      </c>
      <c r="E6" s="124" t="n">
        <v>0</v>
      </c>
      <c r="F6" s="124" t="n">
        <v>0</v>
      </c>
      <c r="G6" s="124" t="n">
        <v>0</v>
      </c>
      <c r="I6" s="124" t="n">
        <f aca="false">G6</f>
        <v>0</v>
      </c>
      <c r="J6" s="124" t="n">
        <f aca="false">I6</f>
        <v>0</v>
      </c>
      <c r="K6" s="124" t="n">
        <f aca="false">IF(WEEKDAY(A6,3)&gt;4,0,(IF(A6&lt;K$2,0,IF(A6&lt;=K$3,1,0))))</f>
        <v>0</v>
      </c>
      <c r="L6" s="124" t="n">
        <f aca="false">J6*K6</f>
        <v>0</v>
      </c>
      <c r="M6" s="124" t="n">
        <f aca="false">SUM(J$6:J6)</f>
        <v>0</v>
      </c>
      <c r="N6" s="124" t="n">
        <f aca="false">SUM(J$6:J6)</f>
        <v>0</v>
      </c>
      <c r="P6" s="124" t="n">
        <f aca="false">D6/P$3</f>
        <v>0</v>
      </c>
      <c r="Q6" s="124" t="n">
        <f aca="false">E6/P$3</f>
        <v>0</v>
      </c>
      <c r="R6" s="124" t="n">
        <f aca="false">F6/R$3</f>
        <v>0</v>
      </c>
      <c r="S6" s="126" t="n">
        <f aca="false">J6/$R$3</f>
        <v>0</v>
      </c>
      <c r="T6" s="126" t="n">
        <f aca="false">L6/$R$3</f>
        <v>0</v>
      </c>
      <c r="U6" s="126" t="n">
        <f aca="false">I6/$R$3</f>
        <v>0</v>
      </c>
      <c r="V6" s="126" t="n">
        <f aca="false">M6/$R$3</f>
        <v>0</v>
      </c>
      <c r="W6" s="126" t="n">
        <f aca="false">N6/$R$3</f>
        <v>0</v>
      </c>
    </row>
    <row r="7" customFormat="false" ht="12.75" hidden="true" customHeight="false" outlineLevel="0" collapsed="false">
      <c r="A7" s="120" t="n">
        <f aca="false">A6+1</f>
        <v>36893</v>
      </c>
      <c r="B7" s="131" t="str">
        <f aca="false">INDEX('Master Data'!$A$2:$B$8,MATCH(WEEKDAY('EZE Power Trading'!A7,3),'Master Data'!$A$2:$A$8,0),2)</f>
        <v>T</v>
      </c>
      <c r="D7" s="124" t="n">
        <v>-86178</v>
      </c>
      <c r="E7" s="124" t="n">
        <v>86178</v>
      </c>
      <c r="F7" s="124" t="n">
        <v>0</v>
      </c>
      <c r="G7" s="124" t="n">
        <v>-1547.23795038168</v>
      </c>
      <c r="I7" s="124" t="n">
        <f aca="false">IF(MONTH($A7)=MONTH($A6),IF(G7=0,I6,G7),0)</f>
        <v>-1547.23795038168</v>
      </c>
      <c r="J7" s="147" t="n">
        <f aca="false">IF(MONTH($A7)=MONTH($A6),SUM(I7-I6),I7)</f>
        <v>-1547.23795038168</v>
      </c>
      <c r="K7" s="124" t="n">
        <f aca="false">IF(WEEKDAY(A7,3)&gt;4,0,(IF(A7&lt;K$2,0,IF(A7&lt;=K$3,1,0))))</f>
        <v>0</v>
      </c>
      <c r="L7" s="124" t="n">
        <f aca="false">J7*K7</f>
        <v>-0</v>
      </c>
      <c r="M7" s="124" t="n">
        <f aca="false">SUM(J$6:J7)</f>
        <v>-1547.23795038168</v>
      </c>
      <c r="N7" s="124" t="n">
        <f aca="false">SUM(J$6:J7)</f>
        <v>-1547.23795038168</v>
      </c>
      <c r="P7" s="124" t="n">
        <f aca="false">D7/P$3</f>
        <v>-0.086178</v>
      </c>
      <c r="Q7" s="124" t="n">
        <f aca="false">E7/P$3</f>
        <v>0.086178</v>
      </c>
      <c r="R7" s="124" t="n">
        <f aca="false">F7/R$3</f>
        <v>0</v>
      </c>
      <c r="S7" s="126" t="n">
        <f aca="false">J7/$R$3</f>
        <v>-1.54723795038168</v>
      </c>
      <c r="T7" s="126" t="n">
        <f aca="false">L7/$R$3</f>
        <v>-0</v>
      </c>
      <c r="U7" s="126" t="n">
        <f aca="false">I7/$R$3</f>
        <v>-1.54723795038168</v>
      </c>
      <c r="V7" s="126" t="n">
        <f aca="false">M7/$R$3</f>
        <v>-1.54723795038168</v>
      </c>
      <c r="W7" s="126" t="n">
        <f aca="false">N7/$R$3</f>
        <v>-1.54723795038168</v>
      </c>
    </row>
    <row r="8" customFormat="false" ht="12.75" hidden="true" customHeight="false" outlineLevel="0" collapsed="false">
      <c r="A8" s="120" t="n">
        <f aca="false">A7+1</f>
        <v>36894</v>
      </c>
      <c r="B8" s="131" t="str">
        <f aca="false">INDEX('Master Data'!$A$2:$B$8,MATCH(WEEKDAY('EZE Power Trading'!A8,3),'Master Data'!$A$2:$A$8,0),2)</f>
        <v>W</v>
      </c>
      <c r="D8" s="124" t="n">
        <v>-84042</v>
      </c>
      <c r="E8" s="124" t="n">
        <v>84042</v>
      </c>
      <c r="F8" s="124" t="n">
        <v>0</v>
      </c>
      <c r="G8" s="124" t="n">
        <v>3136.17204961832</v>
      </c>
      <c r="I8" s="124" t="n">
        <f aca="false">IF(MONTH($A8)=MONTH($A7),IF(G8=0,I7,G8),0)</f>
        <v>3136.17204961832</v>
      </c>
      <c r="J8" s="147" t="n">
        <f aca="false">IF(MONTH($A8)=MONTH($A7),SUM(I8-I7),I8)</f>
        <v>4683.41</v>
      </c>
      <c r="K8" s="124" t="n">
        <f aca="false">IF(WEEKDAY(A8,3)&gt;4,0,(IF(A8&lt;K$2,0,IF(A8&lt;=K$3,1,0))))</f>
        <v>0</v>
      </c>
      <c r="L8" s="124" t="n">
        <f aca="false">J8*K8</f>
        <v>0</v>
      </c>
      <c r="M8" s="124" t="n">
        <f aca="false">SUM(J$6:J8)</f>
        <v>3136.17204961832</v>
      </c>
      <c r="N8" s="124" t="n">
        <f aca="false">SUM(J$6:J8)</f>
        <v>3136.17204961832</v>
      </c>
      <c r="P8" s="124" t="n">
        <f aca="false">D8/P$3</f>
        <v>-0.084042</v>
      </c>
      <c r="Q8" s="124" t="n">
        <f aca="false">E8/P$3</f>
        <v>0.084042</v>
      </c>
      <c r="R8" s="124" t="n">
        <f aca="false">F8/R$3</f>
        <v>0</v>
      </c>
      <c r="S8" s="126" t="n">
        <f aca="false">J8/$R$3</f>
        <v>4.68341</v>
      </c>
      <c r="T8" s="126" t="n">
        <f aca="false">L8/$R$3</f>
        <v>0</v>
      </c>
      <c r="U8" s="126" t="n">
        <f aca="false">I8/$R$3</f>
        <v>3.13617204961832</v>
      </c>
      <c r="V8" s="126" t="n">
        <f aca="false">M8/$R$3</f>
        <v>3.13617204961832</v>
      </c>
      <c r="W8" s="126" t="n">
        <f aca="false">N8/$R$3</f>
        <v>3.13617204961832</v>
      </c>
    </row>
    <row r="9" customFormat="false" ht="12.75" hidden="true" customHeight="false" outlineLevel="0" collapsed="false">
      <c r="A9" s="120" t="n">
        <f aca="false">A8+1</f>
        <v>36895</v>
      </c>
      <c r="B9" s="131" t="str">
        <f aca="false">INDEX('Master Data'!$A$2:$B$8,MATCH(WEEKDAY('EZE Power Trading'!A9,3),'Master Data'!$A$2:$A$8,0),2)</f>
        <v>Th</v>
      </c>
      <c r="D9" s="124" t="n">
        <v>-81902</v>
      </c>
      <c r="E9" s="124" t="n">
        <v>81902</v>
      </c>
      <c r="F9" s="124" t="n">
        <v>0</v>
      </c>
      <c r="G9" s="124" t="n">
        <v>4472.16</v>
      </c>
      <c r="I9" s="124" t="n">
        <f aca="false">IF(MONTH($A9)=MONTH($A8),IF(G9=0,I8,G9),0)</f>
        <v>4472.16</v>
      </c>
      <c r="J9" s="147" t="n">
        <f aca="false">IF(MONTH($A9)=MONTH($A8),SUM(I9-I8),I9)</f>
        <v>1335.98795038168</v>
      </c>
      <c r="K9" s="124" t="n">
        <f aca="false">IF(WEEKDAY(A9,3)&gt;4,0,(IF(A9&lt;K$2,0,IF(A9&lt;=K$3,1,0))))</f>
        <v>0</v>
      </c>
      <c r="L9" s="124" t="n">
        <f aca="false">J9*K9</f>
        <v>0</v>
      </c>
      <c r="M9" s="124" t="n">
        <f aca="false">SUM(J$6:J9)</f>
        <v>4472.16</v>
      </c>
      <c r="N9" s="124" t="n">
        <f aca="false">SUM(J$6:J9)</f>
        <v>4472.16</v>
      </c>
      <c r="P9" s="124" t="n">
        <f aca="false">D9/P$3</f>
        <v>-0.081902</v>
      </c>
      <c r="Q9" s="124" t="n">
        <f aca="false">E9/P$3</f>
        <v>0.081902</v>
      </c>
      <c r="R9" s="124" t="n">
        <f aca="false">F9/R$3</f>
        <v>0</v>
      </c>
      <c r="S9" s="126" t="n">
        <f aca="false">J9/$R$3</f>
        <v>1.33598795038168</v>
      </c>
      <c r="T9" s="126" t="n">
        <f aca="false">L9/$R$3</f>
        <v>0</v>
      </c>
      <c r="U9" s="126" t="n">
        <f aca="false">I9/$R$3</f>
        <v>4.47216</v>
      </c>
      <c r="V9" s="126" t="n">
        <f aca="false">M9/$R$3</f>
        <v>4.47216</v>
      </c>
      <c r="W9" s="126" t="n">
        <f aca="false">N9/$R$3</f>
        <v>4.47216</v>
      </c>
    </row>
    <row r="10" customFormat="false" ht="12.75" hidden="true" customHeight="false" outlineLevel="0" collapsed="false">
      <c r="A10" s="120" t="n">
        <f aca="false">A9+1</f>
        <v>36896</v>
      </c>
      <c r="B10" s="131" t="str">
        <f aca="false">INDEX('Master Data'!$A$2:$B$8,MATCH(WEEKDAY('EZE Power Trading'!A10,3),'Master Data'!$A$2:$A$8,0),2)</f>
        <v>F</v>
      </c>
      <c r="D10" s="124" t="n">
        <v>-79750</v>
      </c>
      <c r="E10" s="124" t="n">
        <v>79750</v>
      </c>
      <c r="F10" s="124" t="n">
        <v>0</v>
      </c>
      <c r="G10" s="124" t="n">
        <v>1326.37204961832</v>
      </c>
      <c r="I10" s="124" t="n">
        <f aca="false">IF(MONTH($A10)=MONTH($A9),IF(G10=0,I9,G10),0)</f>
        <v>1326.37204961832</v>
      </c>
      <c r="J10" s="124" t="n">
        <f aca="false">IF(MONTH($A10)=MONTH($A9),SUM(I10-I9),I10)</f>
        <v>-3145.78795038168</v>
      </c>
      <c r="K10" s="124" t="n">
        <f aca="false">IF(WEEKDAY(A10,3)&gt;4,0,(IF(A10&lt;K$2,0,IF(A10&lt;=K$3,1,0))))</f>
        <v>0</v>
      </c>
      <c r="L10" s="124" t="n">
        <f aca="false">J10*K10</f>
        <v>-0</v>
      </c>
      <c r="M10" s="124" t="n">
        <f aca="false">SUM(J$6:J10)</f>
        <v>1326.37204961832</v>
      </c>
      <c r="N10" s="124" t="n">
        <f aca="false">SUM(J$6:J10)</f>
        <v>1326.37204961832</v>
      </c>
      <c r="P10" s="124" t="n">
        <f aca="false">D10/P$3</f>
        <v>-0.07975</v>
      </c>
      <c r="Q10" s="124" t="n">
        <f aca="false">E10/P$3</f>
        <v>0.07975</v>
      </c>
      <c r="R10" s="124" t="n">
        <f aca="false">F10/R$3</f>
        <v>0</v>
      </c>
      <c r="S10" s="126" t="n">
        <f aca="false">J10/$R$3</f>
        <v>-3.14578795038168</v>
      </c>
      <c r="T10" s="126" t="n">
        <f aca="false">L10/$R$3</f>
        <v>-0</v>
      </c>
      <c r="U10" s="126" t="n">
        <f aca="false">I10/$R$3</f>
        <v>1.32637204961832</v>
      </c>
      <c r="V10" s="126" t="n">
        <f aca="false">M10/$R$3</f>
        <v>1.32637204961832</v>
      </c>
      <c r="W10" s="126" t="n">
        <f aca="false">N10/$R$3</f>
        <v>1.32637204961832</v>
      </c>
    </row>
    <row r="11" customFormat="false" ht="12.75" hidden="true" customHeight="false" outlineLevel="0" collapsed="false">
      <c r="A11" s="120" t="n">
        <f aca="false">A10+1</f>
        <v>36897</v>
      </c>
      <c r="B11" s="131" t="str">
        <f aca="false">INDEX('Master Data'!$A$2:$B$8,MATCH(WEEKDAY('EZE Power Trading'!A11,3),'Master Data'!$A$2:$A$8,0),2)</f>
        <v>Sa</v>
      </c>
      <c r="D11" s="124" t="n">
        <v>0</v>
      </c>
      <c r="E11" s="124" t="n">
        <v>0</v>
      </c>
      <c r="F11" s="148" t="n">
        <v>0</v>
      </c>
      <c r="G11" s="124" t="n">
        <v>0</v>
      </c>
      <c r="I11" s="124" t="n">
        <f aca="false">IF(MONTH($A11)=MONTH($A10),IF(G11=0,I10,G11),0)</f>
        <v>1326.37204961832</v>
      </c>
      <c r="J11" s="124" t="n">
        <f aca="false">IF(MONTH($A11)=MONTH($A10),SUM(I11-I10),I11)</f>
        <v>0</v>
      </c>
      <c r="K11" s="124" t="n">
        <f aca="false">IF(WEEKDAY(A11,3)&gt;4,0,(IF(A11&lt;K$2,0,IF(A11&lt;=K$3,1,0))))</f>
        <v>0</v>
      </c>
      <c r="L11" s="124" t="n">
        <f aca="false">J11*K11</f>
        <v>0</v>
      </c>
      <c r="M11" s="124" t="n">
        <f aca="false">SUM(J$6:J11)</f>
        <v>1326.37204961832</v>
      </c>
      <c r="N11" s="124" t="n">
        <f aca="false">SUM(J$6:J11)</f>
        <v>1326.37204961832</v>
      </c>
      <c r="P11" s="124" t="n">
        <f aca="false">D11/P$3</f>
        <v>0</v>
      </c>
      <c r="Q11" s="124" t="n">
        <f aca="false">E11/P$3</f>
        <v>0</v>
      </c>
      <c r="R11" s="124" t="n">
        <f aca="false">F11/R$3</f>
        <v>0</v>
      </c>
      <c r="S11" s="126" t="n">
        <f aca="false">J11/$R$3</f>
        <v>0</v>
      </c>
      <c r="T11" s="126" t="n">
        <f aca="false">L11/$R$3</f>
        <v>0</v>
      </c>
      <c r="U11" s="126" t="n">
        <f aca="false">I11/$R$3</f>
        <v>1.32637204961832</v>
      </c>
      <c r="V11" s="126" t="n">
        <f aca="false">M11/$R$3</f>
        <v>1.32637204961832</v>
      </c>
      <c r="W11" s="126" t="n">
        <f aca="false">N11/$R$3</f>
        <v>1.32637204961832</v>
      </c>
    </row>
    <row r="12" customFormat="false" ht="12.75" hidden="true" customHeight="false" outlineLevel="0" collapsed="false">
      <c r="A12" s="120" t="n">
        <f aca="false">A11+1</f>
        <v>36898</v>
      </c>
      <c r="B12" s="131" t="str">
        <f aca="false">INDEX('Master Data'!$A$2:$B$8,MATCH(WEEKDAY('EZE Power Trading'!A12,3),'Master Data'!$A$2:$A$8,0),2)</f>
        <v>Su</v>
      </c>
      <c r="D12" s="124" t="n">
        <v>0</v>
      </c>
      <c r="E12" s="124" t="n">
        <v>0</v>
      </c>
      <c r="F12" s="124" t="n">
        <v>0</v>
      </c>
      <c r="G12" s="124" t="n">
        <v>0</v>
      </c>
      <c r="I12" s="124" t="n">
        <f aca="false">IF(MONTH($A12)=MONTH($A11),IF(G12=0,I11,G12),0)</f>
        <v>1326.37204961832</v>
      </c>
      <c r="J12" s="124" t="n">
        <f aca="false">IF(MONTH($A12)=MONTH($A11),SUM(I12-I11),I12)</f>
        <v>0</v>
      </c>
      <c r="K12" s="124" t="n">
        <f aca="false">IF(WEEKDAY(A12,3)&gt;4,0,(IF(A12&lt;K$2,0,IF(A12&lt;=K$3,1,0))))</f>
        <v>0</v>
      </c>
      <c r="L12" s="124" t="n">
        <f aca="false">J12*K12</f>
        <v>0</v>
      </c>
      <c r="M12" s="124" t="n">
        <f aca="false">SUM(J$6:J12)</f>
        <v>1326.37204961832</v>
      </c>
      <c r="N12" s="124" t="n">
        <f aca="false">SUM(J$6:J12)</f>
        <v>1326.37204961832</v>
      </c>
      <c r="P12" s="124" t="n">
        <f aca="false">D12/P$3</f>
        <v>0</v>
      </c>
      <c r="Q12" s="124" t="n">
        <f aca="false">E12/P$3</f>
        <v>0</v>
      </c>
      <c r="R12" s="124" t="n">
        <f aca="false">F12/R$3</f>
        <v>0</v>
      </c>
      <c r="S12" s="126" t="n">
        <f aca="false">J12/$R$3</f>
        <v>0</v>
      </c>
      <c r="T12" s="126" t="n">
        <f aca="false">L12/$R$3</f>
        <v>0</v>
      </c>
      <c r="U12" s="126" t="n">
        <f aca="false">I12/$R$3</f>
        <v>1.32637204961832</v>
      </c>
      <c r="V12" s="126" t="n">
        <f aca="false">M12/$R$3</f>
        <v>1.32637204961832</v>
      </c>
      <c r="W12" s="126" t="n">
        <f aca="false">N12/$R$3</f>
        <v>1.32637204961832</v>
      </c>
    </row>
    <row r="13" customFormat="false" ht="12.75" hidden="true" customHeight="false" outlineLevel="0" collapsed="false">
      <c r="A13" s="120" t="n">
        <f aca="false">A12+1</f>
        <v>36899</v>
      </c>
      <c r="B13" s="131" t="str">
        <f aca="false">INDEX('Master Data'!$A$2:$B$8,MATCH(WEEKDAY('EZE Power Trading'!A13,3),'Master Data'!$A$2:$A$8,0),2)</f>
        <v>M</v>
      </c>
      <c r="D13" s="124" t="n">
        <v>-73535</v>
      </c>
      <c r="E13" s="124" t="n">
        <v>73535</v>
      </c>
      <c r="F13" s="124" t="n">
        <v>0</v>
      </c>
      <c r="G13" s="124" t="n">
        <v>2802.98204961832</v>
      </c>
      <c r="I13" s="124" t="n">
        <f aca="false">IF(MONTH($A13)=MONTH($A12),IF(G13=0,I12,G13),0)</f>
        <v>2802.98204961832</v>
      </c>
      <c r="J13" s="124" t="n">
        <f aca="false">IF(MONTH($A13)=MONTH($A12),SUM(I13-I12),I13)</f>
        <v>1476.61</v>
      </c>
      <c r="K13" s="124" t="n">
        <f aca="false">IF(WEEKDAY(A13,3)&gt;4,0,(IF(A13&lt;K$2,0,IF(A13&lt;=K$3,1,0))))</f>
        <v>0</v>
      </c>
      <c r="L13" s="124" t="n">
        <f aca="false">J13*K13</f>
        <v>0</v>
      </c>
      <c r="M13" s="124" t="n">
        <f aca="false">SUM(J$6:J13)</f>
        <v>2802.98204961832</v>
      </c>
      <c r="N13" s="124" t="n">
        <f aca="false">SUM(J$6:J13)</f>
        <v>2802.98204961832</v>
      </c>
      <c r="P13" s="124" t="n">
        <f aca="false">D13/P$3</f>
        <v>-0.073535</v>
      </c>
      <c r="Q13" s="124" t="n">
        <f aca="false">E13/P$3</f>
        <v>0.073535</v>
      </c>
      <c r="R13" s="124" t="n">
        <f aca="false">F13/R$3</f>
        <v>0</v>
      </c>
      <c r="S13" s="126" t="n">
        <f aca="false">J13/$R$3</f>
        <v>1.47661</v>
      </c>
      <c r="T13" s="126" t="n">
        <f aca="false">L13/$R$3</f>
        <v>0</v>
      </c>
      <c r="U13" s="126" t="n">
        <f aca="false">I13/$R$3</f>
        <v>2.80298204961832</v>
      </c>
      <c r="V13" s="126" t="n">
        <f aca="false">M13/$R$3</f>
        <v>2.80298204961832</v>
      </c>
      <c r="W13" s="126" t="n">
        <f aca="false">N13/$R$3</f>
        <v>2.80298204961832</v>
      </c>
    </row>
    <row r="14" customFormat="false" ht="12.75" hidden="true" customHeight="false" outlineLevel="0" collapsed="false">
      <c r="A14" s="120" t="n">
        <f aca="false">A13+1</f>
        <v>36900</v>
      </c>
      <c r="B14" s="131" t="str">
        <f aca="false">INDEX('Master Data'!$A$2:$B$8,MATCH(WEEKDAY('EZE Power Trading'!A14,3),'Master Data'!$A$2:$A$8,0),2)</f>
        <v>T</v>
      </c>
      <c r="D14" s="124" t="n">
        <v>-71385</v>
      </c>
      <c r="E14" s="124" t="n">
        <v>71385</v>
      </c>
      <c r="F14" s="124" t="n">
        <v>0</v>
      </c>
      <c r="G14" s="124" t="n">
        <v>10198.5820496183</v>
      </c>
      <c r="I14" s="124" t="n">
        <f aca="false">IF(MONTH($A14)=MONTH($A13),IF(G14=0,I13,G14),0)</f>
        <v>10198.5820496183</v>
      </c>
      <c r="J14" s="124" t="n">
        <f aca="false">IF(MONTH($A14)=MONTH($A13),SUM(I14-I13),I14)</f>
        <v>7395.6</v>
      </c>
      <c r="K14" s="124" t="n">
        <f aca="false">IF(WEEKDAY(A14,3)&gt;4,0,(IF(A14&lt;K$2,0,IF(A14&lt;=K$3,1,0))))</f>
        <v>0</v>
      </c>
      <c r="L14" s="124" t="n">
        <f aca="false">J14*K14</f>
        <v>0</v>
      </c>
      <c r="M14" s="124" t="n">
        <f aca="false">SUM(J$6:J14)</f>
        <v>10198.5820496183</v>
      </c>
      <c r="N14" s="124" t="n">
        <f aca="false">SUM(J$6:J14)</f>
        <v>10198.5820496183</v>
      </c>
      <c r="P14" s="124" t="n">
        <f aca="false">D14/P$3</f>
        <v>-0.071385</v>
      </c>
      <c r="Q14" s="124" t="n">
        <f aca="false">E14/P$3</f>
        <v>0.071385</v>
      </c>
      <c r="R14" s="124" t="n">
        <f aca="false">F14/R$3</f>
        <v>0</v>
      </c>
      <c r="S14" s="126" t="n">
        <f aca="false">J14/$R$3</f>
        <v>7.3956</v>
      </c>
      <c r="T14" s="126" t="n">
        <f aca="false">L14/$R$3</f>
        <v>0</v>
      </c>
      <c r="U14" s="126" t="n">
        <f aca="false">I14/$R$3</f>
        <v>10.1985820496183</v>
      </c>
      <c r="V14" s="126" t="n">
        <f aca="false">M14/$R$3</f>
        <v>10.1985820496183</v>
      </c>
      <c r="W14" s="126" t="n">
        <f aca="false">N14/$R$3</f>
        <v>10.1985820496183</v>
      </c>
    </row>
    <row r="15" customFormat="false" ht="12.75" hidden="true" customHeight="false" outlineLevel="0" collapsed="false">
      <c r="A15" s="120" t="n">
        <f aca="false">A14+1</f>
        <v>36901</v>
      </c>
      <c r="B15" s="131" t="str">
        <f aca="false">INDEX('Master Data'!$A$2:$B$8,MATCH(WEEKDAY('EZE Power Trading'!A15,3),'Master Data'!$A$2:$A$8,0),2)</f>
        <v>W</v>
      </c>
      <c r="D15" s="124" t="n">
        <v>-69222</v>
      </c>
      <c r="E15" s="124" t="n">
        <v>69222</v>
      </c>
      <c r="F15" s="124" t="n">
        <v>0</v>
      </c>
      <c r="G15" s="124" t="n">
        <v>13514.2420496183</v>
      </c>
      <c r="I15" s="124" t="n">
        <f aca="false">IF(MONTH($A15)=MONTH($A14),IF(G15=0,I14,G15),0)</f>
        <v>13514.2420496183</v>
      </c>
      <c r="J15" s="124" t="n">
        <f aca="false">IF(MONTH($A15)=MONTH($A14),SUM(I15-I14),I15)</f>
        <v>3315.66</v>
      </c>
      <c r="K15" s="124" t="n">
        <f aca="false">IF(WEEKDAY(A15,3)&gt;4,0,(IF(A15&lt;K$2,0,IF(A15&lt;=K$3,1,0))))</f>
        <v>0</v>
      </c>
      <c r="L15" s="124" t="n">
        <f aca="false">J15*K15</f>
        <v>0</v>
      </c>
      <c r="M15" s="124" t="n">
        <f aca="false">SUM(J$6:J15)</f>
        <v>13514.2420496183</v>
      </c>
      <c r="N15" s="124" t="n">
        <f aca="false">SUM(J$6:J15)</f>
        <v>13514.2420496183</v>
      </c>
      <c r="P15" s="124" t="n">
        <f aca="false">D15/P$3</f>
        <v>-0.069222</v>
      </c>
      <c r="Q15" s="124" t="n">
        <f aca="false">E15/P$3</f>
        <v>0.069222</v>
      </c>
      <c r="R15" s="124" t="n">
        <f aca="false">F15/R$3</f>
        <v>0</v>
      </c>
      <c r="S15" s="126" t="n">
        <f aca="false">J15/$R$3</f>
        <v>3.31566</v>
      </c>
      <c r="T15" s="126" t="n">
        <f aca="false">L15/$R$3</f>
        <v>0</v>
      </c>
      <c r="U15" s="126" t="n">
        <f aca="false">I15/$R$3</f>
        <v>13.5142420496183</v>
      </c>
      <c r="V15" s="126" t="n">
        <f aca="false">M15/$R$3</f>
        <v>13.5142420496183</v>
      </c>
      <c r="W15" s="126" t="n">
        <f aca="false">N15/$R$3</f>
        <v>13.5142420496183</v>
      </c>
    </row>
    <row r="16" customFormat="false" ht="12.75" hidden="true" customHeight="false" outlineLevel="0" collapsed="false">
      <c r="A16" s="120" t="n">
        <f aca="false">A15+1</f>
        <v>36902</v>
      </c>
      <c r="B16" s="131" t="str">
        <f aca="false">INDEX('Master Data'!$A$2:$B$8,MATCH(WEEKDAY('EZE Power Trading'!A16,3),'Master Data'!$A$2:$A$8,0),2)</f>
        <v>Th</v>
      </c>
      <c r="D16" s="124" t="n">
        <v>-67060</v>
      </c>
      <c r="E16" s="124" t="n">
        <v>67060</v>
      </c>
      <c r="F16" s="124" t="n">
        <v>0</v>
      </c>
      <c r="G16" s="124" t="n">
        <v>26748.2820496183</v>
      </c>
      <c r="I16" s="124" t="n">
        <f aca="false">IF(MONTH($A16)=MONTH($A15),IF(G16=0,I15,G16),0)</f>
        <v>26748.2820496183</v>
      </c>
      <c r="J16" s="124" t="n">
        <f aca="false">IF(MONTH($A16)=MONTH($A15),SUM(I16-I15),I16)</f>
        <v>13234.04</v>
      </c>
      <c r="K16" s="124" t="n">
        <f aca="false">IF(WEEKDAY(A16,3)&gt;4,0,(IF(A16&lt;K$2,0,IF(A16&lt;=K$3,1,0))))</f>
        <v>0</v>
      </c>
      <c r="L16" s="124" t="n">
        <f aca="false">J16*K16</f>
        <v>0</v>
      </c>
      <c r="M16" s="124" t="n">
        <f aca="false">SUM(J$6:J16)</f>
        <v>26748.2820496183</v>
      </c>
      <c r="N16" s="124" t="n">
        <f aca="false">SUM(J$6:J16)</f>
        <v>26748.2820496183</v>
      </c>
      <c r="P16" s="124" t="n">
        <f aca="false">D16/P$3</f>
        <v>-0.06706</v>
      </c>
      <c r="Q16" s="124" t="n">
        <f aca="false">E16/P$3</f>
        <v>0.06706</v>
      </c>
      <c r="R16" s="124" t="n">
        <f aca="false">F16/R$3</f>
        <v>0</v>
      </c>
      <c r="S16" s="126" t="n">
        <f aca="false">J16/$R$3</f>
        <v>13.23404</v>
      </c>
      <c r="T16" s="126" t="n">
        <f aca="false">L16/$R$3</f>
        <v>0</v>
      </c>
      <c r="U16" s="126" t="n">
        <f aca="false">I16/$R$3</f>
        <v>26.7482820496183</v>
      </c>
      <c r="V16" s="126" t="n">
        <f aca="false">M16/$R$3</f>
        <v>26.7482820496183</v>
      </c>
      <c r="W16" s="126" t="n">
        <f aca="false">N16/$R$3</f>
        <v>26.7482820496183</v>
      </c>
    </row>
    <row r="17" customFormat="false" ht="12.75" hidden="true" customHeight="false" outlineLevel="0" collapsed="false">
      <c r="A17" s="120" t="n">
        <f aca="false">A16+1</f>
        <v>36903</v>
      </c>
      <c r="B17" s="131" t="str">
        <f aca="false">INDEX('Master Data'!$A$2:$B$8,MATCH(WEEKDAY('EZE Power Trading'!A17,3),'Master Data'!$A$2:$A$8,0),2)</f>
        <v>F</v>
      </c>
      <c r="D17" s="124" t="n">
        <v>-64902</v>
      </c>
      <c r="E17" s="124" t="n">
        <v>64902</v>
      </c>
      <c r="F17" s="124" t="n">
        <v>0</v>
      </c>
      <c r="G17" s="124" t="n">
        <v>37838.8120496183</v>
      </c>
      <c r="I17" s="124" t="n">
        <f aca="false">IF(MONTH($A17)=MONTH($A16),IF(G17=0,I16,G17),0)</f>
        <v>37838.8120496183</v>
      </c>
      <c r="J17" s="124" t="n">
        <f aca="false">IF(MONTH($A17)=MONTH($A16),SUM(I17-I16),I17)</f>
        <v>11090.53</v>
      </c>
      <c r="K17" s="124" t="n">
        <f aca="false">IF(WEEKDAY(A17,3)&gt;4,0,(IF(A17&lt;K$2,0,IF(A17&lt;=K$3,1,0))))</f>
        <v>0</v>
      </c>
      <c r="L17" s="124" t="n">
        <f aca="false">J17*K17</f>
        <v>0</v>
      </c>
      <c r="M17" s="124" t="n">
        <f aca="false">SUM(J$6:J17)</f>
        <v>37838.8120496183</v>
      </c>
      <c r="N17" s="124" t="n">
        <f aca="false">SUM(J$6:J17)</f>
        <v>37838.8120496183</v>
      </c>
      <c r="P17" s="124" t="n">
        <f aca="false">D17/P$3</f>
        <v>-0.064902</v>
      </c>
      <c r="Q17" s="124" t="n">
        <f aca="false">E17/P$3</f>
        <v>0.064902</v>
      </c>
      <c r="R17" s="124" t="n">
        <f aca="false">F17/R$3</f>
        <v>0</v>
      </c>
      <c r="S17" s="126" t="n">
        <f aca="false">J17/$R$3</f>
        <v>11.09053</v>
      </c>
      <c r="T17" s="126" t="n">
        <f aca="false">L17/$R$3</f>
        <v>0</v>
      </c>
      <c r="U17" s="126" t="n">
        <f aca="false">I17/$R$3</f>
        <v>37.8388120496183</v>
      </c>
      <c r="V17" s="126" t="n">
        <f aca="false">M17/$R$3</f>
        <v>37.8388120496183</v>
      </c>
      <c r="W17" s="126" t="n">
        <f aca="false">N17/$R$3</f>
        <v>37.8388120496183</v>
      </c>
    </row>
    <row r="18" customFormat="false" ht="12.75" hidden="true" customHeight="false" outlineLevel="0" collapsed="false">
      <c r="A18" s="120" t="n">
        <f aca="false">A17+1</f>
        <v>36904</v>
      </c>
      <c r="B18" s="131" t="str">
        <f aca="false">INDEX('Master Data'!$A$2:$B$8,MATCH(WEEKDAY('EZE Power Trading'!A18,3),'Master Data'!$A$2:$A$8,0),2)</f>
        <v>Sa</v>
      </c>
      <c r="D18" s="124" t="n">
        <v>0</v>
      </c>
      <c r="E18" s="124" t="n">
        <v>0</v>
      </c>
      <c r="F18" s="124" t="n">
        <v>0</v>
      </c>
      <c r="G18" s="124" t="n">
        <v>0</v>
      </c>
      <c r="I18" s="124" t="n">
        <f aca="false">IF(MONTH($A18)=MONTH($A17),IF(G18=0,I17,G18),0)</f>
        <v>37838.8120496183</v>
      </c>
      <c r="J18" s="124" t="n">
        <f aca="false">IF(MONTH($A18)=MONTH($A17),SUM(I18-I17),I18)</f>
        <v>0</v>
      </c>
      <c r="K18" s="124" t="n">
        <f aca="false">IF(WEEKDAY(A18,3)&gt;4,0,(IF(A18&lt;K$2,0,IF(A18&lt;=K$3,1,0))))</f>
        <v>0</v>
      </c>
      <c r="L18" s="124" t="n">
        <f aca="false">J18*K18</f>
        <v>0</v>
      </c>
      <c r="M18" s="124" t="n">
        <f aca="false">SUM(J$6:J18)</f>
        <v>37838.8120496183</v>
      </c>
      <c r="N18" s="124" t="n">
        <f aca="false">SUM(J$6:J18)</f>
        <v>37838.8120496183</v>
      </c>
      <c r="P18" s="124" t="n">
        <f aca="false">D18/P$3</f>
        <v>0</v>
      </c>
      <c r="Q18" s="124" t="n">
        <f aca="false">E18/P$3</f>
        <v>0</v>
      </c>
      <c r="R18" s="124" t="n">
        <f aca="false">F18/R$3</f>
        <v>0</v>
      </c>
      <c r="S18" s="126" t="n">
        <f aca="false">J18/$R$3</f>
        <v>0</v>
      </c>
      <c r="T18" s="126" t="n">
        <f aca="false">L18/$R$3</f>
        <v>0</v>
      </c>
      <c r="U18" s="126" t="n">
        <f aca="false">I18/$R$3</f>
        <v>37.8388120496183</v>
      </c>
      <c r="V18" s="126" t="n">
        <f aca="false">M18/$R$3</f>
        <v>37.8388120496183</v>
      </c>
      <c r="W18" s="126" t="n">
        <f aca="false">N18/$R$3</f>
        <v>37.8388120496183</v>
      </c>
    </row>
    <row r="19" customFormat="false" ht="12.75" hidden="true" customHeight="false" outlineLevel="0" collapsed="false">
      <c r="A19" s="120" t="n">
        <f aca="false">A18+1</f>
        <v>36905</v>
      </c>
      <c r="B19" s="131" t="str">
        <f aca="false">INDEX('Master Data'!$A$2:$B$8,MATCH(WEEKDAY('EZE Power Trading'!A19,3),'Master Data'!$A$2:$A$8,0),2)</f>
        <v>Su</v>
      </c>
      <c r="D19" s="124" t="n">
        <v>0</v>
      </c>
      <c r="E19" s="124" t="n">
        <v>0</v>
      </c>
      <c r="F19" s="124" t="n">
        <v>0</v>
      </c>
      <c r="G19" s="124" t="n">
        <v>0</v>
      </c>
      <c r="I19" s="124" t="n">
        <f aca="false">IF(MONTH($A19)=MONTH($A18),IF(G19=0,I18,G19),0)</f>
        <v>37838.8120496183</v>
      </c>
      <c r="J19" s="124" t="n">
        <f aca="false">IF(MONTH($A19)=MONTH($A18),SUM(I19-I18),I19)</f>
        <v>0</v>
      </c>
      <c r="K19" s="124" t="n">
        <f aca="false">IF(WEEKDAY(A19,3)&gt;4,0,(IF(A19&lt;K$2,0,IF(A19&lt;=K$3,1,0))))</f>
        <v>0</v>
      </c>
      <c r="L19" s="124" t="n">
        <f aca="false">J19*K19</f>
        <v>0</v>
      </c>
      <c r="M19" s="124" t="n">
        <f aca="false">SUM(J$6:J19)</f>
        <v>37838.8120496183</v>
      </c>
      <c r="N19" s="124" t="n">
        <f aca="false">SUM(J$6:J19)</f>
        <v>37838.8120496183</v>
      </c>
      <c r="P19" s="124" t="n">
        <f aca="false">D19/P$3</f>
        <v>0</v>
      </c>
      <c r="Q19" s="124" t="n">
        <f aca="false">E19/P$3</f>
        <v>0</v>
      </c>
      <c r="R19" s="124" t="n">
        <f aca="false">F19/R$3</f>
        <v>0</v>
      </c>
      <c r="S19" s="126" t="n">
        <f aca="false">J19/$R$3</f>
        <v>0</v>
      </c>
      <c r="T19" s="126" t="n">
        <f aca="false">L19/$R$3</f>
        <v>0</v>
      </c>
      <c r="U19" s="126" t="n">
        <f aca="false">I19/$R$3</f>
        <v>37.8388120496183</v>
      </c>
      <c r="V19" s="126" t="n">
        <f aca="false">M19/$R$3</f>
        <v>37.8388120496183</v>
      </c>
      <c r="W19" s="126" t="n">
        <f aca="false">N19/$R$3</f>
        <v>37.8388120496183</v>
      </c>
    </row>
    <row r="20" customFormat="false" ht="12.75" hidden="true" customHeight="false" outlineLevel="0" collapsed="false">
      <c r="A20" s="120" t="n">
        <f aca="false">A19+1</f>
        <v>36906</v>
      </c>
      <c r="B20" s="131" t="str">
        <f aca="false">INDEX('Master Data'!$A$2:$B$8,MATCH(WEEKDAY('EZE Power Trading'!A20,3),'Master Data'!$A$2:$A$8,0),2)</f>
        <v>M</v>
      </c>
      <c r="D20" s="124" t="n">
        <v>0</v>
      </c>
      <c r="E20" s="124" t="n">
        <v>0</v>
      </c>
      <c r="F20" s="124" t="n">
        <v>0</v>
      </c>
      <c r="G20" s="124" t="n">
        <v>0</v>
      </c>
      <c r="I20" s="124" t="n">
        <f aca="false">IF(MONTH($A20)=MONTH($A19),IF(G20=0,I19,G20),0)</f>
        <v>37838.8120496183</v>
      </c>
      <c r="J20" s="124" t="n">
        <f aca="false">IF(MONTH($A20)=MONTH($A19),SUM(I20-I19),I20)</f>
        <v>0</v>
      </c>
      <c r="K20" s="124" t="n">
        <f aca="false">IF(WEEKDAY(A20,3)&gt;4,0,(IF(A20&lt;K$2,0,IF(A20&lt;=K$3,1,0))))</f>
        <v>0</v>
      </c>
      <c r="L20" s="124" t="n">
        <f aca="false">J20*K20</f>
        <v>0</v>
      </c>
      <c r="M20" s="124" t="n">
        <f aca="false">SUM(J$6:J20)</f>
        <v>37838.8120496183</v>
      </c>
      <c r="N20" s="124" t="n">
        <f aca="false">SUM(J$6:J20)</f>
        <v>37838.8120496183</v>
      </c>
      <c r="P20" s="124" t="n">
        <f aca="false">D20/P$3</f>
        <v>0</v>
      </c>
      <c r="Q20" s="124" t="n">
        <f aca="false">E20/P$3</f>
        <v>0</v>
      </c>
      <c r="R20" s="124" t="n">
        <f aca="false">F20/R$3</f>
        <v>0</v>
      </c>
      <c r="S20" s="126" t="n">
        <f aca="false">J20/$R$3</f>
        <v>0</v>
      </c>
      <c r="T20" s="126" t="n">
        <f aca="false">L20/$R$3</f>
        <v>0</v>
      </c>
      <c r="U20" s="126" t="n">
        <f aca="false">I20/$R$3</f>
        <v>37.8388120496183</v>
      </c>
      <c r="V20" s="126" t="n">
        <f aca="false">M20/$R$3</f>
        <v>37.8388120496183</v>
      </c>
      <c r="W20" s="126" t="n">
        <f aca="false">N20/$R$3</f>
        <v>37.8388120496183</v>
      </c>
    </row>
    <row r="21" customFormat="false" ht="12.75" hidden="true" customHeight="false" outlineLevel="0" collapsed="false">
      <c r="A21" s="120" t="n">
        <f aca="false">A20+1</f>
        <v>36907</v>
      </c>
      <c r="B21" s="131" t="str">
        <f aca="false">INDEX('Master Data'!$A$2:$B$8,MATCH(WEEKDAY('EZE Power Trading'!A21,3),'Master Data'!$A$2:$A$8,0),2)</f>
        <v>T</v>
      </c>
      <c r="D21" s="124" t="n">
        <v>-56446</v>
      </c>
      <c r="E21" s="124" t="n">
        <v>56446</v>
      </c>
      <c r="F21" s="124" t="n">
        <v>0</v>
      </c>
      <c r="G21" s="124" t="n">
        <v>108641.852049618</v>
      </c>
      <c r="I21" s="124" t="n">
        <f aca="false">IF(MONTH($A21)=MONTH($A20),IF(G21=0,I20,G21),0)</f>
        <v>108641.852049618</v>
      </c>
      <c r="J21" s="124" t="n">
        <f aca="false">IF(MONTH($A21)=MONTH($A20),SUM(I21-I20),I21)</f>
        <v>70803.04</v>
      </c>
      <c r="K21" s="124" t="n">
        <f aca="false">IF(WEEKDAY(A21,3)&gt;4,0,(IF(A21&lt;K$2,0,IF(A21&lt;=K$3,1,0))))</f>
        <v>0</v>
      </c>
      <c r="L21" s="124" t="n">
        <f aca="false">J21*K21</f>
        <v>0</v>
      </c>
      <c r="M21" s="124" t="n">
        <f aca="false">SUM(J$6:J21)</f>
        <v>108641.852049618</v>
      </c>
      <c r="N21" s="124" t="n">
        <f aca="false">SUM(J$6:J21)</f>
        <v>108641.852049618</v>
      </c>
      <c r="P21" s="124" t="n">
        <f aca="false">D21/P$3</f>
        <v>-0.056446</v>
      </c>
      <c r="Q21" s="124" t="n">
        <f aca="false">E21/P$3</f>
        <v>0.056446</v>
      </c>
      <c r="R21" s="124" t="n">
        <f aca="false">F21/R$3</f>
        <v>0</v>
      </c>
      <c r="S21" s="126" t="n">
        <f aca="false">J21/$R$3</f>
        <v>70.80304</v>
      </c>
      <c r="T21" s="126" t="n">
        <f aca="false">L21/$R$3</f>
        <v>0</v>
      </c>
      <c r="U21" s="126" t="n">
        <f aca="false">I21/$R$3</f>
        <v>108.641852049618</v>
      </c>
      <c r="V21" s="126" t="n">
        <f aca="false">M21/$R$3</f>
        <v>108.641852049618</v>
      </c>
      <c r="W21" s="126" t="n">
        <f aca="false">N21/$R$3</f>
        <v>108.641852049618</v>
      </c>
    </row>
    <row r="22" customFormat="false" ht="12.75" hidden="true" customHeight="false" outlineLevel="0" collapsed="false">
      <c r="A22" s="120" t="n">
        <f aca="false">A21+1</f>
        <v>36908</v>
      </c>
      <c r="B22" s="131" t="str">
        <f aca="false">INDEX('Master Data'!$A$2:$B$8,MATCH(WEEKDAY('EZE Power Trading'!A22,3),'Master Data'!$A$2:$A$8,0),2)</f>
        <v>W</v>
      </c>
      <c r="D22" s="124" t="n">
        <v>-54285</v>
      </c>
      <c r="E22" s="124" t="n">
        <v>54285</v>
      </c>
      <c r="F22" s="124" t="n">
        <v>0</v>
      </c>
      <c r="G22" s="124" t="n">
        <v>109688.682049618</v>
      </c>
      <c r="I22" s="124" t="n">
        <f aca="false">IF(MONTH($A22)=MONTH($A21),IF(G22=0,I21,G22),0)</f>
        <v>109688.682049618</v>
      </c>
      <c r="J22" s="124" t="n">
        <f aca="false">IF(MONTH($A22)=MONTH($A21),SUM(I22-I21),I22)</f>
        <v>1046.82999999999</v>
      </c>
      <c r="K22" s="124" t="n">
        <f aca="false">IF(WEEKDAY(A22,3)&gt;4,0,(IF(A22&lt;K$2,0,IF(A22&lt;=K$3,1,0))))</f>
        <v>0</v>
      </c>
      <c r="L22" s="124" t="n">
        <f aca="false">J22*K22</f>
        <v>0</v>
      </c>
      <c r="M22" s="124" t="n">
        <f aca="false">SUM(J$6:J22)</f>
        <v>109688.682049618</v>
      </c>
      <c r="N22" s="124" t="n">
        <f aca="false">SUM(J$6:J22)</f>
        <v>109688.682049618</v>
      </c>
      <c r="P22" s="124" t="n">
        <f aca="false">D22/P$3</f>
        <v>-0.054285</v>
      </c>
      <c r="Q22" s="124" t="n">
        <f aca="false">E22/P$3</f>
        <v>0.054285</v>
      </c>
      <c r="R22" s="124" t="n">
        <f aca="false">F22/R$3</f>
        <v>0</v>
      </c>
      <c r="S22" s="126" t="n">
        <f aca="false">J22/$R$3</f>
        <v>1.04682999999999</v>
      </c>
      <c r="T22" s="126" t="n">
        <f aca="false">L22/$R$3</f>
        <v>0</v>
      </c>
      <c r="U22" s="126" t="n">
        <f aca="false">I22/$R$3</f>
        <v>109.688682049618</v>
      </c>
      <c r="V22" s="126" t="n">
        <f aca="false">M22/$R$3</f>
        <v>109.688682049618</v>
      </c>
      <c r="W22" s="126" t="n">
        <f aca="false">N22/$R$3</f>
        <v>109.688682049618</v>
      </c>
    </row>
    <row r="23" customFormat="false" ht="12.75" hidden="true" customHeight="false" outlineLevel="0" collapsed="false">
      <c r="A23" s="120" t="n">
        <f aca="false">A22+1</f>
        <v>36909</v>
      </c>
      <c r="B23" s="131" t="str">
        <f aca="false">INDEX('Master Data'!$A$2:$B$8,MATCH(WEEKDAY('EZE Power Trading'!A23,3),'Master Data'!$A$2:$A$8,0),2)</f>
        <v>Th</v>
      </c>
      <c r="D23" s="124" t="n">
        <v>-52126</v>
      </c>
      <c r="E23" s="124" t="n">
        <v>52126</v>
      </c>
      <c r="F23" s="124" t="n">
        <v>0</v>
      </c>
      <c r="G23" s="124" t="n">
        <v>118107.492049618</v>
      </c>
      <c r="I23" s="124" t="n">
        <f aca="false">IF(MONTH($A23)=MONTH($A22),IF(G23=0,I22,G23),0)</f>
        <v>118107.492049618</v>
      </c>
      <c r="J23" s="124" t="n">
        <f aca="false">IF(MONTH($A23)=MONTH($A22),SUM(I23-I22),I23)</f>
        <v>8418.81</v>
      </c>
      <c r="K23" s="124" t="n">
        <f aca="false">IF(WEEKDAY(A23,3)&gt;4,0,(IF(A23&lt;K$2,0,IF(A23&lt;=K$3,1,0))))</f>
        <v>0</v>
      </c>
      <c r="L23" s="124" t="n">
        <f aca="false">J23*K23</f>
        <v>0</v>
      </c>
      <c r="M23" s="124" t="n">
        <f aca="false">SUM(J$6:J23)</f>
        <v>118107.492049618</v>
      </c>
      <c r="N23" s="124" t="n">
        <f aca="false">SUM(J$6:J23)</f>
        <v>118107.492049618</v>
      </c>
      <c r="P23" s="124" t="n">
        <f aca="false">D23/P$3</f>
        <v>-0.052126</v>
      </c>
      <c r="Q23" s="124" t="n">
        <f aca="false">E23/P$3</f>
        <v>0.052126</v>
      </c>
      <c r="R23" s="124" t="n">
        <f aca="false">F23/R$3</f>
        <v>0</v>
      </c>
      <c r="S23" s="126" t="n">
        <f aca="false">J23/$R$3</f>
        <v>8.41881</v>
      </c>
      <c r="T23" s="126" t="n">
        <f aca="false">L23/$R$3</f>
        <v>0</v>
      </c>
      <c r="U23" s="126" t="n">
        <f aca="false">I23/$R$3</f>
        <v>118.107492049618</v>
      </c>
      <c r="V23" s="126" t="n">
        <f aca="false">M23/$R$3</f>
        <v>118.107492049618</v>
      </c>
      <c r="W23" s="126" t="n">
        <f aca="false">N23/$R$3</f>
        <v>118.107492049618</v>
      </c>
    </row>
    <row r="24" customFormat="false" ht="12.75" hidden="true" customHeight="false" outlineLevel="0" collapsed="false">
      <c r="A24" s="120" t="n">
        <f aca="false">A23+1</f>
        <v>36910</v>
      </c>
      <c r="B24" s="131" t="str">
        <f aca="false">INDEX('Master Data'!$A$2:$B$8,MATCH(WEEKDAY('EZE Power Trading'!A24,3),'Master Data'!$A$2:$A$8,0),2)</f>
        <v>F</v>
      </c>
      <c r="D24" s="124" t="n">
        <v>-49966</v>
      </c>
      <c r="E24" s="124" t="n">
        <v>49966</v>
      </c>
      <c r="F24" s="124" t="n">
        <v>0</v>
      </c>
      <c r="G24" s="124" t="n">
        <v>122809.112049618</v>
      </c>
      <c r="I24" s="124" t="n">
        <f aca="false">IF(MONTH($A24)=MONTH($A23),IF(G24=0,I23,G24),0)</f>
        <v>122809.112049618</v>
      </c>
      <c r="J24" s="124" t="n">
        <f aca="false">IF(MONTH($A24)=MONTH($A23),SUM(I24-I23),I24)</f>
        <v>4701.62000000002</v>
      </c>
      <c r="K24" s="124" t="n">
        <f aca="false">IF(WEEKDAY(A24,3)&gt;4,0,(IF(A24&lt;K$2,0,IF(A24&lt;=K$3,1,0))))</f>
        <v>0</v>
      </c>
      <c r="L24" s="124" t="n">
        <f aca="false">J24*K24</f>
        <v>0</v>
      </c>
      <c r="M24" s="124" t="n">
        <f aca="false">SUM(J$6:J24)</f>
        <v>122809.112049618</v>
      </c>
      <c r="N24" s="124" t="n">
        <f aca="false">SUM(J$6:J24)</f>
        <v>122809.112049618</v>
      </c>
      <c r="P24" s="124" t="n">
        <f aca="false">D24/P$3</f>
        <v>-0.049966</v>
      </c>
      <c r="Q24" s="124" t="n">
        <f aca="false">E24/P$3</f>
        <v>0.049966</v>
      </c>
      <c r="R24" s="124" t="n">
        <f aca="false">F24/R$3</f>
        <v>0</v>
      </c>
      <c r="S24" s="126" t="n">
        <f aca="false">J24/$R$3</f>
        <v>4.70162000000002</v>
      </c>
      <c r="T24" s="126" t="n">
        <f aca="false">L24/$R$3</f>
        <v>0</v>
      </c>
      <c r="U24" s="126" t="n">
        <f aca="false">I24/$R$3</f>
        <v>122.809112049618</v>
      </c>
      <c r="V24" s="126" t="n">
        <f aca="false">M24/$R$3</f>
        <v>122.809112049618</v>
      </c>
      <c r="W24" s="126" t="n">
        <f aca="false">N24/$R$3</f>
        <v>122.809112049618</v>
      </c>
    </row>
    <row r="25" customFormat="false" ht="12.75" hidden="true" customHeight="false" outlineLevel="0" collapsed="false">
      <c r="A25" s="120" t="n">
        <f aca="false">A24+1</f>
        <v>36911</v>
      </c>
      <c r="B25" s="131" t="str">
        <f aca="false">INDEX('Master Data'!$A$2:$B$8,MATCH(WEEKDAY('EZE Power Trading'!A25,3),'Master Data'!$A$2:$A$8,0),2)</f>
        <v>Sa</v>
      </c>
      <c r="D25" s="124" t="n">
        <v>0</v>
      </c>
      <c r="E25" s="124" t="n">
        <v>0</v>
      </c>
      <c r="F25" s="124" t="n">
        <v>0</v>
      </c>
      <c r="G25" s="124" t="n">
        <v>0</v>
      </c>
      <c r="I25" s="124" t="n">
        <f aca="false">IF(MONTH($A25)=MONTH($A24),IF(G25=0,I24,G25),0)</f>
        <v>122809.112049618</v>
      </c>
      <c r="J25" s="124" t="n">
        <f aca="false">IF(MONTH($A25)=MONTH($A24),SUM(I25-I24),I25)</f>
        <v>0</v>
      </c>
      <c r="K25" s="124" t="n">
        <f aca="false">IF(WEEKDAY(A25,3)&gt;4,0,(IF(A25&lt;K$2,0,IF(A25&lt;=K$3,1,0))))</f>
        <v>0</v>
      </c>
      <c r="L25" s="124" t="n">
        <f aca="false">J25*K25</f>
        <v>0</v>
      </c>
      <c r="M25" s="124" t="n">
        <f aca="false">SUM(J$6:J25)</f>
        <v>122809.112049618</v>
      </c>
      <c r="N25" s="124" t="n">
        <f aca="false">SUM(J$6:J25)</f>
        <v>122809.112049618</v>
      </c>
      <c r="P25" s="124" t="n">
        <f aca="false">D25/P$3</f>
        <v>0</v>
      </c>
      <c r="Q25" s="124" t="n">
        <f aca="false">E25/P$3</f>
        <v>0</v>
      </c>
      <c r="R25" s="124" t="n">
        <f aca="false">F25/R$3</f>
        <v>0</v>
      </c>
      <c r="S25" s="126" t="n">
        <f aca="false">J25/$R$3</f>
        <v>0</v>
      </c>
      <c r="T25" s="126" t="n">
        <f aca="false">L25/$R$3</f>
        <v>0</v>
      </c>
      <c r="U25" s="126" t="n">
        <f aca="false">I25/$R$3</f>
        <v>122.809112049618</v>
      </c>
      <c r="V25" s="126" t="n">
        <f aca="false">M25/$R$3</f>
        <v>122.809112049618</v>
      </c>
      <c r="W25" s="126" t="n">
        <f aca="false">N25/$R$3</f>
        <v>122.809112049618</v>
      </c>
    </row>
    <row r="26" customFormat="false" ht="12.75" hidden="true" customHeight="false" outlineLevel="0" collapsed="false">
      <c r="A26" s="120" t="n">
        <f aca="false">A25+1</f>
        <v>36912</v>
      </c>
      <c r="B26" s="131" t="str">
        <f aca="false">INDEX('Master Data'!$A$2:$B$8,MATCH(WEEKDAY('EZE Power Trading'!A26,3),'Master Data'!$A$2:$A$8,0),2)</f>
        <v>Su</v>
      </c>
      <c r="D26" s="124" t="n">
        <v>0</v>
      </c>
      <c r="E26" s="124" t="n">
        <v>0</v>
      </c>
      <c r="F26" s="124" t="n">
        <v>0</v>
      </c>
      <c r="G26" s="124" t="n">
        <v>0</v>
      </c>
      <c r="I26" s="124" t="n">
        <f aca="false">IF(MONTH($A26)=MONTH($A25),IF(G26=0,I25,G26),0)</f>
        <v>122809.112049618</v>
      </c>
      <c r="J26" s="124" t="n">
        <f aca="false">IF(MONTH($A26)=MONTH($A25),SUM(I26-I25),I26)</f>
        <v>0</v>
      </c>
      <c r="K26" s="124" t="n">
        <f aca="false">IF(WEEKDAY(A26,3)&gt;4,0,(IF(A26&lt;K$2,0,IF(A26&lt;=K$3,1,0))))</f>
        <v>0</v>
      </c>
      <c r="L26" s="124" t="n">
        <f aca="false">J26*K26</f>
        <v>0</v>
      </c>
      <c r="M26" s="124" t="n">
        <f aca="false">SUM(J$6:J26)</f>
        <v>122809.112049618</v>
      </c>
      <c r="N26" s="124" t="n">
        <f aca="false">SUM(J$6:J26)</f>
        <v>122809.112049618</v>
      </c>
      <c r="P26" s="124" t="n">
        <f aca="false">D26/P$3</f>
        <v>0</v>
      </c>
      <c r="Q26" s="124" t="n">
        <f aca="false">E26/P$3</f>
        <v>0</v>
      </c>
      <c r="R26" s="124" t="n">
        <f aca="false">F26/R$3</f>
        <v>0</v>
      </c>
      <c r="S26" s="126" t="n">
        <f aca="false">J26/$R$3</f>
        <v>0</v>
      </c>
      <c r="T26" s="126" t="n">
        <f aca="false">L26/$R$3</f>
        <v>0</v>
      </c>
      <c r="U26" s="126" t="n">
        <f aca="false">I26/$R$3</f>
        <v>122.809112049618</v>
      </c>
      <c r="V26" s="126" t="n">
        <f aca="false">M26/$R$3</f>
        <v>122.809112049618</v>
      </c>
      <c r="W26" s="126" t="n">
        <f aca="false">N26/$R$3</f>
        <v>122.809112049618</v>
      </c>
    </row>
    <row r="27" customFormat="false" ht="12.75" hidden="true" customHeight="false" outlineLevel="0" collapsed="false">
      <c r="A27" s="120" t="n">
        <f aca="false">A26+1</f>
        <v>36913</v>
      </c>
      <c r="B27" s="131" t="str">
        <f aca="false">INDEX('Master Data'!$A$2:$B$8,MATCH(WEEKDAY('EZE Power Trading'!A27,3),'Master Data'!$A$2:$A$8,0),2)</f>
        <v>M</v>
      </c>
      <c r="D27" s="124" t="n">
        <v>-44381</v>
      </c>
      <c r="E27" s="124" t="n">
        <v>44381</v>
      </c>
      <c r="F27" s="124" t="n">
        <v>0</v>
      </c>
      <c r="G27" s="124" t="n">
        <v>147348.462049618</v>
      </c>
      <c r="I27" s="124" t="n">
        <f aca="false">IF(MONTH($A27)=MONTH($A26),IF(G27=0,I26,G27),0)</f>
        <v>147348.462049618</v>
      </c>
      <c r="J27" s="124" t="n">
        <f aca="false">IF(MONTH($A27)=MONTH($A26),SUM(I27-I26),I27)</f>
        <v>24539.35</v>
      </c>
      <c r="K27" s="124" t="n">
        <f aca="false">IF(WEEKDAY(A27,3)&gt;4,0,(IF(A27&lt;K$2,0,IF(A27&lt;=K$3,1,0))))</f>
        <v>0</v>
      </c>
      <c r="L27" s="124" t="n">
        <f aca="false">J27*K27</f>
        <v>0</v>
      </c>
      <c r="M27" s="124" t="n">
        <f aca="false">SUM(J$6:J27)</f>
        <v>147348.462049618</v>
      </c>
      <c r="N27" s="124" t="n">
        <f aca="false">SUM(J$6:J27)</f>
        <v>147348.462049618</v>
      </c>
      <c r="P27" s="124" t="n">
        <f aca="false">D27/P$3</f>
        <v>-0.044381</v>
      </c>
      <c r="Q27" s="124" t="n">
        <f aca="false">E27/P$3</f>
        <v>0.044381</v>
      </c>
      <c r="R27" s="124" t="n">
        <f aca="false">F27/R$3</f>
        <v>0</v>
      </c>
      <c r="S27" s="126" t="n">
        <f aca="false">J27/$R$3</f>
        <v>24.53935</v>
      </c>
      <c r="T27" s="126" t="n">
        <f aca="false">L27/$R$3</f>
        <v>0</v>
      </c>
      <c r="U27" s="126" t="n">
        <f aca="false">I27/$R$3</f>
        <v>147.348462049618</v>
      </c>
      <c r="V27" s="126" t="n">
        <f aca="false">M27/$R$3</f>
        <v>147.348462049618</v>
      </c>
      <c r="W27" s="126" t="n">
        <f aca="false">N27/$R$3</f>
        <v>147.348462049618</v>
      </c>
    </row>
    <row r="28" customFormat="false" ht="12.75" hidden="true" customHeight="false" outlineLevel="0" collapsed="false">
      <c r="A28" s="120" t="n">
        <f aca="false">A27+1</f>
        <v>36914</v>
      </c>
      <c r="B28" s="131" t="str">
        <f aca="false">INDEX('Master Data'!$A$2:$B$8,MATCH(WEEKDAY('EZE Power Trading'!A28,3),'Master Data'!$A$2:$A$8,0),2)</f>
        <v>T</v>
      </c>
      <c r="D28" s="124" t="n">
        <v>-41508</v>
      </c>
      <c r="E28" s="124" t="n">
        <v>41508</v>
      </c>
      <c r="F28" s="124" t="n">
        <v>0</v>
      </c>
      <c r="G28" s="124" t="n">
        <v>155205.722049618</v>
      </c>
      <c r="I28" s="124" t="n">
        <f aca="false">IF(MONTH($A28)=MONTH($A27),IF(G28=0,I27,G28),0)</f>
        <v>155205.722049618</v>
      </c>
      <c r="J28" s="124" t="n">
        <f aca="false">IF(MONTH($A28)=MONTH($A27),SUM(I28-I27),I28)</f>
        <v>7857.26000000001</v>
      </c>
      <c r="K28" s="124" t="n">
        <f aca="false">IF(WEEKDAY(A28,3)&gt;4,0,(IF(A28&lt;K$2,0,IF(A28&lt;=K$3,1,0))))</f>
        <v>0</v>
      </c>
      <c r="L28" s="124" t="n">
        <f aca="false">J28*K28</f>
        <v>0</v>
      </c>
      <c r="M28" s="124" t="n">
        <f aca="false">SUM(J$6:J28)</f>
        <v>155205.722049618</v>
      </c>
      <c r="N28" s="124" t="n">
        <f aca="false">SUM(J$6:J28)</f>
        <v>155205.722049618</v>
      </c>
      <c r="P28" s="124" t="n">
        <f aca="false">D28/P$3</f>
        <v>-0.041508</v>
      </c>
      <c r="Q28" s="124" t="n">
        <f aca="false">E28/P$3</f>
        <v>0.041508</v>
      </c>
      <c r="R28" s="124" t="n">
        <f aca="false">F28/R$3</f>
        <v>0</v>
      </c>
      <c r="S28" s="126" t="n">
        <f aca="false">J28/$R$3</f>
        <v>7.85726000000001</v>
      </c>
      <c r="T28" s="126" t="n">
        <f aca="false">L28/$R$3</f>
        <v>0</v>
      </c>
      <c r="U28" s="126" t="n">
        <f aca="false">I28/$R$3</f>
        <v>155.205722049618</v>
      </c>
      <c r="V28" s="126" t="n">
        <f aca="false">M28/$R$3</f>
        <v>155.205722049618</v>
      </c>
      <c r="W28" s="126" t="n">
        <f aca="false">N28/$R$3</f>
        <v>155.205722049618</v>
      </c>
    </row>
    <row r="29" customFormat="false" ht="12.75" hidden="true" customHeight="false" outlineLevel="0" collapsed="false">
      <c r="A29" s="120" t="n">
        <f aca="false">A28+1</f>
        <v>36915</v>
      </c>
      <c r="B29" s="131" t="str">
        <f aca="false">INDEX('Master Data'!$A$2:$B$8,MATCH(WEEKDAY('EZE Power Trading'!A29,3),'Master Data'!$A$2:$A$8,0),2)</f>
        <v>W</v>
      </c>
      <c r="D29" s="124" t="n">
        <v>-39337</v>
      </c>
      <c r="E29" s="124" t="n">
        <v>39337</v>
      </c>
      <c r="F29" s="124" t="n">
        <v>0</v>
      </c>
      <c r="G29" s="124" t="n">
        <v>142360.822049618</v>
      </c>
      <c r="I29" s="124" t="n">
        <f aca="false">IF(MONTH($A29)=MONTH($A28),IF(G29=0,I28,G29),0)</f>
        <v>142360.822049618</v>
      </c>
      <c r="J29" s="124" t="n">
        <f aca="false">IF(MONTH($A29)=MONTH($A28),SUM(I29-I28),I29)</f>
        <v>-12844.9</v>
      </c>
      <c r="K29" s="124" t="n">
        <f aca="false">IF(WEEKDAY(A29,3)&gt;4,0,(IF(A29&lt;K$2,0,IF(A29&lt;=K$3,1,0))))</f>
        <v>0</v>
      </c>
      <c r="L29" s="124" t="n">
        <f aca="false">J29*K29</f>
        <v>-0</v>
      </c>
      <c r="M29" s="124" t="n">
        <f aca="false">SUM(J$6:J29)</f>
        <v>142360.822049618</v>
      </c>
      <c r="N29" s="124" t="n">
        <f aca="false">SUM(J$6:J29)</f>
        <v>142360.822049618</v>
      </c>
      <c r="P29" s="124" t="n">
        <f aca="false">D29/P$3</f>
        <v>-0.039337</v>
      </c>
      <c r="Q29" s="124" t="n">
        <f aca="false">E29/P$3</f>
        <v>0.039337</v>
      </c>
      <c r="R29" s="124" t="n">
        <f aca="false">F29/R$3</f>
        <v>0</v>
      </c>
      <c r="S29" s="126" t="n">
        <f aca="false">J29/$R$3</f>
        <v>-12.8449</v>
      </c>
      <c r="T29" s="126" t="n">
        <f aca="false">L29/$R$3</f>
        <v>-0</v>
      </c>
      <c r="U29" s="126" t="n">
        <f aca="false">I29/$R$3</f>
        <v>142.360822049618</v>
      </c>
      <c r="V29" s="126" t="n">
        <f aca="false">M29/$R$3</f>
        <v>142.360822049618</v>
      </c>
      <c r="W29" s="126" t="n">
        <f aca="false">N29/$R$3</f>
        <v>142.360822049618</v>
      </c>
    </row>
    <row r="30" customFormat="false" ht="12.75" hidden="true" customHeight="false" outlineLevel="0" collapsed="false">
      <c r="A30" s="120" t="n">
        <f aca="false">A29+1</f>
        <v>36916</v>
      </c>
      <c r="B30" s="131" t="str">
        <f aca="false">INDEX('Master Data'!$A$2:$B$8,MATCH(WEEKDAY('EZE Power Trading'!A30,3),'Master Data'!$A$2:$A$8,0),2)</f>
        <v>Th</v>
      </c>
      <c r="D30" s="124" t="n">
        <v>-37167</v>
      </c>
      <c r="E30" s="124" t="n">
        <v>37167</v>
      </c>
      <c r="F30" s="124" t="n">
        <v>0</v>
      </c>
      <c r="G30" s="124" t="n">
        <v>147092.092049618</v>
      </c>
      <c r="I30" s="124" t="n">
        <f aca="false">IF(MONTH($A30)=MONTH($A29),IF(G30=0,I29,G30),0)</f>
        <v>147092.092049618</v>
      </c>
      <c r="J30" s="124" t="n">
        <f aca="false">IF(MONTH($A30)=MONTH($A29),SUM(I30-I29),I30)</f>
        <v>4731.26999999999</v>
      </c>
      <c r="K30" s="124" t="n">
        <f aca="false">IF(WEEKDAY(A30,3)&gt;4,0,(IF(A30&lt;K$2,0,IF(A30&lt;=K$3,1,0))))</f>
        <v>0</v>
      </c>
      <c r="L30" s="124" t="n">
        <f aca="false">J30*K30</f>
        <v>0</v>
      </c>
      <c r="M30" s="124" t="n">
        <f aca="false">SUM(J$6:J30)</f>
        <v>147092.092049618</v>
      </c>
      <c r="N30" s="124" t="n">
        <f aca="false">SUM(J$6:J30)</f>
        <v>147092.092049618</v>
      </c>
      <c r="P30" s="124" t="n">
        <f aca="false">D30/P$3</f>
        <v>-0.037167</v>
      </c>
      <c r="Q30" s="124" t="n">
        <f aca="false">E30/P$3</f>
        <v>0.037167</v>
      </c>
      <c r="R30" s="124" t="n">
        <f aca="false">F30/R$3</f>
        <v>0</v>
      </c>
      <c r="S30" s="126" t="n">
        <f aca="false">J30/$R$3</f>
        <v>4.73126999999999</v>
      </c>
      <c r="T30" s="126" t="n">
        <f aca="false">L30/$R$3</f>
        <v>0</v>
      </c>
      <c r="U30" s="126" t="n">
        <f aca="false">I30/$R$3</f>
        <v>147.092092049618</v>
      </c>
      <c r="V30" s="126" t="n">
        <f aca="false">M30/$R$3</f>
        <v>147.092092049618</v>
      </c>
      <c r="W30" s="126" t="n">
        <f aca="false">N30/$R$3</f>
        <v>147.092092049618</v>
      </c>
    </row>
    <row r="31" customFormat="false" ht="12.75" hidden="true" customHeight="false" outlineLevel="0" collapsed="false">
      <c r="A31" s="120" t="n">
        <f aca="false">A30+1</f>
        <v>36917</v>
      </c>
      <c r="B31" s="131" t="str">
        <f aca="false">INDEX('Master Data'!$A$2:$B$8,MATCH(WEEKDAY('EZE Power Trading'!A31,3),'Master Data'!$A$2:$A$8,0),2)</f>
        <v>F</v>
      </c>
      <c r="D31" s="124" t="n">
        <v>-34999</v>
      </c>
      <c r="E31" s="124" t="n">
        <v>34999</v>
      </c>
      <c r="F31" s="124" t="n">
        <v>0</v>
      </c>
      <c r="G31" s="124" t="n">
        <v>156820.652049618</v>
      </c>
      <c r="I31" s="124" t="n">
        <f aca="false">IF(MONTH($A31)=MONTH($A30),IF(G31=0,I30,G31),0)</f>
        <v>156820.652049618</v>
      </c>
      <c r="J31" s="124" t="n">
        <f aca="false">IF(MONTH($A31)=MONTH($A30),SUM(I31-I30),I31)</f>
        <v>9728.56</v>
      </c>
      <c r="K31" s="124" t="n">
        <f aca="false">IF(WEEKDAY(A31,3)&gt;4,0,(IF(A31&lt;K$2,0,IF(A31&lt;=K$3,1,0))))</f>
        <v>0</v>
      </c>
      <c r="L31" s="124" t="n">
        <f aca="false">J31*K31</f>
        <v>0</v>
      </c>
      <c r="M31" s="124" t="n">
        <f aca="false">SUM(J$6:J31)</f>
        <v>156820.652049618</v>
      </c>
      <c r="N31" s="124" t="n">
        <f aca="false">SUM(J$6:J31)</f>
        <v>156820.652049618</v>
      </c>
      <c r="P31" s="124" t="n">
        <f aca="false">D31/P$3</f>
        <v>-0.034999</v>
      </c>
      <c r="Q31" s="124" t="n">
        <f aca="false">E31/P$3</f>
        <v>0.034999</v>
      </c>
      <c r="R31" s="124" t="n">
        <f aca="false">F31/R$3</f>
        <v>0</v>
      </c>
      <c r="S31" s="126" t="n">
        <f aca="false">J31/$R$3</f>
        <v>9.72856</v>
      </c>
      <c r="T31" s="126" t="n">
        <f aca="false">L31/$R$3</f>
        <v>0</v>
      </c>
      <c r="U31" s="126" t="n">
        <f aca="false">I31/$R$3</f>
        <v>156.820652049618</v>
      </c>
      <c r="V31" s="126" t="n">
        <f aca="false">M31/$R$3</f>
        <v>156.820652049618</v>
      </c>
      <c r="W31" s="126" t="n">
        <f aca="false">N31/$R$3</f>
        <v>156.820652049618</v>
      </c>
    </row>
    <row r="32" customFormat="false" ht="12.75" hidden="true" customHeight="false" outlineLevel="0" collapsed="false">
      <c r="A32" s="120" t="n">
        <f aca="false">A31+1</f>
        <v>36918</v>
      </c>
      <c r="B32" s="131" t="str">
        <f aca="false">INDEX('Master Data'!$A$2:$B$8,MATCH(WEEKDAY('EZE Power Trading'!A32,3),'Master Data'!$A$2:$A$8,0),2)</f>
        <v>Sa</v>
      </c>
      <c r="D32" s="124" t="n">
        <v>0</v>
      </c>
      <c r="E32" s="124" t="n">
        <v>0</v>
      </c>
      <c r="F32" s="124" t="n">
        <v>0</v>
      </c>
      <c r="G32" s="124" t="n">
        <v>0</v>
      </c>
      <c r="I32" s="124" t="n">
        <f aca="false">IF(MONTH($A32)=MONTH($A31),IF(G32=0,I31,G32),0)</f>
        <v>156820.652049618</v>
      </c>
      <c r="J32" s="124" t="n">
        <f aca="false">IF(MONTH($A32)=MONTH($A31),SUM(I32-I31),I32)</f>
        <v>0</v>
      </c>
      <c r="K32" s="124" t="n">
        <f aca="false">IF(WEEKDAY(A32,3)&gt;4,0,(IF(A32&lt;K$2,0,IF(A32&lt;=K$3,1,0))))</f>
        <v>0</v>
      </c>
      <c r="L32" s="124" t="n">
        <f aca="false">J32*K32</f>
        <v>0</v>
      </c>
      <c r="M32" s="124" t="n">
        <f aca="false">SUM(J$6:J32)</f>
        <v>156820.652049618</v>
      </c>
      <c r="N32" s="124" t="n">
        <f aca="false">SUM(J$6:J32)</f>
        <v>156820.652049618</v>
      </c>
      <c r="P32" s="124" t="n">
        <f aca="false">D32/P$3</f>
        <v>0</v>
      </c>
      <c r="Q32" s="124" t="n">
        <f aca="false">E32/P$3</f>
        <v>0</v>
      </c>
      <c r="R32" s="124" t="n">
        <f aca="false">F32/R$3</f>
        <v>0</v>
      </c>
      <c r="S32" s="126" t="n">
        <f aca="false">J32/$R$3</f>
        <v>0</v>
      </c>
      <c r="T32" s="126" t="n">
        <f aca="false">L32/$R$3</f>
        <v>0</v>
      </c>
      <c r="U32" s="126" t="n">
        <f aca="false">I32/$R$3</f>
        <v>156.820652049618</v>
      </c>
      <c r="V32" s="126" t="n">
        <f aca="false">M32/$R$3</f>
        <v>156.820652049618</v>
      </c>
      <c r="W32" s="126" t="n">
        <f aca="false">N32/$R$3</f>
        <v>156.820652049618</v>
      </c>
    </row>
    <row r="33" customFormat="false" ht="12.75" hidden="true" customHeight="false" outlineLevel="0" collapsed="false">
      <c r="A33" s="120" t="n">
        <f aca="false">A32+1</f>
        <v>36919</v>
      </c>
      <c r="B33" s="131" t="str">
        <f aca="false">INDEX('Master Data'!$A$2:$B$8,MATCH(WEEKDAY('EZE Power Trading'!A33,3),'Master Data'!$A$2:$A$8,0),2)</f>
        <v>Su</v>
      </c>
      <c r="D33" s="124" t="n">
        <v>0</v>
      </c>
      <c r="E33" s="124" t="n">
        <v>0</v>
      </c>
      <c r="F33" s="124" t="n">
        <v>0</v>
      </c>
      <c r="G33" s="124" t="n">
        <v>0</v>
      </c>
      <c r="I33" s="124" t="n">
        <f aca="false">IF(MONTH($A33)=MONTH($A32),IF(G33=0,I32,G33),0)</f>
        <v>156820.652049618</v>
      </c>
      <c r="J33" s="124" t="n">
        <f aca="false">IF(MONTH($A33)=MONTH($A32),SUM(I33-I32),I33)</f>
        <v>0</v>
      </c>
      <c r="K33" s="124" t="n">
        <f aca="false">IF(WEEKDAY(A33,3)&gt;4,0,(IF(A33&lt;K$2,0,IF(A33&lt;=K$3,1,0))))</f>
        <v>0</v>
      </c>
      <c r="L33" s="124" t="n">
        <f aca="false">J33*K33</f>
        <v>0</v>
      </c>
      <c r="M33" s="124" t="n">
        <f aca="false">SUM(J$6:J33)</f>
        <v>156820.652049618</v>
      </c>
      <c r="N33" s="124" t="n">
        <f aca="false">SUM(J$6:J33)</f>
        <v>156820.652049618</v>
      </c>
      <c r="P33" s="124" t="n">
        <f aca="false">D33/P$3</f>
        <v>0</v>
      </c>
      <c r="Q33" s="124" t="n">
        <f aca="false">E33/P$3</f>
        <v>0</v>
      </c>
      <c r="R33" s="124" t="n">
        <f aca="false">F33/R$3</f>
        <v>0</v>
      </c>
      <c r="S33" s="126" t="n">
        <f aca="false">J33/$R$3</f>
        <v>0</v>
      </c>
      <c r="T33" s="126" t="n">
        <f aca="false">L33/$R$3</f>
        <v>0</v>
      </c>
      <c r="U33" s="126" t="n">
        <f aca="false">I33/$R$3</f>
        <v>156.820652049618</v>
      </c>
      <c r="V33" s="126" t="n">
        <f aca="false">M33/$R$3</f>
        <v>156.820652049618</v>
      </c>
      <c r="W33" s="126" t="n">
        <f aca="false">N33/$R$3</f>
        <v>156.820652049618</v>
      </c>
    </row>
    <row r="34" customFormat="false" ht="12.75" hidden="true" customHeight="false" outlineLevel="0" collapsed="false">
      <c r="A34" s="120" t="n">
        <f aca="false">A33+1</f>
        <v>36920</v>
      </c>
      <c r="B34" s="131" t="str">
        <f aca="false">INDEX('Master Data'!$A$2:$B$8,MATCH(WEEKDAY('EZE Power Trading'!A34,3),'Master Data'!$A$2:$A$8,0),2)</f>
        <v>M</v>
      </c>
      <c r="D34" s="124" t="n">
        <v>-28683</v>
      </c>
      <c r="E34" s="124" t="n">
        <v>28683</v>
      </c>
      <c r="F34" s="124" t="n">
        <v>0</v>
      </c>
      <c r="G34" s="124" t="n">
        <v>172226.862049618</v>
      </c>
      <c r="I34" s="124" t="n">
        <f aca="false">IF(MONTH($A34)=MONTH($A33),IF(G34=0,I33,G34),0)</f>
        <v>172226.862049618</v>
      </c>
      <c r="J34" s="124" t="n">
        <f aca="false">IF(MONTH($A34)=MONTH($A33),SUM(I34-I33),I34)</f>
        <v>15406.21</v>
      </c>
      <c r="K34" s="124" t="n">
        <f aca="false">IF(WEEKDAY(A34,3)&gt;4,0,(IF(A34&lt;K$2,0,IF(A34&lt;=K$3,1,0))))</f>
        <v>0</v>
      </c>
      <c r="L34" s="124" t="n">
        <f aca="false">J34*K34</f>
        <v>0</v>
      </c>
      <c r="M34" s="124" t="n">
        <f aca="false">SUM(J$6:J34)</f>
        <v>172226.862049618</v>
      </c>
      <c r="N34" s="124" t="n">
        <f aca="false">SUM(J$6:J34)</f>
        <v>172226.862049618</v>
      </c>
      <c r="P34" s="124" t="n">
        <f aca="false">D34/P$3</f>
        <v>-0.028683</v>
      </c>
      <c r="Q34" s="124" t="n">
        <f aca="false">E34/P$3</f>
        <v>0.028683</v>
      </c>
      <c r="R34" s="124" t="n">
        <f aca="false">F34/R$3</f>
        <v>0</v>
      </c>
      <c r="S34" s="126" t="n">
        <f aca="false">J34/$R$3</f>
        <v>15.40621</v>
      </c>
      <c r="T34" s="126" t="n">
        <f aca="false">L34/$R$3</f>
        <v>0</v>
      </c>
      <c r="U34" s="126" t="n">
        <f aca="false">I34/$R$3</f>
        <v>172.226862049618</v>
      </c>
      <c r="V34" s="126" t="n">
        <f aca="false">M34/$R$3</f>
        <v>172.226862049618</v>
      </c>
      <c r="W34" s="126" t="n">
        <f aca="false">N34/$R$3</f>
        <v>172.226862049618</v>
      </c>
    </row>
    <row r="35" customFormat="false" ht="12.75" hidden="true" customHeight="false" outlineLevel="0" collapsed="false">
      <c r="A35" s="120" t="n">
        <f aca="false">A34+1</f>
        <v>36921</v>
      </c>
      <c r="B35" s="131" t="str">
        <f aca="false">INDEX('Master Data'!$A$2:$B$8,MATCH(WEEKDAY('EZE Power Trading'!A35,3),'Master Data'!$A$2:$A$8,0),2)</f>
        <v>T</v>
      </c>
      <c r="D35" s="124" t="n">
        <v>-26512</v>
      </c>
      <c r="E35" s="124" t="n">
        <v>26512</v>
      </c>
      <c r="F35" s="124" t="n">
        <v>0</v>
      </c>
      <c r="G35" s="124" t="n">
        <v>174499.672049618</v>
      </c>
      <c r="I35" s="124" t="n">
        <f aca="false">IF(MONTH($A35)=MONTH($A34),IF(G35=0,I34,G35),0)</f>
        <v>174499.672049618</v>
      </c>
      <c r="J35" s="124" t="n">
        <f aca="false">IF(MONTH($A35)=MONTH($A34),SUM(I35-I34),I35)</f>
        <v>2272.81</v>
      </c>
      <c r="K35" s="124" t="n">
        <f aca="false">IF(WEEKDAY(A35,3)&gt;4,0,(IF(A35&lt;K$2,0,IF(A35&lt;=K$3,1,0))))</f>
        <v>0</v>
      </c>
      <c r="L35" s="124" t="n">
        <f aca="false">J35*K35</f>
        <v>0</v>
      </c>
      <c r="M35" s="124" t="n">
        <f aca="false">SUM(J$6:J35)</f>
        <v>174499.672049618</v>
      </c>
      <c r="N35" s="124" t="n">
        <f aca="false">SUM(J$6:J35)</f>
        <v>174499.672049618</v>
      </c>
      <c r="P35" s="124" t="n">
        <f aca="false">D35/P$3</f>
        <v>-0.026512</v>
      </c>
      <c r="Q35" s="124" t="n">
        <f aca="false">E35/P$3</f>
        <v>0.026512</v>
      </c>
      <c r="R35" s="124" t="n">
        <f aca="false">F35/R$3</f>
        <v>0</v>
      </c>
      <c r="S35" s="126" t="n">
        <f aca="false">J35/$R$3</f>
        <v>2.27281</v>
      </c>
      <c r="T35" s="126" t="n">
        <f aca="false">L35/$R$3</f>
        <v>0</v>
      </c>
      <c r="U35" s="126" t="n">
        <f aca="false">I35/$R$3</f>
        <v>174.499672049618</v>
      </c>
      <c r="V35" s="126" t="n">
        <f aca="false">M35/$R$3</f>
        <v>174.499672049618</v>
      </c>
      <c r="W35" s="126" t="n">
        <f aca="false">N35/$R$3</f>
        <v>174.499672049618</v>
      </c>
    </row>
    <row r="36" customFormat="false" ht="12.75" hidden="false" customHeight="false" outlineLevel="0" collapsed="false">
      <c r="A36" s="120" t="n">
        <f aca="false">A35+1</f>
        <v>36922</v>
      </c>
      <c r="B36" s="131" t="str">
        <f aca="false">INDEX('Master Data'!$A$2:$B$8,MATCH(WEEKDAY('EZE Power Trading'!A36,3),'Master Data'!$A$2:$A$8,0),2)</f>
        <v>W</v>
      </c>
      <c r="D36" s="124" t="n">
        <v>-24348</v>
      </c>
      <c r="E36" s="124" t="n">
        <v>24348</v>
      </c>
      <c r="F36" s="124" t="n">
        <v>0</v>
      </c>
      <c r="G36" s="124" t="n">
        <v>169715.092719893</v>
      </c>
      <c r="I36" s="124" t="n">
        <f aca="false">IF(MONTH($A36)=MONTH($A35),IF(G36=0,I35,G36),0)</f>
        <v>169715.092719893</v>
      </c>
      <c r="J36" s="124" t="n">
        <f aca="false">IF(MONTH($A36)=MONTH($A35),SUM(I36-I35),I36)</f>
        <v>-4784.57932972536</v>
      </c>
      <c r="K36" s="124" t="n">
        <f aca="false">IF(WEEKDAY(A36,3)&gt;4,0,(IF(A36&lt;K$2,0,IF(A36&lt;=K$3,1,0))))</f>
        <v>0</v>
      </c>
      <c r="L36" s="124" t="n">
        <f aca="false">J36*K36</f>
        <v>-0</v>
      </c>
      <c r="M36" s="124" t="n">
        <f aca="false">SUM(J$6:J36)</f>
        <v>169715.092719893</v>
      </c>
      <c r="N36" s="124" t="n">
        <f aca="false">SUM(J$6:J36)</f>
        <v>169715.092719893</v>
      </c>
      <c r="P36" s="124" t="n">
        <f aca="false">D36/P$3</f>
        <v>-0.024348</v>
      </c>
      <c r="Q36" s="124" t="n">
        <f aca="false">E36/P$3</f>
        <v>0.024348</v>
      </c>
      <c r="R36" s="124" t="n">
        <f aca="false">F36/R$3</f>
        <v>0</v>
      </c>
      <c r="S36" s="126" t="n">
        <f aca="false">J36/$R$3</f>
        <v>-4.78457932972535</v>
      </c>
      <c r="T36" s="126" t="n">
        <f aca="false">L36/$R$3</f>
        <v>-0</v>
      </c>
      <c r="U36" s="126" t="n">
        <f aca="false">I36/$R$3</f>
        <v>169.715092719893</v>
      </c>
      <c r="V36" s="126" t="n">
        <f aca="false">M36/$R$3</f>
        <v>169.715092719893</v>
      </c>
      <c r="W36" s="126" t="n">
        <f aca="false">N36/$R$3</f>
        <v>169.715092719893</v>
      </c>
    </row>
    <row r="37" customFormat="false" ht="12.75" hidden="true" customHeight="false" outlineLevel="0" collapsed="false">
      <c r="A37" s="120" t="n">
        <f aca="false">A36+1</f>
        <v>36923</v>
      </c>
      <c r="B37" s="131" t="str">
        <f aca="false">INDEX('Master Data'!$A$2:$B$8,MATCH(WEEKDAY('EZE Power Trading'!A37,3),'Master Data'!$A$2:$A$8,0),2)</f>
        <v>Th</v>
      </c>
      <c r="D37" s="124" t="n">
        <v>-24202</v>
      </c>
      <c r="E37" s="124" t="n">
        <v>24202</v>
      </c>
      <c r="F37" s="124" t="n">
        <v>0</v>
      </c>
      <c r="G37" s="124" t="n">
        <v>-17.29</v>
      </c>
      <c r="I37" s="124" t="n">
        <f aca="false">IF(MONTH($A37)=MONTH($A36),IF(G37=0,I36,G37),G37)</f>
        <v>-17.29</v>
      </c>
      <c r="J37" s="124" t="n">
        <f aca="false">IF(MONTH($A37)=MONTH($A36),SUM(I37-I36),I37)</f>
        <v>-17.29</v>
      </c>
      <c r="K37" s="124" t="n">
        <f aca="false">IF(WEEKDAY(A37,3)&gt;4,0,(IF(A37&lt;K$2,0,IF(A37&lt;=K$3,1,0))))</f>
        <v>0</v>
      </c>
      <c r="L37" s="124" t="n">
        <f aca="false">J37*K37</f>
        <v>-0</v>
      </c>
      <c r="M37" s="124" t="n">
        <f aca="false">SUM(J$6:J37)</f>
        <v>169697.802719893</v>
      </c>
      <c r="N37" s="124" t="n">
        <f aca="false">SUM(J$6:J37)</f>
        <v>169697.802719893</v>
      </c>
      <c r="P37" s="124" t="n">
        <f aca="false">D37/P$3</f>
        <v>-0.024202</v>
      </c>
      <c r="Q37" s="124" t="n">
        <f aca="false">E37/P$3</f>
        <v>0.024202</v>
      </c>
      <c r="R37" s="124" t="n">
        <f aca="false">F37/R$3</f>
        <v>0</v>
      </c>
      <c r="S37" s="126" t="n">
        <f aca="false">J37/$R$3</f>
        <v>-0.01729</v>
      </c>
      <c r="T37" s="126" t="n">
        <f aca="false">L37/$R$3</f>
        <v>-0</v>
      </c>
      <c r="U37" s="126" t="n">
        <f aca="false">I37/$R$3</f>
        <v>-0.01729</v>
      </c>
      <c r="V37" s="126" t="n">
        <f aca="false">M37/$R$3</f>
        <v>169.697802719893</v>
      </c>
      <c r="W37" s="126" t="n">
        <f aca="false">N37/$R$3</f>
        <v>169.697802719893</v>
      </c>
    </row>
    <row r="38" customFormat="false" ht="12.75" hidden="true" customHeight="false" outlineLevel="0" collapsed="false">
      <c r="A38" s="120" t="n">
        <f aca="false">A37+1</f>
        <v>36924</v>
      </c>
      <c r="B38" s="131" t="str">
        <f aca="false">INDEX('Master Data'!$A$2:$B$8,MATCH(WEEKDAY('EZE Power Trading'!A38,3),'Master Data'!$A$2:$A$8,0),2)</f>
        <v>F</v>
      </c>
      <c r="D38" s="124" t="n">
        <v>-24050</v>
      </c>
      <c r="E38" s="124" t="n">
        <v>24050</v>
      </c>
      <c r="F38" s="124" t="n">
        <v>0</v>
      </c>
      <c r="G38" s="124" t="n">
        <v>1147.07</v>
      </c>
      <c r="I38" s="124" t="n">
        <f aca="false">IF(MONTH($A38)=MONTH($A37),IF(G38=0,I37,G38),G38)</f>
        <v>1147.07</v>
      </c>
      <c r="J38" s="124" t="n">
        <f aca="false">IF(MONTH($A38)=MONTH($A37),SUM(I38-I37),I38)</f>
        <v>1164.36</v>
      </c>
      <c r="K38" s="124" t="n">
        <f aca="false">IF(WEEKDAY(A38,3)&gt;4,0,(IF(A38&lt;K$2,0,IF(A38&lt;=K$3,1,0))))</f>
        <v>0</v>
      </c>
      <c r="L38" s="124" t="n">
        <f aca="false">J38*K38</f>
        <v>0</v>
      </c>
      <c r="M38" s="124" t="n">
        <f aca="false">SUM(J$6:J38)</f>
        <v>170862.162719893</v>
      </c>
      <c r="N38" s="124" t="n">
        <f aca="false">SUM(J$6:J38)</f>
        <v>170862.162719893</v>
      </c>
      <c r="P38" s="124" t="n">
        <f aca="false">D38/P$3</f>
        <v>-0.02405</v>
      </c>
      <c r="Q38" s="124" t="n">
        <f aca="false">E38/P$3</f>
        <v>0.02405</v>
      </c>
      <c r="R38" s="124" t="n">
        <f aca="false">F38/R$3</f>
        <v>0</v>
      </c>
      <c r="S38" s="126" t="n">
        <f aca="false">J38/$R$3</f>
        <v>1.16436</v>
      </c>
      <c r="T38" s="126" t="n">
        <f aca="false">L38/$R$3</f>
        <v>0</v>
      </c>
      <c r="U38" s="126" t="n">
        <f aca="false">I38/$R$3</f>
        <v>1.14707</v>
      </c>
      <c r="V38" s="126" t="n">
        <f aca="false">M38/$R$3</f>
        <v>170.862162719893</v>
      </c>
      <c r="W38" s="126" t="n">
        <f aca="false">N38/$R$3</f>
        <v>170.862162719893</v>
      </c>
    </row>
    <row r="39" customFormat="false" ht="12.75" hidden="true" customHeight="false" outlineLevel="0" collapsed="false">
      <c r="A39" s="120" t="n">
        <f aca="false">A38+1</f>
        <v>36925</v>
      </c>
      <c r="B39" s="131" t="str">
        <f aca="false">INDEX('Master Data'!$A$2:$B$8,MATCH(WEEKDAY('EZE Power Trading'!A39,3),'Master Data'!$A$2:$A$8,0),2)</f>
        <v>Sa</v>
      </c>
      <c r="D39" s="124" t="n">
        <v>0</v>
      </c>
      <c r="E39" s="124" t="n">
        <v>0</v>
      </c>
      <c r="F39" s="124" t="n">
        <v>0</v>
      </c>
      <c r="G39" s="124" t="n">
        <v>0</v>
      </c>
      <c r="I39" s="124" t="n">
        <f aca="false">IF(MONTH($A39)=MONTH($A38),IF(G39=0,I38,G39),G39)</f>
        <v>1147.07</v>
      </c>
      <c r="J39" s="124" t="n">
        <f aca="false">IF(MONTH($A39)=MONTH($A38),SUM(I39-I38),I39)</f>
        <v>0</v>
      </c>
      <c r="K39" s="124" t="n">
        <f aca="false">IF(WEEKDAY(A39,3)&gt;4,0,(IF(A39&lt;K$2,0,IF(A39&lt;=K$3,1,0))))</f>
        <v>0</v>
      </c>
      <c r="L39" s="124" t="n">
        <f aca="false">J39*K39</f>
        <v>0</v>
      </c>
      <c r="M39" s="124" t="n">
        <f aca="false">SUM(J$6:J39)</f>
        <v>170862.162719893</v>
      </c>
      <c r="N39" s="124" t="n">
        <f aca="false">SUM(J$6:J39)</f>
        <v>170862.162719893</v>
      </c>
      <c r="P39" s="124" t="n">
        <f aca="false">D39/P$3</f>
        <v>0</v>
      </c>
      <c r="Q39" s="124" t="n">
        <f aca="false">E39/P$3</f>
        <v>0</v>
      </c>
      <c r="R39" s="124" t="n">
        <f aca="false">F39/R$3</f>
        <v>0</v>
      </c>
      <c r="S39" s="126" t="n">
        <f aca="false">J39/$R$3</f>
        <v>0</v>
      </c>
      <c r="T39" s="126" t="n">
        <f aca="false">L39/$R$3</f>
        <v>0</v>
      </c>
      <c r="U39" s="126" t="n">
        <f aca="false">I39/$R$3</f>
        <v>1.14707</v>
      </c>
      <c r="V39" s="126" t="n">
        <f aca="false">M39/$R$3</f>
        <v>170.862162719893</v>
      </c>
      <c r="W39" s="126" t="n">
        <f aca="false">N39/$R$3</f>
        <v>170.862162719893</v>
      </c>
    </row>
    <row r="40" customFormat="false" ht="12.75" hidden="true" customHeight="false" outlineLevel="0" collapsed="false">
      <c r="A40" s="120" t="n">
        <f aca="false">A39+1</f>
        <v>36926</v>
      </c>
      <c r="B40" s="131" t="str">
        <f aca="false">INDEX('Master Data'!$A$2:$B$8,MATCH(WEEKDAY('EZE Power Trading'!A40,3),'Master Data'!$A$2:$A$8,0),2)</f>
        <v>Su</v>
      </c>
      <c r="D40" s="124" t="n">
        <v>0</v>
      </c>
      <c r="E40" s="124" t="n">
        <v>0</v>
      </c>
      <c r="F40" s="124" t="n">
        <v>0</v>
      </c>
      <c r="G40" s="124" t="n">
        <v>0</v>
      </c>
      <c r="I40" s="124" t="n">
        <f aca="false">IF(MONTH($A40)=MONTH($A39),IF(G40=0,I39,G40),G40)</f>
        <v>1147.07</v>
      </c>
      <c r="J40" s="124" t="n">
        <f aca="false">IF(MONTH($A40)=MONTH($A39),SUM(I40-I39),I40)</f>
        <v>0</v>
      </c>
      <c r="K40" s="124" t="n">
        <f aca="false">IF(WEEKDAY(A40,3)&gt;4,0,(IF(A40&lt;K$2,0,IF(A40&lt;=K$3,1,0))))</f>
        <v>0</v>
      </c>
      <c r="L40" s="124" t="n">
        <f aca="false">J40*K40</f>
        <v>0</v>
      </c>
      <c r="M40" s="124" t="n">
        <f aca="false">SUM(J$6:J40)</f>
        <v>170862.162719893</v>
      </c>
      <c r="N40" s="124" t="n">
        <f aca="false">SUM(J$6:J40)</f>
        <v>170862.162719893</v>
      </c>
      <c r="P40" s="124" t="n">
        <f aca="false">D40/P$3</f>
        <v>0</v>
      </c>
      <c r="Q40" s="124" t="n">
        <f aca="false">E40/P$3</f>
        <v>0</v>
      </c>
      <c r="R40" s="124" t="n">
        <f aca="false">F40/R$3</f>
        <v>0</v>
      </c>
      <c r="S40" s="126" t="n">
        <f aca="false">J40/$R$3</f>
        <v>0</v>
      </c>
      <c r="T40" s="126" t="n">
        <f aca="false">L40/$R$3</f>
        <v>0</v>
      </c>
      <c r="U40" s="126" t="n">
        <f aca="false">I40/$R$3</f>
        <v>1.14707</v>
      </c>
      <c r="V40" s="126" t="n">
        <f aca="false">M40/$R$3</f>
        <v>170.862162719893</v>
      </c>
      <c r="W40" s="126" t="n">
        <f aca="false">N40/$R$3</f>
        <v>170.862162719893</v>
      </c>
    </row>
    <row r="41" customFormat="false" ht="12.75" hidden="true" customHeight="false" outlineLevel="0" collapsed="false">
      <c r="A41" s="120" t="n">
        <f aca="false">A40+1</f>
        <v>36927</v>
      </c>
      <c r="B41" s="131" t="str">
        <f aca="false">INDEX('Master Data'!$A$2:$B$8,MATCH(WEEKDAY('EZE Power Trading'!A41,3),'Master Data'!$A$2:$A$8,0),2)</f>
        <v>M</v>
      </c>
      <c r="D41" s="124" t="n">
        <v>-23752</v>
      </c>
      <c r="E41" s="124" t="n">
        <v>23752</v>
      </c>
      <c r="F41" s="124" t="n">
        <v>0</v>
      </c>
      <c r="G41" s="124" t="n">
        <v>2463.2</v>
      </c>
      <c r="I41" s="124" t="n">
        <f aca="false">IF(MONTH($A41)=MONTH($A40),IF(G41=0,I40,G41),G41)</f>
        <v>2463.2</v>
      </c>
      <c r="J41" s="124" t="n">
        <f aca="false">IF(MONTH($A41)=MONTH($A40),SUM(I41-I40),I41)</f>
        <v>1316.13</v>
      </c>
      <c r="K41" s="124" t="n">
        <f aca="false">IF(WEEKDAY(A41,3)&gt;4,0,(IF(A41&lt;K$2,0,IF(A41&lt;=K$3,1,0))))</f>
        <v>0</v>
      </c>
      <c r="L41" s="124" t="n">
        <f aca="false">J41*K41</f>
        <v>0</v>
      </c>
      <c r="M41" s="124" t="n">
        <f aca="false">SUM(J$6:J41)</f>
        <v>172178.292719893</v>
      </c>
      <c r="N41" s="124" t="n">
        <f aca="false">SUM(J$6:J41)</f>
        <v>172178.292719893</v>
      </c>
      <c r="P41" s="124" t="n">
        <f aca="false">D41/P$3</f>
        <v>-0.023752</v>
      </c>
      <c r="Q41" s="124" t="n">
        <f aca="false">E41/P$3</f>
        <v>0.023752</v>
      </c>
      <c r="R41" s="124" t="n">
        <f aca="false">F41/R$3</f>
        <v>0</v>
      </c>
      <c r="S41" s="126" t="n">
        <f aca="false">J41/$R$3</f>
        <v>1.31613</v>
      </c>
      <c r="T41" s="126" t="n">
        <f aca="false">L41/$R$3</f>
        <v>0</v>
      </c>
      <c r="U41" s="126" t="n">
        <f aca="false">I41/$R$3</f>
        <v>2.4632</v>
      </c>
      <c r="V41" s="126" t="n">
        <f aca="false">M41/$R$3</f>
        <v>172.178292719893</v>
      </c>
      <c r="W41" s="126" t="n">
        <f aca="false">N41/$R$3</f>
        <v>172.178292719893</v>
      </c>
    </row>
    <row r="42" customFormat="false" ht="12.75" hidden="true" customHeight="false" outlineLevel="0" collapsed="false">
      <c r="A42" s="120" t="n">
        <f aca="false">A41+1</f>
        <v>36928</v>
      </c>
      <c r="B42" s="131" t="str">
        <f aca="false">INDEX('Master Data'!$A$2:$B$8,MATCH(WEEKDAY('EZE Power Trading'!A42,3),'Master Data'!$A$2:$A$8,0),2)</f>
        <v>T</v>
      </c>
      <c r="D42" s="124" t="n">
        <v>-23599</v>
      </c>
      <c r="E42" s="124" t="n">
        <v>23599</v>
      </c>
      <c r="F42" s="124" t="n">
        <v>0</v>
      </c>
      <c r="G42" s="124" t="n">
        <v>2904.43</v>
      </c>
      <c r="I42" s="124" t="n">
        <f aca="false">IF(MONTH($A42)=MONTH($A41),IF(G42=0,I41,G42),G42)</f>
        <v>2904.43</v>
      </c>
      <c r="J42" s="124" t="n">
        <f aca="false">IF(MONTH($A42)=MONTH($A41),SUM(I42-I41),I42)</f>
        <v>441.23</v>
      </c>
      <c r="K42" s="124" t="n">
        <f aca="false">IF(WEEKDAY(A42,3)&gt;4,0,(IF(A42&lt;K$2,0,IF(A42&lt;=K$3,1,0))))</f>
        <v>0</v>
      </c>
      <c r="L42" s="124" t="n">
        <f aca="false">J42*K42</f>
        <v>0</v>
      </c>
      <c r="M42" s="124" t="n">
        <f aca="false">SUM(J$6:J42)</f>
        <v>172619.522719893</v>
      </c>
      <c r="N42" s="124" t="n">
        <f aca="false">SUM(J$6:J42)</f>
        <v>172619.522719893</v>
      </c>
      <c r="P42" s="124" t="n">
        <f aca="false">D42/P$3</f>
        <v>-0.023599</v>
      </c>
      <c r="Q42" s="124" t="n">
        <f aca="false">E42/P$3</f>
        <v>0.023599</v>
      </c>
      <c r="R42" s="124" t="n">
        <f aca="false">F42/R$3</f>
        <v>0</v>
      </c>
      <c r="S42" s="126" t="n">
        <f aca="false">J42/$R$3</f>
        <v>0.44123</v>
      </c>
      <c r="T42" s="126" t="n">
        <f aca="false">L42/$R$3</f>
        <v>0</v>
      </c>
      <c r="U42" s="126" t="n">
        <f aca="false">I42/$R$3</f>
        <v>2.90443</v>
      </c>
      <c r="V42" s="126" t="n">
        <f aca="false">M42/$R$3</f>
        <v>172.619522719893</v>
      </c>
      <c r="W42" s="126" t="n">
        <f aca="false">N42/$R$3</f>
        <v>172.619522719893</v>
      </c>
    </row>
    <row r="43" customFormat="false" ht="12.75" hidden="true" customHeight="false" outlineLevel="0" collapsed="false">
      <c r="A43" s="120" t="n">
        <f aca="false">A42+1</f>
        <v>36929</v>
      </c>
      <c r="B43" s="131" t="str">
        <f aca="false">INDEX('Master Data'!$A$2:$B$8,MATCH(WEEKDAY('EZE Power Trading'!A43,3),'Master Data'!$A$2:$A$8,0),2)</f>
        <v>W</v>
      </c>
      <c r="D43" s="124" t="n">
        <v>-23445</v>
      </c>
      <c r="E43" s="124" t="n">
        <v>23445</v>
      </c>
      <c r="F43" s="124" t="n">
        <v>0</v>
      </c>
      <c r="G43" s="124" t="n">
        <v>2361.07</v>
      </c>
      <c r="I43" s="124" t="n">
        <f aca="false">IF(MONTH($A43)=MONTH($A42),IF(G43=0,I42,G43),G43)</f>
        <v>2361.07</v>
      </c>
      <c r="J43" s="124" t="n">
        <f aca="false">IF(MONTH($A43)=MONTH($A42),SUM(I43-I42),I43)</f>
        <v>-543.36</v>
      </c>
      <c r="K43" s="124" t="n">
        <f aca="false">IF(WEEKDAY(A43,3)&gt;4,0,(IF(A43&lt;K$2,0,IF(A43&lt;=K$3,1,0))))</f>
        <v>0</v>
      </c>
      <c r="L43" s="124" t="n">
        <f aca="false">J43*K43</f>
        <v>-0</v>
      </c>
      <c r="M43" s="124" t="n">
        <f aca="false">SUM(J$6:J43)</f>
        <v>172076.162719893</v>
      </c>
      <c r="N43" s="124" t="n">
        <f aca="false">SUM(J$6:J43)</f>
        <v>172076.162719893</v>
      </c>
      <c r="P43" s="124" t="n">
        <f aca="false">D43/P$3</f>
        <v>-0.023445</v>
      </c>
      <c r="Q43" s="124" t="n">
        <f aca="false">E43/P$3</f>
        <v>0.023445</v>
      </c>
      <c r="R43" s="124" t="n">
        <f aca="false">F43/R$3</f>
        <v>0</v>
      </c>
      <c r="S43" s="126" t="n">
        <f aca="false">J43/$R$3</f>
        <v>-0.54336</v>
      </c>
      <c r="T43" s="126" t="n">
        <f aca="false">L43/$R$3</f>
        <v>-0</v>
      </c>
      <c r="U43" s="126" t="n">
        <f aca="false">I43/$R$3</f>
        <v>2.36107</v>
      </c>
      <c r="V43" s="126" t="n">
        <f aca="false">M43/$R$3</f>
        <v>172.076162719893</v>
      </c>
      <c r="W43" s="126" t="n">
        <f aca="false">N43/$R$3</f>
        <v>172.076162719893</v>
      </c>
    </row>
    <row r="44" customFormat="false" ht="12.75" hidden="true" customHeight="false" outlineLevel="0" collapsed="false">
      <c r="A44" s="120" t="n">
        <f aca="false">A43+1</f>
        <v>36930</v>
      </c>
      <c r="B44" s="131" t="str">
        <f aca="false">INDEX('Master Data'!$A$2:$B$8,MATCH(WEEKDAY('EZE Power Trading'!A44,3),'Master Data'!$A$2:$A$8,0),2)</f>
        <v>Th</v>
      </c>
      <c r="D44" s="124" t="n">
        <v>-23293</v>
      </c>
      <c r="E44" s="124" t="n">
        <v>23293</v>
      </c>
      <c r="F44" s="124" t="n">
        <v>0</v>
      </c>
      <c r="G44" s="124" t="n">
        <v>2749.57</v>
      </c>
      <c r="I44" s="124" t="n">
        <f aca="false">IF(MONTH($A44)=MONTH($A43),IF(G44=0,I43,G44),G44)</f>
        <v>2749.57</v>
      </c>
      <c r="J44" s="124" t="n">
        <f aca="false">IF(MONTH($A44)=MONTH($A43),SUM(I44-I43),I44)</f>
        <v>388.5</v>
      </c>
      <c r="K44" s="124" t="n">
        <f aca="false">IF(WEEKDAY(A44,3)&gt;4,0,(IF(A44&lt;K$2,0,IF(A44&lt;=K$3,1,0))))</f>
        <v>0</v>
      </c>
      <c r="L44" s="124" t="n">
        <f aca="false">J44*K44</f>
        <v>0</v>
      </c>
      <c r="M44" s="124" t="n">
        <f aca="false">SUM(J$6:J44)</f>
        <v>172464.662719893</v>
      </c>
      <c r="N44" s="124" t="n">
        <f aca="false">SUM(J$6:J44)</f>
        <v>172464.662719893</v>
      </c>
      <c r="P44" s="124" t="n">
        <f aca="false">D44/P$3</f>
        <v>-0.023293</v>
      </c>
      <c r="Q44" s="124" t="n">
        <f aca="false">E44/P$3</f>
        <v>0.023293</v>
      </c>
      <c r="R44" s="124" t="n">
        <f aca="false">F44/R$3</f>
        <v>0</v>
      </c>
      <c r="S44" s="126" t="n">
        <f aca="false">J44/$R$3</f>
        <v>0.3885</v>
      </c>
      <c r="T44" s="126" t="n">
        <f aca="false">L44/$R$3</f>
        <v>0</v>
      </c>
      <c r="U44" s="126" t="n">
        <f aca="false">I44/$R$3</f>
        <v>2.74957</v>
      </c>
      <c r="V44" s="126" t="n">
        <f aca="false">M44/$R$3</f>
        <v>172.464662719893</v>
      </c>
      <c r="W44" s="126" t="n">
        <f aca="false">N44/$R$3</f>
        <v>172.464662719893</v>
      </c>
    </row>
    <row r="45" customFormat="false" ht="12.75" hidden="true" customHeight="false" outlineLevel="0" collapsed="false">
      <c r="A45" s="120" t="n">
        <f aca="false">A44+1</f>
        <v>36931</v>
      </c>
      <c r="B45" s="131" t="str">
        <f aca="false">INDEX('Master Data'!$A$2:$B$8,MATCH(WEEKDAY('EZE Power Trading'!A45,3),'Master Data'!$A$2:$A$8,0),2)</f>
        <v>F</v>
      </c>
      <c r="D45" s="124" t="n">
        <v>-23139</v>
      </c>
      <c r="E45" s="124" t="n">
        <v>23139</v>
      </c>
      <c r="F45" s="124" t="n">
        <v>0</v>
      </c>
      <c r="G45" s="124" t="n">
        <v>5849.97</v>
      </c>
      <c r="I45" s="124" t="n">
        <f aca="false">IF(MONTH($A45)=MONTH($A44),IF(G45=0,I44,G45),G45)</f>
        <v>5849.97</v>
      </c>
      <c r="J45" s="124" t="n">
        <f aca="false">IF(MONTH($A45)=MONTH($A44),SUM(I45-I44),I45)</f>
        <v>3100.4</v>
      </c>
      <c r="K45" s="124" t="n">
        <f aca="false">IF(WEEKDAY(A45,3)&gt;4,0,(IF(A45&lt;K$2,0,IF(A45&lt;=K$3,1,0))))</f>
        <v>0</v>
      </c>
      <c r="L45" s="124" t="n">
        <f aca="false">J45*K45</f>
        <v>0</v>
      </c>
      <c r="M45" s="124" t="n">
        <f aca="false">SUM(J$6:J45)</f>
        <v>175565.062719893</v>
      </c>
      <c r="N45" s="124" t="n">
        <f aca="false">SUM(J$6:J45)</f>
        <v>175565.062719893</v>
      </c>
      <c r="P45" s="124" t="n">
        <f aca="false">D45/P$3</f>
        <v>-0.023139</v>
      </c>
      <c r="Q45" s="124" t="n">
        <f aca="false">E45/P$3</f>
        <v>0.023139</v>
      </c>
      <c r="R45" s="124" t="n">
        <f aca="false">F45/R$3</f>
        <v>0</v>
      </c>
      <c r="S45" s="126" t="n">
        <f aca="false">J45/$R$3</f>
        <v>3.1004</v>
      </c>
      <c r="T45" s="126" t="n">
        <f aca="false">L45/$R$3</f>
        <v>0</v>
      </c>
      <c r="U45" s="126" t="n">
        <f aca="false">I45/$R$3</f>
        <v>5.84997</v>
      </c>
      <c r="V45" s="126" t="n">
        <f aca="false">M45/$R$3</f>
        <v>175.565062719893</v>
      </c>
      <c r="W45" s="126" t="n">
        <f aca="false">N45/$R$3</f>
        <v>175.565062719893</v>
      </c>
    </row>
    <row r="46" customFormat="false" ht="12.75" hidden="true" customHeight="false" outlineLevel="0" collapsed="false">
      <c r="A46" s="120" t="n">
        <f aca="false">A45+1</f>
        <v>36932</v>
      </c>
      <c r="B46" s="131" t="str">
        <f aca="false">INDEX('Master Data'!$A$2:$B$8,MATCH(WEEKDAY('EZE Power Trading'!A46,3),'Master Data'!$A$2:$A$8,0),2)</f>
        <v>Sa</v>
      </c>
      <c r="D46" s="124" t="n">
        <v>0</v>
      </c>
      <c r="E46" s="124" t="n">
        <v>0</v>
      </c>
      <c r="F46" s="124" t="n">
        <v>0</v>
      </c>
      <c r="G46" s="124" t="n">
        <v>0</v>
      </c>
      <c r="I46" s="124" t="n">
        <f aca="false">IF(MONTH($A46)=MONTH($A45),IF(G46=0,I45,G46),G46)</f>
        <v>5849.97</v>
      </c>
      <c r="J46" s="124" t="n">
        <f aca="false">IF(MONTH($A46)=MONTH($A45),SUM(I46-I45),I46)</f>
        <v>0</v>
      </c>
      <c r="K46" s="124" t="n">
        <f aca="false">IF(WEEKDAY(A46,3)&gt;4,0,(IF(A46&lt;K$2,0,IF(A46&lt;=K$3,1,0))))</f>
        <v>0</v>
      </c>
      <c r="L46" s="124" t="n">
        <f aca="false">J46*K46</f>
        <v>0</v>
      </c>
      <c r="M46" s="124" t="n">
        <f aca="false">SUM(J$6:J46)</f>
        <v>175565.062719893</v>
      </c>
      <c r="N46" s="124" t="n">
        <f aca="false">SUM(J$6:J46)</f>
        <v>175565.062719893</v>
      </c>
      <c r="P46" s="124" t="n">
        <f aca="false">D46/P$3</f>
        <v>0</v>
      </c>
      <c r="Q46" s="124" t="n">
        <f aca="false">E46/P$3</f>
        <v>0</v>
      </c>
      <c r="R46" s="124" t="n">
        <f aca="false">F46/R$3</f>
        <v>0</v>
      </c>
      <c r="S46" s="126" t="n">
        <f aca="false">J46/$R$3</f>
        <v>0</v>
      </c>
      <c r="T46" s="126" t="n">
        <f aca="false">L46/$R$3</f>
        <v>0</v>
      </c>
      <c r="U46" s="126" t="n">
        <f aca="false">I46/$R$3</f>
        <v>5.84997</v>
      </c>
      <c r="V46" s="126" t="n">
        <f aca="false">M46/$R$3</f>
        <v>175.565062719893</v>
      </c>
      <c r="W46" s="126" t="n">
        <f aca="false">N46/$R$3</f>
        <v>175.565062719893</v>
      </c>
    </row>
    <row r="47" customFormat="false" ht="12.75" hidden="true" customHeight="false" outlineLevel="0" collapsed="false">
      <c r="A47" s="120" t="n">
        <f aca="false">A46+1</f>
        <v>36933</v>
      </c>
      <c r="B47" s="131" t="str">
        <f aca="false">INDEX('Master Data'!$A$2:$B$8,MATCH(WEEKDAY('EZE Power Trading'!A47,3),'Master Data'!$A$2:$A$8,0),2)</f>
        <v>Su</v>
      </c>
      <c r="D47" s="124" t="n">
        <v>0</v>
      </c>
      <c r="E47" s="124" t="n">
        <v>0</v>
      </c>
      <c r="F47" s="124" t="n">
        <v>0</v>
      </c>
      <c r="G47" s="124" t="n">
        <v>0</v>
      </c>
      <c r="I47" s="124" t="n">
        <f aca="false">IF(MONTH($A47)=MONTH($A46),IF(G47=0,I46,G47),G47)</f>
        <v>5849.97</v>
      </c>
      <c r="J47" s="124" t="n">
        <f aca="false">IF(MONTH($A47)=MONTH($A46),SUM(I47-I46),I47)</f>
        <v>0</v>
      </c>
      <c r="K47" s="124" t="n">
        <f aca="false">IF(WEEKDAY(A47,3)&gt;4,0,(IF(A47&lt;K$2,0,IF(A47&lt;=K$3,1,0))))</f>
        <v>0</v>
      </c>
      <c r="L47" s="124" t="n">
        <f aca="false">J47*K47</f>
        <v>0</v>
      </c>
      <c r="M47" s="124" t="n">
        <f aca="false">SUM(J$6:J47)</f>
        <v>175565.062719893</v>
      </c>
      <c r="N47" s="124" t="n">
        <f aca="false">SUM(J$6:J47)</f>
        <v>175565.062719893</v>
      </c>
      <c r="P47" s="124" t="n">
        <f aca="false">D47/P$3</f>
        <v>0</v>
      </c>
      <c r="Q47" s="124" t="n">
        <f aca="false">E47/P$3</f>
        <v>0</v>
      </c>
      <c r="R47" s="124" t="n">
        <f aca="false">F47/R$3</f>
        <v>0</v>
      </c>
      <c r="S47" s="126" t="n">
        <f aca="false">J47/$R$3</f>
        <v>0</v>
      </c>
      <c r="T47" s="126" t="n">
        <f aca="false">L47/$R$3</f>
        <v>0</v>
      </c>
      <c r="U47" s="126" t="n">
        <f aca="false">I47/$R$3</f>
        <v>5.84997</v>
      </c>
      <c r="V47" s="126" t="n">
        <f aca="false">M47/$R$3</f>
        <v>175.565062719893</v>
      </c>
      <c r="W47" s="126" t="n">
        <f aca="false">N47/$R$3</f>
        <v>175.565062719893</v>
      </c>
    </row>
    <row r="48" customFormat="false" ht="12.75" hidden="true" customHeight="false" outlineLevel="0" collapsed="false">
      <c r="A48" s="120" t="n">
        <f aca="false">A47+1</f>
        <v>36934</v>
      </c>
      <c r="B48" s="131" t="str">
        <f aca="false">INDEX('Master Data'!$A$2:$B$8,MATCH(WEEKDAY('EZE Power Trading'!A48,3),'Master Data'!$A$2:$A$8,0),2)</f>
        <v>M</v>
      </c>
      <c r="D48" s="124" t="n">
        <v>-22848</v>
      </c>
      <c r="E48" s="124" t="n">
        <v>22848</v>
      </c>
      <c r="F48" s="124" t="n">
        <v>0</v>
      </c>
      <c r="G48" s="124" t="n">
        <v>6282.58</v>
      </c>
      <c r="I48" s="124" t="n">
        <f aca="false">IF(MONTH($A48)=MONTH($A47),IF(G48=0,I47,G48),G48)</f>
        <v>6282.58</v>
      </c>
      <c r="J48" s="124" t="n">
        <f aca="false">IF(MONTH($A48)=MONTH($A47),SUM(I48-I47),I48)</f>
        <v>432.61</v>
      </c>
      <c r="K48" s="124" t="n">
        <f aca="false">IF(WEEKDAY(A48,3)&gt;4,0,(IF(A48&lt;K$2,0,IF(A48&lt;=K$3,1,0))))</f>
        <v>0</v>
      </c>
      <c r="L48" s="124" t="n">
        <f aca="false">J48*K48</f>
        <v>0</v>
      </c>
      <c r="M48" s="124" t="n">
        <f aca="false">SUM(J$6:J48)</f>
        <v>175997.672719893</v>
      </c>
      <c r="N48" s="124" t="n">
        <f aca="false">SUM(J$6:J48)</f>
        <v>175997.672719893</v>
      </c>
      <c r="P48" s="124" t="n">
        <f aca="false">D48/P$3</f>
        <v>-0.022848</v>
      </c>
      <c r="Q48" s="124" t="n">
        <f aca="false">E48/P$3</f>
        <v>0.022848</v>
      </c>
      <c r="R48" s="124" t="n">
        <f aca="false">F48/R$3</f>
        <v>0</v>
      </c>
      <c r="S48" s="126" t="n">
        <f aca="false">J48/$R$3</f>
        <v>0.43261</v>
      </c>
      <c r="T48" s="126" t="n">
        <f aca="false">L48/$R$3</f>
        <v>0</v>
      </c>
      <c r="U48" s="126" t="n">
        <f aca="false">I48/$R$3</f>
        <v>6.28258</v>
      </c>
      <c r="V48" s="126" t="n">
        <f aca="false">M48/$R$3</f>
        <v>175.997672719893</v>
      </c>
      <c r="W48" s="126" t="n">
        <f aca="false">N48/$R$3</f>
        <v>175.997672719893</v>
      </c>
    </row>
    <row r="49" customFormat="false" ht="12.75" hidden="true" customHeight="false" outlineLevel="0" collapsed="false">
      <c r="A49" s="120" t="n">
        <f aca="false">A48+1</f>
        <v>36935</v>
      </c>
      <c r="B49" s="131" t="str">
        <f aca="false">INDEX('Master Data'!$A$2:$B$8,MATCH(WEEKDAY('EZE Power Trading'!A49,3),'Master Data'!$A$2:$A$8,0),2)</f>
        <v>T</v>
      </c>
      <c r="D49" s="124" t="n">
        <v>-22694</v>
      </c>
      <c r="E49" s="124" t="n">
        <v>22694</v>
      </c>
      <c r="F49" s="124" t="n">
        <v>0</v>
      </c>
      <c r="G49" s="124" t="n">
        <v>6925.08</v>
      </c>
      <c r="I49" s="124" t="n">
        <f aca="false">IF(MONTH($A49)=MONTH($A48),IF(G49=0,I48,G49),G49)</f>
        <v>6925.08</v>
      </c>
      <c r="J49" s="124" t="n">
        <f aca="false">IF(MONTH($A49)=MONTH($A48),SUM(I49-I48),I49)</f>
        <v>642.5</v>
      </c>
      <c r="K49" s="124" t="n">
        <f aca="false">IF(WEEKDAY(A49,3)&gt;4,0,(IF(A49&lt;K$2,0,IF(A49&lt;=K$3,1,0))))</f>
        <v>0</v>
      </c>
      <c r="L49" s="124" t="n">
        <f aca="false">J49*K49</f>
        <v>0</v>
      </c>
      <c r="M49" s="124" t="n">
        <f aca="false">SUM(J$6:J49)</f>
        <v>176640.172719893</v>
      </c>
      <c r="N49" s="124" t="n">
        <f aca="false">SUM(J$6:J49)</f>
        <v>176640.172719893</v>
      </c>
      <c r="P49" s="124" t="n">
        <f aca="false">D49/P$3</f>
        <v>-0.022694</v>
      </c>
      <c r="Q49" s="124" t="n">
        <f aca="false">E49/P$3</f>
        <v>0.022694</v>
      </c>
      <c r="R49" s="124" t="n">
        <f aca="false">F49/R$3</f>
        <v>0</v>
      </c>
      <c r="S49" s="126" t="n">
        <f aca="false">J49/$R$3</f>
        <v>0.6425</v>
      </c>
      <c r="T49" s="126" t="n">
        <f aca="false">L49/$R$3</f>
        <v>0</v>
      </c>
      <c r="U49" s="126" t="n">
        <f aca="false">I49/$R$3</f>
        <v>6.92508</v>
      </c>
      <c r="V49" s="126" t="n">
        <f aca="false">M49/$R$3</f>
        <v>176.640172719893</v>
      </c>
      <c r="W49" s="126" t="n">
        <f aca="false">N49/$R$3</f>
        <v>176.640172719893</v>
      </c>
    </row>
    <row r="50" customFormat="false" ht="12.75" hidden="true" customHeight="false" outlineLevel="0" collapsed="false">
      <c r="A50" s="120" t="n">
        <f aca="false">A49+1</f>
        <v>36936</v>
      </c>
      <c r="B50" s="131" t="str">
        <f aca="false">INDEX('Master Data'!$A$2:$B$8,MATCH(WEEKDAY('EZE Power Trading'!A50,3),'Master Data'!$A$2:$A$8,0),2)</f>
        <v>W</v>
      </c>
      <c r="D50" s="124" t="n">
        <v>-225333</v>
      </c>
      <c r="E50" s="124" t="n">
        <v>225333</v>
      </c>
      <c r="F50" s="124" t="n">
        <v>0</v>
      </c>
      <c r="G50" s="124" t="n">
        <v>242806.11</v>
      </c>
      <c r="I50" s="124" t="n">
        <f aca="false">IF(MONTH($A50)=MONTH($A49),IF(G50=0,I49,G50),G50)</f>
        <v>242806.11</v>
      </c>
      <c r="J50" s="124" t="n">
        <f aca="false">IF(MONTH($A50)=MONTH($A49),SUM(I50-I49),I50)</f>
        <v>235881.03</v>
      </c>
      <c r="K50" s="124" t="n">
        <f aca="false">IF(WEEKDAY(A50,3)&gt;4,0,(IF(A50&lt;K$2,0,IF(A50&lt;=K$3,1,0))))</f>
        <v>0</v>
      </c>
      <c r="L50" s="124" t="n">
        <f aca="false">J50*K50</f>
        <v>0</v>
      </c>
      <c r="M50" s="124" t="n">
        <f aca="false">SUM(J$6:J50)</f>
        <v>412521.202719893</v>
      </c>
      <c r="N50" s="124" t="n">
        <f aca="false">SUM(J$6:J50)</f>
        <v>412521.202719893</v>
      </c>
      <c r="P50" s="124" t="n">
        <f aca="false">D50/P$3</f>
        <v>-0.225333</v>
      </c>
      <c r="Q50" s="124" t="n">
        <f aca="false">E50/P$3</f>
        <v>0.225333</v>
      </c>
      <c r="R50" s="124" t="n">
        <f aca="false">F50/R$3</f>
        <v>0</v>
      </c>
      <c r="S50" s="126" t="n">
        <f aca="false">J50/$R$3</f>
        <v>235.88103</v>
      </c>
      <c r="T50" s="126" t="n">
        <f aca="false">L50/$R$3</f>
        <v>0</v>
      </c>
      <c r="U50" s="126" t="n">
        <f aca="false">I50/$R$3</f>
        <v>242.80611</v>
      </c>
      <c r="V50" s="126" t="n">
        <f aca="false">M50/$R$3</f>
        <v>412.521202719893</v>
      </c>
      <c r="W50" s="126" t="n">
        <f aca="false">N50/$R$3</f>
        <v>412.521202719893</v>
      </c>
    </row>
    <row r="51" customFormat="false" ht="12.75" hidden="true" customHeight="false" outlineLevel="0" collapsed="false">
      <c r="A51" s="120" t="n">
        <f aca="false">A50+1</f>
        <v>36937</v>
      </c>
      <c r="B51" s="131" t="str">
        <f aca="false">INDEX('Master Data'!$A$2:$B$8,MATCH(WEEKDAY('EZE Power Trading'!A51,3),'Master Data'!$A$2:$A$8,0),2)</f>
        <v>Th</v>
      </c>
      <c r="D51" s="124" t="n">
        <v>-226706</v>
      </c>
      <c r="E51" s="124" t="n">
        <v>226706</v>
      </c>
      <c r="F51" s="124" t="n">
        <v>0</v>
      </c>
      <c r="G51" s="124" t="n">
        <v>246503.89</v>
      </c>
      <c r="I51" s="124" t="n">
        <f aca="false">IF(MONTH($A51)=MONTH($A50),IF(G51=0,I50,G51),G51)</f>
        <v>246503.89</v>
      </c>
      <c r="J51" s="124" t="n">
        <f aca="false">IF(MONTH($A51)=MONTH($A50),SUM(I51-I50),I51)</f>
        <v>3697.78000000003</v>
      </c>
      <c r="K51" s="124" t="n">
        <f aca="false">IF(WEEKDAY(A51,3)&gt;4,0,(IF(A51&lt;K$2,0,IF(A51&lt;=K$3,1,0))))</f>
        <v>0</v>
      </c>
      <c r="L51" s="124" t="n">
        <f aca="false">J51*K51</f>
        <v>0</v>
      </c>
      <c r="M51" s="124" t="n">
        <f aca="false">SUM(J$6:J51)</f>
        <v>416218.982719893</v>
      </c>
      <c r="N51" s="124" t="n">
        <f aca="false">SUM(J$6:J51)</f>
        <v>416218.982719893</v>
      </c>
      <c r="P51" s="124" t="n">
        <f aca="false">D51/P$3</f>
        <v>-0.226706</v>
      </c>
      <c r="Q51" s="124" t="n">
        <f aca="false">E51/P$3</f>
        <v>0.226706</v>
      </c>
      <c r="R51" s="124" t="n">
        <f aca="false">F51/R$3</f>
        <v>0</v>
      </c>
      <c r="S51" s="126" t="n">
        <f aca="false">J51/$R$3</f>
        <v>3.69778000000003</v>
      </c>
      <c r="T51" s="126" t="n">
        <f aca="false">L51/$R$3</f>
        <v>0</v>
      </c>
      <c r="U51" s="126" t="n">
        <f aca="false">I51/$R$3</f>
        <v>246.50389</v>
      </c>
      <c r="V51" s="126" t="n">
        <f aca="false">M51/$R$3</f>
        <v>416.218982719893</v>
      </c>
      <c r="W51" s="126" t="n">
        <f aca="false">N51/$R$3</f>
        <v>416.218982719893</v>
      </c>
    </row>
    <row r="52" customFormat="false" ht="12.75" hidden="true" customHeight="false" outlineLevel="0" collapsed="false">
      <c r="A52" s="120" t="n">
        <f aca="false">A51+1</f>
        <v>36938</v>
      </c>
      <c r="B52" s="131" t="str">
        <f aca="false">INDEX('Master Data'!$A$2:$B$8,MATCH(WEEKDAY('EZE Power Trading'!A52,3),'Master Data'!$A$2:$A$8,0),2)</f>
        <v>F</v>
      </c>
      <c r="D52" s="124" t="n">
        <v>-225984</v>
      </c>
      <c r="E52" s="124" t="n">
        <v>225984</v>
      </c>
      <c r="F52" s="124" t="n">
        <v>0</v>
      </c>
      <c r="G52" s="124" t="n">
        <v>248293.18</v>
      </c>
      <c r="I52" s="124" t="n">
        <f aca="false">IF(MONTH($A52)=MONTH($A51),IF(G52=0,I51,G52),G52)</f>
        <v>248293.18</v>
      </c>
      <c r="J52" s="124" t="n">
        <f aca="false">IF(MONTH($A52)=MONTH($A51),SUM(I52-I51),I52)</f>
        <v>1789.28999999998</v>
      </c>
      <c r="K52" s="124" t="n">
        <f aca="false">IF(WEEKDAY(A52,3)&gt;4,0,(IF(A52&lt;K$2,0,IF(A52&lt;=K$3,1,0))))</f>
        <v>0</v>
      </c>
      <c r="L52" s="124" t="n">
        <f aca="false">J52*K52</f>
        <v>0</v>
      </c>
      <c r="M52" s="124" t="n">
        <f aca="false">SUM(J$6:J52)</f>
        <v>418008.272719893</v>
      </c>
      <c r="N52" s="124" t="n">
        <f aca="false">SUM(J$6:J52)</f>
        <v>418008.272719893</v>
      </c>
      <c r="P52" s="124" t="n">
        <f aca="false">D52/P$3</f>
        <v>-0.225984</v>
      </c>
      <c r="Q52" s="124" t="n">
        <f aca="false">E52/P$3</f>
        <v>0.225984</v>
      </c>
      <c r="R52" s="124" t="n">
        <f aca="false">F52/R$3</f>
        <v>0</v>
      </c>
      <c r="S52" s="126" t="n">
        <f aca="false">J52/$R$3</f>
        <v>1.78928999999998</v>
      </c>
      <c r="T52" s="126" t="n">
        <f aca="false">L52/$R$3</f>
        <v>0</v>
      </c>
      <c r="U52" s="126" t="n">
        <f aca="false">I52/$R$3</f>
        <v>248.29318</v>
      </c>
      <c r="V52" s="126" t="n">
        <f aca="false">M52/$R$3</f>
        <v>418.008272719893</v>
      </c>
      <c r="W52" s="126" t="n">
        <f aca="false">N52/$R$3</f>
        <v>418.008272719893</v>
      </c>
    </row>
    <row r="53" customFormat="false" ht="12.75" hidden="true" customHeight="false" outlineLevel="0" collapsed="false">
      <c r="A53" s="120" t="n">
        <f aca="false">A52+1</f>
        <v>36939</v>
      </c>
      <c r="B53" s="131" t="str">
        <f aca="false">INDEX('Master Data'!$A$2:$B$8,MATCH(WEEKDAY('EZE Power Trading'!A53,3),'Master Data'!$A$2:$A$8,0),2)</f>
        <v>Sa</v>
      </c>
      <c r="D53" s="124" t="n">
        <v>0</v>
      </c>
      <c r="E53" s="124" t="n">
        <v>0</v>
      </c>
      <c r="F53" s="124" t="n">
        <v>0</v>
      </c>
      <c r="G53" s="124" t="n">
        <v>0</v>
      </c>
      <c r="I53" s="124" t="n">
        <f aca="false">IF(MONTH($A53)=MONTH($A52),IF(G53=0,I52,G53),G53)</f>
        <v>248293.18</v>
      </c>
      <c r="J53" s="124" t="n">
        <f aca="false">IF(MONTH($A53)=MONTH($A52),SUM(I53-I52),I53)</f>
        <v>0</v>
      </c>
      <c r="K53" s="124" t="n">
        <f aca="false">IF(WEEKDAY(A53,3)&gt;4,0,(IF(A53&lt;K$2,0,IF(A53&lt;=K$3,1,0))))</f>
        <v>0</v>
      </c>
      <c r="L53" s="124" t="n">
        <f aca="false">J53*K53</f>
        <v>0</v>
      </c>
      <c r="M53" s="124" t="n">
        <f aca="false">SUM(J$6:J53)</f>
        <v>418008.272719893</v>
      </c>
      <c r="N53" s="124" t="n">
        <f aca="false">SUM(J$6:J53)</f>
        <v>418008.272719893</v>
      </c>
      <c r="P53" s="124" t="n">
        <f aca="false">D53/P$3</f>
        <v>0</v>
      </c>
      <c r="Q53" s="124" t="n">
        <f aca="false">E53/P$3</f>
        <v>0</v>
      </c>
      <c r="R53" s="124" t="n">
        <f aca="false">F53/R$3</f>
        <v>0</v>
      </c>
      <c r="S53" s="126" t="n">
        <f aca="false">J53/$R$3</f>
        <v>0</v>
      </c>
      <c r="T53" s="126" t="n">
        <f aca="false">L53/$R$3</f>
        <v>0</v>
      </c>
      <c r="U53" s="126" t="n">
        <f aca="false">I53/$R$3</f>
        <v>248.29318</v>
      </c>
      <c r="V53" s="126" t="n">
        <f aca="false">M53/$R$3</f>
        <v>418.008272719893</v>
      </c>
      <c r="W53" s="126" t="n">
        <f aca="false">N53/$R$3</f>
        <v>418.008272719893</v>
      </c>
    </row>
    <row r="54" customFormat="false" ht="12.75" hidden="true" customHeight="false" outlineLevel="0" collapsed="false">
      <c r="A54" s="120" t="n">
        <f aca="false">A53+1</f>
        <v>36940</v>
      </c>
      <c r="B54" s="131" t="str">
        <f aca="false">INDEX('Master Data'!$A$2:$B$8,MATCH(WEEKDAY('EZE Power Trading'!A54,3),'Master Data'!$A$2:$A$8,0),2)</f>
        <v>Su</v>
      </c>
      <c r="D54" s="124" t="n">
        <v>0</v>
      </c>
      <c r="E54" s="124" t="n">
        <v>0</v>
      </c>
      <c r="F54" s="124" t="n">
        <v>0</v>
      </c>
      <c r="G54" s="124" t="n">
        <v>0</v>
      </c>
      <c r="I54" s="124" t="n">
        <f aca="false">IF(MONTH($A54)=MONTH($A53),IF(G54=0,I53,G54),G54)</f>
        <v>248293.18</v>
      </c>
      <c r="J54" s="124" t="n">
        <f aca="false">IF(MONTH($A54)=MONTH($A53),SUM(I54-I53),I54)</f>
        <v>0</v>
      </c>
      <c r="K54" s="124" t="n">
        <f aca="false">IF(WEEKDAY(A54,3)&gt;4,0,(IF(A54&lt;K$2,0,IF(A54&lt;=K$3,1,0))))</f>
        <v>0</v>
      </c>
      <c r="L54" s="124" t="n">
        <f aca="false">J54*K54</f>
        <v>0</v>
      </c>
      <c r="M54" s="124" t="n">
        <f aca="false">SUM(J$6:J54)</f>
        <v>418008.272719893</v>
      </c>
      <c r="N54" s="124" t="n">
        <f aca="false">SUM(J$6:J54)</f>
        <v>418008.272719893</v>
      </c>
      <c r="P54" s="124" t="n">
        <f aca="false">D54/P$3</f>
        <v>0</v>
      </c>
      <c r="Q54" s="124" t="n">
        <f aca="false">E54/P$3</f>
        <v>0</v>
      </c>
      <c r="R54" s="124" t="n">
        <f aca="false">F54/R$3</f>
        <v>0</v>
      </c>
      <c r="S54" s="126" t="n">
        <f aca="false">J54/$R$3</f>
        <v>0</v>
      </c>
      <c r="T54" s="126" t="n">
        <f aca="false">L54/$R$3</f>
        <v>0</v>
      </c>
      <c r="U54" s="126" t="n">
        <f aca="false">I54/$R$3</f>
        <v>248.29318</v>
      </c>
      <c r="V54" s="126" t="n">
        <f aca="false">M54/$R$3</f>
        <v>418.008272719893</v>
      </c>
      <c r="W54" s="126" t="n">
        <f aca="false">N54/$R$3</f>
        <v>418.008272719893</v>
      </c>
    </row>
    <row r="55" customFormat="false" ht="12.75" hidden="true" customHeight="false" outlineLevel="0" collapsed="false">
      <c r="A55" s="120" t="n">
        <f aca="false">A54+1</f>
        <v>36941</v>
      </c>
      <c r="B55" s="131" t="str">
        <f aca="false">INDEX('Master Data'!$A$2:$B$8,MATCH(WEEKDAY('EZE Power Trading'!A55,3),'Master Data'!$A$2:$A$8,0),2)</f>
        <v>M</v>
      </c>
      <c r="D55" s="124" t="n">
        <v>0</v>
      </c>
      <c r="E55" s="124" t="n">
        <v>0</v>
      </c>
      <c r="F55" s="124" t="n">
        <v>0</v>
      </c>
      <c r="G55" s="124" t="n">
        <v>0</v>
      </c>
      <c r="I55" s="124" t="n">
        <f aca="false">IF(MONTH($A55)=MONTH($A54),IF(G55=0,I54,G55),G55)</f>
        <v>248293.18</v>
      </c>
      <c r="J55" s="124" t="n">
        <f aca="false">IF(MONTH($A55)=MONTH($A54),SUM(I55-I54),I55)</f>
        <v>0</v>
      </c>
      <c r="K55" s="124" t="n">
        <f aca="false">IF(WEEKDAY(A55,3)&gt;4,0,(IF(A55&lt;K$2,0,IF(A55&lt;=K$3,1,0))))</f>
        <v>0</v>
      </c>
      <c r="L55" s="124" t="n">
        <f aca="false">J55*K55</f>
        <v>0</v>
      </c>
      <c r="M55" s="124" t="n">
        <f aca="false">SUM(J$6:J55)</f>
        <v>418008.272719893</v>
      </c>
      <c r="N55" s="124" t="n">
        <f aca="false">SUM(J$6:J55)</f>
        <v>418008.272719893</v>
      </c>
      <c r="P55" s="124" t="n">
        <f aca="false">D55/P$3</f>
        <v>0</v>
      </c>
      <c r="Q55" s="124" t="n">
        <f aca="false">E55/P$3</f>
        <v>0</v>
      </c>
      <c r="R55" s="124" t="n">
        <f aca="false">F55/R$3</f>
        <v>0</v>
      </c>
      <c r="S55" s="126" t="n">
        <f aca="false">J55/$R$3</f>
        <v>0</v>
      </c>
      <c r="T55" s="126" t="n">
        <f aca="false">L55/$R$3</f>
        <v>0</v>
      </c>
      <c r="U55" s="126" t="n">
        <f aca="false">I55/$R$3</f>
        <v>248.29318</v>
      </c>
      <c r="V55" s="126" t="n">
        <f aca="false">M55/$R$3</f>
        <v>418.008272719893</v>
      </c>
      <c r="W55" s="126" t="n">
        <f aca="false">N55/$R$3</f>
        <v>418.008272719893</v>
      </c>
    </row>
    <row r="56" customFormat="false" ht="12.75" hidden="true" customHeight="false" outlineLevel="0" collapsed="false">
      <c r="A56" s="120" t="n">
        <f aca="false">A55+1</f>
        <v>36942</v>
      </c>
      <c r="B56" s="131" t="str">
        <f aca="false">INDEX('Master Data'!$A$2:$B$8,MATCH(WEEKDAY('EZE Power Trading'!A56,3),'Master Data'!$A$2:$A$8,0),2)</f>
        <v>T</v>
      </c>
      <c r="D56" s="124" t="n">
        <v>-223277</v>
      </c>
      <c r="E56" s="124" t="n">
        <v>223277</v>
      </c>
      <c r="F56" s="124" t="n">
        <v>0</v>
      </c>
      <c r="G56" s="124" t="n">
        <v>255226.89</v>
      </c>
      <c r="I56" s="124" t="n">
        <f aca="false">IF(MONTH($A56)=MONTH($A55),IF(G56=0,I55,G56),G56)</f>
        <v>255226.89</v>
      </c>
      <c r="J56" s="124" t="n">
        <f aca="false">IF(MONTH($A56)=MONTH($A55),SUM(I56-I55),I56)</f>
        <v>6933.71000000002</v>
      </c>
      <c r="K56" s="124" t="n">
        <f aca="false">IF(WEEKDAY(A56,3)&gt;4,0,(IF(A56&lt;K$2,0,IF(A56&lt;=K$3,1,0))))</f>
        <v>0</v>
      </c>
      <c r="L56" s="124" t="n">
        <f aca="false">J56*K56</f>
        <v>0</v>
      </c>
      <c r="M56" s="124" t="n">
        <f aca="false">SUM(J$6:J56)</f>
        <v>424941.982719893</v>
      </c>
      <c r="N56" s="124" t="n">
        <f aca="false">SUM(J$6:J56)</f>
        <v>424941.982719893</v>
      </c>
      <c r="P56" s="124" t="n">
        <f aca="false">D56/P$3</f>
        <v>-0.223277</v>
      </c>
      <c r="Q56" s="124" t="n">
        <f aca="false">E56/P$3</f>
        <v>0.223277</v>
      </c>
      <c r="R56" s="124" t="n">
        <f aca="false">F56/R$3</f>
        <v>0</v>
      </c>
      <c r="S56" s="126" t="n">
        <f aca="false">J56/$R$3</f>
        <v>6.93371000000002</v>
      </c>
      <c r="T56" s="126" t="n">
        <f aca="false">L56/$R$3</f>
        <v>0</v>
      </c>
      <c r="U56" s="126" t="n">
        <f aca="false">I56/$R$3</f>
        <v>255.22689</v>
      </c>
      <c r="V56" s="126" t="n">
        <f aca="false">M56/$R$3</f>
        <v>424.941982719893</v>
      </c>
      <c r="W56" s="126" t="n">
        <f aca="false">N56/$R$3</f>
        <v>424.941982719893</v>
      </c>
    </row>
    <row r="57" customFormat="false" ht="12.75" hidden="true" customHeight="false" outlineLevel="0" collapsed="false">
      <c r="A57" s="120" t="n">
        <f aca="false">A56+1</f>
        <v>36943</v>
      </c>
      <c r="B57" s="131" t="str">
        <f aca="false">INDEX('Master Data'!$A$2:$B$8,MATCH(WEEKDAY('EZE Power Trading'!A57,3),'Master Data'!$A$2:$A$8,0),2)</f>
        <v>W</v>
      </c>
      <c r="D57" s="124" t="n">
        <v>-222553</v>
      </c>
      <c r="E57" s="124" t="n">
        <v>222553</v>
      </c>
      <c r="F57" s="124" t="n">
        <v>0</v>
      </c>
      <c r="G57" s="124" t="n">
        <v>251910.21</v>
      </c>
      <c r="I57" s="124" t="n">
        <f aca="false">IF(MONTH($A57)=MONTH($A56),IF(G57=0,I56,G57),G57)</f>
        <v>251910.21</v>
      </c>
      <c r="J57" s="124" t="n">
        <f aca="false">IF(MONTH($A57)=MONTH($A56),SUM(I57-I56),I57)</f>
        <v>-3316.68000000002</v>
      </c>
      <c r="K57" s="124" t="n">
        <f aca="false">IF(WEEKDAY(A57,3)&gt;4,0,(IF(A57&lt;K$2,0,IF(A57&lt;=K$3,1,0))))</f>
        <v>0</v>
      </c>
      <c r="L57" s="124" t="n">
        <f aca="false">J57*K57</f>
        <v>-0</v>
      </c>
      <c r="M57" s="124" t="n">
        <f aca="false">SUM(J$6:J57)</f>
        <v>421625.302719893</v>
      </c>
      <c r="N57" s="124" t="n">
        <f aca="false">SUM(J$6:J57)</f>
        <v>421625.302719893</v>
      </c>
      <c r="P57" s="124" t="n">
        <f aca="false">D57/P$3</f>
        <v>-0.222553</v>
      </c>
      <c r="Q57" s="124" t="n">
        <f aca="false">E57/P$3</f>
        <v>0.222553</v>
      </c>
      <c r="R57" s="124" t="n">
        <f aca="false">F57/R$3</f>
        <v>0</v>
      </c>
      <c r="S57" s="126" t="n">
        <f aca="false">J57/$R$3</f>
        <v>-3.31668000000002</v>
      </c>
      <c r="T57" s="126" t="n">
        <f aca="false">L57/$R$3</f>
        <v>-0</v>
      </c>
      <c r="U57" s="126" t="n">
        <f aca="false">I57/$R$3</f>
        <v>251.91021</v>
      </c>
      <c r="V57" s="126" t="n">
        <f aca="false">M57/$R$3</f>
        <v>421.625302719893</v>
      </c>
      <c r="W57" s="126" t="n">
        <f aca="false">N57/$R$3</f>
        <v>421.625302719893</v>
      </c>
    </row>
    <row r="58" customFormat="false" ht="12.75" hidden="true" customHeight="false" outlineLevel="0" collapsed="false">
      <c r="A58" s="120" t="n">
        <f aca="false">A57+1</f>
        <v>36944</v>
      </c>
      <c r="B58" s="131" t="str">
        <f aca="false">INDEX('Master Data'!$A$2:$B$8,MATCH(WEEKDAY('EZE Power Trading'!A58,3),'Master Data'!$A$2:$A$8,0),2)</f>
        <v>Th</v>
      </c>
      <c r="D58" s="124" t="n">
        <v>-221878</v>
      </c>
      <c r="E58" s="124" t="n">
        <v>221878</v>
      </c>
      <c r="F58" s="124" t="n">
        <v>0</v>
      </c>
      <c r="G58" s="124" t="n">
        <v>250149.82</v>
      </c>
      <c r="I58" s="124" t="n">
        <f aca="false">IF(MONTH($A58)=MONTH($A57),IF(G58=0,I57,G58),G58)</f>
        <v>250149.82</v>
      </c>
      <c r="J58" s="124" t="n">
        <f aca="false">IF(MONTH($A58)=MONTH($A57),SUM(I58-I57),I58)</f>
        <v>-1760.38999999998</v>
      </c>
      <c r="K58" s="124" t="n">
        <f aca="false">IF(WEEKDAY(A58,3)&gt;4,0,(IF(A58&lt;K$2,0,IF(A58&lt;=K$3,1,0))))</f>
        <v>0</v>
      </c>
      <c r="L58" s="124" t="n">
        <f aca="false">J58*K58</f>
        <v>-0</v>
      </c>
      <c r="M58" s="124" t="n">
        <f aca="false">SUM(J$6:J58)</f>
        <v>419864.912719893</v>
      </c>
      <c r="N58" s="124" t="n">
        <f aca="false">SUM(J$6:J58)</f>
        <v>419864.912719893</v>
      </c>
      <c r="P58" s="124" t="n">
        <f aca="false">D58/P$3</f>
        <v>-0.221878</v>
      </c>
      <c r="Q58" s="124" t="n">
        <f aca="false">E58/P$3</f>
        <v>0.221878</v>
      </c>
      <c r="R58" s="124" t="n">
        <f aca="false">F58/R$3</f>
        <v>0</v>
      </c>
      <c r="S58" s="126" t="n">
        <f aca="false">J58/$R$3</f>
        <v>-1.76038999999998</v>
      </c>
      <c r="T58" s="126" t="n">
        <f aca="false">L58/$R$3</f>
        <v>-0</v>
      </c>
      <c r="U58" s="126" t="n">
        <f aca="false">I58/$R$3</f>
        <v>250.14982</v>
      </c>
      <c r="V58" s="126" t="n">
        <f aca="false">M58/$R$3</f>
        <v>419.864912719893</v>
      </c>
      <c r="W58" s="126" t="n">
        <f aca="false">N58/$R$3</f>
        <v>419.864912719893</v>
      </c>
    </row>
    <row r="59" customFormat="false" ht="12.75" hidden="true" customHeight="false" outlineLevel="0" collapsed="false">
      <c r="A59" s="120" t="n">
        <f aca="false">A58+1</f>
        <v>36945</v>
      </c>
      <c r="B59" s="131" t="str">
        <f aca="false">INDEX('Master Data'!$A$2:$B$8,MATCH(WEEKDAY('EZE Power Trading'!A59,3),'Master Data'!$A$2:$A$8,0),2)</f>
        <v>F</v>
      </c>
      <c r="D59" s="124" t="n">
        <v>-221195</v>
      </c>
      <c r="E59" s="124" t="n">
        <v>221195</v>
      </c>
      <c r="F59" s="124" t="n">
        <v>0</v>
      </c>
      <c r="G59" s="124" t="n">
        <v>250756.39</v>
      </c>
      <c r="I59" s="124" t="n">
        <f aca="false">IF(MONTH($A59)=MONTH($A58),IF(G59=0,I58,G59),G59)</f>
        <v>250756.39</v>
      </c>
      <c r="J59" s="124" t="n">
        <f aca="false">IF(MONTH($A59)=MONTH($A58),SUM(I59-I58),I59)</f>
        <v>606.570000000007</v>
      </c>
      <c r="K59" s="124" t="n">
        <f aca="false">IF(WEEKDAY(A59,3)&gt;4,0,(IF(A59&lt;K$2,0,IF(A59&lt;=K$3,1,0))))</f>
        <v>0</v>
      </c>
      <c r="L59" s="124" t="n">
        <f aca="false">J59*K59</f>
        <v>0</v>
      </c>
      <c r="M59" s="124" t="n">
        <f aca="false">SUM(J$6:J59)</f>
        <v>420471.482719893</v>
      </c>
      <c r="N59" s="124" t="n">
        <f aca="false">SUM(J$6:J59)</f>
        <v>420471.482719893</v>
      </c>
      <c r="P59" s="124" t="n">
        <f aca="false">D59/P$3</f>
        <v>-0.221195</v>
      </c>
      <c r="Q59" s="124" t="n">
        <f aca="false">E59/P$3</f>
        <v>0.221195</v>
      </c>
      <c r="R59" s="124" t="n">
        <f aca="false">F59/R$3</f>
        <v>0</v>
      </c>
      <c r="S59" s="126" t="n">
        <f aca="false">J59/$R$3</f>
        <v>0.606570000000007</v>
      </c>
      <c r="T59" s="126" t="n">
        <f aca="false">L59/$R$3</f>
        <v>0</v>
      </c>
      <c r="U59" s="126" t="n">
        <f aca="false">I59/$R$3</f>
        <v>250.75639</v>
      </c>
      <c r="V59" s="126" t="n">
        <f aca="false">M59/$R$3</f>
        <v>420.471482719893</v>
      </c>
      <c r="W59" s="126" t="n">
        <f aca="false">N59/$R$3</f>
        <v>420.471482719893</v>
      </c>
    </row>
    <row r="60" customFormat="false" ht="12.75" hidden="true" customHeight="false" outlineLevel="0" collapsed="false">
      <c r="A60" s="120" t="n">
        <f aca="false">A59+1</f>
        <v>36946</v>
      </c>
      <c r="B60" s="131" t="str">
        <f aca="false">INDEX('Master Data'!$A$2:$B$8,MATCH(WEEKDAY('EZE Power Trading'!A60,3),'Master Data'!$A$2:$A$8,0),2)</f>
        <v>Sa</v>
      </c>
      <c r="D60" s="124" t="n">
        <v>0</v>
      </c>
      <c r="E60" s="124" t="n">
        <v>0</v>
      </c>
      <c r="F60" s="124" t="n">
        <v>0</v>
      </c>
      <c r="G60" s="124" t="n">
        <v>0</v>
      </c>
      <c r="I60" s="124" t="n">
        <f aca="false">IF(MONTH($A60)=MONTH($A59),IF(G60=0,I59,G60),G60)</f>
        <v>250756.39</v>
      </c>
      <c r="J60" s="124" t="n">
        <f aca="false">IF(MONTH($A60)=MONTH($A59),SUM(I60-I59),I60)</f>
        <v>0</v>
      </c>
      <c r="K60" s="124" t="n">
        <f aca="false">IF(WEEKDAY(A60,3)&gt;4,0,(IF(A60&lt;K$2,0,IF(A60&lt;=K$3,1,0))))</f>
        <v>0</v>
      </c>
      <c r="L60" s="124" t="n">
        <f aca="false">J60*K60</f>
        <v>0</v>
      </c>
      <c r="M60" s="124" t="n">
        <f aca="false">SUM(J$6:J60)</f>
        <v>420471.482719893</v>
      </c>
      <c r="N60" s="124" t="n">
        <f aca="false">SUM(J$6:J60)</f>
        <v>420471.482719893</v>
      </c>
      <c r="P60" s="124" t="n">
        <f aca="false">D60/P$3</f>
        <v>0</v>
      </c>
      <c r="Q60" s="124" t="n">
        <f aca="false">E60/P$3</f>
        <v>0</v>
      </c>
      <c r="R60" s="124" t="n">
        <f aca="false">F60/R$3</f>
        <v>0</v>
      </c>
      <c r="S60" s="126" t="n">
        <f aca="false">J60/$R$3</f>
        <v>0</v>
      </c>
      <c r="T60" s="126" t="n">
        <f aca="false">L60/$R$3</f>
        <v>0</v>
      </c>
      <c r="U60" s="126" t="n">
        <f aca="false">I60/$R$3</f>
        <v>250.75639</v>
      </c>
      <c r="V60" s="126" t="n">
        <f aca="false">M60/$R$3</f>
        <v>420.471482719893</v>
      </c>
      <c r="W60" s="126" t="n">
        <f aca="false">N60/$R$3</f>
        <v>420.471482719893</v>
      </c>
    </row>
    <row r="61" customFormat="false" ht="12.75" hidden="true" customHeight="false" outlineLevel="0" collapsed="false">
      <c r="A61" s="120" t="n">
        <f aca="false">A60+1</f>
        <v>36947</v>
      </c>
      <c r="B61" s="131" t="str">
        <f aca="false">INDEX('Master Data'!$A$2:$B$8,MATCH(WEEKDAY('EZE Power Trading'!A61,3),'Master Data'!$A$2:$A$8,0),2)</f>
        <v>Su</v>
      </c>
      <c r="D61" s="124" t="n">
        <v>0</v>
      </c>
      <c r="E61" s="124" t="n">
        <v>0</v>
      </c>
      <c r="F61" s="124" t="n">
        <v>0</v>
      </c>
      <c r="G61" s="124" t="n">
        <v>0</v>
      </c>
      <c r="I61" s="124" t="n">
        <f aca="false">IF(MONTH($A61)=MONTH($A60),IF(G61=0,I60,G61),G61)</f>
        <v>250756.39</v>
      </c>
      <c r="J61" s="124" t="n">
        <f aca="false">IF(MONTH($A61)=MONTH($A60),SUM(I61-I60),I61)</f>
        <v>0</v>
      </c>
      <c r="K61" s="124" t="n">
        <f aca="false">IF(WEEKDAY(A61,3)&gt;4,0,(IF(A61&lt;K$2,0,IF(A61&lt;=K$3,1,0))))</f>
        <v>0</v>
      </c>
      <c r="L61" s="124" t="n">
        <f aca="false">J61*K61</f>
        <v>0</v>
      </c>
      <c r="M61" s="124" t="n">
        <f aca="false">SUM(J$6:J61)</f>
        <v>420471.482719893</v>
      </c>
      <c r="N61" s="124" t="n">
        <f aca="false">SUM(J$6:J61)</f>
        <v>420471.482719893</v>
      </c>
      <c r="P61" s="124" t="n">
        <f aca="false">D61/P$3</f>
        <v>0</v>
      </c>
      <c r="Q61" s="124" t="n">
        <f aca="false">E61/P$3</f>
        <v>0</v>
      </c>
      <c r="R61" s="124" t="n">
        <f aca="false">F61/R$3</f>
        <v>0</v>
      </c>
      <c r="S61" s="126" t="n">
        <f aca="false">J61/$R$3</f>
        <v>0</v>
      </c>
      <c r="T61" s="126" t="n">
        <f aca="false">L61/$R$3</f>
        <v>0</v>
      </c>
      <c r="U61" s="126" t="n">
        <f aca="false">I61/$R$3</f>
        <v>250.75639</v>
      </c>
      <c r="V61" s="126" t="n">
        <f aca="false">M61/$R$3</f>
        <v>420.471482719893</v>
      </c>
      <c r="W61" s="126" t="n">
        <f aca="false">N61/$R$3</f>
        <v>420.471482719893</v>
      </c>
    </row>
    <row r="62" customFormat="false" ht="12.75" hidden="true" customHeight="false" outlineLevel="0" collapsed="false">
      <c r="A62" s="120" t="n">
        <f aca="false">A61+1</f>
        <v>36948</v>
      </c>
      <c r="B62" s="131" t="str">
        <f aca="false">INDEX('Master Data'!$A$2:$B$8,MATCH(WEEKDAY('EZE Power Trading'!A62,3),'Master Data'!$A$2:$A$8,0),2)</f>
        <v>M</v>
      </c>
      <c r="D62" s="124" t="n">
        <v>-219264</v>
      </c>
      <c r="E62" s="124" t="n">
        <v>219264</v>
      </c>
      <c r="F62" s="124" t="n">
        <v>0</v>
      </c>
      <c r="G62" s="124" t="n">
        <v>242995.24</v>
      </c>
      <c r="I62" s="124" t="n">
        <f aca="false">IF(MONTH($A62)=MONTH($A61),IF(G62=0,I61,G62),G62)</f>
        <v>242995.24</v>
      </c>
      <c r="J62" s="124" t="n">
        <f aca="false">IF(MONTH($A62)=MONTH($A61),SUM(I62-I61),I62)</f>
        <v>-7761.15000000002</v>
      </c>
      <c r="K62" s="124" t="n">
        <f aca="false">IF(WEEKDAY(A62,3)&gt;4,0,(IF(A62&lt;K$2,0,IF(A62&lt;=K$3,1,0))))</f>
        <v>0</v>
      </c>
      <c r="L62" s="124" t="n">
        <f aca="false">J62*K62</f>
        <v>-0</v>
      </c>
      <c r="M62" s="124" t="n">
        <f aca="false">SUM(J$6:J62)</f>
        <v>412710.332719893</v>
      </c>
      <c r="N62" s="124" t="n">
        <f aca="false">SUM(J$6:J62)</f>
        <v>412710.332719893</v>
      </c>
      <c r="P62" s="124" t="n">
        <f aca="false">D62/P$3</f>
        <v>-0.219264</v>
      </c>
      <c r="Q62" s="124" t="n">
        <f aca="false">E62/P$3</f>
        <v>0.219264</v>
      </c>
      <c r="R62" s="124" t="n">
        <f aca="false">F62/R$3</f>
        <v>0</v>
      </c>
      <c r="S62" s="126" t="n">
        <f aca="false">J62/$R$3</f>
        <v>-7.76115000000002</v>
      </c>
      <c r="T62" s="126" t="n">
        <f aca="false">L62/$R$3</f>
        <v>-0</v>
      </c>
      <c r="U62" s="126" t="n">
        <f aca="false">I62/$R$3</f>
        <v>242.99524</v>
      </c>
      <c r="V62" s="126" t="n">
        <f aca="false">M62/$R$3</f>
        <v>412.710332719893</v>
      </c>
      <c r="W62" s="126" t="n">
        <f aca="false">N62/$R$3</f>
        <v>412.710332719893</v>
      </c>
    </row>
    <row r="63" customFormat="false" ht="12.75" hidden="true" customHeight="false" outlineLevel="0" collapsed="false">
      <c r="A63" s="120" t="n">
        <f aca="false">A62+1</f>
        <v>36949</v>
      </c>
      <c r="B63" s="131" t="str">
        <f aca="false">INDEX('Master Data'!$A$2:$B$8,MATCH(WEEKDAY('EZE Power Trading'!A63,3),'Master Data'!$A$2:$A$8,0),2)</f>
        <v>T</v>
      </c>
      <c r="D63" s="124" t="n">
        <v>-218621</v>
      </c>
      <c r="E63" s="124" t="n">
        <v>218621</v>
      </c>
      <c r="F63" s="124" t="n">
        <v>0</v>
      </c>
      <c r="G63" s="124" t="n">
        <v>244999.23</v>
      </c>
      <c r="I63" s="124" t="n">
        <f aca="false">IF(MONTH($A63)=MONTH($A62),IF(G63=0,I62,G63),G63)</f>
        <v>244999.23</v>
      </c>
      <c r="J63" s="124" t="n">
        <f aca="false">IF(MONTH($A63)=MONTH($A62),SUM(I63-I62),I63)</f>
        <v>2003.99000000002</v>
      </c>
      <c r="K63" s="124" t="n">
        <f aca="false">IF(WEEKDAY(A63,3)&gt;4,0,(IF(A63&lt;K$2,0,IF(A63&lt;=K$3,1,0))))</f>
        <v>0</v>
      </c>
      <c r="L63" s="124" t="n">
        <f aca="false">J63*K63</f>
        <v>0</v>
      </c>
      <c r="M63" s="124" t="n">
        <f aca="false">SUM(J$6:J63)</f>
        <v>414714.322719893</v>
      </c>
      <c r="N63" s="124" t="n">
        <f aca="false">SUM(J$6:J63)</f>
        <v>414714.322719893</v>
      </c>
      <c r="P63" s="124" t="n">
        <f aca="false">D63/P$3</f>
        <v>-0.218621</v>
      </c>
      <c r="Q63" s="124" t="n">
        <f aca="false">E63/P$3</f>
        <v>0.218621</v>
      </c>
      <c r="R63" s="124" t="n">
        <f aca="false">F63/R$3</f>
        <v>0</v>
      </c>
      <c r="S63" s="126" t="n">
        <f aca="false">J63/$R$3</f>
        <v>2.00399000000002</v>
      </c>
      <c r="T63" s="126" t="n">
        <f aca="false">L63/$R$3</f>
        <v>0</v>
      </c>
      <c r="U63" s="126" t="n">
        <f aca="false">I63/$R$3</f>
        <v>244.99923</v>
      </c>
      <c r="V63" s="126" t="n">
        <f aca="false">M63/$R$3</f>
        <v>414.714322719893</v>
      </c>
      <c r="W63" s="126" t="n">
        <f aca="false">N63/$R$3</f>
        <v>414.714322719893</v>
      </c>
    </row>
    <row r="64" customFormat="false" ht="12.75" hidden="false" customHeight="false" outlineLevel="0" collapsed="false">
      <c r="A64" s="120" t="n">
        <f aca="false">A63+1</f>
        <v>36950</v>
      </c>
      <c r="B64" s="131" t="str">
        <f aca="false">INDEX('Master Data'!$A$2:$B$8,MATCH(WEEKDAY('EZE Power Trading'!A64,3),'Master Data'!$A$2:$A$8,0),2)</f>
        <v>W</v>
      </c>
      <c r="D64" s="124" t="n">
        <v>-217918</v>
      </c>
      <c r="E64" s="124" t="n">
        <v>217918</v>
      </c>
      <c r="F64" s="124" t="n">
        <v>0</v>
      </c>
      <c r="G64" s="124" t="n">
        <f aca="false">245150.510656253-462.28</f>
        <v>244688.230656253</v>
      </c>
      <c r="I64" s="124" t="n">
        <f aca="false">IF(MONTH($A64)=MONTH($A63),IF(G64=0,I63,G64),G64)</f>
        <v>244688.230656253</v>
      </c>
      <c r="J64" s="124" t="n">
        <f aca="false">IF(MONTH($A64)=MONTH($A63),SUM(I64-I63),I64)</f>
        <v>-310.999343747011</v>
      </c>
      <c r="K64" s="124" t="n">
        <f aca="false">IF(WEEKDAY(A64,3)&gt;4,0,(IF(A64&lt;K$2,0,IF(A64&lt;=K$3,1,0))))</f>
        <v>0</v>
      </c>
      <c r="L64" s="124" t="n">
        <f aca="false">J64*K64</f>
        <v>-0</v>
      </c>
      <c r="M64" s="124" t="n">
        <f aca="false">SUM(J$6:J64)</f>
        <v>414403.323376146</v>
      </c>
      <c r="N64" s="124" t="n">
        <f aca="false">SUM(J$6:J64)</f>
        <v>414403.323376146</v>
      </c>
      <c r="P64" s="124" t="n">
        <f aca="false">D64/P$3</f>
        <v>-0.217918</v>
      </c>
      <c r="Q64" s="124" t="n">
        <f aca="false">E64/P$3</f>
        <v>0.217918</v>
      </c>
      <c r="R64" s="124" t="n">
        <f aca="false">F64/R$3</f>
        <v>0</v>
      </c>
      <c r="S64" s="126" t="n">
        <f aca="false">J64/$R$3</f>
        <v>-0.310999343747011</v>
      </c>
      <c r="T64" s="126" t="n">
        <f aca="false">L64/$R$3</f>
        <v>-0</v>
      </c>
      <c r="U64" s="126" t="n">
        <f aca="false">I64/$R$3</f>
        <v>244.688230656253</v>
      </c>
      <c r="V64" s="126" t="n">
        <f aca="false">M64/$R$3</f>
        <v>414.403323376146</v>
      </c>
      <c r="W64" s="126" t="n">
        <f aca="false">N64/$R$3</f>
        <v>414.403323376146</v>
      </c>
    </row>
    <row r="65" customFormat="false" ht="12.75" hidden="true" customHeight="false" outlineLevel="0" collapsed="false">
      <c r="A65" s="120" t="n">
        <f aca="false">A64+1</f>
        <v>36951</v>
      </c>
      <c r="B65" s="131" t="str">
        <f aca="false">INDEX('Master Data'!$A$2:$B$8,MATCH(WEEKDAY('EZE Power Trading'!A65,3),'Master Data'!$A$2:$A$8,0),2)</f>
        <v>Th</v>
      </c>
      <c r="D65" s="124" t="n">
        <v>-217195</v>
      </c>
      <c r="E65" s="124" t="n">
        <v>217195</v>
      </c>
      <c r="F65" s="124" t="n">
        <v>0</v>
      </c>
      <c r="G65" s="124" t="n">
        <v>406.06</v>
      </c>
      <c r="I65" s="124" t="n">
        <f aca="false">IF(MONTH($A65)=MONTH($A64),IF(G65=0,I64,G65),G65)</f>
        <v>406.06</v>
      </c>
      <c r="J65" s="124" t="n">
        <f aca="false">IF(MONTH($A65)=MONTH($A64),SUM(I65-I64),I65)</f>
        <v>406.06</v>
      </c>
      <c r="K65" s="124" t="n">
        <f aca="false">IF(WEEKDAY(A65,3)&gt;4,0,(IF(A65&lt;K$2,0,IF(A65&lt;=K$3,1,0))))</f>
        <v>0</v>
      </c>
      <c r="L65" s="124" t="n">
        <f aca="false">J65*K65</f>
        <v>0</v>
      </c>
      <c r="M65" s="124" t="n">
        <f aca="false">SUM(J$6:J65)</f>
        <v>414809.383376146</v>
      </c>
      <c r="N65" s="124" t="n">
        <f aca="false">SUM(J$6:J65)</f>
        <v>414809.383376146</v>
      </c>
      <c r="P65" s="124" t="n">
        <f aca="false">D65/P$3</f>
        <v>-0.217195</v>
      </c>
      <c r="Q65" s="124" t="n">
        <f aca="false">E65/P$3</f>
        <v>0.217195</v>
      </c>
      <c r="R65" s="124" t="n">
        <f aca="false">F65/R$3</f>
        <v>0</v>
      </c>
      <c r="S65" s="126" t="n">
        <f aca="false">J65/$R$3</f>
        <v>0.40606</v>
      </c>
      <c r="T65" s="126" t="n">
        <f aca="false">L65/$R$3</f>
        <v>0</v>
      </c>
      <c r="U65" s="126" t="n">
        <f aca="false">I65/$R$3</f>
        <v>0.40606</v>
      </c>
      <c r="V65" s="126" t="n">
        <f aca="false">M65/$R$3</f>
        <v>414.809383376146</v>
      </c>
      <c r="W65" s="126" t="n">
        <f aca="false">N65/$R$3</f>
        <v>414.809383376146</v>
      </c>
    </row>
    <row r="66" customFormat="false" ht="12.75" hidden="true" customHeight="false" outlineLevel="0" collapsed="false">
      <c r="A66" s="120" t="n">
        <f aca="false">A65+1</f>
        <v>36952</v>
      </c>
      <c r="B66" s="131" t="str">
        <f aca="false">INDEX('Master Data'!$A$2:$B$8,MATCH(WEEKDAY('EZE Power Trading'!A66,3),'Master Data'!$A$2:$A$8,0),2)</f>
        <v>F</v>
      </c>
      <c r="D66" s="124" t="n">
        <v>-216455</v>
      </c>
      <c r="E66" s="124" t="n">
        <v>216455</v>
      </c>
      <c r="F66" s="124" t="n">
        <v>0</v>
      </c>
      <c r="G66" s="124" t="n">
        <v>32866.66</v>
      </c>
      <c r="I66" s="124" t="n">
        <f aca="false">IF(MONTH($A66)=MONTH($A65),IF(G66=0,I65,G66),G66)</f>
        <v>32866.66</v>
      </c>
      <c r="J66" s="124" t="n">
        <f aca="false">IF(MONTH($A66)=MONTH($A65),SUM(I66-I65),I66)</f>
        <v>32460.6</v>
      </c>
      <c r="K66" s="124" t="n">
        <f aca="false">IF(WEEKDAY(A66,3)&gt;4,0,(IF(A66&lt;K$2,0,IF(A66&lt;=K$3,1,0))))</f>
        <v>0</v>
      </c>
      <c r="L66" s="124" t="n">
        <f aca="false">J66*K66</f>
        <v>0</v>
      </c>
      <c r="M66" s="124" t="n">
        <f aca="false">SUM(J$6:J66)</f>
        <v>447269.983376146</v>
      </c>
      <c r="N66" s="124" t="n">
        <f aca="false">SUM(J$6:J66)</f>
        <v>447269.983376146</v>
      </c>
      <c r="P66" s="124" t="n">
        <f aca="false">D66/P$3</f>
        <v>-0.216455</v>
      </c>
      <c r="Q66" s="124" t="n">
        <f aca="false">E66/P$3</f>
        <v>0.216455</v>
      </c>
      <c r="R66" s="124" t="n">
        <f aca="false">F66/R$3</f>
        <v>0</v>
      </c>
      <c r="S66" s="126" t="n">
        <f aca="false">J66/$R$3</f>
        <v>32.4606</v>
      </c>
      <c r="T66" s="126" t="n">
        <f aca="false">L66/$R$3</f>
        <v>0</v>
      </c>
      <c r="U66" s="126" t="n">
        <f aca="false">I66/$R$3</f>
        <v>32.86666</v>
      </c>
      <c r="V66" s="126" t="n">
        <f aca="false">M66/$R$3</f>
        <v>447.269983376146</v>
      </c>
      <c r="W66" s="126" t="n">
        <f aca="false">N66/$R$3</f>
        <v>447.269983376146</v>
      </c>
    </row>
    <row r="67" customFormat="false" ht="12.75" hidden="true" customHeight="false" outlineLevel="0" collapsed="false">
      <c r="A67" s="120" t="n">
        <f aca="false">A66+1</f>
        <v>36953</v>
      </c>
      <c r="B67" s="131" t="str">
        <f aca="false">INDEX('Master Data'!$A$2:$B$8,MATCH(WEEKDAY('EZE Power Trading'!A67,3),'Master Data'!$A$2:$A$8,0),2)</f>
        <v>Sa</v>
      </c>
      <c r="D67" s="124" t="n">
        <v>0</v>
      </c>
      <c r="E67" s="124" t="n">
        <v>0</v>
      </c>
      <c r="F67" s="124" t="n">
        <v>0</v>
      </c>
      <c r="G67" s="124" t="n">
        <v>0</v>
      </c>
      <c r="I67" s="124" t="n">
        <f aca="false">IF(MONTH($A67)=MONTH($A66),IF(G67=0,I66,G67),G67)</f>
        <v>32866.66</v>
      </c>
      <c r="J67" s="124" t="n">
        <f aca="false">IF(MONTH($A67)=MONTH($A66),SUM(I67-I66),I67)</f>
        <v>0</v>
      </c>
      <c r="K67" s="124" t="n">
        <f aca="false">IF(WEEKDAY(A67,3)&gt;4,0,(IF(A67&lt;K$2,0,IF(A67&lt;=K$3,1,0))))</f>
        <v>0</v>
      </c>
      <c r="L67" s="124" t="n">
        <f aca="false">J67*K67</f>
        <v>0</v>
      </c>
      <c r="M67" s="124" t="n">
        <f aca="false">SUM(J$6:J67)</f>
        <v>447269.983376146</v>
      </c>
      <c r="N67" s="124" t="n">
        <f aca="false">SUM(J$6:J67)</f>
        <v>447269.983376146</v>
      </c>
      <c r="P67" s="124" t="n">
        <f aca="false">D67/P$3</f>
        <v>0</v>
      </c>
      <c r="Q67" s="124" t="n">
        <f aca="false">E67/P$3</f>
        <v>0</v>
      </c>
      <c r="R67" s="124" t="n">
        <f aca="false">F67/R$3</f>
        <v>0</v>
      </c>
      <c r="S67" s="126" t="n">
        <f aca="false">J67/$R$3</f>
        <v>0</v>
      </c>
      <c r="T67" s="126" t="n">
        <f aca="false">L67/$R$3</f>
        <v>0</v>
      </c>
      <c r="U67" s="126" t="n">
        <f aca="false">I67/$R$3</f>
        <v>32.86666</v>
      </c>
      <c r="V67" s="126" t="n">
        <f aca="false">M67/$R$3</f>
        <v>447.269983376146</v>
      </c>
      <c r="W67" s="126" t="n">
        <f aca="false">N67/$R$3</f>
        <v>447.269983376146</v>
      </c>
    </row>
    <row r="68" customFormat="false" ht="12.75" hidden="true" customHeight="false" outlineLevel="0" collapsed="false">
      <c r="A68" s="120" t="n">
        <f aca="false">A67+1</f>
        <v>36954</v>
      </c>
      <c r="B68" s="131" t="str">
        <f aca="false">INDEX('Master Data'!$A$2:$B$8,MATCH(WEEKDAY('EZE Power Trading'!A68,3),'Master Data'!$A$2:$A$8,0),2)</f>
        <v>Su</v>
      </c>
      <c r="D68" s="124" t="n">
        <v>0</v>
      </c>
      <c r="E68" s="124" t="n">
        <v>0</v>
      </c>
      <c r="F68" s="124" t="n">
        <v>0</v>
      </c>
      <c r="G68" s="124" t="n">
        <v>0</v>
      </c>
      <c r="I68" s="124" t="n">
        <f aca="false">IF(MONTH($A68)=MONTH($A67),IF(G68=0,I67,G68),G68)</f>
        <v>32866.66</v>
      </c>
      <c r="J68" s="124" t="n">
        <f aca="false">IF(MONTH($A68)=MONTH($A67),SUM(I68-I67),I68)</f>
        <v>0</v>
      </c>
      <c r="K68" s="124" t="n">
        <f aca="false">IF(WEEKDAY(A68,3)&gt;4,0,(IF(A68&lt;K$2,0,IF(A68&lt;=K$3,1,0))))</f>
        <v>0</v>
      </c>
      <c r="L68" s="124" t="n">
        <f aca="false">J68*K68</f>
        <v>0</v>
      </c>
      <c r="M68" s="124" t="n">
        <f aca="false">SUM(J$6:J68)</f>
        <v>447269.983376146</v>
      </c>
      <c r="N68" s="124" t="n">
        <f aca="false">SUM(J$6:J68)</f>
        <v>447269.983376146</v>
      </c>
      <c r="P68" s="124" t="n">
        <f aca="false">D68/P$3</f>
        <v>0</v>
      </c>
      <c r="Q68" s="124" t="n">
        <f aca="false">E68/P$3</f>
        <v>0</v>
      </c>
      <c r="R68" s="124" t="n">
        <f aca="false">F68/R$3</f>
        <v>0</v>
      </c>
      <c r="S68" s="126" t="n">
        <f aca="false">J68/$R$3</f>
        <v>0</v>
      </c>
      <c r="T68" s="126" t="n">
        <f aca="false">L68/$R$3</f>
        <v>0</v>
      </c>
      <c r="U68" s="126" t="n">
        <f aca="false">I68/$R$3</f>
        <v>32.86666</v>
      </c>
      <c r="V68" s="126" t="n">
        <f aca="false">M68/$R$3</f>
        <v>447.269983376146</v>
      </c>
      <c r="W68" s="126" t="n">
        <f aca="false">N68/$R$3</f>
        <v>447.269983376146</v>
      </c>
    </row>
    <row r="69" customFormat="false" ht="12.75" hidden="true" customHeight="false" outlineLevel="0" collapsed="false">
      <c r="A69" s="120" t="n">
        <f aca="false">A68+1</f>
        <v>36955</v>
      </c>
      <c r="B69" s="131" t="str">
        <f aca="false">INDEX('Master Data'!$A$2:$B$8,MATCH(WEEKDAY('EZE Power Trading'!A69,3),'Master Data'!$A$2:$A$8,0),2)</f>
        <v>M</v>
      </c>
      <c r="D69" s="124" t="n">
        <v>-214436</v>
      </c>
      <c r="E69" s="124" t="n">
        <v>214436</v>
      </c>
      <c r="F69" s="124" t="n">
        <v>0</v>
      </c>
      <c r="G69" s="124" t="n">
        <v>45908.74</v>
      </c>
      <c r="I69" s="124" t="n">
        <f aca="false">IF(MONTH($A69)=MONTH($A68),IF(G69=0,I68,G69),G69)</f>
        <v>45908.74</v>
      </c>
      <c r="J69" s="124" t="n">
        <f aca="false">IF(MONTH($A69)=MONTH($A68),SUM(I69-I68),I69)</f>
        <v>13042.08</v>
      </c>
      <c r="K69" s="124" t="n">
        <f aca="false">IF(WEEKDAY(A69,3)&gt;4,0,(IF(A69&lt;K$2,0,IF(A69&lt;=K$3,1,0))))</f>
        <v>0</v>
      </c>
      <c r="L69" s="124" t="n">
        <f aca="false">J69*K69</f>
        <v>0</v>
      </c>
      <c r="M69" s="124" t="n">
        <f aca="false">SUM(J$6:J69)</f>
        <v>460312.063376146</v>
      </c>
      <c r="N69" s="124" t="n">
        <f aca="false">SUM(J$6:J69)</f>
        <v>460312.063376146</v>
      </c>
      <c r="P69" s="124" t="n">
        <f aca="false">D69/P$3</f>
        <v>-0.214436</v>
      </c>
      <c r="Q69" s="124" t="n">
        <f aca="false">E69/P$3</f>
        <v>0.214436</v>
      </c>
      <c r="R69" s="124" t="n">
        <f aca="false">F69/R$3</f>
        <v>0</v>
      </c>
      <c r="S69" s="126" t="n">
        <f aca="false">J69/$R$3</f>
        <v>13.04208</v>
      </c>
      <c r="T69" s="126" t="n">
        <f aca="false">L69/$R$3</f>
        <v>0</v>
      </c>
      <c r="U69" s="126" t="n">
        <f aca="false">I69/$R$3</f>
        <v>45.90874</v>
      </c>
      <c r="V69" s="126" t="n">
        <f aca="false">M69/$R$3</f>
        <v>460.312063376146</v>
      </c>
      <c r="W69" s="126" t="n">
        <f aca="false">N69/$R$3</f>
        <v>460.312063376146</v>
      </c>
    </row>
    <row r="70" customFormat="false" ht="12.75" hidden="true" customHeight="false" outlineLevel="0" collapsed="false">
      <c r="A70" s="120" t="n">
        <f aca="false">A69+1</f>
        <v>36956</v>
      </c>
      <c r="B70" s="131" t="str">
        <f aca="false">INDEX('Master Data'!$A$2:$B$8,MATCH(WEEKDAY('EZE Power Trading'!A70,3),'Master Data'!$A$2:$A$8,0),2)</f>
        <v>T</v>
      </c>
      <c r="D70" s="124" t="n">
        <v>-213712</v>
      </c>
      <c r="E70" s="124" t="n">
        <v>213712</v>
      </c>
      <c r="F70" s="124" t="n">
        <v>0</v>
      </c>
      <c r="G70" s="124" t="n">
        <v>47150.62</v>
      </c>
      <c r="I70" s="124" t="n">
        <f aca="false">IF(MONTH($A70)=MONTH($A69),IF(G70=0,I69,G70),G70)</f>
        <v>47150.62</v>
      </c>
      <c r="J70" s="124" t="n">
        <f aca="false">IF(MONTH($A70)=MONTH($A69),SUM(I70-I69),I70)</f>
        <v>1241.88</v>
      </c>
      <c r="K70" s="124" t="n">
        <f aca="false">IF(WEEKDAY(A70,3)&gt;4,0,(IF(A70&lt;K$2,0,IF(A70&lt;=K$3,1,0))))</f>
        <v>0</v>
      </c>
      <c r="L70" s="124" t="n">
        <f aca="false">J70*K70</f>
        <v>0</v>
      </c>
      <c r="M70" s="124" t="n">
        <f aca="false">SUM(J$6:J70)</f>
        <v>461553.943376146</v>
      </c>
      <c r="N70" s="124" t="n">
        <f aca="false">SUM(J$6:J70)</f>
        <v>461553.943376146</v>
      </c>
      <c r="P70" s="124" t="n">
        <f aca="false">D70/P$3</f>
        <v>-0.213712</v>
      </c>
      <c r="Q70" s="124" t="n">
        <f aca="false">E70/P$3</f>
        <v>0.213712</v>
      </c>
      <c r="R70" s="124" t="n">
        <f aca="false">F70/R$3</f>
        <v>0</v>
      </c>
      <c r="S70" s="126" t="n">
        <f aca="false">J70/$R$3</f>
        <v>1.24188</v>
      </c>
      <c r="T70" s="126" t="n">
        <f aca="false">L70/$R$3</f>
        <v>0</v>
      </c>
      <c r="U70" s="126" t="n">
        <f aca="false">I70/$R$3</f>
        <v>47.15062</v>
      </c>
      <c r="V70" s="126" t="n">
        <f aca="false">M70/$R$3</f>
        <v>461.553943376146</v>
      </c>
      <c r="W70" s="126" t="n">
        <f aca="false">N70/$R$3</f>
        <v>461.553943376146</v>
      </c>
    </row>
    <row r="71" customFormat="false" ht="12.75" hidden="true" customHeight="false" outlineLevel="0" collapsed="false">
      <c r="A71" s="120" t="n">
        <f aca="false">A70+1</f>
        <v>36957</v>
      </c>
      <c r="B71" s="131" t="str">
        <f aca="false">INDEX('Master Data'!$A$2:$B$8,MATCH(WEEKDAY('EZE Power Trading'!A71,3),'Master Data'!$A$2:$A$8,0),2)</f>
        <v>W</v>
      </c>
      <c r="D71" s="124" t="n">
        <v>-213000</v>
      </c>
      <c r="E71" s="124" t="n">
        <v>213000</v>
      </c>
      <c r="F71" s="124" t="n">
        <v>0</v>
      </c>
      <c r="G71" s="124" t="n">
        <v>50937.96</v>
      </c>
      <c r="I71" s="124" t="n">
        <f aca="false">IF(MONTH($A71)=MONTH($A70),IF(G71=0,I70,G71),G71)</f>
        <v>50937.96</v>
      </c>
      <c r="J71" s="124" t="n">
        <f aca="false">IF(MONTH($A71)=MONTH($A70),SUM(I71-I70),I71)</f>
        <v>3787.34</v>
      </c>
      <c r="K71" s="124" t="n">
        <f aca="false">IF(WEEKDAY(A71,3)&gt;4,0,(IF(A71&lt;K$2,0,IF(A71&lt;=K$3,1,0))))</f>
        <v>0</v>
      </c>
      <c r="L71" s="124" t="n">
        <f aca="false">J71*K71</f>
        <v>0</v>
      </c>
      <c r="M71" s="124" t="n">
        <f aca="false">SUM(J$6:J71)</f>
        <v>465341.283376146</v>
      </c>
      <c r="N71" s="124" t="n">
        <f aca="false">SUM(J$6:J71)</f>
        <v>465341.283376146</v>
      </c>
      <c r="P71" s="124" t="n">
        <f aca="false">D71/P$3</f>
        <v>-0.213</v>
      </c>
      <c r="Q71" s="124" t="n">
        <f aca="false">E71/P$3</f>
        <v>0.213</v>
      </c>
      <c r="R71" s="124" t="n">
        <f aca="false">F71/R$3</f>
        <v>0</v>
      </c>
      <c r="S71" s="126" t="n">
        <f aca="false">J71/$R$3</f>
        <v>3.78734</v>
      </c>
      <c r="T71" s="126" t="n">
        <f aca="false">L71/$R$3</f>
        <v>0</v>
      </c>
      <c r="U71" s="126" t="n">
        <f aca="false">I71/$R$3</f>
        <v>50.93796</v>
      </c>
      <c r="V71" s="126" t="n">
        <f aca="false">M71/$R$3</f>
        <v>465.341283376146</v>
      </c>
      <c r="W71" s="126" t="n">
        <f aca="false">N71/$R$3</f>
        <v>465.341283376146</v>
      </c>
    </row>
    <row r="72" customFormat="false" ht="12.75" hidden="true" customHeight="false" outlineLevel="0" collapsed="false">
      <c r="A72" s="120" t="n">
        <f aca="false">A71+1</f>
        <v>36958</v>
      </c>
      <c r="B72" s="131" t="str">
        <f aca="false">INDEX('Master Data'!$A$2:$B$8,MATCH(WEEKDAY('EZE Power Trading'!A72,3),'Master Data'!$A$2:$A$8,0),2)</f>
        <v>Th</v>
      </c>
      <c r="D72" s="124" t="n">
        <v>-212299</v>
      </c>
      <c r="E72" s="124" t="n">
        <v>212299</v>
      </c>
      <c r="F72" s="124" t="n">
        <v>0</v>
      </c>
      <c r="G72" s="124" t="n">
        <v>54782.01</v>
      </c>
      <c r="I72" s="124" t="n">
        <f aca="false">IF(MONTH($A72)=MONTH($A71),IF(G72=0,I71,G72),G72)</f>
        <v>54782.01</v>
      </c>
      <c r="J72" s="124" t="n">
        <f aca="false">IF(MONTH($A72)=MONTH($A71),SUM(I72-I71),I72)</f>
        <v>3844.05</v>
      </c>
      <c r="K72" s="124" t="n">
        <f aca="false">IF(WEEKDAY(A72,3)&gt;4,0,(IF(A72&lt;K$2,0,IF(A72&lt;=K$3,1,0))))</f>
        <v>0</v>
      </c>
      <c r="L72" s="124" t="n">
        <f aca="false">J72*K72</f>
        <v>0</v>
      </c>
      <c r="M72" s="124" t="n">
        <f aca="false">SUM(J$6:J72)</f>
        <v>469185.333376146</v>
      </c>
      <c r="N72" s="124" t="n">
        <f aca="false">SUM(J$6:J72)</f>
        <v>469185.333376146</v>
      </c>
      <c r="P72" s="124" t="n">
        <f aca="false">D72/P$3</f>
        <v>-0.212299</v>
      </c>
      <c r="Q72" s="124" t="n">
        <f aca="false">E72/P$3</f>
        <v>0.212299</v>
      </c>
      <c r="R72" s="124" t="n">
        <f aca="false">F72/R$3</f>
        <v>0</v>
      </c>
      <c r="S72" s="126" t="n">
        <f aca="false">J72/$R$3</f>
        <v>3.84405</v>
      </c>
      <c r="T72" s="126" t="n">
        <f aca="false">L72/$R$3</f>
        <v>0</v>
      </c>
      <c r="U72" s="126" t="n">
        <f aca="false">I72/$R$3</f>
        <v>54.78201</v>
      </c>
      <c r="V72" s="126" t="n">
        <f aca="false">M72/$R$3</f>
        <v>469.185333376146</v>
      </c>
      <c r="W72" s="126" t="n">
        <f aca="false">N72/$R$3</f>
        <v>469.185333376146</v>
      </c>
    </row>
    <row r="73" customFormat="false" ht="12.75" hidden="true" customHeight="false" outlineLevel="0" collapsed="false">
      <c r="A73" s="120" t="n">
        <f aca="false">A72+1</f>
        <v>36959</v>
      </c>
      <c r="B73" s="131" t="str">
        <f aca="false">INDEX('Master Data'!$A$2:$B$8,MATCH(WEEKDAY('EZE Power Trading'!A73,3),'Master Data'!$A$2:$A$8,0),2)</f>
        <v>F</v>
      </c>
      <c r="D73" s="124" t="n">
        <v>-211581</v>
      </c>
      <c r="E73" s="124" t="n">
        <v>211581</v>
      </c>
      <c r="F73" s="124" t="n">
        <v>0</v>
      </c>
      <c r="G73" s="124" t="n">
        <v>54833.99</v>
      </c>
      <c r="I73" s="124" t="n">
        <f aca="false">IF(MONTH($A73)=MONTH($A72),IF(G73=0,I72,G73),G73)</f>
        <v>54833.99</v>
      </c>
      <c r="J73" s="124" t="n">
        <f aca="false">IF(MONTH($A73)=MONTH($A72),SUM(I73-I72),I73)</f>
        <v>51.9799999999959</v>
      </c>
      <c r="K73" s="124" t="n">
        <f aca="false">IF(WEEKDAY(A73,3)&gt;4,0,(IF(A73&lt;K$2,0,IF(A73&lt;=K$3,1,0))))</f>
        <v>0</v>
      </c>
      <c r="L73" s="124" t="n">
        <f aca="false">J73*K73</f>
        <v>0</v>
      </c>
      <c r="M73" s="124" t="n">
        <f aca="false">SUM(J$6:J73)</f>
        <v>469237.313376146</v>
      </c>
      <c r="N73" s="124" t="n">
        <f aca="false">SUM(J$6:J73)</f>
        <v>469237.313376146</v>
      </c>
      <c r="P73" s="124" t="n">
        <f aca="false">D73/P$3</f>
        <v>-0.211581</v>
      </c>
      <c r="Q73" s="124" t="n">
        <f aca="false">E73/P$3</f>
        <v>0.211581</v>
      </c>
      <c r="R73" s="124" t="n">
        <f aca="false">F73/R$3</f>
        <v>0</v>
      </c>
      <c r="S73" s="126" t="n">
        <f aca="false">J73/$R$3</f>
        <v>0.0519799999999959</v>
      </c>
      <c r="T73" s="126" t="n">
        <f aca="false">L73/$R$3</f>
        <v>0</v>
      </c>
      <c r="U73" s="126" t="n">
        <f aca="false">I73/$R$3</f>
        <v>54.83399</v>
      </c>
      <c r="V73" s="126" t="n">
        <f aca="false">M73/$R$3</f>
        <v>469.237313376146</v>
      </c>
      <c r="W73" s="126" t="n">
        <f aca="false">N73/$R$3</f>
        <v>469.237313376146</v>
      </c>
    </row>
    <row r="74" customFormat="false" ht="12.75" hidden="true" customHeight="false" outlineLevel="0" collapsed="false">
      <c r="A74" s="120" t="n">
        <f aca="false">A73+1</f>
        <v>36960</v>
      </c>
      <c r="B74" s="131" t="str">
        <f aca="false">INDEX('Master Data'!$A$2:$B$8,MATCH(WEEKDAY('EZE Power Trading'!A74,3),'Master Data'!$A$2:$A$8,0),2)</f>
        <v>Sa</v>
      </c>
      <c r="D74" s="124" t="n">
        <v>0</v>
      </c>
      <c r="E74" s="124" t="n">
        <v>0</v>
      </c>
      <c r="F74" s="124" t="n">
        <v>0</v>
      </c>
      <c r="G74" s="124" t="n">
        <v>0</v>
      </c>
      <c r="I74" s="124" t="n">
        <f aca="false">IF(MONTH($A74)=MONTH($A73),IF(G74=0,I73,G74),G74)</f>
        <v>54833.99</v>
      </c>
      <c r="J74" s="124" t="n">
        <f aca="false">IF(MONTH($A74)=MONTH($A73),SUM(I74-I73),I74)</f>
        <v>0</v>
      </c>
      <c r="K74" s="124" t="n">
        <f aca="false">IF(WEEKDAY(A74,3)&gt;4,0,(IF(A74&lt;K$2,0,IF(A74&lt;=K$3,1,0))))</f>
        <v>0</v>
      </c>
      <c r="L74" s="124" t="n">
        <f aca="false">J74*K74</f>
        <v>0</v>
      </c>
      <c r="M74" s="124" t="n">
        <f aca="false">SUM(J$6:J74)</f>
        <v>469237.313376146</v>
      </c>
      <c r="N74" s="124" t="n">
        <f aca="false">SUM(J$6:J74)</f>
        <v>469237.313376146</v>
      </c>
      <c r="P74" s="124" t="n">
        <f aca="false">D74/P$3</f>
        <v>0</v>
      </c>
      <c r="Q74" s="124" t="n">
        <f aca="false">E74/P$3</f>
        <v>0</v>
      </c>
      <c r="R74" s="124" t="n">
        <f aca="false">F74/R$3</f>
        <v>0</v>
      </c>
      <c r="S74" s="126" t="n">
        <f aca="false">J74/$R$3</f>
        <v>0</v>
      </c>
      <c r="T74" s="126" t="n">
        <f aca="false">L74/$R$3</f>
        <v>0</v>
      </c>
      <c r="U74" s="126" t="n">
        <f aca="false">I74/$R$3</f>
        <v>54.83399</v>
      </c>
      <c r="V74" s="126" t="n">
        <f aca="false">M74/$R$3</f>
        <v>469.237313376146</v>
      </c>
      <c r="W74" s="126" t="n">
        <f aca="false">N74/$R$3</f>
        <v>469.237313376146</v>
      </c>
    </row>
    <row r="75" customFormat="false" ht="12.75" hidden="true" customHeight="false" outlineLevel="0" collapsed="false">
      <c r="A75" s="120" t="n">
        <f aca="false">A74+1</f>
        <v>36961</v>
      </c>
      <c r="B75" s="131" t="str">
        <f aca="false">INDEX('Master Data'!$A$2:$B$8,MATCH(WEEKDAY('EZE Power Trading'!A75,3),'Master Data'!$A$2:$A$8,0),2)</f>
        <v>Su</v>
      </c>
      <c r="D75" s="124" t="n">
        <v>0</v>
      </c>
      <c r="E75" s="124" t="n">
        <v>0</v>
      </c>
      <c r="F75" s="124" t="n">
        <v>0</v>
      </c>
      <c r="G75" s="124" t="n">
        <v>0</v>
      </c>
      <c r="I75" s="124" t="n">
        <f aca="false">IF(MONTH($A75)=MONTH($A74),IF(G75=0,I74,G75),G75)</f>
        <v>54833.99</v>
      </c>
      <c r="J75" s="124" t="n">
        <f aca="false">IF(MONTH($A75)=MONTH($A74),SUM(I75-I74),I75)</f>
        <v>0</v>
      </c>
      <c r="K75" s="124" t="n">
        <f aca="false">IF(WEEKDAY(A75,3)&gt;4,0,(IF(A75&lt;K$2,0,IF(A75&lt;=K$3,1,0))))</f>
        <v>0</v>
      </c>
      <c r="L75" s="124" t="n">
        <f aca="false">J75*K75</f>
        <v>0</v>
      </c>
      <c r="M75" s="124" t="n">
        <f aca="false">SUM(J$6:J75)</f>
        <v>469237.313376146</v>
      </c>
      <c r="N75" s="124" t="n">
        <f aca="false">SUM(J$6:J75)</f>
        <v>469237.313376146</v>
      </c>
      <c r="P75" s="124" t="n">
        <f aca="false">D75/P$3</f>
        <v>0</v>
      </c>
      <c r="Q75" s="124" t="n">
        <f aca="false">E75/P$3</f>
        <v>0</v>
      </c>
      <c r="R75" s="124" t="n">
        <f aca="false">F75/R$3</f>
        <v>0</v>
      </c>
      <c r="S75" s="126" t="n">
        <f aca="false">J75/$R$3</f>
        <v>0</v>
      </c>
      <c r="T75" s="126" t="n">
        <f aca="false">L75/$R$3</f>
        <v>0</v>
      </c>
      <c r="U75" s="126" t="n">
        <f aca="false">I75/$R$3</f>
        <v>54.83399</v>
      </c>
      <c r="V75" s="126" t="n">
        <f aca="false">M75/$R$3</f>
        <v>469.237313376146</v>
      </c>
      <c r="W75" s="126" t="n">
        <f aca="false">N75/$R$3</f>
        <v>469.237313376146</v>
      </c>
    </row>
    <row r="76" customFormat="false" ht="12.75" hidden="true" customHeight="false" outlineLevel="0" collapsed="false">
      <c r="A76" s="120" t="n">
        <f aca="false">A75+1</f>
        <v>36962</v>
      </c>
      <c r="B76" s="131" t="str">
        <f aca="false">INDEX('Master Data'!$A$2:$B$8,MATCH(WEEKDAY('EZE Power Trading'!A76,3),'Master Data'!$A$2:$A$8,0),2)</f>
        <v>M</v>
      </c>
      <c r="D76" s="124" t="n">
        <v>-209534</v>
      </c>
      <c r="E76" s="124" t="n">
        <v>209534</v>
      </c>
      <c r="F76" s="124" t="n">
        <v>0</v>
      </c>
      <c r="G76" s="124" t="n">
        <v>52596.68</v>
      </c>
      <c r="I76" s="124" t="n">
        <f aca="false">IF(MONTH($A76)=MONTH($A75),IF(G76=0,I75,G76),G76)</f>
        <v>52596.68</v>
      </c>
      <c r="J76" s="124" t="n">
        <f aca="false">IF(MONTH($A76)=MONTH($A75),SUM(I76-I75),I76)</f>
        <v>-2237.31</v>
      </c>
      <c r="K76" s="124" t="n">
        <f aca="false">IF(WEEKDAY(A76,3)&gt;4,0,(IF(A76&lt;K$2,0,IF(A76&lt;=K$3,1,0))))</f>
        <v>0</v>
      </c>
      <c r="L76" s="124" t="n">
        <f aca="false">J76*K76</f>
        <v>-0</v>
      </c>
      <c r="M76" s="124" t="n">
        <f aca="false">SUM(J$6:J76)</f>
        <v>467000.003376146</v>
      </c>
      <c r="N76" s="124" t="n">
        <f aca="false">SUM(J$6:J76)</f>
        <v>467000.003376146</v>
      </c>
      <c r="P76" s="124" t="n">
        <f aca="false">D76/P$3</f>
        <v>-0.209534</v>
      </c>
      <c r="Q76" s="124" t="n">
        <f aca="false">E76/P$3</f>
        <v>0.209534</v>
      </c>
      <c r="R76" s="124" t="n">
        <f aca="false">F76/R$3</f>
        <v>0</v>
      </c>
      <c r="S76" s="126" t="n">
        <f aca="false">J76/$R$3</f>
        <v>-2.23731</v>
      </c>
      <c r="T76" s="126" t="n">
        <f aca="false">L76/$R$3</f>
        <v>-0</v>
      </c>
      <c r="U76" s="126" t="n">
        <f aca="false">I76/$R$3</f>
        <v>52.59668</v>
      </c>
      <c r="V76" s="126" t="n">
        <f aca="false">M76/$R$3</f>
        <v>467.000003376146</v>
      </c>
      <c r="W76" s="126" t="n">
        <f aca="false">N76/$R$3</f>
        <v>467.000003376146</v>
      </c>
    </row>
    <row r="77" customFormat="false" ht="12.75" hidden="true" customHeight="false" outlineLevel="0" collapsed="false">
      <c r="A77" s="120" t="n">
        <f aca="false">A76+1</f>
        <v>36963</v>
      </c>
      <c r="B77" s="131" t="str">
        <f aca="false">INDEX('Master Data'!$A$2:$B$8,MATCH(WEEKDAY('EZE Power Trading'!A77,3),'Master Data'!$A$2:$A$8,0),2)</f>
        <v>T</v>
      </c>
      <c r="D77" s="124" t="n">
        <v>-208831</v>
      </c>
      <c r="E77" s="124" t="n">
        <v>208831</v>
      </c>
      <c r="F77" s="124" t="n">
        <v>0</v>
      </c>
      <c r="G77" s="124" t="n">
        <v>51447.48</v>
      </c>
      <c r="I77" s="124" t="n">
        <f aca="false">IF(MONTH($A77)=MONTH($A76),IF(G77=0,I76,G77),G77)</f>
        <v>51447.48</v>
      </c>
      <c r="J77" s="124" t="n">
        <f aca="false">IF(MONTH($A77)=MONTH($A76),SUM(I77-I76),I77)</f>
        <v>-1149.2</v>
      </c>
      <c r="K77" s="124" t="n">
        <f aca="false">IF(WEEKDAY(A77,3)&gt;4,0,(IF(A77&lt;K$2,0,IF(A77&lt;=K$3,1,0))))</f>
        <v>0</v>
      </c>
      <c r="L77" s="124" t="n">
        <f aca="false">J77*K77</f>
        <v>-0</v>
      </c>
      <c r="M77" s="124" t="n">
        <f aca="false">SUM(J$6:J77)</f>
        <v>465850.803376146</v>
      </c>
      <c r="N77" s="124" t="n">
        <f aca="false">SUM(J$6:J77)</f>
        <v>465850.803376146</v>
      </c>
      <c r="P77" s="124" t="n">
        <f aca="false">D77/P$3</f>
        <v>-0.208831</v>
      </c>
      <c r="Q77" s="124" t="n">
        <f aca="false">E77/P$3</f>
        <v>0.208831</v>
      </c>
      <c r="R77" s="124" t="n">
        <f aca="false">F77/R$3</f>
        <v>0</v>
      </c>
      <c r="S77" s="126" t="n">
        <f aca="false">J77/$R$3</f>
        <v>-1.1492</v>
      </c>
      <c r="T77" s="126" t="n">
        <f aca="false">L77/$R$3</f>
        <v>-0</v>
      </c>
      <c r="U77" s="126" t="n">
        <f aca="false">I77/$R$3</f>
        <v>51.44748</v>
      </c>
      <c r="V77" s="126" t="n">
        <f aca="false">M77/$R$3</f>
        <v>465.850803376146</v>
      </c>
      <c r="W77" s="126" t="n">
        <f aca="false">N77/$R$3</f>
        <v>465.850803376146</v>
      </c>
    </row>
    <row r="78" customFormat="false" ht="12.75" hidden="true" customHeight="false" outlineLevel="0" collapsed="false">
      <c r="A78" s="120" t="n">
        <f aca="false">A77+1</f>
        <v>36964</v>
      </c>
      <c r="B78" s="131" t="str">
        <f aca="false">INDEX('Master Data'!$A$2:$B$8,MATCH(WEEKDAY('EZE Power Trading'!A78,3),'Master Data'!$A$2:$A$8,0),2)</f>
        <v>W</v>
      </c>
      <c r="D78" s="124" t="n">
        <v>-208114</v>
      </c>
      <c r="E78" s="124" t="n">
        <v>208114</v>
      </c>
      <c r="F78" s="124" t="n">
        <v>0</v>
      </c>
      <c r="G78" s="124" t="n">
        <v>49153.75</v>
      </c>
      <c r="I78" s="124" t="n">
        <f aca="false">IF(MONTH($A78)=MONTH($A77),IF(G78=0,I77,G78),G78)</f>
        <v>49153.75</v>
      </c>
      <c r="J78" s="124" t="n">
        <f aca="false">IF(MONTH($A78)=MONTH($A77),SUM(I78-I77),I78)</f>
        <v>-2293.73</v>
      </c>
      <c r="K78" s="124" t="n">
        <f aca="false">IF(WEEKDAY(A78,3)&gt;4,0,(IF(A78&lt;K$2,0,IF(A78&lt;=K$3,1,0))))</f>
        <v>0</v>
      </c>
      <c r="L78" s="124" t="n">
        <f aca="false">J78*K78</f>
        <v>-0</v>
      </c>
      <c r="M78" s="124" t="n">
        <f aca="false">SUM(J$6:J78)</f>
        <v>463557.073376146</v>
      </c>
      <c r="N78" s="124" t="n">
        <f aca="false">SUM(J$6:J78)</f>
        <v>463557.073376146</v>
      </c>
      <c r="P78" s="124" t="n">
        <f aca="false">D78/P$3</f>
        <v>-0.208114</v>
      </c>
      <c r="Q78" s="124" t="n">
        <f aca="false">E78/P$3</f>
        <v>0.208114</v>
      </c>
      <c r="R78" s="124" t="n">
        <f aca="false">F78/R$3</f>
        <v>0</v>
      </c>
      <c r="S78" s="126" t="n">
        <f aca="false">J78/$R$3</f>
        <v>-2.29373</v>
      </c>
      <c r="T78" s="126" t="n">
        <f aca="false">L78/$R$3</f>
        <v>-0</v>
      </c>
      <c r="U78" s="126" t="n">
        <f aca="false">I78/$R$3</f>
        <v>49.15375</v>
      </c>
      <c r="V78" s="126" t="n">
        <f aca="false">M78/$R$3</f>
        <v>463.557073376146</v>
      </c>
      <c r="W78" s="126" t="n">
        <f aca="false">N78/$R$3</f>
        <v>463.557073376146</v>
      </c>
    </row>
    <row r="79" customFormat="false" ht="12.75" hidden="true" customHeight="false" outlineLevel="0" collapsed="false">
      <c r="A79" s="120" t="n">
        <f aca="false">A78+1</f>
        <v>36965</v>
      </c>
      <c r="B79" s="131" t="str">
        <f aca="false">INDEX('Master Data'!$A$2:$B$8,MATCH(WEEKDAY('EZE Power Trading'!A79,3),'Master Data'!$A$2:$A$8,0),2)</f>
        <v>Th</v>
      </c>
      <c r="D79" s="124" t="n">
        <v>-207474</v>
      </c>
      <c r="E79" s="124" t="n">
        <v>207474</v>
      </c>
      <c r="F79" s="124" t="n">
        <v>0</v>
      </c>
      <c r="G79" s="124" t="n">
        <v>49751.96</v>
      </c>
      <c r="I79" s="124" t="n">
        <f aca="false">IF(MONTH($A79)=MONTH($A78),IF(G79=0,I78,G79),G79)</f>
        <v>49751.96</v>
      </c>
      <c r="J79" s="124" t="n">
        <f aca="false">IF(MONTH($A79)=MONTH($A78),SUM(I79-I78),I79)</f>
        <v>598.209999999999</v>
      </c>
      <c r="K79" s="124" t="n">
        <f aca="false">IF(WEEKDAY(A79,3)&gt;4,0,(IF(A79&lt;K$2,0,IF(A79&lt;=K$3,1,0))))</f>
        <v>0</v>
      </c>
      <c r="L79" s="124" t="n">
        <f aca="false">J79*K79</f>
        <v>0</v>
      </c>
      <c r="M79" s="124" t="n">
        <f aca="false">SUM(J$6:J79)</f>
        <v>464155.283376146</v>
      </c>
      <c r="N79" s="124" t="n">
        <f aca="false">SUM(J$6:J79)</f>
        <v>464155.283376146</v>
      </c>
      <c r="P79" s="124" t="n">
        <f aca="false">D79/P$3</f>
        <v>-0.207474</v>
      </c>
      <c r="Q79" s="124" t="n">
        <f aca="false">E79/P$3</f>
        <v>0.207474</v>
      </c>
      <c r="R79" s="124" t="n">
        <f aca="false">F79/R$3</f>
        <v>0</v>
      </c>
      <c r="S79" s="126" t="n">
        <f aca="false">J79/$R$3</f>
        <v>0.598209999999999</v>
      </c>
      <c r="T79" s="126" t="n">
        <f aca="false">L79/$R$3</f>
        <v>0</v>
      </c>
      <c r="U79" s="126" t="n">
        <f aca="false">I79/$R$3</f>
        <v>49.75196</v>
      </c>
      <c r="V79" s="126" t="n">
        <f aca="false">M79/$R$3</f>
        <v>464.155283376146</v>
      </c>
      <c r="W79" s="126" t="n">
        <f aca="false">N79/$R$3</f>
        <v>464.155283376146</v>
      </c>
    </row>
    <row r="80" customFormat="false" ht="12.75" hidden="true" customHeight="false" outlineLevel="0" collapsed="false">
      <c r="A80" s="120" t="n">
        <f aca="false">A79+1</f>
        <v>36966</v>
      </c>
      <c r="B80" s="131" t="str">
        <f aca="false">INDEX('Master Data'!$A$2:$B$8,MATCH(WEEKDAY('EZE Power Trading'!A80,3),'Master Data'!$A$2:$A$8,0),2)</f>
        <v>F</v>
      </c>
      <c r="D80" s="124" t="n">
        <v>-206821</v>
      </c>
      <c r="E80" s="124" t="n">
        <v>206821</v>
      </c>
      <c r="F80" s="124" t="n">
        <v>0</v>
      </c>
      <c r="G80" s="124" t="n">
        <v>15253.21</v>
      </c>
      <c r="I80" s="124" t="n">
        <f aca="false">IF(MONTH($A80)=MONTH($A79),IF(G80=0,I79,G80),G80)</f>
        <v>15253.21</v>
      </c>
      <c r="J80" s="124" t="n">
        <f aca="false">IF(MONTH($A80)=MONTH($A79),SUM(I80-I79),I80)</f>
        <v>-34498.75</v>
      </c>
      <c r="K80" s="124" t="n">
        <f aca="false">IF(WEEKDAY(A80,3)&gt;4,0,(IF(A80&lt;K$2,0,IF(A80&lt;=K$3,1,0))))</f>
        <v>0</v>
      </c>
      <c r="L80" s="124" t="n">
        <f aca="false">J80*K80</f>
        <v>-0</v>
      </c>
      <c r="M80" s="124" t="n">
        <f aca="false">SUM(J$6:J80)</f>
        <v>429656.533376146</v>
      </c>
      <c r="N80" s="124" t="n">
        <f aca="false">SUM(J$6:J80)</f>
        <v>429656.533376146</v>
      </c>
      <c r="P80" s="124" t="n">
        <f aca="false">D80/P$3</f>
        <v>-0.206821</v>
      </c>
      <c r="Q80" s="124" t="n">
        <f aca="false">E80/P$3</f>
        <v>0.206821</v>
      </c>
      <c r="R80" s="124" t="n">
        <f aca="false">F80/R$3</f>
        <v>0</v>
      </c>
      <c r="S80" s="126" t="n">
        <f aca="false">J80/$R$3</f>
        <v>-34.49875</v>
      </c>
      <c r="T80" s="126" t="n">
        <f aca="false">L80/$R$3</f>
        <v>-0</v>
      </c>
      <c r="U80" s="126" t="n">
        <f aca="false">I80/$R$3</f>
        <v>15.25321</v>
      </c>
      <c r="V80" s="126" t="n">
        <f aca="false">M80/$R$3</f>
        <v>429.656533376146</v>
      </c>
      <c r="W80" s="126" t="n">
        <f aca="false">N80/$R$3</f>
        <v>429.656533376146</v>
      </c>
    </row>
    <row r="81" customFormat="false" ht="12.75" hidden="true" customHeight="false" outlineLevel="0" collapsed="false">
      <c r="A81" s="120" t="n">
        <f aca="false">A80+1</f>
        <v>36967</v>
      </c>
      <c r="B81" s="131" t="str">
        <f aca="false">INDEX('Master Data'!$A$2:$B$8,MATCH(WEEKDAY('EZE Power Trading'!A81,3),'Master Data'!$A$2:$A$8,0),2)</f>
        <v>Sa</v>
      </c>
      <c r="D81" s="124" t="n">
        <v>0</v>
      </c>
      <c r="E81" s="124" t="n">
        <v>0</v>
      </c>
      <c r="F81" s="124" t="n">
        <v>0</v>
      </c>
      <c r="G81" s="124" t="n">
        <v>0</v>
      </c>
      <c r="I81" s="124" t="n">
        <f aca="false">IF(MONTH($A81)=MONTH($A80),IF(G81=0,I80,G81),G81)</f>
        <v>15253.21</v>
      </c>
      <c r="J81" s="124" t="n">
        <f aca="false">IF(MONTH($A81)=MONTH($A80),SUM(I81-I80),I81)</f>
        <v>0</v>
      </c>
      <c r="K81" s="124" t="n">
        <f aca="false">IF(WEEKDAY(A81,3)&gt;4,0,(IF(A81&lt;K$2,0,IF(A81&lt;=K$3,1,0))))</f>
        <v>0</v>
      </c>
      <c r="L81" s="124" t="n">
        <f aca="false">J81*K81</f>
        <v>0</v>
      </c>
      <c r="M81" s="124" t="n">
        <f aca="false">SUM(J$6:J81)</f>
        <v>429656.533376146</v>
      </c>
      <c r="N81" s="124" t="n">
        <f aca="false">SUM(J$6:J81)</f>
        <v>429656.533376146</v>
      </c>
      <c r="P81" s="124" t="n">
        <f aca="false">D81/P$3</f>
        <v>0</v>
      </c>
      <c r="Q81" s="124" t="n">
        <f aca="false">E81/P$3</f>
        <v>0</v>
      </c>
      <c r="R81" s="124" t="n">
        <f aca="false">F81/R$3</f>
        <v>0</v>
      </c>
      <c r="S81" s="126" t="n">
        <f aca="false">J81/$R$3</f>
        <v>0</v>
      </c>
      <c r="T81" s="126" t="n">
        <f aca="false">L81/$R$3</f>
        <v>0</v>
      </c>
      <c r="U81" s="126" t="n">
        <f aca="false">I81/$R$3</f>
        <v>15.25321</v>
      </c>
      <c r="V81" s="126" t="n">
        <f aca="false">M81/$R$3</f>
        <v>429.656533376146</v>
      </c>
      <c r="W81" s="126" t="n">
        <f aca="false">N81/$R$3</f>
        <v>429.656533376146</v>
      </c>
    </row>
    <row r="82" customFormat="false" ht="12.75" hidden="true" customHeight="false" outlineLevel="0" collapsed="false">
      <c r="A82" s="120" t="n">
        <f aca="false">A81+1</f>
        <v>36968</v>
      </c>
      <c r="B82" s="131" t="str">
        <f aca="false">INDEX('Master Data'!$A$2:$B$8,MATCH(WEEKDAY('EZE Power Trading'!A82,3),'Master Data'!$A$2:$A$8,0),2)</f>
        <v>Su</v>
      </c>
      <c r="D82" s="124" t="n">
        <v>0</v>
      </c>
      <c r="E82" s="124" t="n">
        <v>0</v>
      </c>
      <c r="F82" s="124" t="n">
        <v>0</v>
      </c>
      <c r="G82" s="124" t="n">
        <v>0</v>
      </c>
      <c r="I82" s="124" t="n">
        <f aca="false">IF(MONTH($A82)=MONTH($A81),IF(G82=0,I81,G82),G82)</f>
        <v>15253.21</v>
      </c>
      <c r="J82" s="124" t="n">
        <f aca="false">IF(MONTH($A82)=MONTH($A81),SUM(I82-I81),I82)</f>
        <v>0</v>
      </c>
      <c r="K82" s="124" t="n">
        <f aca="false">IF(WEEKDAY(A82,3)&gt;4,0,(IF(A82&lt;K$2,0,IF(A82&lt;=K$3,1,0))))</f>
        <v>0</v>
      </c>
      <c r="L82" s="124" t="n">
        <f aca="false">J82*K82</f>
        <v>0</v>
      </c>
      <c r="M82" s="124" t="n">
        <f aca="false">SUM(J$6:J82)</f>
        <v>429656.533376146</v>
      </c>
      <c r="N82" s="124" t="n">
        <f aca="false">SUM(J$6:J82)</f>
        <v>429656.533376146</v>
      </c>
      <c r="P82" s="124" t="n">
        <f aca="false">D82/P$3</f>
        <v>0</v>
      </c>
      <c r="Q82" s="124" t="n">
        <f aca="false">E82/P$3</f>
        <v>0</v>
      </c>
      <c r="R82" s="124" t="n">
        <f aca="false">F82/R$3</f>
        <v>0</v>
      </c>
      <c r="S82" s="126" t="n">
        <f aca="false">J82/$R$3</f>
        <v>0</v>
      </c>
      <c r="T82" s="126" t="n">
        <f aca="false">L82/$R$3</f>
        <v>0</v>
      </c>
      <c r="U82" s="126" t="n">
        <f aca="false">I82/$R$3</f>
        <v>15.25321</v>
      </c>
      <c r="V82" s="126" t="n">
        <f aca="false">M82/$R$3</f>
        <v>429.656533376146</v>
      </c>
      <c r="W82" s="126" t="n">
        <f aca="false">N82/$R$3</f>
        <v>429.656533376146</v>
      </c>
    </row>
    <row r="83" customFormat="false" ht="12.75" hidden="true" customHeight="false" outlineLevel="0" collapsed="false">
      <c r="A83" s="120" t="n">
        <f aca="false">A82+1</f>
        <v>36969</v>
      </c>
      <c r="B83" s="131" t="str">
        <f aca="false">INDEX('Master Data'!$A$2:$B$8,MATCH(WEEKDAY('EZE Power Trading'!A83,3),'Master Data'!$A$2:$A$8,0),2)</f>
        <v>M</v>
      </c>
      <c r="D83" s="124" t="n">
        <v>-204813</v>
      </c>
      <c r="E83" s="124" t="n">
        <v>204813</v>
      </c>
      <c r="F83" s="124" t="n">
        <v>0</v>
      </c>
      <c r="G83" s="124" t="n">
        <v>18287.71</v>
      </c>
      <c r="I83" s="124" t="n">
        <f aca="false">IF(MONTH($A83)=MONTH($A82),IF(G83=0,I82,G83),G83)</f>
        <v>18287.71</v>
      </c>
      <c r="J83" s="124" t="n">
        <f aca="false">IF(MONTH($A83)=MONTH($A82),SUM(I83-I82),I83)</f>
        <v>3034.5</v>
      </c>
      <c r="K83" s="124" t="n">
        <f aca="false">IF(WEEKDAY(A83,3)&gt;4,0,(IF(A83&lt;K$2,0,IF(A83&lt;=K$3,1,0))))</f>
        <v>0</v>
      </c>
      <c r="L83" s="124" t="n">
        <f aca="false">J83*K83</f>
        <v>0</v>
      </c>
      <c r="M83" s="124" t="n">
        <f aca="false">SUM(J$6:J83)</f>
        <v>432691.033376146</v>
      </c>
      <c r="N83" s="124" t="n">
        <f aca="false">SUM(J$6:J83)</f>
        <v>432691.033376146</v>
      </c>
      <c r="P83" s="124" t="n">
        <f aca="false">D83/P$3</f>
        <v>-0.204813</v>
      </c>
      <c r="Q83" s="124" t="n">
        <f aca="false">E83/P$3</f>
        <v>0.204813</v>
      </c>
      <c r="R83" s="124" t="n">
        <f aca="false">F83/R$3</f>
        <v>0</v>
      </c>
      <c r="S83" s="126" t="n">
        <f aca="false">J83/$R$3</f>
        <v>3.0345</v>
      </c>
      <c r="T83" s="126" t="n">
        <f aca="false">L83/$R$3</f>
        <v>0</v>
      </c>
      <c r="U83" s="126" t="n">
        <f aca="false">I83/$R$3</f>
        <v>18.28771</v>
      </c>
      <c r="V83" s="126" t="n">
        <f aca="false">M83/$R$3</f>
        <v>432.691033376146</v>
      </c>
      <c r="W83" s="126" t="n">
        <f aca="false">N83/$R$3</f>
        <v>432.691033376146</v>
      </c>
    </row>
    <row r="84" customFormat="false" ht="12.75" hidden="true" customHeight="false" outlineLevel="0" collapsed="false">
      <c r="A84" s="120" t="n">
        <f aca="false">A83+1</f>
        <v>36970</v>
      </c>
      <c r="B84" s="131" t="str">
        <f aca="false">INDEX('Master Data'!$A$2:$B$8,MATCH(WEEKDAY('EZE Power Trading'!A84,3),'Master Data'!$A$2:$A$8,0),2)</f>
        <v>T</v>
      </c>
      <c r="D84" s="124" t="n">
        <v>-204072</v>
      </c>
      <c r="E84" s="124" t="n">
        <v>204072</v>
      </c>
      <c r="F84" s="124" t="n">
        <v>0</v>
      </c>
      <c r="G84" s="124" t="n">
        <v>18732.02</v>
      </c>
      <c r="I84" s="124" t="n">
        <f aca="false">IF(MONTH($A84)=MONTH($A83),IF(G84=0,I83,G84),G84)</f>
        <v>18732.02</v>
      </c>
      <c r="J84" s="124" t="n">
        <f aca="false">IF(MONTH($A84)=MONTH($A83),SUM(I84-I83),I84)</f>
        <v>444.310000000001</v>
      </c>
      <c r="K84" s="124" t="n">
        <f aca="false">IF(WEEKDAY(A84,3)&gt;4,0,(IF(A84&lt;K$2,0,IF(A84&lt;=K$3,1,0))))</f>
        <v>0</v>
      </c>
      <c r="L84" s="124" t="n">
        <f aca="false">J84*K84</f>
        <v>0</v>
      </c>
      <c r="M84" s="124" t="n">
        <f aca="false">SUM(J$6:J84)</f>
        <v>433135.343376146</v>
      </c>
      <c r="N84" s="124" t="n">
        <f aca="false">SUM(J$6:J84)</f>
        <v>433135.343376146</v>
      </c>
      <c r="P84" s="124" t="n">
        <f aca="false">D84/P$3</f>
        <v>-0.204072</v>
      </c>
      <c r="Q84" s="124" t="n">
        <f aca="false">E84/P$3</f>
        <v>0.204072</v>
      </c>
      <c r="R84" s="124" t="n">
        <f aca="false">F84/R$3</f>
        <v>0</v>
      </c>
      <c r="S84" s="126" t="n">
        <f aca="false">J84/$R$3</f>
        <v>0.444310000000001</v>
      </c>
      <c r="T84" s="126" t="n">
        <f aca="false">L84/$R$3</f>
        <v>0</v>
      </c>
      <c r="U84" s="126" t="n">
        <f aca="false">I84/$R$3</f>
        <v>18.73202</v>
      </c>
      <c r="V84" s="126" t="n">
        <f aca="false">M84/$R$3</f>
        <v>433.135343376146</v>
      </c>
      <c r="W84" s="126" t="n">
        <f aca="false">N84/$R$3</f>
        <v>433.135343376146</v>
      </c>
    </row>
    <row r="85" customFormat="false" ht="12.75" hidden="true" customHeight="false" outlineLevel="0" collapsed="false">
      <c r="A85" s="120" t="n">
        <f aca="false">A84+1</f>
        <v>36971</v>
      </c>
      <c r="B85" s="131" t="str">
        <f aca="false">INDEX('Master Data'!$A$2:$B$8,MATCH(WEEKDAY('EZE Power Trading'!A85,3),'Master Data'!$A$2:$A$8,0),2)</f>
        <v>W</v>
      </c>
      <c r="D85" s="124" t="n">
        <v>-203379</v>
      </c>
      <c r="E85" s="124" t="n">
        <v>203379</v>
      </c>
      <c r="F85" s="124" t="n">
        <v>0</v>
      </c>
      <c r="G85" s="124" t="n">
        <v>31859.16</v>
      </c>
      <c r="I85" s="124" t="n">
        <f aca="false">IF(MONTH($A85)=MONTH($A84),IF(G85=0,I84,G85),G85)</f>
        <v>31859.16</v>
      </c>
      <c r="J85" s="124" t="n">
        <f aca="false">IF(MONTH($A85)=MONTH($A84),SUM(I85-I84),I85)</f>
        <v>13127.14</v>
      </c>
      <c r="K85" s="124" t="n">
        <f aca="false">IF(WEEKDAY(A85,3)&gt;4,0,(IF(A85&lt;K$2,0,IF(A85&lt;=K$3,1,0))))</f>
        <v>0</v>
      </c>
      <c r="L85" s="124" t="n">
        <f aca="false">J85*K85</f>
        <v>0</v>
      </c>
      <c r="M85" s="124" t="n">
        <f aca="false">SUM(J$6:J85)</f>
        <v>446262.483376146</v>
      </c>
      <c r="N85" s="124" t="n">
        <f aca="false">SUM(J$6:J85)</f>
        <v>446262.483376146</v>
      </c>
      <c r="P85" s="124" t="n">
        <f aca="false">D85/P$3</f>
        <v>-0.203379</v>
      </c>
      <c r="Q85" s="124" t="n">
        <f aca="false">E85/P$3</f>
        <v>0.203379</v>
      </c>
      <c r="R85" s="124" t="n">
        <f aca="false">F85/R$3</f>
        <v>0</v>
      </c>
      <c r="S85" s="126" t="n">
        <f aca="false">J85/$R$3</f>
        <v>13.12714</v>
      </c>
      <c r="T85" s="126" t="n">
        <f aca="false">L85/$R$3</f>
        <v>0</v>
      </c>
      <c r="U85" s="126" t="n">
        <f aca="false">I85/$R$3</f>
        <v>31.85916</v>
      </c>
      <c r="V85" s="126" t="n">
        <f aca="false">M85/$R$3</f>
        <v>446.262483376146</v>
      </c>
      <c r="W85" s="126" t="n">
        <f aca="false">N85/$R$3</f>
        <v>446.262483376146</v>
      </c>
    </row>
    <row r="86" customFormat="false" ht="12.75" hidden="true" customHeight="false" outlineLevel="0" collapsed="false">
      <c r="A86" s="120" t="n">
        <f aca="false">A85+1</f>
        <v>36972</v>
      </c>
      <c r="B86" s="131" t="str">
        <f aca="false">INDEX('Master Data'!$A$2:$B$8,MATCH(WEEKDAY('EZE Power Trading'!A86,3),'Master Data'!$A$2:$A$8,0),2)</f>
        <v>Th</v>
      </c>
      <c r="D86" s="124" t="n">
        <v>-202683</v>
      </c>
      <c r="E86" s="124" t="n">
        <v>202683</v>
      </c>
      <c r="F86" s="124" t="n">
        <v>0</v>
      </c>
      <c r="G86" s="124" t="n">
        <v>33831.16</v>
      </c>
      <c r="I86" s="124" t="n">
        <f aca="false">IF(MONTH($A86)=MONTH($A85),IF(G86=0,I85,G86),G86)</f>
        <v>33831.16</v>
      </c>
      <c r="J86" s="124" t="n">
        <f aca="false">IF(MONTH($A86)=MONTH($A85),SUM(I86-I85),I86)</f>
        <v>1972</v>
      </c>
      <c r="K86" s="124" t="n">
        <f aca="false">IF(WEEKDAY(A86,3)&gt;4,0,(IF(A86&lt;K$2,0,IF(A86&lt;=K$3,1,0))))</f>
        <v>0</v>
      </c>
      <c r="L86" s="124" t="n">
        <f aca="false">J86*K86</f>
        <v>0</v>
      </c>
      <c r="M86" s="124" t="n">
        <f aca="false">SUM(J$6:J86)</f>
        <v>448234.483376146</v>
      </c>
      <c r="N86" s="124" t="n">
        <f aca="false">SUM(J$6:J86)</f>
        <v>448234.483376146</v>
      </c>
      <c r="P86" s="124" t="n">
        <f aca="false">D86/P$3</f>
        <v>-0.202683</v>
      </c>
      <c r="Q86" s="124" t="n">
        <f aca="false">E86/P$3</f>
        <v>0.202683</v>
      </c>
      <c r="R86" s="124" t="n">
        <f aca="false">F86/R$3</f>
        <v>0</v>
      </c>
      <c r="S86" s="126" t="n">
        <f aca="false">J86/$R$3</f>
        <v>1.972</v>
      </c>
      <c r="T86" s="126" t="n">
        <f aca="false">L86/$R$3</f>
        <v>0</v>
      </c>
      <c r="U86" s="126" t="n">
        <f aca="false">I86/$R$3</f>
        <v>33.83116</v>
      </c>
      <c r="V86" s="126" t="n">
        <f aca="false">M86/$R$3</f>
        <v>448.234483376146</v>
      </c>
      <c r="W86" s="126" t="n">
        <f aca="false">N86/$R$3</f>
        <v>448.234483376146</v>
      </c>
    </row>
    <row r="87" customFormat="false" ht="12.75" hidden="true" customHeight="false" outlineLevel="0" collapsed="false">
      <c r="A87" s="120" t="n">
        <f aca="false">A86+1</f>
        <v>36973</v>
      </c>
      <c r="B87" s="131" t="str">
        <f aca="false">INDEX('Master Data'!$A$2:$B$8,MATCH(WEEKDAY('EZE Power Trading'!A87,3),'Master Data'!$A$2:$A$8,0),2)</f>
        <v>F</v>
      </c>
      <c r="D87" s="124" t="n">
        <v>-201968</v>
      </c>
      <c r="E87" s="124" t="n">
        <v>201968</v>
      </c>
      <c r="F87" s="124" t="n">
        <v>0</v>
      </c>
      <c r="G87" s="124" t="n">
        <v>34228.03</v>
      </c>
      <c r="I87" s="124" t="n">
        <f aca="false">IF(MONTH($A87)=MONTH($A86),IF(G87=0,I86,G87),G87)</f>
        <v>34228.03</v>
      </c>
      <c r="J87" s="124" t="n">
        <f aca="false">IF(MONTH($A87)=MONTH($A86),SUM(I87-I86),I87)</f>
        <v>396.869999999995</v>
      </c>
      <c r="K87" s="124" t="n">
        <f aca="false">IF(WEEKDAY(A87,3)&gt;4,0,(IF(A87&lt;K$2,0,IF(A87&lt;=K$3,1,0))))</f>
        <v>0</v>
      </c>
      <c r="L87" s="124" t="n">
        <f aca="false">J87*K87</f>
        <v>0</v>
      </c>
      <c r="M87" s="124" t="n">
        <f aca="false">SUM(J$6:J87)</f>
        <v>448631.353376146</v>
      </c>
      <c r="N87" s="124" t="n">
        <f aca="false">SUM(J$6:J87)</f>
        <v>448631.353376146</v>
      </c>
      <c r="P87" s="124" t="n">
        <f aca="false">D87/P$3</f>
        <v>-0.201968</v>
      </c>
      <c r="Q87" s="124" t="n">
        <f aca="false">E87/P$3</f>
        <v>0.201968</v>
      </c>
      <c r="R87" s="124" t="n">
        <f aca="false">F87/R$3</f>
        <v>0</v>
      </c>
      <c r="S87" s="126" t="n">
        <f aca="false">J87/$R$3</f>
        <v>0.396869999999995</v>
      </c>
      <c r="T87" s="126" t="n">
        <f aca="false">L87/$R$3</f>
        <v>0</v>
      </c>
      <c r="U87" s="126" t="n">
        <f aca="false">I87/$R$3</f>
        <v>34.22803</v>
      </c>
      <c r="V87" s="126" t="n">
        <f aca="false">M87/$R$3</f>
        <v>448.631353376146</v>
      </c>
      <c r="W87" s="126" t="n">
        <f aca="false">N87/$R$3</f>
        <v>448.631353376146</v>
      </c>
    </row>
    <row r="88" customFormat="false" ht="12.75" hidden="true" customHeight="false" outlineLevel="0" collapsed="false">
      <c r="A88" s="120" t="n">
        <f aca="false">A87+1</f>
        <v>36974</v>
      </c>
      <c r="B88" s="131" t="str">
        <f aca="false">INDEX('Master Data'!$A$2:$B$8,MATCH(WEEKDAY('EZE Power Trading'!A88,3),'Master Data'!$A$2:$A$8,0),2)</f>
        <v>Sa</v>
      </c>
      <c r="D88" s="124" t="n">
        <v>0</v>
      </c>
      <c r="E88" s="124" t="n">
        <v>0</v>
      </c>
      <c r="F88" s="124" t="n">
        <v>0</v>
      </c>
      <c r="G88" s="124" t="n">
        <v>0</v>
      </c>
      <c r="I88" s="124" t="n">
        <f aca="false">IF(MONTH($A88)=MONTH($A87),IF(G88=0,I87,G88),G88)</f>
        <v>34228.03</v>
      </c>
      <c r="J88" s="124" t="n">
        <f aca="false">IF(MONTH($A88)=MONTH($A87),SUM(I88-I87),I88)</f>
        <v>0</v>
      </c>
      <c r="K88" s="124" t="n">
        <f aca="false">IF(WEEKDAY(A88,3)&gt;4,0,(IF(A88&lt;K$2,0,IF(A88&lt;=K$3,1,0))))</f>
        <v>0</v>
      </c>
      <c r="L88" s="124" t="n">
        <f aca="false">J88*K88</f>
        <v>0</v>
      </c>
      <c r="M88" s="124" t="n">
        <f aca="false">SUM(J$6:J88)</f>
        <v>448631.353376146</v>
      </c>
      <c r="N88" s="124" t="n">
        <f aca="false">SUM(J$6:J88)</f>
        <v>448631.353376146</v>
      </c>
      <c r="P88" s="124" t="n">
        <f aca="false">D88/P$3</f>
        <v>0</v>
      </c>
      <c r="Q88" s="124" t="n">
        <f aca="false">E88/P$3</f>
        <v>0</v>
      </c>
      <c r="R88" s="124" t="n">
        <f aca="false">F88/R$3</f>
        <v>0</v>
      </c>
      <c r="S88" s="126" t="n">
        <f aca="false">J88/$R$3</f>
        <v>0</v>
      </c>
      <c r="T88" s="126" t="n">
        <f aca="false">L88/$R$3</f>
        <v>0</v>
      </c>
      <c r="U88" s="126" t="n">
        <f aca="false">I88/$R$3</f>
        <v>34.22803</v>
      </c>
      <c r="V88" s="126" t="n">
        <f aca="false">M88/$R$3</f>
        <v>448.631353376146</v>
      </c>
      <c r="W88" s="126" t="n">
        <f aca="false">N88/$R$3</f>
        <v>448.631353376146</v>
      </c>
    </row>
    <row r="89" customFormat="false" ht="12.75" hidden="true" customHeight="false" outlineLevel="0" collapsed="false">
      <c r="A89" s="120" t="n">
        <f aca="false">A88+1</f>
        <v>36975</v>
      </c>
      <c r="B89" s="131" t="str">
        <f aca="false">INDEX('Master Data'!$A$2:$B$8,MATCH(WEEKDAY('EZE Power Trading'!A89,3),'Master Data'!$A$2:$A$8,0),2)</f>
        <v>Su</v>
      </c>
      <c r="D89" s="124" t="n">
        <v>0</v>
      </c>
      <c r="E89" s="124" t="n">
        <v>0</v>
      </c>
      <c r="F89" s="124" t="n">
        <v>0</v>
      </c>
      <c r="G89" s="124" t="n">
        <v>0</v>
      </c>
      <c r="I89" s="124" t="n">
        <f aca="false">IF(MONTH($A89)=MONTH($A88),IF(G89=0,I88,G89),G89)</f>
        <v>34228.03</v>
      </c>
      <c r="J89" s="124" t="n">
        <f aca="false">IF(MONTH($A89)=MONTH($A88),SUM(I89-I88),I89)</f>
        <v>0</v>
      </c>
      <c r="K89" s="124" t="n">
        <f aca="false">IF(WEEKDAY(A89,3)&gt;4,0,(IF(A89&lt;K$2,0,IF(A89&lt;=K$3,1,0))))</f>
        <v>0</v>
      </c>
      <c r="L89" s="124" t="n">
        <f aca="false">J89*K89</f>
        <v>0</v>
      </c>
      <c r="M89" s="124" t="n">
        <f aca="false">SUM(J$6:J89)</f>
        <v>448631.353376146</v>
      </c>
      <c r="N89" s="124" t="n">
        <f aca="false">SUM(J$6:J89)</f>
        <v>448631.353376146</v>
      </c>
      <c r="P89" s="124" t="n">
        <f aca="false">D89/P$3</f>
        <v>0</v>
      </c>
      <c r="Q89" s="124" t="n">
        <f aca="false">E89/P$3</f>
        <v>0</v>
      </c>
      <c r="R89" s="124" t="n">
        <f aca="false">F89/R$3</f>
        <v>0</v>
      </c>
      <c r="S89" s="126" t="n">
        <f aca="false">J89/$R$3</f>
        <v>0</v>
      </c>
      <c r="T89" s="126" t="n">
        <f aca="false">L89/$R$3</f>
        <v>0</v>
      </c>
      <c r="U89" s="126" t="n">
        <f aca="false">I89/$R$3</f>
        <v>34.22803</v>
      </c>
      <c r="V89" s="126" t="n">
        <f aca="false">M89/$R$3</f>
        <v>448.631353376146</v>
      </c>
      <c r="W89" s="126" t="n">
        <f aca="false">N89/$R$3</f>
        <v>448.631353376146</v>
      </c>
    </row>
    <row r="90" customFormat="false" ht="12.75" hidden="true" customHeight="false" outlineLevel="0" collapsed="false">
      <c r="A90" s="120" t="n">
        <f aca="false">A89+1</f>
        <v>36976</v>
      </c>
      <c r="B90" s="131" t="str">
        <f aca="false">INDEX('Master Data'!$A$2:$B$8,MATCH(WEEKDAY('EZE Power Trading'!A90,3),'Master Data'!$A$2:$A$8,0),2)</f>
        <v>M</v>
      </c>
      <c r="D90" s="124" t="n">
        <v>-199920</v>
      </c>
      <c r="E90" s="124" t="n">
        <v>199920</v>
      </c>
      <c r="F90" s="124" t="n">
        <v>0</v>
      </c>
      <c r="G90" s="124" t="n">
        <v>44868.59</v>
      </c>
      <c r="I90" s="124" t="n">
        <f aca="false">IF(MONTH($A90)=MONTH($A89),IF(G90=0,I89,G90),G90)</f>
        <v>44868.59</v>
      </c>
      <c r="J90" s="124" t="n">
        <f aca="false">IF(MONTH($A90)=MONTH($A89),SUM(I90-I89),I90)</f>
        <v>10640.56</v>
      </c>
      <c r="K90" s="124" t="n">
        <f aca="false">IF(WEEKDAY(A90,3)&gt;4,0,(IF(A90&lt;K$2,0,IF(A90&lt;=K$3,1,0))))</f>
        <v>0</v>
      </c>
      <c r="L90" s="124" t="n">
        <f aca="false">J90*K90</f>
        <v>0</v>
      </c>
      <c r="M90" s="124" t="n">
        <f aca="false">SUM(J$6:J90)</f>
        <v>459271.913376146</v>
      </c>
      <c r="N90" s="124" t="n">
        <f aca="false">SUM(J$6:J90)</f>
        <v>459271.913376146</v>
      </c>
      <c r="P90" s="124" t="n">
        <f aca="false">D90/P$3</f>
        <v>-0.19992</v>
      </c>
      <c r="Q90" s="124" t="n">
        <f aca="false">E90/P$3</f>
        <v>0.19992</v>
      </c>
      <c r="R90" s="124" t="n">
        <f aca="false">F90/R$3</f>
        <v>0</v>
      </c>
      <c r="S90" s="126" t="n">
        <f aca="false">J90/$R$3</f>
        <v>10.64056</v>
      </c>
      <c r="T90" s="126" t="n">
        <f aca="false">L90/$R$3</f>
        <v>0</v>
      </c>
      <c r="U90" s="126" t="n">
        <f aca="false">I90/$R$3</f>
        <v>44.86859</v>
      </c>
      <c r="V90" s="126" t="n">
        <f aca="false">M90/$R$3</f>
        <v>459.271913376146</v>
      </c>
      <c r="W90" s="126" t="n">
        <f aca="false">N90/$R$3</f>
        <v>459.271913376146</v>
      </c>
    </row>
    <row r="91" customFormat="false" ht="12.75" hidden="true" customHeight="false" outlineLevel="0" collapsed="false">
      <c r="A91" s="120" t="n">
        <f aca="false">A90+1</f>
        <v>36977</v>
      </c>
      <c r="B91" s="131" t="str">
        <f aca="false">INDEX('Master Data'!$A$2:$B$8,MATCH(WEEKDAY('EZE Power Trading'!A91,3),'Master Data'!$A$2:$A$8,0),2)</f>
        <v>T</v>
      </c>
      <c r="D91" s="124" t="n">
        <v>-199188</v>
      </c>
      <c r="E91" s="124" t="n">
        <v>199188</v>
      </c>
      <c r="F91" s="124" t="n">
        <v>0</v>
      </c>
      <c r="G91" s="124" t="n">
        <v>45931.6</v>
      </c>
      <c r="I91" s="124" t="n">
        <f aca="false">IF(MONTH($A91)=MONTH($A90),IF(G91=0,I90,G91),G91)</f>
        <v>45931.6</v>
      </c>
      <c r="J91" s="124" t="n">
        <f aca="false">IF(MONTH($A91)=MONTH($A90),SUM(I91-I90),I91)</f>
        <v>1063.01</v>
      </c>
      <c r="K91" s="124" t="n">
        <f aca="false">IF(WEEKDAY(A91,3)&gt;4,0,(IF(A91&lt;K$2,0,IF(A91&lt;=K$3,1,0))))</f>
        <v>0</v>
      </c>
      <c r="L91" s="124" t="n">
        <f aca="false">J91*K91</f>
        <v>0</v>
      </c>
      <c r="M91" s="124" t="n">
        <f aca="false">SUM(J$6:J91)</f>
        <v>460334.923376146</v>
      </c>
      <c r="N91" s="124" t="n">
        <f aca="false">SUM(J$6:J91)</f>
        <v>460334.923376146</v>
      </c>
      <c r="P91" s="124" t="n">
        <f aca="false">D91/P$3</f>
        <v>-0.199188</v>
      </c>
      <c r="Q91" s="124" t="n">
        <f aca="false">E91/P$3</f>
        <v>0.199188</v>
      </c>
      <c r="R91" s="124" t="n">
        <f aca="false">F91/R$3</f>
        <v>0</v>
      </c>
      <c r="S91" s="126" t="n">
        <f aca="false">J91/$R$3</f>
        <v>1.06301</v>
      </c>
      <c r="T91" s="126" t="n">
        <f aca="false">L91/$R$3</f>
        <v>0</v>
      </c>
      <c r="U91" s="126" t="n">
        <f aca="false">I91/$R$3</f>
        <v>45.9316</v>
      </c>
      <c r="V91" s="126" t="n">
        <f aca="false">M91/$R$3</f>
        <v>460.334923376146</v>
      </c>
      <c r="W91" s="126" t="n">
        <f aca="false">N91/$R$3</f>
        <v>460.334923376146</v>
      </c>
    </row>
    <row r="92" customFormat="false" ht="12.75" hidden="true" customHeight="false" outlineLevel="0" collapsed="false">
      <c r="A92" s="120" t="n">
        <f aca="false">A91+1</f>
        <v>36978</v>
      </c>
      <c r="B92" s="131" t="str">
        <f aca="false">INDEX('Master Data'!$A$2:$B$8,MATCH(WEEKDAY('EZE Power Trading'!A92,3),'Master Data'!$A$2:$A$8,0),2)</f>
        <v>W</v>
      </c>
      <c r="D92" s="124" t="n">
        <v>-198411</v>
      </c>
      <c r="E92" s="124" t="n">
        <v>198411</v>
      </c>
      <c r="F92" s="124" t="n">
        <v>0</v>
      </c>
      <c r="G92" s="124" t="n">
        <v>48361.25</v>
      </c>
      <c r="I92" s="124" t="n">
        <f aca="false">IF(MONTH($A92)=MONTH($A91),IF(G92=0,I91,G92),G92)</f>
        <v>48361.25</v>
      </c>
      <c r="J92" s="124" t="n">
        <f aca="false">IF(MONTH($A92)=MONTH($A91),SUM(I92-I91),I92)</f>
        <v>2429.65</v>
      </c>
      <c r="K92" s="124" t="n">
        <f aca="false">IF(WEEKDAY(A92,3)&gt;4,0,(IF(A92&lt;K$2,0,IF(A92&lt;=K$3,1,0))))</f>
        <v>0</v>
      </c>
      <c r="L92" s="124" t="n">
        <f aca="false">J92*K92</f>
        <v>0</v>
      </c>
      <c r="M92" s="124" t="n">
        <f aca="false">SUM(J$6:J92)</f>
        <v>462764.573376146</v>
      </c>
      <c r="N92" s="124" t="n">
        <f aca="false">SUM(J$6:J92)</f>
        <v>462764.573376146</v>
      </c>
      <c r="P92" s="124" t="n">
        <f aca="false">D92/P$3</f>
        <v>-0.198411</v>
      </c>
      <c r="Q92" s="124" t="n">
        <f aca="false">E92/P$3</f>
        <v>0.198411</v>
      </c>
      <c r="R92" s="124" t="n">
        <f aca="false">F92/R$3</f>
        <v>0</v>
      </c>
      <c r="S92" s="126" t="n">
        <f aca="false">J92/$R$3</f>
        <v>2.42965</v>
      </c>
      <c r="T92" s="126" t="n">
        <f aca="false">L92/$R$3</f>
        <v>0</v>
      </c>
      <c r="U92" s="126" t="n">
        <f aca="false">I92/$R$3</f>
        <v>48.36125</v>
      </c>
      <c r="V92" s="126" t="n">
        <f aca="false">M92/$R$3</f>
        <v>462.764573376146</v>
      </c>
      <c r="W92" s="126" t="n">
        <f aca="false">N92/$R$3</f>
        <v>462.764573376146</v>
      </c>
    </row>
    <row r="93" customFormat="false" ht="12.75" hidden="true" customHeight="false" outlineLevel="0" collapsed="false">
      <c r="A93" s="120" t="n">
        <f aca="false">A92+1</f>
        <v>36979</v>
      </c>
      <c r="B93" s="131" t="str">
        <f aca="false">INDEX('Master Data'!$A$2:$B$8,MATCH(WEEKDAY('EZE Power Trading'!A93,3),'Master Data'!$A$2:$A$8,0),2)</f>
        <v>Th</v>
      </c>
      <c r="D93" s="124" t="n">
        <v>-197677</v>
      </c>
      <c r="E93" s="124" t="n">
        <v>197677</v>
      </c>
      <c r="F93" s="124" t="n">
        <v>0</v>
      </c>
      <c r="G93" s="124" t="n">
        <v>59334.59</v>
      </c>
      <c r="I93" s="124" t="n">
        <f aca="false">IF(MONTH($A93)=MONTH($A92),IF(G93=0,I92,G93),G93)</f>
        <v>59334.59</v>
      </c>
      <c r="J93" s="124" t="n">
        <f aca="false">IF(MONTH($A93)=MONTH($A92),SUM(I93-I92),I93)</f>
        <v>10973.34</v>
      </c>
      <c r="K93" s="124" t="n">
        <f aca="false">IF(WEEKDAY(A93,3)&gt;4,0,(IF(A93&lt;K$2,0,IF(A93&lt;=K$3,1,0))))</f>
        <v>0</v>
      </c>
      <c r="L93" s="124" t="n">
        <f aca="false">J93*K93</f>
        <v>0</v>
      </c>
      <c r="M93" s="124" t="n">
        <f aca="false">SUM(J$6:J93)</f>
        <v>473737.913376146</v>
      </c>
      <c r="N93" s="124" t="n">
        <f aca="false">SUM(J$6:J93)</f>
        <v>473737.913376146</v>
      </c>
      <c r="P93" s="124" t="n">
        <f aca="false">D93/P$3</f>
        <v>-0.197677</v>
      </c>
      <c r="Q93" s="124" t="n">
        <f aca="false">E93/P$3</f>
        <v>0.197677</v>
      </c>
      <c r="R93" s="124" t="n">
        <f aca="false">F93/R$3</f>
        <v>0</v>
      </c>
      <c r="S93" s="126" t="n">
        <f aca="false">J93/$R$3</f>
        <v>10.97334</v>
      </c>
      <c r="T93" s="126" t="n">
        <f aca="false">L93/$R$3</f>
        <v>0</v>
      </c>
      <c r="U93" s="126" t="n">
        <f aca="false">I93/$R$3</f>
        <v>59.33459</v>
      </c>
      <c r="V93" s="126" t="n">
        <f aca="false">M93/$R$3</f>
        <v>473.737913376146</v>
      </c>
      <c r="W93" s="126" t="n">
        <f aca="false">N93/$R$3</f>
        <v>473.737913376146</v>
      </c>
    </row>
    <row r="94" customFormat="false" ht="12.75" hidden="false" customHeight="false" outlineLevel="0" collapsed="false">
      <c r="A94" s="120" t="n">
        <f aca="false">A93+1</f>
        <v>36980</v>
      </c>
      <c r="B94" s="131" t="str">
        <f aca="false">INDEX('Master Data'!$A$2:$B$8,MATCH(WEEKDAY('EZE Power Trading'!A94,3),'Master Data'!$A$2:$A$8,0),2)</f>
        <v>F</v>
      </c>
      <c r="D94" s="124" t="n">
        <v>-196318</v>
      </c>
      <c r="E94" s="124" t="n">
        <v>196318</v>
      </c>
      <c r="F94" s="124" t="n">
        <v>0</v>
      </c>
      <c r="G94" s="124" t="n">
        <v>69321.0620416571</v>
      </c>
      <c r="I94" s="124" t="n">
        <f aca="false">IF(MONTH($A94)=MONTH($A93),IF(G94=0,I93,G94),G94)</f>
        <v>69321.0620416571</v>
      </c>
      <c r="J94" s="124" t="n">
        <f aca="false">IF(MONTH($A94)=MONTH($A93),SUM(I94-I93),I94)</f>
        <v>9986.47204165705</v>
      </c>
      <c r="K94" s="124" t="n">
        <f aca="false">IF(WEEKDAY(A94,3)&gt;4,0,(IF(A94&lt;K$2,0,IF(A94&lt;=K$3,1,0))))</f>
        <v>0</v>
      </c>
      <c r="L94" s="124" t="n">
        <f aca="false">J94*K94</f>
        <v>0</v>
      </c>
      <c r="M94" s="124" t="n">
        <f aca="false">SUM(J$6:J94)</f>
        <v>483724.385417803</v>
      </c>
      <c r="N94" s="124" t="n">
        <f aca="false">SUM(J$6:J94)</f>
        <v>483724.385417803</v>
      </c>
      <c r="P94" s="124" t="n">
        <f aca="false">D94/P$3</f>
        <v>-0.196318</v>
      </c>
      <c r="Q94" s="124" t="n">
        <f aca="false">E94/P$3</f>
        <v>0.196318</v>
      </c>
      <c r="R94" s="124" t="n">
        <f aca="false">F94/R$3</f>
        <v>0</v>
      </c>
      <c r="S94" s="126" t="n">
        <f aca="false">J94/$R$3</f>
        <v>9.98647204165705</v>
      </c>
      <c r="T94" s="126" t="n">
        <f aca="false">L94/$R$3</f>
        <v>0</v>
      </c>
      <c r="U94" s="126" t="n">
        <f aca="false">I94/$R$3</f>
        <v>69.321062041657</v>
      </c>
      <c r="V94" s="126" t="n">
        <f aca="false">M94/$R$3</f>
        <v>483.724385417803</v>
      </c>
      <c r="W94" s="126" t="n">
        <f aca="false">N94/$R$3</f>
        <v>483.724385417803</v>
      </c>
    </row>
    <row r="95" customFormat="false" ht="12.75" hidden="true" customHeight="false" outlineLevel="0" collapsed="false">
      <c r="A95" s="120" t="n">
        <f aca="false">A94+1</f>
        <v>36981</v>
      </c>
      <c r="B95" s="131" t="str">
        <f aca="false">INDEX('Master Data'!$A$2:$B$8,MATCH(WEEKDAY('EZE Power Trading'!A95,3),'Master Data'!$A$2:$A$8,0),2)</f>
        <v>Sa</v>
      </c>
      <c r="D95" s="124" t="n">
        <v>0</v>
      </c>
      <c r="E95" s="124" t="n">
        <v>0</v>
      </c>
      <c r="F95" s="124" t="n">
        <v>0</v>
      </c>
      <c r="G95" s="124" t="n">
        <v>0</v>
      </c>
      <c r="I95" s="124" t="n">
        <f aca="false">IF(MONTH($A95)=MONTH($A94),IF(G95=0,I94,G95),G95)</f>
        <v>69321.0620416571</v>
      </c>
      <c r="J95" s="124" t="n">
        <f aca="false">IF(MONTH($A95)=MONTH($A94),SUM(I95-I94),I95)</f>
        <v>0</v>
      </c>
      <c r="K95" s="124" t="n">
        <f aca="false">IF(WEEKDAY(A95,3)&gt;4,0,(IF(A95&lt;K$2,0,IF(A95&lt;=K$3,1,0))))</f>
        <v>0</v>
      </c>
      <c r="L95" s="124" t="n">
        <f aca="false">J95*K95</f>
        <v>0</v>
      </c>
      <c r="M95" s="124" t="n">
        <f aca="false">SUM(J$6:J95)</f>
        <v>483724.385417803</v>
      </c>
      <c r="N95" s="124" t="n">
        <f aca="false">SUM(J$6:J95)</f>
        <v>483724.385417803</v>
      </c>
      <c r="P95" s="124" t="n">
        <f aca="false">D95/P$3</f>
        <v>0</v>
      </c>
      <c r="Q95" s="124" t="n">
        <f aca="false">E95/P$3</f>
        <v>0</v>
      </c>
      <c r="R95" s="124" t="n">
        <f aca="false">F95/R$3</f>
        <v>0</v>
      </c>
      <c r="S95" s="126" t="n">
        <f aca="false">J95/$R$3</f>
        <v>0</v>
      </c>
      <c r="T95" s="126" t="n">
        <f aca="false">L95/$R$3</f>
        <v>0</v>
      </c>
      <c r="U95" s="126" t="n">
        <f aca="false">I95/$R$3</f>
        <v>69.321062041657</v>
      </c>
      <c r="V95" s="126" t="n">
        <f aca="false">M95/$R$3</f>
        <v>483.724385417803</v>
      </c>
      <c r="W95" s="126" t="n">
        <f aca="false">N95/$R$3</f>
        <v>483.724385417803</v>
      </c>
    </row>
    <row r="96" customFormat="false" ht="12.75" hidden="true" customHeight="false" outlineLevel="0" collapsed="false">
      <c r="A96" s="120" t="n">
        <f aca="false">A95+1</f>
        <v>36982</v>
      </c>
      <c r="B96" s="131" t="str">
        <f aca="false">INDEX('Master Data'!$A$2:$B$8,MATCH(WEEKDAY('EZE Power Trading'!A96,3),'Master Data'!$A$2:$A$8,0),2)</f>
        <v>Su</v>
      </c>
      <c r="D96" s="124" t="n">
        <v>0</v>
      </c>
      <c r="E96" s="124" t="n">
        <v>0</v>
      </c>
      <c r="F96" s="124" t="n">
        <v>0</v>
      </c>
      <c r="G96" s="124" t="n">
        <v>0</v>
      </c>
      <c r="I96" s="124" t="n">
        <f aca="false">IF(MONTH($A96)=MONTH($A95),IF(G96=0,I95,G96),G96)</f>
        <v>0</v>
      </c>
      <c r="J96" s="124" t="n">
        <f aca="false">IF(MONTH($A96)=MONTH($A95),SUM(I96-I95),I96)</f>
        <v>0</v>
      </c>
      <c r="K96" s="124" t="n">
        <f aca="false">IF(WEEKDAY(A96,3)&gt;4,0,(IF(A96&lt;K$2,0,IF(A96&lt;=K$3,1,0))))</f>
        <v>0</v>
      </c>
      <c r="L96" s="124" t="n">
        <f aca="false">J96*K96</f>
        <v>0</v>
      </c>
      <c r="M96" s="124" t="n">
        <f aca="false">SUM(J$6:J96)</f>
        <v>483724.385417803</v>
      </c>
      <c r="N96" s="124" t="n">
        <f aca="false">SUM(J$6:J96)</f>
        <v>483724.385417803</v>
      </c>
      <c r="P96" s="124" t="n">
        <f aca="false">D96/P$3</f>
        <v>0</v>
      </c>
      <c r="Q96" s="124" t="n">
        <f aca="false">E96/P$3</f>
        <v>0</v>
      </c>
      <c r="R96" s="124" t="n">
        <f aca="false">F96/R$3</f>
        <v>0</v>
      </c>
      <c r="S96" s="126" t="n">
        <f aca="false">J96/$R$3</f>
        <v>0</v>
      </c>
      <c r="T96" s="126" t="n">
        <f aca="false">L96/$R$3</f>
        <v>0</v>
      </c>
      <c r="U96" s="126" t="n">
        <f aca="false">I96/$R$3</f>
        <v>0</v>
      </c>
      <c r="V96" s="126" t="n">
        <f aca="false">M96/$R$3</f>
        <v>483.724385417803</v>
      </c>
      <c r="W96" s="126" t="n">
        <f aca="false">N96/$R$3</f>
        <v>483.724385417803</v>
      </c>
    </row>
    <row r="97" customFormat="false" ht="12.75" hidden="true" customHeight="false" outlineLevel="0" collapsed="false">
      <c r="A97" s="120" t="n">
        <f aca="false">A96+1</f>
        <v>36983</v>
      </c>
      <c r="B97" s="131" t="str">
        <f aca="false">INDEX('Master Data'!$A$2:$B$8,MATCH(WEEKDAY('EZE Power Trading'!A97,3),'Master Data'!$A$2:$A$8,0),2)</f>
        <v>M</v>
      </c>
      <c r="D97" s="124" t="n">
        <v>-194974</v>
      </c>
      <c r="E97" s="124" t="n">
        <v>194974</v>
      </c>
      <c r="F97" s="124" t="n">
        <v>0</v>
      </c>
      <c r="G97" s="124" t="n">
        <v>183.6</v>
      </c>
      <c r="I97" s="124" t="n">
        <f aca="false">IF(MONTH($A97)=MONTH($A96),IF(G97=0,I96,G97),G97)</f>
        <v>183.6</v>
      </c>
      <c r="J97" s="124" t="n">
        <f aca="false">IF(MONTH($A97)=MONTH($A96),SUM(I97-I96),I97)</f>
        <v>183.6</v>
      </c>
      <c r="K97" s="124" t="n">
        <f aca="false">IF(WEEKDAY(A97,3)&gt;4,0,(IF(A97&lt;K$2,0,IF(A97&lt;=K$3,1,0))))</f>
        <v>0</v>
      </c>
      <c r="L97" s="124" t="n">
        <f aca="false">J97*K97</f>
        <v>0</v>
      </c>
      <c r="M97" s="124" t="n">
        <f aca="false">SUM(J$97:J97)</f>
        <v>183.6</v>
      </c>
      <c r="N97" s="124" t="n">
        <f aca="false">SUM(J$6:J97)</f>
        <v>483907.985417803</v>
      </c>
      <c r="P97" s="124" t="n">
        <f aca="false">D97/P$3</f>
        <v>-0.194974</v>
      </c>
      <c r="Q97" s="124" t="n">
        <f aca="false">E97/P$3</f>
        <v>0.194974</v>
      </c>
      <c r="R97" s="124" t="n">
        <f aca="false">F97/R$3</f>
        <v>0</v>
      </c>
      <c r="S97" s="126" t="n">
        <f aca="false">J97/$R$3</f>
        <v>0.1836</v>
      </c>
      <c r="T97" s="126" t="n">
        <f aca="false">L97/$R$3</f>
        <v>0</v>
      </c>
      <c r="U97" s="126" t="n">
        <f aca="false">I97/$R$3</f>
        <v>0.1836</v>
      </c>
      <c r="V97" s="126" t="n">
        <f aca="false">M97/$R$3</f>
        <v>0.1836</v>
      </c>
      <c r="W97" s="126" t="n">
        <f aca="false">N97/$R$3</f>
        <v>483.907985417803</v>
      </c>
    </row>
    <row r="98" customFormat="false" ht="12.75" hidden="true" customHeight="false" outlineLevel="0" collapsed="false">
      <c r="A98" s="120" t="n">
        <f aca="false">A97+1</f>
        <v>36984</v>
      </c>
      <c r="B98" s="131" t="str">
        <f aca="false">INDEX('Master Data'!$A$2:$B$8,MATCH(WEEKDAY('EZE Power Trading'!A98,3),'Master Data'!$A$2:$A$8,0),2)</f>
        <v>T</v>
      </c>
      <c r="D98" s="124" t="n">
        <v>-194256</v>
      </c>
      <c r="E98" s="124" t="n">
        <v>194256</v>
      </c>
      <c r="F98" s="124" t="n">
        <v>0</v>
      </c>
      <c r="G98" s="124" t="n">
        <v>8473.08</v>
      </c>
      <c r="I98" s="124" t="n">
        <f aca="false">IF(MONTH($A98)=MONTH($A97),IF(G98=0,I97,G98),G98)</f>
        <v>8473.08</v>
      </c>
      <c r="J98" s="124" t="n">
        <f aca="false">IF(MONTH($A98)=MONTH($A97),SUM(I98-I97),I98)</f>
        <v>8289.48</v>
      </c>
      <c r="K98" s="124" t="n">
        <f aca="false">IF(WEEKDAY(A98,3)&gt;4,0,(IF(A98&lt;K$2,0,IF(A98&lt;=K$3,1,0))))</f>
        <v>0</v>
      </c>
      <c r="L98" s="124" t="n">
        <f aca="false">J98*K98</f>
        <v>0</v>
      </c>
      <c r="M98" s="124" t="n">
        <f aca="false">SUM(J$97:J98)</f>
        <v>8473.08</v>
      </c>
      <c r="N98" s="124" t="n">
        <f aca="false">SUM(J$6:J98)</f>
        <v>492197.465417803</v>
      </c>
      <c r="P98" s="124" t="n">
        <f aca="false">D98/P$3</f>
        <v>-0.194256</v>
      </c>
      <c r="Q98" s="124" t="n">
        <f aca="false">E98/P$3</f>
        <v>0.194256</v>
      </c>
      <c r="R98" s="124" t="n">
        <f aca="false">F98/R$3</f>
        <v>0</v>
      </c>
      <c r="S98" s="126" t="n">
        <f aca="false">J98/$R$3</f>
        <v>8.28948</v>
      </c>
      <c r="T98" s="126" t="n">
        <f aca="false">L98/$R$3</f>
        <v>0</v>
      </c>
      <c r="U98" s="126" t="n">
        <f aca="false">I98/$R$3</f>
        <v>8.47308</v>
      </c>
      <c r="V98" s="126" t="n">
        <f aca="false">M98/$R$3</f>
        <v>8.47308</v>
      </c>
      <c r="W98" s="126" t="n">
        <f aca="false">N98/$R$3</f>
        <v>492.197465417803</v>
      </c>
    </row>
    <row r="99" customFormat="false" ht="12.75" hidden="true" customHeight="false" outlineLevel="0" collapsed="false">
      <c r="A99" s="120" t="n">
        <f aca="false">A98+1</f>
        <v>36985</v>
      </c>
      <c r="B99" s="131" t="str">
        <f aca="false">INDEX('Master Data'!$A$2:$B$8,MATCH(WEEKDAY('EZE Power Trading'!A99,3),'Master Data'!$A$2:$A$8,0),2)</f>
        <v>W</v>
      </c>
      <c r="D99" s="124" t="n">
        <v>-193547</v>
      </c>
      <c r="E99" s="124" t="n">
        <v>193547</v>
      </c>
      <c r="F99" s="124" t="n">
        <v>0</v>
      </c>
      <c r="G99" s="124" t="n">
        <v>5765.21</v>
      </c>
      <c r="I99" s="124" t="n">
        <f aca="false">IF(MONTH($A99)=MONTH($A98),IF(G99=0,I98,G99),G99)</f>
        <v>5765.21</v>
      </c>
      <c r="J99" s="124" t="n">
        <f aca="false">IF(MONTH($A99)=MONTH($A98),SUM(I99-I98),I99)</f>
        <v>-2707.87</v>
      </c>
      <c r="K99" s="124" t="n">
        <f aca="false">IF(WEEKDAY(A99,3)&gt;4,0,(IF(A99&lt;K$2,0,IF(A99&lt;=K$3,1,0))))</f>
        <v>0</v>
      </c>
      <c r="L99" s="124" t="n">
        <f aca="false">J99*K99</f>
        <v>-0</v>
      </c>
      <c r="M99" s="124" t="n">
        <f aca="false">SUM(J$97:J99)</f>
        <v>5765.21</v>
      </c>
      <c r="N99" s="124" t="n">
        <f aca="false">SUM(J$6:J99)</f>
        <v>489489.595417803</v>
      </c>
      <c r="P99" s="124" t="n">
        <f aca="false">D99/P$3</f>
        <v>-0.193547</v>
      </c>
      <c r="Q99" s="124" t="n">
        <f aca="false">E99/P$3</f>
        <v>0.193547</v>
      </c>
      <c r="R99" s="124" t="n">
        <f aca="false">F99/R$3</f>
        <v>0</v>
      </c>
      <c r="S99" s="126" t="n">
        <f aca="false">J99/$R$3</f>
        <v>-2.70787</v>
      </c>
      <c r="T99" s="126" t="n">
        <f aca="false">L99/$R$3</f>
        <v>-0</v>
      </c>
      <c r="U99" s="126" t="n">
        <f aca="false">I99/$R$3</f>
        <v>5.76521</v>
      </c>
      <c r="V99" s="126" t="n">
        <f aca="false">M99/$R$3</f>
        <v>5.76521</v>
      </c>
      <c r="W99" s="126" t="n">
        <f aca="false">N99/$R$3</f>
        <v>489.489595417803</v>
      </c>
    </row>
    <row r="100" customFormat="false" ht="12.75" hidden="true" customHeight="false" outlineLevel="0" collapsed="false">
      <c r="A100" s="120" t="n">
        <f aca="false">A99+1</f>
        <v>36986</v>
      </c>
      <c r="B100" s="131" t="str">
        <f aca="false">INDEX('Master Data'!$A$2:$B$8,MATCH(WEEKDAY('EZE Power Trading'!A100,3),'Master Data'!$A$2:$A$8,0),2)</f>
        <v>Th</v>
      </c>
      <c r="D100" s="124" t="n">
        <v>-192857</v>
      </c>
      <c r="E100" s="124" t="n">
        <v>192857</v>
      </c>
      <c r="F100" s="124" t="n">
        <v>0</v>
      </c>
      <c r="G100" s="124" t="n">
        <v>6352.62</v>
      </c>
      <c r="I100" s="124" t="n">
        <f aca="false">IF(MONTH($A100)=MONTH($A99),IF(G100=0,I99,G100),G100)</f>
        <v>6352.62</v>
      </c>
      <c r="J100" s="124" t="n">
        <f aca="false">IF(MONTH($A100)=MONTH($A99),SUM(I100-I99),I100)</f>
        <v>587.41</v>
      </c>
      <c r="K100" s="124" t="n">
        <f aca="false">IF(WEEKDAY(A100,3)&gt;4,0,(IF(A100&lt;K$2,0,IF(A100&lt;=K$3,1,0))))</f>
        <v>0</v>
      </c>
      <c r="L100" s="124" t="n">
        <f aca="false">J100*K100</f>
        <v>0</v>
      </c>
      <c r="M100" s="124" t="n">
        <f aca="false">SUM(J$97:J100)</f>
        <v>6352.62</v>
      </c>
      <c r="N100" s="124" t="n">
        <f aca="false">SUM(J$6:J100)</f>
        <v>490077.005417803</v>
      </c>
      <c r="P100" s="124" t="n">
        <f aca="false">D100/P$3</f>
        <v>-0.192857</v>
      </c>
      <c r="Q100" s="124" t="n">
        <f aca="false">E100/P$3</f>
        <v>0.192857</v>
      </c>
      <c r="R100" s="124" t="n">
        <f aca="false">F100/R$3</f>
        <v>0</v>
      </c>
      <c r="S100" s="126" t="n">
        <f aca="false">J100/$R$3</f>
        <v>0.58741</v>
      </c>
      <c r="T100" s="126" t="n">
        <f aca="false">L100/$R$3</f>
        <v>0</v>
      </c>
      <c r="U100" s="126" t="n">
        <f aca="false">I100/$R$3</f>
        <v>6.35262</v>
      </c>
      <c r="V100" s="126" t="n">
        <f aca="false">M100/$R$3</f>
        <v>6.35262</v>
      </c>
      <c r="W100" s="126" t="n">
        <f aca="false">N100/$R$3</f>
        <v>490.077005417803</v>
      </c>
    </row>
    <row r="101" customFormat="false" ht="12.75" hidden="true" customHeight="false" outlineLevel="0" collapsed="false">
      <c r="A101" s="120" t="n">
        <f aca="false">A100+1</f>
        <v>36987</v>
      </c>
      <c r="B101" s="131" t="str">
        <f aca="false">INDEX('Master Data'!$A$2:$B$8,MATCH(WEEKDAY('EZE Power Trading'!A101,3),'Master Data'!$A$2:$A$8,0),2)</f>
        <v>F</v>
      </c>
      <c r="D101" s="124" t="n">
        <v>-192102</v>
      </c>
      <c r="E101" s="124" t="n">
        <v>192102</v>
      </c>
      <c r="F101" s="124" t="n">
        <v>0</v>
      </c>
      <c r="G101" s="124" t="n">
        <v>7090.37</v>
      </c>
      <c r="I101" s="124" t="n">
        <f aca="false">IF(MONTH($A101)=MONTH($A100),IF(G101=0,I100,G101),G101)</f>
        <v>7090.37</v>
      </c>
      <c r="J101" s="124" t="n">
        <f aca="false">IF(MONTH($A101)=MONTH($A100),SUM(I101-I100),I101)</f>
        <v>737.75</v>
      </c>
      <c r="K101" s="124" t="n">
        <f aca="false">IF(WEEKDAY(A101,3)&gt;4,0,(IF(A101&lt;K$2,0,IF(A101&lt;=K$3,1,0))))</f>
        <v>0</v>
      </c>
      <c r="L101" s="124" t="n">
        <f aca="false">J101*K101</f>
        <v>0</v>
      </c>
      <c r="M101" s="124" t="n">
        <f aca="false">SUM(J$97:J101)</f>
        <v>7090.37</v>
      </c>
      <c r="N101" s="124" t="n">
        <f aca="false">SUM(J$6:J101)</f>
        <v>490814.755417803</v>
      </c>
      <c r="P101" s="124" t="n">
        <f aca="false">D101/P$3</f>
        <v>-0.192102</v>
      </c>
      <c r="Q101" s="124" t="n">
        <f aca="false">E101/P$3</f>
        <v>0.192102</v>
      </c>
      <c r="R101" s="124" t="n">
        <f aca="false">F101/R$3</f>
        <v>0</v>
      </c>
      <c r="S101" s="126" t="n">
        <f aca="false">J101/$R$3</f>
        <v>0.73775</v>
      </c>
      <c r="T101" s="126" t="n">
        <f aca="false">L101/$R$3</f>
        <v>0</v>
      </c>
      <c r="U101" s="126" t="n">
        <f aca="false">I101/$R$3</f>
        <v>7.09037</v>
      </c>
      <c r="V101" s="126" t="n">
        <f aca="false">M101/$R$3</f>
        <v>7.09037</v>
      </c>
      <c r="W101" s="126" t="n">
        <f aca="false">N101/$R$3</f>
        <v>490.814755417803</v>
      </c>
    </row>
    <row r="102" customFormat="false" ht="12.75" hidden="true" customHeight="false" outlineLevel="0" collapsed="false">
      <c r="A102" s="120" t="n">
        <f aca="false">A101+1</f>
        <v>36988</v>
      </c>
      <c r="B102" s="131" t="str">
        <f aca="false">INDEX('Master Data'!$A$2:$B$8,MATCH(WEEKDAY('EZE Power Trading'!A102,3),'Master Data'!$A$2:$A$8,0),2)</f>
        <v>Sa</v>
      </c>
      <c r="D102" s="124" t="n">
        <v>0</v>
      </c>
      <c r="E102" s="124" t="n">
        <v>0</v>
      </c>
      <c r="F102" s="124" t="n">
        <v>0</v>
      </c>
      <c r="G102" s="124" t="n">
        <v>0</v>
      </c>
      <c r="I102" s="124" t="n">
        <f aca="false">IF(MONTH($A102)=MONTH($A101),IF(G102=0,I101,G102),G102)</f>
        <v>7090.37</v>
      </c>
      <c r="J102" s="124" t="n">
        <f aca="false">IF(MONTH($A102)=MONTH($A101),SUM(I102-I101),I102)</f>
        <v>0</v>
      </c>
      <c r="K102" s="124" t="n">
        <f aca="false">IF(WEEKDAY(A102,3)&gt;4,0,(IF(A102&lt;K$2,0,IF(A102&lt;=K$3,1,0))))</f>
        <v>0</v>
      </c>
      <c r="L102" s="124" t="n">
        <f aca="false">J102*K102</f>
        <v>0</v>
      </c>
      <c r="M102" s="124" t="n">
        <f aca="false">SUM(J$97:J102)</f>
        <v>7090.37</v>
      </c>
      <c r="N102" s="124" t="n">
        <f aca="false">SUM(J$6:J102)</f>
        <v>490814.755417803</v>
      </c>
      <c r="P102" s="124" t="n">
        <f aca="false">D102/P$3</f>
        <v>0</v>
      </c>
      <c r="Q102" s="124" t="n">
        <f aca="false">E102/P$3</f>
        <v>0</v>
      </c>
      <c r="R102" s="124" t="n">
        <f aca="false">F102/R$3</f>
        <v>0</v>
      </c>
      <c r="S102" s="126" t="n">
        <f aca="false">J102/$R$3</f>
        <v>0</v>
      </c>
      <c r="T102" s="126" t="n">
        <f aca="false">L102/$R$3</f>
        <v>0</v>
      </c>
      <c r="U102" s="126" t="n">
        <f aca="false">I102/$R$3</f>
        <v>7.09037</v>
      </c>
      <c r="V102" s="126" t="n">
        <f aca="false">M102/$R$3</f>
        <v>7.09037</v>
      </c>
      <c r="W102" s="126" t="n">
        <f aca="false">N102/$R$3</f>
        <v>490.814755417803</v>
      </c>
    </row>
    <row r="103" customFormat="false" ht="12.75" hidden="true" customHeight="false" outlineLevel="0" collapsed="false">
      <c r="A103" s="120" t="n">
        <f aca="false">A102+1</f>
        <v>36989</v>
      </c>
      <c r="B103" s="131" t="str">
        <f aca="false">INDEX('Master Data'!$A$2:$B$8,MATCH(WEEKDAY('EZE Power Trading'!A103,3),'Master Data'!$A$2:$A$8,0),2)</f>
        <v>Su</v>
      </c>
      <c r="D103" s="124" t="n">
        <v>0</v>
      </c>
      <c r="E103" s="124" t="n">
        <v>0</v>
      </c>
      <c r="F103" s="124" t="n">
        <v>0</v>
      </c>
      <c r="G103" s="124" t="n">
        <v>0</v>
      </c>
      <c r="I103" s="124" t="n">
        <f aca="false">IF(MONTH($A103)=MONTH($A102),IF(G103=0,I102,G103),G103)</f>
        <v>7090.37</v>
      </c>
      <c r="J103" s="124" t="n">
        <f aca="false">IF(MONTH($A103)=MONTH($A102),SUM(I103-I102),I103)</f>
        <v>0</v>
      </c>
      <c r="K103" s="124" t="n">
        <f aca="false">IF(WEEKDAY(A103,3)&gt;4,0,(IF(A103&lt;K$2,0,IF(A103&lt;=K$3,1,0))))</f>
        <v>0</v>
      </c>
      <c r="L103" s="124" t="n">
        <f aca="false">J103*K103</f>
        <v>0</v>
      </c>
      <c r="M103" s="124" t="n">
        <f aca="false">SUM(J$97:J103)</f>
        <v>7090.37</v>
      </c>
      <c r="N103" s="124" t="n">
        <f aca="false">SUM(J$6:J103)</f>
        <v>490814.755417803</v>
      </c>
      <c r="P103" s="124" t="n">
        <f aca="false">D103/P$3</f>
        <v>0</v>
      </c>
      <c r="Q103" s="124" t="n">
        <f aca="false">E103/P$3</f>
        <v>0</v>
      </c>
      <c r="R103" s="124" t="n">
        <f aca="false">F103/R$3</f>
        <v>0</v>
      </c>
      <c r="S103" s="126" t="n">
        <f aca="false">J103/$R$3</f>
        <v>0</v>
      </c>
      <c r="T103" s="126" t="n">
        <f aca="false">L103/$R$3</f>
        <v>0</v>
      </c>
      <c r="U103" s="126" t="n">
        <f aca="false">I103/$R$3</f>
        <v>7.09037</v>
      </c>
      <c r="V103" s="126" t="n">
        <f aca="false">M103/$R$3</f>
        <v>7.09037</v>
      </c>
      <c r="W103" s="126" t="n">
        <f aca="false">N103/$R$3</f>
        <v>490.814755417803</v>
      </c>
    </row>
    <row r="104" customFormat="false" ht="12.75" hidden="true" customHeight="false" outlineLevel="0" collapsed="false">
      <c r="A104" s="120" t="n">
        <f aca="false">A103+1</f>
        <v>36990</v>
      </c>
      <c r="B104" s="131" t="str">
        <f aca="false">INDEX('Master Data'!$A$2:$B$8,MATCH(WEEKDAY('EZE Power Trading'!A104,3),'Master Data'!$A$2:$A$8,0),2)</f>
        <v>M</v>
      </c>
      <c r="D104" s="124" t="n">
        <v>-190112</v>
      </c>
      <c r="E104" s="124" t="n">
        <v>190112</v>
      </c>
      <c r="F104" s="124" t="n">
        <v>0</v>
      </c>
      <c r="G104" s="124" t="n">
        <v>7790.28</v>
      </c>
      <c r="I104" s="124" t="n">
        <f aca="false">IF(MONTH($A104)=MONTH($A103),IF(G104=0,I103,G104),G104)</f>
        <v>7790.28</v>
      </c>
      <c r="J104" s="124" t="n">
        <f aca="false">IF(MONTH($A104)=MONTH($A103),SUM(I104-I103),I104)</f>
        <v>699.91</v>
      </c>
      <c r="K104" s="124" t="n">
        <f aca="false">IF(WEEKDAY(A104,3)&gt;4,0,(IF(A104&lt;K$2,0,IF(A104&lt;=K$3,1,0))))</f>
        <v>0</v>
      </c>
      <c r="L104" s="124" t="n">
        <f aca="false">J104*K104</f>
        <v>0</v>
      </c>
      <c r="M104" s="124" t="n">
        <f aca="false">SUM(J$97:J104)</f>
        <v>7790.28</v>
      </c>
      <c r="N104" s="124" t="n">
        <f aca="false">SUM(J$6:J104)</f>
        <v>491514.665417803</v>
      </c>
      <c r="P104" s="124" t="n">
        <f aca="false">D104/P$3</f>
        <v>-0.190112</v>
      </c>
      <c r="Q104" s="124" t="n">
        <f aca="false">E104/P$3</f>
        <v>0.190112</v>
      </c>
      <c r="R104" s="124" t="n">
        <f aca="false">F104/R$3</f>
        <v>0</v>
      </c>
      <c r="S104" s="126" t="n">
        <f aca="false">J104/$R$3</f>
        <v>0.69991</v>
      </c>
      <c r="T104" s="126" t="n">
        <f aca="false">L104/$R$3</f>
        <v>0</v>
      </c>
      <c r="U104" s="126" t="n">
        <f aca="false">I104/$R$3</f>
        <v>7.79028</v>
      </c>
      <c r="V104" s="126" t="n">
        <f aca="false">M104/$R$3</f>
        <v>7.79028</v>
      </c>
      <c r="W104" s="126" t="n">
        <f aca="false">N104/$R$3</f>
        <v>491.514665417803</v>
      </c>
    </row>
    <row r="105" customFormat="false" ht="12.75" hidden="true" customHeight="false" outlineLevel="0" collapsed="false">
      <c r="A105" s="120" t="n">
        <f aca="false">A104+1</f>
        <v>36991</v>
      </c>
      <c r="B105" s="131" t="str">
        <f aca="false">INDEX('Master Data'!$A$2:$B$8,MATCH(WEEKDAY('EZE Power Trading'!A105,3),'Master Data'!$A$2:$A$8,0),2)</f>
        <v>T</v>
      </c>
      <c r="D105" s="124" t="n">
        <v>-189822</v>
      </c>
      <c r="E105" s="124" t="n">
        <v>189822</v>
      </c>
      <c r="F105" s="124" t="n">
        <v>0</v>
      </c>
      <c r="G105" s="124" t="n">
        <v>8592.25</v>
      </c>
      <c r="I105" s="124" t="n">
        <f aca="false">IF(MONTH($A105)=MONTH($A104),IF(G105=0,I104,G105),G105)</f>
        <v>8592.25</v>
      </c>
      <c r="J105" s="124" t="n">
        <f aca="false">IF(MONTH($A105)=MONTH($A104),SUM(I105-I104),I105)</f>
        <v>801.97</v>
      </c>
      <c r="K105" s="124" t="n">
        <f aca="false">IF(WEEKDAY(A105,3)&gt;4,0,(IF(A105&lt;K$2,0,IF(A105&lt;=K$3,1,0))))</f>
        <v>0</v>
      </c>
      <c r="L105" s="124" t="n">
        <f aca="false">J105*K105</f>
        <v>0</v>
      </c>
      <c r="M105" s="124" t="n">
        <f aca="false">SUM(J$97:J105)</f>
        <v>8592.25</v>
      </c>
      <c r="N105" s="124" t="n">
        <f aca="false">SUM(J$6:J105)</f>
        <v>492316.635417803</v>
      </c>
      <c r="P105" s="124" t="n">
        <f aca="false">D105/P$3</f>
        <v>-0.189822</v>
      </c>
      <c r="Q105" s="124" t="n">
        <f aca="false">E105/P$3</f>
        <v>0.189822</v>
      </c>
      <c r="R105" s="124" t="n">
        <f aca="false">F105/R$3</f>
        <v>0</v>
      </c>
      <c r="S105" s="126" t="n">
        <f aca="false">J105/$R$3</f>
        <v>0.80197</v>
      </c>
      <c r="T105" s="126" t="n">
        <f aca="false">L105/$R$3</f>
        <v>0</v>
      </c>
      <c r="U105" s="126" t="n">
        <f aca="false">I105/$R$3</f>
        <v>8.59225</v>
      </c>
      <c r="V105" s="126" t="n">
        <f aca="false">M105/$R$3</f>
        <v>8.59225</v>
      </c>
      <c r="W105" s="126" t="n">
        <f aca="false">N105/$R$3</f>
        <v>492.316635417803</v>
      </c>
    </row>
    <row r="106" customFormat="false" ht="12.75" hidden="true" customHeight="false" outlineLevel="0" collapsed="false">
      <c r="A106" s="120" t="n">
        <f aca="false">A105+1</f>
        <v>36992</v>
      </c>
      <c r="B106" s="131" t="str">
        <f aca="false">INDEX('Master Data'!$A$2:$B$8,MATCH(WEEKDAY('EZE Power Trading'!A106,3),'Master Data'!$A$2:$A$8,0),2)</f>
        <v>W</v>
      </c>
      <c r="D106" s="124" t="n">
        <v>-188583</v>
      </c>
      <c r="E106" s="124" t="n">
        <v>188583</v>
      </c>
      <c r="F106" s="124" t="n">
        <v>0</v>
      </c>
      <c r="G106" s="124" t="n">
        <v>20143.61</v>
      </c>
      <c r="I106" s="124" t="n">
        <f aca="false">IF(MONTH($A106)=MONTH($A105),IF(G106=0,I105,G106),G106)</f>
        <v>20143.61</v>
      </c>
      <c r="J106" s="124" t="n">
        <f aca="false">IF(MONTH($A106)=MONTH($A105),SUM(I106-I105),I106)</f>
        <v>11551.36</v>
      </c>
      <c r="K106" s="124" t="n">
        <f aca="false">IF(WEEKDAY(A106,3)&gt;4,0,(IF(A106&lt;K$2,0,IF(A106&lt;=K$3,1,0))))</f>
        <v>0</v>
      </c>
      <c r="L106" s="124" t="n">
        <f aca="false">J106*K106</f>
        <v>0</v>
      </c>
      <c r="M106" s="124" t="n">
        <f aca="false">SUM(J$97:J106)</f>
        <v>20143.61</v>
      </c>
      <c r="N106" s="124" t="n">
        <f aca="false">SUM(J$6:J106)</f>
        <v>503867.995417803</v>
      </c>
      <c r="P106" s="124" t="n">
        <f aca="false">D106/P$3</f>
        <v>-0.188583</v>
      </c>
      <c r="Q106" s="124" t="n">
        <f aca="false">E106/P$3</f>
        <v>0.188583</v>
      </c>
      <c r="R106" s="124" t="n">
        <f aca="false">F106/R$3</f>
        <v>0</v>
      </c>
      <c r="S106" s="126" t="n">
        <f aca="false">J106/$R$3</f>
        <v>11.55136</v>
      </c>
      <c r="T106" s="126" t="n">
        <f aca="false">L106/$R$3</f>
        <v>0</v>
      </c>
      <c r="U106" s="126" t="n">
        <f aca="false">I106/$R$3</f>
        <v>20.14361</v>
      </c>
      <c r="V106" s="126" t="n">
        <f aca="false">M106/$R$3</f>
        <v>20.14361</v>
      </c>
      <c r="W106" s="126" t="n">
        <f aca="false">N106/$R$3</f>
        <v>503.867995417803</v>
      </c>
    </row>
    <row r="107" customFormat="false" ht="12.75" hidden="true" customHeight="false" outlineLevel="0" collapsed="false">
      <c r="A107" s="120" t="n">
        <f aca="false">A106+1</f>
        <v>36993</v>
      </c>
      <c r="B107" s="131" t="str">
        <f aca="false">INDEX('Master Data'!$A$2:$B$8,MATCH(WEEKDAY('EZE Power Trading'!A107,3),'Master Data'!$A$2:$A$8,0),2)</f>
        <v>Th</v>
      </c>
      <c r="D107" s="124" t="n">
        <v>-187943</v>
      </c>
      <c r="E107" s="124" t="n">
        <v>187943</v>
      </c>
      <c r="F107" s="124" t="n">
        <v>0</v>
      </c>
      <c r="G107" s="124" t="n">
        <v>20274.54</v>
      </c>
      <c r="I107" s="124" t="n">
        <f aca="false">IF(MONTH($A107)=MONTH($A106),IF(G107=0,I106,G107),G107)</f>
        <v>20274.54</v>
      </c>
      <c r="J107" s="124" t="n">
        <f aca="false">IF(MONTH($A107)=MONTH($A106),SUM(I107-I106),I107)</f>
        <v>130.93</v>
      </c>
      <c r="K107" s="124" t="n">
        <f aca="false">IF(WEEKDAY(A107,3)&gt;4,0,(IF(A107&lt;K$2,0,IF(A107&lt;=K$3,1,0))))</f>
        <v>0</v>
      </c>
      <c r="L107" s="124" t="n">
        <f aca="false">J107*K107</f>
        <v>0</v>
      </c>
      <c r="M107" s="124" t="n">
        <f aca="false">SUM(J$97:J107)</f>
        <v>20274.54</v>
      </c>
      <c r="N107" s="124" t="n">
        <f aca="false">SUM(J$6:J107)</f>
        <v>503998.925417803</v>
      </c>
      <c r="P107" s="124" t="n">
        <f aca="false">D107/P$3</f>
        <v>-0.187943</v>
      </c>
      <c r="Q107" s="124" t="n">
        <f aca="false">E107/P$3</f>
        <v>0.187943</v>
      </c>
      <c r="R107" s="124" t="n">
        <f aca="false">F107/R$3</f>
        <v>0</v>
      </c>
      <c r="S107" s="126" t="n">
        <f aca="false">J107/$R$3</f>
        <v>0.13093</v>
      </c>
      <c r="T107" s="126" t="n">
        <f aca="false">L107/$R$3</f>
        <v>0</v>
      </c>
      <c r="U107" s="126" t="n">
        <f aca="false">I107/$R$3</f>
        <v>20.27454</v>
      </c>
      <c r="V107" s="126" t="n">
        <f aca="false">M107/$R$3</f>
        <v>20.27454</v>
      </c>
      <c r="W107" s="126" t="n">
        <f aca="false">N107/$R$3</f>
        <v>503.998925417803</v>
      </c>
    </row>
    <row r="108" customFormat="false" ht="12.75" hidden="true" customHeight="false" outlineLevel="0" collapsed="false">
      <c r="A108" s="120" t="n">
        <f aca="false">A107+1</f>
        <v>36994</v>
      </c>
      <c r="B108" s="131" t="str">
        <f aca="false">INDEX('Master Data'!$A$2:$B$8,MATCH(WEEKDAY('EZE Power Trading'!A108,3),'Master Data'!$A$2:$A$8,0),2)</f>
        <v>F</v>
      </c>
      <c r="D108" s="124" t="n">
        <v>0</v>
      </c>
      <c r="E108" s="124" t="n">
        <v>0</v>
      </c>
      <c r="F108" s="124" t="n">
        <v>0</v>
      </c>
      <c r="G108" s="124" t="n">
        <v>0</v>
      </c>
      <c r="I108" s="124" t="n">
        <f aca="false">IF(MONTH($A108)=MONTH($A107),IF(G108=0,I107,G108),G108)</f>
        <v>20274.54</v>
      </c>
      <c r="J108" s="124" t="n">
        <f aca="false">IF(MONTH($A108)=MONTH($A107),SUM(I108-I107),I108)</f>
        <v>0</v>
      </c>
      <c r="K108" s="124" t="n">
        <f aca="false">IF(WEEKDAY(A108,3)&gt;4,0,(IF(A108&lt;K$2,0,IF(A108&lt;=K$3,1,0))))</f>
        <v>0</v>
      </c>
      <c r="L108" s="124" t="n">
        <f aca="false">J108*K108</f>
        <v>0</v>
      </c>
      <c r="M108" s="124" t="n">
        <f aca="false">SUM(J$97:J108)</f>
        <v>20274.54</v>
      </c>
      <c r="N108" s="124" t="n">
        <f aca="false">SUM(J$6:J108)</f>
        <v>503998.925417803</v>
      </c>
      <c r="P108" s="124" t="n">
        <f aca="false">D108/P$3</f>
        <v>0</v>
      </c>
      <c r="Q108" s="124" t="n">
        <f aca="false">E108/P$3</f>
        <v>0</v>
      </c>
      <c r="R108" s="124" t="n">
        <f aca="false">F108/R$3</f>
        <v>0</v>
      </c>
      <c r="S108" s="126" t="n">
        <f aca="false">J108/$R$3</f>
        <v>0</v>
      </c>
      <c r="T108" s="126" t="n">
        <f aca="false">L108/$R$3</f>
        <v>0</v>
      </c>
      <c r="U108" s="126" t="n">
        <f aca="false">I108/$R$3</f>
        <v>20.27454</v>
      </c>
      <c r="V108" s="126" t="n">
        <f aca="false">M108/$R$3</f>
        <v>20.27454</v>
      </c>
      <c r="W108" s="126" t="n">
        <f aca="false">N108/$R$3</f>
        <v>503.998925417803</v>
      </c>
    </row>
    <row r="109" customFormat="false" ht="12.75" hidden="true" customHeight="false" outlineLevel="0" collapsed="false">
      <c r="A109" s="120" t="n">
        <f aca="false">A108+1</f>
        <v>36995</v>
      </c>
      <c r="B109" s="131" t="str">
        <f aca="false">INDEX('Master Data'!$A$2:$B$8,MATCH(WEEKDAY('EZE Power Trading'!A109,3),'Master Data'!$A$2:$A$8,0),2)</f>
        <v>Sa</v>
      </c>
      <c r="D109" s="124" t="n">
        <v>0</v>
      </c>
      <c r="E109" s="124" t="n">
        <v>0</v>
      </c>
      <c r="F109" s="124" t="n">
        <v>0</v>
      </c>
      <c r="G109" s="124" t="n">
        <v>0</v>
      </c>
      <c r="I109" s="124" t="n">
        <f aca="false">IF(MONTH($A109)=MONTH($A108),IF(G109=0,I108,G109),G109)</f>
        <v>20274.54</v>
      </c>
      <c r="J109" s="124" t="n">
        <f aca="false">IF(MONTH($A109)=MONTH($A108),SUM(I109-I108),I109)</f>
        <v>0</v>
      </c>
      <c r="K109" s="124" t="n">
        <f aca="false">IF(WEEKDAY(A109,3)&gt;4,0,(IF(A109&lt;K$2,0,IF(A109&lt;=K$3,1,0))))</f>
        <v>0</v>
      </c>
      <c r="L109" s="124" t="n">
        <f aca="false">J109*K109</f>
        <v>0</v>
      </c>
      <c r="M109" s="124" t="n">
        <f aca="false">SUM(J$97:J109)</f>
        <v>20274.54</v>
      </c>
      <c r="N109" s="124" t="n">
        <f aca="false">SUM(J$6:J109)</f>
        <v>503998.925417803</v>
      </c>
      <c r="P109" s="124" t="n">
        <f aca="false">D109/P$3</f>
        <v>0</v>
      </c>
      <c r="Q109" s="124" t="n">
        <f aca="false">E109/P$3</f>
        <v>0</v>
      </c>
      <c r="R109" s="124" t="n">
        <f aca="false">F109/R$3</f>
        <v>0</v>
      </c>
      <c r="S109" s="126" t="n">
        <f aca="false">J109/$R$3</f>
        <v>0</v>
      </c>
      <c r="T109" s="126" t="n">
        <f aca="false">L109/$R$3</f>
        <v>0</v>
      </c>
      <c r="U109" s="126" t="n">
        <f aca="false">I109/$R$3</f>
        <v>20.27454</v>
      </c>
      <c r="V109" s="126" t="n">
        <f aca="false">M109/$R$3</f>
        <v>20.27454</v>
      </c>
      <c r="W109" s="126" t="n">
        <f aca="false">N109/$R$3</f>
        <v>503.998925417803</v>
      </c>
    </row>
    <row r="110" customFormat="false" ht="12.75" hidden="true" customHeight="false" outlineLevel="0" collapsed="false">
      <c r="A110" s="120" t="n">
        <f aca="false">A109+1</f>
        <v>36996</v>
      </c>
      <c r="B110" s="131" t="str">
        <f aca="false">INDEX('Master Data'!$A$2:$B$8,MATCH(WEEKDAY('EZE Power Trading'!A110,3),'Master Data'!$A$2:$A$8,0),2)</f>
        <v>Su</v>
      </c>
      <c r="D110" s="124" t="n">
        <v>0</v>
      </c>
      <c r="E110" s="124" t="n">
        <v>0</v>
      </c>
      <c r="F110" s="124" t="n">
        <v>0</v>
      </c>
      <c r="G110" s="124" t="n">
        <v>0</v>
      </c>
      <c r="I110" s="124" t="n">
        <f aca="false">IF(MONTH($A110)=MONTH($A109),IF(G110=0,I109,G110),G110)</f>
        <v>20274.54</v>
      </c>
      <c r="J110" s="124" t="n">
        <f aca="false">IF(MONTH($A110)=MONTH($A109),SUM(I110-I109),I110)</f>
        <v>0</v>
      </c>
      <c r="K110" s="124" t="n">
        <f aca="false">IF(WEEKDAY(A110,3)&gt;4,0,(IF(A110&lt;K$2,0,IF(A110&lt;=K$3,1,0))))</f>
        <v>0</v>
      </c>
      <c r="L110" s="124" t="n">
        <f aca="false">J110*K110</f>
        <v>0</v>
      </c>
      <c r="M110" s="124" t="n">
        <f aca="false">SUM(J$97:J110)</f>
        <v>20274.54</v>
      </c>
      <c r="N110" s="124" t="n">
        <f aca="false">SUM(J$6:J110)</f>
        <v>503998.925417803</v>
      </c>
      <c r="P110" s="124" t="n">
        <f aca="false">D110/P$3</f>
        <v>0</v>
      </c>
      <c r="Q110" s="124" t="n">
        <f aca="false">E110/P$3</f>
        <v>0</v>
      </c>
      <c r="R110" s="124" t="n">
        <f aca="false">F110/R$3</f>
        <v>0</v>
      </c>
      <c r="S110" s="126" t="n">
        <f aca="false">J110/$R$3</f>
        <v>0</v>
      </c>
      <c r="T110" s="126" t="n">
        <f aca="false">L110/$R$3</f>
        <v>0</v>
      </c>
      <c r="U110" s="126" t="n">
        <f aca="false">I110/$R$3</f>
        <v>20.27454</v>
      </c>
      <c r="V110" s="126" t="n">
        <f aca="false">M110/$R$3</f>
        <v>20.27454</v>
      </c>
      <c r="W110" s="126" t="n">
        <f aca="false">N110/$R$3</f>
        <v>503.998925417803</v>
      </c>
    </row>
    <row r="111" customFormat="false" ht="12.75" hidden="true" customHeight="false" outlineLevel="0" collapsed="false">
      <c r="A111" s="120" t="n">
        <f aca="false">A110+1</f>
        <v>36997</v>
      </c>
      <c r="B111" s="131" t="str">
        <f aca="false">INDEX('Master Data'!$A$2:$B$8,MATCH(WEEKDAY('EZE Power Trading'!A111,3),'Master Data'!$A$2:$A$8,0),2)</f>
        <v>M</v>
      </c>
      <c r="D111" s="124" t="n">
        <v>-185252</v>
      </c>
      <c r="E111" s="124" t="n">
        <v>185252</v>
      </c>
      <c r="F111" s="124" t="n">
        <v>0</v>
      </c>
      <c r="G111" s="124" t="n">
        <v>12619.19</v>
      </c>
      <c r="I111" s="124" t="n">
        <f aca="false">IF(MONTH($A111)=MONTH($A110),IF(G111=0,I110,G111),G111)</f>
        <v>12619.19</v>
      </c>
      <c r="J111" s="124" t="n">
        <f aca="false">IF(MONTH($A111)=MONTH($A110),SUM(I111-I110),I111)</f>
        <v>-7655.35</v>
      </c>
      <c r="K111" s="124" t="n">
        <f aca="false">IF(WEEKDAY(A111,3)&gt;4,0,(IF(A111&lt;K$2,0,IF(A111&lt;=K$3,1,0))))</f>
        <v>0</v>
      </c>
      <c r="L111" s="124" t="n">
        <f aca="false">J111*K111</f>
        <v>-0</v>
      </c>
      <c r="M111" s="124" t="n">
        <f aca="false">SUM(J$97:J111)</f>
        <v>12619.19</v>
      </c>
      <c r="N111" s="124" t="n">
        <f aca="false">SUM(J$6:J111)</f>
        <v>496343.575417803</v>
      </c>
      <c r="P111" s="124" t="n">
        <f aca="false">D111/P$3</f>
        <v>-0.185252</v>
      </c>
      <c r="Q111" s="124" t="n">
        <f aca="false">E111/P$3</f>
        <v>0.185252</v>
      </c>
      <c r="R111" s="124" t="n">
        <f aca="false">F111/R$3</f>
        <v>0</v>
      </c>
      <c r="S111" s="126" t="n">
        <f aca="false">J111/$R$3</f>
        <v>-7.65535</v>
      </c>
      <c r="T111" s="126" t="n">
        <f aca="false">L111/$R$3</f>
        <v>-0</v>
      </c>
      <c r="U111" s="126" t="n">
        <f aca="false">I111/$R$3</f>
        <v>12.61919</v>
      </c>
      <c r="V111" s="126" t="n">
        <f aca="false">M111/$R$3</f>
        <v>12.61919</v>
      </c>
      <c r="W111" s="126" t="n">
        <f aca="false">N111/$R$3</f>
        <v>496.343575417803</v>
      </c>
    </row>
    <row r="112" customFormat="false" ht="12.75" hidden="true" customHeight="false" outlineLevel="0" collapsed="false">
      <c r="A112" s="120" t="n">
        <f aca="false">A111+1</f>
        <v>36998</v>
      </c>
      <c r="B112" s="131" t="str">
        <f aca="false">INDEX('Master Data'!$A$2:$B$8,MATCH(WEEKDAY('EZE Power Trading'!A112,3),'Master Data'!$A$2:$A$8,0),2)</f>
        <v>T</v>
      </c>
      <c r="D112" s="124" t="n">
        <v>-184480</v>
      </c>
      <c r="E112" s="124" t="n">
        <v>184480</v>
      </c>
      <c r="F112" s="124" t="n">
        <v>0</v>
      </c>
      <c r="G112" s="124" t="n">
        <v>8574.17</v>
      </c>
      <c r="I112" s="124" t="n">
        <f aca="false">IF(MONTH($A112)=MONTH($A111),IF(G112=0,I111,G112),G112)</f>
        <v>8574.17</v>
      </c>
      <c r="J112" s="124" t="n">
        <f aca="false">IF(MONTH($A112)=MONTH($A111),SUM(I112-I111),I112)</f>
        <v>-4045.02</v>
      </c>
      <c r="K112" s="124" t="n">
        <f aca="false">IF(WEEKDAY(A112,3)&gt;4,0,(IF(A112&lt;K$2,0,IF(A112&lt;=K$3,1,0))))</f>
        <v>0</v>
      </c>
      <c r="L112" s="124" t="n">
        <f aca="false">J112*K112</f>
        <v>-0</v>
      </c>
      <c r="M112" s="124" t="n">
        <f aca="false">SUM(J$97:J112)</f>
        <v>8574.17</v>
      </c>
      <c r="N112" s="124" t="n">
        <f aca="false">SUM(J$6:J112)</f>
        <v>492298.555417803</v>
      </c>
      <c r="P112" s="124" t="n">
        <f aca="false">D112/P$3</f>
        <v>-0.18448</v>
      </c>
      <c r="Q112" s="124" t="n">
        <f aca="false">E112/P$3</f>
        <v>0.18448</v>
      </c>
      <c r="R112" s="124" t="n">
        <f aca="false">F112/R$3</f>
        <v>0</v>
      </c>
      <c r="S112" s="126" t="n">
        <f aca="false">J112/$R$3</f>
        <v>-4.04502</v>
      </c>
      <c r="T112" s="126" t="n">
        <f aca="false">L112/$R$3</f>
        <v>-0</v>
      </c>
      <c r="U112" s="126" t="n">
        <f aca="false">I112/$R$3</f>
        <v>8.57417</v>
      </c>
      <c r="V112" s="126" t="n">
        <f aca="false">M112/$R$3</f>
        <v>8.57417</v>
      </c>
      <c r="W112" s="126" t="n">
        <f aca="false">N112/$R$3</f>
        <v>492.298555417803</v>
      </c>
    </row>
    <row r="113" customFormat="false" ht="12.75" hidden="true" customHeight="false" outlineLevel="0" collapsed="false">
      <c r="A113" s="120" t="n">
        <f aca="false">A112+1</f>
        <v>36999</v>
      </c>
      <c r="B113" s="131" t="str">
        <f aca="false">INDEX('Master Data'!$A$2:$B$8,MATCH(WEEKDAY('EZE Power Trading'!A113,3),'Master Data'!$A$2:$A$8,0),2)</f>
        <v>W</v>
      </c>
      <c r="D113" s="124" t="n">
        <v>-183770</v>
      </c>
      <c r="E113" s="124" t="n">
        <v>183770</v>
      </c>
      <c r="F113" s="124" t="n">
        <v>0</v>
      </c>
      <c r="G113" s="124" t="n">
        <v>4963.91</v>
      </c>
      <c r="I113" s="124" t="n">
        <f aca="false">IF(MONTH($A113)=MONTH($A112),IF(G113=0,I112,G113),G113)</f>
        <v>4963.91</v>
      </c>
      <c r="J113" s="124" t="n">
        <f aca="false">IF(MONTH($A113)=MONTH($A112),SUM(I113-I112),I113)</f>
        <v>-3610.26</v>
      </c>
      <c r="K113" s="124" t="n">
        <f aca="false">IF(WEEKDAY(A113,3)&gt;4,0,(IF(A113&lt;K$2,0,IF(A113&lt;=K$3,1,0))))</f>
        <v>0</v>
      </c>
      <c r="L113" s="124" t="n">
        <f aca="false">J113*K113</f>
        <v>-0</v>
      </c>
      <c r="M113" s="124" t="n">
        <f aca="false">SUM(J$97:J113)</f>
        <v>4963.91</v>
      </c>
      <c r="N113" s="124" t="n">
        <f aca="false">SUM(J$6:J113)</f>
        <v>488688.295417803</v>
      </c>
      <c r="P113" s="124" t="n">
        <f aca="false">D113/P$3</f>
        <v>-0.18377</v>
      </c>
      <c r="Q113" s="124" t="n">
        <f aca="false">E113/P$3</f>
        <v>0.18377</v>
      </c>
      <c r="R113" s="124" t="n">
        <f aca="false">F113/R$3</f>
        <v>0</v>
      </c>
      <c r="S113" s="126" t="n">
        <f aca="false">J113/$R$3</f>
        <v>-3.61026</v>
      </c>
      <c r="T113" s="126" t="n">
        <f aca="false">L113/$R$3</f>
        <v>-0</v>
      </c>
      <c r="U113" s="126" t="n">
        <f aca="false">I113/$R$3</f>
        <v>4.96391</v>
      </c>
      <c r="V113" s="126" t="n">
        <f aca="false">M113/$R$3</f>
        <v>4.96391</v>
      </c>
      <c r="W113" s="126" t="n">
        <f aca="false">N113/$R$3</f>
        <v>488.688295417803</v>
      </c>
    </row>
    <row r="114" customFormat="false" ht="12.75" hidden="true" customHeight="false" outlineLevel="0" collapsed="false">
      <c r="A114" s="120" t="n">
        <f aca="false">A113+1</f>
        <v>37000</v>
      </c>
      <c r="B114" s="131" t="str">
        <f aca="false">INDEX('Master Data'!$A$2:$B$8,MATCH(WEEKDAY('EZE Power Trading'!A114,3),'Master Data'!$A$2:$A$8,0),2)</f>
        <v>Th</v>
      </c>
      <c r="D114" s="124" t="n">
        <v>-184312</v>
      </c>
      <c r="E114" s="124" t="n">
        <v>184312</v>
      </c>
      <c r="F114" s="124" t="n">
        <v>0</v>
      </c>
      <c r="G114" s="124" t="n">
        <v>1212.99</v>
      </c>
      <c r="I114" s="124" t="n">
        <f aca="false">IF(MONTH($A114)=MONTH($A113),IF(G114=0,I113,G114),G114)</f>
        <v>1212.99</v>
      </c>
      <c r="J114" s="124" t="n">
        <f aca="false">IF(MONTH($A114)=MONTH($A113),SUM(I114-I113),I114)</f>
        <v>-3750.92</v>
      </c>
      <c r="K114" s="124" t="n">
        <f aca="false">IF(WEEKDAY(A114,3)&gt;4,0,(IF(A114&lt;K$2,0,IF(A114&lt;=K$3,1,0))))</f>
        <v>0</v>
      </c>
      <c r="L114" s="124" t="n">
        <f aca="false">J114*K114</f>
        <v>-0</v>
      </c>
      <c r="M114" s="124" t="n">
        <f aca="false">SUM(J$97:J114)</f>
        <v>1212.99</v>
      </c>
      <c r="N114" s="124" t="n">
        <f aca="false">SUM(J$6:J114)</f>
        <v>484937.375417803</v>
      </c>
      <c r="P114" s="124" t="n">
        <f aca="false">D114/P$3</f>
        <v>-0.184312</v>
      </c>
      <c r="Q114" s="124" t="n">
        <f aca="false">E114/P$3</f>
        <v>0.184312</v>
      </c>
      <c r="R114" s="124" t="n">
        <f aca="false">F114/R$3</f>
        <v>0</v>
      </c>
      <c r="S114" s="126" t="n">
        <f aca="false">J114/$R$3</f>
        <v>-3.75092</v>
      </c>
      <c r="T114" s="126" t="n">
        <f aca="false">L114/$R$3</f>
        <v>-0</v>
      </c>
      <c r="U114" s="126" t="n">
        <f aca="false">I114/$R$3</f>
        <v>1.21299</v>
      </c>
      <c r="V114" s="126" t="n">
        <f aca="false">M114/$R$3</f>
        <v>1.21299</v>
      </c>
      <c r="W114" s="126" t="n">
        <f aca="false">N114/$R$3</f>
        <v>484.937375417803</v>
      </c>
    </row>
    <row r="115" customFormat="false" ht="12.75" hidden="true" customHeight="false" outlineLevel="0" collapsed="false">
      <c r="A115" s="120" t="n">
        <f aca="false">A114+1</f>
        <v>37001</v>
      </c>
      <c r="B115" s="131" t="str">
        <f aca="false">INDEX('Master Data'!$A$2:$B$8,MATCH(WEEKDAY('EZE Power Trading'!A115,3),'Master Data'!$A$2:$A$8,0),2)</f>
        <v>F</v>
      </c>
      <c r="D115" s="124" t="n">
        <v>-182588</v>
      </c>
      <c r="E115" s="124" t="n">
        <v>182588</v>
      </c>
      <c r="F115" s="124" t="n">
        <v>0</v>
      </c>
      <c r="G115" s="124" t="n">
        <v>-1474.91</v>
      </c>
      <c r="I115" s="124" t="n">
        <f aca="false">IF(MONTH($A115)=MONTH($A114),IF(G115=0,I114,G115),G115)</f>
        <v>-1474.91</v>
      </c>
      <c r="J115" s="124" t="n">
        <f aca="false">IF(MONTH($A115)=MONTH($A114),SUM(I115-I114),I115)</f>
        <v>-2687.9</v>
      </c>
      <c r="K115" s="124" t="n">
        <f aca="false">IF(WEEKDAY(A115,3)&gt;4,0,(IF(A115&lt;K$2,0,IF(A115&lt;=K$3,1,0))))</f>
        <v>0</v>
      </c>
      <c r="L115" s="124" t="n">
        <f aca="false">J115*K115</f>
        <v>-0</v>
      </c>
      <c r="M115" s="124" t="n">
        <f aca="false">SUM(J$97:J115)</f>
        <v>-1474.91</v>
      </c>
      <c r="N115" s="124" t="n">
        <f aca="false">SUM(J$6:J115)</f>
        <v>482249.475417803</v>
      </c>
      <c r="P115" s="124" t="n">
        <f aca="false">D115/P$3</f>
        <v>-0.182588</v>
      </c>
      <c r="Q115" s="124" t="n">
        <f aca="false">E115/P$3</f>
        <v>0.182588</v>
      </c>
      <c r="R115" s="124" t="n">
        <f aca="false">F115/R$3</f>
        <v>0</v>
      </c>
      <c r="S115" s="126" t="n">
        <f aca="false">J115/$R$3</f>
        <v>-2.6879</v>
      </c>
      <c r="T115" s="126" t="n">
        <f aca="false">L115/$R$3</f>
        <v>-0</v>
      </c>
      <c r="U115" s="126" t="n">
        <f aca="false">I115/$R$3</f>
        <v>-1.47491</v>
      </c>
      <c r="V115" s="126" t="n">
        <f aca="false">M115/$R$3</f>
        <v>-1.47491</v>
      </c>
      <c r="W115" s="126" t="n">
        <f aca="false">N115/$R$3</f>
        <v>482.249475417803</v>
      </c>
    </row>
    <row r="116" customFormat="false" ht="12.75" hidden="true" customHeight="false" outlineLevel="0" collapsed="false">
      <c r="A116" s="120" t="n">
        <f aca="false">A115+1</f>
        <v>37002</v>
      </c>
      <c r="B116" s="131" t="str">
        <f aca="false">INDEX('Master Data'!$A$2:$B$8,MATCH(WEEKDAY('EZE Power Trading'!A116,3),'Master Data'!$A$2:$A$8,0),2)</f>
        <v>Sa</v>
      </c>
      <c r="D116" s="124" t="n">
        <v>0</v>
      </c>
      <c r="E116" s="124" t="n">
        <v>0</v>
      </c>
      <c r="F116" s="124" t="n">
        <v>0</v>
      </c>
      <c r="G116" s="124" t="n">
        <v>0</v>
      </c>
      <c r="I116" s="124" t="n">
        <f aca="false">IF(MONTH($A116)=MONTH($A115),IF(G116=0,I115,G116),G116)</f>
        <v>-1474.91</v>
      </c>
      <c r="J116" s="124" t="n">
        <f aca="false">IF(MONTH($A116)=MONTH($A115),SUM(I116-I115),I116)</f>
        <v>0</v>
      </c>
      <c r="K116" s="124" t="n">
        <f aca="false">IF(WEEKDAY(A116,3)&gt;4,0,(IF(A116&lt;K$2,0,IF(A116&lt;=K$3,1,0))))</f>
        <v>0</v>
      </c>
      <c r="L116" s="124" t="n">
        <f aca="false">J116*K116</f>
        <v>0</v>
      </c>
      <c r="M116" s="124" t="n">
        <f aca="false">SUM(J$97:J116)</f>
        <v>-1474.91</v>
      </c>
      <c r="N116" s="124" t="n">
        <f aca="false">SUM(J$6:J116)</f>
        <v>482249.475417803</v>
      </c>
      <c r="P116" s="124" t="n">
        <f aca="false">D116/P$3</f>
        <v>0</v>
      </c>
      <c r="Q116" s="124" t="n">
        <f aca="false">E116/P$3</f>
        <v>0</v>
      </c>
      <c r="R116" s="124" t="n">
        <f aca="false">F116/R$3</f>
        <v>0</v>
      </c>
      <c r="S116" s="126" t="n">
        <f aca="false">J116/$R$3</f>
        <v>0</v>
      </c>
      <c r="T116" s="126" t="n">
        <f aca="false">L116/$R$3</f>
        <v>0</v>
      </c>
      <c r="U116" s="126" t="n">
        <f aca="false">I116/$R$3</f>
        <v>-1.47491</v>
      </c>
      <c r="V116" s="126" t="n">
        <f aca="false">M116/$R$3</f>
        <v>-1.47491</v>
      </c>
      <c r="W116" s="126" t="n">
        <f aca="false">N116/$R$3</f>
        <v>482.249475417803</v>
      </c>
    </row>
    <row r="117" customFormat="false" ht="12.75" hidden="true" customHeight="false" outlineLevel="0" collapsed="false">
      <c r="A117" s="120" t="n">
        <f aca="false">A116+1</f>
        <v>37003</v>
      </c>
      <c r="B117" s="131" t="str">
        <f aca="false">INDEX('Master Data'!$A$2:$B$8,MATCH(WEEKDAY('EZE Power Trading'!A117,3),'Master Data'!$A$2:$A$8,0),2)</f>
        <v>Su</v>
      </c>
      <c r="D117" s="124" t="n">
        <v>0</v>
      </c>
      <c r="E117" s="124" t="n">
        <v>0</v>
      </c>
      <c r="F117" s="124" t="n">
        <v>0</v>
      </c>
      <c r="G117" s="124" t="n">
        <v>0</v>
      </c>
      <c r="I117" s="124" t="n">
        <f aca="false">IF(MONTH($A117)=MONTH($A116),IF(G117=0,I116,G117),G117)</f>
        <v>-1474.91</v>
      </c>
      <c r="J117" s="124" t="n">
        <f aca="false">IF(MONTH($A117)=MONTH($A116),SUM(I117-I116),I117)</f>
        <v>0</v>
      </c>
      <c r="K117" s="124" t="n">
        <f aca="false">IF(WEEKDAY(A117,3)&gt;4,0,(IF(A117&lt;K$2,0,IF(A117&lt;=K$3,1,0))))</f>
        <v>0</v>
      </c>
      <c r="L117" s="124" t="n">
        <f aca="false">J117*K117</f>
        <v>0</v>
      </c>
      <c r="M117" s="124" t="n">
        <f aca="false">SUM(J$97:J117)</f>
        <v>-1474.91</v>
      </c>
      <c r="N117" s="124" t="n">
        <f aca="false">SUM(J$6:J117)</f>
        <v>482249.475417803</v>
      </c>
      <c r="P117" s="124" t="n">
        <f aca="false">D117/P$3</f>
        <v>0</v>
      </c>
      <c r="Q117" s="124" t="n">
        <f aca="false">E117/P$3</f>
        <v>0</v>
      </c>
      <c r="R117" s="124" t="n">
        <f aca="false">F117/R$3</f>
        <v>0</v>
      </c>
      <c r="S117" s="126" t="n">
        <f aca="false">J117/$R$3</f>
        <v>0</v>
      </c>
      <c r="T117" s="126" t="n">
        <f aca="false">L117/$R$3</f>
        <v>0</v>
      </c>
      <c r="U117" s="126" t="n">
        <f aca="false">I117/$R$3</f>
        <v>-1.47491</v>
      </c>
      <c r="V117" s="126" t="n">
        <f aca="false">M117/$R$3</f>
        <v>-1.47491</v>
      </c>
      <c r="W117" s="126" t="n">
        <f aca="false">N117/$R$3</f>
        <v>482.249475417803</v>
      </c>
    </row>
    <row r="118" customFormat="false" ht="12.75" hidden="true" customHeight="false" outlineLevel="0" collapsed="false">
      <c r="A118" s="120" t="n">
        <f aca="false">A117+1</f>
        <v>37004</v>
      </c>
      <c r="B118" s="131" t="str">
        <f aca="false">INDEX('Master Data'!$A$2:$B$8,MATCH(WEEKDAY('EZE Power Trading'!A118,3),'Master Data'!$A$2:$A$8,0),2)</f>
        <v>M</v>
      </c>
      <c r="D118" s="124" t="n">
        <v>-180574</v>
      </c>
      <c r="E118" s="124" t="n">
        <v>180574</v>
      </c>
      <c r="F118" s="124" t="n">
        <v>0</v>
      </c>
      <c r="G118" s="124" t="n">
        <v>-13020.08</v>
      </c>
      <c r="I118" s="124" t="n">
        <f aca="false">IF(MONTH($A118)=MONTH($A117),IF(G118=0,I117,G118),G118)</f>
        <v>-13020.08</v>
      </c>
      <c r="J118" s="124" t="n">
        <f aca="false">IF(MONTH($A118)=MONTH($A117),SUM(I118-I117),I118)</f>
        <v>-11545.17</v>
      </c>
      <c r="K118" s="124" t="n">
        <f aca="false">IF(WEEKDAY(A118,3)&gt;4,0,(IF(A118&lt;K$2,0,IF(A118&lt;=K$3,1,0))))</f>
        <v>0</v>
      </c>
      <c r="L118" s="124" t="n">
        <f aca="false">J118*K118</f>
        <v>-0</v>
      </c>
      <c r="M118" s="124" t="n">
        <f aca="false">SUM(J$97:J118)</f>
        <v>-13020.08</v>
      </c>
      <c r="N118" s="124" t="n">
        <f aca="false">SUM(J$6:J118)</f>
        <v>470704.305417803</v>
      </c>
      <c r="P118" s="124" t="n">
        <f aca="false">D118/P$3</f>
        <v>-0.180574</v>
      </c>
      <c r="Q118" s="124" t="n">
        <f aca="false">E118/P$3</f>
        <v>0.180574</v>
      </c>
      <c r="R118" s="124" t="n">
        <f aca="false">F118/R$3</f>
        <v>0</v>
      </c>
      <c r="S118" s="126" t="n">
        <f aca="false">J118/$R$3</f>
        <v>-11.54517</v>
      </c>
      <c r="T118" s="126" t="n">
        <f aca="false">L118/$R$3</f>
        <v>-0</v>
      </c>
      <c r="U118" s="126" t="n">
        <f aca="false">I118/$R$3</f>
        <v>-13.02008</v>
      </c>
      <c r="V118" s="126" t="n">
        <f aca="false">M118/$R$3</f>
        <v>-13.02008</v>
      </c>
      <c r="W118" s="126" t="n">
        <f aca="false">N118/$R$3</f>
        <v>470.704305417803</v>
      </c>
    </row>
    <row r="119" customFormat="false" ht="12.75" hidden="true" customHeight="false" outlineLevel="0" collapsed="false">
      <c r="A119" s="120" t="n">
        <f aca="false">A118+1</f>
        <v>37005</v>
      </c>
      <c r="B119" s="131" t="str">
        <f aca="false">INDEX('Master Data'!$A$2:$B$8,MATCH(WEEKDAY('EZE Power Trading'!A119,3),'Master Data'!$A$2:$A$8,0),2)</f>
        <v>T</v>
      </c>
      <c r="D119" s="124" t="n">
        <v>-179875</v>
      </c>
      <c r="E119" s="124" t="n">
        <v>179875</v>
      </c>
      <c r="F119" s="124" t="n">
        <v>0</v>
      </c>
      <c r="G119" s="124" t="n">
        <v>-12436.19</v>
      </c>
      <c r="I119" s="124" t="n">
        <f aca="false">IF(MONTH($A119)=MONTH($A118),IF(G119=0,I118,G119),G119)</f>
        <v>-12436.19</v>
      </c>
      <c r="J119" s="124" t="n">
        <f aca="false">IF(MONTH($A119)=MONTH($A118),SUM(I119-I118),I119)</f>
        <v>583.889999999999</v>
      </c>
      <c r="K119" s="124" t="n">
        <f aca="false">IF(WEEKDAY(A119,3)&gt;4,0,(IF(A119&lt;K$2,0,IF(A119&lt;=K$3,1,0))))</f>
        <v>0</v>
      </c>
      <c r="L119" s="124" t="n">
        <f aca="false">J119*K119</f>
        <v>0</v>
      </c>
      <c r="M119" s="124" t="n">
        <f aca="false">SUM(J$97:J119)</f>
        <v>-12436.19</v>
      </c>
      <c r="N119" s="124" t="n">
        <f aca="false">SUM(J$6:J119)</f>
        <v>471288.195417803</v>
      </c>
      <c r="P119" s="124" t="n">
        <f aca="false">D119/P$3</f>
        <v>-0.179875</v>
      </c>
      <c r="Q119" s="124" t="n">
        <f aca="false">E119/P$3</f>
        <v>0.179875</v>
      </c>
      <c r="R119" s="124" t="n">
        <f aca="false">F119/R$3</f>
        <v>0</v>
      </c>
      <c r="S119" s="126" t="n">
        <f aca="false">J119/$R$3</f>
        <v>0.58389</v>
      </c>
      <c r="T119" s="126" t="n">
        <f aca="false">L119/$R$3</f>
        <v>0</v>
      </c>
      <c r="U119" s="126" t="n">
        <f aca="false">I119/$R$3</f>
        <v>-12.43619</v>
      </c>
      <c r="V119" s="126" t="n">
        <f aca="false">M119/$R$3</f>
        <v>-12.43619</v>
      </c>
      <c r="W119" s="126" t="n">
        <f aca="false">N119/$R$3</f>
        <v>471.288195417803</v>
      </c>
    </row>
    <row r="120" customFormat="false" ht="12.75" hidden="true" customHeight="false" outlineLevel="0" collapsed="false">
      <c r="A120" s="120" t="n">
        <f aca="false">A119+1</f>
        <v>37006</v>
      </c>
      <c r="B120" s="131" t="str">
        <f aca="false">INDEX('Master Data'!$A$2:$B$8,MATCH(WEEKDAY('EZE Power Trading'!A120,3),'Master Data'!$A$2:$A$8,0),2)</f>
        <v>W</v>
      </c>
      <c r="D120" s="124" t="n">
        <v>-179146</v>
      </c>
      <c r="E120" s="124" t="n">
        <v>179146</v>
      </c>
      <c r="F120" s="124" t="n">
        <v>0</v>
      </c>
      <c r="G120" s="124" t="n">
        <v>-11028.85</v>
      </c>
      <c r="I120" s="124" t="n">
        <f aca="false">IF(MONTH($A120)=MONTH($A119),IF(G120=0,I119,G120),G120)</f>
        <v>-11028.85</v>
      </c>
      <c r="J120" s="124" t="n">
        <f aca="false">IF(MONTH($A120)=MONTH($A119),SUM(I120-I119),I120)</f>
        <v>1407.34</v>
      </c>
      <c r="K120" s="124" t="n">
        <f aca="false">IF(WEEKDAY(A120,3)&gt;4,0,(IF(A120&lt;K$2,0,IF(A120&lt;=K$3,1,0))))</f>
        <v>0</v>
      </c>
      <c r="L120" s="124" t="n">
        <f aca="false">J120*K120</f>
        <v>0</v>
      </c>
      <c r="M120" s="124" t="n">
        <f aca="false">SUM(J$97:J120)</f>
        <v>-11028.85</v>
      </c>
      <c r="N120" s="124" t="n">
        <f aca="false">SUM(J$6:J120)</f>
        <v>472695.535417803</v>
      </c>
      <c r="P120" s="124" t="n">
        <f aca="false">D120/P$3</f>
        <v>-0.179146</v>
      </c>
      <c r="Q120" s="124" t="n">
        <f aca="false">E120/P$3</f>
        <v>0.179146</v>
      </c>
      <c r="R120" s="124" t="n">
        <f aca="false">F120/R$3</f>
        <v>0</v>
      </c>
      <c r="S120" s="126" t="n">
        <f aca="false">J120/$R$3</f>
        <v>1.40734</v>
      </c>
      <c r="T120" s="126" t="n">
        <f aca="false">L120/$R$3</f>
        <v>0</v>
      </c>
      <c r="U120" s="126" t="n">
        <f aca="false">I120/$R$3</f>
        <v>-11.02885</v>
      </c>
      <c r="V120" s="126" t="n">
        <f aca="false">M120/$R$3</f>
        <v>-11.02885</v>
      </c>
      <c r="W120" s="126" t="n">
        <f aca="false">N120/$R$3</f>
        <v>472.695535417803</v>
      </c>
    </row>
    <row r="121" customFormat="false" ht="12.75" hidden="true" customHeight="false" outlineLevel="0" collapsed="false">
      <c r="A121" s="120" t="n">
        <f aca="false">A120+1</f>
        <v>37007</v>
      </c>
      <c r="B121" s="131" t="str">
        <f aca="false">INDEX('Master Data'!$A$2:$B$8,MATCH(WEEKDAY('EZE Power Trading'!A121,3),'Master Data'!$A$2:$A$8,0),2)</f>
        <v>Th</v>
      </c>
      <c r="D121" s="124" t="n">
        <v>-178399</v>
      </c>
      <c r="E121" s="124" t="n">
        <v>178399</v>
      </c>
      <c r="F121" s="124" t="n">
        <v>0</v>
      </c>
      <c r="G121" s="124" t="n">
        <v>-10023.11</v>
      </c>
      <c r="I121" s="124" t="n">
        <f aca="false">IF(MONTH($A121)=MONTH($A120),IF(G121=0,I120,G121),G121)</f>
        <v>-10023.11</v>
      </c>
      <c r="J121" s="124" t="n">
        <f aca="false">IF(MONTH($A121)=MONTH($A120),SUM(I121-I120),I121)</f>
        <v>1005.74</v>
      </c>
      <c r="K121" s="124" t="n">
        <f aca="false">IF(WEEKDAY(A121,3)&gt;4,0,(IF(A121&lt;K$2,0,IF(A121&lt;=K$3,1,0))))</f>
        <v>0</v>
      </c>
      <c r="L121" s="124" t="n">
        <f aca="false">J121*K121</f>
        <v>0</v>
      </c>
      <c r="M121" s="124" t="n">
        <f aca="false">SUM(J$97:J121)</f>
        <v>-10023.11</v>
      </c>
      <c r="N121" s="124" t="n">
        <f aca="false">SUM(J$6:J121)</f>
        <v>473701.275417803</v>
      </c>
      <c r="P121" s="124" t="n">
        <f aca="false">D121/P$3</f>
        <v>-0.178399</v>
      </c>
      <c r="Q121" s="124" t="n">
        <f aca="false">E121/P$3</f>
        <v>0.178399</v>
      </c>
      <c r="R121" s="124" t="n">
        <f aca="false">F121/R$3</f>
        <v>0</v>
      </c>
      <c r="S121" s="126" t="n">
        <f aca="false">J121/$R$3</f>
        <v>1.00574</v>
      </c>
      <c r="T121" s="126" t="n">
        <f aca="false">L121/$R$3</f>
        <v>0</v>
      </c>
      <c r="U121" s="126" t="n">
        <f aca="false">I121/$R$3</f>
        <v>-10.02311</v>
      </c>
      <c r="V121" s="126" t="n">
        <f aca="false">M121/$R$3</f>
        <v>-10.02311</v>
      </c>
      <c r="W121" s="126" t="n">
        <f aca="false">N121/$R$3</f>
        <v>473.701275417803</v>
      </c>
    </row>
    <row r="122" customFormat="false" ht="12.75" hidden="true" customHeight="false" outlineLevel="0" collapsed="false">
      <c r="A122" s="120" t="n">
        <f aca="false">A121+1</f>
        <v>37008</v>
      </c>
      <c r="B122" s="131" t="str">
        <f aca="false">INDEX('Master Data'!$A$2:$B$8,MATCH(WEEKDAY('EZE Power Trading'!A122,3),'Master Data'!$A$2:$A$8,0),2)</f>
        <v>F</v>
      </c>
      <c r="D122" s="124" t="n">
        <v>-177674</v>
      </c>
      <c r="E122" s="124" t="n">
        <v>177674</v>
      </c>
      <c r="F122" s="124" t="n">
        <v>0</v>
      </c>
      <c r="G122" s="124" t="n">
        <v>12450.48</v>
      </c>
      <c r="I122" s="124" t="n">
        <f aca="false">IF(MONTH($A122)=MONTH($A121),IF(G122=0,I121,G122),G122)</f>
        <v>12450.48</v>
      </c>
      <c r="J122" s="124" t="n">
        <f aca="false">IF(MONTH($A122)=MONTH($A121),SUM(I122-I121),I122)</f>
        <v>22473.59</v>
      </c>
      <c r="K122" s="124" t="n">
        <f aca="false">IF(WEEKDAY(A122,3)&gt;4,0,(IF(A122&lt;K$2,0,IF(A122&lt;=K$3,1,0))))</f>
        <v>0</v>
      </c>
      <c r="L122" s="124" t="n">
        <f aca="false">J122*K122</f>
        <v>0</v>
      </c>
      <c r="M122" s="124" t="n">
        <f aca="false">SUM(J$97:J122)</f>
        <v>12450.48</v>
      </c>
      <c r="N122" s="124" t="n">
        <f aca="false">SUM(J$6:J122)</f>
        <v>496174.865417803</v>
      </c>
      <c r="P122" s="124" t="n">
        <f aca="false">D122/P$3</f>
        <v>-0.177674</v>
      </c>
      <c r="Q122" s="124" t="n">
        <f aca="false">E122/P$3</f>
        <v>0.177674</v>
      </c>
      <c r="R122" s="124" t="n">
        <f aca="false">F122/R$3</f>
        <v>0</v>
      </c>
      <c r="S122" s="126" t="n">
        <f aca="false">J122/$R$3</f>
        <v>22.47359</v>
      </c>
      <c r="T122" s="126" t="n">
        <f aca="false">L122/$R$3</f>
        <v>0</v>
      </c>
      <c r="U122" s="126" t="n">
        <f aca="false">I122/$R$3</f>
        <v>12.45048</v>
      </c>
      <c r="V122" s="126" t="n">
        <f aca="false">M122/$R$3</f>
        <v>12.45048</v>
      </c>
      <c r="W122" s="126" t="n">
        <f aca="false">N122/$R$3</f>
        <v>496.174865417803</v>
      </c>
    </row>
    <row r="123" customFormat="false" ht="12.75" hidden="true" customHeight="false" outlineLevel="0" collapsed="false">
      <c r="A123" s="120" t="n">
        <f aca="false">A122+1</f>
        <v>37009</v>
      </c>
      <c r="B123" s="131" t="str">
        <f aca="false">INDEX('Master Data'!$A$2:$B$8,MATCH(WEEKDAY('EZE Power Trading'!A123,3),'Master Data'!$A$2:$A$8,0),2)</f>
        <v>Sa</v>
      </c>
      <c r="D123" s="124" t="n">
        <v>0</v>
      </c>
      <c r="E123" s="124" t="n">
        <v>0</v>
      </c>
      <c r="F123" s="124" t="n">
        <v>0</v>
      </c>
      <c r="G123" s="124" t="n">
        <v>0</v>
      </c>
      <c r="I123" s="124" t="n">
        <f aca="false">IF(MONTH($A123)=MONTH($A122),IF(G123=0,I122,G123),G123)</f>
        <v>12450.48</v>
      </c>
      <c r="J123" s="124" t="n">
        <f aca="false">IF(MONTH($A123)=MONTH($A122),SUM(I123-I122),I123)</f>
        <v>0</v>
      </c>
      <c r="K123" s="124" t="n">
        <f aca="false">IF(WEEKDAY(A123,3)&gt;4,0,(IF(A123&lt;K$2,0,IF(A123&lt;=K$3,1,0))))</f>
        <v>0</v>
      </c>
      <c r="L123" s="124" t="n">
        <f aca="false">J123*K123</f>
        <v>0</v>
      </c>
      <c r="M123" s="124" t="n">
        <f aca="false">SUM(J$97:J123)</f>
        <v>12450.48</v>
      </c>
      <c r="N123" s="124" t="n">
        <f aca="false">SUM(J$6:J123)</f>
        <v>496174.865417803</v>
      </c>
      <c r="P123" s="124" t="n">
        <f aca="false">D123/P$3</f>
        <v>0</v>
      </c>
      <c r="Q123" s="124" t="n">
        <f aca="false">E123/P$3</f>
        <v>0</v>
      </c>
      <c r="R123" s="124" t="n">
        <f aca="false">F123/R$3</f>
        <v>0</v>
      </c>
      <c r="S123" s="126" t="n">
        <f aca="false">J123/$R$3</f>
        <v>0</v>
      </c>
      <c r="T123" s="126" t="n">
        <f aca="false">L123/$R$3</f>
        <v>0</v>
      </c>
      <c r="U123" s="126" t="n">
        <f aca="false">I123/$R$3</f>
        <v>12.45048</v>
      </c>
      <c r="V123" s="126" t="n">
        <f aca="false">M123/$R$3</f>
        <v>12.45048</v>
      </c>
      <c r="W123" s="126" t="n">
        <f aca="false">N123/$R$3</f>
        <v>496.174865417803</v>
      </c>
    </row>
    <row r="124" customFormat="false" ht="12.75" hidden="true" customHeight="false" outlineLevel="0" collapsed="false">
      <c r="A124" s="120" t="n">
        <f aca="false">A123+1</f>
        <v>37010</v>
      </c>
      <c r="B124" s="131" t="str">
        <f aca="false">INDEX('Master Data'!$A$2:$B$8,MATCH(WEEKDAY('EZE Power Trading'!A124,3),'Master Data'!$A$2:$A$8,0),2)</f>
        <v>Su</v>
      </c>
      <c r="D124" s="124" t="n">
        <v>0</v>
      </c>
      <c r="E124" s="124" t="n">
        <v>0</v>
      </c>
      <c r="F124" s="124" t="n">
        <v>0</v>
      </c>
      <c r="G124" s="124" t="n">
        <v>0</v>
      </c>
      <c r="I124" s="124" t="n">
        <f aca="false">IF(MONTH($A124)=MONTH($A123),IF(G124=0,I123,G124),G124)</f>
        <v>12450.48</v>
      </c>
      <c r="J124" s="124" t="n">
        <f aca="false">IF(MONTH($A124)=MONTH($A123),SUM(I124-I123),I124)</f>
        <v>0</v>
      </c>
      <c r="K124" s="124" t="n">
        <f aca="false">IF(WEEKDAY(A124,3)&gt;4,0,(IF(A124&lt;K$2,0,IF(A124&lt;=K$3,1,0))))</f>
        <v>0</v>
      </c>
      <c r="L124" s="124" t="n">
        <f aca="false">J124*K124</f>
        <v>0</v>
      </c>
      <c r="M124" s="124" t="n">
        <f aca="false">SUM(J$97:J124)</f>
        <v>12450.48</v>
      </c>
      <c r="N124" s="124" t="n">
        <f aca="false">SUM(J$6:J124)</f>
        <v>496174.865417803</v>
      </c>
      <c r="P124" s="124" t="n">
        <f aca="false">D124/P$3</f>
        <v>0</v>
      </c>
      <c r="Q124" s="124" t="n">
        <f aca="false">E124/P$3</f>
        <v>0</v>
      </c>
      <c r="R124" s="124" t="n">
        <f aca="false">F124/R$3</f>
        <v>0</v>
      </c>
      <c r="S124" s="126" t="n">
        <f aca="false">J124/$R$3</f>
        <v>0</v>
      </c>
      <c r="T124" s="126" t="n">
        <f aca="false">L124/$R$3</f>
        <v>0</v>
      </c>
      <c r="U124" s="126" t="n">
        <f aca="false">I124/$R$3</f>
        <v>12.45048</v>
      </c>
      <c r="V124" s="126" t="n">
        <f aca="false">M124/$R$3</f>
        <v>12.45048</v>
      </c>
      <c r="W124" s="126" t="n">
        <f aca="false">N124/$R$3</f>
        <v>496.174865417803</v>
      </c>
    </row>
    <row r="125" customFormat="false" ht="12.75" hidden="false" customHeight="false" outlineLevel="0" collapsed="false">
      <c r="A125" s="120" t="n">
        <f aca="false">A124+1</f>
        <v>37011</v>
      </c>
      <c r="B125" s="131" t="str">
        <f aca="false">INDEX('Master Data'!$A$2:$B$8,MATCH(WEEKDAY('EZE Power Trading'!A125,3),'Master Data'!$A$2:$A$8,0),2)</f>
        <v>M</v>
      </c>
      <c r="D125" s="124" t="n">
        <v>-175610</v>
      </c>
      <c r="E125" s="124" t="n">
        <v>175610</v>
      </c>
      <c r="F125" s="124" t="n">
        <v>0</v>
      </c>
      <c r="G125" s="124" t="n">
        <f aca="false">966+1+11.095</f>
        <v>978.095</v>
      </c>
      <c r="I125" s="124" t="n">
        <f aca="false">IF(MONTH($A125)=MONTH($A124),IF(G125=0,I124,G125),G125)</f>
        <v>978.095</v>
      </c>
      <c r="J125" s="124" t="n">
        <f aca="false">IF(MONTH($A125)=MONTH($A124),SUM(I125-I124),I125)</f>
        <v>-11472.385</v>
      </c>
      <c r="K125" s="124" t="n">
        <f aca="false">IF(WEEKDAY(A125,3)&gt;4,0,(IF(A125&lt;K$2,0,IF(A125&lt;=K$3,1,0))))</f>
        <v>0</v>
      </c>
      <c r="L125" s="124" t="n">
        <f aca="false">J125*K125</f>
        <v>-0</v>
      </c>
      <c r="M125" s="124" t="n">
        <f aca="false">SUM(J$97:J125)</f>
        <v>978.094999999999</v>
      </c>
      <c r="N125" s="124" t="n">
        <f aca="false">SUM(J$6:J125)</f>
        <v>484702.480417803</v>
      </c>
      <c r="P125" s="124" t="n">
        <f aca="false">D125/P$3</f>
        <v>-0.17561</v>
      </c>
      <c r="Q125" s="124" t="n">
        <f aca="false">E125/P$3</f>
        <v>0.17561</v>
      </c>
      <c r="R125" s="124" t="n">
        <f aca="false">F125/R$3</f>
        <v>0</v>
      </c>
      <c r="S125" s="126" t="n">
        <f aca="false">J125/$R$3</f>
        <v>-11.472385</v>
      </c>
      <c r="T125" s="126" t="n">
        <f aca="false">L125/$R$3</f>
        <v>-0</v>
      </c>
      <c r="U125" s="126" t="n">
        <f aca="false">I125/$R$3</f>
        <v>0.978095</v>
      </c>
      <c r="V125" s="126" t="n">
        <f aca="false">M125/$R$3</f>
        <v>0.978094999999999</v>
      </c>
      <c r="W125" s="126" t="n">
        <f aca="false">N125/$R$3</f>
        <v>484.702480417803</v>
      </c>
    </row>
    <row r="126" customFormat="false" ht="12.75" hidden="true" customHeight="false" outlineLevel="0" collapsed="false">
      <c r="A126" s="120" t="n">
        <f aca="false">A125+1</f>
        <v>37012</v>
      </c>
      <c r="B126" s="131" t="str">
        <f aca="false">INDEX('Master Data'!$A$2:$B$8,MATCH(WEEKDAY('EZE Power Trading'!A126,3),'Master Data'!$A$2:$A$8,0),2)</f>
        <v>T</v>
      </c>
      <c r="D126" s="124" t="n">
        <v>-174983</v>
      </c>
      <c r="E126" s="124" t="n">
        <v>174983</v>
      </c>
      <c r="F126" s="124" t="n">
        <v>0</v>
      </c>
      <c r="G126" s="124" t="n">
        <v>5.85</v>
      </c>
      <c r="I126" s="124" t="n">
        <f aca="false">IF(MONTH($A126)=MONTH($A125),IF(G126=0,I125,G126),G126)</f>
        <v>5.85</v>
      </c>
      <c r="J126" s="124" t="n">
        <f aca="false">IF(MONTH($A126)=MONTH($A125),SUM(I126-I125),I126)</f>
        <v>5.85</v>
      </c>
      <c r="K126" s="124" t="n">
        <f aca="false">IF(WEEKDAY(A126,3)&gt;4,0,(IF(A126&lt;K$2,0,IF(A126&lt;=K$3,1,0))))</f>
        <v>0</v>
      </c>
      <c r="L126" s="124" t="n">
        <f aca="false">J126*K126</f>
        <v>0</v>
      </c>
      <c r="M126" s="124" t="n">
        <f aca="false">SUM(J$97:J126)</f>
        <v>983.944999999999</v>
      </c>
      <c r="N126" s="124" t="n">
        <f aca="false">SUM(J$6:J126)</f>
        <v>484708.330417803</v>
      </c>
      <c r="P126" s="124" t="n">
        <f aca="false">D126/P$3</f>
        <v>-0.174983</v>
      </c>
      <c r="Q126" s="124" t="n">
        <f aca="false">E126/P$3</f>
        <v>0.174983</v>
      </c>
      <c r="R126" s="124" t="n">
        <f aca="false">F126/R$3</f>
        <v>0</v>
      </c>
      <c r="S126" s="126" t="n">
        <f aca="false">J126/$R$3</f>
        <v>0.00585</v>
      </c>
      <c r="T126" s="126" t="n">
        <f aca="false">L126/$R$3</f>
        <v>0</v>
      </c>
      <c r="U126" s="126" t="n">
        <f aca="false">I126/$R$3</f>
        <v>0.00585</v>
      </c>
      <c r="V126" s="126" t="n">
        <f aca="false">M126/$R$3</f>
        <v>0.983944999999999</v>
      </c>
      <c r="W126" s="126" t="n">
        <f aca="false">N126/$R$3</f>
        <v>484.708330417803</v>
      </c>
    </row>
    <row r="127" customFormat="false" ht="12.75" hidden="true" customHeight="false" outlineLevel="0" collapsed="false">
      <c r="A127" s="120" t="n">
        <f aca="false">A126+1</f>
        <v>37013</v>
      </c>
      <c r="B127" s="131" t="str">
        <f aca="false">INDEX('Master Data'!$A$2:$B$8,MATCH(WEEKDAY('EZE Power Trading'!A127,3),'Master Data'!$A$2:$A$8,0),2)</f>
        <v>W</v>
      </c>
      <c r="D127" s="124" t="n">
        <v>-174382</v>
      </c>
      <c r="E127" s="124" t="n">
        <v>174382</v>
      </c>
      <c r="F127" s="124" t="n">
        <v>0</v>
      </c>
      <c r="G127" s="124" t="n">
        <v>18814.48</v>
      </c>
      <c r="I127" s="124" t="n">
        <f aca="false">IF(MONTH($A127)=MONTH($A126),IF(G127=0,I126,G127),G127)</f>
        <v>18814.48</v>
      </c>
      <c r="J127" s="124" t="n">
        <f aca="false">IF(MONTH($A127)=MONTH($A126),SUM(I127-I126),I127)</f>
        <v>18808.63</v>
      </c>
      <c r="K127" s="124" t="n">
        <f aca="false">IF(WEEKDAY(A127,3)&gt;4,0,(IF(A127&lt;K$2,0,IF(A127&lt;=K$3,1,0))))</f>
        <v>0</v>
      </c>
      <c r="L127" s="124" t="n">
        <f aca="false">J127*K127</f>
        <v>0</v>
      </c>
      <c r="M127" s="124" t="n">
        <f aca="false">SUM(J$97:J127)</f>
        <v>19792.575</v>
      </c>
      <c r="N127" s="124" t="n">
        <f aca="false">SUM(J$6:J127)</f>
        <v>503516.960417803</v>
      </c>
      <c r="P127" s="124" t="n">
        <f aca="false">D127/P$3</f>
        <v>-0.174382</v>
      </c>
      <c r="Q127" s="124" t="n">
        <f aca="false">E127/P$3</f>
        <v>0.174382</v>
      </c>
      <c r="R127" s="124" t="n">
        <f aca="false">F127/R$3</f>
        <v>0</v>
      </c>
      <c r="S127" s="126" t="n">
        <f aca="false">J127/$R$3</f>
        <v>18.80863</v>
      </c>
      <c r="T127" s="126" t="n">
        <f aca="false">L127/$R$3</f>
        <v>0</v>
      </c>
      <c r="U127" s="126" t="n">
        <f aca="false">I127/$R$3</f>
        <v>18.81448</v>
      </c>
      <c r="V127" s="126" t="n">
        <f aca="false">M127/$R$3</f>
        <v>19.792575</v>
      </c>
      <c r="W127" s="126" t="n">
        <f aca="false">N127/$R$3</f>
        <v>503.516960417803</v>
      </c>
    </row>
    <row r="128" customFormat="false" ht="12.75" hidden="true" customHeight="false" outlineLevel="0" collapsed="false">
      <c r="A128" s="120" t="n">
        <f aca="false">A127+1</f>
        <v>37014</v>
      </c>
      <c r="B128" s="131" t="str">
        <f aca="false">INDEX('Master Data'!$A$2:$B$8,MATCH(WEEKDAY('EZE Power Trading'!A128,3),'Master Data'!$A$2:$A$8,0),2)</f>
        <v>Th</v>
      </c>
      <c r="D128" s="124" t="n">
        <v>-496398</v>
      </c>
      <c r="E128" s="124" t="n">
        <v>496398</v>
      </c>
      <c r="F128" s="124" t="n">
        <v>0</v>
      </c>
      <c r="G128" s="124" t="n">
        <v>23700.12</v>
      </c>
      <c r="I128" s="124" t="n">
        <f aca="false">IF(MONTH($A128)=MONTH($A127),IF(G128=0,I127,G128),G128)</f>
        <v>23700.12</v>
      </c>
      <c r="J128" s="124" t="n">
        <f aca="false">IF(MONTH($A128)=MONTH($A127),SUM(I128-I127),I128)</f>
        <v>4885.64</v>
      </c>
      <c r="K128" s="124" t="n">
        <f aca="false">IF(WEEKDAY(A128,3)&gt;4,0,(IF(A128&lt;K$2,0,IF(A128&lt;=K$3,1,0))))</f>
        <v>0</v>
      </c>
      <c r="L128" s="124" t="n">
        <f aca="false">J128*K128</f>
        <v>0</v>
      </c>
      <c r="M128" s="124" t="n">
        <f aca="false">SUM(J$97:J128)</f>
        <v>24678.215</v>
      </c>
      <c r="N128" s="124" t="n">
        <f aca="false">SUM(J$6:J128)</f>
        <v>508402.600417803</v>
      </c>
      <c r="P128" s="124" t="n">
        <f aca="false">D128/P$3</f>
        <v>-0.496398</v>
      </c>
      <c r="Q128" s="124" t="n">
        <f aca="false">E128/P$3</f>
        <v>0.496398</v>
      </c>
      <c r="R128" s="124" t="n">
        <f aca="false">F128/R$3</f>
        <v>0</v>
      </c>
      <c r="S128" s="126" t="n">
        <f aca="false">J128/$R$3</f>
        <v>4.88564</v>
      </c>
      <c r="T128" s="126" t="n">
        <f aca="false">L128/$R$3</f>
        <v>0</v>
      </c>
      <c r="U128" s="126" t="n">
        <f aca="false">I128/$R$3</f>
        <v>23.70012</v>
      </c>
      <c r="V128" s="126" t="n">
        <f aca="false">M128/$R$3</f>
        <v>24.678215</v>
      </c>
      <c r="W128" s="126" t="n">
        <f aca="false">N128/$R$3</f>
        <v>508.402600417803</v>
      </c>
    </row>
    <row r="129" customFormat="false" ht="12.75" hidden="true" customHeight="false" outlineLevel="0" collapsed="false">
      <c r="A129" s="120" t="n">
        <f aca="false">A128+1</f>
        <v>37015</v>
      </c>
      <c r="B129" s="131" t="str">
        <f aca="false">INDEX('Master Data'!$A$2:$B$8,MATCH(WEEKDAY('EZE Power Trading'!A129,3),'Master Data'!$A$2:$A$8,0),2)</f>
        <v>F</v>
      </c>
      <c r="D129" s="124" t="n">
        <v>-495221</v>
      </c>
      <c r="E129" s="124" t="n">
        <v>495221</v>
      </c>
      <c r="F129" s="124" t="n">
        <v>0</v>
      </c>
      <c r="G129" s="124" t="n">
        <v>20646.7684862539</v>
      </c>
      <c r="I129" s="124" t="n">
        <f aca="false">IF(MONTH($A129)=MONTH($A128),IF(G129=0,I128,G129),G129)</f>
        <v>20646.7684862539</v>
      </c>
      <c r="J129" s="124" t="n">
        <f aca="false">IF(MONTH($A129)=MONTH($A128),SUM(I129-I128),I129)</f>
        <v>-3053.35151374605</v>
      </c>
      <c r="K129" s="124" t="n">
        <f aca="false">IF(WEEKDAY(A129,3)&gt;4,0,(IF(A129&lt;K$2,0,IF(A129&lt;=K$3,1,0))))</f>
        <v>0</v>
      </c>
      <c r="L129" s="124" t="n">
        <f aca="false">J129*K129</f>
        <v>-0</v>
      </c>
      <c r="M129" s="124" t="n">
        <f aca="false">SUM(J$97:J129)</f>
        <v>21624.8634862539</v>
      </c>
      <c r="N129" s="124" t="n">
        <f aca="false">SUM(J$6:J129)</f>
        <v>505349.248904057</v>
      </c>
      <c r="P129" s="124" t="n">
        <f aca="false">D129/P$3</f>
        <v>-0.495221</v>
      </c>
      <c r="Q129" s="124" t="n">
        <f aca="false">E129/P$3</f>
        <v>0.495221</v>
      </c>
      <c r="R129" s="124" t="n">
        <f aca="false">F129/R$3</f>
        <v>0</v>
      </c>
      <c r="S129" s="126" t="n">
        <f aca="false">J129/$R$3</f>
        <v>-3.05335151374605</v>
      </c>
      <c r="T129" s="126" t="n">
        <f aca="false">L129/$R$3</f>
        <v>-0</v>
      </c>
      <c r="U129" s="126" t="n">
        <f aca="false">I129/$R$3</f>
        <v>20.6467684862539</v>
      </c>
      <c r="V129" s="126" t="n">
        <f aca="false">M129/$R$3</f>
        <v>21.6248634862539</v>
      </c>
      <c r="W129" s="126" t="n">
        <f aca="false">N129/$R$3</f>
        <v>505.349248904057</v>
      </c>
    </row>
    <row r="130" customFormat="false" ht="12.75" hidden="true" customHeight="false" outlineLevel="0" collapsed="false">
      <c r="A130" s="120" t="n">
        <f aca="false">A129+1</f>
        <v>37016</v>
      </c>
      <c r="B130" s="131" t="str">
        <f aca="false">INDEX('Master Data'!$A$2:$B$8,MATCH(WEEKDAY('EZE Power Trading'!A130,3),'Master Data'!$A$2:$A$8,0),2)</f>
        <v>Sa</v>
      </c>
      <c r="D130" s="124" t="n">
        <v>0</v>
      </c>
      <c r="E130" s="124" t="n">
        <v>0</v>
      </c>
      <c r="F130" s="124" t="n">
        <v>0</v>
      </c>
      <c r="G130" s="124" t="n">
        <v>0</v>
      </c>
      <c r="I130" s="124" t="n">
        <f aca="false">IF(MONTH($A130)=MONTH($A129),IF(G130=0,I129,G130),G130)</f>
        <v>20646.7684862539</v>
      </c>
      <c r="J130" s="124" t="n">
        <f aca="false">IF(MONTH($A130)=MONTH($A129),SUM(I130-I129),I130)</f>
        <v>0</v>
      </c>
      <c r="K130" s="124" t="n">
        <f aca="false">IF(WEEKDAY(A130,3)&gt;4,0,(IF(A130&lt;K$2,0,IF(A130&lt;=K$3,1,0))))</f>
        <v>0</v>
      </c>
      <c r="L130" s="124" t="n">
        <f aca="false">J130*K130</f>
        <v>0</v>
      </c>
      <c r="M130" s="124" t="n">
        <f aca="false">SUM(J$97:J130)</f>
        <v>21624.8634862539</v>
      </c>
      <c r="N130" s="124" t="n">
        <f aca="false">SUM(J$6:J130)</f>
        <v>505349.248904057</v>
      </c>
      <c r="P130" s="124" t="n">
        <f aca="false">D130/P$3</f>
        <v>0</v>
      </c>
      <c r="Q130" s="124" t="n">
        <f aca="false">E130/P$3</f>
        <v>0</v>
      </c>
      <c r="R130" s="124" t="n">
        <f aca="false">F130/R$3</f>
        <v>0</v>
      </c>
      <c r="S130" s="126" t="n">
        <f aca="false">J130/$R$3</f>
        <v>0</v>
      </c>
      <c r="T130" s="126" t="n">
        <f aca="false">L130/$R$3</f>
        <v>0</v>
      </c>
      <c r="U130" s="126" t="n">
        <f aca="false">I130/$R$3</f>
        <v>20.6467684862539</v>
      </c>
      <c r="V130" s="126" t="n">
        <f aca="false">M130/$R$3</f>
        <v>21.6248634862539</v>
      </c>
      <c r="W130" s="126" t="n">
        <f aca="false">N130/$R$3</f>
        <v>505.349248904057</v>
      </c>
    </row>
    <row r="131" customFormat="false" ht="12.75" hidden="true" customHeight="false" outlineLevel="0" collapsed="false">
      <c r="A131" s="120" t="n">
        <f aca="false">A130+1</f>
        <v>37017</v>
      </c>
      <c r="B131" s="131" t="str">
        <f aca="false">INDEX('Master Data'!$A$2:$B$8,MATCH(WEEKDAY('EZE Power Trading'!A131,3),'Master Data'!$A$2:$A$8,0),2)</f>
        <v>Su</v>
      </c>
      <c r="D131" s="124" t="n">
        <v>0</v>
      </c>
      <c r="E131" s="124" t="n">
        <v>0</v>
      </c>
      <c r="F131" s="124" t="n">
        <v>0</v>
      </c>
      <c r="G131" s="124" t="n">
        <v>0</v>
      </c>
      <c r="I131" s="124" t="n">
        <f aca="false">IF(MONTH($A131)=MONTH($A130),IF(G131=0,I130,G131),G131)</f>
        <v>20646.7684862539</v>
      </c>
      <c r="J131" s="124" t="n">
        <f aca="false">IF(MONTH($A131)=MONTH($A130),SUM(I131-I130),I131)</f>
        <v>0</v>
      </c>
      <c r="K131" s="124" t="n">
        <f aca="false">IF(WEEKDAY(A131,3)&gt;4,0,(IF(A131&lt;K$2,0,IF(A131&lt;=K$3,1,0))))</f>
        <v>0</v>
      </c>
      <c r="L131" s="124" t="n">
        <f aca="false">J131*K131</f>
        <v>0</v>
      </c>
      <c r="M131" s="124" t="n">
        <f aca="false">SUM(J$97:J131)</f>
        <v>21624.8634862539</v>
      </c>
      <c r="N131" s="124" t="n">
        <f aca="false">SUM(J$6:J131)</f>
        <v>505349.248904057</v>
      </c>
      <c r="P131" s="124" t="n">
        <f aca="false">D131/P$3</f>
        <v>0</v>
      </c>
      <c r="Q131" s="124" t="n">
        <f aca="false">E131/P$3</f>
        <v>0</v>
      </c>
      <c r="R131" s="124" t="n">
        <f aca="false">F131/R$3</f>
        <v>0</v>
      </c>
      <c r="S131" s="126" t="n">
        <f aca="false">J131/$R$3</f>
        <v>0</v>
      </c>
      <c r="T131" s="126" t="n">
        <f aca="false">L131/$R$3</f>
        <v>0</v>
      </c>
      <c r="U131" s="126" t="n">
        <f aca="false">I131/$R$3</f>
        <v>20.6467684862539</v>
      </c>
      <c r="V131" s="126" t="n">
        <f aca="false">M131/$R$3</f>
        <v>21.6248634862539</v>
      </c>
      <c r="W131" s="126" t="n">
        <f aca="false">N131/$R$3</f>
        <v>505.349248904057</v>
      </c>
    </row>
    <row r="132" customFormat="false" ht="12.75" hidden="true" customHeight="false" outlineLevel="0" collapsed="false">
      <c r="A132" s="120" t="n">
        <f aca="false">A131+1</f>
        <v>37018</v>
      </c>
      <c r="B132" s="131" t="str">
        <f aca="false">INDEX('Master Data'!$A$2:$B$8,MATCH(WEEKDAY('EZE Power Trading'!A132,3),'Master Data'!$A$2:$A$8,0),2)</f>
        <v>M</v>
      </c>
      <c r="D132" s="124" t="n">
        <v>-491578</v>
      </c>
      <c r="E132" s="124" t="n">
        <v>491578</v>
      </c>
      <c r="F132" s="124"/>
      <c r="G132" s="124" t="n">
        <f aca="false">16874.17</f>
        <v>16874.17</v>
      </c>
      <c r="I132" s="124" t="n">
        <f aca="false">IF(MONTH($A132)=MONTH($A131),IF(G132=0,I131,G132),G132)</f>
        <v>16874.17</v>
      </c>
      <c r="J132" s="124" t="n">
        <f aca="false">IF(MONTH($A132)=MONTH($A131),SUM(I132-I131),I132)</f>
        <v>-3772.59848625395</v>
      </c>
      <c r="K132" s="124" t="n">
        <f aca="false">IF(WEEKDAY(A132,3)&gt;4,0,(IF(A132&lt;K$2,0,IF(A132&lt;=K$3,1,0))))</f>
        <v>0</v>
      </c>
      <c r="L132" s="124" t="n">
        <f aca="false">J132*K132</f>
        <v>-0</v>
      </c>
      <c r="M132" s="124" t="n">
        <f aca="false">SUM(J$97:J132)</f>
        <v>17852.265</v>
      </c>
      <c r="N132" s="124" t="n">
        <f aca="false">SUM(J$6:J132)</f>
        <v>501576.650417803</v>
      </c>
      <c r="P132" s="124" t="n">
        <f aca="false">D132/P$3</f>
        <v>-0.491578</v>
      </c>
      <c r="Q132" s="124" t="n">
        <f aca="false">E132/P$3</f>
        <v>0.491578</v>
      </c>
      <c r="R132" s="124" t="n">
        <f aca="false">F132/R$3</f>
        <v>0</v>
      </c>
      <c r="S132" s="126" t="n">
        <f aca="false">J132/$R$3</f>
        <v>-3.77259848625395</v>
      </c>
      <c r="T132" s="126" t="n">
        <f aca="false">L132/$R$3</f>
        <v>-0</v>
      </c>
      <c r="U132" s="126" t="n">
        <f aca="false">I132/$R$3</f>
        <v>16.87417</v>
      </c>
      <c r="V132" s="126" t="n">
        <f aca="false">M132/$R$3</f>
        <v>17.852265</v>
      </c>
      <c r="W132" s="126" t="n">
        <f aca="false">N132/$R$3</f>
        <v>501.576650417803</v>
      </c>
    </row>
    <row r="133" customFormat="false" ht="12.75" hidden="true" customHeight="false" outlineLevel="0" collapsed="false">
      <c r="A133" s="120" t="n">
        <f aca="false">A132+1</f>
        <v>37019</v>
      </c>
      <c r="B133" s="131" t="str">
        <f aca="false">INDEX('Master Data'!$A$2:$B$8,MATCH(WEEKDAY('EZE Power Trading'!A133,3),'Master Data'!$A$2:$A$8,0),2)</f>
        <v>T</v>
      </c>
      <c r="D133" s="124" t="n">
        <v>-502964</v>
      </c>
      <c r="E133" s="124" t="n">
        <v>502964</v>
      </c>
      <c r="F133" s="124" t="n">
        <v>0</v>
      </c>
      <c r="G133" s="124" t="n">
        <v>22612.4833636776</v>
      </c>
      <c r="I133" s="124" t="n">
        <f aca="false">IF(MONTH($A133)=MONTH($A132),IF(G133=0,I132,G133),G133)</f>
        <v>22612.4833636776</v>
      </c>
      <c r="J133" s="124" t="n">
        <f aca="false">IF(MONTH($A133)=MONTH($A132),SUM(I133-I132),I133)</f>
        <v>5738.31336367762</v>
      </c>
      <c r="K133" s="124" t="n">
        <f aca="false">IF(WEEKDAY(A133,3)&gt;4,0,(IF(A133&lt;K$2,0,IF(A133&lt;=K$3,1,0))))</f>
        <v>0</v>
      </c>
      <c r="L133" s="124" t="n">
        <f aca="false">J133*K133</f>
        <v>0</v>
      </c>
      <c r="M133" s="124" t="n">
        <f aca="false">SUM(J$97:J133)</f>
        <v>23590.5783636776</v>
      </c>
      <c r="N133" s="124" t="n">
        <f aca="false">SUM(J$6:J133)</f>
        <v>507314.963781481</v>
      </c>
      <c r="P133" s="124" t="n">
        <f aca="false">D133/P$3</f>
        <v>-0.502964</v>
      </c>
      <c r="Q133" s="124" t="n">
        <f aca="false">E133/P$3</f>
        <v>0.502964</v>
      </c>
      <c r="R133" s="124" t="n">
        <f aca="false">F133/R$3</f>
        <v>0</v>
      </c>
      <c r="S133" s="126" t="n">
        <f aca="false">J133/$R$3</f>
        <v>5.73831336367762</v>
      </c>
      <c r="T133" s="126" t="n">
        <f aca="false">L133/$R$3</f>
        <v>0</v>
      </c>
      <c r="U133" s="126" t="n">
        <f aca="false">I133/$R$3</f>
        <v>22.6124833636776</v>
      </c>
      <c r="V133" s="126" t="n">
        <f aca="false">M133/$R$3</f>
        <v>23.5905783636776</v>
      </c>
      <c r="W133" s="126" t="n">
        <f aca="false">N133/$R$3</f>
        <v>507.314963781481</v>
      </c>
    </row>
    <row r="134" customFormat="false" ht="12.75" hidden="true" customHeight="false" outlineLevel="0" collapsed="false">
      <c r="A134" s="120" t="n">
        <f aca="false">A133+1</f>
        <v>37020</v>
      </c>
      <c r="B134" s="131" t="str">
        <f aca="false">INDEX('Master Data'!$A$2:$B$8,MATCH(WEEKDAY('EZE Power Trading'!A134,3),'Master Data'!$A$2:$A$8,0),2)</f>
        <v>W</v>
      </c>
      <c r="D134" s="124" t="n">
        <v>-315593</v>
      </c>
      <c r="E134" s="124" t="n">
        <v>315593</v>
      </c>
      <c r="F134" s="124" t="n">
        <v>0</v>
      </c>
      <c r="G134" s="149" t="n">
        <f aca="false">22612-7729</f>
        <v>14883</v>
      </c>
      <c r="I134" s="124" t="n">
        <f aca="false">IF(MONTH($A134)=MONTH($A133),IF(G134=0,I133,G134),G134)</f>
        <v>14883</v>
      </c>
      <c r="J134" s="124" t="n">
        <f aca="false">IF(MONTH($A134)=MONTH($A133),SUM(I134-I133),I134)</f>
        <v>-7729.48336367762</v>
      </c>
      <c r="K134" s="124" t="n">
        <f aca="false">IF(WEEKDAY(A134,3)&gt;4,0,(IF(A134&lt;K$2,0,IF(A134&lt;=K$3,1,0))))</f>
        <v>0</v>
      </c>
      <c r="L134" s="124" t="n">
        <f aca="false">J134*K134</f>
        <v>-0</v>
      </c>
      <c r="M134" s="124" t="n">
        <f aca="false">SUM(J$97:J134)</f>
        <v>15861.095</v>
      </c>
      <c r="N134" s="124" t="n">
        <f aca="false">SUM(J$6:J134)</f>
        <v>499585.480417803</v>
      </c>
      <c r="P134" s="124" t="n">
        <f aca="false">D134/P$3</f>
        <v>-0.315593</v>
      </c>
      <c r="Q134" s="124" t="n">
        <f aca="false">E134/P$3</f>
        <v>0.315593</v>
      </c>
      <c r="R134" s="124" t="n">
        <f aca="false">F134/R$3</f>
        <v>0</v>
      </c>
      <c r="S134" s="126" t="n">
        <f aca="false">J134/$R$3</f>
        <v>-7.72948336367762</v>
      </c>
      <c r="T134" s="126" t="n">
        <f aca="false">L134/$R$3</f>
        <v>-0</v>
      </c>
      <c r="U134" s="126" t="n">
        <f aca="false">I134/$R$3</f>
        <v>14.883</v>
      </c>
      <c r="V134" s="126" t="n">
        <f aca="false">M134/$R$3</f>
        <v>15.861095</v>
      </c>
      <c r="W134" s="126" t="n">
        <f aca="false">N134/$R$3</f>
        <v>499.585480417803</v>
      </c>
    </row>
    <row r="135" customFormat="false" ht="12.75" hidden="true" customHeight="false" outlineLevel="0" collapsed="false">
      <c r="A135" s="120" t="n">
        <f aca="false">A134+1</f>
        <v>37021</v>
      </c>
      <c r="B135" s="131" t="str">
        <f aca="false">INDEX('Master Data'!$A$2:$B$8,MATCH(WEEKDAY('EZE Power Trading'!A135,3),'Master Data'!$A$2:$A$8,0),2)</f>
        <v>Th</v>
      </c>
      <c r="D135" s="124" t="n">
        <v>-501514</v>
      </c>
      <c r="E135" s="124" t="n">
        <v>501514</v>
      </c>
      <c r="F135" s="124" t="n">
        <v>0</v>
      </c>
      <c r="G135" s="124" t="n">
        <v>49759</v>
      </c>
      <c r="I135" s="124" t="n">
        <f aca="false">IF(MONTH($A135)=MONTH($A134),IF(G135=0,I134,G135),G135)</f>
        <v>49759</v>
      </c>
      <c r="J135" s="124" t="n">
        <f aca="false">IF(MONTH($A135)=MONTH($A134),SUM(I135-I134),I135)</f>
        <v>34876</v>
      </c>
      <c r="K135" s="124" t="n">
        <f aca="false">IF(WEEKDAY(A135,3)&gt;4,0,(IF(A135&lt;K$2,0,IF(A135&lt;=K$3,1,0))))</f>
        <v>0</v>
      </c>
      <c r="L135" s="124" t="n">
        <f aca="false">J135*K135</f>
        <v>0</v>
      </c>
      <c r="M135" s="124" t="n">
        <f aca="false">SUM(J$97:J135)</f>
        <v>50737.095</v>
      </c>
      <c r="N135" s="124" t="n">
        <f aca="false">SUM(J$6:J135)</f>
        <v>534461.480417803</v>
      </c>
      <c r="P135" s="124" t="n">
        <f aca="false">D135/P$3</f>
        <v>-0.501514</v>
      </c>
      <c r="Q135" s="124" t="n">
        <f aca="false">E135/P$3</f>
        <v>0.501514</v>
      </c>
      <c r="R135" s="124" t="n">
        <f aca="false">F135/R$3</f>
        <v>0</v>
      </c>
      <c r="S135" s="126" t="n">
        <f aca="false">J135/$R$3</f>
        <v>34.876</v>
      </c>
      <c r="T135" s="126" t="n">
        <f aca="false">L135/$R$3</f>
        <v>0</v>
      </c>
      <c r="U135" s="126" t="n">
        <f aca="false">I135/$R$3</f>
        <v>49.759</v>
      </c>
      <c r="V135" s="126" t="n">
        <f aca="false">M135/$R$3</f>
        <v>50.737095</v>
      </c>
      <c r="W135" s="126" t="n">
        <f aca="false">N135/$R$3</f>
        <v>534.461480417803</v>
      </c>
    </row>
    <row r="136" customFormat="false" ht="12.75" hidden="true" customHeight="false" outlineLevel="0" collapsed="false">
      <c r="A136" s="120" t="n">
        <f aca="false">A135+1</f>
        <v>37022</v>
      </c>
      <c r="B136" s="131" t="str">
        <f aca="false">INDEX('Master Data'!$A$2:$B$8,MATCH(WEEKDAY('EZE Power Trading'!A136,3),'Master Data'!$A$2:$A$8,0),2)</f>
        <v>F</v>
      </c>
      <c r="D136" s="124" t="n">
        <v>-493707</v>
      </c>
      <c r="E136" s="124" t="n">
        <v>493707</v>
      </c>
      <c r="F136" s="124" t="n">
        <v>0</v>
      </c>
      <c r="G136" s="124" t="n">
        <v>40353</v>
      </c>
      <c r="I136" s="124" t="n">
        <f aca="false">IF(MONTH($A136)=MONTH($A135),IF(G136=0,I135,G136),G136)</f>
        <v>40353</v>
      </c>
      <c r="J136" s="124" t="n">
        <f aca="false">IF(MONTH($A136)=MONTH($A135),SUM(I136-I135),I136)</f>
        <v>-9406</v>
      </c>
      <c r="K136" s="124" t="n">
        <f aca="false">IF(WEEKDAY(A136,3)&gt;4,0,(IF(A136&lt;K$2,0,IF(A136&lt;=K$3,1,0))))</f>
        <v>0</v>
      </c>
      <c r="L136" s="124" t="n">
        <f aca="false">J136*K136</f>
        <v>-0</v>
      </c>
      <c r="M136" s="124" t="n">
        <f aca="false">SUM(J$97:J136)</f>
        <v>41331.095</v>
      </c>
      <c r="N136" s="124" t="n">
        <f aca="false">SUM(J$6:J136)</f>
        <v>525055.480417803</v>
      </c>
      <c r="P136" s="124" t="n">
        <f aca="false">D136/P$3</f>
        <v>-0.493707</v>
      </c>
      <c r="Q136" s="124" t="n">
        <f aca="false">E136/P$3</f>
        <v>0.493707</v>
      </c>
      <c r="R136" s="124" t="n">
        <f aca="false">F136/R$3</f>
        <v>0</v>
      </c>
      <c r="S136" s="126" t="n">
        <f aca="false">J136/$R$3</f>
        <v>-9.406</v>
      </c>
      <c r="T136" s="126" t="n">
        <f aca="false">L136/$R$3</f>
        <v>-0</v>
      </c>
      <c r="U136" s="126" t="n">
        <f aca="false">I136/$R$3</f>
        <v>40.353</v>
      </c>
      <c r="V136" s="126" t="n">
        <f aca="false">M136/$R$3</f>
        <v>41.331095</v>
      </c>
      <c r="W136" s="126" t="n">
        <f aca="false">N136/$R$3</f>
        <v>525.055480417803</v>
      </c>
    </row>
    <row r="137" customFormat="false" ht="12.75" hidden="true" customHeight="false" outlineLevel="0" collapsed="false">
      <c r="A137" s="120" t="n">
        <f aca="false">A136+1</f>
        <v>37023</v>
      </c>
      <c r="B137" s="131" t="str">
        <f aca="false">INDEX('Master Data'!$A$2:$B$8,MATCH(WEEKDAY('EZE Power Trading'!A137,3),'Master Data'!$A$2:$A$8,0),2)</f>
        <v>Sa</v>
      </c>
      <c r="D137" s="124" t="n">
        <v>0</v>
      </c>
      <c r="E137" s="124" t="n">
        <v>0</v>
      </c>
      <c r="F137" s="124" t="n">
        <v>0</v>
      </c>
      <c r="G137" s="124" t="n">
        <v>0</v>
      </c>
      <c r="I137" s="124" t="n">
        <f aca="false">IF(MONTH($A137)=MONTH($A136),IF(G137=0,I136,G137),G137)</f>
        <v>40353</v>
      </c>
      <c r="J137" s="124" t="n">
        <f aca="false">IF(MONTH($A137)=MONTH($A136),SUM(I137-I136),I137)</f>
        <v>0</v>
      </c>
      <c r="K137" s="124" t="n">
        <f aca="false">IF(WEEKDAY(A137,3)&gt;4,0,(IF(A137&lt;K$2,0,IF(A137&lt;=K$3,1,0))))</f>
        <v>0</v>
      </c>
      <c r="L137" s="124" t="n">
        <f aca="false">J137*K137</f>
        <v>0</v>
      </c>
      <c r="M137" s="124" t="n">
        <f aca="false">SUM(J$97:J137)</f>
        <v>41331.095</v>
      </c>
      <c r="N137" s="124" t="n">
        <f aca="false">SUM(J$6:J137)</f>
        <v>525055.480417803</v>
      </c>
      <c r="P137" s="124" t="n">
        <f aca="false">D137/P$3</f>
        <v>0</v>
      </c>
      <c r="Q137" s="124" t="n">
        <f aca="false">E137/P$3</f>
        <v>0</v>
      </c>
      <c r="R137" s="124" t="n">
        <f aca="false">F137/R$3</f>
        <v>0</v>
      </c>
      <c r="S137" s="126" t="n">
        <f aca="false">J137/$R$3</f>
        <v>0</v>
      </c>
      <c r="T137" s="126" t="n">
        <f aca="false">L137/$R$3</f>
        <v>0</v>
      </c>
      <c r="U137" s="126" t="n">
        <f aca="false">I137/$R$3</f>
        <v>40.353</v>
      </c>
      <c r="V137" s="126" t="n">
        <f aca="false">M137/$R$3</f>
        <v>41.331095</v>
      </c>
      <c r="W137" s="126" t="n">
        <f aca="false">N137/$R$3</f>
        <v>525.055480417803</v>
      </c>
    </row>
    <row r="138" customFormat="false" ht="12.75" hidden="true" customHeight="false" outlineLevel="0" collapsed="false">
      <c r="A138" s="120" t="n">
        <f aca="false">A137+1</f>
        <v>37024</v>
      </c>
      <c r="B138" s="131" t="str">
        <f aca="false">INDEX('Master Data'!$A$2:$B$8,MATCH(WEEKDAY('EZE Power Trading'!A138,3),'Master Data'!$A$2:$A$8,0),2)</f>
        <v>Su</v>
      </c>
      <c r="D138" s="124" t="n">
        <v>0</v>
      </c>
      <c r="E138" s="124" t="n">
        <v>0</v>
      </c>
      <c r="F138" s="124" t="n">
        <v>0</v>
      </c>
      <c r="G138" s="124" t="n">
        <v>0</v>
      </c>
      <c r="I138" s="124" t="n">
        <f aca="false">IF(MONTH($A138)=MONTH($A137),IF(G138=0,I137,G138),G138)</f>
        <v>40353</v>
      </c>
      <c r="J138" s="124" t="n">
        <f aca="false">IF(MONTH($A138)=MONTH($A137),SUM(I138-I137),I138)</f>
        <v>0</v>
      </c>
      <c r="K138" s="124" t="n">
        <f aca="false">IF(WEEKDAY(A138,3)&gt;4,0,(IF(A138&lt;K$2,0,IF(A138&lt;=K$3,1,0))))</f>
        <v>0</v>
      </c>
      <c r="L138" s="124" t="n">
        <f aca="false">J138*K138</f>
        <v>0</v>
      </c>
      <c r="M138" s="124" t="n">
        <f aca="false">SUM(J$97:J138)</f>
        <v>41331.095</v>
      </c>
      <c r="N138" s="124" t="n">
        <f aca="false">SUM(J$6:J138)</f>
        <v>525055.480417803</v>
      </c>
      <c r="P138" s="124" t="n">
        <f aca="false">D138/P$3</f>
        <v>0</v>
      </c>
      <c r="Q138" s="124" t="n">
        <f aca="false">E138/P$3</f>
        <v>0</v>
      </c>
      <c r="R138" s="124" t="n">
        <f aca="false">F138/R$3</f>
        <v>0</v>
      </c>
      <c r="S138" s="126" t="n">
        <f aca="false">J138/$R$3</f>
        <v>0</v>
      </c>
      <c r="T138" s="126" t="n">
        <f aca="false">L138/$R$3</f>
        <v>0</v>
      </c>
      <c r="U138" s="126" t="n">
        <f aca="false">I138/$R$3</f>
        <v>40.353</v>
      </c>
      <c r="V138" s="126" t="n">
        <f aca="false">M138/$R$3</f>
        <v>41.331095</v>
      </c>
      <c r="W138" s="126" t="n">
        <f aca="false">N138/$R$3</f>
        <v>525.055480417803</v>
      </c>
    </row>
    <row r="139" customFormat="false" ht="12.75" hidden="true" customHeight="false" outlineLevel="0" collapsed="false">
      <c r="A139" s="120" t="n">
        <f aca="false">A138+1</f>
        <v>37025</v>
      </c>
      <c r="B139" s="131" t="str">
        <f aca="false">INDEX('Master Data'!$A$2:$B$8,MATCH(WEEKDAY('EZE Power Trading'!A139,3),'Master Data'!$A$2:$A$8,0),2)</f>
        <v>M</v>
      </c>
      <c r="D139" s="124" t="n">
        <v>-481801</v>
      </c>
      <c r="E139" s="124" t="n">
        <v>489161</v>
      </c>
      <c r="F139" s="124" t="n">
        <v>0</v>
      </c>
      <c r="G139" s="124" t="n">
        <v>31645</v>
      </c>
      <c r="I139" s="124" t="n">
        <f aca="false">IF(MONTH($A139)=MONTH($A138),IF(G139=0,I138,G139),G139)</f>
        <v>31645</v>
      </c>
      <c r="J139" s="124" t="n">
        <f aca="false">IF(MONTH($A139)=MONTH($A138),SUM(I139-I138),I139)</f>
        <v>-8708</v>
      </c>
      <c r="K139" s="124" t="n">
        <f aca="false">IF(WEEKDAY(A139,3)&gt;4,0,(IF(A139&lt;K$2,0,IF(A139&lt;=K$3,1,0))))</f>
        <v>0</v>
      </c>
      <c r="L139" s="124" t="n">
        <f aca="false">J139*K139</f>
        <v>-0</v>
      </c>
      <c r="M139" s="124" t="n">
        <f aca="false">SUM(J$97:J139)</f>
        <v>32623.095</v>
      </c>
      <c r="N139" s="124" t="n">
        <f aca="false">SUM(J$6:J139)</f>
        <v>516347.480417803</v>
      </c>
      <c r="P139" s="124" t="n">
        <f aca="false">D139/P$3</f>
        <v>-0.481801</v>
      </c>
      <c r="Q139" s="124" t="n">
        <f aca="false">E139/P$3</f>
        <v>0.489161</v>
      </c>
      <c r="R139" s="124" t="n">
        <f aca="false">F139/R$3</f>
        <v>0</v>
      </c>
      <c r="S139" s="126" t="n">
        <f aca="false">J139/$R$3</f>
        <v>-8.708</v>
      </c>
      <c r="T139" s="126" t="n">
        <f aca="false">L139/$R$3</f>
        <v>-0</v>
      </c>
      <c r="U139" s="126" t="n">
        <f aca="false">I139/$R$3</f>
        <v>31.645</v>
      </c>
      <c r="V139" s="126" t="n">
        <f aca="false">M139/$R$3</f>
        <v>32.623095</v>
      </c>
      <c r="W139" s="126" t="n">
        <f aca="false">N139/$R$3</f>
        <v>516.347480417803</v>
      </c>
    </row>
    <row r="140" customFormat="false" ht="12.75" hidden="true" customHeight="false" outlineLevel="0" collapsed="false">
      <c r="A140" s="120" t="n">
        <f aca="false">A139+1</f>
        <v>37026</v>
      </c>
      <c r="B140" s="131" t="str">
        <f aca="false">INDEX('Master Data'!$A$2:$B$8,MATCH(WEEKDAY('EZE Power Trading'!A140,3),'Master Data'!$A$2:$A$8,0),2)</f>
        <v>T</v>
      </c>
      <c r="D140" s="124" t="n">
        <v>-480631</v>
      </c>
      <c r="E140" s="124" t="n">
        <v>487972</v>
      </c>
      <c r="F140" s="124" t="n">
        <v>0</v>
      </c>
      <c r="G140" s="124" t="n">
        <v>6678</v>
      </c>
      <c r="I140" s="124" t="n">
        <f aca="false">IF(MONTH($A140)=MONTH($A139),IF(G140=0,I139,G140),G140)</f>
        <v>6678</v>
      </c>
      <c r="J140" s="124" t="n">
        <f aca="false">IF(MONTH($A140)=MONTH($A139),SUM(I140-I139),I140)</f>
        <v>-24967</v>
      </c>
      <c r="K140" s="124" t="n">
        <f aca="false">IF(WEEKDAY(A140,3)&gt;4,0,(IF(A140&lt;K$2,0,IF(A140&lt;=K$3,1,0))))</f>
        <v>0</v>
      </c>
      <c r="L140" s="124" t="n">
        <f aca="false">J140*K140</f>
        <v>-0</v>
      </c>
      <c r="M140" s="124" t="n">
        <f aca="false">SUM(J$97:J140)</f>
        <v>7656.095</v>
      </c>
      <c r="N140" s="124" t="n">
        <f aca="false">SUM(J$6:J140)</f>
        <v>491380.480417803</v>
      </c>
      <c r="P140" s="124" t="n">
        <f aca="false">D140/P$3</f>
        <v>-0.480631</v>
      </c>
      <c r="Q140" s="124" t="n">
        <f aca="false">E140/P$3</f>
        <v>0.487972</v>
      </c>
      <c r="R140" s="124" t="n">
        <f aca="false">F140/R$3</f>
        <v>0</v>
      </c>
      <c r="S140" s="126" t="n">
        <f aca="false">J140/$R$3</f>
        <v>-24.967</v>
      </c>
      <c r="T140" s="126" t="n">
        <f aca="false">L140/$R$3</f>
        <v>-0</v>
      </c>
      <c r="U140" s="126" t="n">
        <f aca="false">I140/$R$3</f>
        <v>6.678</v>
      </c>
      <c r="V140" s="126" t="n">
        <f aca="false">M140/$R$3</f>
        <v>7.656095</v>
      </c>
      <c r="W140" s="126" t="n">
        <f aca="false">N140/$R$3</f>
        <v>491.380480417803</v>
      </c>
    </row>
    <row r="141" customFormat="false" ht="12.75" hidden="true" customHeight="false" outlineLevel="0" collapsed="false">
      <c r="A141" s="120" t="n">
        <f aca="false">A140+1</f>
        <v>37027</v>
      </c>
      <c r="B141" s="131" t="str">
        <f aca="false">INDEX('Master Data'!$A$2:$B$8,MATCH(WEEKDAY('EZE Power Trading'!A141,3),'Master Data'!$A$2:$A$8,0),2)</f>
        <v>W</v>
      </c>
      <c r="D141" s="124" t="n">
        <v>-479482</v>
      </c>
      <c r="E141" s="124" t="n">
        <v>1325411</v>
      </c>
      <c r="F141" s="124" t="n">
        <v>0</v>
      </c>
      <c r="G141" s="124" t="n">
        <v>-12510</v>
      </c>
      <c r="I141" s="124" t="n">
        <f aca="false">IF(MONTH($A141)=MONTH($A140),IF(G141=0,I140,G141),G141)</f>
        <v>-12510</v>
      </c>
      <c r="J141" s="124" t="n">
        <f aca="false">IF(MONTH($A141)=MONTH($A140),SUM(I141-I140),I141)</f>
        <v>-19188</v>
      </c>
      <c r="K141" s="124" t="n">
        <f aca="false">IF(WEEKDAY(A141,3)&gt;4,0,(IF(A141&lt;K$2,0,IF(A141&lt;=K$3,1,0))))</f>
        <v>0</v>
      </c>
      <c r="L141" s="124" t="n">
        <f aca="false">J141*K141</f>
        <v>-0</v>
      </c>
      <c r="M141" s="124" t="n">
        <f aca="false">SUM(J$97:J141)</f>
        <v>-11531.905</v>
      </c>
      <c r="N141" s="124" t="n">
        <f aca="false">SUM(J$6:J141)</f>
        <v>472192.480417803</v>
      </c>
      <c r="P141" s="124" t="n">
        <f aca="false">D141/P$3</f>
        <v>-0.479482</v>
      </c>
      <c r="Q141" s="124" t="n">
        <f aca="false">E141/P$3</f>
        <v>1.325411</v>
      </c>
      <c r="R141" s="124" t="n">
        <f aca="false">F141/R$3</f>
        <v>0</v>
      </c>
      <c r="S141" s="126" t="n">
        <f aca="false">J141/$R$3</f>
        <v>-19.188</v>
      </c>
      <c r="T141" s="126" t="n">
        <f aca="false">L141/$R$3</f>
        <v>-0</v>
      </c>
      <c r="U141" s="126" t="n">
        <f aca="false">I141/$R$3</f>
        <v>-12.51</v>
      </c>
      <c r="V141" s="126" t="n">
        <f aca="false">M141/$R$3</f>
        <v>-11.531905</v>
      </c>
      <c r="W141" s="126" t="n">
        <f aca="false">N141/$R$3</f>
        <v>472.192480417803</v>
      </c>
    </row>
    <row r="142" customFormat="false" ht="12.75" hidden="true" customHeight="false" outlineLevel="0" collapsed="false">
      <c r="A142" s="120" t="n">
        <f aca="false">A141+1</f>
        <v>37028</v>
      </c>
      <c r="B142" s="131" t="str">
        <f aca="false">INDEX('Master Data'!$A$2:$B$8,MATCH(WEEKDAY('EZE Power Trading'!A142,3),'Master Data'!$A$2:$A$8,0),2)</f>
        <v>Th</v>
      </c>
      <c r="D142" s="124" t="n">
        <v>-325293</v>
      </c>
      <c r="E142" s="124" t="n">
        <v>1478380.0119661</v>
      </c>
      <c r="F142" s="124" t="n">
        <v>0</v>
      </c>
      <c r="G142" s="124" t="n">
        <v>-258988</v>
      </c>
      <c r="I142" s="124" t="n">
        <f aca="false">IF(MONTH($A142)=MONTH($A141),IF(G142=0,I141,G142),G142)</f>
        <v>-258988</v>
      </c>
      <c r="J142" s="124" t="n">
        <f aca="false">IF(MONTH($A142)=MONTH($A141),SUM(I142-I141),I142)</f>
        <v>-246478</v>
      </c>
      <c r="K142" s="124" t="n">
        <f aca="false">IF(WEEKDAY(A142,3)&gt;4,0,(IF(A142&lt;K$2,0,IF(A142&lt;=K$3,1,0))))</f>
        <v>0</v>
      </c>
      <c r="L142" s="124" t="n">
        <f aca="false">J142*K142</f>
        <v>-0</v>
      </c>
      <c r="M142" s="124" t="n">
        <f aca="false">SUM(J$97:J142)</f>
        <v>-258009.905</v>
      </c>
      <c r="N142" s="124" t="n">
        <f aca="false">SUM(J$6:J142)</f>
        <v>225714.480417803</v>
      </c>
      <c r="P142" s="124" t="n">
        <f aca="false">D142/P$3</f>
        <v>-0.325293</v>
      </c>
      <c r="Q142" s="124" t="n">
        <f aca="false">E142/P$3</f>
        <v>1.4783800119661</v>
      </c>
      <c r="R142" s="124" t="n">
        <f aca="false">F142/R$3</f>
        <v>0</v>
      </c>
      <c r="S142" s="126" t="n">
        <f aca="false">J142/$R$3</f>
        <v>-246.478</v>
      </c>
      <c r="T142" s="126" t="n">
        <f aca="false">L142/$R$3</f>
        <v>-0</v>
      </c>
      <c r="U142" s="126" t="n">
        <f aca="false">I142/$R$3</f>
        <v>-258.988</v>
      </c>
      <c r="V142" s="126" t="n">
        <f aca="false">M142/$R$3</f>
        <v>-258.009905</v>
      </c>
      <c r="W142" s="126" t="n">
        <f aca="false">N142/$R$3</f>
        <v>225.714480417803</v>
      </c>
    </row>
    <row r="143" customFormat="false" ht="12.75" hidden="true" customHeight="false" outlineLevel="0" collapsed="false">
      <c r="A143" s="120" t="n">
        <f aca="false">A142+1</f>
        <v>37029</v>
      </c>
      <c r="B143" s="131" t="str">
        <f aca="false">INDEX('Master Data'!$A$2:$B$8,MATCH(WEEKDAY('EZE Power Trading'!A143,3),'Master Data'!$A$2:$A$8,0),2)</f>
        <v>F</v>
      </c>
      <c r="D143" s="124" t="n">
        <v>-324325</v>
      </c>
      <c r="E143" s="124" t="n">
        <v>1476872.2505077</v>
      </c>
      <c r="F143" s="124" t="n">
        <v>0</v>
      </c>
      <c r="G143" s="124" t="n">
        <v>-271145</v>
      </c>
      <c r="I143" s="124" t="n">
        <f aca="false">IF(MONTH($A143)=MONTH($A142),IF(G143=0,I142,G143),G143)</f>
        <v>-271145</v>
      </c>
      <c r="J143" s="124" t="n">
        <f aca="false">IF(MONTH($A143)=MONTH($A142),SUM(I143-I142),I143)</f>
        <v>-12157</v>
      </c>
      <c r="K143" s="124" t="n">
        <f aca="false">IF(WEEKDAY(A143,3)&gt;4,0,(IF(A143&lt;K$2,0,IF(A143&lt;=K$3,1,0))))</f>
        <v>0</v>
      </c>
      <c r="L143" s="124" t="n">
        <f aca="false">J143*K143</f>
        <v>-0</v>
      </c>
      <c r="M143" s="124" t="n">
        <f aca="false">SUM(J$97:J143)</f>
        <v>-270166.905</v>
      </c>
      <c r="N143" s="124" t="n">
        <f aca="false">SUM(J$6:J143)</f>
        <v>213557.480417803</v>
      </c>
      <c r="P143" s="124" t="n">
        <f aca="false">D143/P$3</f>
        <v>-0.324325</v>
      </c>
      <c r="Q143" s="124" t="n">
        <f aca="false">E143/P$3</f>
        <v>1.4768722505077</v>
      </c>
      <c r="R143" s="124" t="n">
        <f aca="false">F143/R$3</f>
        <v>0</v>
      </c>
      <c r="S143" s="126" t="n">
        <f aca="false">J143/$R$3</f>
        <v>-12.157</v>
      </c>
      <c r="T143" s="126" t="n">
        <f aca="false">L143/$R$3</f>
        <v>-0</v>
      </c>
      <c r="U143" s="126" t="n">
        <f aca="false">I143/$R$3</f>
        <v>-271.145</v>
      </c>
      <c r="V143" s="126" t="n">
        <f aca="false">M143/$R$3</f>
        <v>-270.166905</v>
      </c>
      <c r="W143" s="126" t="n">
        <f aca="false">N143/$R$3</f>
        <v>213.557480417803</v>
      </c>
    </row>
    <row r="144" customFormat="false" ht="12.75" hidden="true" customHeight="false" outlineLevel="0" collapsed="false">
      <c r="A144" s="120" t="n">
        <f aca="false">A143+1</f>
        <v>37030</v>
      </c>
      <c r="B144" s="131" t="str">
        <f aca="false">INDEX('Master Data'!$A$2:$B$8,MATCH(WEEKDAY('EZE Power Trading'!A144,3),'Master Data'!$A$2:$A$8,0),2)</f>
        <v>Sa</v>
      </c>
      <c r="D144" s="124" t="n">
        <v>0</v>
      </c>
      <c r="E144" s="124" t="n">
        <v>0</v>
      </c>
      <c r="F144" s="124" t="n">
        <v>0</v>
      </c>
      <c r="G144" s="124" t="n">
        <v>0</v>
      </c>
      <c r="I144" s="124" t="n">
        <f aca="false">IF(MONTH($A144)=MONTH($A143),IF(G144=0,I143,G144),G144)</f>
        <v>-271145</v>
      </c>
      <c r="J144" s="124" t="n">
        <f aca="false">IF(MONTH($A144)=MONTH($A143),SUM(I144-I143),I144)</f>
        <v>0</v>
      </c>
      <c r="K144" s="124" t="n">
        <f aca="false">IF(WEEKDAY(A144,3)&gt;4,0,(IF(A144&lt;K$2,0,IF(A144&lt;=K$3,1,0))))</f>
        <v>0</v>
      </c>
      <c r="L144" s="124" t="n">
        <f aca="false">J144*K144</f>
        <v>0</v>
      </c>
      <c r="M144" s="124" t="n">
        <f aca="false">SUM(J$97:J144)</f>
        <v>-270166.905</v>
      </c>
      <c r="N144" s="124" t="n">
        <f aca="false">SUM(J$6:J144)</f>
        <v>213557.480417803</v>
      </c>
      <c r="P144" s="124" t="n">
        <f aca="false">D144/P$3</f>
        <v>0</v>
      </c>
      <c r="Q144" s="124" t="n">
        <f aca="false">E144/P$3</f>
        <v>0</v>
      </c>
      <c r="R144" s="124" t="n">
        <f aca="false">F144/R$3</f>
        <v>0</v>
      </c>
      <c r="S144" s="126" t="n">
        <f aca="false">J144/$R$3</f>
        <v>0</v>
      </c>
      <c r="T144" s="126" t="n">
        <f aca="false">L144/$R$3</f>
        <v>0</v>
      </c>
      <c r="U144" s="126" t="n">
        <f aca="false">I144/$R$3</f>
        <v>-271.145</v>
      </c>
      <c r="V144" s="126" t="n">
        <f aca="false">M144/$R$3</f>
        <v>-270.166905</v>
      </c>
      <c r="W144" s="126" t="n">
        <f aca="false">N144/$R$3</f>
        <v>213.557480417803</v>
      </c>
    </row>
    <row r="145" customFormat="false" ht="12.75" hidden="true" customHeight="false" outlineLevel="0" collapsed="false">
      <c r="A145" s="120" t="n">
        <f aca="false">A144+1</f>
        <v>37031</v>
      </c>
      <c r="B145" s="131" t="str">
        <f aca="false">INDEX('Master Data'!$A$2:$B$8,MATCH(WEEKDAY('EZE Power Trading'!A145,3),'Master Data'!$A$2:$A$8,0),2)</f>
        <v>Su</v>
      </c>
      <c r="D145" s="124" t="n">
        <v>0</v>
      </c>
      <c r="E145" s="124" t="n">
        <v>0</v>
      </c>
      <c r="F145" s="124" t="n">
        <v>0</v>
      </c>
      <c r="G145" s="124" t="n">
        <v>0</v>
      </c>
      <c r="I145" s="124" t="n">
        <f aca="false">IF(MONTH($A145)=MONTH($A144),IF(G145=0,I144,G145),G145)</f>
        <v>-271145</v>
      </c>
      <c r="J145" s="124" t="n">
        <f aca="false">IF(MONTH($A145)=MONTH($A144),SUM(I145-I144),I145)</f>
        <v>0</v>
      </c>
      <c r="K145" s="124" t="n">
        <f aca="false">IF(WEEKDAY(A145,3)&gt;4,0,(IF(A145&lt;K$2,0,IF(A145&lt;=K$3,1,0))))</f>
        <v>0</v>
      </c>
      <c r="L145" s="124" t="n">
        <f aca="false">J145*K145</f>
        <v>0</v>
      </c>
      <c r="M145" s="124" t="n">
        <f aca="false">SUM(J$97:J145)</f>
        <v>-270166.905</v>
      </c>
      <c r="N145" s="124" t="n">
        <f aca="false">SUM(J$6:J145)</f>
        <v>213557.480417803</v>
      </c>
      <c r="P145" s="124" t="n">
        <f aca="false">D145/P$3</f>
        <v>0</v>
      </c>
      <c r="Q145" s="124" t="n">
        <f aca="false">E145/P$3</f>
        <v>0</v>
      </c>
      <c r="R145" s="124" t="n">
        <f aca="false">F145/R$3</f>
        <v>0</v>
      </c>
      <c r="S145" s="126" t="n">
        <f aca="false">J145/$R$3</f>
        <v>0</v>
      </c>
      <c r="T145" s="126" t="n">
        <f aca="false">L145/$R$3</f>
        <v>0</v>
      </c>
      <c r="U145" s="126" t="n">
        <f aca="false">I145/$R$3</f>
        <v>-271.145</v>
      </c>
      <c r="V145" s="126" t="n">
        <f aca="false">M145/$R$3</f>
        <v>-270.166905</v>
      </c>
      <c r="W145" s="126" t="n">
        <f aca="false">N145/$R$3</f>
        <v>213.557480417803</v>
      </c>
    </row>
    <row r="146" customFormat="false" ht="12.75" hidden="true" customHeight="false" outlineLevel="0" collapsed="false">
      <c r="A146" s="120" t="n">
        <f aca="false">A145+1</f>
        <v>37032</v>
      </c>
      <c r="B146" s="131" t="str">
        <f aca="false">INDEX('Master Data'!$A$2:$B$8,MATCH(WEEKDAY('EZE Power Trading'!A146,3),'Master Data'!$A$2:$A$8,0),2)</f>
        <v>M</v>
      </c>
      <c r="D146" s="124" t="n">
        <v>-321953</v>
      </c>
      <c r="E146" s="124" t="n">
        <v>1478704.58581826</v>
      </c>
      <c r="F146" s="124" t="n">
        <v>0</v>
      </c>
      <c r="G146" s="124" t="n">
        <v>-283411</v>
      </c>
      <c r="I146" s="124" t="n">
        <f aca="false">IF(MONTH($A146)=MONTH($A145),IF(G146=0,I145,G146),G146)</f>
        <v>-283411</v>
      </c>
      <c r="J146" s="124" t="n">
        <f aca="false">IF(MONTH($A146)=MONTH($A145),SUM(I146-I145),I146)</f>
        <v>-12266</v>
      </c>
      <c r="K146" s="124" t="n">
        <f aca="false">IF(WEEKDAY(A146,3)&gt;4,0,(IF(A146&lt;K$2,0,IF(A146&lt;=K$3,1,0))))</f>
        <v>0</v>
      </c>
      <c r="L146" s="124" t="n">
        <f aca="false">J146*K146</f>
        <v>-0</v>
      </c>
      <c r="M146" s="124" t="n">
        <f aca="false">SUM(J$97:J146)</f>
        <v>-282432.905</v>
      </c>
      <c r="N146" s="124" t="n">
        <f aca="false">SUM(J$6:J146)</f>
        <v>201291.480417803</v>
      </c>
      <c r="P146" s="124" t="n">
        <f aca="false">D146/P$3</f>
        <v>-0.321953</v>
      </c>
      <c r="Q146" s="124" t="n">
        <f aca="false">E146/P$3</f>
        <v>1.47870458581826</v>
      </c>
      <c r="R146" s="124" t="n">
        <f aca="false">F146/R$3</f>
        <v>0</v>
      </c>
      <c r="S146" s="126" t="n">
        <f aca="false">J146/$R$3</f>
        <v>-12.266</v>
      </c>
      <c r="T146" s="126" t="n">
        <f aca="false">L146/$R$3</f>
        <v>-0</v>
      </c>
      <c r="U146" s="126" t="n">
        <f aca="false">I146/$R$3</f>
        <v>-283.411</v>
      </c>
      <c r="V146" s="126" t="n">
        <f aca="false">M146/$R$3</f>
        <v>-282.432905</v>
      </c>
      <c r="W146" s="126" t="n">
        <f aca="false">N146/$R$3</f>
        <v>201.291480417803</v>
      </c>
    </row>
    <row r="147" customFormat="false" ht="12.75" hidden="true" customHeight="false" outlineLevel="0" collapsed="false">
      <c r="A147" s="120" t="n">
        <f aca="false">A146+1</f>
        <v>37033</v>
      </c>
      <c r="B147" s="131" t="str">
        <f aca="false">INDEX('Master Data'!$A$2:$B$8,MATCH(WEEKDAY('EZE Power Trading'!A147,3),'Master Data'!$A$2:$A$8,0),2)</f>
        <v>T</v>
      </c>
      <c r="D147" s="124" t="n">
        <v>-321142.51</v>
      </c>
      <c r="E147" s="124" t="n">
        <v>1479290.28696374</v>
      </c>
      <c r="F147" s="124" t="n">
        <v>0</v>
      </c>
      <c r="G147" s="124" t="n">
        <v>-295871</v>
      </c>
      <c r="I147" s="124" t="n">
        <f aca="false">IF(MONTH($A147)=MONTH($A146),IF(G147=0,I146,G147),G147)</f>
        <v>-295871</v>
      </c>
      <c r="J147" s="124" t="n">
        <f aca="false">IF(MONTH($A147)=MONTH($A146),SUM(I147-I146),I147)</f>
        <v>-12460</v>
      </c>
      <c r="K147" s="124" t="n">
        <f aca="false">IF(WEEKDAY(A147,3)&gt;4,0,(IF(A147&lt;K$2,0,IF(A147&lt;=K$3,1,0))))</f>
        <v>0</v>
      </c>
      <c r="L147" s="124" t="n">
        <f aca="false">J147*K147</f>
        <v>-0</v>
      </c>
      <c r="M147" s="124" t="n">
        <f aca="false">SUM(J$97:J147)</f>
        <v>-294892.905</v>
      </c>
      <c r="N147" s="124" t="n">
        <f aca="false">SUM(J$6:J147)</f>
        <v>188831.480417803</v>
      </c>
      <c r="P147" s="124" t="n">
        <f aca="false">D147/P$3</f>
        <v>-0.32114251</v>
      </c>
      <c r="Q147" s="124" t="n">
        <f aca="false">E147/P$3</f>
        <v>1.47929028696374</v>
      </c>
      <c r="R147" s="124" t="n">
        <f aca="false">F147/R$3</f>
        <v>0</v>
      </c>
      <c r="S147" s="126" t="n">
        <f aca="false">J147/$R$3</f>
        <v>-12.46</v>
      </c>
      <c r="T147" s="126" t="n">
        <f aca="false">L147/$R$3</f>
        <v>-0</v>
      </c>
      <c r="U147" s="126" t="n">
        <f aca="false">I147/$R$3</f>
        <v>-295.871</v>
      </c>
      <c r="V147" s="126" t="n">
        <f aca="false">M147/$R$3</f>
        <v>-294.892905</v>
      </c>
      <c r="W147" s="126" t="n">
        <f aca="false">N147/$R$3</f>
        <v>188.831480417803</v>
      </c>
    </row>
    <row r="148" customFormat="false" ht="12.75" hidden="true" customHeight="false" outlineLevel="0" collapsed="false">
      <c r="A148" s="120" t="n">
        <f aca="false">A147+1</f>
        <v>37034</v>
      </c>
      <c r="B148" s="131" t="str">
        <f aca="false">INDEX('Master Data'!$A$2:$B$8,MATCH(WEEKDAY('EZE Power Trading'!A148,3),'Master Data'!$A$2:$A$8,0),2)</f>
        <v>W</v>
      </c>
      <c r="D148" s="124" t="n">
        <v>-171050</v>
      </c>
      <c r="E148" s="124" t="n">
        <v>352177.56696502</v>
      </c>
      <c r="F148" s="124" t="n">
        <v>0</v>
      </c>
      <c r="G148" s="124" t="n">
        <f aca="false">-59694+24031</f>
        <v>-35663</v>
      </c>
      <c r="I148" s="124" t="n">
        <f aca="false">IF(MONTH($A148)=MONTH($A147),IF(G148=0,I147,G148),G148)</f>
        <v>-35663</v>
      </c>
      <c r="J148" s="124" t="n">
        <f aca="false">IF(MONTH($A148)=MONTH($A147),SUM(I148-I147),I148)</f>
        <v>260208</v>
      </c>
      <c r="K148" s="124" t="n">
        <f aca="false">IF(WEEKDAY(A148,3)&gt;4,0,(IF(A148&lt;K$2,0,IF(A148&lt;=K$3,1,0))))</f>
        <v>0</v>
      </c>
      <c r="L148" s="124" t="n">
        <f aca="false">J148*K148</f>
        <v>0</v>
      </c>
      <c r="M148" s="124" t="n">
        <f aca="false">SUM(J$97:J148)</f>
        <v>-34684.905</v>
      </c>
      <c r="N148" s="124" t="n">
        <f aca="false">SUM(J$6:J148)</f>
        <v>449039.480417803</v>
      </c>
      <c r="P148" s="124" t="n">
        <f aca="false">D148/P$3</f>
        <v>-0.17105</v>
      </c>
      <c r="Q148" s="124" t="n">
        <f aca="false">E148/P$3</f>
        <v>0.35217756696502</v>
      </c>
      <c r="R148" s="124" t="n">
        <f aca="false">F148/R$3</f>
        <v>0</v>
      </c>
      <c r="S148" s="126" t="n">
        <f aca="false">J148/$R$3</f>
        <v>260.208</v>
      </c>
      <c r="T148" s="126" t="n">
        <f aca="false">L148/$R$3</f>
        <v>0</v>
      </c>
      <c r="U148" s="126" t="n">
        <f aca="false">I148/$R$3</f>
        <v>-35.663</v>
      </c>
      <c r="V148" s="126" t="n">
        <f aca="false">M148/$R$3</f>
        <v>-34.684905</v>
      </c>
      <c r="W148" s="126" t="n">
        <f aca="false">N148/$R$3</f>
        <v>449.039480417803</v>
      </c>
    </row>
    <row r="149" customFormat="false" ht="12.75" hidden="true" customHeight="false" outlineLevel="0" collapsed="false">
      <c r="A149" s="120" t="n">
        <f aca="false">A148+1</f>
        <v>37035</v>
      </c>
      <c r="B149" s="131" t="str">
        <f aca="false">INDEX('Master Data'!$A$2:$B$8,MATCH(WEEKDAY('EZE Power Trading'!A149,3),'Master Data'!$A$2:$A$8,0),2)</f>
        <v>Th</v>
      </c>
      <c r="D149" s="124" t="n">
        <v>-170941</v>
      </c>
      <c r="E149" s="124" t="n">
        <v>352177.56696502</v>
      </c>
      <c r="F149" s="124" t="n">
        <v>0</v>
      </c>
      <c r="G149" s="124" t="n">
        <f aca="false">-64472+31146</f>
        <v>-33326</v>
      </c>
      <c r="I149" s="124" t="n">
        <f aca="false">IF(MONTH($A149)=MONTH($A148),IF(G149=0,I148,G149),G149)</f>
        <v>-33326</v>
      </c>
      <c r="J149" s="124" t="n">
        <f aca="false">IF(MONTH($A149)=MONTH($A148),SUM(I149-I148),I149)</f>
        <v>2337</v>
      </c>
      <c r="K149" s="124" t="n">
        <f aca="false">IF(WEEKDAY(A149,3)&gt;4,0,(IF(A149&lt;K$2,0,IF(A149&lt;=K$3,1,0))))</f>
        <v>0</v>
      </c>
      <c r="L149" s="124" t="n">
        <f aca="false">J149*K149</f>
        <v>0</v>
      </c>
      <c r="M149" s="124" t="n">
        <f aca="false">SUM(J$97:J149)</f>
        <v>-32347.905</v>
      </c>
      <c r="N149" s="124" t="n">
        <f aca="false">SUM(J$6:J149)</f>
        <v>451376.480417803</v>
      </c>
      <c r="P149" s="124" t="n">
        <f aca="false">D149/P$3</f>
        <v>-0.170941</v>
      </c>
      <c r="Q149" s="124" t="n">
        <f aca="false">E149/P$3</f>
        <v>0.35217756696502</v>
      </c>
      <c r="R149" s="124" t="n">
        <f aca="false">F149/R$3</f>
        <v>0</v>
      </c>
      <c r="S149" s="126" t="n">
        <f aca="false">J149/$R$3</f>
        <v>2.337</v>
      </c>
      <c r="T149" s="126" t="n">
        <f aca="false">L149/$R$3</f>
        <v>0</v>
      </c>
      <c r="U149" s="126" t="n">
        <f aca="false">I149/$R$3</f>
        <v>-33.326</v>
      </c>
      <c r="V149" s="126" t="n">
        <f aca="false">M149/$R$3</f>
        <v>-32.347905</v>
      </c>
      <c r="W149" s="126" t="n">
        <f aca="false">N149/$R$3</f>
        <v>451.376480417803</v>
      </c>
    </row>
    <row r="150" customFormat="false" ht="12.75" hidden="true" customHeight="false" outlineLevel="0" collapsed="false">
      <c r="A150" s="120" t="n">
        <f aca="false">A149+1</f>
        <v>37036</v>
      </c>
      <c r="B150" s="131" t="str">
        <f aca="false">INDEX('Master Data'!$A$2:$B$8,MATCH(WEEKDAY('EZE Power Trading'!A150,3),'Master Data'!$A$2:$A$8,0),2)</f>
        <v>F</v>
      </c>
      <c r="D150" s="124" t="n">
        <v>-170693</v>
      </c>
      <c r="E150" s="124" t="n">
        <v>352177.56696502</v>
      </c>
      <c r="F150" s="124" t="n">
        <v>0</v>
      </c>
      <c r="G150" s="124" t="n">
        <f aca="false">-63989+35805</f>
        <v>-28184</v>
      </c>
      <c r="I150" s="124" t="n">
        <f aca="false">IF(MONTH($A150)=MONTH($A149),IF(G150=0,I149,G150),G150)</f>
        <v>-28184</v>
      </c>
      <c r="J150" s="124" t="n">
        <f aca="false">IF(MONTH($A150)=MONTH($A149),SUM(I150-I149),I150)</f>
        <v>5142</v>
      </c>
      <c r="K150" s="124" t="n">
        <f aca="false">IF(WEEKDAY(A150,3)&gt;4,0,(IF(A150&lt;K$2,0,IF(A150&lt;=K$3,1,0))))</f>
        <v>0</v>
      </c>
      <c r="L150" s="124" t="n">
        <f aca="false">J150*K150</f>
        <v>0</v>
      </c>
      <c r="M150" s="124" t="n">
        <f aca="false">SUM(J$97:J150)</f>
        <v>-27205.905</v>
      </c>
      <c r="N150" s="124" t="n">
        <f aca="false">SUM(J$6:J150)</f>
        <v>456518.480417803</v>
      </c>
      <c r="P150" s="124" t="n">
        <f aca="false">D150/P$3</f>
        <v>-0.170693</v>
      </c>
      <c r="Q150" s="124" t="n">
        <f aca="false">E150/P$3</f>
        <v>0.35217756696502</v>
      </c>
      <c r="R150" s="124" t="n">
        <f aca="false">F150/R$3</f>
        <v>0</v>
      </c>
      <c r="S150" s="126" t="n">
        <f aca="false">J150/$R$3</f>
        <v>5.142</v>
      </c>
      <c r="T150" s="126" t="n">
        <f aca="false">L150/$R$3</f>
        <v>0</v>
      </c>
      <c r="U150" s="126" t="n">
        <f aca="false">I150/$R$3</f>
        <v>-28.184</v>
      </c>
      <c r="V150" s="126" t="n">
        <f aca="false">M150/$R$3</f>
        <v>-27.205905</v>
      </c>
      <c r="W150" s="126" t="n">
        <f aca="false">N150/$R$3</f>
        <v>456.518480417803</v>
      </c>
    </row>
    <row r="151" customFormat="false" ht="12.75" hidden="true" customHeight="false" outlineLevel="0" collapsed="false">
      <c r="A151" s="120" t="n">
        <f aca="false">A150+1</f>
        <v>37037</v>
      </c>
      <c r="B151" s="131" t="str">
        <f aca="false">INDEX('Master Data'!$A$2:$B$8,MATCH(WEEKDAY('EZE Power Trading'!A151,3),'Master Data'!$A$2:$A$8,0),2)</f>
        <v>Sa</v>
      </c>
      <c r="D151" s="124" t="n">
        <v>0</v>
      </c>
      <c r="E151" s="124" t="n">
        <v>0</v>
      </c>
      <c r="F151" s="124" t="n">
        <v>0</v>
      </c>
      <c r="G151" s="124" t="n">
        <v>0</v>
      </c>
      <c r="I151" s="124" t="n">
        <f aca="false">IF(MONTH($A151)=MONTH($A150),IF(G151=0,I150,G151),G151)</f>
        <v>-28184</v>
      </c>
      <c r="J151" s="124" t="n">
        <f aca="false">IF(MONTH($A151)=MONTH($A150),SUM(I151-I150),I151)</f>
        <v>0</v>
      </c>
      <c r="K151" s="124" t="n">
        <f aca="false">IF(WEEKDAY(A151,3)&gt;4,0,(IF(A151&lt;K$2,0,IF(A151&lt;=K$3,1,0))))</f>
        <v>0</v>
      </c>
      <c r="L151" s="124" t="n">
        <f aca="false">J151*K151</f>
        <v>0</v>
      </c>
      <c r="M151" s="124" t="n">
        <f aca="false">SUM(J$97:J151)</f>
        <v>-27205.905</v>
      </c>
      <c r="N151" s="124" t="n">
        <f aca="false">SUM(J$6:J151)</f>
        <v>456518.480417803</v>
      </c>
      <c r="P151" s="124" t="n">
        <f aca="false">D151/P$3</f>
        <v>0</v>
      </c>
      <c r="Q151" s="124" t="n">
        <f aca="false">E151/P$3</f>
        <v>0</v>
      </c>
      <c r="R151" s="124" t="n">
        <f aca="false">F151/R$3</f>
        <v>0</v>
      </c>
      <c r="S151" s="126" t="n">
        <f aca="false">J151/$R$3</f>
        <v>0</v>
      </c>
      <c r="T151" s="126" t="n">
        <f aca="false">L151/$R$3</f>
        <v>0</v>
      </c>
      <c r="U151" s="126" t="n">
        <f aca="false">I151/$R$3</f>
        <v>-28.184</v>
      </c>
      <c r="V151" s="126" t="n">
        <f aca="false">M151/$R$3</f>
        <v>-27.205905</v>
      </c>
      <c r="W151" s="126" t="n">
        <f aca="false">N151/$R$3</f>
        <v>456.518480417803</v>
      </c>
    </row>
    <row r="152" customFormat="false" ht="12.75" hidden="true" customHeight="false" outlineLevel="0" collapsed="false">
      <c r="A152" s="120" t="n">
        <f aca="false">A151+1</f>
        <v>37038</v>
      </c>
      <c r="B152" s="131" t="str">
        <f aca="false">INDEX('Master Data'!$A$2:$B$8,MATCH(WEEKDAY('EZE Power Trading'!A152,3),'Master Data'!$A$2:$A$8,0),2)</f>
        <v>Su</v>
      </c>
      <c r="D152" s="124" t="n">
        <v>0</v>
      </c>
      <c r="E152" s="124" t="n">
        <v>0</v>
      </c>
      <c r="F152" s="124" t="n">
        <v>0</v>
      </c>
      <c r="G152" s="124" t="n">
        <v>0</v>
      </c>
      <c r="I152" s="124" t="n">
        <f aca="false">IF(MONTH($A152)=MONTH($A151),IF(G152=0,I151,G152),G152)</f>
        <v>-28184</v>
      </c>
      <c r="J152" s="124" t="n">
        <f aca="false">IF(MONTH($A152)=MONTH($A151),SUM(I152-I151),I152)</f>
        <v>0</v>
      </c>
      <c r="K152" s="124" t="n">
        <f aca="false">IF(WEEKDAY(A152,3)&gt;4,0,(IF(A152&lt;K$2,0,IF(A152&lt;=K$3,1,0))))</f>
        <v>0</v>
      </c>
      <c r="L152" s="124" t="n">
        <f aca="false">J152*K152</f>
        <v>0</v>
      </c>
      <c r="M152" s="124" t="n">
        <f aca="false">SUM(J$97:J152)</f>
        <v>-27205.905</v>
      </c>
      <c r="N152" s="124" t="n">
        <f aca="false">SUM(J$6:J152)</f>
        <v>456518.480417803</v>
      </c>
      <c r="P152" s="124" t="n">
        <f aca="false">D152/P$3</f>
        <v>0</v>
      </c>
      <c r="Q152" s="124" t="n">
        <f aca="false">E152/P$3</f>
        <v>0</v>
      </c>
      <c r="R152" s="124" t="n">
        <f aca="false">F152/R$3</f>
        <v>0</v>
      </c>
      <c r="S152" s="126" t="n">
        <f aca="false">J152/$R$3</f>
        <v>0</v>
      </c>
      <c r="T152" s="126" t="n">
        <f aca="false">L152/$R$3</f>
        <v>0</v>
      </c>
      <c r="U152" s="126" t="n">
        <f aca="false">I152/$R$3</f>
        <v>-28.184</v>
      </c>
      <c r="V152" s="126" t="n">
        <f aca="false">M152/$R$3</f>
        <v>-27.205905</v>
      </c>
      <c r="W152" s="126" t="n">
        <f aca="false">N152/$R$3</f>
        <v>456.518480417803</v>
      </c>
    </row>
    <row r="153" customFormat="false" ht="12.75" hidden="true" customHeight="false" outlineLevel="0" collapsed="false">
      <c r="A153" s="120" t="n">
        <f aca="false">A152+1</f>
        <v>37039</v>
      </c>
      <c r="B153" s="131" t="str">
        <f aca="false">INDEX('Master Data'!$A$2:$B$8,MATCH(WEEKDAY('EZE Power Trading'!A153,3),'Master Data'!$A$2:$A$8,0),2)</f>
        <v>M</v>
      </c>
      <c r="D153" s="124" t="n">
        <v>0</v>
      </c>
      <c r="E153" s="124" t="n">
        <v>0</v>
      </c>
      <c r="F153" s="124" t="n">
        <v>0</v>
      </c>
      <c r="G153" s="124" t="n">
        <v>0</v>
      </c>
      <c r="I153" s="124" t="n">
        <f aca="false">IF(MONTH($A153)=MONTH($A152),IF(G153=0,I152,G153),G153)</f>
        <v>-28184</v>
      </c>
      <c r="J153" s="124" t="n">
        <f aca="false">IF(MONTH($A153)=MONTH($A152),SUM(I153-I152),I153)</f>
        <v>0</v>
      </c>
      <c r="K153" s="124" t="n">
        <f aca="false">IF(WEEKDAY(A153,3)&gt;4,0,(IF(A153&lt;K$2,0,IF(A153&lt;=K$3,1,0))))</f>
        <v>0</v>
      </c>
      <c r="L153" s="124" t="n">
        <f aca="false">J153*K153</f>
        <v>0</v>
      </c>
      <c r="M153" s="124" t="n">
        <f aca="false">SUM(J$97:J153)</f>
        <v>-27205.905</v>
      </c>
      <c r="N153" s="124" t="n">
        <f aca="false">SUM(J$6:J153)</f>
        <v>456518.480417803</v>
      </c>
      <c r="P153" s="124" t="n">
        <f aca="false">D153/P$3</f>
        <v>0</v>
      </c>
      <c r="Q153" s="124" t="n">
        <f aca="false">E153/P$3</f>
        <v>0</v>
      </c>
      <c r="R153" s="124" t="n">
        <f aca="false">F153/R$3</f>
        <v>0</v>
      </c>
      <c r="S153" s="126" t="n">
        <f aca="false">J153/$R$3</f>
        <v>0</v>
      </c>
      <c r="T153" s="126" t="n">
        <f aca="false">L153/$R$3</f>
        <v>0</v>
      </c>
      <c r="U153" s="126" t="n">
        <f aca="false">I153/$R$3</f>
        <v>-28.184</v>
      </c>
      <c r="V153" s="126" t="n">
        <f aca="false">M153/$R$3</f>
        <v>-27.205905</v>
      </c>
      <c r="W153" s="126" t="n">
        <f aca="false">N153/$R$3</f>
        <v>456.518480417803</v>
      </c>
    </row>
    <row r="154" customFormat="false" ht="12.75" hidden="true" customHeight="false" outlineLevel="0" collapsed="false">
      <c r="A154" s="120" t="n">
        <f aca="false">A153+1</f>
        <v>37040</v>
      </c>
      <c r="B154" s="131" t="str">
        <f aca="false">INDEX('Master Data'!$A$2:$B$8,MATCH(WEEKDAY('EZE Power Trading'!A154,3),'Master Data'!$A$2:$A$8,0),2)</f>
        <v>T</v>
      </c>
      <c r="D154" s="124" t="n">
        <v>-170051.131543463</v>
      </c>
      <c r="E154" s="124" t="n">
        <v>396297.627692461</v>
      </c>
      <c r="F154" s="124" t="n">
        <v>0</v>
      </c>
      <c r="G154" s="124" t="n">
        <f aca="false">-28415+5535</f>
        <v>-22880</v>
      </c>
      <c r="I154" s="124" t="n">
        <f aca="false">IF(MONTH($A154)=MONTH($A153),IF(G154=0,I153,G154),G154)</f>
        <v>-22880</v>
      </c>
      <c r="J154" s="124" t="n">
        <f aca="false">IF(MONTH($A154)=MONTH($A153),SUM(I154-I153),I154)</f>
        <v>5304</v>
      </c>
      <c r="K154" s="124" t="n">
        <f aca="false">IF(WEEKDAY(A154,3)&gt;4,0,(IF(A154&lt;K$2,0,IF(A154&lt;=K$3,1,0))))</f>
        <v>0</v>
      </c>
      <c r="L154" s="124" t="n">
        <f aca="false">J154*K154</f>
        <v>0</v>
      </c>
      <c r="M154" s="124" t="n">
        <f aca="false">SUM(J$97:J154)</f>
        <v>-21901.905</v>
      </c>
      <c r="N154" s="124" t="n">
        <f aca="false">SUM(J$6:J154)</f>
        <v>461822.480417803</v>
      </c>
      <c r="P154" s="124" t="n">
        <f aca="false">D154/P$3</f>
        <v>-0.170051131543463</v>
      </c>
      <c r="Q154" s="124" t="n">
        <f aca="false">E154/P$3</f>
        <v>0.396297627692461</v>
      </c>
      <c r="R154" s="124" t="n">
        <f aca="false">F154/R$3</f>
        <v>0</v>
      </c>
      <c r="S154" s="126" t="n">
        <f aca="false">J154/$R$3</f>
        <v>5.304</v>
      </c>
      <c r="T154" s="126" t="n">
        <f aca="false">L154/$R$3</f>
        <v>0</v>
      </c>
      <c r="U154" s="126" t="n">
        <f aca="false">I154/$R$3</f>
        <v>-22.88</v>
      </c>
      <c r="V154" s="126" t="n">
        <f aca="false">M154/$R$3</f>
        <v>-21.901905</v>
      </c>
      <c r="W154" s="126" t="n">
        <f aca="false">N154/$R$3</f>
        <v>461.822480417803</v>
      </c>
    </row>
    <row r="155" customFormat="false" ht="12.75" hidden="true" customHeight="false" outlineLevel="0" collapsed="false">
      <c r="A155" s="120" t="n">
        <f aca="false">A154+1</f>
        <v>37041</v>
      </c>
      <c r="B155" s="131" t="str">
        <f aca="false">INDEX('Master Data'!$A$2:$B$8,MATCH(WEEKDAY('EZE Power Trading'!A155,3),'Master Data'!$A$2:$A$8,0),2)</f>
        <v>W</v>
      </c>
      <c r="D155" s="124" t="n">
        <v>-169845.913071363</v>
      </c>
      <c r="E155" s="124" t="n">
        <v>396711.858848078</v>
      </c>
      <c r="F155" s="124" t="n">
        <v>0</v>
      </c>
      <c r="G155" s="124" t="n">
        <f aca="false">-19984-1506</f>
        <v>-21490</v>
      </c>
      <c r="I155" s="124" t="n">
        <f aca="false">IF(MONTH($A155)=MONTH($A154),IF(G155=0,I154,G155),G155)</f>
        <v>-21490</v>
      </c>
      <c r="J155" s="124" t="n">
        <f aca="false">IF(MONTH($A155)=MONTH($A154),SUM(I155-I154),I155)</f>
        <v>1390</v>
      </c>
      <c r="K155" s="124" t="n">
        <f aca="false">IF(WEEKDAY(A155,3)&gt;4,0,(IF(A155&lt;K$2,0,IF(A155&lt;=K$3,1,0))))</f>
        <v>0</v>
      </c>
      <c r="L155" s="124" t="n">
        <f aca="false">J155*K155</f>
        <v>0</v>
      </c>
      <c r="M155" s="124" t="n">
        <f aca="false">SUM(J$97:J155)</f>
        <v>-20511.905</v>
      </c>
      <c r="N155" s="124" t="n">
        <f aca="false">SUM(J$6:J155)</f>
        <v>463212.480417803</v>
      </c>
      <c r="P155" s="124" t="n">
        <f aca="false">D155/P$3</f>
        <v>-0.169845913071363</v>
      </c>
      <c r="Q155" s="124" t="n">
        <f aca="false">E155/P$3</f>
        <v>0.396711858848078</v>
      </c>
      <c r="R155" s="124" t="n">
        <f aca="false">F155/R$3</f>
        <v>0</v>
      </c>
      <c r="S155" s="126" t="n">
        <f aca="false">J155/$R$3</f>
        <v>1.39</v>
      </c>
      <c r="T155" s="126" t="n">
        <f aca="false">L155/$R$3</f>
        <v>0</v>
      </c>
      <c r="U155" s="126" t="n">
        <f aca="false">I155/$R$3</f>
        <v>-21.49</v>
      </c>
      <c r="V155" s="126" t="n">
        <f aca="false">M155/$R$3</f>
        <v>-20.511905</v>
      </c>
      <c r="W155" s="126" t="n">
        <f aca="false">N155/$R$3</f>
        <v>463.212480417803</v>
      </c>
    </row>
    <row r="156" customFormat="false" ht="12.75" hidden="false" customHeight="false" outlineLevel="0" collapsed="false">
      <c r="A156" s="120" t="n">
        <f aca="false">A155+1</f>
        <v>37042</v>
      </c>
      <c r="B156" s="131" t="str">
        <f aca="false">INDEX('Master Data'!$A$2:$B$8,MATCH(WEEKDAY('EZE Power Trading'!A156,3),'Master Data'!$A$2:$A$8,0),2)</f>
        <v>Th</v>
      </c>
      <c r="D156" s="124" t="n">
        <v>-169655.099746664</v>
      </c>
      <c r="E156" s="124" t="n">
        <v>396683.048311769</v>
      </c>
      <c r="F156" s="124" t="n">
        <v>0</v>
      </c>
      <c r="G156" s="124" t="n">
        <f aca="false">-12425-7835</f>
        <v>-20260</v>
      </c>
      <c r="I156" s="124" t="n">
        <f aca="false">IF(MONTH($A156)=MONTH($A155),IF(G156=0,I155,G156),G156)</f>
        <v>-20260</v>
      </c>
      <c r="J156" s="124" t="n">
        <f aca="false">IF(MONTH($A156)=MONTH($A155),SUM(I156-I155),I156)</f>
        <v>1230</v>
      </c>
      <c r="K156" s="124" t="n">
        <f aca="false">IF(WEEKDAY(A156,3)&gt;4,0,(IF(A156&lt;K$2,0,IF(A156&lt;=K$3,1,0))))</f>
        <v>0</v>
      </c>
      <c r="L156" s="124" t="n">
        <f aca="false">J156*K156</f>
        <v>0</v>
      </c>
      <c r="M156" s="124" t="n">
        <f aca="false">SUM(J$97:J156)</f>
        <v>-19281.905</v>
      </c>
      <c r="N156" s="124" t="n">
        <f aca="false">SUM(J$6:J156)</f>
        <v>464442.480417803</v>
      </c>
      <c r="P156" s="124" t="n">
        <f aca="false">D156/P$3</f>
        <v>-0.169655099746664</v>
      </c>
      <c r="Q156" s="124" t="n">
        <f aca="false">E156/P$3</f>
        <v>0.396683048311769</v>
      </c>
      <c r="R156" s="124" t="n">
        <f aca="false">F156/R$3</f>
        <v>0</v>
      </c>
      <c r="S156" s="126" t="n">
        <f aca="false">J156/$R$3</f>
        <v>1.23</v>
      </c>
      <c r="T156" s="126" t="n">
        <f aca="false">L156/$R$3</f>
        <v>0</v>
      </c>
      <c r="U156" s="126" t="n">
        <f aca="false">I156/$R$3</f>
        <v>-20.26</v>
      </c>
      <c r="V156" s="126" t="n">
        <f aca="false">M156/$R$3</f>
        <v>-19.281905</v>
      </c>
      <c r="W156" s="126" t="n">
        <f aca="false">N156/$R$3</f>
        <v>464.442480417803</v>
      </c>
    </row>
    <row r="157" customFormat="false" ht="12.75" hidden="true" customHeight="false" outlineLevel="0" collapsed="false">
      <c r="A157" s="120" t="n">
        <f aca="false">A156+1</f>
        <v>37043</v>
      </c>
      <c r="B157" s="131" t="str">
        <f aca="false">INDEX('Master Data'!$A$2:$B$8,MATCH(WEEKDAY('EZE Power Trading'!A157,3),'Master Data'!$A$2:$A$8,0),2)</f>
        <v>F</v>
      </c>
      <c r="D157" s="124" t="n">
        <v>-169863.346977534</v>
      </c>
      <c r="E157" s="124" t="n">
        <v>399406.678824777</v>
      </c>
      <c r="F157" s="124" t="n">
        <v>0</v>
      </c>
      <c r="G157" s="124" t="n">
        <f aca="false">5748-756</f>
        <v>4992</v>
      </c>
      <c r="I157" s="124" t="n">
        <f aca="false">IF(MONTH($A157)=MONTH($A156),IF(G157=0,I156,G157),G157)</f>
        <v>4992</v>
      </c>
      <c r="J157" s="124" t="n">
        <f aca="false">IF(MONTH($A157)=MONTH($A156),SUM(I157-I156),I157)</f>
        <v>4992</v>
      </c>
      <c r="K157" s="124" t="n">
        <f aca="false">IF(WEEKDAY(A157,3)&gt;4,0,(IF(A157&lt;K$2,0,IF(A157&lt;=K$3,1,0))))</f>
        <v>0</v>
      </c>
      <c r="L157" s="124" t="n">
        <f aca="false">J157*K157</f>
        <v>0</v>
      </c>
      <c r="M157" s="124" t="n">
        <f aca="false">SUM(J$97:J157)</f>
        <v>-14289.905</v>
      </c>
      <c r="N157" s="124" t="n">
        <f aca="false">SUM(J$6:J157)</f>
        <v>469434.480417803</v>
      </c>
      <c r="P157" s="124" t="n">
        <f aca="false">D157/P$3</f>
        <v>-0.169863346977534</v>
      </c>
      <c r="Q157" s="124" t="n">
        <f aca="false">E157/P$3</f>
        <v>0.399406678824777</v>
      </c>
      <c r="R157" s="124" t="n">
        <f aca="false">F157/R$3</f>
        <v>0</v>
      </c>
      <c r="S157" s="126" t="n">
        <f aca="false">J157/$R$3</f>
        <v>4.992</v>
      </c>
      <c r="T157" s="126" t="n">
        <f aca="false">L157/$R$3</f>
        <v>0</v>
      </c>
      <c r="U157" s="126" t="n">
        <f aca="false">I157/$R$3</f>
        <v>4.992</v>
      </c>
      <c r="V157" s="126" t="n">
        <f aca="false">M157/$R$3</f>
        <v>-14.289905</v>
      </c>
      <c r="W157" s="126" t="n">
        <f aca="false">N157/$R$3</f>
        <v>469.434480417803</v>
      </c>
    </row>
    <row r="158" customFormat="false" ht="12.75" hidden="true" customHeight="false" outlineLevel="0" collapsed="false">
      <c r="A158" s="120" t="n">
        <f aca="false">A157+1</f>
        <v>37044</v>
      </c>
      <c r="B158" s="131" t="str">
        <f aca="false">INDEX('Master Data'!$A$2:$B$8,MATCH(WEEKDAY('EZE Power Trading'!A158,3),'Master Data'!$A$2:$A$8,0),2)</f>
        <v>Sa</v>
      </c>
      <c r="D158" s="124" t="n">
        <v>0</v>
      </c>
      <c r="E158" s="124" t="n">
        <v>0</v>
      </c>
      <c r="F158" s="124" t="n">
        <v>0</v>
      </c>
      <c r="G158" s="124" t="n">
        <v>0</v>
      </c>
      <c r="I158" s="124" t="n">
        <f aca="false">IF(MONTH($A158)=MONTH($A157),IF(G158=0,I157,G158),G158)</f>
        <v>4992</v>
      </c>
      <c r="J158" s="124" t="n">
        <f aca="false">IF(MONTH($A158)=MONTH($A157),SUM(I158-I157),I158)</f>
        <v>0</v>
      </c>
      <c r="K158" s="124" t="n">
        <f aca="false">IF(WEEKDAY(A158,3)&gt;4,0,(IF(A158&lt;K$2,0,IF(A158&lt;=K$3,1,0))))</f>
        <v>0</v>
      </c>
      <c r="L158" s="124" t="n">
        <f aca="false">J158*K158</f>
        <v>0</v>
      </c>
      <c r="M158" s="124" t="n">
        <f aca="false">SUM(J$97:J158)</f>
        <v>-14289.905</v>
      </c>
      <c r="N158" s="124" t="n">
        <f aca="false">SUM(J$6:J158)</f>
        <v>469434.480417803</v>
      </c>
      <c r="P158" s="124" t="n">
        <f aca="false">D158/P$3</f>
        <v>0</v>
      </c>
      <c r="Q158" s="124" t="n">
        <f aca="false">E158/P$3</f>
        <v>0</v>
      </c>
      <c r="R158" s="124" t="n">
        <f aca="false">F158/R$3</f>
        <v>0</v>
      </c>
      <c r="S158" s="126" t="n">
        <f aca="false">J158/$R$3</f>
        <v>0</v>
      </c>
      <c r="T158" s="126" t="n">
        <f aca="false">L158/$R$3</f>
        <v>0</v>
      </c>
      <c r="U158" s="126" t="n">
        <f aca="false">I158/$R$3</f>
        <v>4.992</v>
      </c>
      <c r="V158" s="126" t="n">
        <f aca="false">M158/$R$3</f>
        <v>-14.289905</v>
      </c>
      <c r="W158" s="126" t="n">
        <f aca="false">N158/$R$3</f>
        <v>469.434480417803</v>
      </c>
    </row>
    <row r="159" customFormat="false" ht="12.75" hidden="true" customHeight="false" outlineLevel="0" collapsed="false">
      <c r="A159" s="120" t="n">
        <f aca="false">A158+1</f>
        <v>37045</v>
      </c>
      <c r="B159" s="131" t="str">
        <f aca="false">INDEX('Master Data'!$A$2:$B$8,MATCH(WEEKDAY('EZE Power Trading'!A159,3),'Master Data'!$A$2:$A$8,0),2)</f>
        <v>Su</v>
      </c>
      <c r="D159" s="124" t="n">
        <v>0</v>
      </c>
      <c r="E159" s="124" t="n">
        <v>0</v>
      </c>
      <c r="F159" s="124" t="n">
        <v>0</v>
      </c>
      <c r="G159" s="124" t="n">
        <v>0</v>
      </c>
      <c r="I159" s="124" t="n">
        <f aca="false">IF(MONTH($A159)=MONTH($A158),IF(G159=0,I158,G159),G159)</f>
        <v>4992</v>
      </c>
      <c r="J159" s="124" t="n">
        <f aca="false">IF(MONTH($A159)=MONTH($A158),SUM(I159-I158),I159)</f>
        <v>0</v>
      </c>
      <c r="K159" s="124" t="n">
        <f aca="false">IF(WEEKDAY(A159,3)&gt;4,0,(IF(A159&lt;K$2,0,IF(A159&lt;=K$3,1,0))))</f>
        <v>0</v>
      </c>
      <c r="L159" s="124" t="n">
        <f aca="false">J159*K159</f>
        <v>0</v>
      </c>
      <c r="M159" s="124" t="n">
        <f aca="false">SUM(J$97:J159)</f>
        <v>-14289.905</v>
      </c>
      <c r="N159" s="124" t="n">
        <f aca="false">SUM(J$6:J159)</f>
        <v>469434.480417803</v>
      </c>
      <c r="P159" s="124" t="n">
        <f aca="false">D159/P$3</f>
        <v>0</v>
      </c>
      <c r="Q159" s="124" t="n">
        <f aca="false">E159/P$3</f>
        <v>0</v>
      </c>
      <c r="R159" s="124" t="n">
        <f aca="false">F159/R$3</f>
        <v>0</v>
      </c>
      <c r="S159" s="126" t="n">
        <f aca="false">J159/$R$3</f>
        <v>0</v>
      </c>
      <c r="T159" s="126" t="n">
        <f aca="false">L159/$R$3</f>
        <v>0</v>
      </c>
      <c r="U159" s="126" t="n">
        <f aca="false">I159/$R$3</f>
        <v>4.992</v>
      </c>
      <c r="V159" s="126" t="n">
        <f aca="false">M159/$R$3</f>
        <v>-14.289905</v>
      </c>
      <c r="W159" s="126" t="n">
        <f aca="false">N159/$R$3</f>
        <v>469.434480417803</v>
      </c>
    </row>
    <row r="160" customFormat="false" ht="12.75" hidden="true" customHeight="false" outlineLevel="0" collapsed="false">
      <c r="A160" s="120" t="n">
        <f aca="false">A159+1</f>
        <v>37046</v>
      </c>
      <c r="B160" s="131" t="str">
        <f aca="false">INDEX('Master Data'!$A$2:$B$8,MATCH(WEEKDAY('EZE Power Trading'!A160,3),'Master Data'!$A$2:$A$8,0),2)</f>
        <v>M</v>
      </c>
      <c r="D160" s="124" t="n">
        <v>-169124.672197913</v>
      </c>
      <c r="E160" s="124" t="n">
        <v>398539.325987179</v>
      </c>
      <c r="F160" s="124" t="n">
        <v>0</v>
      </c>
      <c r="G160" s="124" t="n">
        <f aca="false">34215-23114</f>
        <v>11101</v>
      </c>
      <c r="I160" s="124" t="n">
        <f aca="false">IF(MONTH($A160)=MONTH($A159),IF(G160=0,I159,G160),G160)</f>
        <v>11101</v>
      </c>
      <c r="J160" s="124" t="n">
        <f aca="false">IF(MONTH($A160)=MONTH($A159),SUM(I160-I159),I160)</f>
        <v>6109</v>
      </c>
      <c r="K160" s="124" t="n">
        <f aca="false">IF(WEEKDAY(A160,3)&gt;4,0,(IF(A160&lt;K$2,0,IF(A160&lt;=K$3,1,0))))</f>
        <v>0</v>
      </c>
      <c r="L160" s="124" t="n">
        <f aca="false">J160*K160</f>
        <v>0</v>
      </c>
      <c r="M160" s="124" t="n">
        <f aca="false">SUM(J$97:J160)</f>
        <v>-8180.905</v>
      </c>
      <c r="N160" s="124" t="n">
        <f aca="false">SUM(J$6:J160)</f>
        <v>475543.480417803</v>
      </c>
      <c r="P160" s="124" t="n">
        <f aca="false">D160/P$3</f>
        <v>-0.169124672197913</v>
      </c>
      <c r="Q160" s="124" t="n">
        <f aca="false">E160/P$3</f>
        <v>0.398539325987179</v>
      </c>
      <c r="R160" s="124" t="n">
        <f aca="false">F160/R$3</f>
        <v>0</v>
      </c>
      <c r="S160" s="126" t="n">
        <f aca="false">J160/$R$3</f>
        <v>6.109</v>
      </c>
      <c r="T160" s="126" t="n">
        <f aca="false">L160/$R$3</f>
        <v>0</v>
      </c>
      <c r="U160" s="126" t="n">
        <f aca="false">I160/$R$3</f>
        <v>11.101</v>
      </c>
      <c r="V160" s="126" t="n">
        <f aca="false">M160/$R$3</f>
        <v>-8.180905</v>
      </c>
      <c r="W160" s="126" t="n">
        <f aca="false">N160/$R$3</f>
        <v>475.543480417803</v>
      </c>
    </row>
    <row r="161" customFormat="false" ht="12.75" hidden="true" customHeight="false" outlineLevel="0" collapsed="false">
      <c r="A161" s="120" t="n">
        <f aca="false">A160+1</f>
        <v>37047</v>
      </c>
      <c r="B161" s="131" t="str">
        <f aca="false">INDEX('Master Data'!$A$2:$B$8,MATCH(WEEKDAY('EZE Power Trading'!A161,3),'Master Data'!$A$2:$A$8,0),2)</f>
        <v>T</v>
      </c>
      <c r="D161" s="124" t="n">
        <v>-168940.359046232</v>
      </c>
      <c r="E161" s="124" t="n">
        <v>398675.723989861</v>
      </c>
      <c r="F161" s="124" t="n">
        <v>0</v>
      </c>
      <c r="G161" s="124" t="n">
        <f aca="false">60781-46780</f>
        <v>14001</v>
      </c>
      <c r="I161" s="124" t="n">
        <f aca="false">IF(MONTH($A161)=MONTH($A160),IF(G161=0,I160,G161),G161)</f>
        <v>14001</v>
      </c>
      <c r="J161" s="124" t="n">
        <f aca="false">IF(MONTH($A161)=MONTH($A160),SUM(I161-I160),I161)</f>
        <v>2900</v>
      </c>
      <c r="K161" s="124" t="n">
        <f aca="false">IF(WEEKDAY(A161,3)&gt;4,0,(IF(A161&lt;K$2,0,IF(A161&lt;=K$3,1,0))))</f>
        <v>0</v>
      </c>
      <c r="L161" s="124" t="n">
        <f aca="false">J161*K161</f>
        <v>0</v>
      </c>
      <c r="M161" s="124" t="n">
        <f aca="false">SUM(J$97:J161)</f>
        <v>-5280.905</v>
      </c>
      <c r="N161" s="124" t="n">
        <f aca="false">SUM(J$6:J161)</f>
        <v>478443.480417803</v>
      </c>
      <c r="P161" s="124" t="n">
        <f aca="false">D161/P$3</f>
        <v>-0.168940359046232</v>
      </c>
      <c r="Q161" s="124" t="n">
        <f aca="false">E161/P$3</f>
        <v>0.398675723989861</v>
      </c>
      <c r="R161" s="124" t="n">
        <f aca="false">F161/R$3</f>
        <v>0</v>
      </c>
      <c r="S161" s="126" t="n">
        <f aca="false">J161/$R$3</f>
        <v>2.9</v>
      </c>
      <c r="T161" s="126" t="n">
        <f aca="false">L161/$R$3</f>
        <v>0</v>
      </c>
      <c r="U161" s="126" t="n">
        <f aca="false">I161/$R$3</f>
        <v>14.001</v>
      </c>
      <c r="V161" s="126" t="n">
        <f aca="false">M161/$R$3</f>
        <v>-5.280905</v>
      </c>
      <c r="W161" s="126" t="n">
        <f aca="false">N161/$R$3</f>
        <v>478.443480417803</v>
      </c>
    </row>
    <row r="162" customFormat="false" ht="12.75" hidden="true" customHeight="false" outlineLevel="0" collapsed="false">
      <c r="A162" s="120" t="n">
        <f aca="false">A161+1</f>
        <v>37048</v>
      </c>
      <c r="B162" s="131" t="str">
        <f aca="false">INDEX('Master Data'!$A$2:$B$8,MATCH(WEEKDAY('EZE Power Trading'!A162,3),'Master Data'!$A$2:$A$8,0),2)</f>
        <v>W</v>
      </c>
      <c r="D162" s="124" t="n">
        <v>-168855.318316916</v>
      </c>
      <c r="E162" s="124" t="n">
        <v>399545.695036812</v>
      </c>
      <c r="F162" s="124" t="n">
        <v>0</v>
      </c>
      <c r="G162" s="124" t="n">
        <v>17556</v>
      </c>
      <c r="I162" s="124" t="n">
        <f aca="false">IF(MONTH($A162)=MONTH($A161),IF(G162=0,I161,G162),G162)</f>
        <v>17556</v>
      </c>
      <c r="J162" s="124" t="n">
        <f aca="false">IF(MONTH($A162)=MONTH($A161),SUM(I162-I161),I162)</f>
        <v>3555</v>
      </c>
      <c r="K162" s="124" t="n">
        <f aca="false">IF(WEEKDAY(A162,3)&gt;4,0,(IF(A162&lt;K$2,0,IF(A162&lt;=K$3,1,0))))</f>
        <v>0</v>
      </c>
      <c r="L162" s="124" t="n">
        <f aca="false">J162*K162</f>
        <v>0</v>
      </c>
      <c r="M162" s="124" t="n">
        <f aca="false">SUM(J$97:J162)</f>
        <v>-1725.905</v>
      </c>
      <c r="N162" s="124" t="n">
        <f aca="false">SUM(J$6:J162)</f>
        <v>481998.480417803</v>
      </c>
      <c r="P162" s="124" t="n">
        <f aca="false">D162/P$3</f>
        <v>-0.168855318316916</v>
      </c>
      <c r="Q162" s="124" t="n">
        <f aca="false">E162/P$3</f>
        <v>0.399545695036812</v>
      </c>
      <c r="R162" s="124" t="n">
        <f aca="false">F162/R$3</f>
        <v>0</v>
      </c>
      <c r="S162" s="126" t="n">
        <f aca="false">J162/$R$3</f>
        <v>3.555</v>
      </c>
      <c r="T162" s="126" t="n">
        <f aca="false">L162/$R$3</f>
        <v>0</v>
      </c>
      <c r="U162" s="126" t="n">
        <f aca="false">I162/$R$3</f>
        <v>17.556</v>
      </c>
      <c r="V162" s="126" t="n">
        <f aca="false">M162/$R$3</f>
        <v>-1.725905</v>
      </c>
      <c r="W162" s="126" t="n">
        <f aca="false">N162/$R$3</f>
        <v>481.998480417803</v>
      </c>
    </row>
    <row r="163" customFormat="false" ht="12.75" hidden="true" customHeight="false" outlineLevel="0" collapsed="false">
      <c r="A163" s="120" t="n">
        <f aca="false">A162+1</f>
        <v>37049</v>
      </c>
      <c r="B163" s="131" t="str">
        <f aca="false">INDEX('Master Data'!$A$2:$B$8,MATCH(WEEKDAY('EZE Power Trading'!A163,3),'Master Data'!$A$2:$A$8,0),2)</f>
        <v>Th</v>
      </c>
      <c r="D163" s="124" t="n">
        <v>-168676.591269939</v>
      </c>
      <c r="E163" s="124" t="n">
        <v>399724.13624399</v>
      </c>
      <c r="F163" s="124" t="n">
        <v>0</v>
      </c>
      <c r="G163" s="124" t="n">
        <v>21082</v>
      </c>
      <c r="I163" s="124" t="n">
        <f aca="false">IF(MONTH($A163)=MONTH($A162),IF(G163=0,I162,G163),G163)</f>
        <v>21082</v>
      </c>
      <c r="J163" s="124" t="n">
        <f aca="false">IF(MONTH($A163)=MONTH($A162),SUM(I163-I162),I163)</f>
        <v>3526</v>
      </c>
      <c r="K163" s="124" t="n">
        <f aca="false">IF(WEEKDAY(A163,3)&gt;4,0,(IF(A163&lt;K$2,0,IF(A163&lt;=K$3,1,0))))</f>
        <v>0</v>
      </c>
      <c r="L163" s="124" t="n">
        <f aca="false">J163*K163</f>
        <v>0</v>
      </c>
      <c r="M163" s="124" t="n">
        <f aca="false">SUM(J$97:J163)</f>
        <v>1800.095</v>
      </c>
      <c r="N163" s="124" t="n">
        <f aca="false">SUM(J$6:J163)</f>
        <v>485524.480417803</v>
      </c>
      <c r="P163" s="124" t="n">
        <f aca="false">D163/P$3</f>
        <v>-0.168676591269939</v>
      </c>
      <c r="Q163" s="124" t="n">
        <f aca="false">E163/P$3</f>
        <v>0.39972413624399</v>
      </c>
      <c r="R163" s="124" t="n">
        <f aca="false">F163/R$3</f>
        <v>0</v>
      </c>
      <c r="S163" s="126" t="n">
        <f aca="false">J163/$R$3</f>
        <v>3.526</v>
      </c>
      <c r="T163" s="126" t="n">
        <f aca="false">L163/$R$3</f>
        <v>0</v>
      </c>
      <c r="U163" s="126" t="n">
        <f aca="false">I163/$R$3</f>
        <v>21.082</v>
      </c>
      <c r="V163" s="126" t="n">
        <f aca="false">M163/$R$3</f>
        <v>1.800095</v>
      </c>
      <c r="W163" s="126" t="n">
        <f aca="false">N163/$R$3</f>
        <v>485.524480417803</v>
      </c>
    </row>
    <row r="164" customFormat="false" ht="12.75" hidden="true" customHeight="false" outlineLevel="0" collapsed="false">
      <c r="A164" s="120" t="n">
        <f aca="false">A163+1</f>
        <v>37050</v>
      </c>
      <c r="B164" s="131" t="str">
        <f aca="false">INDEX('Master Data'!$A$2:$B$8,MATCH(WEEKDAY('EZE Power Trading'!A164,3),'Master Data'!$A$2:$A$8,0),2)</f>
        <v>F</v>
      </c>
      <c r="D164" s="124" t="n">
        <v>-168480.536723023</v>
      </c>
      <c r="E164" s="124" t="n">
        <v>399710.21384716</v>
      </c>
      <c r="F164" s="124" t="n">
        <v>0</v>
      </c>
      <c r="G164" s="124" t="n">
        <v>45328</v>
      </c>
      <c r="I164" s="124" t="n">
        <f aca="false">IF(MONTH($A164)=MONTH($A163),IF(G164=0,I163,G164),G164)</f>
        <v>45328</v>
      </c>
      <c r="J164" s="124" t="n">
        <f aca="false">IF(MONTH($A164)=MONTH($A163),SUM(I164-I163),I164)</f>
        <v>24246</v>
      </c>
      <c r="K164" s="124" t="n">
        <f aca="false">IF(WEEKDAY(A164,3)&gt;4,0,(IF(A164&lt;K$2,0,IF(A164&lt;=K$3,1,0))))</f>
        <v>0</v>
      </c>
      <c r="L164" s="124" t="n">
        <f aca="false">J164*K164</f>
        <v>0</v>
      </c>
      <c r="M164" s="124" t="n">
        <f aca="false">SUM(J$97:J164)</f>
        <v>26046.095</v>
      </c>
      <c r="N164" s="124" t="n">
        <f aca="false">SUM(J$6:J164)</f>
        <v>509770.480417803</v>
      </c>
      <c r="P164" s="124" t="n">
        <f aca="false">D164/P$3</f>
        <v>-0.168480536723023</v>
      </c>
      <c r="Q164" s="124" t="n">
        <f aca="false">E164/P$3</f>
        <v>0.39971021384716</v>
      </c>
      <c r="R164" s="124" t="n">
        <f aca="false">F164/R$3</f>
        <v>0</v>
      </c>
      <c r="S164" s="126" t="n">
        <f aca="false">J164/$R$3</f>
        <v>24.246</v>
      </c>
      <c r="T164" s="126" t="n">
        <f aca="false">L164/$R$3</f>
        <v>0</v>
      </c>
      <c r="U164" s="126" t="n">
        <f aca="false">I164/$R$3</f>
        <v>45.328</v>
      </c>
      <c r="V164" s="126" t="n">
        <f aca="false">M164/$R$3</f>
        <v>26.046095</v>
      </c>
      <c r="W164" s="126" t="n">
        <f aca="false">N164/$R$3</f>
        <v>509.770480417803</v>
      </c>
    </row>
    <row r="165" customFormat="false" ht="12.75" hidden="true" customHeight="false" outlineLevel="0" collapsed="false">
      <c r="A165" s="120" t="n">
        <f aca="false">A164+1</f>
        <v>37051</v>
      </c>
      <c r="B165" s="131" t="str">
        <f aca="false">INDEX('Master Data'!$A$2:$B$8,MATCH(WEEKDAY('EZE Power Trading'!A165,3),'Master Data'!$A$2:$A$8,0),2)</f>
        <v>Sa</v>
      </c>
      <c r="D165" s="124" t="n">
        <v>0</v>
      </c>
      <c r="E165" s="124" t="n">
        <v>0</v>
      </c>
      <c r="F165" s="124" t="n">
        <v>0</v>
      </c>
      <c r="G165" s="124" t="n">
        <v>0</v>
      </c>
      <c r="I165" s="124" t="n">
        <f aca="false">IF(MONTH($A165)=MONTH($A164),IF(G165=0,I164,G165),G165)</f>
        <v>45328</v>
      </c>
      <c r="J165" s="124" t="n">
        <f aca="false">IF(MONTH($A165)=MONTH($A164),SUM(I165-I164),I165)</f>
        <v>0</v>
      </c>
      <c r="K165" s="124" t="n">
        <f aca="false">IF(WEEKDAY(A165,3)&gt;4,0,(IF(A165&lt;K$2,0,IF(A165&lt;=K$3,1,0))))</f>
        <v>0</v>
      </c>
      <c r="L165" s="124" t="n">
        <f aca="false">J165*K165</f>
        <v>0</v>
      </c>
      <c r="M165" s="124" t="n">
        <f aca="false">SUM(J$97:J165)</f>
        <v>26046.095</v>
      </c>
      <c r="N165" s="124" t="n">
        <f aca="false">SUM(J$6:J165)</f>
        <v>509770.480417803</v>
      </c>
      <c r="P165" s="124" t="n">
        <f aca="false">D165/P$3</f>
        <v>0</v>
      </c>
      <c r="Q165" s="124" t="n">
        <f aca="false">E165/P$3</f>
        <v>0</v>
      </c>
      <c r="R165" s="124" t="n">
        <f aca="false">F165/R$3</f>
        <v>0</v>
      </c>
      <c r="S165" s="126" t="n">
        <f aca="false">J165/$R$3</f>
        <v>0</v>
      </c>
      <c r="T165" s="126" t="n">
        <f aca="false">L165/$R$3</f>
        <v>0</v>
      </c>
      <c r="U165" s="126" t="n">
        <f aca="false">I165/$R$3</f>
        <v>45.328</v>
      </c>
      <c r="V165" s="126" t="n">
        <f aca="false">M165/$R$3</f>
        <v>26.046095</v>
      </c>
      <c r="W165" s="126" t="n">
        <f aca="false">N165/$R$3</f>
        <v>509.770480417803</v>
      </c>
    </row>
    <row r="166" customFormat="false" ht="12.75" hidden="true" customHeight="false" outlineLevel="0" collapsed="false">
      <c r="A166" s="120" t="n">
        <f aca="false">A165+1</f>
        <v>37052</v>
      </c>
      <c r="B166" s="131" t="str">
        <f aca="false">INDEX('Master Data'!$A$2:$B$8,MATCH(WEEKDAY('EZE Power Trading'!A166,3),'Master Data'!$A$2:$A$8,0),2)</f>
        <v>Su</v>
      </c>
      <c r="D166" s="124" t="n">
        <v>0</v>
      </c>
      <c r="E166" s="124" t="n">
        <v>0</v>
      </c>
      <c r="F166" s="124" t="n">
        <v>0</v>
      </c>
      <c r="G166" s="124" t="n">
        <v>0</v>
      </c>
      <c r="I166" s="124" t="n">
        <f aca="false">IF(MONTH($A166)=MONTH($A165),IF(G166=0,I165,G166),G166)</f>
        <v>45328</v>
      </c>
      <c r="J166" s="124" t="n">
        <f aca="false">IF(MONTH($A166)=MONTH($A165),SUM(I166-I165),I166)</f>
        <v>0</v>
      </c>
      <c r="K166" s="124" t="n">
        <f aca="false">IF(WEEKDAY(A166,3)&gt;4,0,(IF(A166&lt;K$2,0,IF(A166&lt;=K$3,1,0))))</f>
        <v>0</v>
      </c>
      <c r="L166" s="124" t="n">
        <f aca="false">J166*K166</f>
        <v>0</v>
      </c>
      <c r="M166" s="124" t="n">
        <f aca="false">SUM(J$97:J166)</f>
        <v>26046.095</v>
      </c>
      <c r="N166" s="124" t="n">
        <f aca="false">SUM(J$6:J166)</f>
        <v>509770.480417803</v>
      </c>
      <c r="P166" s="124" t="n">
        <f aca="false">D166/P$3</f>
        <v>0</v>
      </c>
      <c r="Q166" s="124" t="n">
        <f aca="false">E166/P$3</f>
        <v>0</v>
      </c>
      <c r="R166" s="124" t="n">
        <f aca="false">F166/R$3</f>
        <v>0</v>
      </c>
      <c r="S166" s="126" t="n">
        <f aca="false">J166/$R$3</f>
        <v>0</v>
      </c>
      <c r="T166" s="126" t="n">
        <f aca="false">L166/$R$3</f>
        <v>0</v>
      </c>
      <c r="U166" s="126" t="n">
        <f aca="false">I166/$R$3</f>
        <v>45.328</v>
      </c>
      <c r="V166" s="126" t="n">
        <f aca="false">M166/$R$3</f>
        <v>26.046095</v>
      </c>
      <c r="W166" s="126" t="n">
        <f aca="false">N166/$R$3</f>
        <v>509.770480417803</v>
      </c>
    </row>
    <row r="167" customFormat="false" ht="12.75" hidden="true" customHeight="false" outlineLevel="0" collapsed="false">
      <c r="A167" s="120" t="n">
        <f aca="false">A166+1</f>
        <v>37053</v>
      </c>
      <c r="B167" s="131" t="str">
        <f aca="false">INDEX('Master Data'!$A$2:$B$8,MATCH(WEEKDAY('EZE Power Trading'!A167,3),'Master Data'!$A$2:$A$8,0),2)</f>
        <v>M</v>
      </c>
      <c r="D167" s="124" t="n">
        <v>-167761.816976484</v>
      </c>
      <c r="E167" s="124" t="n">
        <v>398703.609514624</v>
      </c>
      <c r="F167" s="124" t="n">
        <v>0</v>
      </c>
      <c r="G167" s="124" t="n">
        <v>51172</v>
      </c>
      <c r="I167" s="124" t="n">
        <f aca="false">IF(MONTH($A167)=MONTH($A166),IF(G167=0,I166,G167),G167)</f>
        <v>51172</v>
      </c>
      <c r="J167" s="124" t="n">
        <f aca="false">IF(MONTH($A167)=MONTH($A166),SUM(I167-I166),I167)</f>
        <v>5844</v>
      </c>
      <c r="K167" s="124" t="n">
        <f aca="false">IF(WEEKDAY(A167,3)&gt;4,0,(IF(A167&lt;K$2,0,IF(A167&lt;=K$3,1,0))))</f>
        <v>0</v>
      </c>
      <c r="L167" s="124" t="n">
        <f aca="false">J167*K167</f>
        <v>0</v>
      </c>
      <c r="M167" s="124" t="n">
        <f aca="false">SUM(J$97:J167)</f>
        <v>31890.095</v>
      </c>
      <c r="N167" s="124" t="n">
        <f aca="false">SUM(J$6:J167)</f>
        <v>515614.480417803</v>
      </c>
      <c r="P167" s="124" t="n">
        <f aca="false">D167/P$3</f>
        <v>-0.167761816976484</v>
      </c>
      <c r="Q167" s="124" t="n">
        <f aca="false">E167/P$3</f>
        <v>0.398703609514624</v>
      </c>
      <c r="R167" s="124" t="n">
        <f aca="false">F167/R$3</f>
        <v>0</v>
      </c>
      <c r="S167" s="126" t="n">
        <f aca="false">J167/$R$3</f>
        <v>5.844</v>
      </c>
      <c r="T167" s="126" t="n">
        <f aca="false">L167/$R$3</f>
        <v>0</v>
      </c>
      <c r="U167" s="126" t="n">
        <f aca="false">I167/$R$3</f>
        <v>51.172</v>
      </c>
      <c r="V167" s="126" t="n">
        <f aca="false">M167/$R$3</f>
        <v>31.890095</v>
      </c>
      <c r="W167" s="126" t="n">
        <f aca="false">N167/$R$3</f>
        <v>515.614480417803</v>
      </c>
    </row>
    <row r="168" customFormat="false" ht="12.75" hidden="true" customHeight="false" outlineLevel="0" collapsed="false">
      <c r="A168" s="120" t="n">
        <f aca="false">A167+1</f>
        <v>37054</v>
      </c>
      <c r="B168" s="131" t="str">
        <f aca="false">INDEX('Master Data'!$A$2:$B$8,MATCH(WEEKDAY('EZE Power Trading'!A168,3),'Master Data'!$A$2:$A$8,0),2)</f>
        <v>T</v>
      </c>
      <c r="D168" s="124" t="n">
        <v>-167732.910501684</v>
      </c>
      <c r="E168" s="124" t="n">
        <v>399900.211473078</v>
      </c>
      <c r="F168" s="124" t="n">
        <v>0</v>
      </c>
      <c r="G168" s="124" t="n">
        <v>53084</v>
      </c>
      <c r="I168" s="124" t="n">
        <f aca="false">IF(MONTH($A168)=MONTH($A167),IF(G168=0,I167,G168),G168)</f>
        <v>53084</v>
      </c>
      <c r="J168" s="124" t="n">
        <f aca="false">IF(MONTH($A168)=MONTH($A167),SUM(I168-I167),I168)</f>
        <v>1912</v>
      </c>
      <c r="K168" s="124" t="n">
        <f aca="false">IF(WEEKDAY(A168,3)&gt;4,0,(IF(A168&lt;K$2,0,IF(A168&lt;=K$3,1,0))))</f>
        <v>0</v>
      </c>
      <c r="L168" s="124" t="n">
        <f aca="false">J168*K168</f>
        <v>0</v>
      </c>
      <c r="M168" s="124" t="n">
        <f aca="false">SUM(J$97:J168)</f>
        <v>33802.095</v>
      </c>
      <c r="N168" s="124" t="n">
        <f aca="false">SUM(J$6:J168)</f>
        <v>517526.480417803</v>
      </c>
      <c r="P168" s="124" t="n">
        <f aca="false">D168/P$3</f>
        <v>-0.167732910501684</v>
      </c>
      <c r="Q168" s="124" t="n">
        <f aca="false">E168/P$3</f>
        <v>0.399900211473078</v>
      </c>
      <c r="R168" s="124" t="n">
        <f aca="false">F168/R$3</f>
        <v>0</v>
      </c>
      <c r="S168" s="126" t="n">
        <f aca="false">J168/$R$3</f>
        <v>1.912</v>
      </c>
      <c r="T168" s="126" t="n">
        <f aca="false">L168/$R$3</f>
        <v>0</v>
      </c>
      <c r="U168" s="126" t="n">
        <f aca="false">I168/$R$3</f>
        <v>53.084</v>
      </c>
      <c r="V168" s="126" t="n">
        <f aca="false">M168/$R$3</f>
        <v>33.802095</v>
      </c>
      <c r="W168" s="126" t="n">
        <f aca="false">N168/$R$3</f>
        <v>517.526480417803</v>
      </c>
    </row>
    <row r="169" customFormat="false" ht="12.75" hidden="true" customHeight="false" outlineLevel="0" collapsed="false">
      <c r="A169" s="120" t="n">
        <f aca="false">A168+1</f>
        <v>37055</v>
      </c>
      <c r="B169" s="131" t="str">
        <f aca="false">INDEX('Master Data'!$A$2:$B$8,MATCH(WEEKDAY('EZE Power Trading'!A169,3),'Master Data'!$A$2:$A$8,0),2)</f>
        <v>W</v>
      </c>
      <c r="D169" s="124" t="n">
        <v>-167624.431454021</v>
      </c>
      <c r="E169" s="124" t="n">
        <v>400633.422834504</v>
      </c>
      <c r="F169" s="124" t="n">
        <v>0</v>
      </c>
      <c r="G169" s="124" t="n">
        <f aca="false">56164+506</f>
        <v>56670</v>
      </c>
      <c r="I169" s="124" t="n">
        <f aca="false">IF(MONTH($A169)=MONTH($A168),IF(G169=0,I168,G169),G169)</f>
        <v>56670</v>
      </c>
      <c r="J169" s="124" t="n">
        <f aca="false">IF(MONTH($A169)=MONTH($A168),SUM(I169-I168),I169)</f>
        <v>3586</v>
      </c>
      <c r="K169" s="124" t="n">
        <f aca="false">IF(WEEKDAY(A169,3)&gt;4,0,(IF(A169&lt;K$2,0,IF(A169&lt;=K$3,1,0))))</f>
        <v>0</v>
      </c>
      <c r="L169" s="124" t="n">
        <f aca="false">J169*K169</f>
        <v>0</v>
      </c>
      <c r="M169" s="124" t="n">
        <f aca="false">SUM(J$97:J169)</f>
        <v>37388.095</v>
      </c>
      <c r="N169" s="124" t="n">
        <f aca="false">SUM(J$6:J169)</f>
        <v>521112.480417803</v>
      </c>
      <c r="P169" s="124" t="n">
        <f aca="false">D169/P$3</f>
        <v>-0.167624431454021</v>
      </c>
      <c r="Q169" s="124" t="n">
        <f aca="false">E169/P$3</f>
        <v>0.400633422834504</v>
      </c>
      <c r="R169" s="124" t="n">
        <f aca="false">F169/R$3</f>
        <v>0</v>
      </c>
      <c r="S169" s="126" t="n">
        <f aca="false">J169/$R$3</f>
        <v>3.586</v>
      </c>
      <c r="T169" s="126" t="n">
        <f aca="false">L169/$R$3</f>
        <v>0</v>
      </c>
      <c r="U169" s="126" t="n">
        <f aca="false">I169/$R$3</f>
        <v>56.67</v>
      </c>
      <c r="V169" s="126" t="n">
        <f aca="false">M169/$R$3</f>
        <v>37.388095</v>
      </c>
      <c r="W169" s="126" t="n">
        <f aca="false">N169/$R$3</f>
        <v>521.112480417803</v>
      </c>
    </row>
    <row r="170" customFormat="false" ht="12.75" hidden="true" customHeight="false" outlineLevel="0" collapsed="false">
      <c r="A170" s="120" t="n">
        <f aca="false">A169+1</f>
        <v>37056</v>
      </c>
      <c r="B170" s="131" t="str">
        <f aca="false">INDEX('Master Data'!$A$2:$B$8,MATCH(WEEKDAY('EZE Power Trading'!A170,3),'Master Data'!$A$2:$A$8,0),2)</f>
        <v>Th</v>
      </c>
      <c r="D170" s="124" t="n">
        <v>-167461.332829613</v>
      </c>
      <c r="E170" s="124" t="n">
        <v>400883.244741443</v>
      </c>
      <c r="F170" s="124" t="n">
        <v>0</v>
      </c>
      <c r="G170" s="124" t="n">
        <f aca="false">58844+506</f>
        <v>59350</v>
      </c>
      <c r="I170" s="124" t="n">
        <f aca="false">IF(MONTH($A170)=MONTH($A169),IF(G170=0,I169,G170),G170)</f>
        <v>59350</v>
      </c>
      <c r="J170" s="124" t="n">
        <f aca="false">IF(MONTH($A170)=MONTH($A169),SUM(I170-I169),I170)</f>
        <v>2680</v>
      </c>
      <c r="K170" s="124" t="n">
        <f aca="false">IF(WEEKDAY(A170,3)&gt;4,0,(IF(A170&lt;K$2,0,IF(A170&lt;=K$3,1,0))))</f>
        <v>0</v>
      </c>
      <c r="L170" s="124" t="n">
        <f aca="false">J170*K170</f>
        <v>0</v>
      </c>
      <c r="M170" s="124" t="n">
        <f aca="false">SUM(J$97:J170)</f>
        <v>40068.095</v>
      </c>
      <c r="N170" s="124" t="n">
        <f aca="false">SUM(J$6:J170)</f>
        <v>523792.480417803</v>
      </c>
      <c r="P170" s="124" t="n">
        <f aca="false">D170/P$3</f>
        <v>-0.167461332829613</v>
      </c>
      <c r="Q170" s="124" t="n">
        <f aca="false">E170/P$3</f>
        <v>0.400883244741443</v>
      </c>
      <c r="R170" s="124" t="n">
        <f aca="false">F170/R$3</f>
        <v>0</v>
      </c>
      <c r="S170" s="126" t="n">
        <f aca="false">J170/$R$3</f>
        <v>2.68</v>
      </c>
      <c r="T170" s="126" t="n">
        <f aca="false">L170/$R$3</f>
        <v>0</v>
      </c>
      <c r="U170" s="126" t="n">
        <f aca="false">I170/$R$3</f>
        <v>59.35</v>
      </c>
      <c r="V170" s="126" t="n">
        <f aca="false">M170/$R$3</f>
        <v>40.068095</v>
      </c>
      <c r="W170" s="126" t="n">
        <f aca="false">N170/$R$3</f>
        <v>523.792480417803</v>
      </c>
    </row>
    <row r="171" customFormat="false" ht="12.75" hidden="true" customHeight="false" outlineLevel="0" collapsed="false">
      <c r="A171" s="120" t="n">
        <f aca="false">A170+1</f>
        <v>37057</v>
      </c>
      <c r="B171" s="131" t="str">
        <f aca="false">INDEX('Master Data'!$A$2:$B$8,MATCH(WEEKDAY('EZE Power Trading'!A171,3),'Master Data'!$A$2:$A$8,0),2)</f>
        <v>F</v>
      </c>
      <c r="D171" s="124" t="n">
        <v>-167346.931849915</v>
      </c>
      <c r="E171" s="124" t="n">
        <v>401508.924912944</v>
      </c>
      <c r="F171" s="124" t="n">
        <v>0</v>
      </c>
      <c r="G171" s="124" t="n">
        <f aca="false">63268+506</f>
        <v>63774</v>
      </c>
      <c r="I171" s="124" t="n">
        <f aca="false">IF(MONTH($A171)=MONTH($A170),IF(G171=0,I170,G171),G171)</f>
        <v>63774</v>
      </c>
      <c r="J171" s="124" t="n">
        <f aca="false">IF(MONTH($A171)=MONTH($A170),SUM(I171-I170),I171)</f>
        <v>4424</v>
      </c>
      <c r="K171" s="124" t="n">
        <f aca="false">IF(WEEKDAY(A171,3)&gt;4,0,(IF(A171&lt;K$2,0,IF(A171&lt;=K$3,1,0))))</f>
        <v>0</v>
      </c>
      <c r="L171" s="124" t="n">
        <f aca="false">J171*K171</f>
        <v>0</v>
      </c>
      <c r="M171" s="124" t="n">
        <f aca="false">SUM(J$97:J171)</f>
        <v>44492.095</v>
      </c>
      <c r="N171" s="124" t="n">
        <f aca="false">SUM(J$6:J171)</f>
        <v>528216.480417803</v>
      </c>
      <c r="P171" s="124" t="n">
        <f aca="false">D171/P$3</f>
        <v>-0.167346931849915</v>
      </c>
      <c r="Q171" s="124" t="n">
        <f aca="false">E171/P$3</f>
        <v>0.401508924912944</v>
      </c>
      <c r="R171" s="124" t="n">
        <f aca="false">F171/R$3</f>
        <v>0</v>
      </c>
      <c r="S171" s="126" t="n">
        <f aca="false">J171/$R$3</f>
        <v>4.424</v>
      </c>
      <c r="T171" s="126" t="n">
        <f aca="false">L171/$R$3</f>
        <v>0</v>
      </c>
      <c r="U171" s="126" t="n">
        <f aca="false">I171/$R$3</f>
        <v>63.774</v>
      </c>
      <c r="V171" s="126" t="n">
        <f aca="false">M171/$R$3</f>
        <v>44.492095</v>
      </c>
      <c r="W171" s="126" t="n">
        <f aca="false">N171/$R$3</f>
        <v>528.216480417803</v>
      </c>
    </row>
    <row r="172" customFormat="false" ht="12.75" hidden="true" customHeight="false" outlineLevel="0" collapsed="false">
      <c r="A172" s="120" t="n">
        <f aca="false">A171+1</f>
        <v>37058</v>
      </c>
      <c r="B172" s="131" t="str">
        <f aca="false">INDEX('Master Data'!$A$2:$B$8,MATCH(WEEKDAY('EZE Power Trading'!A172,3),'Master Data'!$A$2:$A$8,0),2)</f>
        <v>Sa</v>
      </c>
      <c r="D172" s="124" t="n">
        <v>0</v>
      </c>
      <c r="E172" s="124" t="n">
        <v>0</v>
      </c>
      <c r="F172" s="124" t="n">
        <v>0</v>
      </c>
      <c r="G172" s="124" t="n">
        <v>0</v>
      </c>
      <c r="I172" s="124" t="n">
        <f aca="false">IF(MONTH($A172)=MONTH($A171),IF(G172=0,I171,G172),G172)</f>
        <v>63774</v>
      </c>
      <c r="J172" s="124" t="n">
        <f aca="false">IF(MONTH($A172)=MONTH($A171),SUM(I172-I171),I172)</f>
        <v>0</v>
      </c>
      <c r="K172" s="124" t="n">
        <f aca="false">IF(WEEKDAY(A172,3)&gt;4,0,(IF(A172&lt;K$2,0,IF(A172&lt;=K$3,1,0))))</f>
        <v>0</v>
      </c>
      <c r="L172" s="124" t="n">
        <f aca="false">J172*K172</f>
        <v>0</v>
      </c>
      <c r="M172" s="124" t="n">
        <f aca="false">SUM(J$97:J172)</f>
        <v>44492.095</v>
      </c>
      <c r="N172" s="124" t="n">
        <f aca="false">SUM(J$6:J172)</f>
        <v>528216.480417803</v>
      </c>
      <c r="P172" s="124" t="n">
        <f aca="false">D172/P$3</f>
        <v>0</v>
      </c>
      <c r="Q172" s="124" t="n">
        <f aca="false">E172/P$3</f>
        <v>0</v>
      </c>
      <c r="R172" s="124" t="n">
        <f aca="false">F172/R$3</f>
        <v>0</v>
      </c>
      <c r="S172" s="126" t="n">
        <f aca="false">J172/$R$3</f>
        <v>0</v>
      </c>
      <c r="T172" s="126" t="n">
        <f aca="false">L172/$R$3</f>
        <v>0</v>
      </c>
      <c r="U172" s="126" t="n">
        <f aca="false">I172/$R$3</f>
        <v>63.774</v>
      </c>
      <c r="V172" s="126" t="n">
        <f aca="false">M172/$R$3</f>
        <v>44.492095</v>
      </c>
      <c r="W172" s="126" t="n">
        <f aca="false">N172/$R$3</f>
        <v>528.216480417803</v>
      </c>
    </row>
    <row r="173" customFormat="false" ht="12.75" hidden="true" customHeight="false" outlineLevel="0" collapsed="false">
      <c r="A173" s="120" t="n">
        <f aca="false">A172+1</f>
        <v>37059</v>
      </c>
      <c r="B173" s="131" t="str">
        <f aca="false">INDEX('Master Data'!$A$2:$B$8,MATCH(WEEKDAY('EZE Power Trading'!A173,3),'Master Data'!$A$2:$A$8,0),2)</f>
        <v>Su</v>
      </c>
      <c r="D173" s="124" t="n">
        <v>0</v>
      </c>
      <c r="E173" s="124" t="n">
        <v>0</v>
      </c>
      <c r="F173" s="124" t="n">
        <v>0</v>
      </c>
      <c r="G173" s="124" t="n">
        <v>0</v>
      </c>
      <c r="I173" s="124" t="n">
        <f aca="false">IF(MONTH($A173)=MONTH($A172),IF(G173=0,I172,G173),G173)</f>
        <v>63774</v>
      </c>
      <c r="J173" s="124" t="n">
        <f aca="false">IF(MONTH($A173)=MONTH($A172),SUM(I173-I172),I173)</f>
        <v>0</v>
      </c>
      <c r="K173" s="124" t="n">
        <f aca="false">IF(WEEKDAY(A173,3)&gt;4,0,(IF(A173&lt;K$2,0,IF(A173&lt;=K$3,1,0))))</f>
        <v>0</v>
      </c>
      <c r="L173" s="124" t="n">
        <f aca="false">J173*K173</f>
        <v>0</v>
      </c>
      <c r="M173" s="124" t="n">
        <f aca="false">SUM(J$97:J173)</f>
        <v>44492.095</v>
      </c>
      <c r="N173" s="124" t="n">
        <f aca="false">SUM(J$6:J173)</f>
        <v>528216.480417803</v>
      </c>
      <c r="P173" s="124" t="n">
        <f aca="false">D173/P$3</f>
        <v>0</v>
      </c>
      <c r="Q173" s="124" t="n">
        <f aca="false">E173/P$3</f>
        <v>0</v>
      </c>
      <c r="R173" s="124" t="n">
        <f aca="false">F173/R$3</f>
        <v>0</v>
      </c>
      <c r="S173" s="126" t="n">
        <f aca="false">J173/$R$3</f>
        <v>0</v>
      </c>
      <c r="T173" s="126" t="n">
        <f aca="false">L173/$R$3</f>
        <v>0</v>
      </c>
      <c r="U173" s="126" t="n">
        <f aca="false">I173/$R$3</f>
        <v>63.774</v>
      </c>
      <c r="V173" s="126" t="n">
        <f aca="false">M173/$R$3</f>
        <v>44.492095</v>
      </c>
      <c r="W173" s="126" t="n">
        <f aca="false">N173/$R$3</f>
        <v>528.216480417803</v>
      </c>
    </row>
    <row r="174" customFormat="false" ht="12.75" hidden="true" customHeight="false" outlineLevel="0" collapsed="false">
      <c r="A174" s="120" t="n">
        <f aca="false">A173+1</f>
        <v>37060</v>
      </c>
      <c r="B174" s="131" t="str">
        <f aca="false">INDEX('Master Data'!$A$2:$B$8,MATCH(WEEKDAY('EZE Power Trading'!A174,3),'Master Data'!$A$2:$A$8,0),2)</f>
        <v>M</v>
      </c>
      <c r="D174" s="124" t="n">
        <v>-166866.506061383</v>
      </c>
      <c r="E174" s="124" t="n">
        <v>401854.814009088</v>
      </c>
      <c r="F174" s="124" t="n">
        <v>0</v>
      </c>
      <c r="G174" s="124" t="n">
        <f aca="false">63768+506</f>
        <v>64274</v>
      </c>
      <c r="I174" s="124" t="n">
        <f aca="false">IF(MONTH($A174)=MONTH($A173),IF(G174=0,I173,G174),G174)</f>
        <v>64274</v>
      </c>
      <c r="J174" s="124" t="n">
        <f aca="false">IF(MONTH($A174)=MONTH($A173),SUM(I174-I173),I174)</f>
        <v>500</v>
      </c>
      <c r="K174" s="124" t="n">
        <f aca="false">IF(WEEKDAY(A174,3)&gt;4,0,(IF(A174&lt;K$2,0,IF(A174&lt;=K$3,1,0))))</f>
        <v>0</v>
      </c>
      <c r="L174" s="124" t="n">
        <f aca="false">J174*K174</f>
        <v>0</v>
      </c>
      <c r="M174" s="124" t="n">
        <f aca="false">SUM(J$97:J174)</f>
        <v>44992.095</v>
      </c>
      <c r="N174" s="124" t="n">
        <f aca="false">SUM(J$6:J174)</f>
        <v>528716.480417803</v>
      </c>
      <c r="P174" s="124" t="n">
        <f aca="false">D174/P$3</f>
        <v>-0.166866506061383</v>
      </c>
      <c r="Q174" s="124" t="n">
        <f aca="false">E174/P$3</f>
        <v>0.401854814009088</v>
      </c>
      <c r="R174" s="124" t="n">
        <f aca="false">F174/R$3</f>
        <v>0</v>
      </c>
      <c r="S174" s="126" t="n">
        <f aca="false">J174/$R$3</f>
        <v>0.5</v>
      </c>
      <c r="T174" s="126" t="n">
        <f aca="false">L174/$R$3</f>
        <v>0</v>
      </c>
      <c r="U174" s="126" t="n">
        <f aca="false">I174/$R$3</f>
        <v>64.274</v>
      </c>
      <c r="V174" s="126" t="n">
        <f aca="false">M174/$R$3</f>
        <v>44.992095</v>
      </c>
      <c r="W174" s="126" t="n">
        <f aca="false">N174/$R$3</f>
        <v>528.716480417803</v>
      </c>
    </row>
    <row r="175" customFormat="false" ht="12.75" hidden="true" customHeight="false" outlineLevel="0" collapsed="false">
      <c r="A175" s="120" t="n">
        <f aca="false">A174+1</f>
        <v>37061</v>
      </c>
      <c r="B175" s="131" t="str">
        <f aca="false">INDEX('Master Data'!$A$2:$B$8,MATCH(WEEKDAY('EZE Power Trading'!A175,3),'Master Data'!$A$2:$A$8,0),2)</f>
        <v>T</v>
      </c>
      <c r="D175" s="124" t="n">
        <v>-166759.572110707</v>
      </c>
      <c r="E175" s="124" t="n">
        <v>402350.90233</v>
      </c>
      <c r="F175" s="124" t="n">
        <v>0</v>
      </c>
      <c r="G175" s="124" t="n">
        <f aca="false">248074-176727</f>
        <v>71347</v>
      </c>
      <c r="I175" s="124" t="n">
        <f aca="false">IF(MONTH($A175)=MONTH($A174),IF(G175=0,I174,G175),G175)</f>
        <v>71347</v>
      </c>
      <c r="J175" s="124" t="n">
        <f aca="false">IF(MONTH($A175)=MONTH($A174),SUM(I175-I174),I175)</f>
        <v>7073</v>
      </c>
      <c r="K175" s="124" t="n">
        <f aca="false">IF(WEEKDAY(A175,3)&gt;4,0,(IF(A175&lt;K$2,0,IF(A175&lt;=K$3,1,0))))</f>
        <v>0</v>
      </c>
      <c r="L175" s="124" t="n">
        <f aca="false">J175*K175</f>
        <v>0</v>
      </c>
      <c r="M175" s="124" t="n">
        <f aca="false">SUM(J$97:J175)</f>
        <v>52065.095</v>
      </c>
      <c r="N175" s="124" t="n">
        <f aca="false">SUM(J$6:J175)</f>
        <v>535789.480417803</v>
      </c>
      <c r="P175" s="124" t="n">
        <f aca="false">D175/P$3</f>
        <v>-0.166759572110707</v>
      </c>
      <c r="Q175" s="124" t="n">
        <f aca="false">E175/P$3</f>
        <v>0.40235090233</v>
      </c>
      <c r="R175" s="124" t="n">
        <f aca="false">F175/R$3</f>
        <v>0</v>
      </c>
      <c r="S175" s="126" t="n">
        <f aca="false">J175/$R$3</f>
        <v>7.073</v>
      </c>
      <c r="T175" s="126" t="n">
        <f aca="false">L175/$R$3</f>
        <v>0</v>
      </c>
      <c r="U175" s="126" t="n">
        <f aca="false">I175/$R$3</f>
        <v>71.347</v>
      </c>
      <c r="V175" s="126" t="n">
        <f aca="false">M175/$R$3</f>
        <v>52.065095</v>
      </c>
      <c r="W175" s="126" t="n">
        <f aca="false">N175/$R$3</f>
        <v>535.789480417803</v>
      </c>
    </row>
    <row r="176" customFormat="false" ht="12.75" hidden="true" customHeight="false" outlineLevel="0" collapsed="false">
      <c r="A176" s="120" t="n">
        <f aca="false">A175+1</f>
        <v>37062</v>
      </c>
      <c r="B176" s="131" t="str">
        <f aca="false">INDEX('Master Data'!$A$2:$B$8,MATCH(WEEKDAY('EZE Power Trading'!A176,3),'Master Data'!$A$2:$A$8,0),2)</f>
        <v>W</v>
      </c>
      <c r="D176" s="124" t="n">
        <v>-166981.101662315</v>
      </c>
      <c r="E176" s="124" t="n">
        <v>405521.845212113</v>
      </c>
      <c r="F176" s="124" t="n">
        <v>0</v>
      </c>
      <c r="G176" s="124" t="n">
        <f aca="false">248342-178131</f>
        <v>70211</v>
      </c>
      <c r="I176" s="124" t="n">
        <f aca="false">IF(MONTH($A176)=MONTH($A175),IF(G176=0,I175,G176),G176)</f>
        <v>70211</v>
      </c>
      <c r="J176" s="124" t="n">
        <f aca="false">IF(MONTH($A176)=MONTH($A175),SUM(I176-I175),I176)</f>
        <v>-1136</v>
      </c>
      <c r="K176" s="124" t="n">
        <f aca="false">IF(WEEKDAY(A176,3)&gt;4,0,(IF(A176&lt;K$2,0,IF(A176&lt;=K$3,1,0))))</f>
        <v>0</v>
      </c>
      <c r="L176" s="124" t="n">
        <f aca="false">J176*K176</f>
        <v>-0</v>
      </c>
      <c r="M176" s="124" t="n">
        <f aca="false">SUM(J$97:J176)</f>
        <v>50929.095</v>
      </c>
      <c r="N176" s="124" t="n">
        <f aca="false">SUM(J$6:J176)</f>
        <v>534653.480417803</v>
      </c>
      <c r="P176" s="124" t="n">
        <f aca="false">D176/P$3</f>
        <v>-0.166981101662315</v>
      </c>
      <c r="Q176" s="124" t="n">
        <f aca="false">E176/P$3</f>
        <v>0.405521845212113</v>
      </c>
      <c r="R176" s="124" t="n">
        <f aca="false">F176/R$3</f>
        <v>0</v>
      </c>
      <c r="S176" s="126" t="n">
        <f aca="false">J176/$R$3</f>
        <v>-1.136</v>
      </c>
      <c r="T176" s="126" t="n">
        <f aca="false">L176/$R$3</f>
        <v>-0</v>
      </c>
      <c r="U176" s="126" t="n">
        <f aca="false">I176/$R$3</f>
        <v>70.211</v>
      </c>
      <c r="V176" s="126" t="n">
        <f aca="false">M176/$R$3</f>
        <v>50.929095</v>
      </c>
      <c r="W176" s="126" t="n">
        <f aca="false">N176/$R$3</f>
        <v>534.653480417803</v>
      </c>
    </row>
    <row r="177" customFormat="false" ht="12.75" hidden="true" customHeight="false" outlineLevel="0" collapsed="false">
      <c r="A177" s="120" t="n">
        <f aca="false">A176+1</f>
        <v>37063</v>
      </c>
      <c r="B177" s="131" t="str">
        <f aca="false">INDEX('Master Data'!$A$2:$B$8,MATCH(WEEKDAY('EZE Power Trading'!A177,3),'Master Data'!$A$2:$A$8,0),2)</f>
        <v>Th</v>
      </c>
      <c r="D177" s="124" t="n">
        <v>-166461.091877113</v>
      </c>
      <c r="E177" s="124" t="n">
        <v>403056.512866292</v>
      </c>
      <c r="F177" s="124" t="n">
        <v>0</v>
      </c>
      <c r="G177" s="124" t="n">
        <f aca="false">238538-171101</f>
        <v>67437</v>
      </c>
      <c r="I177" s="124" t="n">
        <f aca="false">IF(MONTH($A177)=MONTH($A176),IF(G177=0,I176,G177),G177)</f>
        <v>67437</v>
      </c>
      <c r="J177" s="124" t="n">
        <f aca="false">IF(MONTH($A177)=MONTH($A176),SUM(I177-I176),I177)</f>
        <v>-2774</v>
      </c>
      <c r="K177" s="124" t="n">
        <f aca="false">IF(WEEKDAY(A177,3)&gt;4,0,(IF(A177&lt;K$2,0,IF(A177&lt;=K$3,1,0))))</f>
        <v>0</v>
      </c>
      <c r="L177" s="124" t="n">
        <f aca="false">J177*K177</f>
        <v>-0</v>
      </c>
      <c r="M177" s="124" t="n">
        <f aca="false">SUM(J$97:J177)</f>
        <v>48155.095</v>
      </c>
      <c r="N177" s="124" t="n">
        <f aca="false">SUM(J$6:J177)</f>
        <v>531879.480417803</v>
      </c>
      <c r="P177" s="124" t="n">
        <f aca="false">D177/P$3</f>
        <v>-0.166461091877113</v>
      </c>
      <c r="Q177" s="124" t="n">
        <f aca="false">E177/P$3</f>
        <v>0.403056512866292</v>
      </c>
      <c r="R177" s="124" t="n">
        <f aca="false">F177/R$3</f>
        <v>0</v>
      </c>
      <c r="S177" s="126" t="n">
        <f aca="false">J177/$R$3</f>
        <v>-2.774</v>
      </c>
      <c r="T177" s="126" t="n">
        <f aca="false">L177/$R$3</f>
        <v>-0</v>
      </c>
      <c r="U177" s="126" t="n">
        <f aca="false">I177/$R$3</f>
        <v>67.437</v>
      </c>
      <c r="V177" s="126" t="n">
        <f aca="false">M177/$R$3</f>
        <v>48.155095</v>
      </c>
      <c r="W177" s="126" t="n">
        <f aca="false">N177/$R$3</f>
        <v>531.879480417803</v>
      </c>
    </row>
    <row r="178" customFormat="false" ht="12.75" hidden="true" customHeight="false" outlineLevel="0" collapsed="false">
      <c r="A178" s="120" t="n">
        <f aca="false">A177+1</f>
        <v>37064</v>
      </c>
      <c r="B178" s="131" t="str">
        <f aca="false">INDEX('Master Data'!$A$2:$B$8,MATCH(WEEKDAY('EZE Power Trading'!A178,3),'Master Data'!$A$2:$A$8,0),2)</f>
        <v>F</v>
      </c>
      <c r="D178" s="124" t="n">
        <v>-166211.577873382</v>
      </c>
      <c r="E178" s="124" t="n">
        <v>402783.924301286</v>
      </c>
      <c r="F178" s="124" t="n">
        <v>0</v>
      </c>
      <c r="G178" s="124" t="n">
        <f aca="false">66989+506</f>
        <v>67495</v>
      </c>
      <c r="I178" s="124" t="n">
        <f aca="false">IF(MONTH($A178)=MONTH($A177),IF(G178=0,I177,G178),G178)</f>
        <v>67495</v>
      </c>
      <c r="J178" s="124" t="n">
        <f aca="false">IF(MONTH($A178)=MONTH($A177),SUM(I178-I177),I178)</f>
        <v>58</v>
      </c>
      <c r="K178" s="124" t="n">
        <f aca="false">IF(WEEKDAY(A178,3)&gt;4,0,(IF(A178&lt;K$2,0,IF(A178&lt;=K$3,1,0))))</f>
        <v>0</v>
      </c>
      <c r="L178" s="124" t="n">
        <f aca="false">J178*K178</f>
        <v>0</v>
      </c>
      <c r="M178" s="124" t="n">
        <f aca="false">SUM(J$97:J178)</f>
        <v>48213.095</v>
      </c>
      <c r="N178" s="124" t="n">
        <f aca="false">SUM(J$6:J178)</f>
        <v>531937.480417803</v>
      </c>
      <c r="P178" s="124" t="n">
        <f aca="false">D178/P$3</f>
        <v>-0.166211577873382</v>
      </c>
      <c r="Q178" s="124" t="n">
        <f aca="false">E178/P$3</f>
        <v>0.402783924301286</v>
      </c>
      <c r="R178" s="124" t="n">
        <f aca="false">F178/R$3</f>
        <v>0</v>
      </c>
      <c r="S178" s="126" t="n">
        <f aca="false">J178/$R$3</f>
        <v>0.058</v>
      </c>
      <c r="T178" s="126" t="n">
        <f aca="false">L178/$R$3</f>
        <v>0</v>
      </c>
      <c r="U178" s="126" t="n">
        <f aca="false">I178/$R$3</f>
        <v>67.495</v>
      </c>
      <c r="V178" s="126" t="n">
        <f aca="false">M178/$R$3</f>
        <v>48.213095</v>
      </c>
      <c r="W178" s="126" t="n">
        <f aca="false">N178/$R$3</f>
        <v>531.937480417803</v>
      </c>
    </row>
    <row r="179" customFormat="false" ht="12.75" hidden="true" customHeight="false" outlineLevel="0" collapsed="false">
      <c r="A179" s="120" t="n">
        <f aca="false">A178+1</f>
        <v>37065</v>
      </c>
      <c r="B179" s="131" t="str">
        <f aca="false">INDEX('Master Data'!$A$2:$B$8,MATCH(WEEKDAY('EZE Power Trading'!A179,3),'Master Data'!$A$2:$A$8,0),2)</f>
        <v>Sa</v>
      </c>
      <c r="D179" s="124" t="n">
        <v>0</v>
      </c>
      <c r="E179" s="124" t="n">
        <v>0</v>
      </c>
      <c r="F179" s="124" t="n">
        <v>0</v>
      </c>
      <c r="G179" s="124" t="n">
        <v>0</v>
      </c>
      <c r="I179" s="124" t="n">
        <f aca="false">IF(MONTH($A179)=MONTH($A178),IF(G179=0,I178,G179),G179)</f>
        <v>67495</v>
      </c>
      <c r="J179" s="124" t="n">
        <f aca="false">IF(MONTH($A179)=MONTH($A178),SUM(I179-I178),I179)</f>
        <v>0</v>
      </c>
      <c r="K179" s="124" t="n">
        <f aca="false">IF(WEEKDAY(A179,3)&gt;4,0,(IF(A179&lt;K$2,0,IF(A179&lt;=K$3,1,0))))</f>
        <v>0</v>
      </c>
      <c r="L179" s="124" t="n">
        <f aca="false">J179*K179</f>
        <v>0</v>
      </c>
      <c r="M179" s="124" t="n">
        <f aca="false">SUM(J$97:J179)</f>
        <v>48213.095</v>
      </c>
      <c r="N179" s="124" t="n">
        <f aca="false">SUM(J$6:J179)</f>
        <v>531937.480417803</v>
      </c>
      <c r="P179" s="124" t="n">
        <f aca="false">D179/P$3</f>
        <v>0</v>
      </c>
      <c r="Q179" s="124" t="n">
        <f aca="false">E179/P$3</f>
        <v>0</v>
      </c>
      <c r="R179" s="124" t="n">
        <f aca="false">F179/R$3</f>
        <v>0</v>
      </c>
      <c r="S179" s="126" t="n">
        <f aca="false">J179/$R$3</f>
        <v>0</v>
      </c>
      <c r="T179" s="126" t="n">
        <f aca="false">L179/$R$3</f>
        <v>0</v>
      </c>
      <c r="U179" s="126" t="n">
        <f aca="false">I179/$R$3</f>
        <v>67.495</v>
      </c>
      <c r="V179" s="126" t="n">
        <f aca="false">M179/$R$3</f>
        <v>48.213095</v>
      </c>
      <c r="W179" s="126" t="n">
        <f aca="false">N179/$R$3</f>
        <v>531.937480417803</v>
      </c>
    </row>
    <row r="180" customFormat="false" ht="12.75" hidden="true" customHeight="false" outlineLevel="0" collapsed="false">
      <c r="A180" s="120" t="n">
        <f aca="false">A179+1</f>
        <v>37066</v>
      </c>
      <c r="B180" s="131" t="str">
        <f aca="false">INDEX('Master Data'!$A$2:$B$8,MATCH(WEEKDAY('EZE Power Trading'!A180,3),'Master Data'!$A$2:$A$8,0),2)</f>
        <v>Su</v>
      </c>
      <c r="D180" s="124" t="n">
        <v>0</v>
      </c>
      <c r="E180" s="124" t="n">
        <v>0</v>
      </c>
      <c r="F180" s="124" t="n">
        <v>0</v>
      </c>
      <c r="G180" s="124" t="n">
        <v>0</v>
      </c>
      <c r="I180" s="124" t="n">
        <f aca="false">IF(MONTH($A180)=MONTH($A179),IF(G180=0,I179,G180),G180)</f>
        <v>67495</v>
      </c>
      <c r="J180" s="124" t="n">
        <f aca="false">IF(MONTH($A180)=MONTH($A179),SUM(I180-I179),I180)</f>
        <v>0</v>
      </c>
      <c r="K180" s="124" t="n">
        <f aca="false">IF(WEEKDAY(A180,3)&gt;4,0,(IF(A180&lt;K$2,0,IF(A180&lt;=K$3,1,0))))</f>
        <v>0</v>
      </c>
      <c r="L180" s="124" t="n">
        <f aca="false">J180*K180</f>
        <v>0</v>
      </c>
      <c r="M180" s="124" t="n">
        <f aca="false">SUM(J$97:J180)</f>
        <v>48213.095</v>
      </c>
      <c r="N180" s="124" t="n">
        <f aca="false">SUM(J$6:J180)</f>
        <v>531937.480417803</v>
      </c>
      <c r="P180" s="124" t="n">
        <f aca="false">D180/P$3</f>
        <v>0</v>
      </c>
      <c r="Q180" s="124" t="n">
        <f aca="false">E180/P$3</f>
        <v>0</v>
      </c>
      <c r="R180" s="124" t="n">
        <f aca="false">F180/R$3</f>
        <v>0</v>
      </c>
      <c r="S180" s="126" t="n">
        <f aca="false">J180/$R$3</f>
        <v>0</v>
      </c>
      <c r="T180" s="126" t="n">
        <f aca="false">L180/$R$3</f>
        <v>0</v>
      </c>
      <c r="U180" s="126" t="n">
        <f aca="false">I180/$R$3</f>
        <v>67.495</v>
      </c>
      <c r="V180" s="126" t="n">
        <f aca="false">M180/$R$3</f>
        <v>48.213095</v>
      </c>
      <c r="W180" s="126" t="n">
        <f aca="false">N180/$R$3</f>
        <v>531.937480417803</v>
      </c>
    </row>
    <row r="181" customFormat="false" ht="12.75" hidden="true" customHeight="false" outlineLevel="0" collapsed="false">
      <c r="A181" s="120" t="n">
        <f aca="false">A180+1</f>
        <v>37067</v>
      </c>
      <c r="B181" s="131" t="str">
        <f aca="false">INDEX('Master Data'!$A$2:$B$8,MATCH(WEEKDAY('EZE Power Trading'!A181,3),'Master Data'!$A$2:$A$8,0),2)</f>
        <v>M</v>
      </c>
      <c r="D181" s="124" t="n">
        <v>-165753.249197801</v>
      </c>
      <c r="E181" s="124" t="n">
        <v>403743.992059234</v>
      </c>
      <c r="F181" s="124" t="n">
        <v>0</v>
      </c>
      <c r="G181" s="124" t="n">
        <f aca="false">238650-167527</f>
        <v>71123</v>
      </c>
      <c r="I181" s="124" t="n">
        <f aca="false">IF(MONTH($A181)=MONTH($A180),IF(G181=0,I180,G181),G181)</f>
        <v>71123</v>
      </c>
      <c r="J181" s="124" t="n">
        <f aca="false">IF(MONTH($A181)=MONTH($A180),SUM(I181-I180),I181)</f>
        <v>3628</v>
      </c>
      <c r="K181" s="124" t="n">
        <f aca="false">IF(WEEKDAY(A181,3)&gt;4,0,(IF(A181&lt;K$2,0,IF(A181&lt;=K$3,1,0))))</f>
        <v>0</v>
      </c>
      <c r="L181" s="124" t="n">
        <f aca="false">J181*K181</f>
        <v>0</v>
      </c>
      <c r="M181" s="124" t="n">
        <f aca="false">SUM(J$97:J181)</f>
        <v>51841.095</v>
      </c>
      <c r="N181" s="124" t="n">
        <f aca="false">SUM(J$6:J181)</f>
        <v>535565.480417803</v>
      </c>
      <c r="P181" s="124" t="n">
        <f aca="false">D181/P$3</f>
        <v>-0.165753249197801</v>
      </c>
      <c r="Q181" s="124" t="n">
        <f aca="false">E181/P$3</f>
        <v>0.403743992059234</v>
      </c>
      <c r="R181" s="124" t="n">
        <f aca="false">F181/R$3</f>
        <v>0</v>
      </c>
      <c r="S181" s="126" t="n">
        <f aca="false">J181/$R$3</f>
        <v>3.628</v>
      </c>
      <c r="T181" s="126" t="n">
        <f aca="false">L181/$R$3</f>
        <v>0</v>
      </c>
      <c r="U181" s="126" t="n">
        <f aca="false">I181/$R$3</f>
        <v>71.123</v>
      </c>
      <c r="V181" s="126" t="n">
        <f aca="false">M181/$R$3</f>
        <v>51.841095</v>
      </c>
      <c r="W181" s="126" t="n">
        <f aca="false">N181/$R$3</f>
        <v>535.565480417803</v>
      </c>
    </row>
    <row r="182" customFormat="false" ht="12.75" hidden="true" customHeight="false" outlineLevel="0" collapsed="false">
      <c r="A182" s="120" t="n">
        <f aca="false">A181+1</f>
        <v>37068</v>
      </c>
      <c r="B182" s="131" t="str">
        <f aca="false">INDEX('Master Data'!$A$2:$B$8,MATCH(WEEKDAY('EZE Power Trading'!A182,3),'Master Data'!$A$2:$A$8,0),2)</f>
        <v>T</v>
      </c>
      <c r="D182" s="124" t="n">
        <v>-165543.290108341</v>
      </c>
      <c r="E182" s="124" t="n">
        <v>403662.360369349</v>
      </c>
      <c r="F182" s="124" t="n">
        <v>0</v>
      </c>
      <c r="G182" s="124" t="n">
        <f aca="false">237395-167791</f>
        <v>69604</v>
      </c>
      <c r="I182" s="124" t="n">
        <f aca="false">IF(MONTH($A182)=MONTH($A181),IF(G182=0,I181,G182),G182)</f>
        <v>69604</v>
      </c>
      <c r="J182" s="124" t="n">
        <f aca="false">IF(MONTH($A182)=MONTH($A181),SUM(I182-I181),I182)</f>
        <v>-1519</v>
      </c>
      <c r="K182" s="124" t="n">
        <f aca="false">IF(WEEKDAY(A182,3)&gt;4,0,(IF(A182&lt;K$2,0,IF(A182&lt;=K$3,1,0))))</f>
        <v>0</v>
      </c>
      <c r="L182" s="124" t="n">
        <f aca="false">J182*K182</f>
        <v>-0</v>
      </c>
      <c r="M182" s="124" t="n">
        <f aca="false">SUM(J$97:J182)</f>
        <v>50322.095</v>
      </c>
      <c r="N182" s="124" t="n">
        <f aca="false">SUM(J$6:J182)</f>
        <v>534046.480417803</v>
      </c>
      <c r="P182" s="124" t="n">
        <f aca="false">D182/P$3</f>
        <v>-0.165543290108341</v>
      </c>
      <c r="Q182" s="124" t="n">
        <f aca="false">E182/P$3</f>
        <v>0.403662360369349</v>
      </c>
      <c r="R182" s="124" t="n">
        <f aca="false">F182/R$3</f>
        <v>0</v>
      </c>
      <c r="S182" s="126" t="n">
        <f aca="false">J182/$R$3</f>
        <v>-1.519</v>
      </c>
      <c r="T182" s="126" t="n">
        <f aca="false">L182/$R$3</f>
        <v>-0</v>
      </c>
      <c r="U182" s="126" t="n">
        <f aca="false">I182/$R$3</f>
        <v>69.604</v>
      </c>
      <c r="V182" s="126" t="n">
        <f aca="false">M182/$R$3</f>
        <v>50.322095</v>
      </c>
      <c r="W182" s="126" t="n">
        <f aca="false">N182/$R$3</f>
        <v>534.046480417803</v>
      </c>
    </row>
    <row r="183" customFormat="false" ht="12.75" hidden="true" customHeight="false" outlineLevel="0" collapsed="false">
      <c r="A183" s="120" t="n">
        <f aca="false">A182+1</f>
        <v>37069</v>
      </c>
      <c r="B183" s="131" t="str">
        <f aca="false">INDEX('Master Data'!$A$2:$B$8,MATCH(WEEKDAY('EZE Power Trading'!A183,3),'Master Data'!$A$2:$A$8,0),2)</f>
        <v>W</v>
      </c>
      <c r="D183" s="124" t="n">
        <v>-165173.427932727</v>
      </c>
      <c r="E183" s="124" t="n">
        <v>402569.797341341</v>
      </c>
      <c r="F183" s="124" t="n">
        <v>0</v>
      </c>
      <c r="G183" s="124" t="n">
        <f aca="false">240076-173330</f>
        <v>66746</v>
      </c>
      <c r="I183" s="124" t="n">
        <f aca="false">IF(MONTH($A183)=MONTH($A182),IF(G183=0,I182,G183),G183)</f>
        <v>66746</v>
      </c>
      <c r="J183" s="124" t="n">
        <f aca="false">IF(MONTH($A183)=MONTH($A182),SUM(I183-I182),I183)</f>
        <v>-2858</v>
      </c>
      <c r="K183" s="124" t="n">
        <f aca="false">IF(WEEKDAY(A183,3)&gt;4,0,(IF(A183&lt;K$2,0,IF(A183&lt;=K$3,1,0))))</f>
        <v>0</v>
      </c>
      <c r="L183" s="124" t="n">
        <f aca="false">J183*K183</f>
        <v>-0</v>
      </c>
      <c r="M183" s="124" t="n">
        <f aca="false">SUM(J$97:J183)</f>
        <v>47464.095</v>
      </c>
      <c r="N183" s="124" t="n">
        <f aca="false">SUM(J$6:J183)</f>
        <v>531188.480417803</v>
      </c>
      <c r="P183" s="124" t="n">
        <f aca="false">D183/P$3</f>
        <v>-0.165173427932727</v>
      </c>
      <c r="Q183" s="143" t="n">
        <f aca="false">E183/P$3</f>
        <v>0.402569797341341</v>
      </c>
      <c r="R183" s="124" t="n">
        <f aca="false">F183/R$3</f>
        <v>0</v>
      </c>
      <c r="S183" s="126" t="n">
        <f aca="false">J183/$R$3</f>
        <v>-2.858</v>
      </c>
      <c r="T183" s="126" t="n">
        <f aca="false">L183/$R$3</f>
        <v>-0</v>
      </c>
      <c r="U183" s="126" t="n">
        <f aca="false">I183/$R$3</f>
        <v>66.746</v>
      </c>
      <c r="V183" s="126" t="n">
        <f aca="false">M183/$R$3</f>
        <v>47.464095</v>
      </c>
      <c r="W183" s="126" t="n">
        <f aca="false">N183/$R$3</f>
        <v>531.188480417803</v>
      </c>
    </row>
    <row r="184" customFormat="false" ht="12.75" hidden="true" customHeight="false" outlineLevel="0" collapsed="false">
      <c r="A184" s="120" t="n">
        <f aca="false">A183+1</f>
        <v>37070</v>
      </c>
      <c r="B184" s="131" t="str">
        <f aca="false">INDEX('Master Data'!$A$2:$B$8,MATCH(WEEKDAY('EZE Power Trading'!A184,3),'Master Data'!$A$2:$A$8,0),2)</f>
        <v>Th</v>
      </c>
      <c r="D184" s="124" t="n">
        <v>-164830.015414692</v>
      </c>
      <c r="E184" s="124" t="n">
        <v>401600.41984565</v>
      </c>
      <c r="F184" s="124" t="n">
        <v>0</v>
      </c>
      <c r="G184" s="124" t="n">
        <f aca="false">240130-171359</f>
        <v>68771</v>
      </c>
      <c r="I184" s="124" t="n">
        <f aca="false">IF(MONTH($A184)=MONTH($A183),IF(G184=0,I183,G184),G184)</f>
        <v>68771</v>
      </c>
      <c r="J184" s="124" t="n">
        <f aca="false">IF(MONTH($A184)=MONTH($A183),SUM(I184-I183),I184)</f>
        <v>2025</v>
      </c>
      <c r="K184" s="124" t="n">
        <f aca="false">IF(WEEKDAY(A184,3)&gt;4,0,(IF(A184&lt;K$2,0,IF(A184&lt;=K$3,1,0))))</f>
        <v>0</v>
      </c>
      <c r="L184" s="124" t="n">
        <f aca="false">J184*K184</f>
        <v>0</v>
      </c>
      <c r="M184" s="124" t="n">
        <f aca="false">SUM(J$97:J184)</f>
        <v>49489.095</v>
      </c>
      <c r="N184" s="124" t="n">
        <f aca="false">SUM(J$6:J184)</f>
        <v>533213.480417803</v>
      </c>
      <c r="P184" s="124" t="n">
        <f aca="false">D184/P$3</f>
        <v>-0.164830015414692</v>
      </c>
      <c r="Q184" s="124" t="n">
        <f aca="false">E184/P$3</f>
        <v>0.40160041984565</v>
      </c>
      <c r="R184" s="124" t="n">
        <f aca="false">F184/R$3</f>
        <v>0</v>
      </c>
      <c r="S184" s="126" t="n">
        <f aca="false">J184/$R$3</f>
        <v>2.025</v>
      </c>
      <c r="T184" s="126" t="n">
        <f aca="false">L184/$R$3</f>
        <v>0</v>
      </c>
      <c r="U184" s="126" t="n">
        <f aca="false">I184/$R$3</f>
        <v>68.771</v>
      </c>
      <c r="V184" s="126" t="n">
        <f aca="false">M184/$R$3</f>
        <v>49.489095</v>
      </c>
      <c r="W184" s="126" t="n">
        <f aca="false">N184/$R$3</f>
        <v>533.213480417803</v>
      </c>
    </row>
    <row r="185" customFormat="false" ht="12.75" hidden="false" customHeight="false" outlineLevel="0" collapsed="false">
      <c r="A185" s="120" t="n">
        <f aca="false">A184+1</f>
        <v>37071</v>
      </c>
      <c r="B185" s="131" t="str">
        <f aca="false">INDEX('Master Data'!$A$2:$B$8,MATCH(WEEKDAY('EZE Power Trading'!A185,3),'Master Data'!$A$2:$A$8,0),2)</f>
        <v>F</v>
      </c>
      <c r="D185" s="124" t="n">
        <v>-164138.922230154</v>
      </c>
      <c r="E185" s="124" t="n">
        <v>399765.383848512</v>
      </c>
      <c r="F185" s="124" t="n">
        <v>0</v>
      </c>
      <c r="G185" s="124" t="n">
        <f aca="false">244532-174792</f>
        <v>69740</v>
      </c>
      <c r="I185" s="124" t="n">
        <f aca="false">IF(MONTH($A185)=MONTH($A184),IF(G185=0,I184,G185),G185)</f>
        <v>69740</v>
      </c>
      <c r="J185" s="124" t="n">
        <f aca="false">IF(MONTH($A185)=MONTH($A184),SUM(I185-I184),I185)</f>
        <v>969</v>
      </c>
      <c r="K185" s="124" t="n">
        <f aca="false">IF(WEEKDAY(A185,3)&gt;4,0,(IF(A185&lt;K$2,0,IF(A185&lt;=K$3,1,0))))</f>
        <v>0</v>
      </c>
      <c r="L185" s="124" t="n">
        <f aca="false">J185*K185</f>
        <v>0</v>
      </c>
      <c r="M185" s="124" t="n">
        <f aca="false">SUM(J$97:J185)</f>
        <v>50458.095</v>
      </c>
      <c r="N185" s="124" t="n">
        <f aca="false">SUM(J$6:J185)</f>
        <v>534182.480417803</v>
      </c>
      <c r="P185" s="124" t="n">
        <f aca="false">D185/P$3</f>
        <v>-0.164138922230154</v>
      </c>
      <c r="Q185" s="124" t="n">
        <f aca="false">E185/P$3</f>
        <v>0.399765383848512</v>
      </c>
      <c r="R185" s="124" t="n">
        <f aca="false">F185/R$3</f>
        <v>0</v>
      </c>
      <c r="S185" s="126" t="n">
        <f aca="false">J185/$R$3</f>
        <v>0.969</v>
      </c>
      <c r="T185" s="126" t="n">
        <f aca="false">L185/$R$3</f>
        <v>0</v>
      </c>
      <c r="U185" s="126" t="n">
        <f aca="false">I185/$R$3</f>
        <v>69.74</v>
      </c>
      <c r="V185" s="126" t="n">
        <f aca="false">M185/$R$3</f>
        <v>50.458095</v>
      </c>
      <c r="W185" s="126" t="n">
        <f aca="false">N185/$R$3</f>
        <v>534.182480417803</v>
      </c>
    </row>
    <row r="186" customFormat="false" ht="12.75" hidden="false" customHeight="false" outlineLevel="0" collapsed="false">
      <c r="A186" s="120" t="n">
        <f aca="false">A185+1</f>
        <v>37072</v>
      </c>
      <c r="B186" s="131" t="str">
        <f aca="false">INDEX('Master Data'!$A$2:$B$8,MATCH(WEEKDAY('EZE Power Trading'!A186,3),'Master Data'!$A$2:$A$8,0),2)</f>
        <v>Sa</v>
      </c>
      <c r="D186" s="124" t="n">
        <v>0</v>
      </c>
      <c r="E186" s="124" t="n">
        <v>0</v>
      </c>
      <c r="F186" s="124" t="n">
        <v>0</v>
      </c>
      <c r="G186" s="124" t="n">
        <v>0</v>
      </c>
      <c r="I186" s="124" t="n">
        <f aca="false">IF(MONTH($A186)=MONTH($A185),IF(G186=0,I185,G186),G186)</f>
        <v>69740</v>
      </c>
      <c r="J186" s="124" t="n">
        <f aca="false">IF(MONTH($A186)=MONTH($A185),SUM(I186-I185),I186)</f>
        <v>0</v>
      </c>
      <c r="K186" s="124" t="n">
        <f aca="false">IF(WEEKDAY(A186,3)&gt;4,0,(IF(A186&lt;K$2,0,IF(A186&lt;=K$3,1,0))))</f>
        <v>0</v>
      </c>
      <c r="L186" s="124" t="n">
        <f aca="false">J186*K186</f>
        <v>0</v>
      </c>
      <c r="M186" s="124" t="n">
        <f aca="false">SUM(J$97:J186)</f>
        <v>50458.095</v>
      </c>
      <c r="N186" s="124" t="n">
        <f aca="false">SUM(J$6:J186)</f>
        <v>534182.480417803</v>
      </c>
      <c r="P186" s="124" t="n">
        <f aca="false">D186/P$3</f>
        <v>0</v>
      </c>
      <c r="Q186" s="124" t="n">
        <f aca="false">E186/P$3</f>
        <v>0</v>
      </c>
      <c r="R186" s="124" t="n">
        <f aca="false">F186/R$3</f>
        <v>0</v>
      </c>
      <c r="S186" s="126" t="n">
        <f aca="false">J186/$R$3</f>
        <v>0</v>
      </c>
      <c r="T186" s="126" t="n">
        <f aca="false">L186/$R$3</f>
        <v>0</v>
      </c>
      <c r="U186" s="126" t="n">
        <f aca="false">I186/$R$3</f>
        <v>69.74</v>
      </c>
      <c r="V186" s="126" t="n">
        <f aca="false">M186/$R$3</f>
        <v>50.458095</v>
      </c>
      <c r="W186" s="126" t="n">
        <f aca="false">N186/$R$3</f>
        <v>534.182480417803</v>
      </c>
    </row>
    <row r="187" customFormat="false" ht="12.75" hidden="true" customHeight="false" outlineLevel="0" collapsed="false">
      <c r="A187" s="120" t="n">
        <f aca="false">A186+1</f>
        <v>37073</v>
      </c>
      <c r="B187" s="131" t="str">
        <f aca="false">INDEX('Master Data'!$A$2:$B$8,MATCH(WEEKDAY('EZE Power Trading'!A187,3),'Master Data'!$A$2:$A$8,0),2)</f>
        <v>Su</v>
      </c>
      <c r="D187" s="124" t="n">
        <v>0</v>
      </c>
      <c r="E187" s="124" t="n">
        <v>0</v>
      </c>
      <c r="F187" s="124" t="n">
        <v>0</v>
      </c>
      <c r="G187" s="124" t="n">
        <v>0</v>
      </c>
      <c r="I187" s="124" t="n">
        <f aca="false">IF(MONTH($A187)=MONTH($A186),IF(G187=0,I186,G187),G187)</f>
        <v>0</v>
      </c>
      <c r="J187" s="124" t="n">
        <f aca="false">IF(MONTH($A187)=MONTH($A186),SUM(I187-I186),I187)</f>
        <v>0</v>
      </c>
      <c r="K187" s="124" t="n">
        <f aca="false">IF(WEEKDAY(A187,3)&gt;4,0,(IF(A187&lt;K$2,0,IF(A187&lt;=K$3,1,0))))</f>
        <v>0</v>
      </c>
      <c r="L187" s="124" t="n">
        <f aca="false">J187*K187</f>
        <v>0</v>
      </c>
      <c r="M187" s="124" t="n">
        <f aca="false">SUM(J$97:J187)</f>
        <v>50458.095</v>
      </c>
      <c r="N187" s="124" t="n">
        <f aca="false">SUM(J$6:J187)</f>
        <v>534182.480417803</v>
      </c>
      <c r="P187" s="124" t="n">
        <f aca="false">D187/P$3</f>
        <v>0</v>
      </c>
      <c r="Q187" s="124" t="n">
        <f aca="false">E187/P$3</f>
        <v>0</v>
      </c>
      <c r="R187" s="124" t="n">
        <f aca="false">F187/R$3</f>
        <v>0</v>
      </c>
      <c r="S187" s="126" t="n">
        <f aca="false">J187/$R$3</f>
        <v>0</v>
      </c>
      <c r="T187" s="126" t="n">
        <f aca="false">L187/$R$3</f>
        <v>0</v>
      </c>
      <c r="U187" s="126" t="n">
        <f aca="false">I187/$R$3</f>
        <v>0</v>
      </c>
      <c r="V187" s="126" t="n">
        <f aca="false">M187/$R$3</f>
        <v>50.458095</v>
      </c>
      <c r="W187" s="126" t="n">
        <f aca="false">N187/$R$3</f>
        <v>534.182480417803</v>
      </c>
    </row>
    <row r="188" customFormat="false" ht="12.75" hidden="true" customHeight="false" outlineLevel="0" collapsed="false">
      <c r="A188" s="120" t="n">
        <f aca="false">A187+1</f>
        <v>37074</v>
      </c>
      <c r="B188" s="131" t="str">
        <f aca="false">INDEX('Master Data'!$A$2:$B$8,MATCH(WEEKDAY('EZE Power Trading'!A188,3),'Master Data'!$A$2:$A$8,0),2)</f>
        <v>M</v>
      </c>
      <c r="D188" s="124" t="n">
        <v>-163705.065039082</v>
      </c>
      <c r="E188" s="124" t="n">
        <v>399421.725435219</v>
      </c>
      <c r="F188" s="124" t="n">
        <v>0</v>
      </c>
      <c r="G188" s="124" t="n">
        <f aca="false">7853-143</f>
        <v>7710</v>
      </c>
      <c r="I188" s="124" t="n">
        <f aca="false">IF(MONTH($A188)=MONTH($A187),IF(G188=0,I187,G188),G188)</f>
        <v>7710</v>
      </c>
      <c r="J188" s="124" t="n">
        <f aca="false">IF(MONTH($A188)=MONTH($A187),SUM(I188-I187),I188)</f>
        <v>7710</v>
      </c>
      <c r="K188" s="124" t="n">
        <f aca="false">IF(WEEKDAY(A188,3)&gt;4,0,(IF(A188&lt;K$2,0,IF(A188&lt;=K$3,1,0))))</f>
        <v>0</v>
      </c>
      <c r="L188" s="124" t="n">
        <f aca="false">J188*K188</f>
        <v>0</v>
      </c>
      <c r="M188" s="124" t="n">
        <f aca="false">SUM(J$188:J188)</f>
        <v>7710</v>
      </c>
      <c r="N188" s="124" t="n">
        <f aca="false">SUM(J$6:J188)</f>
        <v>541892.480417803</v>
      </c>
      <c r="P188" s="124" t="n">
        <f aca="false">D188/P$3</f>
        <v>-0.163705065039082</v>
      </c>
      <c r="Q188" s="124" t="n">
        <f aca="false">E188/P$3</f>
        <v>0.399421725435219</v>
      </c>
      <c r="R188" s="124" t="n">
        <f aca="false">F188/R$3</f>
        <v>0</v>
      </c>
      <c r="S188" s="126" t="n">
        <f aca="false">J188/$R$3</f>
        <v>7.71</v>
      </c>
      <c r="T188" s="126" t="n">
        <f aca="false">L188/$R$3</f>
        <v>0</v>
      </c>
      <c r="U188" s="126" t="n">
        <f aca="false">I188/$R$3</f>
        <v>7.71</v>
      </c>
      <c r="V188" s="126" t="n">
        <f aca="false">M188/$R$3</f>
        <v>7.71</v>
      </c>
      <c r="W188" s="126" t="n">
        <f aca="false">N188/$R$3</f>
        <v>541.892480417803</v>
      </c>
    </row>
    <row r="189" customFormat="false" ht="12.75" hidden="true" customHeight="false" outlineLevel="0" collapsed="false">
      <c r="A189" s="120" t="n">
        <f aca="false">A188+1</f>
        <v>37075</v>
      </c>
      <c r="B189" s="131" t="str">
        <f aca="false">INDEX('Master Data'!$A$2:$B$8,MATCH(WEEKDAY('EZE Power Trading'!A189,3),'Master Data'!$A$2:$A$8,0),2)</f>
        <v>T</v>
      </c>
      <c r="D189" s="124" t="n">
        <v>-163619.807317515</v>
      </c>
      <c r="E189" s="124" t="n">
        <v>400261.380731156</v>
      </c>
      <c r="F189" s="124" t="n">
        <v>0</v>
      </c>
      <c r="G189" s="124" t="n">
        <f aca="false">32574-22009</f>
        <v>10565</v>
      </c>
      <c r="I189" s="124" t="n">
        <f aca="false">IF(MONTH($A189)=MONTH($A188),IF(G189=0,I188,G189),G189)</f>
        <v>10565</v>
      </c>
      <c r="J189" s="124" t="n">
        <f aca="false">IF(MONTH($A189)=MONTH($A188),SUM(I189-I188),I189)</f>
        <v>2855</v>
      </c>
      <c r="K189" s="124" t="n">
        <f aca="false">IF(WEEKDAY(A189,3)&gt;4,0,(IF(A189&lt;K$2,0,IF(A189&lt;=K$3,1,0))))</f>
        <v>0</v>
      </c>
      <c r="L189" s="124" t="n">
        <f aca="false">J189*K189</f>
        <v>0</v>
      </c>
      <c r="M189" s="124" t="n">
        <f aca="false">SUM(J$188:J189)</f>
        <v>10565</v>
      </c>
      <c r="N189" s="124" t="n">
        <f aca="false">SUM(J$6:J189)</f>
        <v>544747.480417803</v>
      </c>
      <c r="P189" s="124" t="n">
        <f aca="false">D189/P$3</f>
        <v>-0.163619807317515</v>
      </c>
      <c r="Q189" s="124" t="n">
        <f aca="false">E189/P$3</f>
        <v>0.400261380731156</v>
      </c>
      <c r="R189" s="124" t="n">
        <f aca="false">F189/R$3</f>
        <v>0</v>
      </c>
      <c r="S189" s="126" t="n">
        <f aca="false">J189/$R$3</f>
        <v>2.855</v>
      </c>
      <c r="T189" s="126" t="n">
        <f aca="false">L189/$R$3</f>
        <v>0</v>
      </c>
      <c r="U189" s="126" t="n">
        <f aca="false">I189/$R$3</f>
        <v>10.565</v>
      </c>
      <c r="V189" s="126" t="n">
        <f aca="false">M189/$R$3</f>
        <v>10.565</v>
      </c>
      <c r="W189" s="126" t="n">
        <f aca="false">N189/$R$3</f>
        <v>544.747480417803</v>
      </c>
    </row>
    <row r="190" customFormat="false" ht="12.75" hidden="true" customHeight="false" outlineLevel="0" collapsed="false">
      <c r="A190" s="120" t="n">
        <f aca="false">A189+1</f>
        <v>37076</v>
      </c>
      <c r="B190" s="131" t="str">
        <f aca="false">INDEX('Master Data'!$A$2:$B$8,MATCH(WEEKDAY('EZE Power Trading'!A190,3),'Master Data'!$A$2:$A$8,0),2)</f>
        <v>W</v>
      </c>
      <c r="D190" s="124" t="n">
        <v>0</v>
      </c>
      <c r="E190" s="124" t="n">
        <v>0</v>
      </c>
      <c r="F190" s="124" t="n">
        <v>0</v>
      </c>
      <c r="G190" s="124" t="n">
        <v>0</v>
      </c>
      <c r="I190" s="124" t="n">
        <f aca="false">IF(MONTH($A190)=MONTH($A189),IF(G190=0,I189,G190),G190)</f>
        <v>10565</v>
      </c>
      <c r="J190" s="124" t="n">
        <f aca="false">IF(MONTH($A190)=MONTH($A189),SUM(I190-I189),I190)</f>
        <v>0</v>
      </c>
      <c r="K190" s="124" t="n">
        <f aca="false">IF(WEEKDAY(A190,3)&gt;4,0,(IF(A190&lt;K$2,0,IF(A190&lt;=K$3,1,0))))</f>
        <v>0</v>
      </c>
      <c r="L190" s="124" t="n">
        <f aca="false">J190*K190</f>
        <v>0</v>
      </c>
      <c r="M190" s="124" t="n">
        <f aca="false">SUM(J$188:J190)</f>
        <v>10565</v>
      </c>
      <c r="N190" s="124" t="n">
        <f aca="false">SUM(J$6:J190)</f>
        <v>544747.480417803</v>
      </c>
      <c r="P190" s="124" t="n">
        <f aca="false">D190/P$3</f>
        <v>0</v>
      </c>
      <c r="Q190" s="124" t="n">
        <f aca="false">E190/P$3</f>
        <v>0</v>
      </c>
      <c r="R190" s="124" t="n">
        <f aca="false">F190/R$3</f>
        <v>0</v>
      </c>
      <c r="S190" s="126" t="n">
        <f aca="false">J190/$R$3</f>
        <v>0</v>
      </c>
      <c r="T190" s="126" t="n">
        <f aca="false">L190/$R$3</f>
        <v>0</v>
      </c>
      <c r="U190" s="126" t="n">
        <f aca="false">I190/$R$3</f>
        <v>10.565</v>
      </c>
      <c r="V190" s="126" t="n">
        <f aca="false">M190/$R$3</f>
        <v>10.565</v>
      </c>
      <c r="W190" s="126" t="n">
        <f aca="false">N190/$R$3</f>
        <v>544.747480417803</v>
      </c>
    </row>
    <row r="191" customFormat="false" ht="12.75" hidden="true" customHeight="false" outlineLevel="0" collapsed="false">
      <c r="A191" s="120" t="n">
        <f aca="false">A190+1</f>
        <v>37077</v>
      </c>
      <c r="B191" s="131" t="str">
        <f aca="false">INDEX('Master Data'!$A$2:$B$8,MATCH(WEEKDAY('EZE Power Trading'!A191,3),'Master Data'!$A$2:$A$8,0),2)</f>
        <v>Th</v>
      </c>
      <c r="D191" s="124" t="n">
        <v>-163175.24625434</v>
      </c>
      <c r="E191" s="124" t="n">
        <v>400007.376282365</v>
      </c>
      <c r="F191" s="124" t="n">
        <v>0</v>
      </c>
      <c r="G191" s="124" t="n">
        <f aca="false">66444-46445</f>
        <v>19999</v>
      </c>
      <c r="I191" s="124" t="n">
        <f aca="false">IF(MONTH($A191)=MONTH($A190),IF(G191=0,I190,G191),G191)</f>
        <v>19999</v>
      </c>
      <c r="J191" s="124" t="n">
        <f aca="false">IF(MONTH($A191)=MONTH($A190),SUM(I191-I190),I191)</f>
        <v>9434</v>
      </c>
      <c r="K191" s="124" t="n">
        <f aca="false">IF(WEEKDAY(A191,3)&gt;4,0,(IF(A191&lt;K$2,0,IF(A191&lt;=K$3,1,0))))</f>
        <v>0</v>
      </c>
      <c r="L191" s="124" t="n">
        <f aca="false">J191*K191</f>
        <v>0</v>
      </c>
      <c r="M191" s="124" t="n">
        <f aca="false">SUM(J$188:J191)</f>
        <v>19999</v>
      </c>
      <c r="N191" s="124" t="n">
        <f aca="false">SUM(J$6:J191)</f>
        <v>554181.480417803</v>
      </c>
      <c r="P191" s="124" t="n">
        <f aca="false">D191/P$3</f>
        <v>-0.16317524625434</v>
      </c>
      <c r="Q191" s="124" t="n">
        <f aca="false">E191/P$3</f>
        <v>0.400007376282365</v>
      </c>
      <c r="R191" s="124" t="n">
        <f aca="false">F191/R$3</f>
        <v>0</v>
      </c>
      <c r="S191" s="126" t="n">
        <f aca="false">J191/$R$3</f>
        <v>9.434</v>
      </c>
      <c r="T191" s="126" t="n">
        <f aca="false">L191/$R$3</f>
        <v>0</v>
      </c>
      <c r="U191" s="126" t="n">
        <f aca="false">I191/$R$3</f>
        <v>19.999</v>
      </c>
      <c r="V191" s="126" t="n">
        <f aca="false">M191/$R$3</f>
        <v>19.999</v>
      </c>
      <c r="W191" s="126" t="n">
        <f aca="false">N191/$R$3</f>
        <v>554.181480417803</v>
      </c>
    </row>
    <row r="192" customFormat="false" ht="12.75" hidden="true" customHeight="false" outlineLevel="0" collapsed="false">
      <c r="A192" s="120" t="n">
        <f aca="false">A191+1</f>
        <v>37078</v>
      </c>
      <c r="B192" s="131" t="str">
        <f aca="false">INDEX('Master Data'!$A$2:$B$8,MATCH(WEEKDAY('EZE Power Trading'!A192,3),'Master Data'!$A$2:$A$8,0),2)</f>
        <v>F</v>
      </c>
      <c r="D192" s="124" t="n">
        <v>-162948.347160183</v>
      </c>
      <c r="E192" s="124"/>
      <c r="F192" s="124" t="n">
        <v>0</v>
      </c>
      <c r="G192" s="124" t="n">
        <f aca="false">84690-60107</f>
        <v>24583</v>
      </c>
      <c r="I192" s="124" t="n">
        <f aca="false">IF(MONTH($A192)=MONTH($A191),IF(G192=0,I191,G192),G192)</f>
        <v>24583</v>
      </c>
      <c r="J192" s="124" t="n">
        <f aca="false">IF(MONTH($A192)=MONTH($A191),SUM(I192-I191),I192)</f>
        <v>4584</v>
      </c>
      <c r="K192" s="124" t="n">
        <f aca="false">IF(WEEKDAY(A192,3)&gt;4,0,(IF(A192&lt;K$2,0,IF(A192&lt;=K$3,1,0))))</f>
        <v>0</v>
      </c>
      <c r="L192" s="124" t="n">
        <f aca="false">J192*K192</f>
        <v>0</v>
      </c>
      <c r="M192" s="124" t="n">
        <f aca="false">SUM(J$188:J192)</f>
        <v>24583</v>
      </c>
      <c r="N192" s="124" t="n">
        <f aca="false">SUM(J$6:J192)</f>
        <v>558765.480417803</v>
      </c>
      <c r="P192" s="124" t="n">
        <f aca="false">D192/P$3</f>
        <v>-0.162948347160183</v>
      </c>
      <c r="Q192" s="124" t="n">
        <f aca="false">E192/P$3</f>
        <v>0</v>
      </c>
      <c r="R192" s="124" t="n">
        <f aca="false">F192/R$3</f>
        <v>0</v>
      </c>
      <c r="S192" s="126" t="n">
        <f aca="false">J192/$R$3</f>
        <v>4.584</v>
      </c>
      <c r="T192" s="126" t="n">
        <f aca="false">L192/$R$3</f>
        <v>0</v>
      </c>
      <c r="U192" s="126" t="n">
        <f aca="false">I192/$R$3</f>
        <v>24.583</v>
      </c>
      <c r="V192" s="126" t="n">
        <f aca="false">M192/$R$3</f>
        <v>24.583</v>
      </c>
      <c r="W192" s="126" t="n">
        <f aca="false">N192/$R$3</f>
        <v>558.765480417803</v>
      </c>
    </row>
    <row r="193" customFormat="false" ht="12.75" hidden="true" customHeight="false" outlineLevel="0" collapsed="false">
      <c r="A193" s="120" t="n">
        <f aca="false">A192+1</f>
        <v>37079</v>
      </c>
      <c r="B193" s="131" t="str">
        <f aca="false">INDEX('Master Data'!$A$2:$B$8,MATCH(WEEKDAY('EZE Power Trading'!A193,3),'Master Data'!$A$2:$A$8,0),2)</f>
        <v>Sa</v>
      </c>
      <c r="D193" s="124" t="n">
        <v>0</v>
      </c>
      <c r="E193" s="124" t="n">
        <v>0</v>
      </c>
      <c r="F193" s="124" t="n">
        <v>0</v>
      </c>
      <c r="G193" s="124" t="n">
        <v>0</v>
      </c>
      <c r="I193" s="124" t="n">
        <f aca="false">IF(MONTH($A193)=MONTH($A192),IF(G193=0,I192,G193),G193)</f>
        <v>24583</v>
      </c>
      <c r="J193" s="124" t="n">
        <f aca="false">IF(MONTH($A193)=MONTH($A192),SUM(I193-I192),I193)</f>
        <v>0</v>
      </c>
      <c r="K193" s="124" t="n">
        <f aca="false">IF(WEEKDAY(A193,3)&gt;4,0,(IF(A193&lt;K$2,0,IF(A193&lt;=K$3,1,0))))</f>
        <v>0</v>
      </c>
      <c r="L193" s="124" t="n">
        <f aca="false">J193*K193</f>
        <v>0</v>
      </c>
      <c r="M193" s="124" t="n">
        <f aca="false">SUM(J$188:J193)</f>
        <v>24583</v>
      </c>
      <c r="N193" s="124" t="n">
        <f aca="false">SUM(J$6:J193)</f>
        <v>558765.480417803</v>
      </c>
      <c r="P193" s="124" t="n">
        <f aca="false">D193/P$3</f>
        <v>0</v>
      </c>
      <c r="Q193" s="124" t="n">
        <f aca="false">E193/P$3</f>
        <v>0</v>
      </c>
      <c r="R193" s="124" t="n">
        <f aca="false">F193/R$3</f>
        <v>0</v>
      </c>
      <c r="S193" s="126" t="n">
        <f aca="false">J193/$R$3</f>
        <v>0</v>
      </c>
      <c r="T193" s="126" t="n">
        <f aca="false">L193/$R$3</f>
        <v>0</v>
      </c>
      <c r="U193" s="126" t="n">
        <f aca="false">I193/$R$3</f>
        <v>24.583</v>
      </c>
      <c r="V193" s="126" t="n">
        <f aca="false">M193/$R$3</f>
        <v>24.583</v>
      </c>
      <c r="W193" s="126" t="n">
        <f aca="false">N193/$R$3</f>
        <v>558.765480417803</v>
      </c>
    </row>
    <row r="194" customFormat="false" ht="12.75" hidden="true" customHeight="false" outlineLevel="0" collapsed="false">
      <c r="A194" s="120" t="n">
        <f aca="false">A193+1</f>
        <v>37080</v>
      </c>
      <c r="B194" s="131" t="str">
        <f aca="false">INDEX('Master Data'!$A$2:$B$8,MATCH(WEEKDAY('EZE Power Trading'!A194,3),'Master Data'!$A$2:$A$8,0),2)</f>
        <v>Su</v>
      </c>
      <c r="D194" s="124" t="n">
        <v>0</v>
      </c>
      <c r="E194" s="124" t="n">
        <v>0</v>
      </c>
      <c r="F194" s="124" t="n">
        <v>0</v>
      </c>
      <c r="G194" s="124" t="n">
        <v>0</v>
      </c>
      <c r="I194" s="124" t="n">
        <f aca="false">IF(MONTH($A194)=MONTH($A193),IF(G194=0,I193,G194),G194)</f>
        <v>24583</v>
      </c>
      <c r="J194" s="124" t="n">
        <f aca="false">IF(MONTH($A194)=MONTH($A193),SUM(I194-I193),I194)</f>
        <v>0</v>
      </c>
      <c r="K194" s="124" t="n">
        <f aca="false">IF(WEEKDAY(A194,3)&gt;4,0,(IF(A194&lt;K$2,0,IF(A194&lt;=K$3,1,0))))</f>
        <v>0</v>
      </c>
      <c r="L194" s="124" t="n">
        <f aca="false">J194*K194</f>
        <v>0</v>
      </c>
      <c r="M194" s="124" t="n">
        <f aca="false">SUM(J$188:J194)</f>
        <v>24583</v>
      </c>
      <c r="N194" s="124" t="n">
        <f aca="false">SUM(J$6:J194)</f>
        <v>558765.480417803</v>
      </c>
      <c r="P194" s="124" t="n">
        <f aca="false">D194/P$3</f>
        <v>0</v>
      </c>
      <c r="Q194" s="124" t="n">
        <f aca="false">E194/P$3</f>
        <v>0</v>
      </c>
      <c r="R194" s="124" t="n">
        <f aca="false">F194/R$3</f>
        <v>0</v>
      </c>
      <c r="S194" s="126" t="n">
        <f aca="false">J194/$R$3</f>
        <v>0</v>
      </c>
      <c r="T194" s="126" t="n">
        <f aca="false">L194/$R$3</f>
        <v>0</v>
      </c>
      <c r="U194" s="126" t="n">
        <f aca="false">I194/$R$3</f>
        <v>24.583</v>
      </c>
      <c r="V194" s="126" t="n">
        <f aca="false">M194/$R$3</f>
        <v>24.583</v>
      </c>
      <c r="W194" s="126" t="n">
        <f aca="false">N194/$R$3</f>
        <v>558.765480417803</v>
      </c>
    </row>
    <row r="195" customFormat="false" ht="12.75" hidden="true" customHeight="false" outlineLevel="0" collapsed="false">
      <c r="A195" s="120" t="n">
        <f aca="false">A194+1</f>
        <v>37081</v>
      </c>
      <c r="B195" s="131" t="str">
        <f aca="false">INDEX('Master Data'!$A$2:$B$8,MATCH(WEEKDAY('EZE Power Trading'!A195,3),'Master Data'!$A$2:$A$8,0),2)</f>
        <v>M</v>
      </c>
      <c r="D195" s="124" t="n">
        <v>-162626.466634062</v>
      </c>
      <c r="E195" s="124" t="n">
        <v>0</v>
      </c>
      <c r="F195" s="124" t="n">
        <v>0</v>
      </c>
      <c r="G195" s="124" t="n">
        <f aca="false">84982-60691</f>
        <v>24291</v>
      </c>
      <c r="I195" s="124" t="n">
        <f aca="false">IF(MONTH($A195)=MONTH($A194),IF(G195=0,I194,G195),G195)</f>
        <v>24291</v>
      </c>
      <c r="J195" s="124" t="n">
        <f aca="false">IF(MONTH($A195)=MONTH($A194),SUM(I195-I194),I195)</f>
        <v>-292</v>
      </c>
      <c r="K195" s="124" t="n">
        <f aca="false">IF(WEEKDAY(A195,3)&gt;4,0,(IF(A195&lt;K$2,0,IF(A195&lt;=K$3,1,0))))</f>
        <v>0</v>
      </c>
      <c r="L195" s="124" t="n">
        <f aca="false">J195*K195</f>
        <v>-0</v>
      </c>
      <c r="M195" s="124" t="n">
        <f aca="false">SUM(J$188:J195)</f>
        <v>24291</v>
      </c>
      <c r="N195" s="124" t="n">
        <f aca="false">SUM(J$6:J195)</f>
        <v>558473.480417803</v>
      </c>
      <c r="P195" s="124" t="n">
        <f aca="false">D195/P$3</f>
        <v>-0.162626466634062</v>
      </c>
      <c r="Q195" s="124" t="n">
        <f aca="false">E195/P$3</f>
        <v>0</v>
      </c>
      <c r="R195" s="124" t="n">
        <f aca="false">F195/R$3</f>
        <v>0</v>
      </c>
      <c r="S195" s="126" t="n">
        <f aca="false">J195/$R$3</f>
        <v>-0.292</v>
      </c>
      <c r="T195" s="126" t="n">
        <f aca="false">L195/$R$3</f>
        <v>-0</v>
      </c>
      <c r="U195" s="126" t="n">
        <f aca="false">I195/$R$3</f>
        <v>24.291</v>
      </c>
      <c r="V195" s="126" t="n">
        <f aca="false">M195/$R$3</f>
        <v>24.291</v>
      </c>
      <c r="W195" s="126" t="n">
        <f aca="false">N195/$R$3</f>
        <v>558.473480417803</v>
      </c>
    </row>
    <row r="196" customFormat="false" ht="12.75" hidden="true" customHeight="false" outlineLevel="0" collapsed="false">
      <c r="A196" s="120" t="n">
        <f aca="false">A195+1</f>
        <v>37082</v>
      </c>
      <c r="B196" s="131" t="str">
        <f aca="false">INDEX('Master Data'!$A$2:$B$8,MATCH(WEEKDAY('EZE Power Trading'!A196,3),'Master Data'!$A$2:$A$8,0),2)</f>
        <v>T</v>
      </c>
      <c r="D196" s="124" t="n">
        <v>-162450.087495054</v>
      </c>
      <c r="E196" s="124" t="n">
        <v>0</v>
      </c>
      <c r="F196" s="124" t="n">
        <v>0</v>
      </c>
      <c r="G196" s="124" t="n">
        <v>41016</v>
      </c>
      <c r="I196" s="124" t="n">
        <f aca="false">IF(MONTH($A196)=MONTH($A195),IF(G196=0,I195,G196),G196)</f>
        <v>41016</v>
      </c>
      <c r="J196" s="124" t="n">
        <f aca="false">IF(MONTH($A196)=MONTH($A195),SUM(I196-I195),I196)</f>
        <v>16725</v>
      </c>
      <c r="K196" s="124" t="n">
        <f aca="false">IF(WEEKDAY(A196,3)&gt;4,0,(IF(A196&lt;K$2,0,IF(A196&lt;=K$3,1,0))))</f>
        <v>0</v>
      </c>
      <c r="L196" s="124" t="n">
        <f aca="false">J196*K196</f>
        <v>0</v>
      </c>
      <c r="M196" s="124" t="n">
        <f aca="false">SUM(J$188:J196)</f>
        <v>41016</v>
      </c>
      <c r="N196" s="124" t="n">
        <f aca="false">SUM(J$6:J196)</f>
        <v>575198.480417803</v>
      </c>
      <c r="P196" s="124" t="n">
        <f aca="false">D196/P$3</f>
        <v>-0.162450087495054</v>
      </c>
      <c r="Q196" s="124" t="n">
        <f aca="false">E196/P$3</f>
        <v>0</v>
      </c>
      <c r="R196" s="124" t="n">
        <f aca="false">F196/R$3</f>
        <v>0</v>
      </c>
      <c r="S196" s="126" t="n">
        <f aca="false">J196/$R$3</f>
        <v>16.725</v>
      </c>
      <c r="T196" s="126" t="n">
        <f aca="false">L196/$R$3</f>
        <v>0</v>
      </c>
      <c r="U196" s="126" t="n">
        <f aca="false">I196/$R$3</f>
        <v>41.016</v>
      </c>
      <c r="V196" s="126" t="n">
        <f aca="false">M196/$R$3</f>
        <v>41.016</v>
      </c>
      <c r="W196" s="126" t="n">
        <f aca="false">N196/$R$3</f>
        <v>575.198480417803</v>
      </c>
    </row>
    <row r="197" customFormat="false" ht="12.75" hidden="true" customHeight="false" outlineLevel="0" collapsed="false">
      <c r="A197" s="120" t="n">
        <f aca="false">A196+1</f>
        <v>37083</v>
      </c>
      <c r="B197" s="131" t="str">
        <f aca="false">INDEX('Master Data'!$A$2:$B$8,MATCH(WEEKDAY('EZE Power Trading'!A197,3),'Master Data'!$A$2:$A$8,0),2)</f>
        <v>W</v>
      </c>
      <c r="D197" s="124" t="n">
        <v>-162355.796749991</v>
      </c>
      <c r="E197" s="124" t="n">
        <v>0</v>
      </c>
      <c r="F197" s="124" t="n">
        <v>0</v>
      </c>
      <c r="G197" s="124" t="n">
        <v>45791</v>
      </c>
      <c r="I197" s="124" t="n">
        <f aca="false">IF(MONTH($A197)=MONTH($A196),IF(G197=0,I196,G197),G197)</f>
        <v>45791</v>
      </c>
      <c r="J197" s="124" t="n">
        <f aca="false">IF(MONTH($A197)=MONTH($A196),SUM(I197-I196),I197)</f>
        <v>4775</v>
      </c>
      <c r="K197" s="124" t="n">
        <f aca="false">IF(WEEKDAY(A197,3)&gt;4,0,(IF(A197&lt;K$2,0,IF(A197&lt;=K$3,1,0))))</f>
        <v>0</v>
      </c>
      <c r="L197" s="124" t="n">
        <f aca="false">J197*K197</f>
        <v>0</v>
      </c>
      <c r="M197" s="124" t="n">
        <f aca="false">SUM(J$188:J197)</f>
        <v>45791</v>
      </c>
      <c r="N197" s="124" t="n">
        <f aca="false">SUM(J$6:J197)</f>
        <v>579973.480417803</v>
      </c>
      <c r="P197" s="124" t="n">
        <f aca="false">D197/P$3</f>
        <v>-0.162355796749991</v>
      </c>
      <c r="Q197" s="124" t="n">
        <f aca="false">E197/P$3</f>
        <v>0</v>
      </c>
      <c r="R197" s="124" t="n">
        <f aca="false">F197/R$3</f>
        <v>0</v>
      </c>
      <c r="S197" s="126" t="n">
        <f aca="false">J197/$R$3</f>
        <v>4.775</v>
      </c>
      <c r="T197" s="126" t="n">
        <f aca="false">L197/$R$3</f>
        <v>0</v>
      </c>
      <c r="U197" s="126" t="n">
        <f aca="false">I197/$R$3</f>
        <v>45.791</v>
      </c>
      <c r="V197" s="126" t="n">
        <f aca="false">M197/$R$3</f>
        <v>45.791</v>
      </c>
      <c r="W197" s="126" t="n">
        <f aca="false">N197/$R$3</f>
        <v>579.973480417803</v>
      </c>
    </row>
    <row r="198" customFormat="false" ht="12.75" hidden="true" customHeight="false" outlineLevel="0" collapsed="false">
      <c r="A198" s="120" t="n">
        <f aca="false">A197+1</f>
        <v>37084</v>
      </c>
      <c r="B198" s="131" t="str">
        <f aca="false">INDEX('Master Data'!$A$2:$B$8,MATCH(WEEKDAY('EZE Power Trading'!A198,3),'Master Data'!$A$2:$A$8,0),2)</f>
        <v>Th</v>
      </c>
      <c r="D198" s="124" t="n">
        <v>-162188.440618747</v>
      </c>
      <c r="E198" s="124" t="n">
        <v>0</v>
      </c>
      <c r="F198" s="124" t="n">
        <v>0</v>
      </c>
      <c r="G198" s="124" t="n">
        <v>48813</v>
      </c>
      <c r="I198" s="124" t="n">
        <f aca="false">IF(MONTH($A198)=MONTH($A197),IF(G198=0,I197,G198),G198)</f>
        <v>48813</v>
      </c>
      <c r="J198" s="124" t="n">
        <f aca="false">IF(MONTH($A198)=MONTH($A197),SUM(I198-I197),I198)</f>
        <v>3022</v>
      </c>
      <c r="K198" s="124" t="n">
        <f aca="false">IF(WEEKDAY(A198,3)&gt;4,0,(IF(A198&lt;K$2,0,IF(A198&lt;=K$3,1,0))))</f>
        <v>0</v>
      </c>
      <c r="L198" s="124" t="n">
        <f aca="false">J198*K198</f>
        <v>0</v>
      </c>
      <c r="M198" s="124" t="n">
        <f aca="false">SUM(J$188:J198)</f>
        <v>48813</v>
      </c>
      <c r="N198" s="124" t="n">
        <f aca="false">SUM(J$6:J198)</f>
        <v>582995.480417803</v>
      </c>
      <c r="P198" s="124" t="n">
        <f aca="false">D198/P$3</f>
        <v>-0.162188440618747</v>
      </c>
      <c r="Q198" s="124" t="n">
        <f aca="false">E198/P$3</f>
        <v>0</v>
      </c>
      <c r="R198" s="124" t="n">
        <f aca="false">F198/R$3</f>
        <v>0</v>
      </c>
      <c r="S198" s="126" t="n">
        <f aca="false">J198/$R$3</f>
        <v>3.022</v>
      </c>
      <c r="T198" s="126" t="n">
        <f aca="false">L198/$R$3</f>
        <v>0</v>
      </c>
      <c r="U198" s="126" t="n">
        <f aca="false">I198/$R$3</f>
        <v>48.813</v>
      </c>
      <c r="V198" s="126" t="n">
        <f aca="false">M198/$R$3</f>
        <v>48.813</v>
      </c>
      <c r="W198" s="126" t="n">
        <f aca="false">N198/$R$3</f>
        <v>582.995480417803</v>
      </c>
    </row>
    <row r="199" customFormat="false" ht="12.75" hidden="true" customHeight="false" outlineLevel="0" collapsed="false">
      <c r="A199" s="120" t="n">
        <f aca="false">A198+1</f>
        <v>37085</v>
      </c>
      <c r="B199" s="131" t="str">
        <f aca="false">INDEX('Master Data'!$A$2:$B$8,MATCH(WEEKDAY('EZE Power Trading'!A199,3),'Master Data'!$A$2:$A$8,0),2)</f>
        <v>F</v>
      </c>
      <c r="D199" s="124" t="n">
        <v>-161922.520094498</v>
      </c>
      <c r="E199" s="124" t="n">
        <v>0</v>
      </c>
      <c r="F199" s="124" t="n">
        <v>0</v>
      </c>
      <c r="G199" s="124" t="n">
        <v>51470</v>
      </c>
      <c r="I199" s="124" t="n">
        <f aca="false">IF(MONTH($A199)=MONTH($A198),IF(G199=0,I198,G199),G199)</f>
        <v>51470</v>
      </c>
      <c r="J199" s="124" t="n">
        <f aca="false">IF(MONTH($A199)=MONTH($A198),SUM(I199-I198),I199)</f>
        <v>2657</v>
      </c>
      <c r="K199" s="124" t="n">
        <f aca="false">IF(WEEKDAY(A199,3)&gt;4,0,(IF(A199&lt;K$2,0,IF(A199&lt;=K$3,1,0))))</f>
        <v>0</v>
      </c>
      <c r="L199" s="124" t="n">
        <f aca="false">J199*K199</f>
        <v>0</v>
      </c>
      <c r="M199" s="124" t="n">
        <f aca="false">SUM(J$188:J199)</f>
        <v>51470</v>
      </c>
      <c r="N199" s="124" t="n">
        <f aca="false">SUM(J$6:J199)</f>
        <v>585652.480417803</v>
      </c>
      <c r="P199" s="124" t="n">
        <f aca="false">D199/P$3</f>
        <v>-0.161922520094498</v>
      </c>
      <c r="Q199" s="124" t="n">
        <f aca="false">E199/P$3</f>
        <v>0</v>
      </c>
      <c r="R199" s="124" t="n">
        <f aca="false">F199/R$3</f>
        <v>0</v>
      </c>
      <c r="S199" s="126" t="n">
        <f aca="false">J199/$R$3</f>
        <v>2.657</v>
      </c>
      <c r="T199" s="126" t="n">
        <f aca="false">L199/$R$3</f>
        <v>0</v>
      </c>
      <c r="U199" s="126" t="n">
        <f aca="false">I199/$R$3</f>
        <v>51.47</v>
      </c>
      <c r="V199" s="126" t="n">
        <f aca="false">M199/$R$3</f>
        <v>51.47</v>
      </c>
      <c r="W199" s="126" t="n">
        <f aca="false">N199/$R$3</f>
        <v>585.652480417803</v>
      </c>
    </row>
    <row r="200" customFormat="false" ht="12.75" hidden="true" customHeight="false" outlineLevel="0" collapsed="false">
      <c r="A200" s="120" t="n">
        <f aca="false">A199+1</f>
        <v>37086</v>
      </c>
      <c r="B200" s="131" t="str">
        <f aca="false">INDEX('Master Data'!$A$2:$B$8,MATCH(WEEKDAY('EZE Power Trading'!A200,3),'Master Data'!$A$2:$A$8,0),2)</f>
        <v>Sa</v>
      </c>
      <c r="D200" s="124" t="n">
        <v>0</v>
      </c>
      <c r="E200" s="124" t="n">
        <v>0</v>
      </c>
      <c r="F200" s="124" t="n">
        <v>0</v>
      </c>
      <c r="G200" s="124" t="n">
        <v>0</v>
      </c>
      <c r="I200" s="124" t="n">
        <f aca="false">IF(MONTH($A200)=MONTH($A199),IF(G200=0,I199,G200),G200)</f>
        <v>51470</v>
      </c>
      <c r="J200" s="124" t="n">
        <f aca="false">IF(MONTH($A200)=MONTH($A199),SUM(I200-I199),I200)</f>
        <v>0</v>
      </c>
      <c r="K200" s="124" t="n">
        <f aca="false">IF(WEEKDAY(A200,3)&gt;4,0,(IF(A200&lt;K$2,0,IF(A200&lt;=K$3,1,0))))</f>
        <v>0</v>
      </c>
      <c r="L200" s="124" t="n">
        <f aca="false">J200*K200</f>
        <v>0</v>
      </c>
      <c r="M200" s="124" t="n">
        <f aca="false">SUM(J$188:J200)</f>
        <v>51470</v>
      </c>
      <c r="N200" s="124" t="n">
        <f aca="false">SUM(J$6:J200)</f>
        <v>585652.480417803</v>
      </c>
      <c r="P200" s="124" t="n">
        <f aca="false">D200/P$3</f>
        <v>0</v>
      </c>
      <c r="Q200" s="124" t="n">
        <f aca="false">E200/P$3</f>
        <v>0</v>
      </c>
      <c r="R200" s="124" t="n">
        <f aca="false">F200/R$3</f>
        <v>0</v>
      </c>
      <c r="S200" s="126" t="n">
        <f aca="false">J200/$R$3</f>
        <v>0</v>
      </c>
      <c r="T200" s="126" t="n">
        <f aca="false">L200/$R$3</f>
        <v>0</v>
      </c>
      <c r="U200" s="126" t="n">
        <f aca="false">I200/$R$3</f>
        <v>51.47</v>
      </c>
      <c r="V200" s="126" t="n">
        <f aca="false">M200/$R$3</f>
        <v>51.47</v>
      </c>
      <c r="W200" s="126" t="n">
        <f aca="false">N200/$R$3</f>
        <v>585.652480417803</v>
      </c>
    </row>
    <row r="201" customFormat="false" ht="12.75" hidden="true" customHeight="false" outlineLevel="0" collapsed="false">
      <c r="A201" s="120" t="n">
        <f aca="false">A200+1</f>
        <v>37087</v>
      </c>
      <c r="B201" s="131" t="str">
        <f aca="false">INDEX('Master Data'!$A$2:$B$8,MATCH(WEEKDAY('EZE Power Trading'!A201,3),'Master Data'!$A$2:$A$8,0),2)</f>
        <v>Su</v>
      </c>
      <c r="D201" s="124" t="n">
        <v>0</v>
      </c>
      <c r="E201" s="124" t="n">
        <v>0</v>
      </c>
      <c r="F201" s="124" t="n">
        <v>0</v>
      </c>
      <c r="G201" s="124" t="n">
        <v>0</v>
      </c>
      <c r="I201" s="124" t="n">
        <f aca="false">IF(MONTH($A201)=MONTH($A200),IF(G201=0,I200,G201),G201)</f>
        <v>51470</v>
      </c>
      <c r="J201" s="124" t="n">
        <f aca="false">IF(MONTH($A201)=MONTH($A200),SUM(I201-I200),I201)</f>
        <v>0</v>
      </c>
      <c r="K201" s="124" t="n">
        <f aca="false">IF(WEEKDAY(A201,3)&gt;4,0,(IF(A201&lt;K$2,0,IF(A201&lt;=K$3,1,0))))</f>
        <v>0</v>
      </c>
      <c r="L201" s="124" t="n">
        <f aca="false">J201*K201</f>
        <v>0</v>
      </c>
      <c r="M201" s="124" t="n">
        <f aca="false">SUM(J$188:J201)</f>
        <v>51470</v>
      </c>
      <c r="N201" s="124" t="n">
        <f aca="false">SUM(J$6:J201)</f>
        <v>585652.480417803</v>
      </c>
      <c r="P201" s="124" t="n">
        <f aca="false">D201/P$3</f>
        <v>0</v>
      </c>
      <c r="Q201" s="124" t="n">
        <f aca="false">E201/P$3</f>
        <v>0</v>
      </c>
      <c r="R201" s="124" t="n">
        <f aca="false">F201/R$3</f>
        <v>0</v>
      </c>
      <c r="S201" s="126" t="n">
        <f aca="false">J201/$R$3</f>
        <v>0</v>
      </c>
      <c r="T201" s="126" t="n">
        <f aca="false">L201/$R$3</f>
        <v>0</v>
      </c>
      <c r="U201" s="126" t="n">
        <f aca="false">I201/$R$3</f>
        <v>51.47</v>
      </c>
      <c r="V201" s="126" t="n">
        <f aca="false">M201/$R$3</f>
        <v>51.47</v>
      </c>
      <c r="W201" s="126" t="n">
        <f aca="false">N201/$R$3</f>
        <v>585.652480417803</v>
      </c>
    </row>
    <row r="202" customFormat="false" ht="12.75" hidden="true" customHeight="false" outlineLevel="0" collapsed="false">
      <c r="A202" s="120" t="n">
        <f aca="false">A201+1</f>
        <v>37088</v>
      </c>
      <c r="B202" s="131" t="str">
        <f aca="false">INDEX('Master Data'!$A$2:$B$8,MATCH(WEEKDAY('EZE Power Trading'!A202,3),'Master Data'!$A$2:$A$8,0),2)</f>
        <v>M</v>
      </c>
      <c r="D202" s="124" t="n">
        <v>-171601.621598687</v>
      </c>
      <c r="E202" s="124" t="n">
        <v>0</v>
      </c>
      <c r="F202" s="124" t="n">
        <v>0</v>
      </c>
      <c r="G202" s="124" t="n">
        <v>166233</v>
      </c>
      <c r="I202" s="124" t="n">
        <f aca="false">IF(MONTH($A202)=MONTH($A201),IF(G202=0,I201,G202),G202)</f>
        <v>166233</v>
      </c>
      <c r="J202" s="124" t="n">
        <f aca="false">IF(MONTH($A202)=MONTH($A201),SUM(I202-I201),I202)</f>
        <v>114763</v>
      </c>
      <c r="K202" s="124" t="n">
        <f aca="false">IF(WEEKDAY(A202,3)&gt;4,0,(IF(A202&lt;K$2,0,IF(A202&lt;=K$3,1,0))))</f>
        <v>0</v>
      </c>
      <c r="L202" s="124" t="n">
        <f aca="false">J202*K202</f>
        <v>0</v>
      </c>
      <c r="M202" s="124" t="n">
        <f aca="false">SUM(J$188:J202)</f>
        <v>166233</v>
      </c>
      <c r="N202" s="124" t="n">
        <f aca="false">SUM(J$6:J202)</f>
        <v>700415.480417803</v>
      </c>
      <c r="P202" s="124" t="n">
        <f aca="false">D202/P$3</f>
        <v>-0.171601621598687</v>
      </c>
      <c r="Q202" s="124" t="n">
        <f aca="false">E202/P$3</f>
        <v>0</v>
      </c>
      <c r="R202" s="124" t="n">
        <f aca="false">F202/R$3</f>
        <v>0</v>
      </c>
      <c r="S202" s="126" t="n">
        <f aca="false">J202/$R$3</f>
        <v>114.763</v>
      </c>
      <c r="T202" s="126" t="n">
        <f aca="false">L202/$R$3</f>
        <v>0</v>
      </c>
      <c r="U202" s="126" t="n">
        <f aca="false">I202/$R$3</f>
        <v>166.233</v>
      </c>
      <c r="V202" s="126" t="n">
        <f aca="false">M202/$R$3</f>
        <v>166.233</v>
      </c>
      <c r="W202" s="126" t="n">
        <f aca="false">N202/$R$3</f>
        <v>700.415480417803</v>
      </c>
    </row>
    <row r="203" customFormat="false" ht="12.75" hidden="true" customHeight="false" outlineLevel="0" collapsed="false">
      <c r="A203" s="120" t="n">
        <f aca="false">A202+1</f>
        <v>37089</v>
      </c>
      <c r="B203" s="131" t="str">
        <f aca="false">INDEX('Master Data'!$A$2:$B$8,MATCH(WEEKDAY('EZE Power Trading'!A203,3),'Master Data'!$A$2:$A$8,0),2)</f>
        <v>T</v>
      </c>
      <c r="D203" s="124" t="n">
        <v>-171477.722636697</v>
      </c>
      <c r="E203" s="124" t="n">
        <v>0</v>
      </c>
      <c r="F203" s="124" t="n">
        <v>0</v>
      </c>
      <c r="G203" s="124" t="n">
        <v>167915</v>
      </c>
      <c r="I203" s="124" t="n">
        <f aca="false">IF(MONTH($A203)=MONTH($A202),IF(G203=0,I202,G203),G203)</f>
        <v>167915</v>
      </c>
      <c r="J203" s="124" t="n">
        <f aca="false">IF(MONTH($A203)=MONTH($A202),SUM(I203-I202),I203)</f>
        <v>1682</v>
      </c>
      <c r="K203" s="124" t="n">
        <f aca="false">IF(WEEKDAY(A203,3)&gt;4,0,(IF(A203&lt;K$2,0,IF(A203&lt;=K$3,1,0))))</f>
        <v>0</v>
      </c>
      <c r="L203" s="124" t="n">
        <f aca="false">J203*K203</f>
        <v>0</v>
      </c>
      <c r="M203" s="124" t="n">
        <f aca="false">SUM(J$188:J203)</f>
        <v>167915</v>
      </c>
      <c r="N203" s="124" t="n">
        <f aca="false">SUM(J$6:J203)</f>
        <v>702097.480417803</v>
      </c>
      <c r="P203" s="124" t="n">
        <f aca="false">D203/P$3</f>
        <v>-0.171477722636697</v>
      </c>
      <c r="Q203" s="124" t="n">
        <f aca="false">E203/P$3</f>
        <v>0</v>
      </c>
      <c r="R203" s="124" t="n">
        <f aca="false">F203/R$3</f>
        <v>0</v>
      </c>
      <c r="S203" s="126" t="n">
        <f aca="false">J203/$R$3</f>
        <v>1.682</v>
      </c>
      <c r="T203" s="126" t="n">
        <f aca="false">L203/$R$3</f>
        <v>0</v>
      </c>
      <c r="U203" s="126" t="n">
        <f aca="false">I203/$R$3</f>
        <v>167.915</v>
      </c>
      <c r="V203" s="126" t="n">
        <f aca="false">M203/$R$3</f>
        <v>167.915</v>
      </c>
      <c r="W203" s="126" t="n">
        <f aca="false">N203/$R$3</f>
        <v>702.097480417803</v>
      </c>
    </row>
    <row r="204" customFormat="false" ht="12.75" hidden="true" customHeight="false" outlineLevel="0" collapsed="false">
      <c r="A204" s="120" t="n">
        <f aca="false">A203+1</f>
        <v>37090</v>
      </c>
      <c r="B204" s="131" t="str">
        <f aca="false">INDEX('Master Data'!$A$2:$B$8,MATCH(WEEKDAY('EZE Power Trading'!A204,3),'Master Data'!$A$2:$A$8,0),2)</f>
        <v>W</v>
      </c>
      <c r="D204" s="124" t="n">
        <v>-171277.055793395</v>
      </c>
      <c r="E204" s="124" t="n">
        <v>0</v>
      </c>
      <c r="F204" s="124" t="n">
        <v>0</v>
      </c>
      <c r="G204" s="124" t="n">
        <v>165792</v>
      </c>
      <c r="I204" s="124" t="n">
        <f aca="false">IF(MONTH($A204)=MONTH($A203),IF(G204=0,I203,G204),G204)</f>
        <v>165792</v>
      </c>
      <c r="J204" s="124" t="n">
        <f aca="false">IF(MONTH($A204)=MONTH($A203),SUM(I204-I203),I204)</f>
        <v>-2123</v>
      </c>
      <c r="K204" s="124" t="n">
        <f aca="false">IF(WEEKDAY(A204,3)&gt;4,0,(IF(A204&lt;K$2,0,IF(A204&lt;=K$3,1,0))))</f>
        <v>0</v>
      </c>
      <c r="L204" s="124" t="n">
        <f aca="false">J204*K204</f>
        <v>-0</v>
      </c>
      <c r="M204" s="124" t="n">
        <f aca="false">SUM(J$188:J204)</f>
        <v>165792</v>
      </c>
      <c r="N204" s="124" t="n">
        <f aca="false">SUM(J$6:J204)</f>
        <v>699974.480417803</v>
      </c>
      <c r="P204" s="124" t="n">
        <f aca="false">D204/P$3</f>
        <v>-0.171277055793395</v>
      </c>
      <c r="Q204" s="124" t="n">
        <f aca="false">E204/P$3</f>
        <v>0</v>
      </c>
      <c r="R204" s="124" t="n">
        <f aca="false">F204/R$3</f>
        <v>0</v>
      </c>
      <c r="S204" s="126" t="n">
        <f aca="false">J204/$R$3</f>
        <v>-2.123</v>
      </c>
      <c r="T204" s="126" t="n">
        <f aca="false">L204/$R$3</f>
        <v>-0</v>
      </c>
      <c r="U204" s="126" t="n">
        <f aca="false">I204/$R$3</f>
        <v>165.792</v>
      </c>
      <c r="V204" s="126" t="n">
        <f aca="false">M204/$R$3</f>
        <v>165.792</v>
      </c>
      <c r="W204" s="126" t="n">
        <f aca="false">N204/$R$3</f>
        <v>699.974480417803</v>
      </c>
    </row>
    <row r="205" customFormat="false" ht="12.75" hidden="true" customHeight="false" outlineLevel="0" collapsed="false">
      <c r="A205" s="120" t="n">
        <f aca="false">A204+1</f>
        <v>37091</v>
      </c>
      <c r="B205" s="131" t="str">
        <f aca="false">INDEX('Master Data'!$A$2:$B$8,MATCH(WEEKDAY('EZE Power Trading'!A205,3),'Master Data'!$A$2:$A$8,0),2)</f>
        <v>Th</v>
      </c>
      <c r="D205" s="124" t="n">
        <v>-171386.2915652</v>
      </c>
      <c r="E205" s="124" t="n">
        <v>0</v>
      </c>
      <c r="F205" s="124" t="n">
        <v>0</v>
      </c>
      <c r="G205" s="124" t="n">
        <v>168579</v>
      </c>
      <c r="I205" s="124" t="n">
        <f aca="false">IF(MONTH($A205)=MONTH($A204),IF(G205=0,I204,G205),G205)</f>
        <v>168579</v>
      </c>
      <c r="J205" s="124" t="n">
        <f aca="false">IF(MONTH($A205)=MONTH($A204),SUM(I205-I204),I205)</f>
        <v>2787</v>
      </c>
      <c r="K205" s="124" t="n">
        <f aca="false">IF(WEEKDAY(A205,3)&gt;4,0,(IF(A205&lt;K$2,0,IF(A205&lt;=K$3,1,0))))</f>
        <v>0</v>
      </c>
      <c r="L205" s="124" t="n">
        <f aca="false">J205*K205</f>
        <v>0</v>
      </c>
      <c r="M205" s="124" t="n">
        <f aca="false">SUM(J$188:J205)</f>
        <v>168579</v>
      </c>
      <c r="N205" s="124" t="n">
        <f aca="false">SUM(J$6:J205)</f>
        <v>702761.480417803</v>
      </c>
      <c r="P205" s="124" t="n">
        <f aca="false">D205/P$3</f>
        <v>-0.1713862915652</v>
      </c>
      <c r="Q205" s="124" t="n">
        <f aca="false">E205/P$3</f>
        <v>0</v>
      </c>
      <c r="R205" s="124" t="n">
        <f aca="false">F205/R$3</f>
        <v>0</v>
      </c>
      <c r="S205" s="126" t="n">
        <f aca="false">J205/$R$3</f>
        <v>2.787</v>
      </c>
      <c r="T205" s="126" t="n">
        <f aca="false">L205/$R$3</f>
        <v>0</v>
      </c>
      <c r="U205" s="126" t="n">
        <f aca="false">I205/$R$3</f>
        <v>168.579</v>
      </c>
      <c r="V205" s="126" t="n">
        <f aca="false">M205/$R$3</f>
        <v>168.579</v>
      </c>
      <c r="W205" s="126" t="n">
        <f aca="false">N205/$R$3</f>
        <v>702.761480417803</v>
      </c>
    </row>
    <row r="206" customFormat="false" ht="12.75" hidden="true" customHeight="false" outlineLevel="0" collapsed="false">
      <c r="A206" s="120" t="n">
        <f aca="false">A205+1</f>
        <v>37092</v>
      </c>
      <c r="B206" s="131" t="str">
        <f aca="false">INDEX('Master Data'!$A$2:$B$8,MATCH(WEEKDAY('EZE Power Trading'!A206,3),'Master Data'!$A$2:$A$8,0),2)</f>
        <v>F</v>
      </c>
      <c r="D206" s="124" t="n">
        <v>-171160.232708639</v>
      </c>
      <c r="E206" s="124" t="n">
        <v>0</v>
      </c>
      <c r="F206" s="124" t="n">
        <v>0</v>
      </c>
      <c r="G206" s="124" t="n">
        <v>169565</v>
      </c>
      <c r="I206" s="124" t="n">
        <f aca="false">IF(MONTH($A206)=MONTH($A205),IF(G206=0,I205,G206),G206)</f>
        <v>169565</v>
      </c>
      <c r="J206" s="124" t="n">
        <f aca="false">IF(MONTH($A206)=MONTH($A205),SUM(I206-I205),I206)</f>
        <v>986</v>
      </c>
      <c r="K206" s="124" t="n">
        <f aca="false">IF(WEEKDAY(A206,3)&gt;4,0,(IF(A206&lt;K$2,0,IF(A206&lt;=K$3,1,0))))</f>
        <v>0</v>
      </c>
      <c r="L206" s="124" t="n">
        <f aca="false">J206*K206</f>
        <v>0</v>
      </c>
      <c r="M206" s="124" t="n">
        <f aca="false">SUM(J$188:J206)</f>
        <v>169565</v>
      </c>
      <c r="N206" s="124" t="n">
        <f aca="false">SUM(J$6:J206)</f>
        <v>703747.480417803</v>
      </c>
      <c r="P206" s="124" t="n">
        <f aca="false">D206/P$3</f>
        <v>-0.171160232708639</v>
      </c>
      <c r="Q206" s="124" t="n">
        <f aca="false">E206/P$3</f>
        <v>0</v>
      </c>
      <c r="R206" s="124" t="n">
        <f aca="false">F206/R$3</f>
        <v>0</v>
      </c>
      <c r="S206" s="126" t="n">
        <f aca="false">J206/$R$3</f>
        <v>0.986</v>
      </c>
      <c r="T206" s="126" t="n">
        <f aca="false">L206/$R$3</f>
        <v>0</v>
      </c>
      <c r="U206" s="126" t="n">
        <f aca="false">I206/$R$3</f>
        <v>169.565</v>
      </c>
      <c r="V206" s="126" t="n">
        <f aca="false">M206/$R$3</f>
        <v>169.565</v>
      </c>
      <c r="W206" s="126" t="n">
        <f aca="false">N206/$R$3</f>
        <v>703.747480417803</v>
      </c>
    </row>
    <row r="207" customFormat="false" ht="12.75" hidden="true" customHeight="false" outlineLevel="0" collapsed="false">
      <c r="A207" s="120" t="n">
        <f aca="false">A206+1</f>
        <v>37093</v>
      </c>
      <c r="B207" s="131" t="str">
        <f aca="false">INDEX('Master Data'!$A$2:$B$8,MATCH(WEEKDAY('EZE Power Trading'!A207,3),'Master Data'!$A$2:$A$8,0),2)</f>
        <v>Sa</v>
      </c>
      <c r="D207" s="124" t="n">
        <v>0</v>
      </c>
      <c r="E207" s="124" t="n">
        <v>0</v>
      </c>
      <c r="F207" s="124" t="n">
        <v>0</v>
      </c>
      <c r="G207" s="124" t="n">
        <v>0</v>
      </c>
      <c r="I207" s="124" t="n">
        <f aca="false">IF(MONTH($A207)=MONTH($A206),IF(G207=0,I206,G207),G207)</f>
        <v>169565</v>
      </c>
      <c r="J207" s="124" t="n">
        <f aca="false">IF(MONTH($A207)=MONTH($A206),SUM(I207-I206),I207)</f>
        <v>0</v>
      </c>
      <c r="K207" s="124" t="n">
        <f aca="false">IF(WEEKDAY(A207,3)&gt;4,0,(IF(A207&lt;K$2,0,IF(A207&lt;=K$3,1,0))))</f>
        <v>0</v>
      </c>
      <c r="L207" s="124" t="n">
        <f aca="false">J207*K207</f>
        <v>0</v>
      </c>
      <c r="M207" s="124" t="n">
        <f aca="false">SUM(J$188:J207)</f>
        <v>169565</v>
      </c>
      <c r="N207" s="124" t="n">
        <f aca="false">SUM(J$6:J207)</f>
        <v>703747.480417803</v>
      </c>
      <c r="P207" s="124" t="n">
        <f aca="false">D207/P$3</f>
        <v>0</v>
      </c>
      <c r="Q207" s="124" t="n">
        <f aca="false">E207/P$3</f>
        <v>0</v>
      </c>
      <c r="R207" s="124" t="n">
        <f aca="false">F207/R$3</f>
        <v>0</v>
      </c>
      <c r="S207" s="126" t="n">
        <f aca="false">J207/$R$3</f>
        <v>0</v>
      </c>
      <c r="T207" s="126" t="n">
        <f aca="false">L207/$R$3</f>
        <v>0</v>
      </c>
      <c r="U207" s="126" t="n">
        <f aca="false">I207/$R$3</f>
        <v>169.565</v>
      </c>
      <c r="V207" s="126" t="n">
        <f aca="false">M207/$R$3</f>
        <v>169.565</v>
      </c>
      <c r="W207" s="126" t="n">
        <f aca="false">N207/$R$3</f>
        <v>703.747480417803</v>
      </c>
    </row>
    <row r="208" customFormat="false" ht="12.75" hidden="true" customHeight="false" outlineLevel="0" collapsed="false">
      <c r="A208" s="120" t="n">
        <f aca="false">A207+1</f>
        <v>37094</v>
      </c>
      <c r="B208" s="131" t="str">
        <f aca="false">INDEX('Master Data'!$A$2:$B$8,MATCH(WEEKDAY('EZE Power Trading'!A208,3),'Master Data'!$A$2:$A$8,0),2)</f>
        <v>Su</v>
      </c>
      <c r="D208" s="124" t="n">
        <v>0</v>
      </c>
      <c r="E208" s="124" t="n">
        <v>0</v>
      </c>
      <c r="F208" s="124" t="n">
        <v>0</v>
      </c>
      <c r="G208" s="124" t="n">
        <v>0</v>
      </c>
      <c r="I208" s="124" t="n">
        <f aca="false">IF(MONTH($A208)=MONTH($A207),IF(G208=0,I207,G208),G208)</f>
        <v>169565</v>
      </c>
      <c r="J208" s="124" t="n">
        <f aca="false">IF(MONTH($A208)=MONTH($A207),SUM(I208-I207),I208)</f>
        <v>0</v>
      </c>
      <c r="K208" s="124" t="n">
        <f aca="false">IF(WEEKDAY(A208,3)&gt;4,0,(IF(A208&lt;K$2,0,IF(A208&lt;=K$3,1,0))))</f>
        <v>0</v>
      </c>
      <c r="L208" s="124" t="n">
        <f aca="false">J208*K208</f>
        <v>0</v>
      </c>
      <c r="M208" s="124" t="n">
        <f aca="false">SUM(J$188:J208)</f>
        <v>169565</v>
      </c>
      <c r="N208" s="124" t="n">
        <f aca="false">SUM(J$6:J208)</f>
        <v>703747.480417803</v>
      </c>
      <c r="P208" s="124" t="n">
        <f aca="false">D208/P$3</f>
        <v>0</v>
      </c>
      <c r="Q208" s="124" t="n">
        <f aca="false">E208/P$3</f>
        <v>0</v>
      </c>
      <c r="R208" s="124" t="n">
        <f aca="false">F208/R$3</f>
        <v>0</v>
      </c>
      <c r="S208" s="126" t="n">
        <f aca="false">J208/$R$3</f>
        <v>0</v>
      </c>
      <c r="T208" s="126" t="n">
        <f aca="false">L208/$R$3</f>
        <v>0</v>
      </c>
      <c r="U208" s="126" t="n">
        <f aca="false">I208/$R$3</f>
        <v>169.565</v>
      </c>
      <c r="V208" s="126" t="n">
        <f aca="false">M208/$R$3</f>
        <v>169.565</v>
      </c>
      <c r="W208" s="126" t="n">
        <f aca="false">N208/$R$3</f>
        <v>703.747480417803</v>
      </c>
    </row>
    <row r="209" customFormat="false" ht="12.75" hidden="true" customHeight="false" outlineLevel="0" collapsed="false">
      <c r="A209" s="120" t="n">
        <f aca="false">A208+1</f>
        <v>37095</v>
      </c>
      <c r="B209" s="131" t="str">
        <f aca="false">INDEX('Master Data'!$A$2:$B$8,MATCH(WEEKDAY('EZE Power Trading'!A209,3),'Master Data'!$A$2:$A$8,0),2)</f>
        <v>M</v>
      </c>
      <c r="D209" s="124" t="n">
        <v>-170601.084460951</v>
      </c>
      <c r="E209" s="124" t="n">
        <v>0</v>
      </c>
      <c r="F209" s="124" t="n">
        <v>0</v>
      </c>
      <c r="G209" s="124" t="n">
        <v>170741</v>
      </c>
      <c r="I209" s="124" t="n">
        <f aca="false">IF(MONTH($A209)=MONTH($A208),IF(G209=0,I208,G209),G209)</f>
        <v>170741</v>
      </c>
      <c r="J209" s="124" t="n">
        <f aca="false">IF(MONTH($A209)=MONTH($A208),SUM(I209-I208),I209)</f>
        <v>1176</v>
      </c>
      <c r="K209" s="124" t="n">
        <f aca="false">IF(WEEKDAY(A209,3)&gt;4,0,(IF(A209&lt;K$2,0,IF(A209&lt;=K$3,1,0))))</f>
        <v>0</v>
      </c>
      <c r="L209" s="124" t="n">
        <f aca="false">J209*K209</f>
        <v>0</v>
      </c>
      <c r="M209" s="124" t="n">
        <f aca="false">SUM(J$188:J209)</f>
        <v>170741</v>
      </c>
      <c r="N209" s="124" t="n">
        <f aca="false">SUM(J$6:J209)</f>
        <v>704923.480417803</v>
      </c>
      <c r="P209" s="124" t="n">
        <f aca="false">D209/P$3</f>
        <v>-0.170601084460951</v>
      </c>
      <c r="Q209" s="124" t="n">
        <f aca="false">E209/P$3</f>
        <v>0</v>
      </c>
      <c r="R209" s="124" t="n">
        <f aca="false">F209/R$3</f>
        <v>0</v>
      </c>
      <c r="S209" s="126" t="n">
        <f aca="false">J209/$R$3</f>
        <v>1.176</v>
      </c>
      <c r="T209" s="126" t="n">
        <f aca="false">L209/$R$3</f>
        <v>0</v>
      </c>
      <c r="U209" s="126" t="n">
        <f aca="false">I209/$R$3</f>
        <v>170.741</v>
      </c>
      <c r="V209" s="126" t="n">
        <f aca="false">M209/$R$3</f>
        <v>170.741</v>
      </c>
      <c r="W209" s="126" t="n">
        <f aca="false">N209/$R$3</f>
        <v>704.923480417803</v>
      </c>
    </row>
    <row r="210" customFormat="false" ht="12.75" hidden="true" customHeight="false" outlineLevel="0" collapsed="false">
      <c r="A210" s="120" t="n">
        <f aca="false">A209+1</f>
        <v>37096</v>
      </c>
      <c r="B210" s="131" t="str">
        <f aca="false">INDEX('Master Data'!$A$2:$B$8,MATCH(WEEKDAY('EZE Power Trading'!A210,3),'Master Data'!$A$2:$A$8,0),2)</f>
        <v>T</v>
      </c>
      <c r="D210" s="124" t="n">
        <v>-170410.858785406</v>
      </c>
      <c r="E210" s="124" t="n">
        <v>0</v>
      </c>
      <c r="F210" s="124" t="n">
        <v>0</v>
      </c>
      <c r="G210" s="124" t="n">
        <v>170234</v>
      </c>
      <c r="I210" s="124" t="n">
        <f aca="false">IF(MONTH($A210)=MONTH($A209),IF(G210=0,I209,G210),G210)</f>
        <v>170234</v>
      </c>
      <c r="J210" s="124" t="n">
        <f aca="false">IF(MONTH($A210)=MONTH($A209),SUM(I210-I209),I210)</f>
        <v>-507</v>
      </c>
      <c r="K210" s="124" t="n">
        <f aca="false">IF(WEEKDAY(A210,3)&gt;4,0,(IF(A210&lt;K$2,0,IF(A210&lt;=K$3,1,0))))</f>
        <v>0</v>
      </c>
      <c r="L210" s="124" t="n">
        <f aca="false">J210*K210</f>
        <v>-0</v>
      </c>
      <c r="M210" s="124" t="n">
        <f aca="false">SUM(J$188:J210)</f>
        <v>170234</v>
      </c>
      <c r="N210" s="124" t="n">
        <f aca="false">SUM(J$6:J210)</f>
        <v>704416.480417803</v>
      </c>
      <c r="P210" s="124" t="n">
        <f aca="false">D210/P$3</f>
        <v>-0.170410858785406</v>
      </c>
      <c r="Q210" s="124" t="n">
        <f aca="false">E210/P$3</f>
        <v>0</v>
      </c>
      <c r="R210" s="124" t="n">
        <f aca="false">F210/R$3</f>
        <v>0</v>
      </c>
      <c r="S210" s="126" t="n">
        <f aca="false">J210/$R$3</f>
        <v>-0.507</v>
      </c>
      <c r="T210" s="126" t="n">
        <f aca="false">L210/$R$3</f>
        <v>-0</v>
      </c>
      <c r="U210" s="126" t="n">
        <f aca="false">I210/$R$3</f>
        <v>170.234</v>
      </c>
      <c r="V210" s="126" t="n">
        <f aca="false">M210/$R$3</f>
        <v>170.234</v>
      </c>
      <c r="W210" s="126" t="n">
        <f aca="false">N210/$R$3</f>
        <v>704.416480417803</v>
      </c>
    </row>
    <row r="211" customFormat="false" ht="12.75" hidden="true" customHeight="false" outlineLevel="0" collapsed="false">
      <c r="A211" s="120" t="n">
        <f aca="false">A210+1</f>
        <v>37097</v>
      </c>
      <c r="B211" s="131" t="str">
        <f aca="false">INDEX('Master Data'!$A$2:$B$8,MATCH(WEEKDAY('EZE Power Trading'!A211,3),'Master Data'!$A$2:$A$8,0),2)</f>
        <v>W</v>
      </c>
      <c r="D211" s="124" t="n">
        <v>-170243.88</v>
      </c>
      <c r="E211" s="124" t="n">
        <v>0</v>
      </c>
      <c r="F211" s="124" t="n">
        <v>0</v>
      </c>
      <c r="G211" s="124" t="n">
        <v>169609.64</v>
      </c>
      <c r="I211" s="124" t="n">
        <f aca="false">IF(MONTH($A211)=MONTH($A210),IF(G211=0,I210,G211),G211)</f>
        <v>169609.64</v>
      </c>
      <c r="J211" s="124" t="n">
        <f aca="false">IF(MONTH($A211)=MONTH($A210),SUM(I211-I210),I211)</f>
        <v>-624.359999999986</v>
      </c>
      <c r="K211" s="124" t="n">
        <f aca="false">IF(WEEKDAY(A211,3)&gt;4,0,(IF(A211&lt;K$2,0,IF(A211&lt;=K$3,1,0))))</f>
        <v>0</v>
      </c>
      <c r="L211" s="124" t="n">
        <f aca="false">J211*K211</f>
        <v>-0</v>
      </c>
      <c r="M211" s="124" t="n">
        <f aca="false">SUM(J$188:J211)</f>
        <v>169609.64</v>
      </c>
      <c r="N211" s="124" t="n">
        <f aca="false">SUM(J$6:J211)</f>
        <v>703792.120417803</v>
      </c>
      <c r="P211" s="124" t="n">
        <f aca="false">D211/P$3</f>
        <v>-0.17024388</v>
      </c>
      <c r="Q211" s="124" t="n">
        <f aca="false">E211/P$3</f>
        <v>0</v>
      </c>
      <c r="R211" s="124" t="n">
        <f aca="false">F211/R$3</f>
        <v>0</v>
      </c>
      <c r="S211" s="126" t="n">
        <f aca="false">J211/$R$3</f>
        <v>-0.624359999999986</v>
      </c>
      <c r="T211" s="126" t="n">
        <f aca="false">L211/$R$3</f>
        <v>-0</v>
      </c>
      <c r="U211" s="126" t="n">
        <f aca="false">I211/$R$3</f>
        <v>169.60964</v>
      </c>
      <c r="V211" s="126" t="n">
        <f aca="false">M211/$R$3</f>
        <v>169.60964</v>
      </c>
      <c r="W211" s="126" t="n">
        <f aca="false">N211/$R$3</f>
        <v>703.792120417803</v>
      </c>
    </row>
    <row r="212" customFormat="false" ht="12.75" hidden="true" customHeight="false" outlineLevel="0" collapsed="false">
      <c r="A212" s="120" t="n">
        <f aca="false">A211+1</f>
        <v>37098</v>
      </c>
      <c r="B212" s="131" t="str">
        <f aca="false">INDEX('Master Data'!$A$2:$B$8,MATCH(WEEKDAY('EZE Power Trading'!A212,3),'Master Data'!$A$2:$A$8,0),2)</f>
        <v>Th</v>
      </c>
      <c r="D212" s="124" t="n">
        <v>-170014.143640928</v>
      </c>
      <c r="E212" s="124" t="n">
        <v>0</v>
      </c>
      <c r="F212" s="124" t="n">
        <v>0</v>
      </c>
      <c r="G212" s="124" t="n">
        <v>168984</v>
      </c>
      <c r="I212" s="124" t="n">
        <f aca="false">IF(MONTH($A212)=MONTH($A211),IF(G212=0,I211,G212),G212)</f>
        <v>168984</v>
      </c>
      <c r="J212" s="124" t="n">
        <f aca="false">IF(MONTH($A212)=MONTH($A211),SUM(I212-I211),I212)</f>
        <v>-625.640000000014</v>
      </c>
      <c r="K212" s="124" t="n">
        <f aca="false">IF(WEEKDAY(A212,3)&gt;4,0,(IF(A212&lt;K$2,0,IF(A212&lt;=K$3,1,0))))</f>
        <v>0</v>
      </c>
      <c r="L212" s="124" t="n">
        <f aca="false">J212*K212</f>
        <v>-0</v>
      </c>
      <c r="M212" s="124" t="n">
        <f aca="false">SUM(J$188:J212)</f>
        <v>168984</v>
      </c>
      <c r="N212" s="124" t="n">
        <f aca="false">SUM(J$6:J212)</f>
        <v>703166.480417803</v>
      </c>
      <c r="P212" s="124" t="n">
        <f aca="false">D212/P$3</f>
        <v>-0.170014143640928</v>
      </c>
      <c r="Q212" s="124" t="n">
        <f aca="false">E212/P$3</f>
        <v>0</v>
      </c>
      <c r="R212" s="124" t="n">
        <f aca="false">F212/R$3</f>
        <v>0</v>
      </c>
      <c r="S212" s="126" t="n">
        <f aca="false">J212/$R$3</f>
        <v>-0.625640000000014</v>
      </c>
      <c r="T212" s="126" t="n">
        <f aca="false">L212/$R$3</f>
        <v>-0</v>
      </c>
      <c r="U212" s="126" t="n">
        <f aca="false">I212/$R$3</f>
        <v>168.984</v>
      </c>
      <c r="V212" s="126" t="n">
        <f aca="false">M212/$R$3</f>
        <v>168.984</v>
      </c>
      <c r="W212" s="126" t="n">
        <f aca="false">N212/$R$3</f>
        <v>703.166480417803</v>
      </c>
    </row>
    <row r="213" customFormat="false" ht="12.75" hidden="true" customHeight="false" outlineLevel="0" collapsed="false">
      <c r="A213" s="120" t="n">
        <f aca="false">A212+1</f>
        <v>37099</v>
      </c>
      <c r="B213" s="131" t="str">
        <f aca="false">INDEX('Master Data'!$A$2:$B$8,MATCH(WEEKDAY('EZE Power Trading'!A213,3),'Master Data'!$A$2:$A$8,0),2)</f>
        <v>F</v>
      </c>
      <c r="D213" s="124" t="n">
        <v>-169842.657717383</v>
      </c>
      <c r="E213" s="124" t="n">
        <v>0</v>
      </c>
      <c r="F213" s="124" t="n">
        <v>0</v>
      </c>
      <c r="G213" s="124" t="n">
        <v>169085</v>
      </c>
      <c r="I213" s="124" t="n">
        <f aca="false">IF(MONTH($A213)=MONTH($A212),IF(G213=0,I212,G213),G213)</f>
        <v>169085</v>
      </c>
      <c r="J213" s="124" t="n">
        <f aca="false">IF(MONTH($A213)=MONTH($A212),SUM(I213-I212),I213)</f>
        <v>101</v>
      </c>
      <c r="K213" s="124" t="n">
        <f aca="false">IF(WEEKDAY(A213,3)&gt;4,0,(IF(A213&lt;K$2,0,IF(A213&lt;=K$3,1,0))))</f>
        <v>0</v>
      </c>
      <c r="L213" s="124" t="n">
        <f aca="false">J213*K213</f>
        <v>0</v>
      </c>
      <c r="M213" s="124" t="n">
        <f aca="false">SUM(J$188:J213)</f>
        <v>169085</v>
      </c>
      <c r="N213" s="124" t="n">
        <f aca="false">SUM(J$6:J213)</f>
        <v>703267.480417803</v>
      </c>
      <c r="P213" s="124" t="n">
        <f aca="false">D213/P$3</f>
        <v>-0.169842657717383</v>
      </c>
      <c r="Q213" s="124" t="n">
        <f aca="false">E213/P$3</f>
        <v>0</v>
      </c>
      <c r="R213" s="124" t="n">
        <f aca="false">F213/R$3</f>
        <v>0</v>
      </c>
      <c r="S213" s="126" t="n">
        <f aca="false">J213/$R$3</f>
        <v>0.101</v>
      </c>
      <c r="T213" s="126" t="n">
        <f aca="false">L213/$R$3</f>
        <v>0</v>
      </c>
      <c r="U213" s="126" t="n">
        <f aca="false">I213/$R$3</f>
        <v>169.085</v>
      </c>
      <c r="V213" s="126" t="n">
        <f aca="false">M213/$R$3</f>
        <v>169.085</v>
      </c>
      <c r="W213" s="126" t="n">
        <f aca="false">N213/$R$3</f>
        <v>703.267480417803</v>
      </c>
    </row>
    <row r="214" customFormat="false" ht="12.75" hidden="true" customHeight="false" outlineLevel="0" collapsed="false">
      <c r="A214" s="120" t="n">
        <f aca="false">A213+1</f>
        <v>37100</v>
      </c>
      <c r="B214" s="131" t="str">
        <f aca="false">INDEX('Master Data'!$A$2:$B$8,MATCH(WEEKDAY('EZE Power Trading'!A214,3),'Master Data'!$A$2:$A$8,0),2)</f>
        <v>Sa</v>
      </c>
      <c r="D214" s="124" t="n">
        <v>0</v>
      </c>
      <c r="E214" s="124" t="n">
        <v>0</v>
      </c>
      <c r="F214" s="124" t="n">
        <v>0</v>
      </c>
      <c r="G214" s="124" t="n">
        <v>0</v>
      </c>
      <c r="I214" s="124" t="n">
        <f aca="false">IF(MONTH($A214)=MONTH($A213),IF(G214=0,I213,G214),G214)</f>
        <v>169085</v>
      </c>
      <c r="J214" s="124" t="n">
        <f aca="false">IF(MONTH($A214)=MONTH($A213),SUM(I214-I213),I214)</f>
        <v>0</v>
      </c>
      <c r="K214" s="124" t="n">
        <f aca="false">IF(WEEKDAY(A214,3)&gt;4,0,(IF(A214&lt;K$2,0,IF(A214&lt;=K$3,1,0))))</f>
        <v>0</v>
      </c>
      <c r="L214" s="124" t="n">
        <f aca="false">J214*K214</f>
        <v>0</v>
      </c>
      <c r="M214" s="124" t="n">
        <f aca="false">SUM(J$188:J214)</f>
        <v>169085</v>
      </c>
      <c r="N214" s="124" t="n">
        <f aca="false">SUM(J$6:J214)</f>
        <v>703267.480417803</v>
      </c>
      <c r="P214" s="124" t="n">
        <f aca="false">D214/P$3</f>
        <v>0</v>
      </c>
      <c r="Q214" s="124" t="n">
        <f aca="false">E214/P$3</f>
        <v>0</v>
      </c>
      <c r="R214" s="124" t="n">
        <f aca="false">F214/R$3</f>
        <v>0</v>
      </c>
      <c r="S214" s="126" t="n">
        <f aca="false">J214/$R$3</f>
        <v>0</v>
      </c>
      <c r="T214" s="126" t="n">
        <f aca="false">L214/$R$3</f>
        <v>0</v>
      </c>
      <c r="U214" s="126" t="n">
        <f aca="false">I214/$R$3</f>
        <v>169.085</v>
      </c>
      <c r="V214" s="126" t="n">
        <f aca="false">M214/$R$3</f>
        <v>169.085</v>
      </c>
      <c r="W214" s="126" t="n">
        <f aca="false">N214/$R$3</f>
        <v>703.267480417803</v>
      </c>
    </row>
    <row r="215" customFormat="false" ht="12.75" hidden="true" customHeight="false" outlineLevel="0" collapsed="false">
      <c r="A215" s="120" t="n">
        <f aca="false">A214+1</f>
        <v>37101</v>
      </c>
      <c r="B215" s="131" t="str">
        <f aca="false">INDEX('Master Data'!$A$2:$B$8,MATCH(WEEKDAY('EZE Power Trading'!A215,3),'Master Data'!$A$2:$A$8,0),2)</f>
        <v>Su</v>
      </c>
      <c r="D215" s="124" t="n">
        <v>0</v>
      </c>
      <c r="E215" s="124" t="n">
        <v>0</v>
      </c>
      <c r="F215" s="124" t="n">
        <v>0</v>
      </c>
      <c r="G215" s="124" t="n">
        <v>0</v>
      </c>
      <c r="I215" s="124" t="n">
        <f aca="false">IF(MONTH($A215)=MONTH($A214),IF(G215=0,I214,G215),G215)</f>
        <v>169085</v>
      </c>
      <c r="J215" s="124" t="n">
        <f aca="false">IF(MONTH($A215)=MONTH($A214),SUM(I215-I214),I215)</f>
        <v>0</v>
      </c>
      <c r="K215" s="124" t="n">
        <f aca="false">IF(WEEKDAY(A215,3)&gt;4,0,(IF(A215&lt;K$2,0,IF(A215&lt;=K$3,1,0))))</f>
        <v>0</v>
      </c>
      <c r="L215" s="124" t="n">
        <f aca="false">J215*K215</f>
        <v>0</v>
      </c>
      <c r="M215" s="124" t="n">
        <f aca="false">SUM(J$188:J215)</f>
        <v>169085</v>
      </c>
      <c r="N215" s="124" t="n">
        <f aca="false">SUM(J$6:J215)</f>
        <v>703267.480417803</v>
      </c>
      <c r="P215" s="124" t="n">
        <f aca="false">D215/P$3</f>
        <v>0</v>
      </c>
      <c r="Q215" s="124" t="n">
        <f aca="false">E215/P$3</f>
        <v>0</v>
      </c>
      <c r="R215" s="124" t="n">
        <f aca="false">F215/R$3</f>
        <v>0</v>
      </c>
      <c r="S215" s="126" t="n">
        <f aca="false">J215/$R$3</f>
        <v>0</v>
      </c>
      <c r="T215" s="126" t="n">
        <f aca="false">L215/$R$3</f>
        <v>0</v>
      </c>
      <c r="U215" s="126" t="n">
        <f aca="false">I215/$R$3</f>
        <v>169.085</v>
      </c>
      <c r="V215" s="126" t="n">
        <f aca="false">M215/$R$3</f>
        <v>169.085</v>
      </c>
      <c r="W215" s="126" t="n">
        <f aca="false">N215/$R$3</f>
        <v>703.267480417803</v>
      </c>
    </row>
    <row r="216" customFormat="false" ht="12.75" hidden="true" customHeight="false" outlineLevel="0" collapsed="false">
      <c r="A216" s="120" t="n">
        <f aca="false">A215+1</f>
        <v>37102</v>
      </c>
      <c r="B216" s="131" t="str">
        <f aca="false">INDEX('Master Data'!$A$2:$B$8,MATCH(WEEKDAY('EZE Power Trading'!A216,3),'Master Data'!$A$2:$A$8,0),2)</f>
        <v>M</v>
      </c>
      <c r="D216" s="124" t="n">
        <v>-169447.190983611</v>
      </c>
      <c r="E216" s="124" t="n">
        <v>0</v>
      </c>
      <c r="F216" s="124" t="n">
        <v>0</v>
      </c>
      <c r="G216" s="124" t="n">
        <v>170303</v>
      </c>
      <c r="I216" s="124" t="n">
        <f aca="false">IF(MONTH($A216)=MONTH($A215),IF(G216=0,I215,G216),G216)</f>
        <v>170303</v>
      </c>
      <c r="J216" s="124" t="n">
        <f aca="false">IF(MONTH($A216)=MONTH($A215),SUM(I216-I215),I216)</f>
        <v>1218</v>
      </c>
      <c r="K216" s="124" t="n">
        <f aca="false">IF(WEEKDAY(A216,3)&gt;4,0,(IF(A216&lt;K$2,0,IF(A216&lt;=K$3,1,0))))</f>
        <v>0</v>
      </c>
      <c r="L216" s="124" t="n">
        <f aca="false">J216*K216</f>
        <v>0</v>
      </c>
      <c r="M216" s="124" t="n">
        <f aca="false">SUM(J$188:J216)</f>
        <v>170303</v>
      </c>
      <c r="N216" s="124" t="n">
        <f aca="false">SUM(J$6:J216)</f>
        <v>704485.480417803</v>
      </c>
      <c r="P216" s="124" t="n">
        <f aca="false">D216/P$3</f>
        <v>-0.169447190983611</v>
      </c>
      <c r="Q216" s="124" t="n">
        <f aca="false">E216/P$3</f>
        <v>0</v>
      </c>
      <c r="R216" s="124" t="n">
        <f aca="false">F216/R$3</f>
        <v>0</v>
      </c>
      <c r="S216" s="126" t="n">
        <f aca="false">J216/$R$3</f>
        <v>1.218</v>
      </c>
      <c r="T216" s="126" t="n">
        <f aca="false">L216/$R$3</f>
        <v>0</v>
      </c>
      <c r="U216" s="126" t="n">
        <f aca="false">I216/$R$3</f>
        <v>170.303</v>
      </c>
      <c r="V216" s="126" t="n">
        <f aca="false">M216/$R$3</f>
        <v>170.303</v>
      </c>
      <c r="W216" s="126" t="n">
        <f aca="false">N216/$R$3</f>
        <v>704.485480417803</v>
      </c>
    </row>
    <row r="217" customFormat="false" ht="12.75" hidden="false" customHeight="false" outlineLevel="0" collapsed="false">
      <c r="A217" s="120" t="n">
        <f aca="false">A216+1</f>
        <v>37103</v>
      </c>
      <c r="B217" s="131" t="str">
        <f aca="false">INDEX('Master Data'!$A$2:$B$8,MATCH(WEEKDAY('EZE Power Trading'!A217,3),'Master Data'!$A$2:$A$8,0),2)</f>
        <v>T</v>
      </c>
      <c r="D217" s="124" t="n">
        <v>-169278.128196185</v>
      </c>
      <c r="E217" s="124" t="n">
        <v>0</v>
      </c>
      <c r="F217" s="124" t="n">
        <v>0</v>
      </c>
      <c r="G217" s="124" t="n">
        <v>171676</v>
      </c>
      <c r="I217" s="124" t="n">
        <f aca="false">IF(MONTH($A217)=MONTH($A216),IF(G217=0,I216,G217),G217)</f>
        <v>171676</v>
      </c>
      <c r="J217" s="124" t="n">
        <f aca="false">IF(MONTH($A217)=MONTH($A216),SUM(I217-I216),I217)</f>
        <v>1373</v>
      </c>
      <c r="K217" s="124" t="n">
        <f aca="false">IF(WEEKDAY(A217,3)&gt;4,0,(IF(A217&lt;K$2,0,IF(A217&lt;=K$3,1,0))))</f>
        <v>0</v>
      </c>
      <c r="L217" s="124" t="n">
        <f aca="false">J217*K217</f>
        <v>0</v>
      </c>
      <c r="M217" s="124" t="n">
        <f aca="false">SUM(J$188:J217)</f>
        <v>171676</v>
      </c>
      <c r="N217" s="124" t="n">
        <f aca="false">SUM(J$6:J217)</f>
        <v>705858.480417803</v>
      </c>
      <c r="P217" s="124" t="n">
        <f aca="false">D217/P$3</f>
        <v>-0.169278128196185</v>
      </c>
      <c r="Q217" s="124" t="n">
        <f aca="false">E217/P$3</f>
        <v>0</v>
      </c>
      <c r="R217" s="124" t="n">
        <f aca="false">F217/R$3</f>
        <v>0</v>
      </c>
      <c r="S217" s="126" t="n">
        <f aca="false">J217/$R$3</f>
        <v>1.373</v>
      </c>
      <c r="T217" s="126" t="n">
        <f aca="false">L217/$R$3</f>
        <v>0</v>
      </c>
      <c r="U217" s="126" t="n">
        <f aca="false">I217/$R$3</f>
        <v>171.676</v>
      </c>
      <c r="V217" s="126" t="n">
        <f aca="false">M217/$R$3</f>
        <v>171.676</v>
      </c>
      <c r="W217" s="126" t="n">
        <f aca="false">N217/$R$3</f>
        <v>705.858480417803</v>
      </c>
    </row>
    <row r="218" customFormat="false" ht="12.75" hidden="true" customHeight="false" outlineLevel="0" collapsed="false">
      <c r="A218" s="120" t="n">
        <f aca="false">A217+1</f>
        <v>37104</v>
      </c>
      <c r="B218" s="131" t="str">
        <f aca="false">INDEX('Master Data'!$A$2:$B$8,MATCH(WEEKDAY('EZE Power Trading'!A218,3),'Master Data'!$A$2:$A$8,0),2)</f>
        <v>W</v>
      </c>
      <c r="D218" s="124" t="n">
        <v>-169139.683795473</v>
      </c>
      <c r="E218" s="124" t="n">
        <v>0</v>
      </c>
      <c r="F218" s="124" t="n">
        <v>0</v>
      </c>
      <c r="G218" s="124" t="n">
        <v>3246</v>
      </c>
      <c r="I218" s="124" t="n">
        <f aca="false">IF(MONTH($A218)=MONTH($A217),IF(G218=0,I217,G218),G218)</f>
        <v>3246</v>
      </c>
      <c r="J218" s="124" t="n">
        <f aca="false">IF(MONTH($A218)=MONTH($A217),SUM(I218-I217),I218)</f>
        <v>3246</v>
      </c>
      <c r="K218" s="124" t="n">
        <f aca="false">IF(WEEKDAY(A218,3)&gt;4,0,(IF(A218&lt;K$2,0,IF(A218&lt;=K$3,1,0))))</f>
        <v>0</v>
      </c>
      <c r="L218" s="124" t="n">
        <f aca="false">J218*K218</f>
        <v>0</v>
      </c>
      <c r="M218" s="124" t="n">
        <f aca="false">SUM(J$188:J218)</f>
        <v>174922</v>
      </c>
      <c r="N218" s="124" t="n">
        <f aca="false">SUM(J$6:J218)</f>
        <v>709104.480417803</v>
      </c>
      <c r="P218" s="124" t="n">
        <f aca="false">D218/P$3</f>
        <v>-0.169139683795473</v>
      </c>
      <c r="Q218" s="124" t="n">
        <f aca="false">E218/P$3</f>
        <v>0</v>
      </c>
      <c r="R218" s="124" t="n">
        <f aca="false">F218/R$3</f>
        <v>0</v>
      </c>
      <c r="S218" s="126" t="n">
        <f aca="false">J218/$R$3</f>
        <v>3.246</v>
      </c>
      <c r="T218" s="126" t="n">
        <f aca="false">L218/$R$3</f>
        <v>0</v>
      </c>
      <c r="U218" s="126" t="n">
        <f aca="false">I218/$R$3</f>
        <v>3.246</v>
      </c>
      <c r="V218" s="126" t="n">
        <f aca="false">M218/$R$3</f>
        <v>174.922</v>
      </c>
      <c r="W218" s="126" t="n">
        <f aca="false">N218/$R$3</f>
        <v>709.104480417803</v>
      </c>
    </row>
    <row r="219" customFormat="false" ht="12.75" hidden="true" customHeight="false" outlineLevel="0" collapsed="false">
      <c r="A219" s="120" t="n">
        <f aca="false">A218+1</f>
        <v>37105</v>
      </c>
      <c r="B219" s="131" t="str">
        <f aca="false">INDEX('Master Data'!$A$2:$B$8,MATCH(WEEKDAY('EZE Power Trading'!A219,3),'Master Data'!$A$2:$A$8,0),2)</f>
        <v>Th</v>
      </c>
      <c r="D219" s="124" t="n">
        <v>-173974</v>
      </c>
      <c r="E219" s="124" t="n">
        <v>0</v>
      </c>
      <c r="F219" s="124" t="n">
        <v>0</v>
      </c>
      <c r="G219" s="124" t="n">
        <v>1216</v>
      </c>
      <c r="I219" s="124" t="n">
        <f aca="false">IF(MONTH($A219)=MONTH($A218),IF(G219=0,I218,G219),G219)</f>
        <v>1216</v>
      </c>
      <c r="J219" s="124" t="n">
        <f aca="false">IF(MONTH($A219)=MONTH($A218),SUM(I219-I218),I219)</f>
        <v>-2030</v>
      </c>
      <c r="K219" s="124" t="n">
        <f aca="false">IF(WEEKDAY(A219,3)&gt;4,0,(IF(A219&lt;K$2,0,IF(A219&lt;=K$3,1,0))))</f>
        <v>0</v>
      </c>
      <c r="L219" s="124" t="n">
        <f aca="false">J219*K219</f>
        <v>-0</v>
      </c>
      <c r="M219" s="124" t="n">
        <f aca="false">SUM(J$188:J219)</f>
        <v>172892</v>
      </c>
      <c r="N219" s="124" t="n">
        <f aca="false">SUM(J$6:J219)</f>
        <v>707074.480417803</v>
      </c>
      <c r="P219" s="124" t="n">
        <f aca="false">D219/P$3</f>
        <v>-0.173974</v>
      </c>
      <c r="Q219" s="124" t="n">
        <f aca="false">E219/P$3</f>
        <v>0</v>
      </c>
      <c r="R219" s="124" t="n">
        <f aca="false">F219/R$3</f>
        <v>0</v>
      </c>
      <c r="S219" s="126" t="n">
        <f aca="false">J219/$R$3</f>
        <v>-2.03</v>
      </c>
      <c r="T219" s="126" t="n">
        <f aca="false">L219/$R$3</f>
        <v>-0</v>
      </c>
      <c r="U219" s="126" t="n">
        <f aca="false">I219/$R$3</f>
        <v>1.216</v>
      </c>
      <c r="V219" s="126" t="n">
        <f aca="false">M219/$R$3</f>
        <v>172.892</v>
      </c>
      <c r="W219" s="126" t="n">
        <f aca="false">N219/$R$3</f>
        <v>707.074480417803</v>
      </c>
    </row>
    <row r="220" customFormat="false" ht="12.75" hidden="true" customHeight="false" outlineLevel="0" collapsed="false">
      <c r="A220" s="120" t="n">
        <f aca="false">A219+1</f>
        <v>37106</v>
      </c>
      <c r="B220" s="131" t="str">
        <f aca="false">INDEX('Master Data'!$A$2:$B$8,MATCH(WEEKDAY('EZE Power Trading'!A220,3),'Master Data'!$A$2:$A$8,0),2)</f>
        <v>F</v>
      </c>
      <c r="D220" s="124" t="n">
        <v>-168079.913840975</v>
      </c>
      <c r="E220" s="124" t="n">
        <v>0</v>
      </c>
      <c r="F220" s="124" t="n">
        <v>0</v>
      </c>
      <c r="G220" s="124" t="n">
        <v>6561</v>
      </c>
      <c r="I220" s="124" t="n">
        <f aca="false">IF(MONTH($A220)=MONTH($A219),IF(G220=0,I219,G220),G220)</f>
        <v>6561</v>
      </c>
      <c r="J220" s="124" t="n">
        <f aca="false">IF(MONTH($A220)=MONTH($A219),SUM(I220-I219),I220)</f>
        <v>5345</v>
      </c>
      <c r="K220" s="124" t="n">
        <f aca="false">IF(WEEKDAY(A220,3)&gt;4,0,(IF(A220&lt;K$2,0,IF(A220&lt;=K$3,1,0))))</f>
        <v>0</v>
      </c>
      <c r="L220" s="124" t="n">
        <f aca="false">J220*K220</f>
        <v>0</v>
      </c>
      <c r="M220" s="124" t="n">
        <f aca="false">SUM(J$188:J220)</f>
        <v>178237</v>
      </c>
      <c r="N220" s="124" t="n">
        <f aca="false">SUM(J$6:J220)</f>
        <v>712419.480417803</v>
      </c>
      <c r="P220" s="124" t="n">
        <f aca="false">D220/P$3</f>
        <v>-0.168079913840975</v>
      </c>
      <c r="Q220" s="124" t="n">
        <f aca="false">E220/P$3</f>
        <v>0</v>
      </c>
      <c r="R220" s="124" t="n">
        <f aca="false">F220/R$3</f>
        <v>0</v>
      </c>
      <c r="S220" s="126" t="n">
        <f aca="false">J220/$R$3</f>
        <v>5.345</v>
      </c>
      <c r="T220" s="126" t="n">
        <f aca="false">L220/$R$3</f>
        <v>0</v>
      </c>
      <c r="U220" s="126" t="n">
        <f aca="false">I220/$R$3</f>
        <v>6.561</v>
      </c>
      <c r="V220" s="126" t="n">
        <f aca="false">M220/$R$3</f>
        <v>178.237</v>
      </c>
      <c r="W220" s="126" t="n">
        <f aca="false">N220/$R$3</f>
        <v>712.419480417803</v>
      </c>
    </row>
    <row r="221" customFormat="false" ht="12.75" hidden="true" customHeight="false" outlineLevel="0" collapsed="false">
      <c r="A221" s="120" t="n">
        <f aca="false">A220+1</f>
        <v>37107</v>
      </c>
      <c r="B221" s="131" t="str">
        <f aca="false">INDEX('Master Data'!$A$2:$B$8,MATCH(WEEKDAY('EZE Power Trading'!A221,3),'Master Data'!$A$2:$A$8,0),2)</f>
        <v>Sa</v>
      </c>
      <c r="D221" s="124" t="n">
        <v>0</v>
      </c>
      <c r="E221" s="124" t="n">
        <v>0</v>
      </c>
      <c r="F221" s="124" t="n">
        <v>0</v>
      </c>
      <c r="G221" s="124" t="n">
        <v>0</v>
      </c>
      <c r="I221" s="124" t="n">
        <f aca="false">IF(MONTH($A221)=MONTH($A220),IF(G221=0,I220,G221),G221)</f>
        <v>6561</v>
      </c>
      <c r="J221" s="124" t="n">
        <f aca="false">IF(MONTH($A221)=MONTH($A220),SUM(I221-I220),I221)</f>
        <v>0</v>
      </c>
      <c r="K221" s="124" t="n">
        <f aca="false">IF(WEEKDAY(A221,3)&gt;4,0,(IF(A221&lt;K$2,0,IF(A221&lt;=K$3,1,0))))</f>
        <v>0</v>
      </c>
      <c r="L221" s="124" t="n">
        <f aca="false">J221*K221</f>
        <v>0</v>
      </c>
      <c r="M221" s="124" t="n">
        <f aca="false">SUM(J$188:J221)</f>
        <v>178237</v>
      </c>
      <c r="N221" s="124" t="n">
        <f aca="false">SUM(J$6:J221)</f>
        <v>712419.480417803</v>
      </c>
      <c r="P221" s="124" t="n">
        <f aca="false">D221/P$3</f>
        <v>0</v>
      </c>
      <c r="Q221" s="124" t="n">
        <f aca="false">E221/P$3</f>
        <v>0</v>
      </c>
      <c r="R221" s="124" t="n">
        <f aca="false">F221/R$3</f>
        <v>0</v>
      </c>
      <c r="S221" s="126" t="n">
        <f aca="false">J221/$R$3</f>
        <v>0</v>
      </c>
      <c r="T221" s="126" t="n">
        <f aca="false">L221/$R$3</f>
        <v>0</v>
      </c>
      <c r="U221" s="126" t="n">
        <f aca="false">I221/$R$3</f>
        <v>6.561</v>
      </c>
      <c r="V221" s="126" t="n">
        <f aca="false">M221/$R$3</f>
        <v>178.237</v>
      </c>
      <c r="W221" s="126" t="n">
        <f aca="false">N221/$R$3</f>
        <v>712.419480417803</v>
      </c>
    </row>
    <row r="222" customFormat="false" ht="12.75" hidden="true" customHeight="false" outlineLevel="0" collapsed="false">
      <c r="A222" s="120" t="n">
        <f aca="false">A221+1</f>
        <v>37108</v>
      </c>
      <c r="B222" s="131" t="str">
        <f aca="false">INDEX('Master Data'!$A$2:$B$8,MATCH(WEEKDAY('EZE Power Trading'!A222,3),'Master Data'!$A$2:$A$8,0),2)</f>
        <v>Su</v>
      </c>
      <c r="D222" s="124" t="n">
        <v>0</v>
      </c>
      <c r="E222" s="124" t="n">
        <v>0</v>
      </c>
      <c r="F222" s="124" t="n">
        <v>0</v>
      </c>
      <c r="G222" s="124" t="n">
        <v>0</v>
      </c>
      <c r="I222" s="124" t="n">
        <f aca="false">IF(MONTH($A222)=MONTH($A221),IF(G222=0,I221,G222),G222)</f>
        <v>6561</v>
      </c>
      <c r="J222" s="124" t="n">
        <f aca="false">IF(MONTH($A222)=MONTH($A221),SUM(I222-I221),I222)</f>
        <v>0</v>
      </c>
      <c r="K222" s="124" t="n">
        <f aca="false">IF(WEEKDAY(A222,3)&gt;4,0,(IF(A222&lt;K$2,0,IF(A222&lt;=K$3,1,0))))</f>
        <v>0</v>
      </c>
      <c r="L222" s="124" t="n">
        <f aca="false">J222*K222</f>
        <v>0</v>
      </c>
      <c r="M222" s="124" t="n">
        <f aca="false">SUM(J$188:J222)</f>
        <v>178237</v>
      </c>
      <c r="N222" s="124" t="n">
        <f aca="false">SUM(J$6:J222)</f>
        <v>712419.480417803</v>
      </c>
      <c r="P222" s="124" t="n">
        <f aca="false">D222/P$3</f>
        <v>0</v>
      </c>
      <c r="Q222" s="124" t="n">
        <f aca="false">E222/P$3</f>
        <v>0</v>
      </c>
      <c r="R222" s="124" t="n">
        <f aca="false">F222/R$3</f>
        <v>0</v>
      </c>
      <c r="S222" s="126" t="n">
        <f aca="false">J222/$R$3</f>
        <v>0</v>
      </c>
      <c r="T222" s="126" t="n">
        <f aca="false">L222/$R$3</f>
        <v>0</v>
      </c>
      <c r="U222" s="126" t="n">
        <f aca="false">I222/$R$3</f>
        <v>6.561</v>
      </c>
      <c r="V222" s="126" t="n">
        <f aca="false">M222/$R$3</f>
        <v>178.237</v>
      </c>
      <c r="W222" s="126" t="n">
        <f aca="false">N222/$R$3</f>
        <v>712.419480417803</v>
      </c>
    </row>
    <row r="223" customFormat="false" ht="12.75" hidden="true" customHeight="false" outlineLevel="0" collapsed="false">
      <c r="A223" s="120" t="n">
        <f aca="false">A222+1</f>
        <v>37109</v>
      </c>
      <c r="B223" s="131" t="str">
        <f aca="false">INDEX('Master Data'!$A$2:$B$8,MATCH(WEEKDAY('EZE Power Trading'!A223,3),'Master Data'!$A$2:$A$8,0),2)</f>
        <v>M</v>
      </c>
      <c r="D223" s="124" t="n">
        <v>-167486.928762485</v>
      </c>
      <c r="E223" s="124" t="n">
        <v>0</v>
      </c>
      <c r="F223" s="124" t="n">
        <v>0</v>
      </c>
      <c r="G223" s="124" t="n">
        <v>13815</v>
      </c>
      <c r="I223" s="124" t="n">
        <f aca="false">IF(MONTH($A223)=MONTH($A222),IF(G223=0,I222,G223),G223)</f>
        <v>13815</v>
      </c>
      <c r="J223" s="124" t="n">
        <f aca="false">IF(MONTH($A223)=MONTH($A222),SUM(I223-I222),I223)</f>
        <v>7254</v>
      </c>
      <c r="K223" s="124" t="n">
        <f aca="false">IF(WEEKDAY(A223,3)&gt;4,0,(IF(A223&lt;K$2,0,IF(A223&lt;=K$3,1,0))))</f>
        <v>0</v>
      </c>
      <c r="L223" s="124" t="n">
        <f aca="false">J223*K223</f>
        <v>0</v>
      </c>
      <c r="M223" s="124" t="n">
        <f aca="false">SUM(J$188:J223)</f>
        <v>185491</v>
      </c>
      <c r="N223" s="124" t="n">
        <f aca="false">SUM(J$6:J223)</f>
        <v>719673.480417803</v>
      </c>
      <c r="P223" s="124" t="n">
        <f aca="false">D223/P$3</f>
        <v>-0.167486928762485</v>
      </c>
      <c r="Q223" s="124" t="n">
        <f aca="false">E223/P$3</f>
        <v>0</v>
      </c>
      <c r="R223" s="124" t="n">
        <f aca="false">F223/R$3</f>
        <v>0</v>
      </c>
      <c r="S223" s="126" t="n">
        <f aca="false">J223/$R$3</f>
        <v>7.254</v>
      </c>
      <c r="T223" s="126" t="n">
        <f aca="false">L223/$R$3</f>
        <v>0</v>
      </c>
      <c r="U223" s="126" t="n">
        <f aca="false">I223/$R$3</f>
        <v>13.815</v>
      </c>
      <c r="V223" s="126" t="n">
        <f aca="false">M223/$R$3</f>
        <v>185.491</v>
      </c>
      <c r="W223" s="126" t="n">
        <f aca="false">N223/$R$3</f>
        <v>719.673480417803</v>
      </c>
    </row>
    <row r="224" customFormat="false" ht="12.75" hidden="true" customHeight="false" outlineLevel="0" collapsed="false">
      <c r="A224" s="120" t="n">
        <f aca="false">A223+1</f>
        <v>37110</v>
      </c>
      <c r="B224" s="131" t="str">
        <f aca="false">INDEX('Master Data'!$A$2:$B$8,MATCH(WEEKDAY('EZE Power Trading'!A224,3),'Master Data'!$A$2:$A$8,0),2)</f>
        <v>T</v>
      </c>
      <c r="D224" s="124" t="n">
        <v>-167312.220624271</v>
      </c>
      <c r="E224" s="124" t="n">
        <v>0</v>
      </c>
      <c r="F224" s="124" t="n">
        <v>0</v>
      </c>
      <c r="G224" s="124" t="n">
        <v>16615</v>
      </c>
      <c r="I224" s="124" t="n">
        <f aca="false">IF(MONTH($A224)=MONTH($A223),IF(G224=0,I223,G224),G224)</f>
        <v>16615</v>
      </c>
      <c r="J224" s="124" t="n">
        <f aca="false">IF(MONTH($A224)=MONTH($A223),SUM(I224-I223),I224)</f>
        <v>2800</v>
      </c>
      <c r="K224" s="124" t="n">
        <f aca="false">IF(WEEKDAY(A224,3)&gt;4,0,(IF(A224&lt;K$2,0,IF(A224&lt;=K$3,1,0))))</f>
        <v>0</v>
      </c>
      <c r="L224" s="124" t="n">
        <f aca="false">J224*K224</f>
        <v>0</v>
      </c>
      <c r="M224" s="124" t="n">
        <f aca="false">SUM(J$188:J224)</f>
        <v>188291</v>
      </c>
      <c r="N224" s="124" t="n">
        <f aca="false">SUM(J$6:J224)</f>
        <v>722473.480417803</v>
      </c>
      <c r="P224" s="124" t="n">
        <f aca="false">D224/P$3</f>
        <v>-0.167312220624271</v>
      </c>
      <c r="Q224" s="124" t="n">
        <f aca="false">E224/P$3</f>
        <v>0</v>
      </c>
      <c r="R224" s="124" t="n">
        <f aca="false">F224/R$3</f>
        <v>0</v>
      </c>
      <c r="S224" s="126" t="n">
        <f aca="false">J224/$R$3</f>
        <v>2.8</v>
      </c>
      <c r="T224" s="126" t="n">
        <f aca="false">L224/$R$3</f>
        <v>0</v>
      </c>
      <c r="U224" s="126" t="n">
        <f aca="false">I224/$R$3</f>
        <v>16.615</v>
      </c>
      <c r="V224" s="126" t="n">
        <f aca="false">M224/$R$3</f>
        <v>188.291</v>
      </c>
      <c r="W224" s="126" t="n">
        <f aca="false">N224/$R$3</f>
        <v>722.473480417803</v>
      </c>
    </row>
    <row r="225" customFormat="false" ht="12.75" hidden="true" customHeight="false" outlineLevel="0" collapsed="false">
      <c r="A225" s="120" t="n">
        <f aca="false">A224+1</f>
        <v>37111</v>
      </c>
      <c r="B225" s="131" t="str">
        <f aca="false">INDEX('Master Data'!$A$2:$B$8,MATCH(WEEKDAY('EZE Power Trading'!A225,3),'Master Data'!$A$2:$A$8,0),2)</f>
        <v>W</v>
      </c>
      <c r="D225" s="124" t="n">
        <v>-167088.775103437</v>
      </c>
      <c r="E225" s="124" t="n">
        <v>0</v>
      </c>
      <c r="F225" s="124" t="n">
        <v>0</v>
      </c>
      <c r="G225" s="124" t="n">
        <v>19175</v>
      </c>
      <c r="I225" s="124" t="n">
        <f aca="false">IF(MONTH($A225)=MONTH($A224),IF(G225=0,I224,G225),G225)</f>
        <v>19175</v>
      </c>
      <c r="J225" s="124" t="n">
        <f aca="false">IF(MONTH($A225)=MONTH($A224),SUM(I225-I224),I225)</f>
        <v>2560</v>
      </c>
      <c r="K225" s="124" t="n">
        <f aca="false">IF(WEEKDAY(A225,3)&gt;4,0,(IF(A225&lt;K$2,0,IF(A225&lt;=K$3,1,0))))</f>
        <v>0</v>
      </c>
      <c r="L225" s="124" t="n">
        <f aca="false">J225*K225</f>
        <v>0</v>
      </c>
      <c r="M225" s="124" t="n">
        <f aca="false">SUM(J$188:J225)</f>
        <v>190851</v>
      </c>
      <c r="N225" s="124" t="n">
        <f aca="false">SUM(J$6:J225)</f>
        <v>725033.480417803</v>
      </c>
      <c r="P225" s="124" t="n">
        <f aca="false">D225/P$3</f>
        <v>-0.167088775103437</v>
      </c>
      <c r="Q225" s="124" t="n">
        <f aca="false">E225/P$3</f>
        <v>0</v>
      </c>
      <c r="R225" s="124" t="n">
        <f aca="false">F225/R$3</f>
        <v>0</v>
      </c>
      <c r="S225" s="126" t="n">
        <f aca="false">J225/$R$3</f>
        <v>2.56</v>
      </c>
      <c r="T225" s="126" t="n">
        <f aca="false">L225/$R$3</f>
        <v>0</v>
      </c>
      <c r="U225" s="126" t="n">
        <f aca="false">I225/$R$3</f>
        <v>19.175</v>
      </c>
      <c r="V225" s="126" t="n">
        <f aca="false">M225/$R$3</f>
        <v>190.851</v>
      </c>
      <c r="W225" s="126" t="n">
        <f aca="false">N225/$R$3</f>
        <v>725.033480417803</v>
      </c>
    </row>
    <row r="226" customFormat="false" ht="12.75" hidden="true" customHeight="false" outlineLevel="0" collapsed="false">
      <c r="A226" s="120" t="n">
        <f aca="false">A225+1</f>
        <v>37112</v>
      </c>
      <c r="B226" s="131" t="str">
        <f aca="false">INDEX('Master Data'!$A$2:$B$8,MATCH(WEEKDAY('EZE Power Trading'!A226,3),'Master Data'!$A$2:$A$8,0),2)</f>
        <v>Th</v>
      </c>
      <c r="D226" s="124" t="n">
        <v>-167056.133810843</v>
      </c>
      <c r="E226" s="124" t="n">
        <v>0</v>
      </c>
      <c r="F226" s="124" t="n">
        <v>0</v>
      </c>
      <c r="G226" s="124" t="n">
        <v>23079</v>
      </c>
      <c r="I226" s="124" t="n">
        <f aca="false">IF(MONTH($A226)=MONTH($A225),IF(G226=0,I225,G226),G226)</f>
        <v>23079</v>
      </c>
      <c r="J226" s="124" t="n">
        <f aca="false">IF(MONTH($A226)=MONTH($A225),SUM(I226-I225),I226)</f>
        <v>3904</v>
      </c>
      <c r="K226" s="124" t="n">
        <f aca="false">IF(WEEKDAY(A226,3)&gt;4,0,(IF(A226&lt;K$2,0,IF(A226&lt;=K$3,1,0))))</f>
        <v>0</v>
      </c>
      <c r="L226" s="124" t="n">
        <f aca="false">J226*K226</f>
        <v>0</v>
      </c>
      <c r="M226" s="124" t="n">
        <f aca="false">SUM(J$188:J226)</f>
        <v>194755</v>
      </c>
      <c r="N226" s="124" t="n">
        <f aca="false">SUM(J$6:J226)</f>
        <v>728937.480417803</v>
      </c>
      <c r="P226" s="124" t="n">
        <f aca="false">D226/P$3</f>
        <v>-0.167056133810843</v>
      </c>
      <c r="Q226" s="124" t="n">
        <f aca="false">E226/P$3</f>
        <v>0</v>
      </c>
      <c r="R226" s="124" t="n">
        <f aca="false">F226/R$3</f>
        <v>0</v>
      </c>
      <c r="S226" s="126" t="n">
        <f aca="false">J226/$R$3</f>
        <v>3.904</v>
      </c>
      <c r="T226" s="126" t="n">
        <f aca="false">L226/$R$3</f>
        <v>0</v>
      </c>
      <c r="U226" s="126" t="n">
        <f aca="false">I226/$R$3</f>
        <v>23.079</v>
      </c>
      <c r="V226" s="126" t="n">
        <f aca="false">M226/$R$3</f>
        <v>194.755</v>
      </c>
      <c r="W226" s="126" t="n">
        <f aca="false">N226/$R$3</f>
        <v>728.937480417803</v>
      </c>
    </row>
    <row r="227" customFormat="false" ht="12.75" hidden="true" customHeight="false" outlineLevel="0" collapsed="false">
      <c r="A227" s="120" t="n">
        <f aca="false">A226+1</f>
        <v>37113</v>
      </c>
      <c r="B227" s="131" t="str">
        <f aca="false">INDEX('Master Data'!$A$2:$B$8,MATCH(WEEKDAY('EZE Power Trading'!A227,3),'Master Data'!$A$2:$A$8,0),2)</f>
        <v>F</v>
      </c>
      <c r="D227" s="124" t="n">
        <v>-166798.485191308</v>
      </c>
      <c r="E227" s="124" t="n">
        <v>0</v>
      </c>
      <c r="F227" s="124" t="n">
        <v>0</v>
      </c>
      <c r="G227" s="124" t="n">
        <v>49037</v>
      </c>
      <c r="I227" s="124" t="n">
        <f aca="false">IF(MONTH($A227)=MONTH($A226),IF(G227=0,I226,G227),G227)</f>
        <v>49037</v>
      </c>
      <c r="J227" s="124" t="n">
        <f aca="false">IF(MONTH($A227)=MONTH($A226),SUM(I227-I226),I227)</f>
        <v>25958</v>
      </c>
      <c r="K227" s="124" t="n">
        <f aca="false">IF(WEEKDAY(A227,3)&gt;4,0,(IF(A227&lt;K$2,0,IF(A227&lt;=K$3,1,0))))</f>
        <v>0</v>
      </c>
      <c r="L227" s="124" t="n">
        <f aca="false">J227*K227</f>
        <v>0</v>
      </c>
      <c r="M227" s="124" t="n">
        <f aca="false">SUM(J$188:J227)</f>
        <v>220713</v>
      </c>
      <c r="N227" s="124" t="n">
        <f aca="false">SUM(J$6:J227)</f>
        <v>754895.480417803</v>
      </c>
      <c r="P227" s="124" t="n">
        <f aca="false">D227/P$3</f>
        <v>-0.166798485191308</v>
      </c>
      <c r="Q227" s="124" t="n">
        <f aca="false">E227/P$3</f>
        <v>0</v>
      </c>
      <c r="R227" s="124" t="n">
        <f aca="false">F227/R$3</f>
        <v>0</v>
      </c>
      <c r="S227" s="126" t="n">
        <f aca="false">J227/$R$3</f>
        <v>25.958</v>
      </c>
      <c r="T227" s="126" t="n">
        <f aca="false">L227/$R$3</f>
        <v>0</v>
      </c>
      <c r="U227" s="126" t="n">
        <f aca="false">I227/$R$3</f>
        <v>49.037</v>
      </c>
      <c r="V227" s="126" t="n">
        <f aca="false">M227/$R$3</f>
        <v>220.713</v>
      </c>
      <c r="W227" s="126" t="n">
        <f aca="false">N227/$R$3</f>
        <v>754.895480417803</v>
      </c>
    </row>
    <row r="228" customFormat="false" ht="12.75" hidden="true" customHeight="false" outlineLevel="0" collapsed="false">
      <c r="A228" s="120" t="n">
        <f aca="false">A227+1</f>
        <v>37114</v>
      </c>
      <c r="B228" s="131" t="str">
        <f aca="false">INDEX('Master Data'!$A$2:$B$8,MATCH(WEEKDAY('EZE Power Trading'!A228,3),'Master Data'!$A$2:$A$8,0),2)</f>
        <v>Sa</v>
      </c>
      <c r="D228" s="124" t="n">
        <v>0</v>
      </c>
      <c r="E228" s="124" t="n">
        <v>0</v>
      </c>
      <c r="F228" s="124" t="n">
        <v>0</v>
      </c>
      <c r="G228" s="124" t="n">
        <v>0</v>
      </c>
      <c r="I228" s="124" t="n">
        <f aca="false">IF(MONTH($A228)=MONTH($A227),IF(G228=0,I227,G228),G228)</f>
        <v>49037</v>
      </c>
      <c r="J228" s="124" t="n">
        <f aca="false">IF(MONTH($A228)=MONTH($A227),SUM(I228-I227),I228)</f>
        <v>0</v>
      </c>
      <c r="K228" s="124" t="n">
        <f aca="false">IF(WEEKDAY(A228,3)&gt;4,0,(IF(A228&lt;K$2,0,IF(A228&lt;=K$3,1,0))))</f>
        <v>0</v>
      </c>
      <c r="L228" s="124" t="n">
        <f aca="false">J228*K228</f>
        <v>0</v>
      </c>
      <c r="M228" s="124" t="n">
        <f aca="false">SUM(J$188:J228)</f>
        <v>220713</v>
      </c>
      <c r="N228" s="124" t="n">
        <f aca="false">SUM(J$6:J228)</f>
        <v>754895.480417803</v>
      </c>
      <c r="P228" s="124" t="n">
        <f aca="false">D228/P$3</f>
        <v>0</v>
      </c>
      <c r="Q228" s="124" t="n">
        <f aca="false">E228/P$3</f>
        <v>0</v>
      </c>
      <c r="R228" s="124" t="n">
        <f aca="false">F228/R$3</f>
        <v>0</v>
      </c>
      <c r="S228" s="126" t="n">
        <f aca="false">J228/$R$3</f>
        <v>0</v>
      </c>
      <c r="T228" s="126" t="n">
        <f aca="false">L228/$R$3</f>
        <v>0</v>
      </c>
      <c r="U228" s="126" t="n">
        <f aca="false">I228/$R$3</f>
        <v>49.037</v>
      </c>
      <c r="V228" s="126" t="n">
        <f aca="false">M228/$R$3</f>
        <v>220.713</v>
      </c>
      <c r="W228" s="126" t="n">
        <f aca="false">N228/$R$3</f>
        <v>754.895480417803</v>
      </c>
    </row>
    <row r="229" customFormat="false" ht="12.75" hidden="true" customHeight="false" outlineLevel="0" collapsed="false">
      <c r="A229" s="120" t="n">
        <f aca="false">A228+1</f>
        <v>37115</v>
      </c>
      <c r="B229" s="131" t="str">
        <f aca="false">INDEX('Master Data'!$A$2:$B$8,MATCH(WEEKDAY('EZE Power Trading'!A229,3),'Master Data'!$A$2:$A$8,0),2)</f>
        <v>Su</v>
      </c>
      <c r="D229" s="124" t="n">
        <v>0</v>
      </c>
      <c r="E229" s="124" t="n">
        <v>0</v>
      </c>
      <c r="F229" s="124" t="n">
        <v>0</v>
      </c>
      <c r="G229" s="124" t="n">
        <v>0</v>
      </c>
      <c r="I229" s="124" t="n">
        <f aca="false">IF(MONTH($A229)=MONTH($A228),IF(G229=0,I228,G229),G229)</f>
        <v>49037</v>
      </c>
      <c r="J229" s="124" t="n">
        <f aca="false">IF(MONTH($A229)=MONTH($A228),SUM(I229-I228),I229)</f>
        <v>0</v>
      </c>
      <c r="K229" s="124" t="n">
        <f aca="false">IF(WEEKDAY(A229,3)&gt;4,0,(IF(A229&lt;K$2,0,IF(A229&lt;=K$3,1,0))))</f>
        <v>0</v>
      </c>
      <c r="L229" s="124" t="n">
        <f aca="false">J229*K229</f>
        <v>0</v>
      </c>
      <c r="M229" s="124" t="n">
        <f aca="false">SUM(J$188:J229)</f>
        <v>220713</v>
      </c>
      <c r="N229" s="124" t="n">
        <f aca="false">SUM(J$6:J229)</f>
        <v>754895.480417803</v>
      </c>
      <c r="P229" s="124" t="n">
        <f aca="false">D229/P$3</f>
        <v>0</v>
      </c>
      <c r="Q229" s="124" t="n">
        <f aca="false">E229/P$3</f>
        <v>0</v>
      </c>
      <c r="R229" s="124" t="n">
        <f aca="false">F229/R$3</f>
        <v>0</v>
      </c>
      <c r="S229" s="126" t="n">
        <f aca="false">J229/$R$3</f>
        <v>0</v>
      </c>
      <c r="T229" s="126" t="n">
        <f aca="false">L229/$R$3</f>
        <v>0</v>
      </c>
      <c r="U229" s="126" t="n">
        <f aca="false">I229/$R$3</f>
        <v>49.037</v>
      </c>
      <c r="V229" s="126" t="n">
        <f aca="false">M229/$R$3</f>
        <v>220.713</v>
      </c>
      <c r="W229" s="126" t="n">
        <f aca="false">N229/$R$3</f>
        <v>754.895480417803</v>
      </c>
    </row>
    <row r="230" customFormat="false" ht="12.75" hidden="true" customHeight="false" outlineLevel="0" collapsed="false">
      <c r="A230" s="120" t="n">
        <f aca="false">A229+1</f>
        <v>37116</v>
      </c>
      <c r="B230" s="131" t="str">
        <f aca="false">INDEX('Master Data'!$A$2:$B$8,MATCH(WEEKDAY('EZE Power Trading'!A230,3),'Master Data'!$A$2:$A$8,0),2)</f>
        <v>M</v>
      </c>
      <c r="D230" s="124" t="n">
        <v>-166183.510240464</v>
      </c>
      <c r="E230" s="124" t="n">
        <v>0</v>
      </c>
      <c r="F230" s="124" t="n">
        <v>0</v>
      </c>
      <c r="G230" s="124" t="n">
        <v>52318</v>
      </c>
      <c r="I230" s="124" t="n">
        <f aca="false">IF(MONTH($A230)=MONTH($A229),IF(G230=0,I229,G230),G230)</f>
        <v>52318</v>
      </c>
      <c r="J230" s="124" t="n">
        <f aca="false">IF(MONTH($A230)=MONTH($A229),SUM(I230-I229),I230)</f>
        <v>3281</v>
      </c>
      <c r="K230" s="124" t="n">
        <f aca="false">IF(WEEKDAY(A230,3)&gt;4,0,(IF(A230&lt;K$2,0,IF(A230&lt;=K$3,1,0))))</f>
        <v>0</v>
      </c>
      <c r="L230" s="124" t="n">
        <f aca="false">J230*K230</f>
        <v>0</v>
      </c>
      <c r="M230" s="124" t="n">
        <f aca="false">SUM(J$188:J230)</f>
        <v>223994</v>
      </c>
      <c r="N230" s="124" t="n">
        <f aca="false">SUM(J$6:J230)</f>
        <v>758176.480417803</v>
      </c>
      <c r="P230" s="124" t="n">
        <f aca="false">D230/P$3</f>
        <v>-0.166183510240464</v>
      </c>
      <c r="Q230" s="124" t="n">
        <f aca="false">E230/P$3</f>
        <v>0</v>
      </c>
      <c r="R230" s="124" t="n">
        <f aca="false">F230/R$3</f>
        <v>0</v>
      </c>
      <c r="S230" s="126" t="n">
        <f aca="false">J230/$R$3</f>
        <v>3.281</v>
      </c>
      <c r="T230" s="126" t="n">
        <f aca="false">L230/$R$3</f>
        <v>0</v>
      </c>
      <c r="U230" s="126" t="n">
        <f aca="false">I230/$R$3</f>
        <v>52.318</v>
      </c>
      <c r="V230" s="126" t="n">
        <f aca="false">M230/$R$3</f>
        <v>223.994</v>
      </c>
      <c r="W230" s="126" t="n">
        <f aca="false">N230/$R$3</f>
        <v>758.176480417803</v>
      </c>
    </row>
    <row r="231" customFormat="false" ht="12.75" hidden="true" customHeight="false" outlineLevel="0" collapsed="false">
      <c r="A231" s="120" t="n">
        <f aca="false">A230+1</f>
        <v>37117</v>
      </c>
      <c r="B231" s="131" t="str">
        <f aca="false">INDEX('Master Data'!$A$2:$B$8,MATCH(WEEKDAY('EZE Power Trading'!A231,3),'Master Data'!$A$2:$A$8,0),2)</f>
        <v>T</v>
      </c>
      <c r="D231" s="124" t="n">
        <v>-166175.602091339</v>
      </c>
      <c r="E231" s="124" t="n">
        <v>0</v>
      </c>
      <c r="F231" s="124" t="n">
        <v>0</v>
      </c>
      <c r="G231" s="124" t="n">
        <v>54056</v>
      </c>
      <c r="I231" s="124" t="n">
        <f aca="false">IF(MONTH($A231)=MONTH($A230),IF(G231=0,I230,G231),G231)</f>
        <v>54056</v>
      </c>
      <c r="J231" s="124" t="n">
        <f aca="false">IF(MONTH($A231)=MONTH($A230),SUM(I231-I230),I231)</f>
        <v>1738</v>
      </c>
      <c r="K231" s="124" t="n">
        <f aca="false">IF(WEEKDAY(A231,3)&gt;4,0,(IF(A231&lt;K$2,0,IF(A231&lt;=K$3,1,0))))</f>
        <v>0</v>
      </c>
      <c r="L231" s="124" t="n">
        <f aca="false">J231*K231</f>
        <v>0</v>
      </c>
      <c r="M231" s="124" t="n">
        <f aca="false">SUM(J$188:J231)</f>
        <v>225732</v>
      </c>
      <c r="N231" s="124" t="n">
        <f aca="false">SUM(J$6:J231)</f>
        <v>759914.480417803</v>
      </c>
      <c r="P231" s="124" t="n">
        <f aca="false">D231/P$3</f>
        <v>-0.166175602091339</v>
      </c>
      <c r="Q231" s="124" t="n">
        <f aca="false">E231/P$3</f>
        <v>0</v>
      </c>
      <c r="R231" s="124" t="n">
        <f aca="false">F231/R$3</f>
        <v>0</v>
      </c>
      <c r="S231" s="126" t="n">
        <f aca="false">J231/$R$3</f>
        <v>1.738</v>
      </c>
      <c r="T231" s="126" t="n">
        <f aca="false">L231/$R$3</f>
        <v>0</v>
      </c>
      <c r="U231" s="126" t="n">
        <f aca="false">I231/$R$3</f>
        <v>54.056</v>
      </c>
      <c r="V231" s="126" t="n">
        <f aca="false">M231/$R$3</f>
        <v>225.732</v>
      </c>
      <c r="W231" s="126" t="n">
        <f aca="false">N231/$R$3</f>
        <v>759.914480417803</v>
      </c>
    </row>
    <row r="232" customFormat="false" ht="12.75" hidden="true" customHeight="false" outlineLevel="0" collapsed="false">
      <c r="A232" s="120" t="n">
        <f aca="false">A231+1</f>
        <v>37118</v>
      </c>
      <c r="B232" s="131" t="str">
        <f aca="false">INDEX('Master Data'!$A$2:$B$8,MATCH(WEEKDAY('EZE Power Trading'!A232,3),'Master Data'!$A$2:$A$8,0),2)</f>
        <v>W</v>
      </c>
      <c r="D232" s="124" t="n">
        <v>-165878.770002554</v>
      </c>
      <c r="E232" s="124" t="n">
        <v>0</v>
      </c>
      <c r="F232" s="124" t="n">
        <v>0</v>
      </c>
      <c r="G232" s="124" t="n">
        <v>54228</v>
      </c>
      <c r="I232" s="124" t="n">
        <f aca="false">IF(MONTH($A232)=MONTH($A231),IF(G232=0,I231,G232),G232)</f>
        <v>54228</v>
      </c>
      <c r="J232" s="124" t="n">
        <f aca="false">IF(MONTH($A232)=MONTH($A231),SUM(I232-I231),I232)</f>
        <v>172</v>
      </c>
      <c r="K232" s="124" t="n">
        <f aca="false">IF(WEEKDAY(A232,3)&gt;4,0,(IF(A232&lt;K$2,0,IF(A232&lt;=K$3,1,0))))</f>
        <v>0</v>
      </c>
      <c r="L232" s="124" t="n">
        <f aca="false">J232*K232</f>
        <v>0</v>
      </c>
      <c r="M232" s="124" t="n">
        <f aca="false">SUM(J$188:J232)</f>
        <v>225904</v>
      </c>
      <c r="N232" s="124" t="n">
        <f aca="false">SUM(J$6:J232)</f>
        <v>760086.480417803</v>
      </c>
      <c r="P232" s="124" t="n">
        <f aca="false">D232/P$3</f>
        <v>-0.165878770002554</v>
      </c>
      <c r="Q232" s="124" t="n">
        <f aca="false">E232/P$3</f>
        <v>0</v>
      </c>
      <c r="R232" s="124" t="n">
        <f aca="false">F232/R$3</f>
        <v>0</v>
      </c>
      <c r="S232" s="126" t="n">
        <f aca="false">J232/$R$3</f>
        <v>0.172</v>
      </c>
      <c r="T232" s="126" t="n">
        <f aca="false">L232/$R$3</f>
        <v>0</v>
      </c>
      <c r="U232" s="126" t="n">
        <f aca="false">I232/$R$3</f>
        <v>54.228</v>
      </c>
      <c r="V232" s="126" t="n">
        <f aca="false">M232/$R$3</f>
        <v>225.904</v>
      </c>
      <c r="W232" s="126" t="n">
        <f aca="false">N232/$R$3</f>
        <v>760.086480417803</v>
      </c>
    </row>
    <row r="233" customFormat="false" ht="12.75" hidden="true" customHeight="false" outlineLevel="0" collapsed="false">
      <c r="A233" s="120" t="n">
        <f aca="false">A232+1</f>
        <v>37119</v>
      </c>
      <c r="B233" s="131" t="str">
        <f aca="false">INDEX('Master Data'!$A$2:$B$8,MATCH(WEEKDAY('EZE Power Trading'!A233,3),'Master Data'!$A$2:$A$8,0),2)</f>
        <v>Th</v>
      </c>
      <c r="D233" s="124" t="n">
        <v>-165521.046481712</v>
      </c>
      <c r="E233" s="124" t="n">
        <v>0</v>
      </c>
      <c r="F233" s="124" t="n">
        <v>0</v>
      </c>
      <c r="G233" s="124" t="n">
        <v>54329</v>
      </c>
      <c r="I233" s="124" t="n">
        <f aca="false">IF(MONTH($A233)=MONTH($A232),IF(G233=0,I232,G233),G233)</f>
        <v>54329</v>
      </c>
      <c r="J233" s="124" t="n">
        <f aca="false">IF(MONTH($A233)=MONTH($A232),SUM(I233-I232),I233)</f>
        <v>101</v>
      </c>
      <c r="K233" s="124" t="n">
        <f aca="false">IF(WEEKDAY(A233,3)&gt;4,0,(IF(A233&lt;K$2,0,IF(A233&lt;=K$3,1,0))))</f>
        <v>0</v>
      </c>
      <c r="L233" s="124" t="n">
        <f aca="false">J233*K233</f>
        <v>0</v>
      </c>
      <c r="M233" s="124" t="n">
        <f aca="false">SUM(J$188:J233)</f>
        <v>226005</v>
      </c>
      <c r="N233" s="124" t="n">
        <f aca="false">SUM(J$6:J233)</f>
        <v>760187.480417803</v>
      </c>
      <c r="P233" s="124" t="n">
        <f aca="false">D233/P$3</f>
        <v>-0.165521046481712</v>
      </c>
      <c r="Q233" s="124" t="n">
        <f aca="false">E233/P$3</f>
        <v>0</v>
      </c>
      <c r="R233" s="124" t="n">
        <f aca="false">F233/R$3</f>
        <v>0</v>
      </c>
      <c r="S233" s="126" t="n">
        <f aca="false">J233/$R$3</f>
        <v>0.101</v>
      </c>
      <c r="T233" s="126" t="n">
        <f aca="false">L233/$R$3</f>
        <v>0</v>
      </c>
      <c r="U233" s="126" t="n">
        <f aca="false">I233/$R$3</f>
        <v>54.329</v>
      </c>
      <c r="V233" s="126" t="n">
        <f aca="false">M233/$R$3</f>
        <v>226.005</v>
      </c>
      <c r="W233" s="126" t="n">
        <f aca="false">N233/$R$3</f>
        <v>760.187480417803</v>
      </c>
    </row>
    <row r="234" customFormat="false" ht="12.75" hidden="true" customHeight="false" outlineLevel="0" collapsed="false">
      <c r="A234" s="120" t="n">
        <f aca="false">A233+1</f>
        <v>37120</v>
      </c>
      <c r="B234" s="131" t="str">
        <f aca="false">INDEX('Master Data'!$A$2:$B$8,MATCH(WEEKDAY('EZE Power Trading'!A234,3),'Master Data'!$A$2:$A$8,0),2)</f>
        <v>F</v>
      </c>
      <c r="D234" s="124" t="n">
        <v>-165405.160939488</v>
      </c>
      <c r="E234" s="124" t="n">
        <v>0</v>
      </c>
      <c r="F234" s="124" t="n">
        <v>0</v>
      </c>
      <c r="G234" s="124" t="n">
        <v>54579</v>
      </c>
      <c r="I234" s="124" t="n">
        <f aca="false">IF(MONTH($A234)=MONTH($A233),IF(G234=0,I233,G234),G234)</f>
        <v>54579</v>
      </c>
      <c r="J234" s="124" t="n">
        <f aca="false">IF(MONTH($A234)=MONTH($A233),SUM(I234-I233),I234)</f>
        <v>250</v>
      </c>
      <c r="K234" s="124" t="n">
        <f aca="false">IF(WEEKDAY(A234,3)&gt;4,0,(IF(A234&lt;K$2,0,IF(A234&lt;=K$3,1,0))))</f>
        <v>0</v>
      </c>
      <c r="L234" s="124" t="n">
        <f aca="false">J234*K234</f>
        <v>0</v>
      </c>
      <c r="M234" s="124" t="n">
        <f aca="false">SUM(J$188:J234)</f>
        <v>226255</v>
      </c>
      <c r="N234" s="124" t="n">
        <f aca="false">SUM(J$6:J234)</f>
        <v>760437.480417803</v>
      </c>
      <c r="P234" s="124" t="n">
        <f aca="false">D234/P$3</f>
        <v>-0.165405160939488</v>
      </c>
      <c r="Q234" s="124" t="n">
        <f aca="false">E234/P$3</f>
        <v>0</v>
      </c>
      <c r="R234" s="124" t="n">
        <f aca="false">F234/R$3</f>
        <v>0</v>
      </c>
      <c r="S234" s="126" t="n">
        <f aca="false">J234/$R$3</f>
        <v>0.25</v>
      </c>
      <c r="T234" s="126" t="n">
        <f aca="false">L234/$R$3</f>
        <v>0</v>
      </c>
      <c r="U234" s="126" t="n">
        <f aca="false">I234/$R$3</f>
        <v>54.579</v>
      </c>
      <c r="V234" s="126" t="n">
        <f aca="false">M234/$R$3</f>
        <v>226.255</v>
      </c>
      <c r="W234" s="126" t="n">
        <f aca="false">N234/$R$3</f>
        <v>760.437480417803</v>
      </c>
    </row>
    <row r="235" customFormat="false" ht="12.75" hidden="true" customHeight="false" outlineLevel="0" collapsed="false">
      <c r="A235" s="120" t="n">
        <f aca="false">A234+1</f>
        <v>37121</v>
      </c>
      <c r="B235" s="131" t="str">
        <f aca="false">INDEX('Master Data'!$A$2:$B$8,MATCH(WEEKDAY('EZE Power Trading'!A235,3),'Master Data'!$A$2:$A$8,0),2)</f>
        <v>Sa</v>
      </c>
      <c r="D235" s="124" t="n">
        <v>0</v>
      </c>
      <c r="E235" s="124" t="n">
        <v>0</v>
      </c>
      <c r="F235" s="124" t="n">
        <v>0</v>
      </c>
      <c r="G235" s="124" t="n">
        <v>0</v>
      </c>
      <c r="I235" s="124" t="n">
        <f aca="false">IF(MONTH($A235)=MONTH($A234),IF(G235=0,I234,G235),G235)</f>
        <v>54579</v>
      </c>
      <c r="J235" s="124" t="n">
        <f aca="false">IF(MONTH($A235)=MONTH($A234),SUM(I235-I234),I235)</f>
        <v>0</v>
      </c>
      <c r="K235" s="124" t="n">
        <f aca="false">IF(WEEKDAY(A235,3)&gt;4,0,(IF(A235&lt;K$2,0,IF(A235&lt;=K$3,1,0))))</f>
        <v>0</v>
      </c>
      <c r="L235" s="124" t="n">
        <f aca="false">J235*K235</f>
        <v>0</v>
      </c>
      <c r="M235" s="124" t="n">
        <f aca="false">SUM(J$188:J235)</f>
        <v>226255</v>
      </c>
      <c r="N235" s="124" t="n">
        <f aca="false">SUM(J$6:J235)</f>
        <v>760437.480417803</v>
      </c>
      <c r="P235" s="124" t="n">
        <f aca="false">D235/P$3</f>
        <v>0</v>
      </c>
      <c r="Q235" s="124" t="n">
        <f aca="false">E235/P$3</f>
        <v>0</v>
      </c>
      <c r="R235" s="124" t="n">
        <f aca="false">F235/R$3</f>
        <v>0</v>
      </c>
      <c r="S235" s="126" t="n">
        <f aca="false">J235/$R$3</f>
        <v>0</v>
      </c>
      <c r="T235" s="126" t="n">
        <f aca="false">L235/$R$3</f>
        <v>0</v>
      </c>
      <c r="U235" s="126" t="n">
        <f aca="false">I235/$R$3</f>
        <v>54.579</v>
      </c>
      <c r="V235" s="126" t="n">
        <f aca="false">M235/$R$3</f>
        <v>226.255</v>
      </c>
      <c r="W235" s="126" t="n">
        <f aca="false">N235/$R$3</f>
        <v>760.437480417803</v>
      </c>
    </row>
    <row r="236" customFormat="false" ht="12.75" hidden="true" customHeight="false" outlineLevel="0" collapsed="false">
      <c r="A236" s="120" t="n">
        <f aca="false">A235+1</f>
        <v>37122</v>
      </c>
      <c r="B236" s="131" t="str">
        <f aca="false">INDEX('Master Data'!$A$2:$B$8,MATCH(WEEKDAY('EZE Power Trading'!A236,3),'Master Data'!$A$2:$A$8,0),2)</f>
        <v>Su</v>
      </c>
      <c r="D236" s="124" t="n">
        <v>0</v>
      </c>
      <c r="E236" s="124" t="n">
        <v>0</v>
      </c>
      <c r="F236" s="124" t="n">
        <v>0</v>
      </c>
      <c r="G236" s="124" t="n">
        <v>0</v>
      </c>
      <c r="I236" s="124" t="n">
        <f aca="false">IF(MONTH($A236)=MONTH($A235),IF(G236=0,I235,G236),G236)</f>
        <v>54579</v>
      </c>
      <c r="J236" s="124" t="n">
        <f aca="false">IF(MONTH($A236)=MONTH($A235),SUM(I236-I235),I236)</f>
        <v>0</v>
      </c>
      <c r="K236" s="124" t="n">
        <f aca="false">IF(WEEKDAY(A236,3)&gt;4,0,(IF(A236&lt;K$2,0,IF(A236&lt;=K$3,1,0))))</f>
        <v>0</v>
      </c>
      <c r="L236" s="124" t="n">
        <f aca="false">J236*K236</f>
        <v>0</v>
      </c>
      <c r="M236" s="124" t="n">
        <f aca="false">SUM(J$188:J236)</f>
        <v>226255</v>
      </c>
      <c r="N236" s="124" t="n">
        <f aca="false">SUM(J$6:J236)</f>
        <v>760437.480417803</v>
      </c>
      <c r="P236" s="124" t="n">
        <f aca="false">D236/P$3</f>
        <v>0</v>
      </c>
      <c r="Q236" s="124" t="n">
        <f aca="false">E236/P$3</f>
        <v>0</v>
      </c>
      <c r="R236" s="124" t="n">
        <f aca="false">F236/R$3</f>
        <v>0</v>
      </c>
      <c r="S236" s="126" t="n">
        <f aca="false">J236/$R$3</f>
        <v>0</v>
      </c>
      <c r="T236" s="126" t="n">
        <f aca="false">L236/$R$3</f>
        <v>0</v>
      </c>
      <c r="U236" s="126" t="n">
        <f aca="false">I236/$R$3</f>
        <v>54.579</v>
      </c>
      <c r="V236" s="126" t="n">
        <f aca="false">M236/$R$3</f>
        <v>226.255</v>
      </c>
      <c r="W236" s="126" t="n">
        <f aca="false">N236/$R$3</f>
        <v>760.437480417803</v>
      </c>
    </row>
    <row r="237" customFormat="false" ht="12.75" hidden="true" customHeight="false" outlineLevel="0" collapsed="false">
      <c r="A237" s="120" t="n">
        <f aca="false">A236+1</f>
        <v>37123</v>
      </c>
      <c r="B237" s="131" t="str">
        <f aca="false">INDEX('Master Data'!$A$2:$B$8,MATCH(WEEKDAY('EZE Power Trading'!A237,3),'Master Data'!$A$2:$A$8,0),2)</f>
        <v>M</v>
      </c>
      <c r="D237" s="150" t="n">
        <v>-164916.577727817</v>
      </c>
      <c r="E237" s="124" t="n">
        <v>0</v>
      </c>
      <c r="F237" s="124" t="n">
        <v>0</v>
      </c>
      <c r="G237" s="124" t="n">
        <v>55827</v>
      </c>
      <c r="I237" s="124" t="n">
        <f aca="false">IF(MONTH($A237)=MONTH($A236),IF(G237=0,I236,G237),G237)</f>
        <v>55827</v>
      </c>
      <c r="J237" s="124" t="n">
        <f aca="false">IF(MONTH($A237)=MONTH($A236),SUM(I237-I236),I237)</f>
        <v>1248</v>
      </c>
      <c r="K237" s="124" t="n">
        <f aca="false">IF(WEEKDAY(A237,3)&gt;4,0,(IF(A237&lt;K$2,0,IF(A237&lt;=K$3,1,0))))</f>
        <v>0</v>
      </c>
      <c r="L237" s="124" t="n">
        <f aca="false">J237*K237</f>
        <v>0</v>
      </c>
      <c r="M237" s="124" t="n">
        <f aca="false">SUM(J$188:J237)</f>
        <v>227503</v>
      </c>
      <c r="N237" s="124" t="n">
        <f aca="false">SUM(J$6:J237)</f>
        <v>761685.480417803</v>
      </c>
      <c r="P237" s="124" t="n">
        <f aca="false">D237/P$3</f>
        <v>-0.164916577727817</v>
      </c>
      <c r="Q237" s="124" t="n">
        <f aca="false">E237/P$3</f>
        <v>0</v>
      </c>
      <c r="R237" s="124" t="n">
        <f aca="false">F237/R$3</f>
        <v>0</v>
      </c>
      <c r="S237" s="126" t="n">
        <f aca="false">J237/$R$3</f>
        <v>1.248</v>
      </c>
      <c r="T237" s="126" t="n">
        <f aca="false">L237/$R$3</f>
        <v>0</v>
      </c>
      <c r="U237" s="126" t="n">
        <f aca="false">I237/$R$3</f>
        <v>55.827</v>
      </c>
      <c r="V237" s="126" t="n">
        <f aca="false">M237/$R$3</f>
        <v>227.503</v>
      </c>
      <c r="W237" s="126" t="n">
        <f aca="false">N237/$R$3</f>
        <v>761.685480417803</v>
      </c>
    </row>
    <row r="238" customFormat="false" ht="12.75" hidden="true" customHeight="false" outlineLevel="0" collapsed="false">
      <c r="A238" s="120" t="n">
        <f aca="false">A237+1</f>
        <v>37124</v>
      </c>
      <c r="B238" s="131" t="str">
        <f aca="false">INDEX('Master Data'!$A$2:$B$8,MATCH(WEEKDAY('EZE Power Trading'!A238,3),'Master Data'!$A$2:$A$8,0),2)</f>
        <v>T</v>
      </c>
      <c r="D238" s="124" t="n">
        <v>-164594.095658641</v>
      </c>
      <c r="E238" s="124" t="n">
        <v>0</v>
      </c>
      <c r="F238" s="124" t="n">
        <v>0</v>
      </c>
      <c r="G238" s="124" t="n">
        <v>57878</v>
      </c>
      <c r="I238" s="124" t="n">
        <f aca="false">IF(MONTH($A238)=MONTH($A237),IF(G238=0,I237,G238),G238)</f>
        <v>57878</v>
      </c>
      <c r="J238" s="124" t="n">
        <f aca="false">IF(MONTH($A238)=MONTH($A237),SUM(I238-I237),I238)</f>
        <v>2051</v>
      </c>
      <c r="K238" s="124" t="n">
        <f aca="false">IF(WEEKDAY(A238,3)&gt;4,0,(IF(A238&lt;K$2,0,IF(A238&lt;=K$3,1,0))))</f>
        <v>0</v>
      </c>
      <c r="L238" s="124" t="n">
        <f aca="false">J238*K238</f>
        <v>0</v>
      </c>
      <c r="M238" s="124" t="n">
        <f aca="false">SUM(J$188:J238)</f>
        <v>229554</v>
      </c>
      <c r="N238" s="124" t="n">
        <f aca="false">SUM(J$6:J238)</f>
        <v>763736.480417803</v>
      </c>
      <c r="P238" s="124" t="n">
        <f aca="false">D238/P$3</f>
        <v>-0.164594095658641</v>
      </c>
      <c r="Q238" s="124" t="n">
        <f aca="false">E238/P$3</f>
        <v>0</v>
      </c>
      <c r="R238" s="124" t="n">
        <f aca="false">F238/R$3</f>
        <v>0</v>
      </c>
      <c r="S238" s="126" t="n">
        <f aca="false">J238/$R$3</f>
        <v>2.051</v>
      </c>
      <c r="T238" s="126" t="n">
        <f aca="false">L238/$R$3</f>
        <v>0</v>
      </c>
      <c r="U238" s="126" t="n">
        <f aca="false">I238/$R$3</f>
        <v>57.878</v>
      </c>
      <c r="V238" s="126" t="n">
        <f aca="false">M238/$R$3</f>
        <v>229.554</v>
      </c>
      <c r="W238" s="126" t="n">
        <f aca="false">N238/$R$3</f>
        <v>763.736480417803</v>
      </c>
    </row>
    <row r="239" customFormat="false" ht="12.75" hidden="true" customHeight="false" outlineLevel="0" collapsed="false">
      <c r="A239" s="120" t="n">
        <f aca="false">A238+1</f>
        <v>37125</v>
      </c>
      <c r="B239" s="131" t="str">
        <f aca="false">INDEX('Master Data'!$A$2:$B$8,MATCH(WEEKDAY('EZE Power Trading'!A239,3),'Master Data'!$A$2:$A$8,0),2)</f>
        <v>W</v>
      </c>
      <c r="D239" s="124" t="n">
        <v>-164465.705202305</v>
      </c>
      <c r="E239" s="124" t="n">
        <v>0</v>
      </c>
      <c r="F239" s="124" t="n">
        <v>0</v>
      </c>
      <c r="G239" s="124" t="n">
        <v>90294</v>
      </c>
      <c r="I239" s="124" t="n">
        <f aca="false">IF(MONTH($A239)=MONTH($A238),IF(G239=0,I238,G239),G239)</f>
        <v>90294</v>
      </c>
      <c r="J239" s="124" t="n">
        <f aca="false">IF(MONTH($A239)=MONTH($A238),SUM(I239-I238),I239)</f>
        <v>32416</v>
      </c>
      <c r="K239" s="124" t="n">
        <f aca="false">IF(WEEKDAY(A239,3)&gt;4,0,(IF(A239&lt;K$2,0,IF(A239&lt;=K$3,1,0))))</f>
        <v>0</v>
      </c>
      <c r="L239" s="124" t="n">
        <f aca="false">J239*K239</f>
        <v>0</v>
      </c>
      <c r="M239" s="124" t="n">
        <f aca="false">SUM(J$188:J239)</f>
        <v>261970</v>
      </c>
      <c r="N239" s="124" t="n">
        <f aca="false">SUM(J$6:J239)</f>
        <v>796152.480417803</v>
      </c>
      <c r="P239" s="124" t="n">
        <f aca="false">D239/P$3</f>
        <v>-0.164465705202305</v>
      </c>
      <c r="Q239" s="124" t="n">
        <f aca="false">E239/P$3</f>
        <v>0</v>
      </c>
      <c r="R239" s="124" t="n">
        <f aca="false">F239/R$3</f>
        <v>0</v>
      </c>
      <c r="S239" s="126" t="n">
        <f aca="false">J239/$R$3</f>
        <v>32.416</v>
      </c>
      <c r="T239" s="126" t="n">
        <f aca="false">L239/$R$3</f>
        <v>0</v>
      </c>
      <c r="U239" s="126" t="n">
        <f aca="false">I239/$R$3</f>
        <v>90.294</v>
      </c>
      <c r="V239" s="126" t="n">
        <f aca="false">M239/$R$3</f>
        <v>261.97</v>
      </c>
      <c r="W239" s="126" t="n">
        <f aca="false">N239/$R$3</f>
        <v>796.152480417803</v>
      </c>
    </row>
    <row r="240" customFormat="false" ht="12.75" hidden="true" customHeight="false" outlineLevel="0" collapsed="false">
      <c r="A240" s="120" t="n">
        <f aca="false">A239+1</f>
        <v>37126</v>
      </c>
      <c r="B240" s="131" t="str">
        <f aca="false">INDEX('Master Data'!$A$2:$B$8,MATCH(WEEKDAY('EZE Power Trading'!A240,3),'Master Data'!$A$2:$A$8,0),2)</f>
        <v>Th</v>
      </c>
      <c r="D240" s="124" t="n">
        <v>-164186.376478794</v>
      </c>
      <c r="E240" s="124" t="n">
        <v>0</v>
      </c>
      <c r="F240" s="124" t="n">
        <v>0</v>
      </c>
      <c r="G240" s="124" t="n">
        <v>90504</v>
      </c>
      <c r="I240" s="124" t="n">
        <f aca="false">IF(MONTH($A240)=MONTH($A239),IF(G240=0,I239,G240),G240)</f>
        <v>90504</v>
      </c>
      <c r="J240" s="124" t="n">
        <f aca="false">IF(MONTH($A240)=MONTH($A239),SUM(I240-I239),I240)</f>
        <v>210</v>
      </c>
      <c r="K240" s="124" t="n">
        <f aca="false">IF(WEEKDAY(A240,3)&gt;4,0,(IF(A240&lt;K$2,0,IF(A240&lt;=K$3,1,0))))</f>
        <v>0</v>
      </c>
      <c r="L240" s="124" t="n">
        <f aca="false">J240*K240</f>
        <v>0</v>
      </c>
      <c r="M240" s="124" t="n">
        <f aca="false">SUM(J$188:J240)</f>
        <v>262180</v>
      </c>
      <c r="N240" s="124" t="n">
        <f aca="false">SUM(J$6:J240)</f>
        <v>796362.480417803</v>
      </c>
      <c r="P240" s="124" t="n">
        <f aca="false">D240/P$3</f>
        <v>-0.164186376478794</v>
      </c>
      <c r="Q240" s="124" t="n">
        <f aca="false">E240/P$3</f>
        <v>0</v>
      </c>
      <c r="R240" s="124" t="n">
        <f aca="false">F240/R$3</f>
        <v>0</v>
      </c>
      <c r="S240" s="126" t="n">
        <f aca="false">J240/$R$3</f>
        <v>0.21</v>
      </c>
      <c r="T240" s="126" t="n">
        <f aca="false">L240/$R$3</f>
        <v>0</v>
      </c>
      <c r="U240" s="126" t="n">
        <f aca="false">I240/$R$3</f>
        <v>90.504</v>
      </c>
      <c r="V240" s="126" t="n">
        <f aca="false">M240/$R$3</f>
        <v>262.18</v>
      </c>
      <c r="W240" s="126" t="n">
        <f aca="false">N240/$R$3</f>
        <v>796.362480417803</v>
      </c>
    </row>
    <row r="241" customFormat="false" ht="12.75" hidden="true" customHeight="false" outlineLevel="0" collapsed="false">
      <c r="A241" s="120" t="n">
        <f aca="false">A240+1</f>
        <v>37127</v>
      </c>
      <c r="B241" s="131" t="str">
        <f aca="false">INDEX('Master Data'!$A$2:$B$8,MATCH(WEEKDAY('EZE Power Trading'!A241,3),'Master Data'!$A$2:$A$8,0),2)</f>
        <v>F</v>
      </c>
      <c r="D241" s="124" t="n">
        <v>-163956.94657342</v>
      </c>
      <c r="E241" s="124" t="n">
        <v>0</v>
      </c>
      <c r="F241" s="124" t="n">
        <v>0</v>
      </c>
      <c r="G241" s="124" t="n">
        <v>90981</v>
      </c>
      <c r="I241" s="124" t="n">
        <f aca="false">IF(MONTH($A241)=MONTH($A240),IF(G241=0,I240,G241),G241)</f>
        <v>90981</v>
      </c>
      <c r="J241" s="124" t="n">
        <f aca="false">IF(MONTH($A241)=MONTH($A240),SUM(I241-I240),I241)</f>
        <v>477</v>
      </c>
      <c r="K241" s="124" t="n">
        <f aca="false">IF(WEEKDAY(A241,3)&gt;4,0,(IF(A241&lt;K$2,0,IF(A241&lt;=K$3,1,0))))</f>
        <v>0</v>
      </c>
      <c r="L241" s="124" t="n">
        <f aca="false">J241*K241</f>
        <v>0</v>
      </c>
      <c r="M241" s="124" t="n">
        <f aca="false">SUM(J$188:J241)</f>
        <v>262657</v>
      </c>
      <c r="N241" s="124" t="n">
        <f aca="false">SUM(J$6:J241)</f>
        <v>796839.480417803</v>
      </c>
      <c r="P241" s="124" t="n">
        <f aca="false">D241/P$3</f>
        <v>-0.16395694657342</v>
      </c>
      <c r="Q241" s="124" t="n">
        <f aca="false">E241/P$3</f>
        <v>0</v>
      </c>
      <c r="R241" s="124" t="n">
        <f aca="false">F241/R$3</f>
        <v>0</v>
      </c>
      <c r="S241" s="126" t="n">
        <f aca="false">J241/$R$3</f>
        <v>0.477</v>
      </c>
      <c r="T241" s="126" t="n">
        <f aca="false">L241/$R$3</f>
        <v>0</v>
      </c>
      <c r="U241" s="126" t="n">
        <f aca="false">I241/$R$3</f>
        <v>90.981</v>
      </c>
      <c r="V241" s="126" t="n">
        <f aca="false">M241/$R$3</f>
        <v>262.657</v>
      </c>
      <c r="W241" s="126" t="n">
        <f aca="false">N241/$R$3</f>
        <v>796.839480417803</v>
      </c>
    </row>
    <row r="242" customFormat="false" ht="12.75" hidden="true" customHeight="false" outlineLevel="0" collapsed="false">
      <c r="A242" s="120" t="n">
        <f aca="false">A241+1</f>
        <v>37128</v>
      </c>
      <c r="B242" s="131" t="str">
        <f aca="false">INDEX('Master Data'!$A$2:$B$8,MATCH(WEEKDAY('EZE Power Trading'!A242,3),'Master Data'!$A$2:$A$8,0),2)</f>
        <v>Sa</v>
      </c>
      <c r="D242" s="124" t="n">
        <v>0</v>
      </c>
      <c r="E242" s="124" t="n">
        <v>0</v>
      </c>
      <c r="F242" s="124" t="n">
        <v>0</v>
      </c>
      <c r="G242" s="124" t="n">
        <v>0</v>
      </c>
      <c r="I242" s="124" t="n">
        <f aca="false">IF(MONTH($A242)=MONTH($A241),IF(G242=0,I241,G242),G242)</f>
        <v>90981</v>
      </c>
      <c r="J242" s="124" t="n">
        <f aca="false">IF(MONTH($A242)=MONTH($A241),SUM(I242-I241),I242)</f>
        <v>0</v>
      </c>
      <c r="K242" s="124" t="n">
        <f aca="false">IF(WEEKDAY(A242,3)&gt;4,0,(IF(A242&lt;K$2,0,IF(A242&lt;=K$3,1,0))))</f>
        <v>0</v>
      </c>
      <c r="L242" s="124" t="n">
        <f aca="false">J242*K242</f>
        <v>0</v>
      </c>
      <c r="M242" s="124" t="n">
        <f aca="false">SUM(J$188:J242)</f>
        <v>262657</v>
      </c>
      <c r="N242" s="124" t="n">
        <f aca="false">SUM(J$6:J242)</f>
        <v>796839.480417803</v>
      </c>
      <c r="P242" s="124" t="n">
        <f aca="false">D242/P$3</f>
        <v>0</v>
      </c>
      <c r="Q242" s="124" t="n">
        <f aca="false">E242/P$3</f>
        <v>0</v>
      </c>
      <c r="R242" s="124" t="n">
        <f aca="false">F242/R$3</f>
        <v>0</v>
      </c>
      <c r="S242" s="126" t="n">
        <f aca="false">J242/$R$3</f>
        <v>0</v>
      </c>
      <c r="T242" s="126" t="n">
        <f aca="false">L242/$R$3</f>
        <v>0</v>
      </c>
      <c r="U242" s="126" t="n">
        <f aca="false">I242/$R$3</f>
        <v>90.981</v>
      </c>
      <c r="V242" s="126" t="n">
        <f aca="false">M242/$R$3</f>
        <v>262.657</v>
      </c>
      <c r="W242" s="126" t="n">
        <f aca="false">N242/$R$3</f>
        <v>796.839480417803</v>
      </c>
    </row>
    <row r="243" customFormat="false" ht="12.75" hidden="true" customHeight="false" outlineLevel="0" collapsed="false">
      <c r="A243" s="120" t="n">
        <f aca="false">A242+1</f>
        <v>37129</v>
      </c>
      <c r="B243" s="131" t="str">
        <f aca="false">INDEX('Master Data'!$A$2:$B$8,MATCH(WEEKDAY('EZE Power Trading'!A243,3),'Master Data'!$A$2:$A$8,0),2)</f>
        <v>Su</v>
      </c>
      <c r="D243" s="124" t="n">
        <v>0</v>
      </c>
      <c r="E243" s="124" t="n">
        <v>0</v>
      </c>
      <c r="F243" s="124" t="n">
        <v>0</v>
      </c>
      <c r="G243" s="124" t="n">
        <v>0</v>
      </c>
      <c r="I243" s="124" t="n">
        <f aca="false">IF(MONTH($A243)=MONTH($A242),IF(G243=0,I242,G243),G243)</f>
        <v>90981</v>
      </c>
      <c r="J243" s="124" t="n">
        <f aca="false">IF(MONTH($A243)=MONTH($A242),SUM(I243-I242),I243)</f>
        <v>0</v>
      </c>
      <c r="K243" s="124" t="n">
        <f aca="false">IF(WEEKDAY(A243,3)&gt;4,0,(IF(A243&lt;K$2,0,IF(A243&lt;=K$3,1,0))))</f>
        <v>0</v>
      </c>
      <c r="L243" s="124" t="n">
        <f aca="false">J243*K243</f>
        <v>0</v>
      </c>
      <c r="M243" s="124" t="n">
        <f aca="false">SUM(J$188:J243)</f>
        <v>262657</v>
      </c>
      <c r="N243" s="124" t="n">
        <f aca="false">SUM(J$6:J243)</f>
        <v>796839.480417803</v>
      </c>
      <c r="P243" s="124" t="n">
        <f aca="false">D243/P$3</f>
        <v>0</v>
      </c>
      <c r="Q243" s="124" t="n">
        <f aca="false">E243/P$3</f>
        <v>0</v>
      </c>
      <c r="R243" s="124" t="n">
        <f aca="false">F243/R$3</f>
        <v>0</v>
      </c>
      <c r="S243" s="126" t="n">
        <f aca="false">J243/$R$3</f>
        <v>0</v>
      </c>
      <c r="T243" s="126" t="n">
        <f aca="false">L243/$R$3</f>
        <v>0</v>
      </c>
      <c r="U243" s="126" t="n">
        <f aca="false">I243/$R$3</f>
        <v>90.981</v>
      </c>
      <c r="V243" s="126" t="n">
        <f aca="false">M243/$R$3</f>
        <v>262.657</v>
      </c>
      <c r="W243" s="126" t="n">
        <f aca="false">N243/$R$3</f>
        <v>796.839480417803</v>
      </c>
    </row>
    <row r="244" customFormat="false" ht="12.75" hidden="true" customHeight="false" outlineLevel="0" collapsed="false">
      <c r="A244" s="120" t="n">
        <f aca="false">A243+1</f>
        <v>37130</v>
      </c>
      <c r="B244" s="131" t="str">
        <f aca="false">INDEX('Master Data'!$A$2:$B$8,MATCH(WEEKDAY('EZE Power Trading'!A244,3),'Master Data'!$A$2:$A$8,0),2)</f>
        <v>M</v>
      </c>
      <c r="D244" s="124" t="n">
        <v>-163222.35433688</v>
      </c>
      <c r="E244" s="124" t="n">
        <v>0</v>
      </c>
      <c r="F244" s="124" t="n">
        <v>0</v>
      </c>
      <c r="G244" s="124" t="n">
        <v>91856</v>
      </c>
      <c r="I244" s="124" t="n">
        <f aca="false">IF(MONTH($A244)=MONTH($A243),IF(G244=0,I243,G244),G244)</f>
        <v>91856</v>
      </c>
      <c r="J244" s="124" t="n">
        <f aca="false">IF(MONTH($A244)=MONTH($A243),SUM(I244-I243),I244)</f>
        <v>875</v>
      </c>
      <c r="K244" s="124" t="n">
        <f aca="false">IF(WEEKDAY(A244,3)&gt;4,0,(IF(A244&lt;K$2,0,IF(A244&lt;=K$3,1,0))))</f>
        <v>0</v>
      </c>
      <c r="L244" s="124" t="n">
        <f aca="false">J244*K244</f>
        <v>0</v>
      </c>
      <c r="M244" s="124" t="n">
        <f aca="false">SUM(J$188:J244)</f>
        <v>263532</v>
      </c>
      <c r="N244" s="124" t="n">
        <f aca="false">SUM(J$6:J244)</f>
        <v>797714.480417803</v>
      </c>
      <c r="P244" s="124" t="n">
        <f aca="false">D244/P$3</f>
        <v>-0.16322235433688</v>
      </c>
      <c r="Q244" s="124" t="n">
        <f aca="false">E244/P$3</f>
        <v>0</v>
      </c>
      <c r="R244" s="124" t="n">
        <f aca="false">F244/R$3</f>
        <v>0</v>
      </c>
      <c r="S244" s="126" t="n">
        <f aca="false">J244/$R$3</f>
        <v>0.875</v>
      </c>
      <c r="T244" s="126" t="n">
        <f aca="false">L244/$R$3</f>
        <v>0</v>
      </c>
      <c r="U244" s="126" t="n">
        <f aca="false">I244/$R$3</f>
        <v>91.856</v>
      </c>
      <c r="V244" s="126" t="n">
        <f aca="false">M244/$R$3</f>
        <v>263.532</v>
      </c>
      <c r="W244" s="126" t="n">
        <f aca="false">N244/$R$3</f>
        <v>797.714480417803</v>
      </c>
    </row>
    <row r="245" customFormat="false" ht="12.75" hidden="true" customHeight="false" outlineLevel="0" collapsed="false">
      <c r="A245" s="120" t="n">
        <f aca="false">A244+1</f>
        <v>37131</v>
      </c>
      <c r="B245" s="131" t="str">
        <f aca="false">INDEX('Master Data'!$A$2:$B$8,MATCH(WEEKDAY('EZE Power Trading'!A245,3),'Master Data'!$A$2:$A$8,0),2)</f>
        <v>T</v>
      </c>
      <c r="D245" s="124" t="n">
        <v>-162983.400765776</v>
      </c>
      <c r="E245" s="124" t="n">
        <v>0</v>
      </c>
      <c r="F245" s="124" t="n">
        <v>0</v>
      </c>
      <c r="G245" s="124" t="n">
        <v>92123</v>
      </c>
      <c r="I245" s="124" t="n">
        <f aca="false">IF(MONTH($A245)=MONTH($A244),IF(G245=0,I244,G245),G245)</f>
        <v>92123</v>
      </c>
      <c r="J245" s="124" t="n">
        <f aca="false">IF(MONTH($A245)=MONTH($A244),SUM(I245-I244),I245)</f>
        <v>267</v>
      </c>
      <c r="K245" s="124" t="n">
        <f aca="false">IF(WEEKDAY(A245,3)&gt;4,0,(IF(A245&lt;K$2,0,IF(A245&lt;=K$3,1,0))))</f>
        <v>0</v>
      </c>
      <c r="L245" s="124" t="n">
        <f aca="false">J245*K245</f>
        <v>0</v>
      </c>
      <c r="M245" s="124" t="n">
        <f aca="false">SUM(J$188:J245)</f>
        <v>263799</v>
      </c>
      <c r="N245" s="124" t="n">
        <f aca="false">SUM(J$6:J245)</f>
        <v>797981.480417803</v>
      </c>
      <c r="P245" s="124" t="n">
        <f aca="false">D245/P$3</f>
        <v>-0.162983400765776</v>
      </c>
      <c r="Q245" s="124" t="n">
        <f aca="false">E245/P$3</f>
        <v>0</v>
      </c>
      <c r="R245" s="124" t="n">
        <f aca="false">F245/R$3</f>
        <v>0</v>
      </c>
      <c r="S245" s="126" t="n">
        <f aca="false">J245/$R$3</f>
        <v>0.267</v>
      </c>
      <c r="T245" s="126" t="n">
        <f aca="false">L245/$R$3</f>
        <v>0</v>
      </c>
      <c r="U245" s="126" t="n">
        <f aca="false">I245/$R$3</f>
        <v>92.123</v>
      </c>
      <c r="V245" s="126" t="n">
        <f aca="false">M245/$R$3</f>
        <v>263.799</v>
      </c>
      <c r="W245" s="126" t="n">
        <f aca="false">N245/$R$3</f>
        <v>797.981480417803</v>
      </c>
    </row>
    <row r="246" customFormat="false" ht="12.75" hidden="true" customHeight="false" outlineLevel="0" collapsed="false">
      <c r="A246" s="120" t="n">
        <f aca="false">A245+1</f>
        <v>37132</v>
      </c>
      <c r="B246" s="131" t="str">
        <f aca="false">INDEX('Master Data'!$A$2:$B$8,MATCH(WEEKDAY('EZE Power Trading'!A246,3),'Master Data'!$A$2:$A$8,0),2)</f>
        <v>W</v>
      </c>
      <c r="D246" s="124" t="n">
        <v>-162910.58698834</v>
      </c>
      <c r="E246" s="124" t="n">
        <v>0</v>
      </c>
      <c r="F246" s="124" t="n">
        <v>0</v>
      </c>
      <c r="G246" s="124" t="n">
        <v>97860</v>
      </c>
      <c r="I246" s="124" t="n">
        <f aca="false">IF(MONTH($A246)=MONTH($A245),IF(G246=0,I245,G246),G246)</f>
        <v>97860</v>
      </c>
      <c r="J246" s="124" t="n">
        <f aca="false">IF(MONTH($A246)=MONTH($A245),SUM(I246-I245),I246)</f>
        <v>5737</v>
      </c>
      <c r="K246" s="124" t="n">
        <f aca="false">IF(WEEKDAY(A246,3)&gt;4,0,(IF(A246&lt;K$2,0,IF(A246&lt;=K$3,1,0))))</f>
        <v>0</v>
      </c>
      <c r="L246" s="124" t="n">
        <f aca="false">J246*K246</f>
        <v>0</v>
      </c>
      <c r="M246" s="124" t="n">
        <f aca="false">SUM(J$188:J246)</f>
        <v>269536</v>
      </c>
      <c r="N246" s="124" t="n">
        <f aca="false">SUM(J$6:J246)</f>
        <v>803718.480417803</v>
      </c>
      <c r="P246" s="124" t="n">
        <f aca="false">D246/P$3</f>
        <v>-0.16291058698834</v>
      </c>
      <c r="Q246" s="124" t="n">
        <f aca="false">E246/P$3</f>
        <v>0</v>
      </c>
      <c r="R246" s="124" t="n">
        <f aca="false">F246/R$3</f>
        <v>0</v>
      </c>
      <c r="S246" s="126" t="n">
        <f aca="false">J246/$R$3</f>
        <v>5.737</v>
      </c>
      <c r="T246" s="126" t="n">
        <f aca="false">L246/$R$3</f>
        <v>0</v>
      </c>
      <c r="U246" s="126" t="n">
        <f aca="false">I246/$R$3</f>
        <v>97.86</v>
      </c>
      <c r="V246" s="126" t="n">
        <f aca="false">M246/$R$3</f>
        <v>269.536</v>
      </c>
      <c r="W246" s="126" t="n">
        <f aca="false">N246/$R$3</f>
        <v>803.718480417803</v>
      </c>
    </row>
    <row r="247" customFormat="false" ht="12.75" hidden="true" customHeight="false" outlineLevel="0" collapsed="false">
      <c r="A247" s="120" t="n">
        <f aca="false">A246+1</f>
        <v>37133</v>
      </c>
      <c r="B247" s="131" t="str">
        <f aca="false">INDEX('Master Data'!$A$2:$B$8,MATCH(WEEKDAY('EZE Power Trading'!A247,3),'Master Data'!$A$2:$A$8,0),2)</f>
        <v>Th</v>
      </c>
      <c r="D247" s="124" t="n">
        <v>-162736.408890249</v>
      </c>
      <c r="E247" s="124" t="n">
        <v>0</v>
      </c>
      <c r="F247" s="124" t="n">
        <v>0</v>
      </c>
      <c r="G247" s="124" t="n">
        <v>98611</v>
      </c>
      <c r="I247" s="124" t="n">
        <f aca="false">IF(MONTH($A247)=MONTH($A246),IF(G247=0,I246,G247),G247)</f>
        <v>98611</v>
      </c>
      <c r="J247" s="124" t="n">
        <f aca="false">IF(MONTH($A247)=MONTH($A246),SUM(I247-I246),I247)</f>
        <v>751</v>
      </c>
      <c r="K247" s="124" t="n">
        <f aca="false">IF(WEEKDAY(A247,3)&gt;4,0,(IF(A247&lt;K$2,0,IF(A247&lt;=K$3,1,0))))</f>
        <v>0</v>
      </c>
      <c r="L247" s="124" t="n">
        <f aca="false">J247*K247</f>
        <v>0</v>
      </c>
      <c r="M247" s="124" t="n">
        <f aca="false">SUM(J$188:J247)</f>
        <v>270287</v>
      </c>
      <c r="N247" s="124" t="n">
        <f aca="false">SUM(J$6:J247)</f>
        <v>804469.480417803</v>
      </c>
      <c r="P247" s="124" t="n">
        <f aca="false">D247/P$3</f>
        <v>-0.162736408890249</v>
      </c>
      <c r="Q247" s="124" t="n">
        <f aca="false">E247/P$3</f>
        <v>0</v>
      </c>
      <c r="R247" s="124" t="n">
        <f aca="false">F247/R$3</f>
        <v>0</v>
      </c>
      <c r="S247" s="126" t="n">
        <f aca="false">J247/$R$3</f>
        <v>0.751</v>
      </c>
      <c r="T247" s="126" t="n">
        <f aca="false">L247/$R$3</f>
        <v>0</v>
      </c>
      <c r="U247" s="126" t="n">
        <f aca="false">I247/$R$3</f>
        <v>98.611</v>
      </c>
      <c r="V247" s="126" t="n">
        <f aca="false">M247/$R$3</f>
        <v>270.287</v>
      </c>
      <c r="W247" s="126" t="n">
        <f aca="false">N247/$R$3</f>
        <v>804.469480417803</v>
      </c>
    </row>
    <row r="248" customFormat="false" ht="12.75" hidden="false" customHeight="false" outlineLevel="0" collapsed="false">
      <c r="A248" s="120" t="n">
        <f aca="false">A247+1</f>
        <v>37134</v>
      </c>
      <c r="B248" s="131" t="str">
        <f aca="false">INDEX('Master Data'!$A$2:$B$8,MATCH(WEEKDAY('EZE Power Trading'!A248,3),'Master Data'!$A$2:$A$8,0),2)</f>
        <v>F</v>
      </c>
      <c r="D248" s="124" t="n">
        <v>-162591.391865485</v>
      </c>
      <c r="E248" s="124" t="n">
        <v>0</v>
      </c>
      <c r="F248" s="124" t="n">
        <v>0</v>
      </c>
      <c r="G248" s="124" t="n">
        <v>99481</v>
      </c>
      <c r="I248" s="124" t="n">
        <f aca="false">IF(MONTH($A248)=MONTH($A247),IF(G248=0,I247,G248),G248)</f>
        <v>99481</v>
      </c>
      <c r="J248" s="124" t="n">
        <f aca="false">IF(MONTH($A248)=MONTH($A247),SUM(I248-I247),I248)</f>
        <v>870</v>
      </c>
      <c r="K248" s="124" t="n">
        <f aca="false">IF(WEEKDAY(A248,3)&gt;4,0,(IF(A248&lt;K$2,0,IF(A248&lt;=K$3,1,0))))</f>
        <v>0</v>
      </c>
      <c r="L248" s="124" t="n">
        <f aca="false">J248*K248</f>
        <v>0</v>
      </c>
      <c r="M248" s="124" t="n">
        <f aca="false">SUM(J$188:J248)</f>
        <v>271157</v>
      </c>
      <c r="N248" s="124" t="n">
        <f aca="false">SUM(J$6:J248)</f>
        <v>805339.480417803</v>
      </c>
      <c r="P248" s="124" t="n">
        <f aca="false">D248/P$3</f>
        <v>-0.162591391865485</v>
      </c>
      <c r="Q248" s="124" t="n">
        <f aca="false">E248/P$3</f>
        <v>0</v>
      </c>
      <c r="R248" s="124" t="n">
        <f aca="false">F248/R$3</f>
        <v>0</v>
      </c>
      <c r="S248" s="126" t="n">
        <f aca="false">J248/$R$3</f>
        <v>0.87</v>
      </c>
      <c r="T248" s="126" t="n">
        <f aca="false">L248/$R$3</f>
        <v>0</v>
      </c>
      <c r="U248" s="126" t="n">
        <f aca="false">I248/$R$3</f>
        <v>99.481</v>
      </c>
      <c r="V248" s="126" t="n">
        <f aca="false">M248/$R$3</f>
        <v>271.157</v>
      </c>
      <c r="W248" s="126" t="n">
        <f aca="false">N248/$R$3</f>
        <v>805.339480417803</v>
      </c>
    </row>
    <row r="249" customFormat="false" ht="12.75" hidden="true" customHeight="false" outlineLevel="0" collapsed="false">
      <c r="A249" s="120" t="n">
        <f aca="false">A248+1</f>
        <v>37135</v>
      </c>
      <c r="B249" s="131" t="str">
        <f aca="false">INDEX('Master Data'!$A$2:$B$8,MATCH(WEEKDAY('EZE Power Trading'!A249,3),'Master Data'!$A$2:$A$8,0),2)</f>
        <v>Sa</v>
      </c>
      <c r="D249" s="124" t="n">
        <v>0</v>
      </c>
      <c r="E249" s="124" t="n">
        <v>0</v>
      </c>
      <c r="F249" s="124" t="n">
        <v>0</v>
      </c>
      <c r="G249" s="124" t="n">
        <v>0</v>
      </c>
      <c r="I249" s="124" t="n">
        <f aca="false">IF(MONTH($A249)=MONTH($A248),IF(G249=0,I248,G249),G249)</f>
        <v>0</v>
      </c>
      <c r="J249" s="124" t="n">
        <f aca="false">IF(MONTH($A249)=MONTH($A248),SUM(I249-I248),I249)</f>
        <v>0</v>
      </c>
      <c r="K249" s="124" t="n">
        <f aca="false">IF(WEEKDAY(A249,3)&gt;4,0,(IF(A249&lt;K$2,0,IF(A249&lt;=K$3,1,0))))</f>
        <v>0</v>
      </c>
      <c r="L249" s="124" t="n">
        <f aca="false">J249*K249</f>
        <v>0</v>
      </c>
      <c r="M249" s="124" t="n">
        <f aca="false">SUM(J$188:J249)</f>
        <v>271157</v>
      </c>
      <c r="N249" s="124" t="n">
        <f aca="false">SUM(J$6:J249)</f>
        <v>805339.480417803</v>
      </c>
      <c r="P249" s="124" t="n">
        <f aca="false">D249/P$3</f>
        <v>0</v>
      </c>
      <c r="Q249" s="124" t="n">
        <f aca="false">E249/P$3</f>
        <v>0</v>
      </c>
      <c r="R249" s="124" t="n">
        <f aca="false">F249/R$3</f>
        <v>0</v>
      </c>
      <c r="S249" s="126" t="n">
        <f aca="false">J249/$R$3</f>
        <v>0</v>
      </c>
      <c r="T249" s="126" t="n">
        <f aca="false">L249/$R$3</f>
        <v>0</v>
      </c>
      <c r="U249" s="126" t="n">
        <f aca="false">I249/$R$3</f>
        <v>0</v>
      </c>
      <c r="V249" s="126" t="n">
        <f aca="false">M249/$R$3</f>
        <v>271.157</v>
      </c>
      <c r="W249" s="126" t="n">
        <f aca="false">N249/$R$3</f>
        <v>805.339480417803</v>
      </c>
    </row>
    <row r="250" customFormat="false" ht="12.75" hidden="true" customHeight="false" outlineLevel="0" collapsed="false">
      <c r="A250" s="120" t="n">
        <f aca="false">A249+1</f>
        <v>37136</v>
      </c>
      <c r="B250" s="131" t="str">
        <f aca="false">INDEX('Master Data'!$A$2:$B$8,MATCH(WEEKDAY('EZE Power Trading'!A250,3),'Master Data'!$A$2:$A$8,0),2)</f>
        <v>Su</v>
      </c>
      <c r="D250" s="124" t="n">
        <v>0</v>
      </c>
      <c r="E250" s="124" t="n">
        <v>0</v>
      </c>
      <c r="F250" s="124" t="n">
        <v>0</v>
      </c>
      <c r="G250" s="124" t="n">
        <v>0</v>
      </c>
      <c r="I250" s="124" t="n">
        <f aca="false">IF(MONTH($A250)=MONTH($A249),IF(G250=0,I249,G250),G250)</f>
        <v>0</v>
      </c>
      <c r="J250" s="124" t="n">
        <f aca="false">IF(MONTH($A250)=MONTH($A249),SUM(I250-I249),I250)</f>
        <v>0</v>
      </c>
      <c r="K250" s="124" t="n">
        <f aca="false">IF(WEEKDAY(A250,3)&gt;4,0,(IF(A250&lt;K$2,0,IF(A250&lt;=K$3,1,0))))</f>
        <v>0</v>
      </c>
      <c r="L250" s="124" t="n">
        <f aca="false">J250*K250</f>
        <v>0</v>
      </c>
      <c r="M250" s="124" t="n">
        <f aca="false">SUM(J$188:J250)</f>
        <v>271157</v>
      </c>
      <c r="N250" s="124" t="n">
        <f aca="false">SUM(J$6:J250)</f>
        <v>805339.480417803</v>
      </c>
      <c r="P250" s="124" t="n">
        <f aca="false">D250/P$3</f>
        <v>0</v>
      </c>
      <c r="Q250" s="124" t="n">
        <f aca="false">E250/P$3</f>
        <v>0</v>
      </c>
      <c r="R250" s="124" t="n">
        <f aca="false">F250/R$3</f>
        <v>0</v>
      </c>
      <c r="S250" s="126" t="n">
        <f aca="false">J250/$R$3</f>
        <v>0</v>
      </c>
      <c r="T250" s="126" t="n">
        <f aca="false">L250/$R$3</f>
        <v>0</v>
      </c>
      <c r="U250" s="126" t="n">
        <f aca="false">I250/$R$3</f>
        <v>0</v>
      </c>
      <c r="V250" s="126" t="n">
        <f aca="false">M250/$R$3</f>
        <v>271.157</v>
      </c>
      <c r="W250" s="126" t="n">
        <f aca="false">N250/$R$3</f>
        <v>805.339480417803</v>
      </c>
    </row>
    <row r="251" customFormat="false" ht="12.75" hidden="true" customHeight="false" outlineLevel="0" collapsed="false">
      <c r="A251" s="120" t="n">
        <f aca="false">A250+1</f>
        <v>37137</v>
      </c>
      <c r="B251" s="131" t="str">
        <f aca="false">INDEX('Master Data'!$A$2:$B$8,MATCH(WEEKDAY('EZE Power Trading'!A251,3),'Master Data'!$A$2:$A$8,0),2)</f>
        <v>M</v>
      </c>
      <c r="D251" s="124" t="n">
        <v>0</v>
      </c>
      <c r="E251" s="124" t="n">
        <v>0</v>
      </c>
      <c r="F251" s="124" t="n">
        <v>0</v>
      </c>
      <c r="G251" s="124" t="n">
        <v>0</v>
      </c>
      <c r="I251" s="124" t="n">
        <f aca="false">IF(MONTH($A251)=MONTH($A250),IF(G251=0,I250,G251),G251)</f>
        <v>0</v>
      </c>
      <c r="J251" s="124" t="n">
        <f aca="false">IF(MONTH($A251)=MONTH($A250),SUM(I251-I250),I251)</f>
        <v>0</v>
      </c>
      <c r="K251" s="124" t="n">
        <f aca="false">IF(WEEKDAY(A251,3)&gt;4,0,(IF(A251&lt;K$2,0,IF(A251&lt;=K$3,1,0))))</f>
        <v>0</v>
      </c>
      <c r="L251" s="124" t="n">
        <f aca="false">J251*K251</f>
        <v>0</v>
      </c>
      <c r="M251" s="124" t="n">
        <f aca="false">SUM(J$188:J251)</f>
        <v>271157</v>
      </c>
      <c r="N251" s="124" t="n">
        <f aca="false">SUM(J$6:J251)</f>
        <v>805339.480417803</v>
      </c>
      <c r="P251" s="124" t="n">
        <f aca="false">D251/P$3</f>
        <v>0</v>
      </c>
      <c r="Q251" s="124" t="n">
        <f aca="false">E251/P$3</f>
        <v>0</v>
      </c>
      <c r="R251" s="124" t="n">
        <f aca="false">F251/R$3</f>
        <v>0</v>
      </c>
      <c r="S251" s="126" t="n">
        <f aca="false">J251/$R$3</f>
        <v>0</v>
      </c>
      <c r="T251" s="126" t="n">
        <f aca="false">L251/$R$3</f>
        <v>0</v>
      </c>
      <c r="U251" s="126" t="n">
        <f aca="false">I251/$R$3</f>
        <v>0</v>
      </c>
      <c r="V251" s="126" t="n">
        <f aca="false">M251/$R$3</f>
        <v>271.157</v>
      </c>
      <c r="W251" s="126" t="n">
        <f aca="false">N251/$R$3</f>
        <v>805.339480417803</v>
      </c>
    </row>
    <row r="252" customFormat="false" ht="12.75" hidden="true" customHeight="false" outlineLevel="0" collapsed="false">
      <c r="A252" s="120" t="n">
        <f aca="false">A251+1</f>
        <v>37138</v>
      </c>
      <c r="B252" s="131" t="str">
        <f aca="false">INDEX('Master Data'!$A$2:$B$8,MATCH(WEEKDAY('EZE Power Trading'!A252,3),'Master Data'!$A$2:$A$8,0),2)</f>
        <v>T</v>
      </c>
      <c r="D252" s="124" t="n">
        <v>-161262.592436592</v>
      </c>
      <c r="E252" s="124" t="n">
        <v>0</v>
      </c>
      <c r="F252" s="124" t="n">
        <v>0</v>
      </c>
      <c r="G252" s="124" t="n">
        <v>-2726</v>
      </c>
      <c r="I252" s="124" t="n">
        <f aca="false">IF(MONTH($A252)=MONTH($A251),IF(G252=0,I251,G252),G252)</f>
        <v>-2726</v>
      </c>
      <c r="J252" s="124" t="n">
        <f aca="false">IF(MONTH($A252)=MONTH($A251),SUM(I252-I251),I252)</f>
        <v>-2726</v>
      </c>
      <c r="K252" s="124" t="n">
        <f aca="false">IF(WEEKDAY(A252,3)&gt;4,0,(IF(A252&lt;K$2,0,IF(A252&lt;=K$3,1,0))))</f>
        <v>0</v>
      </c>
      <c r="L252" s="124" t="n">
        <f aca="false">J252*K252</f>
        <v>-0</v>
      </c>
      <c r="M252" s="124" t="n">
        <f aca="false">SUM(J$188:J252)</f>
        <v>268431</v>
      </c>
      <c r="N252" s="124" t="n">
        <f aca="false">SUM(J$6:J252)</f>
        <v>802613.480417803</v>
      </c>
      <c r="P252" s="124" t="n">
        <f aca="false">D252/P$3</f>
        <v>-0.161262592436592</v>
      </c>
      <c r="Q252" s="124" t="n">
        <f aca="false">E252/P$3</f>
        <v>0</v>
      </c>
      <c r="R252" s="124" t="n">
        <f aca="false">F252/R$3</f>
        <v>0</v>
      </c>
      <c r="S252" s="126" t="n">
        <f aca="false">J252/$R$3</f>
        <v>-2.726</v>
      </c>
      <c r="T252" s="126" t="n">
        <f aca="false">L252/$R$3</f>
        <v>-0</v>
      </c>
      <c r="U252" s="126" t="n">
        <f aca="false">I252/$R$3</f>
        <v>-2.726</v>
      </c>
      <c r="V252" s="126" t="n">
        <f aca="false">M252/$R$3</f>
        <v>268.431</v>
      </c>
      <c r="W252" s="126" t="n">
        <f aca="false">N252/$R$3</f>
        <v>802.613480417803</v>
      </c>
    </row>
    <row r="253" customFormat="false" ht="12.75" hidden="true" customHeight="false" outlineLevel="0" collapsed="false">
      <c r="A253" s="120" t="n">
        <f aca="false">A252+1</f>
        <v>37139</v>
      </c>
      <c r="B253" s="131" t="str">
        <f aca="false">INDEX('Master Data'!$A$2:$B$8,MATCH(WEEKDAY('EZE Power Trading'!A253,3),'Master Data'!$A$2:$A$8,0),2)</f>
        <v>W</v>
      </c>
      <c r="D253" s="124" t="n">
        <v>-160676.978931132</v>
      </c>
      <c r="E253" s="124" t="n">
        <v>0</v>
      </c>
      <c r="F253" s="124" t="n">
        <v>0</v>
      </c>
      <c r="G253" s="124" t="n">
        <v>-3782</v>
      </c>
      <c r="I253" s="124" t="n">
        <f aca="false">IF(MONTH($A253)=MONTH($A252),IF(G253=0,I252,G253),G253)</f>
        <v>-3782</v>
      </c>
      <c r="J253" s="124" t="n">
        <f aca="false">IF(MONTH($A253)=MONTH($A252),SUM(I253-I252),I253)</f>
        <v>-1056</v>
      </c>
      <c r="K253" s="124" t="n">
        <f aca="false">IF(WEEKDAY(A253,3)&gt;4,0,(IF(A253&lt;K$2,0,IF(A253&lt;=K$3,1,0))))</f>
        <v>0</v>
      </c>
      <c r="L253" s="124" t="n">
        <f aca="false">J253*K253</f>
        <v>-0</v>
      </c>
      <c r="M253" s="124" t="n">
        <f aca="false">SUM(J$188:J253)</f>
        <v>267375</v>
      </c>
      <c r="N253" s="124" t="n">
        <f aca="false">SUM(J$6:J253)</f>
        <v>801557.480417803</v>
      </c>
      <c r="P253" s="124" t="n">
        <f aca="false">D253/P$3</f>
        <v>-0.160676978931132</v>
      </c>
      <c r="Q253" s="124" t="n">
        <f aca="false">E253/P$3</f>
        <v>0</v>
      </c>
      <c r="R253" s="124" t="n">
        <f aca="false">F253/R$3</f>
        <v>0</v>
      </c>
      <c r="S253" s="126" t="n">
        <f aca="false">J253/$R$3</f>
        <v>-1.056</v>
      </c>
      <c r="T253" s="126" t="n">
        <f aca="false">L253/$R$3</f>
        <v>-0</v>
      </c>
      <c r="U253" s="126" t="n">
        <f aca="false">I253/$R$3</f>
        <v>-3.782</v>
      </c>
      <c r="V253" s="126" t="n">
        <f aca="false">M253/$R$3</f>
        <v>267.375</v>
      </c>
      <c r="W253" s="126" t="n">
        <f aca="false">N253/$R$3</f>
        <v>801.557480417803</v>
      </c>
    </row>
    <row r="254" customFormat="false" ht="12.75" hidden="true" customHeight="false" outlineLevel="0" collapsed="false">
      <c r="A254" s="120" t="n">
        <f aca="false">A253+1</f>
        <v>37140</v>
      </c>
      <c r="B254" s="131" t="str">
        <f aca="false">INDEX('Master Data'!$A$2:$B$8,MATCH(WEEKDAY('EZE Power Trading'!A254,3),'Master Data'!$A$2:$A$8,0),2)</f>
        <v>Th</v>
      </c>
      <c r="D254" s="124" t="n">
        <v>-165541.14</v>
      </c>
      <c r="E254" s="124" t="n">
        <v>0</v>
      </c>
      <c r="F254" s="124" t="n">
        <v>0</v>
      </c>
      <c r="G254" s="124" t="n">
        <v>-3285.78</v>
      </c>
      <c r="I254" s="124" t="n">
        <f aca="false">IF(MONTH($A254)=MONTH($A253),IF(G254=0,I253,G254),G254)</f>
        <v>-3285.78</v>
      </c>
      <c r="J254" s="124" t="n">
        <f aca="false">IF(MONTH($A254)=MONTH($A253),SUM(I254-I253),I254)</f>
        <v>496.22</v>
      </c>
      <c r="K254" s="124" t="n">
        <f aca="false">IF(WEEKDAY(A254,3)&gt;4,0,(IF(A254&lt;K$2,0,IF(A254&lt;=K$3,1,0))))</f>
        <v>0</v>
      </c>
      <c r="L254" s="124" t="n">
        <f aca="false">J254*K254</f>
        <v>0</v>
      </c>
      <c r="M254" s="124" t="n">
        <f aca="false">SUM(J$188:J254)</f>
        <v>267871.22</v>
      </c>
      <c r="N254" s="124" t="n">
        <f aca="false">SUM(J$6:J254)</f>
        <v>802053.700417803</v>
      </c>
      <c r="P254" s="124" t="n">
        <f aca="false">D254/P$3</f>
        <v>-0.16554114</v>
      </c>
      <c r="Q254" s="124" t="n">
        <f aca="false">E254/P$3</f>
        <v>0</v>
      </c>
      <c r="R254" s="124" t="n">
        <f aca="false">F254/R$3</f>
        <v>0</v>
      </c>
      <c r="S254" s="126" t="n">
        <f aca="false">J254/$R$3</f>
        <v>0.49622</v>
      </c>
      <c r="T254" s="126" t="n">
        <f aca="false">L254/$R$3</f>
        <v>0</v>
      </c>
      <c r="U254" s="126" t="n">
        <f aca="false">I254/$R$3</f>
        <v>-3.28578</v>
      </c>
      <c r="V254" s="126" t="n">
        <f aca="false">M254/$R$3</f>
        <v>267.87122</v>
      </c>
      <c r="W254" s="126" t="n">
        <f aca="false">N254/$R$3</f>
        <v>802.053700417803</v>
      </c>
    </row>
    <row r="255" customFormat="false" ht="12.75" hidden="true" customHeight="false" outlineLevel="0" collapsed="false">
      <c r="A255" s="120" t="n">
        <f aca="false">A254+1</f>
        <v>37141</v>
      </c>
      <c r="B255" s="131" t="str">
        <f aca="false">INDEX('Master Data'!$A$2:$B$8,MATCH(WEEKDAY('EZE Power Trading'!A255,3),'Master Data'!$A$2:$A$8,0),2)</f>
        <v>F</v>
      </c>
      <c r="D255" s="124" t="n">
        <v>-160575.018394091</v>
      </c>
      <c r="E255" s="124" t="n">
        <v>0</v>
      </c>
      <c r="F255" s="124" t="n">
        <v>0</v>
      </c>
      <c r="G255" s="124" t="n">
        <v>-1842</v>
      </c>
      <c r="I255" s="124" t="n">
        <f aca="false">IF(MONTH($A255)=MONTH($A254),IF(G255=0,I254,G255),G255)</f>
        <v>-1842</v>
      </c>
      <c r="J255" s="124" t="n">
        <f aca="false">IF(MONTH($A255)=MONTH($A254),SUM(I255-I254),I255)</f>
        <v>1443.78</v>
      </c>
      <c r="K255" s="124" t="n">
        <f aca="false">IF(WEEKDAY(A255,3)&gt;4,0,(IF(A255&lt;K$2,0,IF(A255&lt;=K$3,1,0))))</f>
        <v>0</v>
      </c>
      <c r="L255" s="124" t="n">
        <f aca="false">J255*K255</f>
        <v>0</v>
      </c>
      <c r="M255" s="124" t="n">
        <f aca="false">SUM(J$188:J255)</f>
        <v>269315</v>
      </c>
      <c r="N255" s="124" t="n">
        <f aca="false">SUM(J$6:J255)</f>
        <v>803497.480417803</v>
      </c>
      <c r="P255" s="124" t="n">
        <f aca="false">D255/P$3</f>
        <v>-0.160575018394091</v>
      </c>
      <c r="Q255" s="124" t="n">
        <f aca="false">E255/P$3</f>
        <v>0</v>
      </c>
      <c r="R255" s="124" t="n">
        <f aca="false">F255/R$3</f>
        <v>0</v>
      </c>
      <c r="S255" s="126" t="n">
        <f aca="false">J255/$R$3</f>
        <v>1.44378</v>
      </c>
      <c r="T255" s="126" t="n">
        <f aca="false">L255/$R$3</f>
        <v>0</v>
      </c>
      <c r="U255" s="126" t="n">
        <f aca="false">I255/$R$3</f>
        <v>-1.842</v>
      </c>
      <c r="V255" s="126" t="n">
        <f aca="false">M255/$R$3</f>
        <v>269.315</v>
      </c>
      <c r="W255" s="126" t="n">
        <f aca="false">N255/$R$3</f>
        <v>803.497480417803</v>
      </c>
    </row>
    <row r="256" customFormat="false" ht="12.75" hidden="true" customHeight="false" outlineLevel="0" collapsed="false">
      <c r="A256" s="120" t="n">
        <f aca="false">A255+1</f>
        <v>37142</v>
      </c>
      <c r="B256" s="131" t="str">
        <f aca="false">INDEX('Master Data'!$A$2:$B$8,MATCH(WEEKDAY('EZE Power Trading'!A256,3),'Master Data'!$A$2:$A$8,0),2)</f>
        <v>Sa</v>
      </c>
      <c r="D256" s="124" t="n">
        <v>0</v>
      </c>
      <c r="E256" s="124" t="n">
        <v>0</v>
      </c>
      <c r="F256" s="124" t="n">
        <v>0</v>
      </c>
      <c r="G256" s="124" t="n">
        <v>0</v>
      </c>
      <c r="I256" s="124" t="n">
        <f aca="false">IF(MONTH($A256)=MONTH($A255),IF(G256=0,I255,G256),G256)</f>
        <v>-1842</v>
      </c>
      <c r="J256" s="124" t="n">
        <f aca="false">IF(MONTH($A256)=MONTH($A255),SUM(I256-I255),I256)</f>
        <v>0</v>
      </c>
      <c r="K256" s="124" t="n">
        <f aca="false">IF(WEEKDAY(A256,3)&gt;4,0,(IF(A256&lt;K$2,0,IF(A256&lt;=K$3,1,0))))</f>
        <v>0</v>
      </c>
      <c r="L256" s="124" t="n">
        <f aca="false">J256*K256</f>
        <v>0</v>
      </c>
      <c r="M256" s="124" t="n">
        <f aca="false">SUM(J$188:J256)</f>
        <v>269315</v>
      </c>
      <c r="N256" s="124" t="n">
        <f aca="false">SUM(J$6:J256)</f>
        <v>803497.480417803</v>
      </c>
      <c r="P256" s="124" t="n">
        <f aca="false">D256/P$3</f>
        <v>0</v>
      </c>
      <c r="Q256" s="124" t="n">
        <f aca="false">E256/P$3</f>
        <v>0</v>
      </c>
      <c r="R256" s="124" t="n">
        <f aca="false">F256/R$3</f>
        <v>0</v>
      </c>
      <c r="S256" s="126" t="n">
        <f aca="false">J256/$R$3</f>
        <v>0</v>
      </c>
      <c r="T256" s="126" t="n">
        <f aca="false">L256/$R$3</f>
        <v>0</v>
      </c>
      <c r="U256" s="126" t="n">
        <f aca="false">I256/$R$3</f>
        <v>-1.842</v>
      </c>
      <c r="V256" s="126" t="n">
        <f aca="false">M256/$R$3</f>
        <v>269.315</v>
      </c>
      <c r="W256" s="126" t="n">
        <f aca="false">N256/$R$3</f>
        <v>803.497480417803</v>
      </c>
    </row>
    <row r="257" customFormat="false" ht="12.75" hidden="true" customHeight="false" outlineLevel="0" collapsed="false">
      <c r="A257" s="120" t="n">
        <f aca="false">A256+1</f>
        <v>37143</v>
      </c>
      <c r="B257" s="131" t="str">
        <f aca="false">INDEX('Master Data'!$A$2:$B$8,MATCH(WEEKDAY('EZE Power Trading'!A257,3),'Master Data'!$A$2:$A$8,0),2)</f>
        <v>Su</v>
      </c>
      <c r="D257" s="124" t="n">
        <v>0</v>
      </c>
      <c r="E257" s="124" t="n">
        <v>0</v>
      </c>
      <c r="F257" s="124" t="n">
        <v>0</v>
      </c>
      <c r="G257" s="124" t="n">
        <v>0</v>
      </c>
      <c r="I257" s="124" t="n">
        <f aca="false">IF(MONTH($A257)=MONTH($A256),IF(G257=0,I256,G257),G257)</f>
        <v>-1842</v>
      </c>
      <c r="J257" s="124" t="n">
        <f aca="false">IF(MONTH($A257)=MONTH($A256),SUM(I257-I256),I257)</f>
        <v>0</v>
      </c>
      <c r="K257" s="124" t="n">
        <f aca="false">IF(WEEKDAY(A257,3)&gt;4,0,(IF(A257&lt;K$2,0,IF(A257&lt;=K$3,1,0))))</f>
        <v>0</v>
      </c>
      <c r="L257" s="124" t="n">
        <f aca="false">J257*K257</f>
        <v>0</v>
      </c>
      <c r="M257" s="124" t="n">
        <f aca="false">SUM(J$188:J257)</f>
        <v>269315</v>
      </c>
      <c r="N257" s="124" t="n">
        <f aca="false">SUM(J$6:J257)</f>
        <v>803497.480417803</v>
      </c>
      <c r="P257" s="124" t="n">
        <f aca="false">D257/P$3</f>
        <v>0</v>
      </c>
      <c r="Q257" s="124" t="n">
        <f aca="false">E257/P$3</f>
        <v>0</v>
      </c>
      <c r="R257" s="124" t="n">
        <f aca="false">F257/R$3</f>
        <v>0</v>
      </c>
      <c r="S257" s="126" t="n">
        <f aca="false">J257/$R$3</f>
        <v>0</v>
      </c>
      <c r="T257" s="126" t="n">
        <f aca="false">L257/$R$3</f>
        <v>0</v>
      </c>
      <c r="U257" s="126" t="n">
        <f aca="false">I257/$R$3</f>
        <v>-1.842</v>
      </c>
      <c r="V257" s="126" t="n">
        <f aca="false">M257/$R$3</f>
        <v>269.315</v>
      </c>
      <c r="W257" s="126" t="n">
        <f aca="false">N257/$R$3</f>
        <v>803.497480417803</v>
      </c>
    </row>
    <row r="258" customFormat="false" ht="12.75" hidden="true" customHeight="false" outlineLevel="0" collapsed="false">
      <c r="A258" s="120" t="n">
        <f aca="false">A257+1</f>
        <v>37144</v>
      </c>
      <c r="B258" s="131" t="str">
        <f aca="false">INDEX('Master Data'!$A$2:$B$8,MATCH(WEEKDAY('EZE Power Trading'!A258,3),'Master Data'!$A$2:$A$8,0),2)</f>
        <v>M</v>
      </c>
      <c r="D258" s="124" t="n">
        <v>-160189.266762697</v>
      </c>
      <c r="E258" s="124" t="n">
        <v>0</v>
      </c>
      <c r="F258" s="124" t="n">
        <v>0</v>
      </c>
      <c r="G258" s="124" t="n">
        <v>497</v>
      </c>
      <c r="I258" s="124" t="n">
        <f aca="false">IF(MONTH($A258)=MONTH($A257),IF(G258=0,I257,G258),G258)</f>
        <v>497</v>
      </c>
      <c r="J258" s="124" t="n">
        <f aca="false">IF(MONTH($A258)=MONTH($A257),SUM(I258-I257),I258)</f>
        <v>2339</v>
      </c>
      <c r="K258" s="124" t="n">
        <f aca="false">IF(WEEKDAY(A258,3)&gt;4,0,(IF(A258&lt;K$2,0,IF(A258&lt;=K$3,1,0))))</f>
        <v>0</v>
      </c>
      <c r="L258" s="124" t="n">
        <f aca="false">J258*K258</f>
        <v>0</v>
      </c>
      <c r="M258" s="124" t="n">
        <f aca="false">SUM(J$188:J258)</f>
        <v>271654</v>
      </c>
      <c r="N258" s="124" t="n">
        <f aca="false">SUM(J$6:J258)</f>
        <v>805836.480417803</v>
      </c>
      <c r="P258" s="124" t="n">
        <f aca="false">D258/P$3</f>
        <v>-0.160189266762697</v>
      </c>
      <c r="Q258" s="124" t="n">
        <f aca="false">E258/P$3</f>
        <v>0</v>
      </c>
      <c r="R258" s="124" t="n">
        <f aca="false">F258/R$3</f>
        <v>0</v>
      </c>
      <c r="S258" s="126" t="n">
        <f aca="false">J258/$R$3</f>
        <v>2.339</v>
      </c>
      <c r="T258" s="126" t="n">
        <f aca="false">L258/$R$3</f>
        <v>0</v>
      </c>
      <c r="U258" s="126" t="n">
        <f aca="false">I258/$R$3</f>
        <v>0.497</v>
      </c>
      <c r="V258" s="126" t="n">
        <f aca="false">M258/$R$3</f>
        <v>271.654</v>
      </c>
      <c r="W258" s="126" t="n">
        <f aca="false">N258/$R$3</f>
        <v>805.836480417803</v>
      </c>
    </row>
    <row r="259" customFormat="false" ht="12.75" hidden="true" customHeight="false" outlineLevel="0" collapsed="false">
      <c r="A259" s="120" t="n">
        <f aca="false">A258+1</f>
        <v>37145</v>
      </c>
      <c r="B259" s="131" t="str">
        <f aca="false">INDEX('Master Data'!$A$2:$B$8,MATCH(WEEKDAY('EZE Power Trading'!A259,3),'Master Data'!$A$2:$A$8,0),2)</f>
        <v>T</v>
      </c>
      <c r="D259" s="124" t="n">
        <v>0</v>
      </c>
      <c r="E259" s="124" t="n">
        <v>0</v>
      </c>
      <c r="F259" s="124" t="n">
        <v>0</v>
      </c>
      <c r="G259" s="124" t="n">
        <v>0</v>
      </c>
      <c r="I259" s="124" t="n">
        <f aca="false">IF(MONTH($A259)=MONTH($A258),IF(G259=0,I258,G259),G259)</f>
        <v>497</v>
      </c>
      <c r="J259" s="124" t="n">
        <f aca="false">IF(MONTH($A259)=MONTH($A258),SUM(I259-I258),I259)</f>
        <v>0</v>
      </c>
      <c r="K259" s="124" t="n">
        <f aca="false">IF(WEEKDAY(A259,3)&gt;4,0,(IF(A259&lt;K$2,0,IF(A259&lt;=K$3,1,0))))</f>
        <v>0</v>
      </c>
      <c r="L259" s="124" t="n">
        <f aca="false">J259*K259</f>
        <v>0</v>
      </c>
      <c r="M259" s="124" t="n">
        <f aca="false">SUM(J$188:J259)</f>
        <v>271654</v>
      </c>
      <c r="N259" s="124" t="n">
        <f aca="false">SUM(J$6:J259)</f>
        <v>805836.480417803</v>
      </c>
      <c r="P259" s="124" t="n">
        <f aca="false">D259/P$3</f>
        <v>0</v>
      </c>
      <c r="Q259" s="124" t="n">
        <f aca="false">E259/P$3</f>
        <v>0</v>
      </c>
      <c r="R259" s="124" t="n">
        <f aca="false">F259/R$3</f>
        <v>0</v>
      </c>
      <c r="S259" s="126" t="n">
        <f aca="false">J259/$R$3</f>
        <v>0</v>
      </c>
      <c r="T259" s="126" t="n">
        <f aca="false">L259/$R$3</f>
        <v>0</v>
      </c>
      <c r="U259" s="126" t="n">
        <f aca="false">I259/$R$3</f>
        <v>0.497</v>
      </c>
      <c r="V259" s="126" t="n">
        <f aca="false">M259/$R$3</f>
        <v>271.654</v>
      </c>
      <c r="W259" s="126" t="n">
        <f aca="false">N259/$R$3</f>
        <v>805.836480417803</v>
      </c>
    </row>
    <row r="260" customFormat="false" ht="12.75" hidden="true" customHeight="false" outlineLevel="0" collapsed="false">
      <c r="A260" s="120" t="n">
        <f aca="false">A259+1</f>
        <v>37146</v>
      </c>
      <c r="B260" s="131" t="str">
        <f aca="false">INDEX('Master Data'!$A$2:$B$8,MATCH(WEEKDAY('EZE Power Trading'!A260,3),'Master Data'!$A$2:$A$8,0),2)</f>
        <v>W</v>
      </c>
      <c r="D260" s="124" t="n">
        <v>-164898.87</v>
      </c>
      <c r="E260" s="124" t="n">
        <v>0</v>
      </c>
      <c r="F260" s="124" t="n">
        <v>0</v>
      </c>
      <c r="G260" s="124" t="n">
        <v>2303.57</v>
      </c>
      <c r="I260" s="124" t="n">
        <f aca="false">IF(MONTH($A260)=MONTH($A259),IF(G260=0,I259,G260),G260)</f>
        <v>2303.57</v>
      </c>
      <c r="J260" s="124" t="n">
        <f aca="false">IF(MONTH($A260)=MONTH($A259),SUM(I260-I259),I260)</f>
        <v>1806.57</v>
      </c>
      <c r="K260" s="124" t="n">
        <f aca="false">IF(WEEKDAY(A260,3)&gt;4,0,(IF(A260&lt;K$2,0,IF(A260&lt;=K$3,1,0))))</f>
        <v>0</v>
      </c>
      <c r="L260" s="124" t="n">
        <f aca="false">J260*K260</f>
        <v>0</v>
      </c>
      <c r="M260" s="124" t="n">
        <f aca="false">SUM(J$188:J260)</f>
        <v>273460.57</v>
      </c>
      <c r="N260" s="124" t="n">
        <f aca="false">SUM(J$6:J260)</f>
        <v>807643.050417803</v>
      </c>
      <c r="P260" s="124" t="n">
        <f aca="false">D260/P$3</f>
        <v>-0.16489887</v>
      </c>
      <c r="Q260" s="124" t="n">
        <f aca="false">E260/P$3</f>
        <v>0</v>
      </c>
      <c r="R260" s="124" t="n">
        <f aca="false">F260/R$3</f>
        <v>0</v>
      </c>
      <c r="S260" s="126" t="n">
        <f aca="false">J260/$R$3</f>
        <v>1.80657</v>
      </c>
      <c r="T260" s="126" t="n">
        <f aca="false">L260/$R$3</f>
        <v>0</v>
      </c>
      <c r="U260" s="126" t="n">
        <f aca="false">I260/$R$3</f>
        <v>2.30357</v>
      </c>
      <c r="V260" s="126" t="n">
        <f aca="false">M260/$R$3</f>
        <v>273.46057</v>
      </c>
      <c r="W260" s="126" t="n">
        <f aca="false">N260/$R$3</f>
        <v>807.643050417803</v>
      </c>
    </row>
    <row r="261" customFormat="false" ht="12.75" hidden="true" customHeight="false" outlineLevel="0" collapsed="false">
      <c r="A261" s="120" t="n">
        <f aca="false">A260+1</f>
        <v>37147</v>
      </c>
      <c r="B261" s="131" t="str">
        <f aca="false">INDEX('Master Data'!$A$2:$B$8,MATCH(WEEKDAY('EZE Power Trading'!A261,3),'Master Data'!$A$2:$A$8,0),2)</f>
        <v>Th</v>
      </c>
      <c r="D261" s="124" t="n">
        <v>-159820.337559439</v>
      </c>
      <c r="E261" s="124" t="n">
        <v>0</v>
      </c>
      <c r="F261" s="124" t="n">
        <v>0</v>
      </c>
      <c r="G261" s="124" t="n">
        <v>2545</v>
      </c>
      <c r="I261" s="124" t="n">
        <f aca="false">IF(MONTH($A261)=MONTH($A260),IF(G261=0,I260,G261),G261)</f>
        <v>2545</v>
      </c>
      <c r="J261" s="124" t="n">
        <f aca="false">IF(MONTH($A261)=MONTH($A260),SUM(I261-I260),I261)</f>
        <v>241.43</v>
      </c>
      <c r="K261" s="124" t="n">
        <f aca="false">IF(WEEKDAY(A261,3)&gt;4,0,(IF(A261&lt;K$2,0,IF(A261&lt;=K$3,1,0))))</f>
        <v>0</v>
      </c>
      <c r="L261" s="124" t="n">
        <f aca="false">J261*K261</f>
        <v>0</v>
      </c>
      <c r="M261" s="124" t="n">
        <f aca="false">SUM(J$188:J261)</f>
        <v>273702</v>
      </c>
      <c r="N261" s="124" t="n">
        <f aca="false">SUM(J$6:J261)</f>
        <v>807884.480417803</v>
      </c>
      <c r="P261" s="124" t="n">
        <f aca="false">D261/P$3</f>
        <v>-0.159820337559439</v>
      </c>
      <c r="Q261" s="124" t="n">
        <f aca="false">E261/P$3</f>
        <v>0</v>
      </c>
      <c r="R261" s="124" t="n">
        <f aca="false">F261/R$3</f>
        <v>0</v>
      </c>
      <c r="S261" s="126" t="n">
        <f aca="false">J261/$R$3</f>
        <v>0.24143</v>
      </c>
      <c r="T261" s="126" t="n">
        <f aca="false">L261/$R$3</f>
        <v>0</v>
      </c>
      <c r="U261" s="126" t="n">
        <f aca="false">I261/$R$3</f>
        <v>2.545</v>
      </c>
      <c r="V261" s="126" t="n">
        <f aca="false">M261/$R$3</f>
        <v>273.702</v>
      </c>
      <c r="W261" s="126" t="n">
        <f aca="false">N261/$R$3</f>
        <v>807.884480417803</v>
      </c>
    </row>
    <row r="262" customFormat="false" ht="12.75" hidden="true" customHeight="false" outlineLevel="0" collapsed="false">
      <c r="A262" s="120" t="n">
        <f aca="false">A261+1</f>
        <v>37148</v>
      </c>
      <c r="B262" s="131" t="str">
        <f aca="false">INDEX('Master Data'!$A$2:$B$8,MATCH(WEEKDAY('EZE Power Trading'!A262,3),'Master Data'!$A$2:$A$8,0),2)</f>
        <v>F</v>
      </c>
      <c r="D262" s="124" t="n">
        <v>-159960.212776529</v>
      </c>
      <c r="E262" s="124" t="n">
        <v>0</v>
      </c>
      <c r="F262" s="124" t="n">
        <v>0</v>
      </c>
      <c r="G262" s="124" t="n">
        <v>6291</v>
      </c>
      <c r="I262" s="124" t="n">
        <f aca="false">IF(MONTH($A262)=MONTH($A261),IF(G262=0,I261,G262),G262)</f>
        <v>6291</v>
      </c>
      <c r="J262" s="124" t="n">
        <f aca="false">IF(MONTH($A262)=MONTH($A261),SUM(I262-I261),I262)</f>
        <v>3746</v>
      </c>
      <c r="K262" s="124" t="n">
        <f aca="false">IF(WEEKDAY(A262,3)&gt;4,0,(IF(A262&lt;K$2,0,IF(A262&lt;=K$3,1,0))))</f>
        <v>0</v>
      </c>
      <c r="L262" s="124" t="n">
        <f aca="false">J262*K262</f>
        <v>0</v>
      </c>
      <c r="M262" s="124" t="n">
        <f aca="false">SUM(J$188:J262)</f>
        <v>277448</v>
      </c>
      <c r="N262" s="124" t="n">
        <f aca="false">SUM(J$6:J262)</f>
        <v>811630.480417803</v>
      </c>
      <c r="P262" s="124" t="n">
        <f aca="false">D262/P$3</f>
        <v>-0.159960212776529</v>
      </c>
      <c r="Q262" s="124" t="n">
        <f aca="false">E262/P$3</f>
        <v>0</v>
      </c>
      <c r="R262" s="124" t="n">
        <f aca="false">F262/R$3</f>
        <v>0</v>
      </c>
      <c r="S262" s="126" t="n">
        <f aca="false">J262/$R$3</f>
        <v>3.746</v>
      </c>
      <c r="T262" s="126" t="n">
        <f aca="false">L262/$R$3</f>
        <v>0</v>
      </c>
      <c r="U262" s="126" t="n">
        <f aca="false">I262/$R$3</f>
        <v>6.291</v>
      </c>
      <c r="V262" s="126" t="n">
        <f aca="false">M262/$R$3</f>
        <v>277.448</v>
      </c>
      <c r="W262" s="126" t="n">
        <f aca="false">N262/$R$3</f>
        <v>811.630480417803</v>
      </c>
    </row>
    <row r="263" customFormat="false" ht="12.75" hidden="true" customHeight="false" outlineLevel="0" collapsed="false">
      <c r="A263" s="120" t="n">
        <f aca="false">A262+1</f>
        <v>37149</v>
      </c>
      <c r="B263" s="131" t="str">
        <f aca="false">INDEX('Master Data'!$A$2:$B$8,MATCH(WEEKDAY('EZE Power Trading'!A263,3),'Master Data'!$A$2:$A$8,0),2)</f>
        <v>Sa</v>
      </c>
      <c r="D263" s="124" t="n">
        <v>0</v>
      </c>
      <c r="E263" s="124" t="n">
        <v>0</v>
      </c>
      <c r="F263" s="124" t="n">
        <v>0</v>
      </c>
      <c r="G263" s="124" t="n">
        <v>0</v>
      </c>
      <c r="I263" s="124" t="n">
        <f aca="false">IF(MONTH($A263)=MONTH($A262),IF(G263=0,I262,G263),G263)</f>
        <v>6291</v>
      </c>
      <c r="J263" s="124" t="n">
        <f aca="false">IF(MONTH($A263)=MONTH($A262),SUM(I263-I262),I263)</f>
        <v>0</v>
      </c>
      <c r="K263" s="124" t="n">
        <f aca="false">IF(WEEKDAY(A263,3)&gt;4,0,(IF(A263&lt;K$2,0,IF(A263&lt;=K$3,1,0))))</f>
        <v>0</v>
      </c>
      <c r="L263" s="124" t="n">
        <f aca="false">J263*K263</f>
        <v>0</v>
      </c>
      <c r="M263" s="124" t="n">
        <f aca="false">SUM(J$188:J263)</f>
        <v>277448</v>
      </c>
      <c r="N263" s="124" t="n">
        <f aca="false">SUM(J$6:J263)</f>
        <v>811630.480417803</v>
      </c>
      <c r="P263" s="124" t="n">
        <f aca="false">D263/P$3</f>
        <v>0</v>
      </c>
      <c r="Q263" s="124" t="n">
        <f aca="false">E263/P$3</f>
        <v>0</v>
      </c>
      <c r="R263" s="124" t="n">
        <f aca="false">F263/R$3</f>
        <v>0</v>
      </c>
      <c r="S263" s="126" t="n">
        <f aca="false">J263/$R$3</f>
        <v>0</v>
      </c>
      <c r="T263" s="126" t="n">
        <f aca="false">L263/$R$3</f>
        <v>0</v>
      </c>
      <c r="U263" s="126" t="n">
        <f aca="false">I263/$R$3</f>
        <v>6.291</v>
      </c>
      <c r="V263" s="126" t="n">
        <f aca="false">M263/$R$3</f>
        <v>277.448</v>
      </c>
      <c r="W263" s="126" t="n">
        <f aca="false">N263/$R$3</f>
        <v>811.630480417803</v>
      </c>
    </row>
    <row r="264" customFormat="false" ht="12.75" hidden="true" customHeight="false" outlineLevel="0" collapsed="false">
      <c r="A264" s="120" t="n">
        <f aca="false">A263+1</f>
        <v>37150</v>
      </c>
      <c r="B264" s="131" t="str">
        <f aca="false">INDEX('Master Data'!$A$2:$B$8,MATCH(WEEKDAY('EZE Power Trading'!A264,3),'Master Data'!$A$2:$A$8,0),2)</f>
        <v>Su</v>
      </c>
      <c r="D264" s="124" t="n">
        <v>0</v>
      </c>
      <c r="E264" s="124" t="n">
        <v>0</v>
      </c>
      <c r="F264" s="124" t="n">
        <v>0</v>
      </c>
      <c r="G264" s="124" t="n">
        <v>0</v>
      </c>
      <c r="I264" s="124" t="n">
        <f aca="false">IF(MONTH($A264)=MONTH($A263),IF(G264=0,I263,G264),G264)</f>
        <v>6291</v>
      </c>
      <c r="J264" s="124" t="n">
        <f aca="false">IF(MONTH($A264)=MONTH($A263),SUM(I264-I263),I264)</f>
        <v>0</v>
      </c>
      <c r="K264" s="124" t="n">
        <f aca="false">IF(WEEKDAY(A264,3)&gt;4,0,(IF(A264&lt;K$2,0,IF(A264&lt;=K$3,1,0))))</f>
        <v>0</v>
      </c>
      <c r="L264" s="124" t="n">
        <f aca="false">J264*K264</f>
        <v>0</v>
      </c>
      <c r="M264" s="124" t="n">
        <f aca="false">SUM(J$188:J264)</f>
        <v>277448</v>
      </c>
      <c r="N264" s="124" t="n">
        <f aca="false">SUM(J$6:J264)</f>
        <v>811630.480417803</v>
      </c>
      <c r="P264" s="124" t="n">
        <f aca="false">D264/P$3</f>
        <v>0</v>
      </c>
      <c r="Q264" s="124" t="n">
        <f aca="false">E264/P$3</f>
        <v>0</v>
      </c>
      <c r="R264" s="124" t="n">
        <f aca="false">F264/R$3</f>
        <v>0</v>
      </c>
      <c r="S264" s="126" t="n">
        <f aca="false">J264/$R$3</f>
        <v>0</v>
      </c>
      <c r="T264" s="126" t="n">
        <f aca="false">L264/$R$3</f>
        <v>0</v>
      </c>
      <c r="U264" s="126" t="n">
        <f aca="false">I264/$R$3</f>
        <v>6.291</v>
      </c>
      <c r="V264" s="126" t="n">
        <f aca="false">M264/$R$3</f>
        <v>277.448</v>
      </c>
      <c r="W264" s="126" t="n">
        <f aca="false">N264/$R$3</f>
        <v>811.630480417803</v>
      </c>
    </row>
    <row r="265" customFormat="false" ht="12.75" hidden="true" customHeight="false" outlineLevel="0" collapsed="false">
      <c r="A265" s="120" t="n">
        <f aca="false">A264+1</f>
        <v>37151</v>
      </c>
      <c r="B265" s="131" t="str">
        <f aca="false">INDEX('Master Data'!$A$2:$B$8,MATCH(WEEKDAY('EZE Power Trading'!A265,3),'Master Data'!$A$2:$A$8,0),2)</f>
        <v>M</v>
      </c>
      <c r="D265" s="124" t="n">
        <v>-159461.871381922</v>
      </c>
      <c r="E265" s="124" t="n">
        <v>0</v>
      </c>
      <c r="F265" s="124" t="n">
        <v>0</v>
      </c>
      <c r="G265" s="124" t="n">
        <v>7171</v>
      </c>
      <c r="I265" s="124" t="n">
        <f aca="false">IF(MONTH($A265)=MONTH($A264),IF(G265=0,I264,G265),G265)</f>
        <v>7171</v>
      </c>
      <c r="J265" s="124" t="n">
        <f aca="false">IF(MONTH($A265)=MONTH($A264),SUM(I265-I264),I265)</f>
        <v>880</v>
      </c>
      <c r="K265" s="124" t="n">
        <f aca="false">IF(WEEKDAY(A265,3)&gt;4,0,(IF(A265&lt;K$2,0,IF(A265&lt;=K$3,1,0))))</f>
        <v>0</v>
      </c>
      <c r="L265" s="124" t="n">
        <f aca="false">J265*K265</f>
        <v>0</v>
      </c>
      <c r="M265" s="124" t="n">
        <f aca="false">SUM(J$188:J265)</f>
        <v>278328</v>
      </c>
      <c r="N265" s="124" t="n">
        <f aca="false">SUM(J$6:J265)</f>
        <v>812510.480417803</v>
      </c>
      <c r="P265" s="124" t="n">
        <f aca="false">D265/P$3</f>
        <v>-0.159461871381922</v>
      </c>
      <c r="Q265" s="124" t="n">
        <f aca="false">E265/P$3</f>
        <v>0</v>
      </c>
      <c r="R265" s="124" t="n">
        <f aca="false">F265/R$3</f>
        <v>0</v>
      </c>
      <c r="S265" s="126" t="n">
        <f aca="false">J265/$R$3</f>
        <v>0.88</v>
      </c>
      <c r="T265" s="126" t="n">
        <f aca="false">L265/$R$3</f>
        <v>0</v>
      </c>
      <c r="U265" s="126" t="n">
        <f aca="false">I265/$R$3</f>
        <v>7.171</v>
      </c>
      <c r="V265" s="126" t="n">
        <f aca="false">M265/$R$3</f>
        <v>278.328</v>
      </c>
      <c r="W265" s="126" t="n">
        <f aca="false">N265/$R$3</f>
        <v>812.510480417803</v>
      </c>
    </row>
    <row r="266" customFormat="false" ht="12.75" hidden="true" customHeight="false" outlineLevel="0" collapsed="false">
      <c r="A266" s="120" t="n">
        <f aca="false">A265+1</f>
        <v>37152</v>
      </c>
      <c r="B266" s="131" t="str">
        <f aca="false">INDEX('Master Data'!$A$2:$B$8,MATCH(WEEKDAY('EZE Power Trading'!A266,3),'Master Data'!$A$2:$A$8,0),2)</f>
        <v>T</v>
      </c>
      <c r="D266" s="124" t="n">
        <v>-159263.211267281</v>
      </c>
      <c r="E266" s="124" t="n">
        <v>0</v>
      </c>
      <c r="F266" s="124" t="n">
        <v>0</v>
      </c>
      <c r="G266" s="124" t="n">
        <v>7358</v>
      </c>
      <c r="I266" s="124" t="n">
        <f aca="false">IF(MONTH($A266)=MONTH($A265),IF(G266=0,I265,G266),G266)</f>
        <v>7358</v>
      </c>
      <c r="J266" s="124" t="n">
        <f aca="false">IF(MONTH($A266)=MONTH($A265),SUM(I266-I265),I266)</f>
        <v>187</v>
      </c>
      <c r="K266" s="124" t="n">
        <f aca="false">IF(WEEKDAY(A266,3)&gt;4,0,(IF(A266&lt;K$2,0,IF(A266&lt;=K$3,1,0))))</f>
        <v>0</v>
      </c>
      <c r="L266" s="124" t="n">
        <f aca="false">J266*K266</f>
        <v>0</v>
      </c>
      <c r="M266" s="124" t="n">
        <f aca="false">SUM(J$188:J266)</f>
        <v>278515</v>
      </c>
      <c r="N266" s="124" t="n">
        <f aca="false">SUM(J$6:J266)</f>
        <v>812697.480417803</v>
      </c>
      <c r="P266" s="124" t="n">
        <f aca="false">D266/P$3</f>
        <v>-0.159263211267281</v>
      </c>
      <c r="Q266" s="124" t="n">
        <f aca="false">E266/P$3</f>
        <v>0</v>
      </c>
      <c r="R266" s="124" t="n">
        <f aca="false">F266/R$3</f>
        <v>0</v>
      </c>
      <c r="S266" s="126" t="n">
        <f aca="false">J266/$R$3</f>
        <v>0.187</v>
      </c>
      <c r="T266" s="126" t="n">
        <f aca="false">L266/$R$3</f>
        <v>0</v>
      </c>
      <c r="U266" s="126" t="n">
        <f aca="false">I266/$R$3</f>
        <v>7.358</v>
      </c>
      <c r="V266" s="126" t="n">
        <f aca="false">M266/$R$3</f>
        <v>278.515</v>
      </c>
      <c r="W266" s="126" t="n">
        <f aca="false">N266/$R$3</f>
        <v>812.697480417803</v>
      </c>
    </row>
    <row r="267" customFormat="false" ht="12.75" hidden="true" customHeight="false" outlineLevel="0" collapsed="false">
      <c r="A267" s="120" t="n">
        <f aca="false">A266+1</f>
        <v>37153</v>
      </c>
      <c r="B267" s="131" t="str">
        <f aca="false">INDEX('Master Data'!$A$2:$B$8,MATCH(WEEKDAY('EZE Power Trading'!A267,3),'Master Data'!$A$2:$A$8,0),2)</f>
        <v>W</v>
      </c>
      <c r="D267" s="124" t="n">
        <v>-159030.346914176</v>
      </c>
      <c r="E267" s="124" t="n">
        <v>0</v>
      </c>
      <c r="F267" s="124" t="n">
        <v>0</v>
      </c>
      <c r="G267" s="124" t="n">
        <v>7542</v>
      </c>
      <c r="I267" s="124" t="n">
        <f aca="false">IF(MONTH($A267)=MONTH($A266),IF(G267=0,I266,G267),G267)</f>
        <v>7542</v>
      </c>
      <c r="J267" s="124" t="n">
        <f aca="false">IF(MONTH($A267)=MONTH($A266),SUM(I267-I266),I267)</f>
        <v>184</v>
      </c>
      <c r="K267" s="124" t="n">
        <f aca="false">IF(WEEKDAY(A267,3)&gt;4,0,(IF(A267&lt;K$2,0,IF(A267&lt;=K$3,1,0))))</f>
        <v>0</v>
      </c>
      <c r="L267" s="124" t="n">
        <f aca="false">J267*K267</f>
        <v>0</v>
      </c>
      <c r="M267" s="124" t="n">
        <f aca="false">SUM(J$188:J267)</f>
        <v>278699</v>
      </c>
      <c r="N267" s="124" t="n">
        <f aca="false">SUM(J$6:J267)</f>
        <v>812881.480417803</v>
      </c>
      <c r="P267" s="124" t="n">
        <f aca="false">D267/P$3</f>
        <v>-0.159030346914176</v>
      </c>
      <c r="Q267" s="124" t="n">
        <f aca="false">E267/P$3</f>
        <v>0</v>
      </c>
      <c r="R267" s="124" t="n">
        <f aca="false">F267/R$3</f>
        <v>0</v>
      </c>
      <c r="S267" s="126" t="n">
        <f aca="false">J267/$R$3</f>
        <v>0.184</v>
      </c>
      <c r="T267" s="126" t="n">
        <f aca="false">L267/$R$3</f>
        <v>0</v>
      </c>
      <c r="U267" s="126" t="n">
        <f aca="false">I267/$R$3</f>
        <v>7.542</v>
      </c>
      <c r="V267" s="126" t="n">
        <f aca="false">M267/$R$3</f>
        <v>278.699</v>
      </c>
      <c r="W267" s="126" t="n">
        <f aca="false">N267/$R$3</f>
        <v>812.881480417803</v>
      </c>
    </row>
    <row r="268" customFormat="false" ht="12.75" hidden="true" customHeight="false" outlineLevel="0" collapsed="false">
      <c r="A268" s="120" t="n">
        <f aca="false">A267+1</f>
        <v>37154</v>
      </c>
      <c r="B268" s="131" t="str">
        <f aca="false">INDEX('Master Data'!$A$2:$B$8,MATCH(WEEKDAY('EZE Power Trading'!A268,3),'Master Data'!$A$2:$A$8,0),2)</f>
        <v>Th</v>
      </c>
      <c r="D268" s="124" t="n">
        <v>-159012.164862927</v>
      </c>
      <c r="E268" s="124" t="n">
        <v>0</v>
      </c>
      <c r="F268" s="124" t="n">
        <v>0</v>
      </c>
      <c r="G268" s="124" t="n">
        <v>8630</v>
      </c>
      <c r="I268" s="124" t="n">
        <f aca="false">IF(MONTH($A268)=MONTH($A267),IF(G268=0,I267,G268),G268)</f>
        <v>8630</v>
      </c>
      <c r="J268" s="124" t="n">
        <f aca="false">IF(MONTH($A268)=MONTH($A267),SUM(I268-I267),I268)</f>
        <v>1088</v>
      </c>
      <c r="K268" s="124" t="n">
        <f aca="false">IF(WEEKDAY(A268,3)&gt;4,0,(IF(A268&lt;K$2,0,IF(A268&lt;=K$3,1,0))))</f>
        <v>0</v>
      </c>
      <c r="L268" s="124" t="n">
        <f aca="false">J268*K268</f>
        <v>0</v>
      </c>
      <c r="M268" s="124" t="n">
        <f aca="false">SUM(J$188:J268)</f>
        <v>279787</v>
      </c>
      <c r="N268" s="124" t="n">
        <f aca="false">SUM(J$6:J268)</f>
        <v>813969.480417803</v>
      </c>
      <c r="P268" s="124" t="n">
        <f aca="false">D268/P$3</f>
        <v>-0.159012164862927</v>
      </c>
      <c r="Q268" s="124" t="n">
        <f aca="false">E268/P$3</f>
        <v>0</v>
      </c>
      <c r="R268" s="124" t="n">
        <f aca="false">F268/R$3</f>
        <v>0</v>
      </c>
      <c r="S268" s="126" t="n">
        <f aca="false">J268/$R$3</f>
        <v>1.088</v>
      </c>
      <c r="T268" s="126" t="n">
        <f aca="false">L268/$R$3</f>
        <v>0</v>
      </c>
      <c r="U268" s="126" t="n">
        <f aca="false">I268/$R$3</f>
        <v>8.63</v>
      </c>
      <c r="V268" s="126" t="n">
        <f aca="false">M268/$R$3</f>
        <v>279.787</v>
      </c>
      <c r="W268" s="126" t="n">
        <f aca="false">N268/$R$3</f>
        <v>813.969480417803</v>
      </c>
    </row>
    <row r="269" customFormat="false" ht="12.75" hidden="true" customHeight="false" outlineLevel="0" collapsed="false">
      <c r="A269" s="120" t="n">
        <f aca="false">A268+1</f>
        <v>37155</v>
      </c>
      <c r="B269" s="131" t="str">
        <f aca="false">INDEX('Master Data'!$A$2:$B$8,MATCH(WEEKDAY('EZE Power Trading'!A269,3),'Master Data'!$A$2:$A$8,0),2)</f>
        <v>F</v>
      </c>
      <c r="D269" s="124" t="n">
        <v>-158953.421317984</v>
      </c>
      <c r="E269" s="124" t="n">
        <v>0</v>
      </c>
      <c r="F269" s="124" t="n">
        <v>0</v>
      </c>
      <c r="G269" s="124" t="n">
        <v>9472</v>
      </c>
      <c r="I269" s="124" t="n">
        <f aca="false">IF(MONTH($A269)=MONTH($A268),IF(G269=0,I268,G269),G269)</f>
        <v>9472</v>
      </c>
      <c r="J269" s="124" t="n">
        <f aca="false">IF(MONTH($A269)=MONTH($A268),SUM(I269-I268),I269)</f>
        <v>842</v>
      </c>
      <c r="K269" s="124" t="n">
        <f aca="false">IF(WEEKDAY(A269,3)&gt;4,0,(IF(A269&lt;K$2,0,IF(A269&lt;=K$3,1,0))))</f>
        <v>0</v>
      </c>
      <c r="L269" s="124" t="n">
        <f aca="false">J269*K269</f>
        <v>0</v>
      </c>
      <c r="M269" s="124" t="n">
        <f aca="false">SUM(J$188:J269)</f>
        <v>280629</v>
      </c>
      <c r="N269" s="124" t="n">
        <f aca="false">SUM(J$6:J269)</f>
        <v>814811.480417803</v>
      </c>
      <c r="P269" s="124" t="n">
        <f aca="false">D269/P$3</f>
        <v>-0.158953421317984</v>
      </c>
      <c r="Q269" s="124" t="n">
        <f aca="false">E269/P$3</f>
        <v>0</v>
      </c>
      <c r="R269" s="124" t="n">
        <f aca="false">F269/R$3</f>
        <v>0</v>
      </c>
      <c r="S269" s="126" t="n">
        <f aca="false">J269/$R$3</f>
        <v>0.842</v>
      </c>
      <c r="T269" s="126" t="n">
        <f aca="false">L269/$R$3</f>
        <v>0</v>
      </c>
      <c r="U269" s="126" t="n">
        <f aca="false">I269/$R$3</f>
        <v>9.472</v>
      </c>
      <c r="V269" s="126" t="n">
        <f aca="false">M269/$R$3</f>
        <v>280.629</v>
      </c>
      <c r="W269" s="126" t="n">
        <f aca="false">N269/$R$3</f>
        <v>814.811480417803</v>
      </c>
    </row>
    <row r="270" customFormat="false" ht="12.75" hidden="true" customHeight="false" outlineLevel="0" collapsed="false">
      <c r="A270" s="120" t="n">
        <f aca="false">A269+1</f>
        <v>37156</v>
      </c>
      <c r="B270" s="131" t="str">
        <f aca="false">INDEX('Master Data'!$A$2:$B$8,MATCH(WEEKDAY('EZE Power Trading'!A270,3),'Master Data'!$A$2:$A$8,0),2)</f>
        <v>Sa</v>
      </c>
      <c r="D270" s="124" t="n">
        <v>0</v>
      </c>
      <c r="E270" s="124" t="n">
        <v>0</v>
      </c>
      <c r="F270" s="124" t="n">
        <v>0</v>
      </c>
      <c r="G270" s="124" t="n">
        <v>0</v>
      </c>
      <c r="I270" s="124" t="n">
        <f aca="false">IF(MONTH($A270)=MONTH($A269),IF(G270=0,I269,G270),G270)</f>
        <v>9472</v>
      </c>
      <c r="J270" s="124" t="n">
        <f aca="false">IF(MONTH($A270)=MONTH($A269),SUM(I270-I269),I270)</f>
        <v>0</v>
      </c>
      <c r="K270" s="124" t="n">
        <f aca="false">IF(WEEKDAY(A270,3)&gt;4,0,(IF(A270&lt;K$2,0,IF(A270&lt;=K$3,1,0))))</f>
        <v>0</v>
      </c>
      <c r="L270" s="124" t="n">
        <f aca="false">J270*K270</f>
        <v>0</v>
      </c>
      <c r="M270" s="124" t="n">
        <f aca="false">SUM(J$188:J270)</f>
        <v>280629</v>
      </c>
      <c r="N270" s="124" t="n">
        <f aca="false">SUM(J$6:J270)</f>
        <v>814811.480417803</v>
      </c>
      <c r="P270" s="124" t="n">
        <f aca="false">D270/P$3</f>
        <v>0</v>
      </c>
      <c r="Q270" s="124" t="n">
        <f aca="false">E270/P$3</f>
        <v>0</v>
      </c>
      <c r="R270" s="124" t="n">
        <f aca="false">F270/R$3</f>
        <v>0</v>
      </c>
      <c r="S270" s="126" t="n">
        <f aca="false">J270/$R$3</f>
        <v>0</v>
      </c>
      <c r="T270" s="126" t="n">
        <f aca="false">L270/$R$3</f>
        <v>0</v>
      </c>
      <c r="U270" s="126" t="n">
        <f aca="false">I270/$R$3</f>
        <v>9.472</v>
      </c>
      <c r="V270" s="126" t="n">
        <f aca="false">M270/$R$3</f>
        <v>280.629</v>
      </c>
      <c r="W270" s="126" t="n">
        <f aca="false">N270/$R$3</f>
        <v>814.811480417803</v>
      </c>
    </row>
    <row r="271" customFormat="false" ht="12.75" hidden="true" customHeight="false" outlineLevel="0" collapsed="false">
      <c r="A271" s="120" t="n">
        <f aca="false">A270+1</f>
        <v>37157</v>
      </c>
      <c r="B271" s="131" t="str">
        <f aca="false">INDEX('Master Data'!$A$2:$B$8,MATCH(WEEKDAY('EZE Power Trading'!A271,3),'Master Data'!$A$2:$A$8,0),2)</f>
        <v>Su</v>
      </c>
      <c r="D271" s="124" t="n">
        <v>0</v>
      </c>
      <c r="E271" s="124" t="n">
        <v>0</v>
      </c>
      <c r="F271" s="124" t="n">
        <v>0</v>
      </c>
      <c r="G271" s="124" t="n">
        <v>0</v>
      </c>
      <c r="I271" s="124" t="n">
        <f aca="false">IF(MONTH($A271)=MONTH($A270),IF(G271=0,I270,G271),G271)</f>
        <v>9472</v>
      </c>
      <c r="J271" s="124" t="n">
        <f aca="false">IF(MONTH($A271)=MONTH($A270),SUM(I271-I270),I271)</f>
        <v>0</v>
      </c>
      <c r="K271" s="124" t="n">
        <f aca="false">IF(WEEKDAY(A271,3)&gt;4,0,(IF(A271&lt;K$2,0,IF(A271&lt;=K$3,1,0))))</f>
        <v>0</v>
      </c>
      <c r="L271" s="124" t="n">
        <f aca="false">J271*K271</f>
        <v>0</v>
      </c>
      <c r="M271" s="124" t="n">
        <f aca="false">SUM(J$188:J271)</f>
        <v>280629</v>
      </c>
      <c r="N271" s="124" t="n">
        <f aca="false">SUM(J$6:J271)</f>
        <v>814811.480417803</v>
      </c>
      <c r="P271" s="124" t="n">
        <f aca="false">D271/P$3</f>
        <v>0</v>
      </c>
      <c r="Q271" s="124" t="n">
        <f aca="false">E271/P$3</f>
        <v>0</v>
      </c>
      <c r="R271" s="124" t="n">
        <f aca="false">F271/R$3</f>
        <v>0</v>
      </c>
      <c r="S271" s="126" t="n">
        <f aca="false">J271/$R$3</f>
        <v>0</v>
      </c>
      <c r="T271" s="126" t="n">
        <f aca="false">L271/$R$3</f>
        <v>0</v>
      </c>
      <c r="U271" s="126" t="n">
        <f aca="false">I271/$R$3</f>
        <v>9.472</v>
      </c>
      <c r="V271" s="126" t="n">
        <f aca="false">M271/$R$3</f>
        <v>280.629</v>
      </c>
      <c r="W271" s="126" t="n">
        <f aca="false">N271/$R$3</f>
        <v>814.811480417803</v>
      </c>
    </row>
    <row r="272" customFormat="false" ht="12.75" hidden="true" customHeight="false" outlineLevel="0" collapsed="false">
      <c r="A272" s="120" t="n">
        <f aca="false">A271+1</f>
        <v>37158</v>
      </c>
      <c r="B272" s="131" t="str">
        <f aca="false">INDEX('Master Data'!$A$2:$B$8,MATCH(WEEKDAY('EZE Power Trading'!A272,3),'Master Data'!$A$2:$A$8,0),2)</f>
        <v>M</v>
      </c>
      <c r="D272" s="124" t="n">
        <v>-158313.582601112</v>
      </c>
      <c r="E272" s="124" t="n">
        <v>0</v>
      </c>
      <c r="F272" s="124" t="n">
        <v>0</v>
      </c>
      <c r="G272" s="124" t="n">
        <v>9793</v>
      </c>
      <c r="I272" s="124" t="n">
        <f aca="false">IF(MONTH($A272)=MONTH($A271),IF(G272=0,I271,G272),G272)</f>
        <v>9793</v>
      </c>
      <c r="J272" s="124" t="n">
        <f aca="false">IF(MONTH($A272)=MONTH($A271),SUM(I272-I271),I272)</f>
        <v>321</v>
      </c>
      <c r="K272" s="124" t="n">
        <f aca="false">IF(WEEKDAY(A272,3)&gt;4,0,(IF(A272&lt;K$2,0,IF(A272&lt;=K$3,1,0))))</f>
        <v>0</v>
      </c>
      <c r="L272" s="124" t="n">
        <f aca="false">J272*K272</f>
        <v>0</v>
      </c>
      <c r="M272" s="124" t="n">
        <f aca="false">SUM(J$188:J272)</f>
        <v>280950</v>
      </c>
      <c r="N272" s="124" t="n">
        <f aca="false">SUM(J$6:J272)</f>
        <v>815132.480417803</v>
      </c>
      <c r="P272" s="124" t="n">
        <f aca="false">D272/P$3</f>
        <v>-0.158313582601112</v>
      </c>
      <c r="Q272" s="124" t="n">
        <f aca="false">E272/P$3</f>
        <v>0</v>
      </c>
      <c r="R272" s="124" t="n">
        <f aca="false">F272/R$3</f>
        <v>0</v>
      </c>
      <c r="S272" s="126" t="n">
        <f aca="false">J272/$R$3</f>
        <v>0.321</v>
      </c>
      <c r="T272" s="126" t="n">
        <f aca="false">L272/$R$3</f>
        <v>0</v>
      </c>
      <c r="U272" s="126" t="n">
        <f aca="false">I272/$R$3</f>
        <v>9.793</v>
      </c>
      <c r="V272" s="126" t="n">
        <f aca="false">M272/$R$3</f>
        <v>280.95</v>
      </c>
      <c r="W272" s="126" t="n">
        <f aca="false">N272/$R$3</f>
        <v>815.132480417803</v>
      </c>
    </row>
    <row r="273" customFormat="false" ht="12.75" hidden="true" customHeight="false" outlineLevel="0" collapsed="false">
      <c r="A273" s="120" t="n">
        <f aca="false">A272+1</f>
        <v>37159</v>
      </c>
      <c r="B273" s="131" t="str">
        <f aca="false">INDEX('Master Data'!$A$2:$B$8,MATCH(WEEKDAY('EZE Power Trading'!A273,3),'Master Data'!$A$2:$A$8,0),2)</f>
        <v>T</v>
      </c>
      <c r="D273" s="124" t="n">
        <v>-158072.790419271</v>
      </c>
      <c r="E273" s="124" t="n">
        <v>0</v>
      </c>
      <c r="F273" s="124" t="n">
        <v>0</v>
      </c>
      <c r="G273" s="124" t="n">
        <v>77894</v>
      </c>
      <c r="I273" s="124" t="n">
        <f aca="false">IF(MONTH($A273)=MONTH($A272),IF(G273=0,I272,G273),G273)</f>
        <v>77894</v>
      </c>
      <c r="J273" s="124" t="n">
        <f aca="false">IF(MONTH($A273)=MONTH($A272),SUM(I273-I272),I273)</f>
        <v>68101</v>
      </c>
      <c r="K273" s="124" t="n">
        <f aca="false">IF(WEEKDAY(A273,3)&gt;4,0,(IF(A273&lt;K$2,0,IF(A273&lt;=K$3,1,0))))</f>
        <v>0</v>
      </c>
      <c r="L273" s="124" t="n">
        <f aca="false">J273*K273</f>
        <v>0</v>
      </c>
      <c r="M273" s="124" t="n">
        <f aca="false">SUM(J$188:J273)</f>
        <v>349051</v>
      </c>
      <c r="N273" s="124" t="n">
        <f aca="false">SUM(J$6:J273)</f>
        <v>883233.480417803</v>
      </c>
      <c r="P273" s="124" t="n">
        <f aca="false">D273/P$3</f>
        <v>-0.158072790419271</v>
      </c>
      <c r="Q273" s="124" t="n">
        <f aca="false">E273/P$3</f>
        <v>0</v>
      </c>
      <c r="R273" s="124" t="n">
        <f aca="false">F273/R$3</f>
        <v>0</v>
      </c>
      <c r="S273" s="126" t="n">
        <f aca="false">J273/$R$3</f>
        <v>68.101</v>
      </c>
      <c r="T273" s="126" t="n">
        <f aca="false">L273/$R$3</f>
        <v>0</v>
      </c>
      <c r="U273" s="126" t="n">
        <f aca="false">I273/$R$3</f>
        <v>77.894</v>
      </c>
      <c r="V273" s="126" t="n">
        <f aca="false">M273/$R$3</f>
        <v>349.051</v>
      </c>
      <c r="W273" s="126" t="n">
        <f aca="false">N273/$R$3</f>
        <v>883.233480417803</v>
      </c>
    </row>
    <row r="274" customFormat="false" ht="12.75" hidden="true" customHeight="false" outlineLevel="0" collapsed="false">
      <c r="A274" s="120" t="n">
        <f aca="false">A273+1</f>
        <v>37160</v>
      </c>
      <c r="B274" s="131" t="str">
        <f aca="false">INDEX('Master Data'!$A$2:$B$8,MATCH(WEEKDAY('EZE Power Trading'!A274,3),'Master Data'!$A$2:$A$8,0),2)</f>
        <v>W</v>
      </c>
      <c r="D274" s="124" t="n">
        <v>-157934.57204625</v>
      </c>
      <c r="E274" s="124" t="n">
        <v>0</v>
      </c>
      <c r="F274" s="124" t="n">
        <v>0</v>
      </c>
      <c r="G274" s="124" t="n">
        <v>77547</v>
      </c>
      <c r="I274" s="124" t="n">
        <f aca="false">IF(MONTH($A274)=MONTH($A273),IF(G274=0,I273,G274),G274)</f>
        <v>77547</v>
      </c>
      <c r="J274" s="124" t="n">
        <f aca="false">IF(MONTH($A274)=MONTH($A273),SUM(I274-I273),I274)</f>
        <v>-347</v>
      </c>
      <c r="K274" s="124" t="n">
        <f aca="false">IF(WEEKDAY(A274,3)&gt;4,0,(IF(A274&lt;K$2,0,IF(A274&lt;=K$3,1,0))))</f>
        <v>0</v>
      </c>
      <c r="L274" s="124" t="n">
        <f aca="false">J274*K274</f>
        <v>-0</v>
      </c>
      <c r="M274" s="124" t="n">
        <f aca="false">SUM(J$188:J274)</f>
        <v>348704</v>
      </c>
      <c r="N274" s="124" t="n">
        <f aca="false">SUM(J$6:J274)</f>
        <v>882886.480417803</v>
      </c>
      <c r="P274" s="124" t="n">
        <f aca="false">D274/P$3</f>
        <v>-0.15793457204625</v>
      </c>
      <c r="Q274" s="124" t="n">
        <f aca="false">E274/P$3</f>
        <v>0</v>
      </c>
      <c r="R274" s="124" t="n">
        <f aca="false">F274/R$3</f>
        <v>0</v>
      </c>
      <c r="S274" s="126" t="n">
        <f aca="false">J274/$R$3</f>
        <v>-0.347</v>
      </c>
      <c r="T274" s="126" t="n">
        <f aca="false">L274/$R$3</f>
        <v>-0</v>
      </c>
      <c r="U274" s="126" t="n">
        <f aca="false">I274/$R$3</f>
        <v>77.547</v>
      </c>
      <c r="V274" s="126" t="n">
        <f aca="false">M274/$R$3</f>
        <v>348.704</v>
      </c>
      <c r="W274" s="126" t="n">
        <f aca="false">N274/$R$3</f>
        <v>882.886480417803</v>
      </c>
    </row>
    <row r="275" customFormat="false" ht="12.75" hidden="true" customHeight="false" outlineLevel="0" collapsed="false">
      <c r="A275" s="120" t="n">
        <f aca="false">A274+1</f>
        <v>37161</v>
      </c>
      <c r="B275" s="131" t="str">
        <f aca="false">INDEX('Master Data'!$A$2:$B$8,MATCH(WEEKDAY('EZE Power Trading'!A275,3),'Master Data'!$A$2:$A$8,0),2)</f>
        <v>Th</v>
      </c>
      <c r="D275" s="124" t="n">
        <v>-157772.606919829</v>
      </c>
      <c r="E275" s="124" t="n">
        <v>0</v>
      </c>
      <c r="F275" s="124" t="n">
        <v>0</v>
      </c>
      <c r="G275" s="124" t="n">
        <v>117546</v>
      </c>
      <c r="I275" s="124" t="n">
        <f aca="false">IF(MONTH($A275)=MONTH($A274),IF(G275=0,I274,G275),G275)</f>
        <v>117546</v>
      </c>
      <c r="J275" s="124" t="n">
        <f aca="false">IF(MONTH($A275)=MONTH($A274),SUM(I275-I274),I275)</f>
        <v>39999</v>
      </c>
      <c r="K275" s="124" t="n">
        <f aca="false">IF(WEEKDAY(A275,3)&gt;4,0,(IF(A275&lt;K$2,0,IF(A275&lt;=K$3,1,0))))</f>
        <v>0</v>
      </c>
      <c r="L275" s="124" t="n">
        <f aca="false">J275*K275</f>
        <v>0</v>
      </c>
      <c r="M275" s="124" t="n">
        <f aca="false">SUM(J$188:J275)</f>
        <v>388703</v>
      </c>
      <c r="N275" s="124" t="n">
        <f aca="false">SUM(J$6:J275)</f>
        <v>922885.480417803</v>
      </c>
      <c r="P275" s="124" t="n">
        <f aca="false">D275/P$3</f>
        <v>-0.157772606919829</v>
      </c>
      <c r="Q275" s="124" t="n">
        <f aca="false">E275/P$3</f>
        <v>0</v>
      </c>
      <c r="R275" s="124" t="n">
        <f aca="false">F275/R$3</f>
        <v>0</v>
      </c>
      <c r="S275" s="126" t="n">
        <f aca="false">J275/$R$3</f>
        <v>39.999</v>
      </c>
      <c r="T275" s="126" t="n">
        <f aca="false">L275/$R$3</f>
        <v>0</v>
      </c>
      <c r="U275" s="126" t="n">
        <f aca="false">I275/$R$3</f>
        <v>117.546</v>
      </c>
      <c r="V275" s="126" t="n">
        <f aca="false">M275/$R$3</f>
        <v>388.703</v>
      </c>
      <c r="W275" s="126" t="n">
        <f aca="false">N275/$R$3</f>
        <v>922.885480417803</v>
      </c>
    </row>
    <row r="276" customFormat="false" ht="12.75" hidden="false" customHeight="false" outlineLevel="0" collapsed="false">
      <c r="A276" s="120" t="n">
        <f aca="false">A275+1</f>
        <v>37162</v>
      </c>
      <c r="B276" s="131" t="str">
        <f aca="false">INDEX('Master Data'!$A$2:$B$8,MATCH(WEEKDAY('EZE Power Trading'!A276,3),'Master Data'!$A$2:$A$8,0),2)</f>
        <v>F</v>
      </c>
      <c r="D276" s="124" t="n">
        <v>-157133.537016151</v>
      </c>
      <c r="E276" s="124" t="n">
        <v>0</v>
      </c>
      <c r="F276" s="124" t="n">
        <v>0</v>
      </c>
      <c r="G276" s="124" t="n">
        <v>160400.46</v>
      </c>
      <c r="I276" s="124" t="n">
        <f aca="false">IF(MONTH($A276)=MONTH($A275),IF(G276=0,I275,G276),G276)</f>
        <v>160400.46</v>
      </c>
      <c r="J276" s="124" t="n">
        <f aca="false">IF(MONTH($A276)=MONTH($A275),SUM(I276-I275),I276)</f>
        <v>42854.46</v>
      </c>
      <c r="K276" s="124" t="n">
        <f aca="false">IF(WEEKDAY(A276,3)&gt;4,0,(IF(A276&lt;K$2,0,IF(A276&lt;=K$3,1,0))))</f>
        <v>0</v>
      </c>
      <c r="L276" s="124" t="n">
        <f aca="false">J276*K276</f>
        <v>0</v>
      </c>
      <c r="M276" s="124" t="n">
        <f aca="false">SUM(J$188:J276)</f>
        <v>431557.46</v>
      </c>
      <c r="N276" s="124" t="n">
        <f aca="false">SUM(J$6:J276)</f>
        <v>965739.940417803</v>
      </c>
      <c r="P276" s="124" t="n">
        <f aca="false">D276/P$3</f>
        <v>-0.157133537016151</v>
      </c>
      <c r="Q276" s="124" t="n">
        <f aca="false">E276/P$3</f>
        <v>0</v>
      </c>
      <c r="R276" s="124" t="n">
        <f aca="false">F276/R$3</f>
        <v>0</v>
      </c>
      <c r="S276" s="126" t="n">
        <f aca="false">J276/$R$3</f>
        <v>42.85446</v>
      </c>
      <c r="T276" s="126" t="n">
        <f aca="false">L276/$R$3</f>
        <v>0</v>
      </c>
      <c r="U276" s="126" t="n">
        <f aca="false">I276/$R$3</f>
        <v>160.40046</v>
      </c>
      <c r="V276" s="126" t="n">
        <f aca="false">M276/$R$3</f>
        <v>431.55746</v>
      </c>
      <c r="W276" s="126" t="n">
        <f aca="false">N276/$R$3</f>
        <v>965.739940417803</v>
      </c>
    </row>
    <row r="277" customFormat="false" ht="12.75" hidden="false" customHeight="false" outlineLevel="0" collapsed="false">
      <c r="A277" s="120" t="n">
        <f aca="false">A276+1</f>
        <v>37163</v>
      </c>
      <c r="B277" s="131" t="str">
        <f aca="false">INDEX('Master Data'!$A$2:$B$8,MATCH(WEEKDAY('EZE Power Trading'!A277,3),'Master Data'!$A$2:$A$8,0),2)</f>
        <v>Sa</v>
      </c>
      <c r="D277" s="124" t="n">
        <v>0</v>
      </c>
      <c r="E277" s="124" t="n">
        <v>0</v>
      </c>
      <c r="F277" s="124" t="n">
        <v>0</v>
      </c>
      <c r="G277" s="124" t="n">
        <v>0</v>
      </c>
      <c r="I277" s="124" t="n">
        <f aca="false">IF(MONTH($A277)=MONTH($A276),IF(G277=0,I276,G277),G277)</f>
        <v>160400.46</v>
      </c>
      <c r="J277" s="124" t="n">
        <f aca="false">IF(MONTH($A277)=MONTH($A276),SUM(I277-I276),I277)</f>
        <v>0</v>
      </c>
      <c r="K277" s="124" t="n">
        <f aca="false">IF(WEEKDAY(A277,3)&gt;4,0,(IF(A277&lt;K$2,0,IF(A277&lt;=K$3,1,0))))</f>
        <v>0</v>
      </c>
      <c r="L277" s="124" t="n">
        <f aca="false">J277*K277</f>
        <v>0</v>
      </c>
      <c r="M277" s="124" t="n">
        <f aca="false">SUM(J$188:J277)</f>
        <v>431557.46</v>
      </c>
      <c r="N277" s="124" t="n">
        <f aca="false">SUM(J$6:J277)</f>
        <v>965739.940417803</v>
      </c>
      <c r="P277" s="124" t="n">
        <f aca="false">D277/P$3</f>
        <v>0</v>
      </c>
      <c r="Q277" s="124" t="n">
        <f aca="false">E277/P$3</f>
        <v>0</v>
      </c>
      <c r="R277" s="124" t="n">
        <f aca="false">F277/R$3</f>
        <v>0</v>
      </c>
      <c r="S277" s="126" t="n">
        <f aca="false">J277/$R$3</f>
        <v>0</v>
      </c>
      <c r="T277" s="126" t="n">
        <f aca="false">L277/$R$3</f>
        <v>0</v>
      </c>
      <c r="U277" s="126" t="n">
        <f aca="false">I277/$R$3</f>
        <v>160.40046</v>
      </c>
      <c r="V277" s="126" t="n">
        <f aca="false">M277/$R$3</f>
        <v>431.55746</v>
      </c>
      <c r="W277" s="126" t="n">
        <f aca="false">N277/$R$3</f>
        <v>965.739940417803</v>
      </c>
    </row>
    <row r="278" customFormat="false" ht="12.75" hidden="false" customHeight="false" outlineLevel="0" collapsed="false">
      <c r="A278" s="120" t="n">
        <f aca="false">A277+1</f>
        <v>37164</v>
      </c>
      <c r="B278" s="131" t="str">
        <f aca="false">INDEX('Master Data'!$A$2:$B$8,MATCH(WEEKDAY('EZE Power Trading'!A278,3),'Master Data'!$A$2:$A$8,0),2)</f>
        <v>Su</v>
      </c>
      <c r="D278" s="124" t="n">
        <v>0</v>
      </c>
      <c r="E278" s="124" t="n">
        <v>0</v>
      </c>
      <c r="F278" s="124" t="n">
        <v>0</v>
      </c>
      <c r="G278" s="124" t="n">
        <v>0</v>
      </c>
      <c r="I278" s="124" t="n">
        <f aca="false">IF(MONTH($A278)=MONTH($A277),IF(G278=0,I277,G278),G278)</f>
        <v>160400.46</v>
      </c>
      <c r="J278" s="124" t="n">
        <f aca="false">IF(MONTH($A278)=MONTH($A277),SUM(I278-I277),I278)</f>
        <v>0</v>
      </c>
      <c r="K278" s="124" t="n">
        <f aca="false">IF(WEEKDAY(A278,3)&gt;4,0,(IF(A278&lt;K$2,0,IF(A278&lt;=K$3,1,0))))</f>
        <v>0</v>
      </c>
      <c r="L278" s="124" t="n">
        <f aca="false">J278*K278</f>
        <v>0</v>
      </c>
      <c r="M278" s="124" t="n">
        <f aca="false">SUM(J$188:J278)</f>
        <v>431557.46</v>
      </c>
      <c r="N278" s="124" t="n">
        <f aca="false">SUM(J$6:J278)</f>
        <v>965739.940417803</v>
      </c>
      <c r="P278" s="124" t="n">
        <f aca="false">D278/P$3</f>
        <v>0</v>
      </c>
      <c r="Q278" s="124" t="n">
        <f aca="false">E278/P$3</f>
        <v>0</v>
      </c>
      <c r="R278" s="124" t="n">
        <f aca="false">F278/R$3</f>
        <v>0</v>
      </c>
      <c r="S278" s="126" t="n">
        <f aca="false">J278/$R$3</f>
        <v>0</v>
      </c>
      <c r="T278" s="126" t="n">
        <f aca="false">L278/$R$3</f>
        <v>0</v>
      </c>
      <c r="U278" s="126" t="n">
        <f aca="false">I278/$R$3</f>
        <v>160.40046</v>
      </c>
      <c r="V278" s="126" t="n">
        <f aca="false">M278/$R$3</f>
        <v>431.55746</v>
      </c>
      <c r="W278" s="126" t="n">
        <f aca="false">N278/$R$3</f>
        <v>965.739940417803</v>
      </c>
    </row>
    <row r="279" customFormat="false" ht="12.75" hidden="true" customHeight="false" outlineLevel="0" collapsed="false">
      <c r="A279" s="120" t="n">
        <f aca="false">A278+1</f>
        <v>37165</v>
      </c>
      <c r="B279" s="131" t="str">
        <f aca="false">INDEX('Master Data'!$A$2:$B$8,MATCH(WEEKDAY('EZE Power Trading'!A279,3),'Master Data'!$A$2:$A$8,0),2)</f>
        <v>M</v>
      </c>
      <c r="D279" s="124" t="n">
        <v>-156821.364174682</v>
      </c>
      <c r="E279" s="124" t="n">
        <v>0</v>
      </c>
      <c r="F279" s="124" t="n">
        <v>0</v>
      </c>
      <c r="G279" s="124" t="n">
        <v>-280</v>
      </c>
      <c r="I279" s="124" t="n">
        <f aca="false">IF(MONTH($A279)=MONTH($A278),IF(G279=0,I278,G279),G279)</f>
        <v>-280</v>
      </c>
      <c r="J279" s="124" t="n">
        <f aca="false">IF(MONTH($A279)=MONTH($A278),SUM(I279-I278),I279)</f>
        <v>-280</v>
      </c>
      <c r="K279" s="124" t="n">
        <f aca="false">IF(WEEKDAY(A279,3)&gt;4,0,(IF(A279&lt;K$2,0,IF(A279&lt;=K$3,1,0))))</f>
        <v>0</v>
      </c>
      <c r="L279" s="124" t="n">
        <f aca="false">J279*K279</f>
        <v>-0</v>
      </c>
      <c r="M279" s="124" t="n">
        <f aca="false">SUM(J$188:J279)</f>
        <v>431277.46</v>
      </c>
      <c r="N279" s="124" t="n">
        <f aca="false">SUM(J$6:J279)</f>
        <v>965459.940417803</v>
      </c>
      <c r="P279" s="124" t="n">
        <f aca="false">D279/P$3</f>
        <v>-0.156821364174682</v>
      </c>
      <c r="Q279" s="124" t="n">
        <f aca="false">E279/P$3</f>
        <v>0</v>
      </c>
      <c r="R279" s="124" t="n">
        <f aca="false">F279/R$3</f>
        <v>0</v>
      </c>
      <c r="S279" s="126" t="n">
        <f aca="false">J279/$R$3</f>
        <v>-0.28</v>
      </c>
      <c r="T279" s="126" t="n">
        <f aca="false">L279/$R$3</f>
        <v>-0</v>
      </c>
      <c r="U279" s="126" t="n">
        <f aca="false">I279/$R$3</f>
        <v>-0.28</v>
      </c>
      <c r="V279" s="126" t="n">
        <f aca="false">M279/$R$3</f>
        <v>431.27746</v>
      </c>
      <c r="W279" s="126" t="n">
        <f aca="false">N279/$R$3</f>
        <v>965.459940417803</v>
      </c>
    </row>
    <row r="280" customFormat="false" ht="12.75" hidden="true" customHeight="false" outlineLevel="0" collapsed="false">
      <c r="A280" s="120" t="n">
        <f aca="false">A279+1</f>
        <v>37166</v>
      </c>
      <c r="B280" s="131" t="str">
        <f aca="false">INDEX('Master Data'!$A$2:$B$8,MATCH(WEEKDAY('EZE Power Trading'!A280,3),'Master Data'!$A$2:$A$8,0),2)</f>
        <v>T</v>
      </c>
      <c r="D280" s="124" t="n">
        <v>-156578.026974303</v>
      </c>
      <c r="E280" s="124" t="n">
        <v>0</v>
      </c>
      <c r="F280" s="124" t="n">
        <v>0</v>
      </c>
      <c r="G280" s="124" t="n">
        <v>1275</v>
      </c>
      <c r="I280" s="124" t="n">
        <f aca="false">IF(MONTH($A280)=MONTH($A279),IF(G280=0,I279,G280),G280)</f>
        <v>1275</v>
      </c>
      <c r="J280" s="124" t="n">
        <f aca="false">IF(MONTH($A280)=MONTH($A279),SUM(I280-I279),I280)</f>
        <v>1555</v>
      </c>
      <c r="K280" s="124" t="n">
        <f aca="false">IF(WEEKDAY(A280,3)&gt;4,0,(IF(A280&lt;K$2,0,IF(A280&lt;=K$3,1,0))))</f>
        <v>0</v>
      </c>
      <c r="L280" s="124" t="n">
        <f aca="false">J280*K280</f>
        <v>0</v>
      </c>
      <c r="M280" s="124" t="n">
        <f aca="false">SUM(J$280:J280)</f>
        <v>1555</v>
      </c>
      <c r="N280" s="124" t="n">
        <f aca="false">SUM(J$6:J280)</f>
        <v>967014.940417803</v>
      </c>
      <c r="P280" s="124" t="n">
        <f aca="false">D280/P$3</f>
        <v>-0.156578026974303</v>
      </c>
      <c r="Q280" s="124" t="n">
        <f aca="false">E280/P$3</f>
        <v>0</v>
      </c>
      <c r="R280" s="124" t="n">
        <f aca="false">F280/R$3</f>
        <v>0</v>
      </c>
      <c r="S280" s="126" t="n">
        <f aca="false">J280/$R$3</f>
        <v>1.555</v>
      </c>
      <c r="T280" s="126" t="n">
        <f aca="false">L280/$R$3</f>
        <v>0</v>
      </c>
      <c r="U280" s="126" t="n">
        <f aca="false">I280/$R$3</f>
        <v>1.275</v>
      </c>
      <c r="V280" s="126" t="n">
        <f aca="false">M280/$R$3</f>
        <v>1.555</v>
      </c>
      <c r="W280" s="126" t="n">
        <f aca="false">N280/$R$3</f>
        <v>967.014940417803</v>
      </c>
    </row>
    <row r="281" customFormat="false" ht="12.75" hidden="true" customHeight="false" outlineLevel="0" collapsed="false">
      <c r="A281" s="120" t="n">
        <f aca="false">A280+1</f>
        <v>37167</v>
      </c>
      <c r="B281" s="131" t="str">
        <f aca="false">INDEX('Master Data'!$A$2:$B$8,MATCH(WEEKDAY('EZE Power Trading'!A281,3),'Master Data'!$A$2:$A$8,0),2)</f>
        <v>W</v>
      </c>
      <c r="D281" s="124" t="n">
        <v>-156506.020957395</v>
      </c>
      <c r="E281" s="124" t="n">
        <v>0</v>
      </c>
      <c r="F281" s="124" t="n">
        <v>0</v>
      </c>
      <c r="G281" s="124" t="n">
        <v>3955</v>
      </c>
      <c r="I281" s="124" t="n">
        <f aca="false">IF(MONTH($A281)=MONTH($A280),IF(G281=0,I280,G281),G281)</f>
        <v>3955</v>
      </c>
      <c r="J281" s="124" t="n">
        <f aca="false">IF(MONTH($A281)=MONTH($A280),SUM(I281-I280),I281)</f>
        <v>2680</v>
      </c>
      <c r="K281" s="124" t="n">
        <f aca="false">IF(WEEKDAY(A281,3)&gt;4,0,(IF(A281&lt;K$2,0,IF(A281&lt;=K$3,1,0))))</f>
        <v>0</v>
      </c>
      <c r="L281" s="124" t="n">
        <f aca="false">J281*K281</f>
        <v>0</v>
      </c>
      <c r="M281" s="124" t="n">
        <f aca="false">SUM(J$280:J281)</f>
        <v>4235</v>
      </c>
      <c r="N281" s="124" t="n">
        <f aca="false">SUM(J$6:J281)</f>
        <v>969694.940417803</v>
      </c>
      <c r="P281" s="124" t="n">
        <f aca="false">D281/P$3</f>
        <v>-0.156506020957395</v>
      </c>
      <c r="Q281" s="124" t="n">
        <f aca="false">E281/P$3</f>
        <v>0</v>
      </c>
      <c r="R281" s="124" t="n">
        <f aca="false">F281/R$3</f>
        <v>0</v>
      </c>
      <c r="S281" s="126" t="n">
        <f aca="false">J281/$R$3</f>
        <v>2.68</v>
      </c>
      <c r="T281" s="126" t="n">
        <f aca="false">L281/$R$3</f>
        <v>0</v>
      </c>
      <c r="U281" s="126" t="n">
        <f aca="false">I281/$R$3</f>
        <v>3.955</v>
      </c>
      <c r="V281" s="126" t="n">
        <f aca="false">M281/$R$3</f>
        <v>4.235</v>
      </c>
      <c r="W281" s="126" t="n">
        <f aca="false">N281/$R$3</f>
        <v>969.694940417803</v>
      </c>
    </row>
    <row r="282" customFormat="false" ht="12.75" hidden="true" customHeight="false" outlineLevel="0" collapsed="false">
      <c r="A282" s="120" t="n">
        <f aca="false">A281+1</f>
        <v>37168</v>
      </c>
      <c r="B282" s="131" t="str">
        <f aca="false">INDEX('Master Data'!$A$2:$B$8,MATCH(WEEKDAY('EZE Power Trading'!A282,3),'Master Data'!$A$2:$A$8,0),2)</f>
        <v>Th</v>
      </c>
      <c r="D282" s="124" t="n">
        <v>-156284.964613098</v>
      </c>
      <c r="E282" s="124" t="n">
        <v>0</v>
      </c>
      <c r="F282" s="124" t="n">
        <v>0</v>
      </c>
      <c r="G282" s="124" t="n">
        <v>6383</v>
      </c>
      <c r="I282" s="124" t="n">
        <f aca="false">IF(MONTH($A282)=MONTH($A281),IF(G282=0,I281,G282),G282)</f>
        <v>6383</v>
      </c>
      <c r="J282" s="124" t="n">
        <f aca="false">IF(MONTH($A282)=MONTH($A281),SUM(I282-I281),I282)</f>
        <v>2428</v>
      </c>
      <c r="K282" s="124" t="n">
        <f aca="false">IF(WEEKDAY(A282,3)&gt;4,0,(IF(A282&lt;K$2,0,IF(A282&lt;=K$3,1,0))))</f>
        <v>0</v>
      </c>
      <c r="L282" s="124" t="n">
        <f aca="false">J282*K282</f>
        <v>0</v>
      </c>
      <c r="M282" s="124" t="n">
        <f aca="false">SUM(J$280:J282)</f>
        <v>6663</v>
      </c>
      <c r="N282" s="124" t="n">
        <f aca="false">SUM(J$6:J282)</f>
        <v>972122.940417803</v>
      </c>
      <c r="P282" s="124" t="n">
        <f aca="false">D282/P$3</f>
        <v>-0.156284964613098</v>
      </c>
      <c r="Q282" s="124" t="n">
        <f aca="false">E282/P$3</f>
        <v>0</v>
      </c>
      <c r="R282" s="124" t="n">
        <f aca="false">F282/R$3</f>
        <v>0</v>
      </c>
      <c r="S282" s="126" t="n">
        <f aca="false">J282/$R$3</f>
        <v>2.428</v>
      </c>
      <c r="T282" s="126" t="n">
        <f aca="false">L282/$R$3</f>
        <v>0</v>
      </c>
      <c r="U282" s="126" t="n">
        <f aca="false">I282/$R$3</f>
        <v>6.383</v>
      </c>
      <c r="V282" s="126" t="n">
        <f aca="false">M282/$R$3</f>
        <v>6.663</v>
      </c>
      <c r="W282" s="126" t="n">
        <f aca="false">N282/$R$3</f>
        <v>972.122940417803</v>
      </c>
    </row>
    <row r="283" customFormat="false" ht="12.75" hidden="true" customHeight="false" outlineLevel="0" collapsed="false">
      <c r="A283" s="120" t="n">
        <f aca="false">A282+1</f>
        <v>37169</v>
      </c>
      <c r="B283" s="131" t="str">
        <f aca="false">INDEX('Master Data'!$A$2:$B$8,MATCH(WEEKDAY('EZE Power Trading'!A283,3),'Master Data'!$A$2:$A$8,0),2)</f>
        <v>F</v>
      </c>
      <c r="D283" s="124" t="n">
        <v>-156081.255911898</v>
      </c>
      <c r="E283" s="124" t="n">
        <v>0</v>
      </c>
      <c r="F283" s="124" t="n">
        <v>0</v>
      </c>
      <c r="G283" s="124" t="n">
        <v>8074</v>
      </c>
      <c r="I283" s="124" t="n">
        <f aca="false">IF(MONTH($A283)=MONTH($A282),IF(G283=0,I282,G283),G283)</f>
        <v>8074</v>
      </c>
      <c r="J283" s="124" t="n">
        <f aca="false">IF(MONTH($A283)=MONTH($A282),SUM(I283-I282),I283)</f>
        <v>1691</v>
      </c>
      <c r="K283" s="124" t="n">
        <f aca="false">IF(WEEKDAY(A283,3)&gt;4,0,(IF(A283&lt;K$2,0,IF(A283&lt;=K$3,1,0))))</f>
        <v>0</v>
      </c>
      <c r="L283" s="124" t="n">
        <f aca="false">J283*K283</f>
        <v>0</v>
      </c>
      <c r="M283" s="124" t="n">
        <f aca="false">SUM(J$280:J283)</f>
        <v>8354</v>
      </c>
      <c r="N283" s="124" t="n">
        <f aca="false">SUM(J$6:J283)</f>
        <v>973813.940417803</v>
      </c>
      <c r="P283" s="124" t="n">
        <f aca="false">D283/P$3</f>
        <v>-0.156081255911898</v>
      </c>
      <c r="Q283" s="124" t="n">
        <f aca="false">E283/P$3</f>
        <v>0</v>
      </c>
      <c r="R283" s="124" t="n">
        <f aca="false">F283/R$3</f>
        <v>0</v>
      </c>
      <c r="S283" s="126" t="n">
        <f aca="false">J283/$R$3</f>
        <v>1.691</v>
      </c>
      <c r="T283" s="126" t="n">
        <f aca="false">L283/$R$3</f>
        <v>0</v>
      </c>
      <c r="U283" s="126" t="n">
        <f aca="false">I283/$R$3</f>
        <v>8.074</v>
      </c>
      <c r="V283" s="126" t="n">
        <f aca="false">M283/$R$3</f>
        <v>8.354</v>
      </c>
      <c r="W283" s="126" t="n">
        <f aca="false">N283/$R$3</f>
        <v>973.813940417803</v>
      </c>
    </row>
    <row r="284" customFormat="false" ht="12.75" hidden="true" customHeight="false" outlineLevel="0" collapsed="false">
      <c r="A284" s="120" t="n">
        <f aca="false">A283+1</f>
        <v>37170</v>
      </c>
      <c r="B284" s="131" t="str">
        <f aca="false">INDEX('Master Data'!$A$2:$B$8,MATCH(WEEKDAY('EZE Power Trading'!A284,3),'Master Data'!$A$2:$A$8,0),2)</f>
        <v>Sa</v>
      </c>
      <c r="D284" s="124" t="n">
        <v>0</v>
      </c>
      <c r="E284" s="124" t="n">
        <v>0</v>
      </c>
      <c r="F284" s="124" t="n">
        <v>0</v>
      </c>
      <c r="G284" s="124" t="n">
        <v>0</v>
      </c>
      <c r="I284" s="124" t="n">
        <f aca="false">IF(MONTH($A284)=MONTH($A283),IF(G284=0,I283,G284),G284)</f>
        <v>8074</v>
      </c>
      <c r="J284" s="124" t="n">
        <f aca="false">IF(MONTH($A284)=MONTH($A283),SUM(I284-I283),I284)</f>
        <v>0</v>
      </c>
      <c r="K284" s="124" t="n">
        <f aca="false">IF(WEEKDAY(A284,3)&gt;4,0,(IF(A284&lt;K$2,0,IF(A284&lt;=K$3,1,0))))</f>
        <v>0</v>
      </c>
      <c r="L284" s="124" t="n">
        <f aca="false">J284*K284</f>
        <v>0</v>
      </c>
      <c r="M284" s="124" t="n">
        <f aca="false">SUM(J$280:J284)</f>
        <v>8354</v>
      </c>
      <c r="N284" s="124" t="n">
        <f aca="false">SUM(J$6:J284)</f>
        <v>973813.940417803</v>
      </c>
      <c r="P284" s="124" t="n">
        <f aca="false">D284/P$3</f>
        <v>0</v>
      </c>
      <c r="Q284" s="124" t="n">
        <f aca="false">E284/P$3</f>
        <v>0</v>
      </c>
      <c r="R284" s="124" t="n">
        <f aca="false">F284/R$3</f>
        <v>0</v>
      </c>
      <c r="S284" s="126" t="n">
        <f aca="false">J284/$R$3</f>
        <v>0</v>
      </c>
      <c r="T284" s="126" t="n">
        <f aca="false">L284/$R$3</f>
        <v>0</v>
      </c>
      <c r="U284" s="126" t="n">
        <f aca="false">I284/$R$3</f>
        <v>8.074</v>
      </c>
      <c r="V284" s="126" t="n">
        <f aca="false">M284/$R$3</f>
        <v>8.354</v>
      </c>
      <c r="W284" s="126" t="n">
        <f aca="false">N284/$R$3</f>
        <v>973.813940417803</v>
      </c>
    </row>
    <row r="285" customFormat="false" ht="12.75" hidden="true" customHeight="false" outlineLevel="0" collapsed="false">
      <c r="A285" s="120" t="n">
        <f aca="false">A284+1</f>
        <v>37171</v>
      </c>
      <c r="B285" s="131" t="str">
        <f aca="false">INDEX('Master Data'!$A$2:$B$8,MATCH(WEEKDAY('EZE Power Trading'!A285,3),'Master Data'!$A$2:$A$8,0),2)</f>
        <v>Su</v>
      </c>
      <c r="D285" s="124" t="n">
        <v>0</v>
      </c>
      <c r="E285" s="124" t="n">
        <v>0</v>
      </c>
      <c r="F285" s="124" t="n">
        <v>0</v>
      </c>
      <c r="G285" s="124" t="n">
        <v>0</v>
      </c>
      <c r="I285" s="124" t="n">
        <f aca="false">IF(MONTH($A285)=MONTH($A284),IF(G285=0,I284,G285),G285)</f>
        <v>8074</v>
      </c>
      <c r="J285" s="124" t="n">
        <f aca="false">IF(MONTH($A285)=MONTH($A284),SUM(I285-I284),I285)</f>
        <v>0</v>
      </c>
      <c r="K285" s="124" t="n">
        <f aca="false">IF(WEEKDAY(A285,3)&gt;4,0,(IF(A285&lt;K$2,0,IF(A285&lt;=K$3,1,0))))</f>
        <v>0</v>
      </c>
      <c r="L285" s="124" t="n">
        <f aca="false">J285*K285</f>
        <v>0</v>
      </c>
      <c r="M285" s="124" t="n">
        <f aca="false">SUM(J$280:J285)</f>
        <v>8354</v>
      </c>
      <c r="N285" s="124" t="n">
        <f aca="false">SUM(J$6:J285)</f>
        <v>973813.940417803</v>
      </c>
      <c r="P285" s="124" t="n">
        <f aca="false">D285/P$3</f>
        <v>0</v>
      </c>
      <c r="Q285" s="124" t="n">
        <f aca="false">E285/P$3</f>
        <v>0</v>
      </c>
      <c r="R285" s="124" t="n">
        <f aca="false">F285/R$3</f>
        <v>0</v>
      </c>
      <c r="S285" s="126" t="n">
        <f aca="false">J285/$R$3</f>
        <v>0</v>
      </c>
      <c r="T285" s="126" t="n">
        <f aca="false">L285/$R$3</f>
        <v>0</v>
      </c>
      <c r="U285" s="126" t="n">
        <f aca="false">I285/$R$3</f>
        <v>8.074</v>
      </c>
      <c r="V285" s="126" t="n">
        <f aca="false">M285/$R$3</f>
        <v>8.354</v>
      </c>
      <c r="W285" s="126" t="n">
        <f aca="false">N285/$R$3</f>
        <v>973.813940417803</v>
      </c>
    </row>
    <row r="286" customFormat="false" ht="12.75" hidden="true" customHeight="false" outlineLevel="0" collapsed="false">
      <c r="A286" s="120" t="n">
        <f aca="false">A285+1</f>
        <v>37172</v>
      </c>
      <c r="B286" s="131" t="str">
        <f aca="false">INDEX('Master Data'!$A$2:$B$8,MATCH(WEEKDAY('EZE Power Trading'!A286,3),'Master Data'!$A$2:$A$8,0),2)</f>
        <v>M</v>
      </c>
      <c r="D286" s="124" t="n">
        <v>-155486.102307444</v>
      </c>
      <c r="E286" s="124" t="n">
        <v>0</v>
      </c>
      <c r="F286" s="124" t="n">
        <v>0</v>
      </c>
      <c r="G286" s="124" t="n">
        <v>8777</v>
      </c>
      <c r="I286" s="124" t="n">
        <f aca="false">IF(MONTH($A286)=MONTH($A285),IF(G286=0,I285,G286),G286)</f>
        <v>8777</v>
      </c>
      <c r="J286" s="124" t="n">
        <f aca="false">IF(MONTH($A286)=MONTH($A285),SUM(I286-I285),I286)</f>
        <v>703</v>
      </c>
      <c r="K286" s="124" t="n">
        <f aca="false">IF(WEEKDAY(A286,3)&gt;4,0,(IF(A286&lt;K$2,0,IF(A286&lt;=K$3,1,0))))</f>
        <v>0</v>
      </c>
      <c r="L286" s="124" t="n">
        <f aca="false">J286*K286</f>
        <v>0</v>
      </c>
      <c r="M286" s="124" t="n">
        <f aca="false">SUM(J$280:J286)</f>
        <v>9057</v>
      </c>
      <c r="N286" s="124" t="n">
        <f aca="false">SUM(J$6:J286)</f>
        <v>974516.940417803</v>
      </c>
      <c r="P286" s="124" t="n">
        <f aca="false">D286/P$3</f>
        <v>-0.155486102307444</v>
      </c>
      <c r="Q286" s="124" t="n">
        <f aca="false">E286/P$3</f>
        <v>0</v>
      </c>
      <c r="R286" s="124" t="n">
        <f aca="false">F286/R$3</f>
        <v>0</v>
      </c>
      <c r="S286" s="126" t="n">
        <f aca="false">J286/$R$3</f>
        <v>0.703</v>
      </c>
      <c r="T286" s="126" t="n">
        <f aca="false">L286/$R$3</f>
        <v>0</v>
      </c>
      <c r="U286" s="126" t="n">
        <f aca="false">I286/$R$3</f>
        <v>8.777</v>
      </c>
      <c r="V286" s="126" t="n">
        <f aca="false">M286/$R$3</f>
        <v>9.057</v>
      </c>
      <c r="W286" s="126" t="n">
        <f aca="false">N286/$R$3</f>
        <v>974.516940417803</v>
      </c>
    </row>
    <row r="287" customFormat="false" ht="12.75" hidden="true" customHeight="false" outlineLevel="0" collapsed="false">
      <c r="A287" s="120" t="n">
        <f aca="false">A286+1</f>
        <v>37173</v>
      </c>
      <c r="B287" s="131" t="str">
        <f aca="false">INDEX('Master Data'!$A$2:$B$8,MATCH(WEEKDAY('EZE Power Trading'!A287,3),'Master Data'!$A$2:$A$8,0),2)</f>
        <v>T</v>
      </c>
      <c r="D287" s="124" t="n">
        <v>-155241.770009269</v>
      </c>
      <c r="E287" s="124" t="n">
        <v>0</v>
      </c>
      <c r="F287" s="124" t="n">
        <v>0</v>
      </c>
      <c r="G287" s="124" t="n">
        <v>14272</v>
      </c>
      <c r="I287" s="124" t="n">
        <f aca="false">IF(MONTH($A287)=MONTH($A286),IF(G287=0,I286,G287),G287)</f>
        <v>14272</v>
      </c>
      <c r="J287" s="124" t="n">
        <f aca="false">IF(MONTH($A287)=MONTH($A286),SUM(I287-I286),I287)</f>
        <v>5495</v>
      </c>
      <c r="K287" s="124" t="n">
        <f aca="false">IF(WEEKDAY(A287,3)&gt;4,0,(IF(A287&lt;K$2,0,IF(A287&lt;=K$3,1,0))))</f>
        <v>0</v>
      </c>
      <c r="L287" s="124" t="n">
        <f aca="false">J287*K287</f>
        <v>0</v>
      </c>
      <c r="M287" s="124" t="n">
        <f aca="false">SUM(J$280:J287)</f>
        <v>14552</v>
      </c>
      <c r="N287" s="124" t="n">
        <f aca="false">SUM(J$6:J287)</f>
        <v>980011.940417803</v>
      </c>
      <c r="P287" s="124" t="n">
        <f aca="false">D287/P$3</f>
        <v>-0.155241770009269</v>
      </c>
      <c r="Q287" s="124" t="n">
        <f aca="false">E287/P$3</f>
        <v>0</v>
      </c>
      <c r="R287" s="124" t="n">
        <f aca="false">F287/R$3</f>
        <v>0</v>
      </c>
      <c r="S287" s="126" t="n">
        <f aca="false">J287/$R$3</f>
        <v>5.495</v>
      </c>
      <c r="T287" s="126" t="n">
        <f aca="false">L287/$R$3</f>
        <v>0</v>
      </c>
      <c r="U287" s="126" t="n">
        <f aca="false">I287/$R$3</f>
        <v>14.272</v>
      </c>
      <c r="V287" s="126" t="n">
        <f aca="false">M287/$R$3</f>
        <v>14.552</v>
      </c>
      <c r="W287" s="126" t="n">
        <f aca="false">N287/$R$3</f>
        <v>980.011940417803</v>
      </c>
    </row>
    <row r="288" customFormat="false" ht="12.75" hidden="true" customHeight="false" outlineLevel="0" collapsed="false">
      <c r="A288" s="120" t="n">
        <f aca="false">A287+1</f>
        <v>37174</v>
      </c>
      <c r="B288" s="131" t="str">
        <f aca="false">INDEX('Master Data'!$A$2:$B$8,MATCH(WEEKDAY('EZE Power Trading'!A288,3),'Master Data'!$A$2:$A$8,0),2)</f>
        <v>W</v>
      </c>
      <c r="D288" s="124" t="n">
        <v>-154959.590877191</v>
      </c>
      <c r="E288" s="124" t="n">
        <v>0</v>
      </c>
      <c r="F288" s="124" t="n">
        <v>0</v>
      </c>
      <c r="G288" s="124" t="n">
        <v>15356</v>
      </c>
      <c r="I288" s="124" t="n">
        <f aca="false">IF(MONTH($A288)=MONTH($A287),IF(G288=0,I287,G288),G288)</f>
        <v>15356</v>
      </c>
      <c r="J288" s="124" t="n">
        <f aca="false">IF(MONTH($A288)=MONTH($A287),SUM(I288-I287),I288)</f>
        <v>1084</v>
      </c>
      <c r="K288" s="124" t="n">
        <f aca="false">IF(WEEKDAY(A288,3)&gt;4,0,(IF(A288&lt;K$2,0,IF(A288&lt;=K$3,1,0))))</f>
        <v>0</v>
      </c>
      <c r="L288" s="124" t="n">
        <f aca="false">J288*K288</f>
        <v>0</v>
      </c>
      <c r="M288" s="124" t="n">
        <f aca="false">SUM(J$280:J288)</f>
        <v>15636</v>
      </c>
      <c r="N288" s="124" t="n">
        <f aca="false">SUM(J$6:J288)</f>
        <v>981095.940417803</v>
      </c>
      <c r="P288" s="124" t="n">
        <f aca="false">D288/P$3</f>
        <v>-0.154959590877191</v>
      </c>
      <c r="Q288" s="124" t="n">
        <f aca="false">E288/P$3</f>
        <v>0</v>
      </c>
      <c r="R288" s="124" t="n">
        <f aca="false">F288/R$3</f>
        <v>0</v>
      </c>
      <c r="S288" s="126" t="n">
        <f aca="false">J288/$R$3</f>
        <v>1.084</v>
      </c>
      <c r="T288" s="126" t="n">
        <f aca="false">L288/$R$3</f>
        <v>0</v>
      </c>
      <c r="U288" s="126" t="n">
        <f aca="false">I288/$R$3</f>
        <v>15.356</v>
      </c>
      <c r="V288" s="126" t="n">
        <f aca="false">M288/$R$3</f>
        <v>15.636</v>
      </c>
      <c r="W288" s="126" t="n">
        <f aca="false">N288/$R$3</f>
        <v>981.095940417803</v>
      </c>
    </row>
    <row r="289" customFormat="false" ht="12.75" hidden="true" customHeight="false" outlineLevel="0" collapsed="false">
      <c r="A289" s="120" t="n">
        <f aca="false">A288+1</f>
        <v>37175</v>
      </c>
      <c r="B289" s="131" t="str">
        <f aca="false">INDEX('Master Data'!$A$2:$B$8,MATCH(WEEKDAY('EZE Power Trading'!A289,3),'Master Data'!$A$2:$A$8,0),2)</f>
        <v>Th</v>
      </c>
      <c r="D289" s="124" t="n">
        <v>-154689.025249938</v>
      </c>
      <c r="E289" s="124" t="n">
        <v>0</v>
      </c>
      <c r="F289" s="124" t="n">
        <v>0</v>
      </c>
      <c r="G289" s="124" t="n">
        <v>16217</v>
      </c>
      <c r="I289" s="124" t="n">
        <f aca="false">IF(MONTH($A289)=MONTH($A288),IF(G289=0,I288,G289),G289)</f>
        <v>16217</v>
      </c>
      <c r="J289" s="124" t="n">
        <f aca="false">IF(MONTH($A289)=MONTH($A288),SUM(I289-I288),I289)</f>
        <v>861</v>
      </c>
      <c r="K289" s="124" t="n">
        <f aca="false">IF(WEEKDAY(A289,3)&gt;4,0,(IF(A289&lt;K$2,0,IF(A289&lt;=K$3,1,0))))</f>
        <v>0</v>
      </c>
      <c r="L289" s="124" t="n">
        <f aca="false">J289*K289</f>
        <v>0</v>
      </c>
      <c r="M289" s="124" t="n">
        <f aca="false">SUM(J$280:J289)</f>
        <v>16497</v>
      </c>
      <c r="N289" s="124" t="n">
        <f aca="false">SUM(J$6:J289)</f>
        <v>981956.940417803</v>
      </c>
      <c r="P289" s="124" t="n">
        <f aca="false">D289/P$3</f>
        <v>-0.154689025249938</v>
      </c>
      <c r="Q289" s="124" t="n">
        <f aca="false">E289/P$3</f>
        <v>0</v>
      </c>
      <c r="R289" s="124" t="n">
        <f aca="false">F289/R$3</f>
        <v>0</v>
      </c>
      <c r="S289" s="126" t="n">
        <f aca="false">J289/$R$3</f>
        <v>0.861</v>
      </c>
      <c r="T289" s="126" t="n">
        <f aca="false">L289/$R$3</f>
        <v>0</v>
      </c>
      <c r="U289" s="126" t="n">
        <f aca="false">I289/$R$3</f>
        <v>16.217</v>
      </c>
      <c r="V289" s="126" t="n">
        <f aca="false">M289/$R$3</f>
        <v>16.497</v>
      </c>
      <c r="W289" s="126" t="n">
        <f aca="false">N289/$R$3</f>
        <v>981.956940417803</v>
      </c>
    </row>
    <row r="290" customFormat="false" ht="12.75" hidden="true" customHeight="false" outlineLevel="0" collapsed="false">
      <c r="A290" s="120" t="n">
        <f aca="false">A289+1</f>
        <v>37176</v>
      </c>
      <c r="B290" s="131" t="str">
        <f aca="false">INDEX('Master Data'!$A$2:$B$8,MATCH(WEEKDAY('EZE Power Trading'!A290,3),'Master Data'!$A$2:$A$8,0),2)</f>
        <v>F</v>
      </c>
      <c r="D290" s="124" t="n">
        <v>-154270.191868545</v>
      </c>
      <c r="E290" s="124" t="n">
        <v>0</v>
      </c>
      <c r="F290" s="124" t="n">
        <v>0</v>
      </c>
      <c r="G290" s="124" t="n">
        <v>16801</v>
      </c>
      <c r="I290" s="124" t="n">
        <f aca="false">IF(MONTH($A290)=MONTH($A289),IF(G290=0,I289,G290),G290)</f>
        <v>16801</v>
      </c>
      <c r="J290" s="124" t="n">
        <f aca="false">IF(MONTH($A290)=MONTH($A289),SUM(I290-I289),I290)</f>
        <v>584</v>
      </c>
      <c r="K290" s="124" t="n">
        <f aca="false">IF(WEEKDAY(A290,3)&gt;4,0,(IF(A290&lt;K$2,0,IF(A290&lt;=K$3,1,0))))</f>
        <v>0</v>
      </c>
      <c r="L290" s="124" t="n">
        <f aca="false">J290*K290</f>
        <v>0</v>
      </c>
      <c r="M290" s="124" t="n">
        <f aca="false">SUM(J$280:J290)</f>
        <v>17081</v>
      </c>
      <c r="N290" s="124" t="n">
        <f aca="false">SUM(J$6:J290)</f>
        <v>982540.940417803</v>
      </c>
      <c r="P290" s="124" t="n">
        <f aca="false">D290/P$3</f>
        <v>-0.154270191868545</v>
      </c>
      <c r="Q290" s="124" t="n">
        <f aca="false">E290/P$3</f>
        <v>0</v>
      </c>
      <c r="R290" s="124" t="n">
        <f aca="false">F290/R$3</f>
        <v>0</v>
      </c>
      <c r="S290" s="126" t="n">
        <f aca="false">J290/$R$3</f>
        <v>0.584</v>
      </c>
      <c r="T290" s="126" t="n">
        <f aca="false">L290/$R$3</f>
        <v>0</v>
      </c>
      <c r="U290" s="126" t="n">
        <f aca="false">I290/$R$3</f>
        <v>16.801</v>
      </c>
      <c r="V290" s="126" t="n">
        <f aca="false">M290/$R$3</f>
        <v>17.081</v>
      </c>
      <c r="W290" s="126" t="n">
        <f aca="false">N290/$R$3</f>
        <v>982.540940417803</v>
      </c>
    </row>
    <row r="291" customFormat="false" ht="12.75" hidden="true" customHeight="false" outlineLevel="0" collapsed="false">
      <c r="A291" s="120" t="n">
        <f aca="false">A290+1</f>
        <v>37177</v>
      </c>
      <c r="B291" s="131" t="str">
        <f aca="false">INDEX('Master Data'!$A$2:$B$8,MATCH(WEEKDAY('EZE Power Trading'!A291,3),'Master Data'!$A$2:$A$8,0),2)</f>
        <v>Sa</v>
      </c>
      <c r="D291" s="124" t="n">
        <v>0</v>
      </c>
      <c r="E291" s="124" t="n">
        <v>0</v>
      </c>
      <c r="F291" s="124" t="n">
        <v>0</v>
      </c>
      <c r="G291" s="124" t="n">
        <v>0</v>
      </c>
      <c r="I291" s="124" t="n">
        <f aca="false">IF(MONTH($A291)=MONTH($A290),IF(G291=0,I290,G291),G291)</f>
        <v>16801</v>
      </c>
      <c r="J291" s="124" t="n">
        <f aca="false">IF(MONTH($A291)=MONTH($A290),SUM(I291-I290),I291)</f>
        <v>0</v>
      </c>
      <c r="K291" s="124" t="n">
        <f aca="false">IF(WEEKDAY(A291,3)&gt;4,0,(IF(A291&lt;K$2,0,IF(A291&lt;=K$3,1,0))))</f>
        <v>0</v>
      </c>
      <c r="L291" s="124" t="n">
        <f aca="false">J291*K291</f>
        <v>0</v>
      </c>
      <c r="M291" s="124" t="n">
        <f aca="false">SUM(J$280:J291)</f>
        <v>17081</v>
      </c>
      <c r="N291" s="124" t="n">
        <f aca="false">SUM(J$6:J291)</f>
        <v>982540.940417803</v>
      </c>
      <c r="P291" s="124" t="n">
        <f aca="false">D291/P$3</f>
        <v>0</v>
      </c>
      <c r="Q291" s="124" t="n">
        <f aca="false">E291/P$3</f>
        <v>0</v>
      </c>
      <c r="R291" s="124" t="n">
        <f aca="false">F291/R$3</f>
        <v>0</v>
      </c>
      <c r="S291" s="126" t="n">
        <f aca="false">J291/$R$3</f>
        <v>0</v>
      </c>
      <c r="T291" s="126" t="n">
        <f aca="false">L291/$R$3</f>
        <v>0</v>
      </c>
      <c r="U291" s="126" t="n">
        <f aca="false">I291/$R$3</f>
        <v>16.801</v>
      </c>
      <c r="V291" s="126" t="n">
        <f aca="false">M291/$R$3</f>
        <v>17.081</v>
      </c>
      <c r="W291" s="126" t="n">
        <f aca="false">N291/$R$3</f>
        <v>982.540940417803</v>
      </c>
    </row>
    <row r="292" customFormat="false" ht="12.75" hidden="true" customHeight="false" outlineLevel="0" collapsed="false">
      <c r="A292" s="120" t="n">
        <f aca="false">A291+1</f>
        <v>37178</v>
      </c>
      <c r="B292" s="131" t="str">
        <f aca="false">INDEX('Master Data'!$A$2:$B$8,MATCH(WEEKDAY('EZE Power Trading'!A292,3),'Master Data'!$A$2:$A$8,0),2)</f>
        <v>Su</v>
      </c>
      <c r="D292" s="124" t="n">
        <v>0</v>
      </c>
      <c r="E292" s="124" t="n">
        <v>0</v>
      </c>
      <c r="F292" s="124" t="n">
        <v>0</v>
      </c>
      <c r="G292" s="124" t="n">
        <v>0</v>
      </c>
      <c r="I292" s="124" t="n">
        <f aca="false">IF(MONTH($A292)=MONTH($A291),IF(G292=0,I291,G292),G292)</f>
        <v>16801</v>
      </c>
      <c r="J292" s="124" t="n">
        <f aca="false">IF(MONTH($A292)=MONTH($A291),SUM(I292-I291),I292)</f>
        <v>0</v>
      </c>
      <c r="K292" s="124" t="n">
        <f aca="false">IF(WEEKDAY(A292,3)&gt;4,0,(IF(A292&lt;K$2,0,IF(A292&lt;=K$3,1,0))))</f>
        <v>0</v>
      </c>
      <c r="L292" s="124" t="n">
        <f aca="false">J292*K292</f>
        <v>0</v>
      </c>
      <c r="M292" s="124" t="n">
        <f aca="false">SUM(J$280:J292)</f>
        <v>17081</v>
      </c>
      <c r="N292" s="124" t="n">
        <f aca="false">SUM(J$6:J292)</f>
        <v>982540.940417803</v>
      </c>
      <c r="P292" s="124" t="n">
        <f aca="false">D292/P$3</f>
        <v>0</v>
      </c>
      <c r="Q292" s="124" t="n">
        <f aca="false">E292/P$3</f>
        <v>0</v>
      </c>
      <c r="R292" s="124" t="n">
        <f aca="false">F292/R$3</f>
        <v>0</v>
      </c>
      <c r="S292" s="126" t="n">
        <f aca="false">J292/$R$3</f>
        <v>0</v>
      </c>
      <c r="T292" s="126" t="n">
        <f aca="false">L292/$R$3</f>
        <v>0</v>
      </c>
      <c r="U292" s="126" t="n">
        <f aca="false">I292/$R$3</f>
        <v>16.801</v>
      </c>
      <c r="V292" s="126" t="n">
        <f aca="false">M292/$R$3</f>
        <v>17.081</v>
      </c>
      <c r="W292" s="126" t="n">
        <f aca="false">N292/$R$3</f>
        <v>982.540940417803</v>
      </c>
    </row>
    <row r="293" customFormat="false" ht="12.75" hidden="true" customHeight="false" outlineLevel="0" collapsed="false">
      <c r="A293" s="120" t="n">
        <f aca="false">A292+1</f>
        <v>37179</v>
      </c>
      <c r="B293" s="131" t="str">
        <f aca="false">INDEX('Master Data'!$A$2:$B$8,MATCH(WEEKDAY('EZE Power Trading'!A293,3),'Master Data'!$A$2:$A$8,0),2)</f>
        <v>M</v>
      </c>
      <c r="D293" s="124" t="n">
        <v>-153662.370129627</v>
      </c>
      <c r="E293" s="124" t="n">
        <v>0</v>
      </c>
      <c r="F293" s="124" t="n">
        <v>0</v>
      </c>
      <c r="G293" s="124" t="n">
        <v>21163</v>
      </c>
      <c r="I293" s="124" t="n">
        <f aca="false">IF(MONTH($A293)=MONTH($A292),IF(G293=0,I292,G293),G293)</f>
        <v>21163</v>
      </c>
      <c r="J293" s="124" t="n">
        <f aca="false">IF(MONTH($A293)=MONTH($A292),SUM(I293-I292),I293)</f>
        <v>4362</v>
      </c>
      <c r="K293" s="124" t="n">
        <f aca="false">IF(WEEKDAY(A293,3)&gt;4,0,(IF(A293&lt;K$2,0,IF(A293&lt;=K$3,1,0))))</f>
        <v>0</v>
      </c>
      <c r="L293" s="124" t="n">
        <f aca="false">J293*K293</f>
        <v>0</v>
      </c>
      <c r="M293" s="124" t="n">
        <f aca="false">SUM(J$280:J293)</f>
        <v>21443</v>
      </c>
      <c r="N293" s="124" t="n">
        <f aca="false">SUM(J$6:J293)</f>
        <v>986902.940417803</v>
      </c>
      <c r="P293" s="124" t="n">
        <f aca="false">D293/P$3</f>
        <v>-0.153662370129627</v>
      </c>
      <c r="Q293" s="124" t="n">
        <f aca="false">E293/P$3</f>
        <v>0</v>
      </c>
      <c r="R293" s="124" t="n">
        <f aca="false">F293/R$3</f>
        <v>0</v>
      </c>
      <c r="S293" s="126" t="n">
        <f aca="false">J293/$R$3</f>
        <v>4.362</v>
      </c>
      <c r="T293" s="126" t="n">
        <f aca="false">L293/$R$3</f>
        <v>0</v>
      </c>
      <c r="U293" s="126" t="n">
        <f aca="false">I293/$R$3</f>
        <v>21.163</v>
      </c>
      <c r="V293" s="126" t="n">
        <f aca="false">M293/$R$3</f>
        <v>21.443</v>
      </c>
      <c r="W293" s="126" t="n">
        <f aca="false">N293/$R$3</f>
        <v>986.902940417803</v>
      </c>
    </row>
    <row r="294" customFormat="false" ht="12.75" hidden="true" customHeight="false" outlineLevel="0" collapsed="false">
      <c r="A294" s="120" t="n">
        <f aca="false">A293+1</f>
        <v>37180</v>
      </c>
      <c r="B294" s="131" t="str">
        <f aca="false">INDEX('Master Data'!$A$2:$B$8,MATCH(WEEKDAY('EZE Power Trading'!A294,3),'Master Data'!$A$2:$A$8,0),2)</f>
        <v>T</v>
      </c>
      <c r="D294" s="124" t="n">
        <v>-153496.495200786</v>
      </c>
      <c r="E294" s="124" t="n">
        <v>0</v>
      </c>
      <c r="F294" s="124" t="n">
        <v>0</v>
      </c>
      <c r="G294" s="124" t="n">
        <v>23092</v>
      </c>
      <c r="I294" s="124" t="n">
        <f aca="false">IF(MONTH($A294)=MONTH($A293),IF(G294=0,I293,G294),G294)</f>
        <v>23092</v>
      </c>
      <c r="J294" s="124" t="n">
        <f aca="false">IF(MONTH($A294)=MONTH($A293),SUM(I294-I293),I294)</f>
        <v>1929</v>
      </c>
      <c r="K294" s="124" t="n">
        <f aca="false">IF(WEEKDAY(A294,3)&gt;4,0,(IF(A294&lt;K$2,0,IF(A294&lt;=K$3,1,0))))</f>
        <v>0</v>
      </c>
      <c r="L294" s="124" t="n">
        <f aca="false">J294*K294</f>
        <v>0</v>
      </c>
      <c r="M294" s="124" t="n">
        <f aca="false">SUM(J$280:J294)</f>
        <v>23372</v>
      </c>
      <c r="N294" s="124" t="n">
        <f aca="false">SUM(J$6:J294)</f>
        <v>988831.940417803</v>
      </c>
      <c r="P294" s="124" t="n">
        <f aca="false">D294/P$3</f>
        <v>-0.153496495200786</v>
      </c>
      <c r="Q294" s="124" t="n">
        <f aca="false">E294/P$3</f>
        <v>0</v>
      </c>
      <c r="R294" s="124" t="n">
        <f aca="false">F294/R$3</f>
        <v>0</v>
      </c>
      <c r="S294" s="126" t="n">
        <f aca="false">J294/$R$3</f>
        <v>1.929</v>
      </c>
      <c r="T294" s="126" t="n">
        <f aca="false">L294/$R$3</f>
        <v>0</v>
      </c>
      <c r="U294" s="126" t="n">
        <f aca="false">I294/$R$3</f>
        <v>23.092</v>
      </c>
      <c r="V294" s="126" t="n">
        <f aca="false">M294/$R$3</f>
        <v>23.372</v>
      </c>
      <c r="W294" s="126" t="n">
        <f aca="false">N294/$R$3</f>
        <v>988.831940417803</v>
      </c>
    </row>
    <row r="295" customFormat="false" ht="12.75" hidden="true" customHeight="false" outlineLevel="0" collapsed="false">
      <c r="A295" s="120" t="n">
        <f aca="false">A294+1</f>
        <v>37181</v>
      </c>
      <c r="B295" s="131" t="str">
        <f aca="false">INDEX('Master Data'!$A$2:$B$8,MATCH(WEEKDAY('EZE Power Trading'!A295,3),'Master Data'!$A$2:$A$8,0),2)</f>
        <v>W</v>
      </c>
      <c r="D295" s="124" t="n">
        <v>-153256.790817806</v>
      </c>
      <c r="E295" s="124" t="n">
        <v>0</v>
      </c>
      <c r="F295" s="124" t="n">
        <v>0</v>
      </c>
      <c r="G295" s="124" t="n">
        <v>24516</v>
      </c>
      <c r="I295" s="124" t="n">
        <f aca="false">IF(MONTH($A295)=MONTH($A294),IF(G295=0,I294,G295),G295)</f>
        <v>24516</v>
      </c>
      <c r="J295" s="124" t="n">
        <f aca="false">IF(MONTH($A295)=MONTH($A294),SUM(I295-I294),I295)</f>
        <v>1424</v>
      </c>
      <c r="K295" s="124" t="n">
        <f aca="false">IF(WEEKDAY(A295,3)&gt;4,0,(IF(A295&lt;K$2,0,IF(A295&lt;=K$3,1,0))))</f>
        <v>0</v>
      </c>
      <c r="L295" s="124" t="n">
        <f aca="false">J295*K295</f>
        <v>0</v>
      </c>
      <c r="M295" s="124" t="n">
        <f aca="false">SUM(J$280:J295)</f>
        <v>24796</v>
      </c>
      <c r="N295" s="124" t="n">
        <f aca="false">SUM(J$6:J295)</f>
        <v>990255.940417803</v>
      </c>
      <c r="P295" s="124" t="n">
        <f aca="false">D295/P$3</f>
        <v>-0.153256790817806</v>
      </c>
      <c r="Q295" s="124" t="n">
        <f aca="false">E295/P$3</f>
        <v>0</v>
      </c>
      <c r="R295" s="124" t="n">
        <f aca="false">F295/R$3</f>
        <v>0</v>
      </c>
      <c r="S295" s="126" t="n">
        <f aca="false">J295/$R$3</f>
        <v>1.424</v>
      </c>
      <c r="T295" s="126" t="n">
        <f aca="false">L295/$R$3</f>
        <v>0</v>
      </c>
      <c r="U295" s="126" t="n">
        <f aca="false">I295/$R$3</f>
        <v>24.516</v>
      </c>
      <c r="V295" s="126" t="n">
        <f aca="false">M295/$R$3</f>
        <v>24.796</v>
      </c>
      <c r="W295" s="126" t="n">
        <f aca="false">N295/$R$3</f>
        <v>990.255940417803</v>
      </c>
    </row>
    <row r="296" customFormat="false" ht="12.75" hidden="true" customHeight="false" outlineLevel="0" collapsed="false">
      <c r="A296" s="120" t="n">
        <f aca="false">A295+1</f>
        <v>37182</v>
      </c>
      <c r="B296" s="131" t="str">
        <f aca="false">INDEX('Master Data'!$A$2:$B$8,MATCH(WEEKDAY('EZE Power Trading'!A296,3),'Master Data'!$A$2:$A$8,0),2)</f>
        <v>Th</v>
      </c>
      <c r="D296" s="124" t="n">
        <v>-152904.546137385</v>
      </c>
      <c r="E296" s="124" t="n">
        <v>0</v>
      </c>
      <c r="F296" s="124" t="n">
        <v>0</v>
      </c>
      <c r="G296" s="124" t="n">
        <v>25056</v>
      </c>
      <c r="I296" s="124" t="n">
        <f aca="false">IF(MONTH($A296)=MONTH($A295),IF(G296=0,I295,G296),G296)</f>
        <v>25056</v>
      </c>
      <c r="J296" s="124" t="n">
        <f aca="false">IF(MONTH($A296)=MONTH($A295),SUM(I296-I295),I296)</f>
        <v>540</v>
      </c>
      <c r="K296" s="124" t="n">
        <f aca="false">IF(WEEKDAY(A296,3)&gt;4,0,(IF(A296&lt;K$2,0,IF(A296&lt;=K$3,1,0))))</f>
        <v>0</v>
      </c>
      <c r="L296" s="124" t="n">
        <f aca="false">J296*K296</f>
        <v>0</v>
      </c>
      <c r="M296" s="124" t="n">
        <f aca="false">SUM(J$280:J296)</f>
        <v>25336</v>
      </c>
      <c r="N296" s="124" t="n">
        <f aca="false">SUM(J$6:J296)</f>
        <v>990795.940417803</v>
      </c>
      <c r="P296" s="124" t="n">
        <f aca="false">D296/P$3</f>
        <v>-0.152904546137385</v>
      </c>
      <c r="Q296" s="124" t="n">
        <f aca="false">E296/P$3</f>
        <v>0</v>
      </c>
      <c r="R296" s="124" t="n">
        <f aca="false">F296/R$3</f>
        <v>0</v>
      </c>
      <c r="S296" s="126" t="n">
        <f aca="false">J296/$R$3</f>
        <v>0.54</v>
      </c>
      <c r="T296" s="126" t="n">
        <f aca="false">L296/$R$3</f>
        <v>0</v>
      </c>
      <c r="U296" s="126" t="n">
        <f aca="false">I296/$R$3</f>
        <v>25.056</v>
      </c>
      <c r="V296" s="126" t="n">
        <f aca="false">M296/$R$3</f>
        <v>25.336</v>
      </c>
      <c r="W296" s="126" t="n">
        <f aca="false">N296/$R$3</f>
        <v>990.795940417803</v>
      </c>
    </row>
    <row r="297" customFormat="false" ht="12.75" hidden="true" customHeight="false" outlineLevel="0" collapsed="false">
      <c r="A297" s="120" t="n">
        <f aca="false">A296+1</f>
        <v>37183</v>
      </c>
      <c r="B297" s="131" t="str">
        <f aca="false">INDEX('Master Data'!$A$2:$B$8,MATCH(WEEKDAY('EZE Power Trading'!A297,3),'Master Data'!$A$2:$A$8,0),2)</f>
        <v>F</v>
      </c>
      <c r="D297" s="124" t="n">
        <v>-152760.91948737</v>
      </c>
      <c r="E297" s="124" t="n">
        <v>0</v>
      </c>
      <c r="F297" s="124" t="n">
        <v>0</v>
      </c>
      <c r="G297" s="124" t="n">
        <v>27209</v>
      </c>
      <c r="I297" s="124" t="n">
        <f aca="false">IF(MONTH($A297)=MONTH($A296),IF(G297=0,I296,G297),G297)</f>
        <v>27209</v>
      </c>
      <c r="J297" s="124" t="n">
        <f aca="false">IF(MONTH($A297)=MONTH($A296),SUM(I297-I296),I297)</f>
        <v>2153</v>
      </c>
      <c r="K297" s="124" t="n">
        <f aca="false">IF(WEEKDAY(A297,3)&gt;4,0,(IF(A297&lt;K$2,0,IF(A297&lt;=K$3,1,0))))</f>
        <v>0</v>
      </c>
      <c r="L297" s="124" t="n">
        <f aca="false">J297*K297</f>
        <v>0</v>
      </c>
      <c r="M297" s="124" t="n">
        <f aca="false">SUM(J$280:J297)</f>
        <v>27489</v>
      </c>
      <c r="N297" s="124" t="n">
        <f aca="false">SUM(J$6:J297)</f>
        <v>992948.940417803</v>
      </c>
      <c r="P297" s="124" t="n">
        <f aca="false">D297/P$3</f>
        <v>-0.15276091948737</v>
      </c>
      <c r="Q297" s="124" t="n">
        <f aca="false">E297/P$3</f>
        <v>0</v>
      </c>
      <c r="R297" s="124" t="n">
        <f aca="false">F297/R$3</f>
        <v>0</v>
      </c>
      <c r="S297" s="126" t="n">
        <f aca="false">J297/$R$3</f>
        <v>2.153</v>
      </c>
      <c r="T297" s="126" t="n">
        <f aca="false">L297/$R$3</f>
        <v>0</v>
      </c>
      <c r="U297" s="126" t="n">
        <f aca="false">I297/$R$3</f>
        <v>27.209</v>
      </c>
      <c r="V297" s="126" t="n">
        <f aca="false">M297/$R$3</f>
        <v>27.489</v>
      </c>
      <c r="W297" s="126" t="n">
        <f aca="false">N297/$R$3</f>
        <v>992.948940417803</v>
      </c>
    </row>
    <row r="298" customFormat="false" ht="12.75" hidden="true" customHeight="false" outlineLevel="0" collapsed="false">
      <c r="A298" s="120" t="n">
        <f aca="false">A297+1</f>
        <v>37184</v>
      </c>
      <c r="B298" s="131" t="str">
        <f aca="false">INDEX('Master Data'!$A$2:$B$8,MATCH(WEEKDAY('EZE Power Trading'!A298,3),'Master Data'!$A$2:$A$8,0),2)</f>
        <v>Sa</v>
      </c>
      <c r="D298" s="124" t="n">
        <v>0</v>
      </c>
      <c r="E298" s="124" t="n">
        <v>0</v>
      </c>
      <c r="F298" s="124" t="n">
        <v>0</v>
      </c>
      <c r="G298" s="124" t="n">
        <v>0</v>
      </c>
      <c r="I298" s="124" t="n">
        <f aca="false">IF(MONTH($A298)=MONTH($A297),IF(G298=0,I297,G298),G298)</f>
        <v>27209</v>
      </c>
      <c r="J298" s="124" t="n">
        <f aca="false">IF(MONTH($A298)=MONTH($A297),SUM(I298-I297),I298)</f>
        <v>0</v>
      </c>
      <c r="K298" s="124" t="n">
        <f aca="false">IF(WEEKDAY(A298,3)&gt;4,0,(IF(A298&lt;K$2,0,IF(A298&lt;=K$3,1,0))))</f>
        <v>0</v>
      </c>
      <c r="L298" s="124" t="n">
        <f aca="false">J298*K298</f>
        <v>0</v>
      </c>
      <c r="M298" s="124" t="n">
        <f aca="false">SUM(J$280:J298)</f>
        <v>27489</v>
      </c>
      <c r="N298" s="124" t="n">
        <f aca="false">SUM(J$6:J298)</f>
        <v>992948.940417803</v>
      </c>
      <c r="P298" s="124" t="n">
        <f aca="false">D298/P$3</f>
        <v>0</v>
      </c>
      <c r="Q298" s="124" t="n">
        <f aca="false">E298/P$3</f>
        <v>0</v>
      </c>
      <c r="R298" s="124" t="n">
        <f aca="false">F298/R$3</f>
        <v>0</v>
      </c>
      <c r="S298" s="126" t="n">
        <f aca="false">J298/$R$3</f>
        <v>0</v>
      </c>
      <c r="T298" s="126" t="n">
        <f aca="false">L298/$R$3</f>
        <v>0</v>
      </c>
      <c r="U298" s="126" t="n">
        <f aca="false">I298/$R$3</f>
        <v>27.209</v>
      </c>
      <c r="V298" s="126" t="n">
        <f aca="false">M298/$R$3</f>
        <v>27.489</v>
      </c>
      <c r="W298" s="126" t="n">
        <f aca="false">N298/$R$3</f>
        <v>992.948940417803</v>
      </c>
    </row>
    <row r="299" customFormat="false" ht="12.75" hidden="true" customHeight="false" outlineLevel="0" collapsed="false">
      <c r="A299" s="120" t="n">
        <f aca="false">A298+1</f>
        <v>37185</v>
      </c>
      <c r="B299" s="131" t="str">
        <f aca="false">INDEX('Master Data'!$A$2:$B$8,MATCH(WEEKDAY('EZE Power Trading'!A299,3),'Master Data'!$A$2:$A$8,0),2)</f>
        <v>Su</v>
      </c>
      <c r="D299" s="124" t="n">
        <v>0</v>
      </c>
      <c r="E299" s="124" t="n">
        <v>0</v>
      </c>
      <c r="F299" s="124" t="n">
        <v>0</v>
      </c>
      <c r="G299" s="124" t="n">
        <v>0</v>
      </c>
      <c r="I299" s="124" t="n">
        <f aca="false">IF(MONTH($A299)=MONTH($A298),IF(G299=0,I298,G299),G299)</f>
        <v>27209</v>
      </c>
      <c r="J299" s="124" t="n">
        <f aca="false">IF(MONTH($A299)=MONTH($A298),SUM(I299-I298),I299)</f>
        <v>0</v>
      </c>
      <c r="K299" s="124" t="n">
        <f aca="false">IF(WEEKDAY(A299,3)&gt;4,0,(IF(A299&lt;K$2,0,IF(A299&lt;=K$3,1,0))))</f>
        <v>0</v>
      </c>
      <c r="L299" s="124" t="n">
        <f aca="false">J299*K299</f>
        <v>0</v>
      </c>
      <c r="M299" s="124" t="n">
        <f aca="false">SUM(J$280:J299)</f>
        <v>27489</v>
      </c>
      <c r="N299" s="124" t="n">
        <f aca="false">SUM(J$6:J299)</f>
        <v>992948.940417803</v>
      </c>
      <c r="P299" s="124" t="n">
        <f aca="false">D299/P$3</f>
        <v>0</v>
      </c>
      <c r="Q299" s="124" t="n">
        <f aca="false">E299/P$3</f>
        <v>0</v>
      </c>
      <c r="R299" s="124" t="n">
        <f aca="false">F299/R$3</f>
        <v>0</v>
      </c>
      <c r="S299" s="126" t="n">
        <f aca="false">J299/$R$3</f>
        <v>0</v>
      </c>
      <c r="T299" s="126" t="n">
        <f aca="false">L299/$R$3</f>
        <v>0</v>
      </c>
      <c r="U299" s="126" t="n">
        <f aca="false">I299/$R$3</f>
        <v>27.209</v>
      </c>
      <c r="V299" s="126" t="n">
        <f aca="false">M299/$R$3</f>
        <v>27.489</v>
      </c>
      <c r="W299" s="126" t="n">
        <f aca="false">N299/$R$3</f>
        <v>992.948940417803</v>
      </c>
    </row>
    <row r="300" customFormat="false" ht="12.75" hidden="true" customHeight="false" outlineLevel="0" collapsed="false">
      <c r="A300" s="120" t="n">
        <f aca="false">A299+1</f>
        <v>37186</v>
      </c>
      <c r="B300" s="131" t="str">
        <f aca="false">INDEX('Master Data'!$A$2:$B$8,MATCH(WEEKDAY('EZE Power Trading'!A300,3),'Master Data'!$A$2:$A$8,0),2)</f>
        <v>M</v>
      </c>
      <c r="D300" s="124" t="n">
        <v>-152093.216694584</v>
      </c>
      <c r="E300" s="124" t="n">
        <v>0</v>
      </c>
      <c r="F300" s="124" t="n">
        <v>0</v>
      </c>
      <c r="G300" s="124" t="n">
        <v>30995</v>
      </c>
      <c r="I300" s="124" t="n">
        <f aca="false">IF(MONTH($A300)=MONTH($A299),IF(G300=0,I299,G300),G300)</f>
        <v>30995</v>
      </c>
      <c r="J300" s="124" t="n">
        <f aca="false">IF(MONTH($A300)=MONTH($A299),SUM(I300-I299),I300)</f>
        <v>3786</v>
      </c>
      <c r="K300" s="124" t="n">
        <f aca="false">IF(WEEKDAY(A300,3)&gt;4,0,(IF(A300&lt;K$2,0,IF(A300&lt;=K$3,1,0))))</f>
        <v>0</v>
      </c>
      <c r="L300" s="124" t="n">
        <f aca="false">J300*K300</f>
        <v>0</v>
      </c>
      <c r="M300" s="124" t="n">
        <f aca="false">SUM(J$280:J300)</f>
        <v>31275</v>
      </c>
      <c r="N300" s="124" t="n">
        <f aca="false">SUM(J$6:J300)</f>
        <v>996734.940417803</v>
      </c>
      <c r="P300" s="124" t="n">
        <f aca="false">D300/P$3</f>
        <v>-0.152093216694584</v>
      </c>
      <c r="Q300" s="124" t="n">
        <f aca="false">E300/P$3</f>
        <v>0</v>
      </c>
      <c r="R300" s="124" t="n">
        <f aca="false">F300/R$3</f>
        <v>0</v>
      </c>
      <c r="S300" s="126" t="n">
        <f aca="false">J300/$R$3</f>
        <v>3.786</v>
      </c>
      <c r="T300" s="126" t="n">
        <f aca="false">L300/$R$3</f>
        <v>0</v>
      </c>
      <c r="U300" s="126" t="n">
        <f aca="false">I300/$R$3</f>
        <v>30.995</v>
      </c>
      <c r="V300" s="126" t="n">
        <f aca="false">M300/$R$3</f>
        <v>31.275</v>
      </c>
      <c r="W300" s="126" t="n">
        <f aca="false">N300/$R$3</f>
        <v>996.734940417803</v>
      </c>
    </row>
    <row r="301" customFormat="false" ht="12.75" hidden="true" customHeight="false" outlineLevel="0" collapsed="false">
      <c r="A301" s="120" t="n">
        <f aca="false">A300+1</f>
        <v>37187</v>
      </c>
      <c r="B301" s="131" t="str">
        <f aca="false">INDEX('Master Data'!$A$2:$B$8,MATCH(WEEKDAY('EZE Power Trading'!A301,3),'Master Data'!$A$2:$A$8,0),2)</f>
        <v>T</v>
      </c>
      <c r="D301" s="124" t="n">
        <v>-151844.714219497</v>
      </c>
      <c r="E301" s="124" t="n">
        <v>0</v>
      </c>
      <c r="F301" s="124" t="n">
        <v>0</v>
      </c>
      <c r="G301" s="124" t="n">
        <v>32408</v>
      </c>
      <c r="I301" s="124" t="n">
        <f aca="false">IF(MONTH($A301)=MONTH($A300),IF(G301=0,I300,G301),G301)</f>
        <v>32408</v>
      </c>
      <c r="J301" s="124" t="n">
        <f aca="false">IF(MONTH($A301)=MONTH($A300),SUM(I301-I300),I301)</f>
        <v>1413</v>
      </c>
      <c r="K301" s="124" t="n">
        <f aca="false">IF(WEEKDAY(A301,3)&gt;4,0,(IF(A301&lt;K$2,0,IF(A301&lt;=K$3,1,0))))</f>
        <v>0</v>
      </c>
      <c r="L301" s="124" t="n">
        <f aca="false">J301*K301</f>
        <v>0</v>
      </c>
      <c r="M301" s="124" t="n">
        <f aca="false">SUM(J$280:J301)</f>
        <v>32688</v>
      </c>
      <c r="N301" s="124" t="n">
        <f aca="false">SUM(J$6:J301)</f>
        <v>998147.940417803</v>
      </c>
      <c r="P301" s="124" t="n">
        <f aca="false">D301/P$3</f>
        <v>-0.151844714219497</v>
      </c>
      <c r="Q301" s="124" t="n">
        <f aca="false">E301/P$3</f>
        <v>0</v>
      </c>
      <c r="R301" s="124" t="n">
        <f aca="false">F301/R$3</f>
        <v>0</v>
      </c>
      <c r="S301" s="126" t="n">
        <f aca="false">J301/$R$3</f>
        <v>1.413</v>
      </c>
      <c r="T301" s="126" t="n">
        <f aca="false">L301/$R$3</f>
        <v>0</v>
      </c>
      <c r="U301" s="126" t="n">
        <f aca="false">I301/$R$3</f>
        <v>32.408</v>
      </c>
      <c r="V301" s="126" t="n">
        <f aca="false">M301/$R$3</f>
        <v>32.688</v>
      </c>
      <c r="W301" s="126" t="n">
        <f aca="false">N301/$R$3</f>
        <v>998.147940417803</v>
      </c>
    </row>
    <row r="302" customFormat="false" ht="12.75" hidden="true" customHeight="false" outlineLevel="0" collapsed="false">
      <c r="A302" s="120" t="n">
        <f aca="false">A301+1</f>
        <v>37188</v>
      </c>
      <c r="B302" s="131" t="str">
        <f aca="false">INDEX('Master Data'!$A$2:$B$8,MATCH(WEEKDAY('EZE Power Trading'!A302,3),'Master Data'!$A$2:$A$8,0),2)</f>
        <v>W</v>
      </c>
      <c r="D302" s="124" t="n">
        <v>-151613.835831316</v>
      </c>
      <c r="E302" s="124" t="n">
        <v>0</v>
      </c>
      <c r="F302" s="124" t="n">
        <v>0</v>
      </c>
      <c r="G302" s="124" t="n">
        <v>33779</v>
      </c>
      <c r="I302" s="124" t="n">
        <f aca="false">IF(MONTH($A302)=MONTH($A301),IF(G302=0,I301,G302),G302)</f>
        <v>33779</v>
      </c>
      <c r="J302" s="124" t="n">
        <f aca="false">IF(MONTH($A302)=MONTH($A301),SUM(I302-I301),I302)</f>
        <v>1371</v>
      </c>
      <c r="K302" s="124" t="n">
        <f aca="false">IF(WEEKDAY(A302,3)&gt;4,0,(IF(A302&lt;K$2,0,IF(A302&lt;=K$3,1,0))))</f>
        <v>0</v>
      </c>
      <c r="L302" s="124" t="n">
        <f aca="false">J302*K302</f>
        <v>0</v>
      </c>
      <c r="M302" s="124" t="n">
        <f aca="false">SUM(J$280:J302)</f>
        <v>34059</v>
      </c>
      <c r="N302" s="124" t="n">
        <f aca="false">SUM(J$6:J302)</f>
        <v>999518.940417803</v>
      </c>
      <c r="P302" s="124" t="n">
        <f aca="false">D302/P$3</f>
        <v>-0.151613835831316</v>
      </c>
      <c r="Q302" s="124" t="n">
        <f aca="false">E302/P$3</f>
        <v>0</v>
      </c>
      <c r="R302" s="124" t="n">
        <f aca="false">F302/R$3</f>
        <v>0</v>
      </c>
      <c r="S302" s="126" t="n">
        <f aca="false">J302/$R$3</f>
        <v>1.371</v>
      </c>
      <c r="T302" s="126" t="n">
        <f aca="false">L302/$R$3</f>
        <v>0</v>
      </c>
      <c r="U302" s="126" t="n">
        <f aca="false">I302/$R$3</f>
        <v>33.779</v>
      </c>
      <c r="V302" s="126" t="n">
        <f aca="false">M302/$R$3</f>
        <v>34.059</v>
      </c>
      <c r="W302" s="126" t="n">
        <f aca="false">N302/$R$3</f>
        <v>999.518940417803</v>
      </c>
    </row>
    <row r="303" customFormat="false" ht="12.75" hidden="true" customHeight="false" outlineLevel="0" collapsed="false">
      <c r="A303" s="120" t="n">
        <f aca="false">A302+1</f>
        <v>37189</v>
      </c>
      <c r="B303" s="131" t="str">
        <f aca="false">INDEX('Master Data'!$A$2:$B$8,MATCH(WEEKDAY('EZE Power Trading'!A303,3),'Master Data'!$A$2:$A$8,0),2)</f>
        <v>Th</v>
      </c>
      <c r="D303" s="124" t="n">
        <v>-151479.026541504</v>
      </c>
      <c r="E303" s="124" t="n">
        <v>0</v>
      </c>
      <c r="F303" s="124" t="n">
        <v>0</v>
      </c>
      <c r="G303" s="124" t="n">
        <v>35373</v>
      </c>
      <c r="I303" s="124" t="n">
        <f aca="false">IF(MONTH($A303)=MONTH($A302),IF(G303=0,I302,G303),G303)</f>
        <v>35373</v>
      </c>
      <c r="J303" s="124" t="n">
        <f aca="false">IF(MONTH($A303)=MONTH($A302),SUM(I303-I302),I303)</f>
        <v>1594</v>
      </c>
      <c r="K303" s="124" t="n">
        <f aca="false">IF(WEEKDAY(A303,3)&gt;4,0,(IF(A303&lt;K$2,0,IF(A303&lt;=K$3,1,0))))</f>
        <v>0</v>
      </c>
      <c r="L303" s="124" t="n">
        <f aca="false">J303*K303</f>
        <v>0</v>
      </c>
      <c r="M303" s="124" t="n">
        <f aca="false">SUM(J$280:J303)</f>
        <v>35653</v>
      </c>
      <c r="N303" s="124" t="n">
        <f aca="false">SUM(J$6:J303)</f>
        <v>1001112.9404178</v>
      </c>
      <c r="P303" s="124" t="n">
        <f aca="false">D303/P$3</f>
        <v>-0.151479026541504</v>
      </c>
      <c r="Q303" s="124" t="n">
        <f aca="false">E303/P$3</f>
        <v>0</v>
      </c>
      <c r="R303" s="124" t="n">
        <f aca="false">F303/R$3</f>
        <v>0</v>
      </c>
      <c r="S303" s="126" t="n">
        <f aca="false">J303/$R$3</f>
        <v>1.594</v>
      </c>
      <c r="T303" s="126" t="n">
        <f aca="false">L303/$R$3</f>
        <v>0</v>
      </c>
      <c r="U303" s="126" t="n">
        <f aca="false">I303/$R$3</f>
        <v>35.373</v>
      </c>
      <c r="V303" s="126" t="n">
        <f aca="false">M303/$R$3</f>
        <v>35.653</v>
      </c>
      <c r="W303" s="126" t="n">
        <f aca="false">N303/$R$3</f>
        <v>1001.1129404178</v>
      </c>
    </row>
    <row r="304" customFormat="false" ht="12.75" hidden="false" customHeight="false" outlineLevel="0" collapsed="false">
      <c r="A304" s="120" t="n">
        <f aca="false">A303+1</f>
        <v>37190</v>
      </c>
      <c r="B304" s="131" t="str">
        <f aca="false">INDEX('Master Data'!$A$2:$B$8,MATCH(WEEKDAY('EZE Power Trading'!A304,3),'Master Data'!$A$2:$A$8,0),2)</f>
        <v>F</v>
      </c>
      <c r="D304" s="124" t="n">
        <v>-151371.072062428</v>
      </c>
      <c r="E304" s="124" t="n">
        <v>0</v>
      </c>
      <c r="F304" s="124" t="n">
        <v>0</v>
      </c>
      <c r="G304" s="124" t="n">
        <v>11245</v>
      </c>
      <c r="I304" s="124" t="n">
        <f aca="false">IF(MONTH($A304)=MONTH($A303),IF(G304=0,I303,G304),G304)</f>
        <v>11245</v>
      </c>
      <c r="J304" s="124" t="n">
        <f aca="false">IF(MONTH($A304)=MONTH($A303),SUM(I304-I303),I304)</f>
        <v>-24128</v>
      </c>
      <c r="K304" s="124" t="n">
        <f aca="false">IF(WEEKDAY(A304,3)&gt;4,0,(IF(A304&lt;K$2,0,IF(A304&lt;=K$3,1,0))))</f>
        <v>1</v>
      </c>
      <c r="L304" s="124" t="n">
        <f aca="false">J304*K304</f>
        <v>-24128</v>
      </c>
      <c r="M304" s="124" t="n">
        <f aca="false">SUM(J$280:J304)</f>
        <v>11525</v>
      </c>
      <c r="N304" s="124" t="n">
        <f aca="false">SUM(J$6:J304)</f>
        <v>976984.940417803</v>
      </c>
      <c r="P304" s="124" t="n">
        <f aca="false">D304/P$3</f>
        <v>-0.151371072062428</v>
      </c>
      <c r="Q304" s="124" t="n">
        <f aca="false">E304/P$3</f>
        <v>0</v>
      </c>
      <c r="R304" s="124" t="n">
        <f aca="false">F304/R$3</f>
        <v>0</v>
      </c>
      <c r="S304" s="126" t="n">
        <f aca="false">J304/$R$3</f>
        <v>-24.128</v>
      </c>
      <c r="T304" s="126" t="n">
        <f aca="false">L304/$R$3</f>
        <v>-24.128</v>
      </c>
      <c r="U304" s="126" t="n">
        <f aca="false">I304/$R$3</f>
        <v>11.245</v>
      </c>
      <c r="V304" s="126" t="n">
        <f aca="false">M304/$R$3</f>
        <v>11.525</v>
      </c>
      <c r="W304" s="126" t="n">
        <f aca="false">N304/$R$3</f>
        <v>976.984940417803</v>
      </c>
    </row>
    <row r="305" customFormat="false" ht="12.75" hidden="false" customHeight="false" outlineLevel="0" collapsed="false">
      <c r="A305" s="120" t="n">
        <f aca="false">A304+1</f>
        <v>37191</v>
      </c>
      <c r="B305" s="131" t="str">
        <f aca="false">INDEX('Master Data'!$A$2:$B$8,MATCH(WEEKDAY('EZE Power Trading'!A305,3),'Master Data'!$A$2:$A$8,0),2)</f>
        <v>Sa</v>
      </c>
      <c r="D305" s="124" t="n">
        <v>0</v>
      </c>
      <c r="E305" s="124" t="n">
        <v>0</v>
      </c>
      <c r="F305" s="124" t="n">
        <v>0</v>
      </c>
      <c r="G305" s="124" t="n">
        <v>0</v>
      </c>
      <c r="I305" s="124" t="n">
        <f aca="false">IF(MONTH($A305)=MONTH($A304),IF(G305=0,I304,G305),G305)</f>
        <v>11245</v>
      </c>
      <c r="J305" s="124" t="n">
        <f aca="false">IF(MONTH($A305)=MONTH($A304),SUM(I305-I304),I305)</f>
        <v>0</v>
      </c>
      <c r="K305" s="124" t="n">
        <f aca="false">IF(WEEKDAY(A305,3)&gt;4,0,(IF(A305&lt;K$2,0,IF(A305&lt;=K$3,1,0))))</f>
        <v>0</v>
      </c>
      <c r="L305" s="124" t="n">
        <f aca="false">J305*K305</f>
        <v>0</v>
      </c>
      <c r="M305" s="124" t="n">
        <f aca="false">SUM(J$280:J305)</f>
        <v>11525</v>
      </c>
      <c r="N305" s="124" t="n">
        <f aca="false">SUM(J$6:J305)</f>
        <v>976984.940417803</v>
      </c>
      <c r="P305" s="124" t="n">
        <f aca="false">D305/P$3</f>
        <v>0</v>
      </c>
      <c r="Q305" s="124" t="n">
        <f aca="false">E305/P$3</f>
        <v>0</v>
      </c>
      <c r="R305" s="124" t="n">
        <f aca="false">F305/R$3</f>
        <v>0</v>
      </c>
      <c r="S305" s="126" t="n">
        <f aca="false">J305/$R$3</f>
        <v>0</v>
      </c>
      <c r="T305" s="126" t="n">
        <f aca="false">L305/$R$3</f>
        <v>0</v>
      </c>
      <c r="U305" s="126" t="n">
        <f aca="false">I305/$R$3</f>
        <v>11.245</v>
      </c>
      <c r="V305" s="126" t="n">
        <f aca="false">M305/$R$3</f>
        <v>11.525</v>
      </c>
      <c r="W305" s="126" t="n">
        <f aca="false">N305/$R$3</f>
        <v>976.984940417803</v>
      </c>
    </row>
    <row r="306" customFormat="false" ht="12.75" hidden="false" customHeight="false" outlineLevel="0" collapsed="false">
      <c r="A306" s="120" t="n">
        <f aca="false">A305+1</f>
        <v>37192</v>
      </c>
      <c r="B306" s="131" t="str">
        <f aca="false">INDEX('Master Data'!$A$2:$B$8,MATCH(WEEKDAY('EZE Power Trading'!A306,3),'Master Data'!$A$2:$A$8,0),2)</f>
        <v>Su</v>
      </c>
      <c r="D306" s="124" t="n">
        <v>0</v>
      </c>
      <c r="E306" s="124" t="n">
        <v>0</v>
      </c>
      <c r="F306" s="124" t="n">
        <v>0</v>
      </c>
      <c r="G306" s="124" t="n">
        <v>0</v>
      </c>
      <c r="I306" s="124" t="n">
        <f aca="false">IF(MONTH($A306)=MONTH($A305),IF(G306=0,I305,G306),G306)</f>
        <v>11245</v>
      </c>
      <c r="J306" s="124" t="n">
        <f aca="false">IF(MONTH($A306)=MONTH($A305),SUM(I306-I305),I306)</f>
        <v>0</v>
      </c>
      <c r="K306" s="124" t="n">
        <f aca="false">IF(WEEKDAY(A306,3)&gt;4,0,(IF(A306&lt;K$2,0,IF(A306&lt;=K$3,1,0))))</f>
        <v>0</v>
      </c>
      <c r="L306" s="124" t="n">
        <f aca="false">J306*K306</f>
        <v>0</v>
      </c>
      <c r="M306" s="124" t="n">
        <f aca="false">SUM(J$280:J306)</f>
        <v>11525</v>
      </c>
      <c r="N306" s="124" t="n">
        <f aca="false">SUM(J$6:J306)</f>
        <v>976984.940417803</v>
      </c>
      <c r="P306" s="124" t="n">
        <f aca="false">D306/P$3</f>
        <v>0</v>
      </c>
      <c r="Q306" s="124" t="n">
        <f aca="false">E306/P$3</f>
        <v>0</v>
      </c>
      <c r="R306" s="124" t="n">
        <f aca="false">F306/R$3</f>
        <v>0</v>
      </c>
      <c r="S306" s="126" t="n">
        <f aca="false">J306/$R$3</f>
        <v>0</v>
      </c>
      <c r="T306" s="126" t="n">
        <f aca="false">L306/$R$3</f>
        <v>0</v>
      </c>
      <c r="U306" s="126" t="n">
        <f aca="false">I306/$R$3</f>
        <v>11.245</v>
      </c>
      <c r="V306" s="126" t="n">
        <f aca="false">M306/$R$3</f>
        <v>11.525</v>
      </c>
      <c r="W306" s="126" t="n">
        <f aca="false">N306/$R$3</f>
        <v>976.984940417803</v>
      </c>
    </row>
    <row r="307" customFormat="false" ht="12.75" hidden="false" customHeight="false" outlineLevel="0" collapsed="false">
      <c r="A307" s="120" t="n">
        <f aca="false">A306+1</f>
        <v>37193</v>
      </c>
      <c r="B307" s="131" t="str">
        <f aca="false">INDEX('Master Data'!$A$2:$B$8,MATCH(WEEKDAY('EZE Power Trading'!A307,3),'Master Data'!$A$2:$A$8,0),2)</f>
        <v>M</v>
      </c>
      <c r="D307" s="124" t="n">
        <v>-150687.033516709</v>
      </c>
      <c r="E307" s="124" t="n">
        <v>0</v>
      </c>
      <c r="F307" s="124" t="n">
        <v>0</v>
      </c>
      <c r="G307" s="124" t="n">
        <v>9743</v>
      </c>
      <c r="I307" s="124" t="n">
        <f aca="false">IF(MONTH($A307)=MONTH($A306),IF(G307=0,I306,G307),G307)</f>
        <v>9743</v>
      </c>
      <c r="J307" s="124" t="n">
        <f aca="false">IF(MONTH($A307)=MONTH($A306),SUM(I307-I306),I307)</f>
        <v>-1502</v>
      </c>
      <c r="K307" s="124" t="n">
        <f aca="false">IF(WEEKDAY(A307,3)&gt;4,0,(IF(A307&lt;K$2,0,IF(A307&lt;=K$3,1,0))))</f>
        <v>1</v>
      </c>
      <c r="L307" s="124" t="n">
        <f aca="false">J307*K307</f>
        <v>-1502</v>
      </c>
      <c r="M307" s="124" t="n">
        <f aca="false">SUM(J$280:J307)</f>
        <v>10023</v>
      </c>
      <c r="N307" s="124" t="n">
        <f aca="false">SUM(J$6:J307)</f>
        <v>975482.940417803</v>
      </c>
      <c r="P307" s="124" t="n">
        <f aca="false">D307/P$3</f>
        <v>-0.150687033516709</v>
      </c>
      <c r="Q307" s="124" t="n">
        <f aca="false">E307/P$3</f>
        <v>0</v>
      </c>
      <c r="R307" s="124" t="n">
        <f aca="false">F307/R$3</f>
        <v>0</v>
      </c>
      <c r="S307" s="126" t="n">
        <f aca="false">J307/$R$3</f>
        <v>-1.502</v>
      </c>
      <c r="T307" s="126" t="n">
        <f aca="false">L307/$R$3</f>
        <v>-1.502</v>
      </c>
      <c r="U307" s="126" t="n">
        <f aca="false">I307/$R$3</f>
        <v>9.743</v>
      </c>
      <c r="V307" s="126" t="n">
        <f aca="false">M307/$R$3</f>
        <v>10.023</v>
      </c>
      <c r="W307" s="126" t="n">
        <f aca="false">N307/$R$3</f>
        <v>975.482940417803</v>
      </c>
    </row>
    <row r="308" customFormat="false" ht="12.75" hidden="false" customHeight="false" outlineLevel="0" collapsed="false">
      <c r="A308" s="120" t="n">
        <f aca="false">A307+1</f>
        <v>37194</v>
      </c>
      <c r="B308" s="131" t="str">
        <f aca="false">INDEX('Master Data'!$A$2:$B$8,MATCH(WEEKDAY('EZE Power Trading'!A308,3),'Master Data'!$A$2:$A$8,0),2)</f>
        <v>T</v>
      </c>
      <c r="D308" s="124" t="n">
        <v>-150543.771568409</v>
      </c>
      <c r="E308" s="124" t="n">
        <v>0</v>
      </c>
      <c r="F308" s="124" t="n">
        <v>0</v>
      </c>
      <c r="G308" s="124" t="n">
        <v>11457</v>
      </c>
      <c r="I308" s="124" t="n">
        <f aca="false">IF(MONTH($A308)=MONTH($A307),IF(G308=0,I307,G308),G308)</f>
        <v>11457</v>
      </c>
      <c r="J308" s="124" t="n">
        <f aca="false">IF(MONTH($A308)=MONTH($A307),SUM(I308-I307),I308)</f>
        <v>1714</v>
      </c>
      <c r="K308" s="124" t="n">
        <f aca="false">IF(WEEKDAY(A308,3)&gt;4,0,(IF(A308&lt;K$2,0,IF(A308&lt;=K$3,1,0))))</f>
        <v>1</v>
      </c>
      <c r="L308" s="124" t="n">
        <f aca="false">J308*K308</f>
        <v>1714</v>
      </c>
      <c r="M308" s="124" t="n">
        <f aca="false">SUM(J$280:J308)</f>
        <v>11737</v>
      </c>
      <c r="N308" s="124" t="n">
        <f aca="false">SUM(J$6:J308)</f>
        <v>977196.940417803</v>
      </c>
      <c r="P308" s="124" t="n">
        <f aca="false">D308/P$3</f>
        <v>-0.150543771568409</v>
      </c>
      <c r="Q308" s="124" t="n">
        <f aca="false">E308/P$3</f>
        <v>0</v>
      </c>
      <c r="R308" s="124" t="n">
        <f aca="false">F308/R$3</f>
        <v>0</v>
      </c>
      <c r="S308" s="126" t="n">
        <f aca="false">J308/$R$3</f>
        <v>1.714</v>
      </c>
      <c r="T308" s="126" t="n">
        <f aca="false">L308/$R$3</f>
        <v>1.714</v>
      </c>
      <c r="U308" s="126" t="n">
        <f aca="false">I308/$R$3</f>
        <v>11.457</v>
      </c>
      <c r="V308" s="126" t="n">
        <f aca="false">M308/$R$3</f>
        <v>11.737</v>
      </c>
      <c r="W308" s="126" t="n">
        <f aca="false">N308/$R$3</f>
        <v>977.196940417803</v>
      </c>
    </row>
    <row r="309" customFormat="false" ht="12.75" hidden="false" customHeight="false" outlineLevel="0" collapsed="false">
      <c r="A309" s="120" t="n">
        <f aca="false">A308+1</f>
        <v>37195</v>
      </c>
      <c r="B309" s="131" t="str">
        <f aca="false">INDEX('Master Data'!$A$2:$B$8,MATCH(WEEKDAY('EZE Power Trading'!A309,3),'Master Data'!$A$2:$A$8,0),2)</f>
        <v>W</v>
      </c>
      <c r="D309" s="124" t="n">
        <v>-150438.783731524</v>
      </c>
      <c r="E309" s="124" t="n">
        <v>0</v>
      </c>
      <c r="F309" s="124" t="n">
        <v>0</v>
      </c>
      <c r="G309" s="124" t="n">
        <v>15616</v>
      </c>
      <c r="I309" s="124" t="n">
        <f aca="false">IF(MONTH($A309)=MONTH($A308),IF(G309=0,I308,G309),G309)</f>
        <v>15616</v>
      </c>
      <c r="J309" s="124" t="n">
        <f aca="false">IF(MONTH($A309)=MONTH($A308),SUM(I309-I308),I309)</f>
        <v>4159</v>
      </c>
      <c r="K309" s="124" t="n">
        <f aca="false">IF(WEEKDAY(A309,3)&gt;4,0,(IF(A309&lt;K$2,0,IF(A309&lt;=K$3,1,0))))</f>
        <v>1</v>
      </c>
      <c r="L309" s="124" t="n">
        <f aca="false">J309*K309</f>
        <v>4159</v>
      </c>
      <c r="M309" s="124" t="n">
        <f aca="false">SUM(J$280:J309)</f>
        <v>15896</v>
      </c>
      <c r="N309" s="124" t="n">
        <f aca="false">SUM(J$6:J309)</f>
        <v>981355.940417803</v>
      </c>
      <c r="P309" s="124" t="n">
        <f aca="false">D309/P$3</f>
        <v>-0.150438783731524</v>
      </c>
      <c r="Q309" s="124" t="n">
        <f aca="false">E309/P$3</f>
        <v>0</v>
      </c>
      <c r="R309" s="124" t="n">
        <f aca="false">F309/R$3</f>
        <v>0</v>
      </c>
      <c r="S309" s="126" t="n">
        <f aca="false">J309/$R$3</f>
        <v>4.159</v>
      </c>
      <c r="T309" s="126" t="n">
        <f aca="false">L309/$R$3</f>
        <v>4.159</v>
      </c>
      <c r="U309" s="126" t="n">
        <f aca="false">I309/$R$3</f>
        <v>15.616</v>
      </c>
      <c r="V309" s="126" t="n">
        <f aca="false">M309/$R$3</f>
        <v>15.896</v>
      </c>
      <c r="W309" s="126" t="n">
        <f aca="false">N309/$R$3</f>
        <v>981.355940417803</v>
      </c>
    </row>
    <row r="310" customFormat="false" ht="12.75" hidden="false" customHeight="false" outlineLevel="0" collapsed="false">
      <c r="A310" s="120" t="n">
        <f aca="false">A309+1</f>
        <v>37196</v>
      </c>
      <c r="B310" s="131" t="str">
        <f aca="false">INDEX('Master Data'!$A$2:$B$8,MATCH(WEEKDAY('EZE Power Trading'!A310,3),'Master Data'!$A$2:$A$8,0),2)</f>
        <v>Th</v>
      </c>
      <c r="D310" s="124" t="n">
        <v>-150189.406735585</v>
      </c>
      <c r="E310" s="124" t="n">
        <v>0</v>
      </c>
      <c r="F310" s="124" t="n">
        <v>0</v>
      </c>
      <c r="G310" s="124" t="n">
        <v>971</v>
      </c>
      <c r="I310" s="124" t="n">
        <f aca="false">IF(MONTH($A310)=MONTH($A309),IF(G310=0,I309,G310),G310)</f>
        <v>971</v>
      </c>
      <c r="J310" s="124" t="n">
        <f aca="false">IF(MONTH($A310)=MONTH($A309),SUM(I310-I309),I310)</f>
        <v>971</v>
      </c>
      <c r="K310" s="124" t="n">
        <f aca="false">IF(WEEKDAY(A310,3)&gt;4,0,(IF(A310&lt;K$2,0,IF(A310&lt;=K$3,1,0))))</f>
        <v>1</v>
      </c>
      <c r="L310" s="124" t="n">
        <f aca="false">J310*K310</f>
        <v>971</v>
      </c>
      <c r="M310" s="124" t="n">
        <f aca="false">SUM(J$280:J310)</f>
        <v>16867</v>
      </c>
      <c r="N310" s="124" t="n">
        <f aca="false">SUM(J$6:J310)</f>
        <v>982326.940417803</v>
      </c>
      <c r="P310" s="124" t="n">
        <f aca="false">D310/P$3</f>
        <v>-0.150189406735585</v>
      </c>
      <c r="Q310" s="124" t="n">
        <f aca="false">E310/P$3</f>
        <v>0</v>
      </c>
      <c r="R310" s="124" t="n">
        <f aca="false">F310/R$3</f>
        <v>0</v>
      </c>
      <c r="S310" s="126" t="n">
        <f aca="false">J310/$R$3</f>
        <v>0.971</v>
      </c>
      <c r="T310" s="126" t="n">
        <f aca="false">L310/$R$3</f>
        <v>0.971</v>
      </c>
      <c r="U310" s="126" t="n">
        <f aca="false">I310/$R$3</f>
        <v>0.971</v>
      </c>
      <c r="V310" s="126" t="n">
        <f aca="false">M310/$R$3</f>
        <v>16.867</v>
      </c>
      <c r="W310" s="126" t="n">
        <f aca="false">N310/$R$3</f>
        <v>982.326940417803</v>
      </c>
    </row>
    <row r="311" customFormat="false" ht="12.75" hidden="false" customHeight="false" outlineLevel="0" collapsed="false">
      <c r="A311" s="120" t="n">
        <f aca="false">A310+1</f>
        <v>37197</v>
      </c>
      <c r="B311" s="131" t="str">
        <f aca="false">INDEX('Master Data'!$A$2:$B$8,MATCH(WEEKDAY('EZE Power Trading'!A311,3),'Master Data'!$A$2:$A$8,0),2)</f>
        <v>F</v>
      </c>
      <c r="D311" s="124" t="n">
        <v>0</v>
      </c>
      <c r="E311" s="124" t="n">
        <v>0</v>
      </c>
      <c r="F311" s="124" t="n">
        <v>0</v>
      </c>
      <c r="G311" s="124" t="n">
        <v>0</v>
      </c>
      <c r="I311" s="124" t="n">
        <f aca="false">IF(MONTH($A311)=MONTH($A310),IF(G311=0,I310,G311),G311)</f>
        <v>971</v>
      </c>
      <c r="J311" s="124" t="n">
        <f aca="false">IF(MONTH($A311)=MONTH($A310),SUM(I311-I310),I311)</f>
        <v>0</v>
      </c>
      <c r="K311" s="124" t="n">
        <f aca="false">IF(WEEKDAY(A311,3)&gt;4,0,(IF(A311&lt;K$2,0,IF(A311&lt;=K$3,1,0))))</f>
        <v>0</v>
      </c>
      <c r="L311" s="124" t="n">
        <f aca="false">J311*K311</f>
        <v>0</v>
      </c>
      <c r="M311" s="124" t="n">
        <f aca="false">SUM(J$280:J311)</f>
        <v>16867</v>
      </c>
      <c r="N311" s="124" t="n">
        <f aca="false">SUM(J$6:J311)</f>
        <v>982326.940417803</v>
      </c>
      <c r="P311" s="124" t="n">
        <f aca="false">D311/P$3</f>
        <v>0</v>
      </c>
      <c r="Q311" s="124" t="n">
        <f aca="false">E311/P$3</f>
        <v>0</v>
      </c>
      <c r="R311" s="124" t="n">
        <f aca="false">F311/R$3</f>
        <v>0</v>
      </c>
      <c r="S311" s="126" t="n">
        <f aca="false">J311/$R$3</f>
        <v>0</v>
      </c>
      <c r="T311" s="126" t="n">
        <f aca="false">L311/$R$3</f>
        <v>0</v>
      </c>
      <c r="U311" s="126" t="n">
        <f aca="false">I311/$R$3</f>
        <v>0.971</v>
      </c>
      <c r="V311" s="126" t="n">
        <f aca="false">M311/$R$3</f>
        <v>16.867</v>
      </c>
      <c r="W311" s="126" t="n">
        <f aca="false">N311/$R$3</f>
        <v>982.326940417803</v>
      </c>
    </row>
    <row r="312" customFormat="false" ht="12.75" hidden="false" customHeight="false" outlineLevel="0" collapsed="false">
      <c r="A312" s="120" t="n">
        <f aca="false">A311+1</f>
        <v>37198</v>
      </c>
      <c r="B312" s="131" t="str">
        <f aca="false">INDEX('Master Data'!$A$2:$B$8,MATCH(WEEKDAY('EZE Power Trading'!A312,3),'Master Data'!$A$2:$A$8,0),2)</f>
        <v>Sa</v>
      </c>
      <c r="D312" s="124" t="n">
        <v>0</v>
      </c>
      <c r="E312" s="124" t="n">
        <v>0</v>
      </c>
      <c r="F312" s="124" t="n">
        <v>0</v>
      </c>
      <c r="G312" s="124" t="n">
        <v>0</v>
      </c>
      <c r="I312" s="124" t="n">
        <f aca="false">IF(MONTH($A312)=MONTH($A311),IF(G312=0,I311,G312),G312)</f>
        <v>971</v>
      </c>
      <c r="J312" s="124" t="n">
        <f aca="false">IF(MONTH($A312)=MONTH($A311),SUM(I312-I311),I312)</f>
        <v>0</v>
      </c>
      <c r="K312" s="124" t="n">
        <f aca="false">IF(WEEKDAY(A312,3)&gt;4,0,(IF(A312&lt;K$2,0,IF(A312&lt;=K$3,1,0))))</f>
        <v>0</v>
      </c>
      <c r="L312" s="124" t="n">
        <f aca="false">J312*K312</f>
        <v>0</v>
      </c>
      <c r="M312" s="124" t="n">
        <f aca="false">SUM(J$280:J312)</f>
        <v>16867</v>
      </c>
      <c r="N312" s="124" t="n">
        <f aca="false">SUM(J$6:J312)</f>
        <v>982326.940417803</v>
      </c>
      <c r="P312" s="124" t="n">
        <f aca="false">D312/P$3</f>
        <v>0</v>
      </c>
      <c r="Q312" s="124" t="n">
        <f aca="false">E312/P$3</f>
        <v>0</v>
      </c>
      <c r="R312" s="124" t="n">
        <f aca="false">F312/R$3</f>
        <v>0</v>
      </c>
      <c r="S312" s="126" t="n">
        <f aca="false">J312/$R$3</f>
        <v>0</v>
      </c>
      <c r="T312" s="126" t="n">
        <f aca="false">L312/$R$3</f>
        <v>0</v>
      </c>
      <c r="U312" s="126" t="n">
        <f aca="false">I312/$R$3</f>
        <v>0.971</v>
      </c>
      <c r="V312" s="126" t="n">
        <f aca="false">M312/$R$3</f>
        <v>16.867</v>
      </c>
      <c r="W312" s="126" t="n">
        <f aca="false">N312/$R$3</f>
        <v>982.326940417803</v>
      </c>
    </row>
    <row r="313" customFormat="false" ht="12.75" hidden="false" customHeight="false" outlineLevel="0" collapsed="false">
      <c r="A313" s="120" t="n">
        <f aca="false">A312+1</f>
        <v>37199</v>
      </c>
      <c r="B313" s="131" t="str">
        <f aca="false">INDEX('Master Data'!$A$2:$B$8,MATCH(WEEKDAY('EZE Power Trading'!A313,3),'Master Data'!$A$2:$A$8,0),2)</f>
        <v>Su</v>
      </c>
      <c r="D313" s="124" t="n">
        <v>0</v>
      </c>
      <c r="E313" s="124" t="n">
        <v>0</v>
      </c>
      <c r="F313" s="124" t="n">
        <v>0</v>
      </c>
      <c r="G313" s="124" t="n">
        <v>0</v>
      </c>
      <c r="I313" s="124" t="n">
        <f aca="false">IF(MONTH($A313)=MONTH($A312),IF(G313=0,I312,G313),G313)</f>
        <v>971</v>
      </c>
      <c r="J313" s="124" t="n">
        <f aca="false">IF(MONTH($A313)=MONTH($A312),SUM(I313-I312),I313)</f>
        <v>0</v>
      </c>
      <c r="K313" s="124" t="n">
        <f aca="false">IF(WEEKDAY(A313,3)&gt;4,0,(IF(A313&lt;K$2,0,IF(A313&lt;=K$3,1,0))))</f>
        <v>0</v>
      </c>
      <c r="L313" s="124" t="n">
        <f aca="false">J313*K313</f>
        <v>0</v>
      </c>
      <c r="M313" s="124" t="n">
        <f aca="false">SUM(J$280:J313)</f>
        <v>16867</v>
      </c>
      <c r="N313" s="124" t="n">
        <f aca="false">SUM(J$6:J313)</f>
        <v>982326.940417803</v>
      </c>
      <c r="P313" s="124" t="n">
        <f aca="false">D313/P$3</f>
        <v>0</v>
      </c>
      <c r="Q313" s="124" t="n">
        <f aca="false">E313/P$3</f>
        <v>0</v>
      </c>
      <c r="R313" s="124" t="n">
        <f aca="false">F313/R$3</f>
        <v>0</v>
      </c>
      <c r="S313" s="126" t="n">
        <f aca="false">J313/$R$3</f>
        <v>0</v>
      </c>
      <c r="T313" s="126" t="n">
        <f aca="false">L313/$R$3</f>
        <v>0</v>
      </c>
      <c r="U313" s="126" t="n">
        <f aca="false">I313/$R$3</f>
        <v>0.971</v>
      </c>
      <c r="V313" s="126" t="n">
        <f aca="false">M313/$R$3</f>
        <v>16.867</v>
      </c>
      <c r="W313" s="126" t="n">
        <f aca="false">N313/$R$3</f>
        <v>982.326940417803</v>
      </c>
    </row>
    <row r="314" customFormat="false" ht="12.75" hidden="false" customHeight="false" outlineLevel="0" collapsed="false">
      <c r="A314" s="120" t="n">
        <f aca="false">A313+1</f>
        <v>37200</v>
      </c>
      <c r="B314" s="131" t="str">
        <f aca="false">INDEX('Master Data'!$A$2:$B$8,MATCH(WEEKDAY('EZE Power Trading'!A314,3),'Master Data'!$A$2:$A$8,0),2)</f>
        <v>M</v>
      </c>
      <c r="D314" s="124" t="n">
        <v>0</v>
      </c>
      <c r="E314" s="124" t="n">
        <v>0</v>
      </c>
      <c r="F314" s="124" t="n">
        <v>0</v>
      </c>
      <c r="G314" s="124" t="n">
        <v>0</v>
      </c>
      <c r="I314" s="124" t="n">
        <f aca="false">IF(MONTH($A314)=MONTH($A313),IF(G314=0,I313,G314),G314)</f>
        <v>971</v>
      </c>
      <c r="J314" s="124" t="n">
        <f aca="false">IF(MONTH($A314)=MONTH($A313),SUM(I314-I313),I314)</f>
        <v>0</v>
      </c>
      <c r="K314" s="124" t="n">
        <f aca="false">IF(WEEKDAY(A314,3)&gt;4,0,(IF(A314&lt;K$2,0,IF(A314&lt;=K$3,1,0))))</f>
        <v>0</v>
      </c>
      <c r="L314" s="124" t="n">
        <f aca="false">J314*K314</f>
        <v>0</v>
      </c>
      <c r="M314" s="124" t="n">
        <f aca="false">SUM(J$280:J314)</f>
        <v>16867</v>
      </c>
      <c r="N314" s="124" t="n">
        <f aca="false">SUM(J$6:J314)</f>
        <v>982326.940417803</v>
      </c>
      <c r="P314" s="124" t="n">
        <f aca="false">D314/P$3</f>
        <v>0</v>
      </c>
      <c r="Q314" s="124" t="n">
        <f aca="false">E314/P$3</f>
        <v>0</v>
      </c>
      <c r="R314" s="124" t="n">
        <f aca="false">F314/R$3</f>
        <v>0</v>
      </c>
      <c r="S314" s="126" t="n">
        <f aca="false">J314/$R$3</f>
        <v>0</v>
      </c>
      <c r="T314" s="126" t="n">
        <f aca="false">L314/$R$3</f>
        <v>0</v>
      </c>
      <c r="U314" s="126" t="n">
        <f aca="false">I314/$R$3</f>
        <v>0.971</v>
      </c>
      <c r="V314" s="126" t="n">
        <f aca="false">M314/$R$3</f>
        <v>16.867</v>
      </c>
      <c r="W314" s="126" t="n">
        <f aca="false">N314/$R$3</f>
        <v>982.326940417803</v>
      </c>
    </row>
    <row r="315" customFormat="false" ht="12.75" hidden="false" customHeight="false" outlineLevel="0" collapsed="false">
      <c r="A315" s="120" t="n">
        <f aca="false">A314+1</f>
        <v>37201</v>
      </c>
      <c r="B315" s="131" t="str">
        <f aca="false">INDEX('Master Data'!$A$2:$B$8,MATCH(WEEKDAY('EZE Power Trading'!A315,3),'Master Data'!$A$2:$A$8,0),2)</f>
        <v>T</v>
      </c>
      <c r="D315" s="124" t="n">
        <v>0</v>
      </c>
      <c r="E315" s="124" t="n">
        <v>0</v>
      </c>
      <c r="F315" s="124" t="n">
        <v>0</v>
      </c>
      <c r="G315" s="124" t="n">
        <v>0</v>
      </c>
      <c r="I315" s="124" t="n">
        <f aca="false">IF(MONTH($A315)=MONTH($A314),IF(G315=0,I314,G315),G315)</f>
        <v>971</v>
      </c>
      <c r="J315" s="124" t="n">
        <f aca="false">IF(MONTH($A315)=MONTH($A314),SUM(I315-I314),I315)</f>
        <v>0</v>
      </c>
      <c r="K315" s="124" t="n">
        <f aca="false">IF(WEEKDAY(A315,3)&gt;4,0,(IF(A315&lt;K$2,0,IF(A315&lt;=K$3,1,0))))</f>
        <v>0</v>
      </c>
      <c r="L315" s="124" t="n">
        <f aca="false">J315*K315</f>
        <v>0</v>
      </c>
      <c r="M315" s="124" t="n">
        <f aca="false">SUM(J$280:J315)</f>
        <v>16867</v>
      </c>
      <c r="N315" s="124" t="n">
        <f aca="false">SUM(J$6:J315)</f>
        <v>982326.940417803</v>
      </c>
      <c r="P315" s="124" t="n">
        <f aca="false">D315/P$3</f>
        <v>0</v>
      </c>
      <c r="Q315" s="124" t="n">
        <f aca="false">E315/P$3</f>
        <v>0</v>
      </c>
      <c r="R315" s="124" t="n">
        <f aca="false">F315/R$3</f>
        <v>0</v>
      </c>
      <c r="S315" s="126" t="n">
        <f aca="false">J315/$R$3</f>
        <v>0</v>
      </c>
      <c r="T315" s="126" t="n">
        <f aca="false">L315/$R$3</f>
        <v>0</v>
      </c>
      <c r="U315" s="126" t="n">
        <f aca="false">I315/$R$3</f>
        <v>0.971</v>
      </c>
      <c r="V315" s="126" t="n">
        <f aca="false">M315/$R$3</f>
        <v>16.867</v>
      </c>
      <c r="W315" s="126" t="n">
        <f aca="false">N315/$R$3</f>
        <v>982.326940417803</v>
      </c>
    </row>
    <row r="316" customFormat="false" ht="12.75" hidden="false" customHeight="false" outlineLevel="0" collapsed="false">
      <c r="A316" s="120" t="n">
        <f aca="false">A315+1</f>
        <v>37202</v>
      </c>
      <c r="B316" s="131" t="str">
        <f aca="false">INDEX('Master Data'!$A$2:$B$8,MATCH(WEEKDAY('EZE Power Trading'!A316,3),'Master Data'!$A$2:$A$8,0),2)</f>
        <v>W</v>
      </c>
      <c r="D316" s="124" t="n">
        <v>0</v>
      </c>
      <c r="E316" s="124" t="n">
        <v>0</v>
      </c>
      <c r="F316" s="124" t="n">
        <v>0</v>
      </c>
      <c r="G316" s="124" t="n">
        <v>0</v>
      </c>
      <c r="I316" s="124" t="n">
        <f aca="false">IF(MONTH($A316)=MONTH($A315),IF(G316=0,I315,G316),G316)</f>
        <v>971</v>
      </c>
      <c r="J316" s="124" t="n">
        <f aca="false">IF(MONTH($A316)=MONTH($A315),SUM(I316-I315),I316)</f>
        <v>0</v>
      </c>
      <c r="K316" s="124" t="n">
        <f aca="false">IF(WEEKDAY(A316,3)&gt;4,0,(IF(A316&lt;K$2,0,IF(A316&lt;=K$3,1,0))))</f>
        <v>0</v>
      </c>
      <c r="L316" s="124" t="n">
        <f aca="false">J316*K316</f>
        <v>0</v>
      </c>
      <c r="M316" s="124" t="n">
        <f aca="false">SUM(J$280:J316)</f>
        <v>16867</v>
      </c>
      <c r="N316" s="124" t="n">
        <f aca="false">SUM(J$6:J316)</f>
        <v>982326.940417803</v>
      </c>
      <c r="P316" s="124" t="n">
        <f aca="false">D316/P$3</f>
        <v>0</v>
      </c>
      <c r="Q316" s="124" t="n">
        <f aca="false">E316/P$3</f>
        <v>0</v>
      </c>
      <c r="R316" s="124" t="n">
        <f aca="false">F316/R$3</f>
        <v>0</v>
      </c>
      <c r="S316" s="126" t="n">
        <f aca="false">J316/$R$3</f>
        <v>0</v>
      </c>
      <c r="T316" s="126" t="n">
        <f aca="false">L316/$R$3</f>
        <v>0</v>
      </c>
      <c r="U316" s="126" t="n">
        <f aca="false">I316/$R$3</f>
        <v>0.971</v>
      </c>
      <c r="V316" s="126" t="n">
        <f aca="false">M316/$R$3</f>
        <v>16.867</v>
      </c>
      <c r="W316" s="126" t="n">
        <f aca="false">N316/$R$3</f>
        <v>982.326940417803</v>
      </c>
    </row>
    <row r="317" customFormat="false" ht="12.75" hidden="false" customHeight="false" outlineLevel="0" collapsed="false">
      <c r="A317" s="120" t="n">
        <f aca="false">A316+1</f>
        <v>37203</v>
      </c>
      <c r="B317" s="131" t="str">
        <f aca="false">INDEX('Master Data'!$A$2:$B$8,MATCH(WEEKDAY('EZE Power Trading'!A317,3),'Master Data'!$A$2:$A$8,0),2)</f>
        <v>Th</v>
      </c>
      <c r="D317" s="124" t="n">
        <v>0</v>
      </c>
      <c r="E317" s="124" t="n">
        <v>0</v>
      </c>
      <c r="F317" s="124" t="n">
        <v>0</v>
      </c>
      <c r="G317" s="124" t="n">
        <v>0</v>
      </c>
      <c r="I317" s="124" t="n">
        <f aca="false">IF(MONTH($A317)=MONTH($A316),IF(G317=0,I316,G317),G317)</f>
        <v>971</v>
      </c>
      <c r="J317" s="124" t="n">
        <f aca="false">IF(MONTH($A317)=MONTH($A316),SUM(I317-I316),I317)</f>
        <v>0</v>
      </c>
      <c r="K317" s="124" t="n">
        <f aca="false">IF(WEEKDAY(A317,3)&gt;4,0,(IF(A317&lt;K$2,0,IF(A317&lt;=K$3,1,0))))</f>
        <v>0</v>
      </c>
      <c r="L317" s="124" t="n">
        <f aca="false">J317*K317</f>
        <v>0</v>
      </c>
      <c r="M317" s="124" t="n">
        <f aca="false">SUM(J$280:J317)</f>
        <v>16867</v>
      </c>
      <c r="N317" s="124" t="n">
        <f aca="false">SUM(J$6:J317)</f>
        <v>982326.940417803</v>
      </c>
      <c r="P317" s="124" t="n">
        <f aca="false">D317/P$3</f>
        <v>0</v>
      </c>
      <c r="Q317" s="124" t="n">
        <f aca="false">E317/P$3</f>
        <v>0</v>
      </c>
      <c r="R317" s="124" t="n">
        <f aca="false">F317/R$3</f>
        <v>0</v>
      </c>
      <c r="S317" s="126" t="n">
        <f aca="false">J317/$R$3</f>
        <v>0</v>
      </c>
      <c r="T317" s="126" t="n">
        <f aca="false">L317/$R$3</f>
        <v>0</v>
      </c>
      <c r="U317" s="126" t="n">
        <f aca="false">I317/$R$3</f>
        <v>0.971</v>
      </c>
      <c r="V317" s="126" t="n">
        <f aca="false">M317/$R$3</f>
        <v>16.867</v>
      </c>
      <c r="W317" s="126" t="n">
        <f aca="false">N317/$R$3</f>
        <v>982.326940417803</v>
      </c>
    </row>
    <row r="318" customFormat="false" ht="12.75" hidden="false" customHeight="false" outlineLevel="0" collapsed="false">
      <c r="A318" s="120" t="n">
        <f aca="false">A317+1</f>
        <v>37204</v>
      </c>
      <c r="B318" s="131" t="str">
        <f aca="false">INDEX('Master Data'!$A$2:$B$8,MATCH(WEEKDAY('EZE Power Trading'!A318,3),'Master Data'!$A$2:$A$8,0),2)</f>
        <v>F</v>
      </c>
      <c r="D318" s="124" t="n">
        <v>0</v>
      </c>
      <c r="E318" s="124" t="n">
        <v>0</v>
      </c>
      <c r="F318" s="124" t="n">
        <v>0</v>
      </c>
      <c r="G318" s="124" t="n">
        <v>0</v>
      </c>
      <c r="I318" s="124" t="n">
        <f aca="false">IF(MONTH($A318)=MONTH($A317),IF(G318=0,I317,G318),G318)</f>
        <v>971</v>
      </c>
      <c r="J318" s="124" t="n">
        <f aca="false">IF(MONTH($A318)=MONTH($A317),SUM(I318-I317),I318)</f>
        <v>0</v>
      </c>
      <c r="K318" s="124" t="n">
        <f aca="false">IF(WEEKDAY(A318,3)&gt;4,0,(IF(A318&lt;K$2,0,IF(A318&lt;=K$3,1,0))))</f>
        <v>0</v>
      </c>
      <c r="L318" s="124" t="n">
        <f aca="false">J318*K318</f>
        <v>0</v>
      </c>
      <c r="M318" s="124" t="n">
        <f aca="false">SUM(J$280:J318)</f>
        <v>16867</v>
      </c>
      <c r="N318" s="124" t="n">
        <f aca="false">SUM(J$6:J318)</f>
        <v>982326.940417803</v>
      </c>
      <c r="P318" s="124" t="n">
        <f aca="false">D318/P$3</f>
        <v>0</v>
      </c>
      <c r="Q318" s="124" t="n">
        <f aca="false">E318/P$3</f>
        <v>0</v>
      </c>
      <c r="R318" s="124" t="n">
        <f aca="false">F318/R$3</f>
        <v>0</v>
      </c>
      <c r="S318" s="126" t="n">
        <f aca="false">J318/$R$3</f>
        <v>0</v>
      </c>
      <c r="T318" s="126" t="n">
        <f aca="false">L318/$R$3</f>
        <v>0</v>
      </c>
      <c r="U318" s="126" t="n">
        <f aca="false">I318/$R$3</f>
        <v>0.971</v>
      </c>
      <c r="V318" s="126" t="n">
        <f aca="false">M318/$R$3</f>
        <v>16.867</v>
      </c>
      <c r="W318" s="126" t="n">
        <f aca="false">N318/$R$3</f>
        <v>982.326940417803</v>
      </c>
    </row>
    <row r="319" customFormat="false" ht="12.75" hidden="false" customHeight="false" outlineLevel="0" collapsed="false">
      <c r="A319" s="120" t="n">
        <f aca="false">A318+1</f>
        <v>37205</v>
      </c>
      <c r="B319" s="131" t="str">
        <f aca="false">INDEX('Master Data'!$A$2:$B$8,MATCH(WEEKDAY('EZE Power Trading'!A319,3),'Master Data'!$A$2:$A$8,0),2)</f>
        <v>Sa</v>
      </c>
      <c r="D319" s="124" t="n">
        <v>0</v>
      </c>
      <c r="E319" s="124" t="n">
        <v>0</v>
      </c>
      <c r="F319" s="124" t="n">
        <v>0</v>
      </c>
      <c r="G319" s="124" t="n">
        <v>0</v>
      </c>
      <c r="I319" s="124" t="n">
        <f aca="false">IF(MONTH($A319)=MONTH($A318),IF(G319=0,I318,G319),G319)</f>
        <v>971</v>
      </c>
      <c r="J319" s="124" t="n">
        <f aca="false">IF(MONTH($A319)=MONTH($A318),SUM(I319-I318),I319)</f>
        <v>0</v>
      </c>
      <c r="K319" s="124" t="n">
        <f aca="false">IF(WEEKDAY(A319,3)&gt;4,0,(IF(A319&lt;K$2,0,IF(A319&lt;=K$3,1,0))))</f>
        <v>0</v>
      </c>
      <c r="L319" s="124" t="n">
        <f aca="false">J319*K319</f>
        <v>0</v>
      </c>
      <c r="M319" s="124" t="n">
        <f aca="false">SUM(J$280:J319)</f>
        <v>16867</v>
      </c>
      <c r="N319" s="124" t="n">
        <f aca="false">SUM(J$6:J319)</f>
        <v>982326.940417803</v>
      </c>
      <c r="P319" s="124" t="n">
        <f aca="false">D319/P$3</f>
        <v>0</v>
      </c>
      <c r="Q319" s="124" t="n">
        <f aca="false">E319/P$3</f>
        <v>0</v>
      </c>
      <c r="R319" s="124" t="n">
        <f aca="false">F319/R$3</f>
        <v>0</v>
      </c>
      <c r="S319" s="126" t="n">
        <f aca="false">J319/$R$3</f>
        <v>0</v>
      </c>
      <c r="T319" s="126" t="n">
        <f aca="false">L319/$R$3</f>
        <v>0</v>
      </c>
      <c r="U319" s="126" t="n">
        <f aca="false">I319/$R$3</f>
        <v>0.971</v>
      </c>
      <c r="V319" s="126" t="n">
        <f aca="false">M319/$R$3</f>
        <v>16.867</v>
      </c>
      <c r="W319" s="126" t="n">
        <f aca="false">N319/$R$3</f>
        <v>982.326940417803</v>
      </c>
    </row>
    <row r="320" customFormat="false" ht="12.75" hidden="false" customHeight="false" outlineLevel="0" collapsed="false">
      <c r="A320" s="120" t="n">
        <f aca="false">A319+1</f>
        <v>37206</v>
      </c>
      <c r="B320" s="131" t="str">
        <f aca="false">INDEX('Master Data'!$A$2:$B$8,MATCH(WEEKDAY('EZE Power Trading'!A320,3),'Master Data'!$A$2:$A$8,0),2)</f>
        <v>Su</v>
      </c>
      <c r="D320" s="124" t="n">
        <v>0</v>
      </c>
      <c r="E320" s="124" t="n">
        <v>0</v>
      </c>
      <c r="F320" s="124" t="n">
        <v>0</v>
      </c>
      <c r="G320" s="124" t="n">
        <v>0</v>
      </c>
      <c r="I320" s="124" t="n">
        <f aca="false">IF(MONTH($A320)=MONTH($A319),IF(G320=0,I319,G320),G320)</f>
        <v>971</v>
      </c>
      <c r="J320" s="124" t="n">
        <f aca="false">IF(MONTH($A320)=MONTH($A319),SUM(I320-I319),I320)</f>
        <v>0</v>
      </c>
      <c r="K320" s="124" t="n">
        <f aca="false">IF(WEEKDAY(A320,3)&gt;4,0,(IF(A320&lt;K$2,0,IF(A320&lt;=K$3,1,0))))</f>
        <v>0</v>
      </c>
      <c r="L320" s="124" t="n">
        <f aca="false">J320*K320</f>
        <v>0</v>
      </c>
      <c r="M320" s="124" t="n">
        <f aca="false">SUM(J$280:J320)</f>
        <v>16867</v>
      </c>
      <c r="N320" s="124" t="n">
        <f aca="false">SUM(J$6:J320)</f>
        <v>982326.940417803</v>
      </c>
      <c r="P320" s="124" t="n">
        <f aca="false">D320/P$3</f>
        <v>0</v>
      </c>
      <c r="Q320" s="124" t="n">
        <f aca="false">E320/P$3</f>
        <v>0</v>
      </c>
      <c r="R320" s="124" t="n">
        <f aca="false">F320/R$3</f>
        <v>0</v>
      </c>
      <c r="S320" s="126" t="n">
        <f aca="false">J320/$R$3</f>
        <v>0</v>
      </c>
      <c r="T320" s="126" t="n">
        <f aca="false">L320/$R$3</f>
        <v>0</v>
      </c>
      <c r="U320" s="126" t="n">
        <f aca="false">I320/$R$3</f>
        <v>0.971</v>
      </c>
      <c r="V320" s="126" t="n">
        <f aca="false">M320/$R$3</f>
        <v>16.867</v>
      </c>
      <c r="W320" s="126" t="n">
        <f aca="false">N320/$R$3</f>
        <v>982.326940417803</v>
      </c>
    </row>
    <row r="321" customFormat="false" ht="12.75" hidden="false" customHeight="false" outlineLevel="0" collapsed="false">
      <c r="A321" s="120" t="n">
        <f aca="false">A320+1</f>
        <v>37207</v>
      </c>
      <c r="B321" s="131" t="str">
        <f aca="false">INDEX('Master Data'!$A$2:$B$8,MATCH(WEEKDAY('EZE Power Trading'!A321,3),'Master Data'!$A$2:$A$8,0),2)</f>
        <v>M</v>
      </c>
      <c r="D321" s="124" t="n">
        <v>0</v>
      </c>
      <c r="E321" s="124" t="n">
        <v>0</v>
      </c>
      <c r="F321" s="124" t="n">
        <v>0</v>
      </c>
      <c r="G321" s="124" t="n">
        <v>0</v>
      </c>
      <c r="I321" s="124" t="n">
        <f aca="false">IF(MONTH($A321)=MONTH($A320),IF(G321=0,I320,G321),G321)</f>
        <v>971</v>
      </c>
      <c r="J321" s="124" t="n">
        <f aca="false">IF(MONTH($A321)=MONTH($A320),SUM(I321-I320),I321)</f>
        <v>0</v>
      </c>
      <c r="K321" s="124" t="n">
        <f aca="false">IF(WEEKDAY(A321,3)&gt;4,0,(IF(A321&lt;K$2,0,IF(A321&lt;=K$3,1,0))))</f>
        <v>0</v>
      </c>
      <c r="L321" s="124" t="n">
        <f aca="false">J321*K321</f>
        <v>0</v>
      </c>
      <c r="M321" s="124" t="n">
        <f aca="false">SUM(J$280:J321)</f>
        <v>16867</v>
      </c>
      <c r="N321" s="124" t="n">
        <f aca="false">SUM(J$6:J321)</f>
        <v>982326.940417803</v>
      </c>
      <c r="P321" s="124" t="n">
        <f aca="false">D321/P$3</f>
        <v>0</v>
      </c>
      <c r="Q321" s="124" t="n">
        <f aca="false">E321/P$3</f>
        <v>0</v>
      </c>
      <c r="R321" s="124" t="n">
        <f aca="false">F321/R$3</f>
        <v>0</v>
      </c>
      <c r="S321" s="126" t="n">
        <f aca="false">J321/$R$3</f>
        <v>0</v>
      </c>
      <c r="T321" s="126" t="n">
        <f aca="false">L321/$R$3</f>
        <v>0</v>
      </c>
      <c r="U321" s="126" t="n">
        <f aca="false">I321/$R$3</f>
        <v>0.971</v>
      </c>
      <c r="V321" s="126" t="n">
        <f aca="false">M321/$R$3</f>
        <v>16.867</v>
      </c>
      <c r="W321" s="126" t="n">
        <f aca="false">N321/$R$3</f>
        <v>982.326940417803</v>
      </c>
    </row>
    <row r="322" customFormat="false" ht="12.75" hidden="false" customHeight="false" outlineLevel="0" collapsed="false">
      <c r="A322" s="120" t="n">
        <f aca="false">A321+1</f>
        <v>37208</v>
      </c>
      <c r="B322" s="131" t="str">
        <f aca="false">INDEX('Master Data'!$A$2:$B$8,MATCH(WEEKDAY('EZE Power Trading'!A322,3),'Master Data'!$A$2:$A$8,0),2)</f>
        <v>T</v>
      </c>
      <c r="D322" s="124" t="n">
        <v>0</v>
      </c>
      <c r="E322" s="124" t="n">
        <v>0</v>
      </c>
      <c r="F322" s="124" t="n">
        <v>0</v>
      </c>
      <c r="G322" s="124" t="n">
        <v>0</v>
      </c>
      <c r="I322" s="124" t="n">
        <f aca="false">IF(MONTH($A322)=MONTH($A321),IF(G322=0,I321,G322),G322)</f>
        <v>971</v>
      </c>
      <c r="J322" s="124" t="n">
        <f aca="false">IF(MONTH($A322)=MONTH($A321),SUM(I322-I321),I322)</f>
        <v>0</v>
      </c>
      <c r="K322" s="124" t="n">
        <f aca="false">IF(WEEKDAY(A322,3)&gt;4,0,(IF(A322&lt;K$2,0,IF(A322&lt;=K$3,1,0))))</f>
        <v>0</v>
      </c>
      <c r="L322" s="124" t="n">
        <f aca="false">J322*K322</f>
        <v>0</v>
      </c>
      <c r="M322" s="124" t="n">
        <f aca="false">SUM(J$280:J322)</f>
        <v>16867</v>
      </c>
      <c r="N322" s="124" t="n">
        <f aca="false">SUM(J$6:J322)</f>
        <v>982326.940417803</v>
      </c>
      <c r="P322" s="124" t="n">
        <f aca="false">D322/P$3</f>
        <v>0</v>
      </c>
      <c r="Q322" s="124" t="n">
        <f aca="false">E322/P$3</f>
        <v>0</v>
      </c>
      <c r="R322" s="124" t="n">
        <f aca="false">F322/R$3</f>
        <v>0</v>
      </c>
      <c r="S322" s="126" t="n">
        <f aca="false">J322/$R$3</f>
        <v>0</v>
      </c>
      <c r="T322" s="126" t="n">
        <f aca="false">L322/$R$3</f>
        <v>0</v>
      </c>
      <c r="U322" s="126" t="n">
        <f aca="false">I322/$R$3</f>
        <v>0.971</v>
      </c>
      <c r="V322" s="126" t="n">
        <f aca="false">M322/$R$3</f>
        <v>16.867</v>
      </c>
      <c r="W322" s="126" t="n">
        <f aca="false">N322/$R$3</f>
        <v>982.326940417803</v>
      </c>
    </row>
    <row r="323" customFormat="false" ht="12.75" hidden="false" customHeight="false" outlineLevel="0" collapsed="false">
      <c r="A323" s="120" t="n">
        <f aca="false">A322+1</f>
        <v>37209</v>
      </c>
      <c r="B323" s="131" t="str">
        <f aca="false">INDEX('Master Data'!$A$2:$B$8,MATCH(WEEKDAY('EZE Power Trading'!A323,3),'Master Data'!$A$2:$A$8,0),2)</f>
        <v>W</v>
      </c>
      <c r="D323" s="124" t="n">
        <v>0</v>
      </c>
      <c r="E323" s="124" t="n">
        <v>0</v>
      </c>
      <c r="F323" s="124" t="n">
        <v>0</v>
      </c>
      <c r="G323" s="124" t="n">
        <v>0</v>
      </c>
      <c r="I323" s="124" t="n">
        <f aca="false">IF(MONTH($A323)=MONTH($A322),IF(G323=0,I322,G323),G323)</f>
        <v>971</v>
      </c>
      <c r="J323" s="124" t="n">
        <f aca="false">IF(MONTH($A323)=MONTH($A322),SUM(I323-I322),I323)</f>
        <v>0</v>
      </c>
      <c r="K323" s="124" t="n">
        <f aca="false">IF(WEEKDAY(A323,3)&gt;4,0,(IF(A323&lt;K$2,0,IF(A323&lt;=K$3,1,0))))</f>
        <v>0</v>
      </c>
      <c r="L323" s="124" t="n">
        <f aca="false">J323*K323</f>
        <v>0</v>
      </c>
      <c r="M323" s="124" t="n">
        <f aca="false">SUM(J$280:J323)</f>
        <v>16867</v>
      </c>
      <c r="N323" s="124" t="n">
        <f aca="false">SUM(J$6:J323)</f>
        <v>982326.940417803</v>
      </c>
      <c r="P323" s="124" t="n">
        <f aca="false">D323/P$3</f>
        <v>0</v>
      </c>
      <c r="Q323" s="124" t="n">
        <f aca="false">E323/P$3</f>
        <v>0</v>
      </c>
      <c r="R323" s="124" t="n">
        <f aca="false">F323/R$3</f>
        <v>0</v>
      </c>
      <c r="S323" s="126" t="n">
        <f aca="false">J323/$R$3</f>
        <v>0</v>
      </c>
      <c r="T323" s="126" t="n">
        <f aca="false">L323/$R$3</f>
        <v>0</v>
      </c>
      <c r="U323" s="126" t="n">
        <f aca="false">I323/$R$3</f>
        <v>0.971</v>
      </c>
      <c r="V323" s="126" t="n">
        <f aca="false">M323/$R$3</f>
        <v>16.867</v>
      </c>
      <c r="W323" s="126" t="n">
        <f aca="false">N323/$R$3</f>
        <v>982.326940417803</v>
      </c>
    </row>
    <row r="324" customFormat="false" ht="12.75" hidden="false" customHeight="false" outlineLevel="0" collapsed="false">
      <c r="A324" s="120" t="n">
        <f aca="false">A323+1</f>
        <v>37210</v>
      </c>
      <c r="B324" s="131" t="str">
        <f aca="false">INDEX('Master Data'!$A$2:$B$8,MATCH(WEEKDAY('EZE Power Trading'!A324,3),'Master Data'!$A$2:$A$8,0),2)</f>
        <v>Th</v>
      </c>
      <c r="D324" s="124" t="n">
        <v>0</v>
      </c>
      <c r="E324" s="124" t="n">
        <v>0</v>
      </c>
      <c r="F324" s="124" t="n">
        <v>0</v>
      </c>
      <c r="G324" s="124" t="n">
        <v>0</v>
      </c>
      <c r="I324" s="124" t="n">
        <f aca="false">IF(MONTH($A324)=MONTH($A323),IF(G324=0,I323,G324),G324)</f>
        <v>971</v>
      </c>
      <c r="J324" s="124" t="n">
        <f aca="false">IF(MONTH($A324)=MONTH($A323),SUM(I324-I323),I324)</f>
        <v>0</v>
      </c>
      <c r="K324" s="124" t="n">
        <f aca="false">IF(WEEKDAY(A324,3)&gt;4,0,(IF(A324&lt;K$2,0,IF(A324&lt;=K$3,1,0))))</f>
        <v>0</v>
      </c>
      <c r="L324" s="124" t="n">
        <f aca="false">J324*K324</f>
        <v>0</v>
      </c>
      <c r="M324" s="124" t="n">
        <f aca="false">SUM(J$280:J324)</f>
        <v>16867</v>
      </c>
      <c r="N324" s="124" t="n">
        <f aca="false">SUM(J$6:J324)</f>
        <v>982326.940417803</v>
      </c>
      <c r="P324" s="124" t="n">
        <f aca="false">D324/P$3</f>
        <v>0</v>
      </c>
      <c r="Q324" s="124" t="n">
        <f aca="false">E324/P$3</f>
        <v>0</v>
      </c>
      <c r="R324" s="124" t="n">
        <f aca="false">F324/R$3</f>
        <v>0</v>
      </c>
      <c r="S324" s="126" t="n">
        <f aca="false">J324/$R$3</f>
        <v>0</v>
      </c>
      <c r="T324" s="126" t="n">
        <f aca="false">L324/$R$3</f>
        <v>0</v>
      </c>
      <c r="U324" s="126" t="n">
        <f aca="false">I324/$R$3</f>
        <v>0.971</v>
      </c>
      <c r="V324" s="126" t="n">
        <f aca="false">M324/$R$3</f>
        <v>16.867</v>
      </c>
      <c r="W324" s="126" t="n">
        <f aca="false">N324/$R$3</f>
        <v>982.326940417803</v>
      </c>
    </row>
    <row r="325" customFormat="false" ht="12.75" hidden="false" customHeight="false" outlineLevel="0" collapsed="false">
      <c r="A325" s="120" t="n">
        <f aca="false">A324+1</f>
        <v>37211</v>
      </c>
      <c r="B325" s="131" t="str">
        <f aca="false">INDEX('Master Data'!$A$2:$B$8,MATCH(WEEKDAY('EZE Power Trading'!A325,3),'Master Data'!$A$2:$A$8,0),2)</f>
        <v>F</v>
      </c>
      <c r="D325" s="124" t="n">
        <v>0</v>
      </c>
      <c r="E325" s="124" t="n">
        <v>0</v>
      </c>
      <c r="F325" s="124" t="n">
        <v>0</v>
      </c>
      <c r="G325" s="124" t="n">
        <v>0</v>
      </c>
      <c r="I325" s="124" t="n">
        <f aca="false">IF(MONTH($A325)=MONTH($A324),IF(G325=0,I324,G325),G325)</f>
        <v>971</v>
      </c>
      <c r="J325" s="124" t="n">
        <f aca="false">IF(MONTH($A325)=MONTH($A324),SUM(I325-I324),I325)</f>
        <v>0</v>
      </c>
      <c r="K325" s="124" t="n">
        <f aca="false">IF(WEEKDAY(A325,3)&gt;4,0,(IF(A325&lt;K$2,0,IF(A325&lt;=K$3,1,0))))</f>
        <v>0</v>
      </c>
      <c r="L325" s="124" t="n">
        <f aca="false">J325*K325</f>
        <v>0</v>
      </c>
      <c r="M325" s="124" t="n">
        <f aca="false">SUM(J$280:J325)</f>
        <v>16867</v>
      </c>
      <c r="N325" s="124" t="n">
        <f aca="false">SUM(J$6:J325)</f>
        <v>982326.940417803</v>
      </c>
      <c r="P325" s="124" t="n">
        <f aca="false">D325/P$3</f>
        <v>0</v>
      </c>
      <c r="Q325" s="124" t="n">
        <f aca="false">E325/P$3</f>
        <v>0</v>
      </c>
      <c r="R325" s="124" t="n">
        <f aca="false">F325/R$3</f>
        <v>0</v>
      </c>
      <c r="S325" s="126" t="n">
        <f aca="false">J325/$R$3</f>
        <v>0</v>
      </c>
      <c r="T325" s="126" t="n">
        <f aca="false">L325/$R$3</f>
        <v>0</v>
      </c>
      <c r="U325" s="126" t="n">
        <f aca="false">I325/$R$3</f>
        <v>0.971</v>
      </c>
      <c r="V325" s="126" t="n">
        <f aca="false">M325/$R$3</f>
        <v>16.867</v>
      </c>
      <c r="W325" s="126" t="n">
        <f aca="false">N325/$R$3</f>
        <v>982.326940417803</v>
      </c>
    </row>
    <row r="326" customFormat="false" ht="12.75" hidden="false" customHeight="false" outlineLevel="0" collapsed="false">
      <c r="A326" s="120" t="n">
        <f aca="false">A325+1</f>
        <v>37212</v>
      </c>
      <c r="B326" s="131" t="str">
        <f aca="false">INDEX('Master Data'!$A$2:$B$8,MATCH(WEEKDAY('EZE Power Trading'!A326,3),'Master Data'!$A$2:$A$8,0),2)</f>
        <v>Sa</v>
      </c>
      <c r="D326" s="124" t="n">
        <v>0</v>
      </c>
      <c r="E326" s="124" t="n">
        <v>0</v>
      </c>
      <c r="F326" s="124" t="n">
        <v>0</v>
      </c>
      <c r="G326" s="124" t="n">
        <v>0</v>
      </c>
      <c r="I326" s="124" t="n">
        <f aca="false">IF(MONTH($A326)=MONTH($A325),IF(G326=0,I325,G326),G326)</f>
        <v>971</v>
      </c>
      <c r="J326" s="124" t="n">
        <f aca="false">IF(MONTH($A326)=MONTH($A325),SUM(I326-I325),I326)</f>
        <v>0</v>
      </c>
      <c r="K326" s="124" t="n">
        <f aca="false">IF(WEEKDAY(A326,3)&gt;4,0,(IF(A326&lt;K$2,0,IF(A326&lt;=K$3,1,0))))</f>
        <v>0</v>
      </c>
      <c r="L326" s="124" t="n">
        <f aca="false">J326*K326</f>
        <v>0</v>
      </c>
      <c r="M326" s="124" t="n">
        <f aca="false">SUM(J$280:J326)</f>
        <v>16867</v>
      </c>
      <c r="N326" s="124" t="n">
        <f aca="false">SUM(J$6:J326)</f>
        <v>982326.940417803</v>
      </c>
      <c r="P326" s="124" t="n">
        <f aca="false">D326/P$3</f>
        <v>0</v>
      </c>
      <c r="Q326" s="124" t="n">
        <f aca="false">E326/P$3</f>
        <v>0</v>
      </c>
      <c r="R326" s="124" t="n">
        <f aca="false">F326/R$3</f>
        <v>0</v>
      </c>
      <c r="S326" s="126" t="n">
        <f aca="false">J326/$R$3</f>
        <v>0</v>
      </c>
      <c r="T326" s="126" t="n">
        <f aca="false">L326/$R$3</f>
        <v>0</v>
      </c>
      <c r="U326" s="126" t="n">
        <f aca="false">I326/$R$3</f>
        <v>0.971</v>
      </c>
      <c r="V326" s="126" t="n">
        <f aca="false">M326/$R$3</f>
        <v>16.867</v>
      </c>
      <c r="W326" s="126" t="n">
        <f aca="false">N326/$R$3</f>
        <v>982.326940417803</v>
      </c>
    </row>
    <row r="327" customFormat="false" ht="12.75" hidden="false" customHeight="false" outlineLevel="0" collapsed="false">
      <c r="A327" s="120" t="n">
        <f aca="false">A326+1</f>
        <v>37213</v>
      </c>
      <c r="B327" s="131" t="str">
        <f aca="false">INDEX('Master Data'!$A$2:$B$8,MATCH(WEEKDAY('EZE Power Trading'!A327,3),'Master Data'!$A$2:$A$8,0),2)</f>
        <v>Su</v>
      </c>
      <c r="D327" s="124" t="n">
        <v>0</v>
      </c>
      <c r="E327" s="124" t="n">
        <v>0</v>
      </c>
      <c r="F327" s="124" t="n">
        <v>0</v>
      </c>
      <c r="G327" s="124" t="n">
        <v>0</v>
      </c>
      <c r="I327" s="124" t="n">
        <f aca="false">IF(MONTH($A327)=MONTH($A326),IF(G327=0,I326,G327),G327)</f>
        <v>971</v>
      </c>
      <c r="J327" s="124" t="n">
        <f aca="false">IF(MONTH($A327)=MONTH($A326),SUM(I327-I326),I327)</f>
        <v>0</v>
      </c>
      <c r="K327" s="124" t="n">
        <f aca="false">IF(WEEKDAY(A327,3)&gt;4,0,(IF(A327&lt;K$2,0,IF(A327&lt;=K$3,1,0))))</f>
        <v>0</v>
      </c>
      <c r="L327" s="124" t="n">
        <f aca="false">J327*K327</f>
        <v>0</v>
      </c>
      <c r="M327" s="124" t="n">
        <f aca="false">SUM(J$280:J327)</f>
        <v>16867</v>
      </c>
      <c r="N327" s="124" t="n">
        <f aca="false">SUM(J$6:J327)</f>
        <v>982326.940417803</v>
      </c>
      <c r="P327" s="124" t="n">
        <f aca="false">D327/P$3</f>
        <v>0</v>
      </c>
      <c r="Q327" s="124" t="n">
        <f aca="false">E327/P$3</f>
        <v>0</v>
      </c>
      <c r="R327" s="124" t="n">
        <f aca="false">F327/R$3</f>
        <v>0</v>
      </c>
      <c r="S327" s="126" t="n">
        <f aca="false">J327/$R$3</f>
        <v>0</v>
      </c>
      <c r="T327" s="126" t="n">
        <f aca="false">L327/$R$3</f>
        <v>0</v>
      </c>
      <c r="U327" s="126" t="n">
        <f aca="false">I327/$R$3</f>
        <v>0.971</v>
      </c>
      <c r="V327" s="126" t="n">
        <f aca="false">M327/$R$3</f>
        <v>16.867</v>
      </c>
      <c r="W327" s="126" t="n">
        <f aca="false">N327/$R$3</f>
        <v>982.326940417803</v>
      </c>
    </row>
    <row r="328" customFormat="false" ht="12.75" hidden="false" customHeight="false" outlineLevel="0" collapsed="false">
      <c r="A328" s="120" t="n">
        <f aca="false">A327+1</f>
        <v>37214</v>
      </c>
      <c r="B328" s="131" t="str">
        <f aca="false">INDEX('Master Data'!$A$2:$B$8,MATCH(WEEKDAY('EZE Power Trading'!A328,3),'Master Data'!$A$2:$A$8,0),2)</f>
        <v>M</v>
      </c>
      <c r="D328" s="124" t="n">
        <v>0</v>
      </c>
      <c r="E328" s="124" t="n">
        <v>0</v>
      </c>
      <c r="F328" s="124" t="n">
        <v>0</v>
      </c>
      <c r="G328" s="124" t="n">
        <v>0</v>
      </c>
      <c r="I328" s="124" t="n">
        <f aca="false">IF(MONTH($A328)=MONTH($A327),IF(G328=0,I327,G328),G328)</f>
        <v>971</v>
      </c>
      <c r="J328" s="124" t="n">
        <f aca="false">IF(MONTH($A328)=MONTH($A327),SUM(I328-I327),I328)</f>
        <v>0</v>
      </c>
      <c r="K328" s="124" t="n">
        <f aca="false">IF(WEEKDAY(A328,3)&gt;4,0,(IF(A328&lt;K$2,0,IF(A328&lt;=K$3,1,0))))</f>
        <v>0</v>
      </c>
      <c r="L328" s="124" t="n">
        <f aca="false">J328*K328</f>
        <v>0</v>
      </c>
      <c r="M328" s="124" t="n">
        <f aca="false">SUM(J$280:J328)</f>
        <v>16867</v>
      </c>
      <c r="N328" s="124" t="n">
        <f aca="false">SUM(J$6:J328)</f>
        <v>982326.940417803</v>
      </c>
      <c r="P328" s="124" t="n">
        <f aca="false">D328/P$3</f>
        <v>0</v>
      </c>
      <c r="Q328" s="124" t="n">
        <f aca="false">E328/P$3</f>
        <v>0</v>
      </c>
      <c r="R328" s="124" t="n">
        <f aca="false">F328/R$3</f>
        <v>0</v>
      </c>
      <c r="S328" s="126" t="n">
        <f aca="false">J328/$R$3</f>
        <v>0</v>
      </c>
      <c r="T328" s="126" t="n">
        <f aca="false">L328/$R$3</f>
        <v>0</v>
      </c>
      <c r="U328" s="126" t="n">
        <f aca="false">I328/$R$3</f>
        <v>0.971</v>
      </c>
      <c r="V328" s="126" t="n">
        <f aca="false">M328/$R$3</f>
        <v>16.867</v>
      </c>
      <c r="W328" s="126" t="n">
        <f aca="false">N328/$R$3</f>
        <v>982.326940417803</v>
      </c>
    </row>
    <row r="329" customFormat="false" ht="12.75" hidden="false" customHeight="false" outlineLevel="0" collapsed="false">
      <c r="A329" s="120" t="n">
        <f aca="false">A328+1</f>
        <v>37215</v>
      </c>
      <c r="B329" s="131" t="str">
        <f aca="false">INDEX('Master Data'!$A$2:$B$8,MATCH(WEEKDAY('EZE Power Trading'!A329,3),'Master Data'!$A$2:$A$8,0),2)</f>
        <v>T</v>
      </c>
      <c r="D329" s="124" t="n">
        <v>0</v>
      </c>
      <c r="E329" s="124" t="n">
        <v>0</v>
      </c>
      <c r="F329" s="124" t="n">
        <v>0</v>
      </c>
      <c r="G329" s="124" t="n">
        <v>0</v>
      </c>
      <c r="I329" s="124" t="n">
        <f aca="false">IF(MONTH($A329)=MONTH($A328),IF(G329=0,I328,G329),G329)</f>
        <v>971</v>
      </c>
      <c r="J329" s="124" t="n">
        <f aca="false">IF(MONTH($A329)=MONTH($A328),SUM(I329-I328),I329)</f>
        <v>0</v>
      </c>
      <c r="K329" s="124" t="n">
        <f aca="false">IF(WEEKDAY(A329,3)&gt;4,0,(IF(A329&lt;K$2,0,IF(A329&lt;=K$3,1,0))))</f>
        <v>0</v>
      </c>
      <c r="L329" s="124" t="n">
        <f aca="false">J329*K329</f>
        <v>0</v>
      </c>
      <c r="M329" s="124" t="n">
        <f aca="false">SUM(J$280:J329)</f>
        <v>16867</v>
      </c>
      <c r="N329" s="124" t="n">
        <f aca="false">SUM(J$6:J329)</f>
        <v>982326.940417803</v>
      </c>
      <c r="P329" s="124" t="n">
        <f aca="false">D329/P$3</f>
        <v>0</v>
      </c>
      <c r="Q329" s="124" t="n">
        <f aca="false">E329/P$3</f>
        <v>0</v>
      </c>
      <c r="R329" s="124" t="n">
        <f aca="false">F329/R$3</f>
        <v>0</v>
      </c>
      <c r="S329" s="126" t="n">
        <f aca="false">J329/$R$3</f>
        <v>0</v>
      </c>
      <c r="T329" s="126" t="n">
        <f aca="false">L329/$R$3</f>
        <v>0</v>
      </c>
      <c r="U329" s="126" t="n">
        <f aca="false">I329/$R$3</f>
        <v>0.971</v>
      </c>
      <c r="V329" s="126" t="n">
        <f aca="false">M329/$R$3</f>
        <v>16.867</v>
      </c>
      <c r="W329" s="126" t="n">
        <f aca="false">N329/$R$3</f>
        <v>982.326940417803</v>
      </c>
    </row>
    <row r="330" customFormat="false" ht="12.75" hidden="false" customHeight="false" outlineLevel="0" collapsed="false">
      <c r="A330" s="120" t="n">
        <f aca="false">A329+1</f>
        <v>37216</v>
      </c>
      <c r="B330" s="131" t="str">
        <f aca="false">INDEX('Master Data'!$A$2:$B$8,MATCH(WEEKDAY('EZE Power Trading'!A330,3),'Master Data'!$A$2:$A$8,0),2)</f>
        <v>W</v>
      </c>
      <c r="D330" s="124" t="n">
        <v>0</v>
      </c>
      <c r="E330" s="124" t="n">
        <v>0</v>
      </c>
      <c r="F330" s="124" t="n">
        <v>0</v>
      </c>
      <c r="G330" s="124" t="n">
        <v>0</v>
      </c>
      <c r="I330" s="124" t="n">
        <f aca="false">IF(MONTH($A330)=MONTH($A329),IF(G330=0,I329,G330),G330)</f>
        <v>971</v>
      </c>
      <c r="J330" s="124" t="n">
        <f aca="false">IF(MONTH($A330)=MONTH($A329),SUM(I330-I329),I330)</f>
        <v>0</v>
      </c>
      <c r="K330" s="124" t="n">
        <f aca="false">IF(WEEKDAY(A330,3)&gt;4,0,(IF(A330&lt;K$2,0,IF(A330&lt;=K$3,1,0))))</f>
        <v>0</v>
      </c>
      <c r="L330" s="124" t="n">
        <f aca="false">J330*K330</f>
        <v>0</v>
      </c>
      <c r="M330" s="124" t="n">
        <f aca="false">SUM(J$280:J330)</f>
        <v>16867</v>
      </c>
      <c r="N330" s="124" t="n">
        <f aca="false">SUM(J$6:J330)</f>
        <v>982326.940417803</v>
      </c>
      <c r="P330" s="124" t="n">
        <f aca="false">D330/P$3</f>
        <v>0</v>
      </c>
      <c r="Q330" s="124" t="n">
        <f aca="false">E330/P$3</f>
        <v>0</v>
      </c>
      <c r="R330" s="124" t="n">
        <f aca="false">F330/R$3</f>
        <v>0</v>
      </c>
      <c r="S330" s="126" t="n">
        <f aca="false">J330/$R$3</f>
        <v>0</v>
      </c>
      <c r="T330" s="126" t="n">
        <f aca="false">L330/$R$3</f>
        <v>0</v>
      </c>
      <c r="U330" s="126" t="n">
        <f aca="false">I330/$R$3</f>
        <v>0.971</v>
      </c>
      <c r="V330" s="126" t="n">
        <f aca="false">M330/$R$3</f>
        <v>16.867</v>
      </c>
      <c r="W330" s="126" t="n">
        <f aca="false">N330/$R$3</f>
        <v>982.326940417803</v>
      </c>
    </row>
    <row r="331" customFormat="false" ht="12.75" hidden="false" customHeight="false" outlineLevel="0" collapsed="false">
      <c r="A331" s="120" t="n">
        <f aca="false">A330+1</f>
        <v>37217</v>
      </c>
      <c r="B331" s="131" t="str">
        <f aca="false">INDEX('Master Data'!$A$2:$B$8,MATCH(WEEKDAY('EZE Power Trading'!A331,3),'Master Data'!$A$2:$A$8,0),2)</f>
        <v>Th</v>
      </c>
      <c r="D331" s="124" t="n">
        <v>0</v>
      </c>
      <c r="E331" s="124" t="n">
        <v>0</v>
      </c>
      <c r="F331" s="124" t="n">
        <v>0</v>
      </c>
      <c r="G331" s="124" t="n">
        <v>0</v>
      </c>
      <c r="I331" s="124" t="n">
        <f aca="false">IF(MONTH($A331)=MONTH($A330),IF(G331=0,I330,G331),G331)</f>
        <v>971</v>
      </c>
      <c r="J331" s="124" t="n">
        <f aca="false">IF(MONTH($A331)=MONTH($A330),SUM(I331-I330),I331)</f>
        <v>0</v>
      </c>
      <c r="K331" s="124" t="n">
        <f aca="false">IF(WEEKDAY(A331,3)&gt;4,0,(IF(A331&lt;K$2,0,IF(A331&lt;=K$3,1,0))))</f>
        <v>0</v>
      </c>
      <c r="L331" s="124" t="n">
        <f aca="false">J331*K331</f>
        <v>0</v>
      </c>
      <c r="M331" s="124" t="n">
        <f aca="false">SUM(J$280:J331)</f>
        <v>16867</v>
      </c>
      <c r="N331" s="124" t="n">
        <f aca="false">SUM(J$6:J331)</f>
        <v>982326.940417803</v>
      </c>
      <c r="P331" s="124" t="n">
        <f aca="false">D331/P$3</f>
        <v>0</v>
      </c>
      <c r="Q331" s="124" t="n">
        <f aca="false">E331/P$3</f>
        <v>0</v>
      </c>
      <c r="R331" s="124" t="n">
        <f aca="false">F331/R$3</f>
        <v>0</v>
      </c>
      <c r="S331" s="126" t="n">
        <f aca="false">J331/$R$3</f>
        <v>0</v>
      </c>
      <c r="T331" s="126" t="n">
        <f aca="false">L331/$R$3</f>
        <v>0</v>
      </c>
      <c r="U331" s="126" t="n">
        <f aca="false">I331/$R$3</f>
        <v>0.971</v>
      </c>
      <c r="V331" s="126" t="n">
        <f aca="false">M331/$R$3</f>
        <v>16.867</v>
      </c>
      <c r="W331" s="126" t="n">
        <f aca="false">N331/$R$3</f>
        <v>982.326940417803</v>
      </c>
    </row>
    <row r="332" customFormat="false" ht="12.75" hidden="false" customHeight="false" outlineLevel="0" collapsed="false">
      <c r="A332" s="120" t="n">
        <f aca="false">A331+1</f>
        <v>37218</v>
      </c>
      <c r="B332" s="131" t="str">
        <f aca="false">INDEX('Master Data'!$A$2:$B$8,MATCH(WEEKDAY('EZE Power Trading'!A332,3),'Master Data'!$A$2:$A$8,0),2)</f>
        <v>F</v>
      </c>
      <c r="D332" s="124" t="n">
        <v>0</v>
      </c>
      <c r="E332" s="124" t="n">
        <v>0</v>
      </c>
      <c r="F332" s="124" t="n">
        <v>0</v>
      </c>
      <c r="G332" s="124" t="n">
        <v>0</v>
      </c>
      <c r="I332" s="124" t="n">
        <f aca="false">IF(MONTH($A332)=MONTH($A331),IF(G332=0,I331,G332),G332)</f>
        <v>971</v>
      </c>
      <c r="J332" s="124" t="n">
        <f aca="false">IF(MONTH($A332)=MONTH($A331),SUM(I332-I331),I332)</f>
        <v>0</v>
      </c>
      <c r="K332" s="124" t="n">
        <f aca="false">IF(WEEKDAY(A332,3)&gt;4,0,(IF(A332&lt;K$2,0,IF(A332&lt;=K$3,1,0))))</f>
        <v>0</v>
      </c>
      <c r="L332" s="124" t="n">
        <f aca="false">J332*K332</f>
        <v>0</v>
      </c>
      <c r="M332" s="124" t="n">
        <f aca="false">SUM(J$280:J332)</f>
        <v>16867</v>
      </c>
      <c r="N332" s="124" t="n">
        <f aca="false">SUM(J$6:J332)</f>
        <v>982326.940417803</v>
      </c>
      <c r="P332" s="124" t="n">
        <f aca="false">D332/P$3</f>
        <v>0</v>
      </c>
      <c r="Q332" s="124" t="n">
        <f aca="false">E332/P$3</f>
        <v>0</v>
      </c>
      <c r="R332" s="124" t="n">
        <f aca="false">F332/R$3</f>
        <v>0</v>
      </c>
      <c r="S332" s="126" t="n">
        <f aca="false">J332/$R$3</f>
        <v>0</v>
      </c>
      <c r="T332" s="126" t="n">
        <f aca="false">L332/$R$3</f>
        <v>0</v>
      </c>
      <c r="U332" s="126" t="n">
        <f aca="false">I332/$R$3</f>
        <v>0.971</v>
      </c>
      <c r="V332" s="126" t="n">
        <f aca="false">M332/$R$3</f>
        <v>16.867</v>
      </c>
      <c r="W332" s="126" t="n">
        <f aca="false">N332/$R$3</f>
        <v>982.326940417803</v>
      </c>
    </row>
    <row r="333" customFormat="false" ht="12.75" hidden="false" customHeight="false" outlineLevel="0" collapsed="false">
      <c r="A333" s="120" t="n">
        <f aca="false">A332+1</f>
        <v>37219</v>
      </c>
      <c r="B333" s="131" t="str">
        <f aca="false">INDEX('Master Data'!$A$2:$B$8,MATCH(WEEKDAY('EZE Power Trading'!A333,3),'Master Data'!$A$2:$A$8,0),2)</f>
        <v>Sa</v>
      </c>
      <c r="D333" s="124" t="n">
        <v>0</v>
      </c>
      <c r="E333" s="124" t="n">
        <v>0</v>
      </c>
      <c r="F333" s="124" t="n">
        <v>0</v>
      </c>
      <c r="G333" s="124" t="n">
        <v>0</v>
      </c>
      <c r="I333" s="124" t="n">
        <f aca="false">IF(MONTH($A333)=MONTH($A332),IF(G333=0,I332,G333),G333)</f>
        <v>971</v>
      </c>
      <c r="J333" s="124" t="n">
        <f aca="false">IF(MONTH($A333)=MONTH($A332),SUM(I333-I332),I333)</f>
        <v>0</v>
      </c>
      <c r="K333" s="124" t="n">
        <f aca="false">IF(WEEKDAY(A333,3)&gt;4,0,(IF(A333&lt;K$2,0,IF(A333&lt;=K$3,1,0))))</f>
        <v>0</v>
      </c>
      <c r="L333" s="124" t="n">
        <f aca="false">J333*K333</f>
        <v>0</v>
      </c>
      <c r="M333" s="124" t="n">
        <f aca="false">SUM(J$280:J333)</f>
        <v>16867</v>
      </c>
      <c r="N333" s="124" t="n">
        <f aca="false">SUM(J$6:J333)</f>
        <v>982326.940417803</v>
      </c>
      <c r="P333" s="124" t="n">
        <f aca="false">D333/P$3</f>
        <v>0</v>
      </c>
      <c r="Q333" s="124" t="n">
        <f aca="false">E333/P$3</f>
        <v>0</v>
      </c>
      <c r="R333" s="124" t="n">
        <f aca="false">F333/R$3</f>
        <v>0</v>
      </c>
      <c r="S333" s="126" t="n">
        <f aca="false">J333/$R$3</f>
        <v>0</v>
      </c>
      <c r="T333" s="126" t="n">
        <f aca="false">L333/$R$3</f>
        <v>0</v>
      </c>
      <c r="U333" s="126" t="n">
        <f aca="false">I333/$R$3</f>
        <v>0.971</v>
      </c>
      <c r="V333" s="126" t="n">
        <f aca="false">M333/$R$3</f>
        <v>16.867</v>
      </c>
      <c r="W333" s="126" t="n">
        <f aca="false">N333/$R$3</f>
        <v>982.326940417803</v>
      </c>
    </row>
    <row r="334" customFormat="false" ht="12.75" hidden="false" customHeight="false" outlineLevel="0" collapsed="false">
      <c r="A334" s="120" t="n">
        <f aca="false">A333+1</f>
        <v>37220</v>
      </c>
      <c r="B334" s="131" t="str">
        <f aca="false">INDEX('Master Data'!$A$2:$B$8,MATCH(WEEKDAY('EZE Power Trading'!A334,3),'Master Data'!$A$2:$A$8,0),2)</f>
        <v>Su</v>
      </c>
      <c r="D334" s="124" t="n">
        <v>0</v>
      </c>
      <c r="E334" s="124" t="n">
        <v>0</v>
      </c>
      <c r="F334" s="124" t="n">
        <v>0</v>
      </c>
      <c r="G334" s="124" t="n">
        <v>0</v>
      </c>
      <c r="I334" s="124" t="n">
        <f aca="false">IF(MONTH($A334)=MONTH($A333),IF(G334=0,I333,G334),G334)</f>
        <v>971</v>
      </c>
      <c r="J334" s="124" t="n">
        <f aca="false">IF(MONTH($A334)=MONTH($A333),SUM(I334-I333),I334)</f>
        <v>0</v>
      </c>
      <c r="K334" s="124" t="n">
        <f aca="false">IF(WEEKDAY(A334,3)&gt;4,0,(IF(A334&lt;K$2,0,IF(A334&lt;=K$3,1,0))))</f>
        <v>0</v>
      </c>
      <c r="L334" s="124" t="n">
        <f aca="false">J334*K334</f>
        <v>0</v>
      </c>
      <c r="M334" s="124" t="n">
        <f aca="false">SUM(J$280:J334)</f>
        <v>16867</v>
      </c>
      <c r="N334" s="124" t="n">
        <f aca="false">SUM(J$6:J334)</f>
        <v>982326.940417803</v>
      </c>
      <c r="P334" s="124" t="n">
        <f aca="false">D334/P$3</f>
        <v>0</v>
      </c>
      <c r="Q334" s="124" t="n">
        <f aca="false">E334/P$3</f>
        <v>0</v>
      </c>
      <c r="R334" s="124" t="n">
        <f aca="false">F334/R$3</f>
        <v>0</v>
      </c>
      <c r="S334" s="126" t="n">
        <f aca="false">J334/$R$3</f>
        <v>0</v>
      </c>
      <c r="T334" s="126" t="n">
        <f aca="false">L334/$R$3</f>
        <v>0</v>
      </c>
      <c r="U334" s="126" t="n">
        <f aca="false">I334/$R$3</f>
        <v>0.971</v>
      </c>
      <c r="V334" s="126" t="n">
        <f aca="false">M334/$R$3</f>
        <v>16.867</v>
      </c>
      <c r="W334" s="126" t="n">
        <f aca="false">N334/$R$3</f>
        <v>982.326940417803</v>
      </c>
    </row>
    <row r="335" customFormat="false" ht="12.75" hidden="false" customHeight="false" outlineLevel="0" collapsed="false">
      <c r="A335" s="120" t="n">
        <f aca="false">A334+1</f>
        <v>37221</v>
      </c>
      <c r="B335" s="131" t="str">
        <f aca="false">INDEX('Master Data'!$A$2:$B$8,MATCH(WEEKDAY('EZE Power Trading'!A335,3),'Master Data'!$A$2:$A$8,0),2)</f>
        <v>M</v>
      </c>
      <c r="D335" s="124" t="n">
        <v>0</v>
      </c>
      <c r="E335" s="124" t="n">
        <v>0</v>
      </c>
      <c r="F335" s="124" t="n">
        <v>0</v>
      </c>
      <c r="G335" s="124" t="n">
        <v>0</v>
      </c>
      <c r="I335" s="124" t="n">
        <f aca="false">IF(MONTH($A335)=MONTH($A334),IF(G335=0,I334,G335),G335)</f>
        <v>971</v>
      </c>
      <c r="J335" s="124" t="n">
        <f aca="false">IF(MONTH($A335)=MONTH($A334),SUM(I335-I334),I335)</f>
        <v>0</v>
      </c>
      <c r="K335" s="124" t="n">
        <f aca="false">IF(WEEKDAY(A335,3)&gt;4,0,(IF(A335&lt;K$2,0,IF(A335&lt;=K$3,1,0))))</f>
        <v>0</v>
      </c>
      <c r="L335" s="124" t="n">
        <f aca="false">J335*K335</f>
        <v>0</v>
      </c>
      <c r="M335" s="124" t="n">
        <f aca="false">SUM(J$280:J335)</f>
        <v>16867</v>
      </c>
      <c r="N335" s="124" t="n">
        <f aca="false">SUM(J$6:J335)</f>
        <v>982326.940417803</v>
      </c>
      <c r="P335" s="124" t="n">
        <f aca="false">D335/P$3</f>
        <v>0</v>
      </c>
      <c r="Q335" s="124" t="n">
        <f aca="false">E335/P$3</f>
        <v>0</v>
      </c>
      <c r="R335" s="124" t="n">
        <f aca="false">F335/R$3</f>
        <v>0</v>
      </c>
      <c r="S335" s="126" t="n">
        <f aca="false">J335/$R$3</f>
        <v>0</v>
      </c>
      <c r="T335" s="126" t="n">
        <f aca="false">L335/$R$3</f>
        <v>0</v>
      </c>
      <c r="U335" s="126" t="n">
        <f aca="false">I335/$R$3</f>
        <v>0.971</v>
      </c>
      <c r="V335" s="126" t="n">
        <f aca="false">M335/$R$3</f>
        <v>16.867</v>
      </c>
      <c r="W335" s="126" t="n">
        <f aca="false">N335/$R$3</f>
        <v>982.326940417803</v>
      </c>
    </row>
    <row r="336" customFormat="false" ht="12.75" hidden="false" customHeight="false" outlineLevel="0" collapsed="false">
      <c r="A336" s="120" t="n">
        <f aca="false">A335+1</f>
        <v>37222</v>
      </c>
      <c r="B336" s="131" t="str">
        <f aca="false">INDEX('Master Data'!$A$2:$B$8,MATCH(WEEKDAY('EZE Power Trading'!A336,3),'Master Data'!$A$2:$A$8,0),2)</f>
        <v>T</v>
      </c>
      <c r="D336" s="124" t="n">
        <v>0</v>
      </c>
      <c r="E336" s="124" t="n">
        <v>0</v>
      </c>
      <c r="F336" s="124" t="n">
        <v>0</v>
      </c>
      <c r="G336" s="124" t="n">
        <v>0</v>
      </c>
      <c r="I336" s="124" t="n">
        <f aca="false">IF(MONTH($A336)=MONTH($A335),IF(G336=0,I335,G336),G336)</f>
        <v>971</v>
      </c>
      <c r="J336" s="124" t="n">
        <f aca="false">IF(MONTH($A336)=MONTH($A335),SUM(I336-I335),I336)</f>
        <v>0</v>
      </c>
      <c r="K336" s="124" t="n">
        <f aca="false">IF(WEEKDAY(A336,3)&gt;4,0,(IF(A336&lt;K$2,0,IF(A336&lt;=K$3,1,0))))</f>
        <v>0</v>
      </c>
      <c r="L336" s="124" t="n">
        <f aca="false">J336*K336</f>
        <v>0</v>
      </c>
      <c r="M336" s="124" t="n">
        <f aca="false">SUM(J$280:J336)</f>
        <v>16867</v>
      </c>
      <c r="N336" s="124" t="n">
        <f aca="false">SUM(J$6:J336)</f>
        <v>982326.940417803</v>
      </c>
      <c r="P336" s="124" t="n">
        <f aca="false">D336/P$3</f>
        <v>0</v>
      </c>
      <c r="Q336" s="124" t="n">
        <f aca="false">E336/P$3</f>
        <v>0</v>
      </c>
      <c r="R336" s="124" t="n">
        <f aca="false">F336/R$3</f>
        <v>0</v>
      </c>
      <c r="S336" s="126" t="n">
        <f aca="false">J336/$R$3</f>
        <v>0</v>
      </c>
      <c r="T336" s="126" t="n">
        <f aca="false">L336/$R$3</f>
        <v>0</v>
      </c>
      <c r="U336" s="126" t="n">
        <f aca="false">I336/$R$3</f>
        <v>0.971</v>
      </c>
      <c r="V336" s="126" t="n">
        <f aca="false">M336/$R$3</f>
        <v>16.867</v>
      </c>
      <c r="W336" s="126" t="n">
        <f aca="false">N336/$R$3</f>
        <v>982.326940417803</v>
      </c>
    </row>
    <row r="337" customFormat="false" ht="12.75" hidden="false" customHeight="false" outlineLevel="0" collapsed="false">
      <c r="A337" s="120" t="n">
        <f aca="false">A336+1</f>
        <v>37223</v>
      </c>
      <c r="B337" s="131" t="str">
        <f aca="false">INDEX('Master Data'!$A$2:$B$8,MATCH(WEEKDAY('EZE Power Trading'!A337,3),'Master Data'!$A$2:$A$8,0),2)</f>
        <v>W</v>
      </c>
      <c r="D337" s="124" t="n">
        <v>0</v>
      </c>
      <c r="E337" s="124" t="n">
        <v>0</v>
      </c>
      <c r="F337" s="124" t="n">
        <v>0</v>
      </c>
      <c r="G337" s="124" t="n">
        <v>0</v>
      </c>
      <c r="I337" s="124" t="n">
        <f aca="false">IF(MONTH($A337)=MONTH($A336),IF(G337=0,I336,G337),G337)</f>
        <v>971</v>
      </c>
      <c r="J337" s="124" t="n">
        <f aca="false">IF(MONTH($A337)=MONTH($A336),SUM(I337-I336),I337)</f>
        <v>0</v>
      </c>
      <c r="K337" s="124" t="n">
        <f aca="false">IF(WEEKDAY(A337,3)&gt;4,0,(IF(A337&lt;K$2,0,IF(A337&lt;=K$3,1,0))))</f>
        <v>0</v>
      </c>
      <c r="L337" s="124" t="n">
        <f aca="false">J337*K337</f>
        <v>0</v>
      </c>
      <c r="M337" s="124" t="n">
        <f aca="false">SUM(J$280:J337)</f>
        <v>16867</v>
      </c>
      <c r="N337" s="124" t="n">
        <f aca="false">SUM(J$6:J337)</f>
        <v>982326.940417803</v>
      </c>
      <c r="P337" s="124" t="n">
        <f aca="false">D337/P$3</f>
        <v>0</v>
      </c>
      <c r="Q337" s="124" t="n">
        <f aca="false">E337/P$3</f>
        <v>0</v>
      </c>
      <c r="R337" s="124" t="n">
        <f aca="false">F337/R$3</f>
        <v>0</v>
      </c>
      <c r="S337" s="126" t="n">
        <f aca="false">J337/$R$3</f>
        <v>0</v>
      </c>
      <c r="T337" s="126" t="n">
        <f aca="false">L337/$R$3</f>
        <v>0</v>
      </c>
      <c r="U337" s="126" t="n">
        <f aca="false">I337/$R$3</f>
        <v>0.971</v>
      </c>
      <c r="V337" s="126" t="n">
        <f aca="false">M337/$R$3</f>
        <v>16.867</v>
      </c>
      <c r="W337" s="126" t="n">
        <f aca="false">N337/$R$3</f>
        <v>982.326940417803</v>
      </c>
    </row>
    <row r="338" customFormat="false" ht="12.75" hidden="false" customHeight="false" outlineLevel="0" collapsed="false">
      <c r="A338" s="120" t="n">
        <f aca="false">A337+1</f>
        <v>37224</v>
      </c>
      <c r="B338" s="131" t="str">
        <f aca="false">INDEX('Master Data'!$A$2:$B$8,MATCH(WEEKDAY('EZE Power Trading'!A338,3),'Master Data'!$A$2:$A$8,0),2)</f>
        <v>Th</v>
      </c>
      <c r="D338" s="124" t="n">
        <v>0</v>
      </c>
      <c r="E338" s="124" t="n">
        <v>0</v>
      </c>
      <c r="F338" s="124" t="n">
        <v>0</v>
      </c>
      <c r="G338" s="124" t="n">
        <v>0</v>
      </c>
      <c r="I338" s="124" t="n">
        <f aca="false">IF(MONTH($A338)=MONTH($A337),IF(G338=0,I337,G338),G338)</f>
        <v>971</v>
      </c>
      <c r="J338" s="124" t="n">
        <f aca="false">IF(MONTH($A338)=MONTH($A337),SUM(I338-I337),I338)</f>
        <v>0</v>
      </c>
      <c r="K338" s="124" t="n">
        <f aca="false">IF(WEEKDAY(A338,3)&gt;4,0,(IF(A338&lt;K$2,0,IF(A338&lt;=K$3,1,0))))</f>
        <v>0</v>
      </c>
      <c r="L338" s="124" t="n">
        <f aca="false">J338*K338</f>
        <v>0</v>
      </c>
      <c r="M338" s="124" t="n">
        <f aca="false">SUM(J$280:J338)</f>
        <v>16867</v>
      </c>
      <c r="N338" s="124" t="n">
        <f aca="false">SUM(J$6:J338)</f>
        <v>982326.940417803</v>
      </c>
      <c r="P338" s="124" t="n">
        <f aca="false">D338/P$3</f>
        <v>0</v>
      </c>
      <c r="Q338" s="124" t="n">
        <f aca="false">E338/P$3</f>
        <v>0</v>
      </c>
      <c r="R338" s="124" t="n">
        <f aca="false">F338/R$3</f>
        <v>0</v>
      </c>
      <c r="S338" s="126" t="n">
        <f aca="false">J338/$R$3</f>
        <v>0</v>
      </c>
      <c r="T338" s="126" t="n">
        <f aca="false">L338/$R$3</f>
        <v>0</v>
      </c>
      <c r="U338" s="126" t="n">
        <f aca="false">I338/$R$3</f>
        <v>0.971</v>
      </c>
      <c r="V338" s="126" t="n">
        <f aca="false">M338/$R$3</f>
        <v>16.867</v>
      </c>
      <c r="W338" s="126" t="n">
        <f aca="false">N338/$R$3</f>
        <v>982.326940417803</v>
      </c>
    </row>
    <row r="339" customFormat="false" ht="12.75" hidden="false" customHeight="false" outlineLevel="0" collapsed="false">
      <c r="A339" s="120" t="n">
        <f aca="false">A338+1</f>
        <v>37225</v>
      </c>
      <c r="B339" s="131" t="str">
        <f aca="false">INDEX('Master Data'!$A$2:$B$8,MATCH(WEEKDAY('EZE Power Trading'!A339,3),'Master Data'!$A$2:$A$8,0),2)</f>
        <v>F</v>
      </c>
      <c r="D339" s="124" t="n">
        <v>0</v>
      </c>
      <c r="E339" s="124" t="n">
        <v>0</v>
      </c>
      <c r="F339" s="124" t="n">
        <v>0</v>
      </c>
      <c r="G339" s="124" t="n">
        <v>0</v>
      </c>
      <c r="I339" s="124" t="n">
        <f aca="false">IF(MONTH($A339)=MONTH($A338),IF(G339=0,I338,G339),G339)</f>
        <v>971</v>
      </c>
      <c r="J339" s="124" t="n">
        <f aca="false">IF(MONTH($A339)=MONTH($A338),SUM(I339-I338),I339)</f>
        <v>0</v>
      </c>
      <c r="K339" s="124" t="n">
        <f aca="false">IF(WEEKDAY(A339,3)&gt;4,0,(IF(A339&lt;K$2,0,IF(A339&lt;=K$3,1,0))))</f>
        <v>0</v>
      </c>
      <c r="L339" s="124" t="n">
        <f aca="false">J339*K339</f>
        <v>0</v>
      </c>
      <c r="M339" s="124" t="n">
        <f aca="false">SUM(J$280:J339)</f>
        <v>16867</v>
      </c>
      <c r="N339" s="124" t="n">
        <f aca="false">SUM(J$6:J339)</f>
        <v>982326.940417803</v>
      </c>
      <c r="P339" s="124" t="n">
        <f aca="false">D339/P$3</f>
        <v>0</v>
      </c>
      <c r="Q339" s="124" t="n">
        <f aca="false">E339/P$3</f>
        <v>0</v>
      </c>
      <c r="R339" s="124" t="n">
        <f aca="false">F339/R$3</f>
        <v>0</v>
      </c>
      <c r="S339" s="126" t="n">
        <f aca="false">J339/$R$3</f>
        <v>0</v>
      </c>
      <c r="T339" s="126" t="n">
        <f aca="false">L339/$R$3</f>
        <v>0</v>
      </c>
      <c r="U339" s="126" t="n">
        <f aca="false">I339/$R$3</f>
        <v>0.971</v>
      </c>
      <c r="V339" s="126" t="n">
        <f aca="false">M339/$R$3</f>
        <v>16.867</v>
      </c>
      <c r="W339" s="126" t="n">
        <f aca="false">N339/$R$3</f>
        <v>982.326940417803</v>
      </c>
    </row>
    <row r="340" customFormat="false" ht="12.75" hidden="false" customHeight="false" outlineLevel="0" collapsed="false">
      <c r="A340" s="120" t="n">
        <f aca="false">A339+1</f>
        <v>37226</v>
      </c>
      <c r="B340" s="131" t="str">
        <f aca="false">INDEX('Master Data'!$A$2:$B$8,MATCH(WEEKDAY('EZE Power Trading'!A340,3),'Master Data'!$A$2:$A$8,0),2)</f>
        <v>Sa</v>
      </c>
      <c r="D340" s="124" t="n">
        <v>0</v>
      </c>
      <c r="E340" s="124" t="n">
        <v>0</v>
      </c>
      <c r="F340" s="124" t="n">
        <v>0</v>
      </c>
      <c r="G340" s="124" t="n">
        <v>0</v>
      </c>
      <c r="I340" s="124" t="n">
        <f aca="false">IF(MONTH($A340)=MONTH($A339),IF(G340=0,I339,G340),G340)</f>
        <v>0</v>
      </c>
      <c r="J340" s="124" t="n">
        <f aca="false">IF(MONTH($A340)=MONTH($A339),SUM(I340-I339),I340)</f>
        <v>0</v>
      </c>
      <c r="K340" s="124" t="n">
        <f aca="false">IF(WEEKDAY(A340,3)&gt;4,0,(IF(A340&lt;K$2,0,IF(A340&lt;=K$3,1,0))))</f>
        <v>0</v>
      </c>
      <c r="L340" s="124" t="n">
        <f aca="false">J340*K340</f>
        <v>0</v>
      </c>
      <c r="M340" s="124" t="n">
        <f aca="false">SUM(J$280:J340)</f>
        <v>16867</v>
      </c>
      <c r="N340" s="124" t="n">
        <f aca="false">SUM(J$6:J340)</f>
        <v>982326.940417803</v>
      </c>
      <c r="P340" s="124" t="n">
        <f aca="false">D340/P$3</f>
        <v>0</v>
      </c>
      <c r="Q340" s="124" t="n">
        <f aca="false">E340/P$3</f>
        <v>0</v>
      </c>
      <c r="R340" s="124" t="n">
        <f aca="false">F340/R$3</f>
        <v>0</v>
      </c>
      <c r="S340" s="126" t="n">
        <f aca="false">J340/$R$3</f>
        <v>0</v>
      </c>
      <c r="T340" s="126" t="n">
        <f aca="false">L340/$R$3</f>
        <v>0</v>
      </c>
      <c r="U340" s="126" t="n">
        <f aca="false">I340/$R$3</f>
        <v>0</v>
      </c>
      <c r="V340" s="126" t="n">
        <f aca="false">M340/$R$3</f>
        <v>16.867</v>
      </c>
      <c r="W340" s="126" t="n">
        <f aca="false">N340/$R$3</f>
        <v>982.326940417803</v>
      </c>
    </row>
    <row r="341" customFormat="false" ht="12.75" hidden="false" customHeight="false" outlineLevel="0" collapsed="false">
      <c r="A341" s="120" t="n">
        <f aca="false">A340+1</f>
        <v>37227</v>
      </c>
      <c r="B341" s="131" t="str">
        <f aca="false">INDEX('Master Data'!$A$2:$B$8,MATCH(WEEKDAY('EZE Power Trading'!A341,3),'Master Data'!$A$2:$A$8,0),2)</f>
        <v>Su</v>
      </c>
      <c r="D341" s="124" t="n">
        <v>0</v>
      </c>
      <c r="E341" s="124" t="n">
        <v>0</v>
      </c>
      <c r="F341" s="124" t="n">
        <v>0</v>
      </c>
      <c r="G341" s="124" t="n">
        <v>0</v>
      </c>
      <c r="I341" s="124" t="n">
        <f aca="false">IF(MONTH($A341)=MONTH($A340),IF(G341=0,I340,G341),G341)</f>
        <v>0</v>
      </c>
      <c r="J341" s="124" t="n">
        <f aca="false">IF(MONTH($A341)=MONTH($A340),SUM(I341-I340),I341)</f>
        <v>0</v>
      </c>
      <c r="K341" s="124" t="n">
        <f aca="false">IF(WEEKDAY(A341,3)&gt;4,0,(IF(A341&lt;K$2,0,IF(A341&lt;=K$3,1,0))))</f>
        <v>0</v>
      </c>
      <c r="L341" s="124" t="n">
        <f aca="false">J341*K341</f>
        <v>0</v>
      </c>
      <c r="M341" s="124" t="n">
        <f aca="false">SUM(J$280:J341)</f>
        <v>16867</v>
      </c>
      <c r="N341" s="124" t="n">
        <f aca="false">SUM(J$6:J341)</f>
        <v>982326.940417803</v>
      </c>
      <c r="P341" s="124" t="n">
        <f aca="false">D341/P$3</f>
        <v>0</v>
      </c>
      <c r="Q341" s="124" t="n">
        <f aca="false">E341/P$3</f>
        <v>0</v>
      </c>
      <c r="R341" s="124" t="n">
        <f aca="false">F341/R$3</f>
        <v>0</v>
      </c>
      <c r="S341" s="126" t="n">
        <f aca="false">J341/$R$3</f>
        <v>0</v>
      </c>
      <c r="T341" s="126" t="n">
        <f aca="false">L341/$R$3</f>
        <v>0</v>
      </c>
      <c r="U341" s="126" t="n">
        <f aca="false">I341/$R$3</f>
        <v>0</v>
      </c>
      <c r="V341" s="126" t="n">
        <f aca="false">M341/$R$3</f>
        <v>16.867</v>
      </c>
      <c r="W341" s="126" t="n">
        <f aca="false">N341/$R$3</f>
        <v>982.326940417803</v>
      </c>
    </row>
    <row r="342" customFormat="false" ht="12.75" hidden="false" customHeight="false" outlineLevel="0" collapsed="false">
      <c r="A342" s="120" t="n">
        <f aca="false">A341+1</f>
        <v>37228</v>
      </c>
      <c r="B342" s="131" t="str">
        <f aca="false">INDEX('Master Data'!$A$2:$B$8,MATCH(WEEKDAY('EZE Power Trading'!A342,3),'Master Data'!$A$2:$A$8,0),2)</f>
        <v>M</v>
      </c>
      <c r="D342" s="124" t="n">
        <v>0</v>
      </c>
      <c r="E342" s="124" t="n">
        <v>0</v>
      </c>
      <c r="F342" s="124" t="n">
        <v>0</v>
      </c>
      <c r="G342" s="124" t="n">
        <v>0</v>
      </c>
      <c r="I342" s="124" t="n">
        <f aca="false">IF(MONTH($A342)=MONTH($A341),IF(G342=0,I341,G342),G342)</f>
        <v>0</v>
      </c>
      <c r="J342" s="124" t="n">
        <f aca="false">IF(MONTH($A342)=MONTH($A341),SUM(I342-I341),I342)</f>
        <v>0</v>
      </c>
      <c r="K342" s="124" t="n">
        <f aca="false">IF(WEEKDAY(A342,3)&gt;4,0,(IF(A342&lt;K$2,0,IF(A342&lt;=K$3,1,0))))</f>
        <v>0</v>
      </c>
      <c r="L342" s="124" t="n">
        <f aca="false">J342*K342</f>
        <v>0</v>
      </c>
      <c r="M342" s="124" t="n">
        <f aca="false">SUM(J$280:J342)</f>
        <v>16867</v>
      </c>
      <c r="N342" s="124" t="n">
        <f aca="false">SUM(J$6:J342)</f>
        <v>982326.940417803</v>
      </c>
      <c r="P342" s="124" t="n">
        <f aca="false">D342/P$3</f>
        <v>0</v>
      </c>
      <c r="Q342" s="124" t="n">
        <f aca="false">E342/P$3</f>
        <v>0</v>
      </c>
      <c r="R342" s="124" t="n">
        <f aca="false">F342/R$3</f>
        <v>0</v>
      </c>
      <c r="S342" s="126" t="n">
        <f aca="false">J342/$R$3</f>
        <v>0</v>
      </c>
      <c r="T342" s="126" t="n">
        <f aca="false">L342/$R$3</f>
        <v>0</v>
      </c>
      <c r="U342" s="126" t="n">
        <f aca="false">I342/$R$3</f>
        <v>0</v>
      </c>
      <c r="V342" s="126" t="n">
        <f aca="false">M342/$R$3</f>
        <v>16.867</v>
      </c>
      <c r="W342" s="126" t="n">
        <f aca="false">N342/$R$3</f>
        <v>982.326940417803</v>
      </c>
    </row>
    <row r="343" customFormat="false" ht="12.75" hidden="false" customHeight="false" outlineLevel="0" collapsed="false">
      <c r="A343" s="120" t="n">
        <f aca="false">A342+1</f>
        <v>37229</v>
      </c>
      <c r="B343" s="131" t="str">
        <f aca="false">INDEX('Master Data'!$A$2:$B$8,MATCH(WEEKDAY('EZE Power Trading'!A343,3),'Master Data'!$A$2:$A$8,0),2)</f>
        <v>T</v>
      </c>
      <c r="D343" s="124" t="n">
        <v>0</v>
      </c>
      <c r="E343" s="124" t="n">
        <v>0</v>
      </c>
      <c r="F343" s="124" t="n">
        <v>0</v>
      </c>
      <c r="G343" s="124" t="n">
        <v>0</v>
      </c>
      <c r="I343" s="124" t="n">
        <f aca="false">IF(MONTH($A343)=MONTH($A342),IF(G343=0,I342,G343),G343)</f>
        <v>0</v>
      </c>
      <c r="J343" s="124" t="n">
        <f aca="false">IF(MONTH($A343)=MONTH($A342),SUM(I343-I342),I343)</f>
        <v>0</v>
      </c>
      <c r="K343" s="124" t="n">
        <f aca="false">IF(WEEKDAY(A343,3)&gt;4,0,(IF(A343&lt;K$2,0,IF(A343&lt;=K$3,1,0))))</f>
        <v>0</v>
      </c>
      <c r="L343" s="124" t="n">
        <f aca="false">J343*K343</f>
        <v>0</v>
      </c>
      <c r="M343" s="124" t="n">
        <f aca="false">SUM(J$280:J343)</f>
        <v>16867</v>
      </c>
      <c r="N343" s="124" t="n">
        <f aca="false">SUM(J$6:J343)</f>
        <v>982326.940417803</v>
      </c>
      <c r="P343" s="124" t="n">
        <f aca="false">D343/P$3</f>
        <v>0</v>
      </c>
      <c r="Q343" s="124" t="n">
        <f aca="false">E343/P$3</f>
        <v>0</v>
      </c>
      <c r="R343" s="124" t="n">
        <f aca="false">F343/R$3</f>
        <v>0</v>
      </c>
      <c r="S343" s="126" t="n">
        <f aca="false">J343/$R$3</f>
        <v>0</v>
      </c>
      <c r="T343" s="126" t="n">
        <f aca="false">L343/$R$3</f>
        <v>0</v>
      </c>
      <c r="U343" s="126" t="n">
        <f aca="false">I343/$R$3</f>
        <v>0</v>
      </c>
      <c r="V343" s="126" t="n">
        <f aca="false">M343/$R$3</f>
        <v>16.867</v>
      </c>
      <c r="W343" s="126" t="n">
        <f aca="false">N343/$R$3</f>
        <v>982.326940417803</v>
      </c>
    </row>
    <row r="344" customFormat="false" ht="12.75" hidden="false" customHeight="false" outlineLevel="0" collapsed="false">
      <c r="A344" s="120" t="n">
        <f aca="false">A343+1</f>
        <v>37230</v>
      </c>
      <c r="B344" s="131" t="str">
        <f aca="false">INDEX('Master Data'!$A$2:$B$8,MATCH(WEEKDAY('EZE Power Trading'!A344,3),'Master Data'!$A$2:$A$8,0),2)</f>
        <v>W</v>
      </c>
      <c r="D344" s="124" t="n">
        <v>0</v>
      </c>
      <c r="E344" s="124" t="n">
        <v>0</v>
      </c>
      <c r="F344" s="124" t="n">
        <v>0</v>
      </c>
      <c r="G344" s="124" t="n">
        <v>0</v>
      </c>
      <c r="I344" s="124" t="n">
        <f aca="false">IF(MONTH($A344)=MONTH($A343),IF(G344=0,I343,G344),G344)</f>
        <v>0</v>
      </c>
      <c r="J344" s="124" t="n">
        <f aca="false">IF(MONTH($A344)=MONTH($A343),SUM(I344-I343),I344)</f>
        <v>0</v>
      </c>
      <c r="K344" s="124" t="n">
        <f aca="false">IF(WEEKDAY(A344,3)&gt;4,0,(IF(A344&lt;K$2,0,IF(A344&lt;=K$3,1,0))))</f>
        <v>0</v>
      </c>
      <c r="L344" s="124" t="n">
        <f aca="false">J344*K344</f>
        <v>0</v>
      </c>
      <c r="M344" s="124" t="n">
        <f aca="false">SUM(J$280:J344)</f>
        <v>16867</v>
      </c>
      <c r="N344" s="124" t="n">
        <f aca="false">SUM(J$6:J344)</f>
        <v>982326.940417803</v>
      </c>
      <c r="P344" s="124" t="n">
        <f aca="false">D344/P$3</f>
        <v>0</v>
      </c>
      <c r="Q344" s="124" t="n">
        <f aca="false">E344/P$3</f>
        <v>0</v>
      </c>
      <c r="R344" s="124" t="n">
        <f aca="false">F344/R$3</f>
        <v>0</v>
      </c>
      <c r="S344" s="126" t="n">
        <f aca="false">J344/$R$3</f>
        <v>0</v>
      </c>
      <c r="T344" s="126" t="n">
        <f aca="false">L344/$R$3</f>
        <v>0</v>
      </c>
      <c r="U344" s="126" t="n">
        <f aca="false">I344/$R$3</f>
        <v>0</v>
      </c>
      <c r="V344" s="126" t="n">
        <f aca="false">M344/$R$3</f>
        <v>16.867</v>
      </c>
      <c r="W344" s="126" t="n">
        <f aca="false">N344/$R$3</f>
        <v>982.326940417803</v>
      </c>
    </row>
    <row r="345" customFormat="false" ht="12.75" hidden="false" customHeight="false" outlineLevel="0" collapsed="false">
      <c r="A345" s="120" t="n">
        <f aca="false">A344+1</f>
        <v>37231</v>
      </c>
      <c r="B345" s="131" t="str">
        <f aca="false">INDEX('Master Data'!$A$2:$B$8,MATCH(WEEKDAY('EZE Power Trading'!A345,3),'Master Data'!$A$2:$A$8,0),2)</f>
        <v>Th</v>
      </c>
      <c r="D345" s="124" t="n">
        <v>0</v>
      </c>
      <c r="E345" s="124" t="n">
        <v>0</v>
      </c>
      <c r="F345" s="124" t="n">
        <v>0</v>
      </c>
      <c r="G345" s="124" t="n">
        <v>0</v>
      </c>
      <c r="I345" s="124" t="n">
        <f aca="false">IF(MONTH($A345)=MONTH($A344),IF(G345=0,I344,G345),G345)</f>
        <v>0</v>
      </c>
      <c r="J345" s="124" t="n">
        <f aca="false">IF(MONTH($A345)=MONTH($A344),SUM(I345-I344),I345)</f>
        <v>0</v>
      </c>
      <c r="K345" s="124" t="n">
        <f aca="false">IF(WEEKDAY(A345,3)&gt;4,0,(IF(A345&lt;K$2,0,IF(A345&lt;=K$3,1,0))))</f>
        <v>0</v>
      </c>
      <c r="L345" s="124" t="n">
        <f aca="false">J345*K345</f>
        <v>0</v>
      </c>
      <c r="M345" s="124" t="n">
        <f aca="false">SUM(J$280:J345)</f>
        <v>16867</v>
      </c>
      <c r="N345" s="124" t="n">
        <f aca="false">SUM(J$6:J345)</f>
        <v>982326.940417803</v>
      </c>
      <c r="P345" s="124" t="n">
        <f aca="false">D345/P$3</f>
        <v>0</v>
      </c>
      <c r="Q345" s="124" t="n">
        <f aca="false">E345/P$3</f>
        <v>0</v>
      </c>
      <c r="R345" s="124" t="n">
        <f aca="false">F345/R$3</f>
        <v>0</v>
      </c>
      <c r="S345" s="126" t="n">
        <f aca="false">J345/$R$3</f>
        <v>0</v>
      </c>
      <c r="T345" s="126" t="n">
        <f aca="false">L345/$R$3</f>
        <v>0</v>
      </c>
      <c r="U345" s="126" t="n">
        <f aca="false">I345/$R$3</f>
        <v>0</v>
      </c>
      <c r="V345" s="126" t="n">
        <f aca="false">M345/$R$3</f>
        <v>16.867</v>
      </c>
      <c r="W345" s="126" t="n">
        <f aca="false">N345/$R$3</f>
        <v>982.326940417803</v>
      </c>
    </row>
    <row r="346" customFormat="false" ht="12.75" hidden="false" customHeight="false" outlineLevel="0" collapsed="false">
      <c r="A346" s="120" t="n">
        <f aca="false">A345+1</f>
        <v>37232</v>
      </c>
      <c r="B346" s="131" t="str">
        <f aca="false">INDEX('Master Data'!$A$2:$B$8,MATCH(WEEKDAY('EZE Power Trading'!A346,3),'Master Data'!$A$2:$A$8,0),2)</f>
        <v>F</v>
      </c>
      <c r="D346" s="124" t="n">
        <v>0</v>
      </c>
      <c r="E346" s="124" t="n">
        <v>0</v>
      </c>
      <c r="F346" s="124" t="n">
        <v>0</v>
      </c>
      <c r="G346" s="124" t="n">
        <v>0</v>
      </c>
      <c r="I346" s="124" t="n">
        <f aca="false">IF(MONTH($A346)=MONTH($A345),IF(G346=0,I345,G346),G346)</f>
        <v>0</v>
      </c>
      <c r="J346" s="124" t="n">
        <f aca="false">IF(MONTH($A346)=MONTH($A345),SUM(I346-I345),I346)</f>
        <v>0</v>
      </c>
      <c r="K346" s="124" t="n">
        <f aca="false">IF(WEEKDAY(A346,3)&gt;4,0,(IF(A346&lt;K$2,0,IF(A346&lt;=K$3,1,0))))</f>
        <v>0</v>
      </c>
      <c r="L346" s="124" t="n">
        <f aca="false">J346*K346</f>
        <v>0</v>
      </c>
      <c r="M346" s="124" t="n">
        <f aca="false">SUM(J$280:J346)</f>
        <v>16867</v>
      </c>
      <c r="N346" s="124" t="n">
        <f aca="false">SUM(J$6:J346)</f>
        <v>982326.940417803</v>
      </c>
      <c r="P346" s="124" t="n">
        <f aca="false">D346/P$3</f>
        <v>0</v>
      </c>
      <c r="Q346" s="124" t="n">
        <f aca="false">E346/P$3</f>
        <v>0</v>
      </c>
      <c r="R346" s="124" t="n">
        <f aca="false">F346/R$3</f>
        <v>0</v>
      </c>
      <c r="S346" s="126" t="n">
        <f aca="false">J346/$R$3</f>
        <v>0</v>
      </c>
      <c r="T346" s="126" t="n">
        <f aca="false">L346/$R$3</f>
        <v>0</v>
      </c>
      <c r="U346" s="126" t="n">
        <f aca="false">I346/$R$3</f>
        <v>0</v>
      </c>
      <c r="V346" s="126" t="n">
        <f aca="false">M346/$R$3</f>
        <v>16.867</v>
      </c>
      <c r="W346" s="126" t="n">
        <f aca="false">N346/$R$3</f>
        <v>982.326940417803</v>
      </c>
    </row>
    <row r="347" customFormat="false" ht="12.75" hidden="false" customHeight="false" outlineLevel="0" collapsed="false">
      <c r="A347" s="120" t="n">
        <f aca="false">A346+1</f>
        <v>37233</v>
      </c>
      <c r="B347" s="131" t="str">
        <f aca="false">INDEX('Master Data'!$A$2:$B$8,MATCH(WEEKDAY('EZE Power Trading'!A347,3),'Master Data'!$A$2:$A$8,0),2)</f>
        <v>Sa</v>
      </c>
      <c r="D347" s="124" t="n">
        <v>0</v>
      </c>
      <c r="E347" s="124" t="n">
        <v>0</v>
      </c>
      <c r="F347" s="124" t="n">
        <v>0</v>
      </c>
      <c r="G347" s="124" t="n">
        <v>0</v>
      </c>
      <c r="I347" s="124" t="n">
        <f aca="false">IF(MONTH($A347)=MONTH($A346),IF(G347=0,I346,G347),G347)</f>
        <v>0</v>
      </c>
      <c r="J347" s="124" t="n">
        <f aca="false">IF(MONTH($A347)=MONTH($A346),SUM(I347-I346),I347)</f>
        <v>0</v>
      </c>
      <c r="K347" s="124" t="n">
        <f aca="false">IF(WEEKDAY(A347,3)&gt;4,0,(IF(A347&lt;K$2,0,IF(A347&lt;=K$3,1,0))))</f>
        <v>0</v>
      </c>
      <c r="L347" s="124" t="n">
        <f aca="false">J347*K347</f>
        <v>0</v>
      </c>
      <c r="M347" s="124" t="n">
        <f aca="false">SUM(J$280:J347)</f>
        <v>16867</v>
      </c>
      <c r="N347" s="124" t="n">
        <f aca="false">SUM(J$6:J347)</f>
        <v>982326.940417803</v>
      </c>
      <c r="P347" s="124" t="n">
        <f aca="false">D347/P$3</f>
        <v>0</v>
      </c>
      <c r="Q347" s="124" t="n">
        <f aca="false">E347/P$3</f>
        <v>0</v>
      </c>
      <c r="R347" s="124" t="n">
        <f aca="false">F347/R$3</f>
        <v>0</v>
      </c>
      <c r="S347" s="126" t="n">
        <f aca="false">J347/$R$3</f>
        <v>0</v>
      </c>
      <c r="T347" s="126" t="n">
        <f aca="false">L347/$R$3</f>
        <v>0</v>
      </c>
      <c r="U347" s="126" t="n">
        <f aca="false">I347/$R$3</f>
        <v>0</v>
      </c>
      <c r="V347" s="126" t="n">
        <f aca="false">M347/$R$3</f>
        <v>16.867</v>
      </c>
      <c r="W347" s="126" t="n">
        <f aca="false">N347/$R$3</f>
        <v>982.326940417803</v>
      </c>
    </row>
    <row r="348" customFormat="false" ht="12.75" hidden="false" customHeight="false" outlineLevel="0" collapsed="false">
      <c r="A348" s="120" t="n">
        <f aca="false">A347+1</f>
        <v>37234</v>
      </c>
      <c r="B348" s="131" t="str">
        <f aca="false">INDEX('Master Data'!$A$2:$B$8,MATCH(WEEKDAY('EZE Power Trading'!A348,3),'Master Data'!$A$2:$A$8,0),2)</f>
        <v>Su</v>
      </c>
      <c r="D348" s="124" t="n">
        <v>0</v>
      </c>
      <c r="E348" s="124" t="n">
        <v>0</v>
      </c>
      <c r="F348" s="124" t="n">
        <v>0</v>
      </c>
      <c r="G348" s="124" t="n">
        <v>0</v>
      </c>
      <c r="I348" s="124" t="n">
        <f aca="false">IF(MONTH($A348)=MONTH($A347),IF(G348=0,I347,G348),G348)</f>
        <v>0</v>
      </c>
      <c r="J348" s="124" t="n">
        <f aca="false">IF(MONTH($A348)=MONTH($A347),SUM(I348-I347),I348)</f>
        <v>0</v>
      </c>
      <c r="K348" s="124" t="n">
        <f aca="false">IF(WEEKDAY(A348,3)&gt;4,0,(IF(A348&lt;K$2,0,IF(A348&lt;=K$3,1,0))))</f>
        <v>0</v>
      </c>
      <c r="L348" s="124" t="n">
        <f aca="false">J348*K348</f>
        <v>0</v>
      </c>
      <c r="M348" s="124" t="n">
        <f aca="false">SUM(J$280:J348)</f>
        <v>16867</v>
      </c>
      <c r="N348" s="124" t="n">
        <f aca="false">SUM(J$6:J348)</f>
        <v>982326.940417803</v>
      </c>
      <c r="P348" s="124" t="n">
        <f aca="false">D348/P$3</f>
        <v>0</v>
      </c>
      <c r="Q348" s="124" t="n">
        <f aca="false">E348/P$3</f>
        <v>0</v>
      </c>
      <c r="R348" s="124" t="n">
        <f aca="false">F348/R$3</f>
        <v>0</v>
      </c>
      <c r="S348" s="126" t="n">
        <f aca="false">J348/$R$3</f>
        <v>0</v>
      </c>
      <c r="T348" s="126" t="n">
        <f aca="false">L348/$R$3</f>
        <v>0</v>
      </c>
      <c r="U348" s="126" t="n">
        <f aca="false">I348/$R$3</f>
        <v>0</v>
      </c>
      <c r="V348" s="126" t="n">
        <f aca="false">M348/$R$3</f>
        <v>16.867</v>
      </c>
      <c r="W348" s="126" t="n">
        <f aca="false">N348/$R$3</f>
        <v>982.326940417803</v>
      </c>
    </row>
    <row r="349" customFormat="false" ht="12.75" hidden="false" customHeight="false" outlineLevel="0" collapsed="false">
      <c r="A349" s="120" t="n">
        <f aca="false">A348+1</f>
        <v>37235</v>
      </c>
      <c r="B349" s="131" t="str">
        <f aca="false">INDEX('Master Data'!$A$2:$B$8,MATCH(WEEKDAY('EZE Power Trading'!A349,3),'Master Data'!$A$2:$A$8,0),2)</f>
        <v>M</v>
      </c>
      <c r="D349" s="124" t="n">
        <v>0</v>
      </c>
      <c r="E349" s="124" t="n">
        <v>0</v>
      </c>
      <c r="F349" s="124" t="n">
        <v>0</v>
      </c>
      <c r="G349" s="124" t="n">
        <v>0</v>
      </c>
      <c r="I349" s="124" t="n">
        <f aca="false">IF(MONTH($A349)=MONTH($A348),IF(G349=0,I348,G349),G349)</f>
        <v>0</v>
      </c>
      <c r="J349" s="124" t="n">
        <f aca="false">IF(MONTH($A349)=MONTH($A348),SUM(I349-I348),I349)</f>
        <v>0</v>
      </c>
      <c r="K349" s="124" t="n">
        <f aca="false">IF(WEEKDAY(A349,3)&gt;4,0,(IF(A349&lt;K$2,0,IF(A349&lt;=K$3,1,0))))</f>
        <v>0</v>
      </c>
      <c r="L349" s="124" t="n">
        <f aca="false">J349*K349</f>
        <v>0</v>
      </c>
      <c r="M349" s="124" t="n">
        <f aca="false">SUM(J$280:J349)</f>
        <v>16867</v>
      </c>
      <c r="N349" s="124" t="n">
        <f aca="false">SUM(J$6:J349)</f>
        <v>982326.940417803</v>
      </c>
      <c r="P349" s="124" t="n">
        <f aca="false">D349/P$3</f>
        <v>0</v>
      </c>
      <c r="Q349" s="124" t="n">
        <f aca="false">E349/P$3</f>
        <v>0</v>
      </c>
      <c r="R349" s="124" t="n">
        <f aca="false">F349/R$3</f>
        <v>0</v>
      </c>
      <c r="S349" s="126" t="n">
        <f aca="false">J349/$R$3</f>
        <v>0</v>
      </c>
      <c r="T349" s="126" t="n">
        <f aca="false">L349/$R$3</f>
        <v>0</v>
      </c>
      <c r="U349" s="126" t="n">
        <f aca="false">I349/$R$3</f>
        <v>0</v>
      </c>
      <c r="V349" s="126" t="n">
        <f aca="false">M349/$R$3</f>
        <v>16.867</v>
      </c>
      <c r="W349" s="126" t="n">
        <f aca="false">N349/$R$3</f>
        <v>982.326940417803</v>
      </c>
    </row>
    <row r="350" customFormat="false" ht="12.75" hidden="false" customHeight="false" outlineLevel="0" collapsed="false">
      <c r="A350" s="120" t="n">
        <f aca="false">A349+1</f>
        <v>37236</v>
      </c>
      <c r="B350" s="131" t="str">
        <f aca="false">INDEX('Master Data'!$A$2:$B$8,MATCH(WEEKDAY('EZE Power Trading'!A350,3),'Master Data'!$A$2:$A$8,0),2)</f>
        <v>T</v>
      </c>
      <c r="D350" s="124" t="n">
        <v>0</v>
      </c>
      <c r="E350" s="124" t="n">
        <v>0</v>
      </c>
      <c r="F350" s="124" t="n">
        <v>0</v>
      </c>
      <c r="G350" s="124" t="n">
        <v>0</v>
      </c>
      <c r="I350" s="124" t="n">
        <f aca="false">IF(MONTH($A350)=MONTH($A349),IF(G350=0,I349,G350),G350)</f>
        <v>0</v>
      </c>
      <c r="J350" s="124" t="n">
        <f aca="false">IF(MONTH($A350)=MONTH($A349),SUM(I350-I349),I350)</f>
        <v>0</v>
      </c>
      <c r="K350" s="124" t="n">
        <f aca="false">IF(WEEKDAY(A350,3)&gt;4,0,(IF(A350&lt;K$2,0,IF(A350&lt;=K$3,1,0))))</f>
        <v>0</v>
      </c>
      <c r="L350" s="124" t="n">
        <f aca="false">J350*K350</f>
        <v>0</v>
      </c>
      <c r="M350" s="124" t="n">
        <f aca="false">SUM(J$280:J350)</f>
        <v>16867</v>
      </c>
      <c r="N350" s="124" t="n">
        <f aca="false">SUM(J$6:J350)</f>
        <v>982326.940417803</v>
      </c>
      <c r="P350" s="124" t="n">
        <f aca="false">D350/P$3</f>
        <v>0</v>
      </c>
      <c r="Q350" s="124" t="n">
        <f aca="false">E350/P$3</f>
        <v>0</v>
      </c>
      <c r="R350" s="124" t="n">
        <f aca="false">F350/R$3</f>
        <v>0</v>
      </c>
      <c r="S350" s="126" t="n">
        <f aca="false">J350/$R$3</f>
        <v>0</v>
      </c>
      <c r="T350" s="126" t="n">
        <f aca="false">L350/$R$3</f>
        <v>0</v>
      </c>
      <c r="U350" s="126" t="n">
        <f aca="false">I350/$R$3</f>
        <v>0</v>
      </c>
      <c r="V350" s="126" t="n">
        <f aca="false">M350/$R$3</f>
        <v>16.867</v>
      </c>
      <c r="W350" s="126" t="n">
        <f aca="false">N350/$R$3</f>
        <v>982.326940417803</v>
      </c>
    </row>
    <row r="351" customFormat="false" ht="12.75" hidden="false" customHeight="false" outlineLevel="0" collapsed="false">
      <c r="A351" s="120" t="n">
        <f aca="false">A350+1</f>
        <v>37237</v>
      </c>
      <c r="B351" s="131" t="str">
        <f aca="false">INDEX('Master Data'!$A$2:$B$8,MATCH(WEEKDAY('EZE Power Trading'!A351,3),'Master Data'!$A$2:$A$8,0),2)</f>
        <v>W</v>
      </c>
      <c r="D351" s="124" t="n">
        <v>0</v>
      </c>
      <c r="E351" s="124" t="n">
        <v>0</v>
      </c>
      <c r="F351" s="124" t="n">
        <v>0</v>
      </c>
      <c r="G351" s="124" t="n">
        <v>0</v>
      </c>
      <c r="I351" s="124" t="n">
        <f aca="false">IF(MONTH($A351)=MONTH($A350),IF(G351=0,I350,G351),G351)</f>
        <v>0</v>
      </c>
      <c r="J351" s="124" t="n">
        <f aca="false">IF(MONTH($A351)=MONTH($A350),SUM(I351-I350),I351)</f>
        <v>0</v>
      </c>
      <c r="K351" s="124" t="n">
        <f aca="false">IF(WEEKDAY(A351,3)&gt;4,0,(IF(A351&lt;K$2,0,IF(A351&lt;=K$3,1,0))))</f>
        <v>0</v>
      </c>
      <c r="L351" s="124" t="n">
        <f aca="false">J351*K351</f>
        <v>0</v>
      </c>
      <c r="M351" s="124" t="n">
        <f aca="false">SUM(J$280:J351)</f>
        <v>16867</v>
      </c>
      <c r="N351" s="124" t="n">
        <f aca="false">SUM(J$6:J351)</f>
        <v>982326.940417803</v>
      </c>
      <c r="P351" s="124" t="n">
        <f aca="false">D351/P$3</f>
        <v>0</v>
      </c>
      <c r="Q351" s="124" t="n">
        <f aca="false">E351/P$3</f>
        <v>0</v>
      </c>
      <c r="R351" s="124" t="n">
        <f aca="false">F351/R$3</f>
        <v>0</v>
      </c>
      <c r="S351" s="126" t="n">
        <f aca="false">J351/$R$3</f>
        <v>0</v>
      </c>
      <c r="T351" s="126" t="n">
        <f aca="false">L351/$R$3</f>
        <v>0</v>
      </c>
      <c r="U351" s="126" t="n">
        <f aca="false">I351/$R$3</f>
        <v>0</v>
      </c>
      <c r="V351" s="126" t="n">
        <f aca="false">M351/$R$3</f>
        <v>16.867</v>
      </c>
      <c r="W351" s="126" t="n">
        <f aca="false">N351/$R$3</f>
        <v>982.326940417803</v>
      </c>
    </row>
    <row r="352" customFormat="false" ht="12.75" hidden="false" customHeight="false" outlineLevel="0" collapsed="false">
      <c r="A352" s="120" t="n">
        <f aca="false">A351+1</f>
        <v>37238</v>
      </c>
      <c r="B352" s="131" t="str">
        <f aca="false">INDEX('Master Data'!$A$2:$B$8,MATCH(WEEKDAY('EZE Power Trading'!A352,3),'Master Data'!$A$2:$A$8,0),2)</f>
        <v>Th</v>
      </c>
      <c r="D352" s="124" t="n">
        <v>0</v>
      </c>
      <c r="E352" s="124" t="n">
        <v>0</v>
      </c>
      <c r="F352" s="124" t="n">
        <v>0</v>
      </c>
      <c r="G352" s="124" t="n">
        <v>0</v>
      </c>
      <c r="I352" s="124" t="n">
        <f aca="false">IF(MONTH($A352)=MONTH($A351),IF(G352=0,I351,G352),G352)</f>
        <v>0</v>
      </c>
      <c r="J352" s="124" t="n">
        <f aca="false">IF(MONTH($A352)=MONTH($A351),SUM(I352-I351),I352)</f>
        <v>0</v>
      </c>
      <c r="K352" s="124" t="n">
        <f aca="false">IF(WEEKDAY(A352,3)&gt;4,0,(IF(A352&lt;K$2,0,IF(A352&lt;=K$3,1,0))))</f>
        <v>0</v>
      </c>
      <c r="L352" s="124" t="n">
        <f aca="false">J352*K352</f>
        <v>0</v>
      </c>
      <c r="M352" s="124" t="n">
        <f aca="false">SUM(J$280:J352)</f>
        <v>16867</v>
      </c>
      <c r="N352" s="124" t="n">
        <f aca="false">SUM(J$6:J352)</f>
        <v>982326.940417803</v>
      </c>
      <c r="P352" s="124" t="n">
        <f aca="false">D352/P$3</f>
        <v>0</v>
      </c>
      <c r="Q352" s="124" t="n">
        <f aca="false">E352/P$3</f>
        <v>0</v>
      </c>
      <c r="R352" s="124" t="n">
        <f aca="false">F352/R$3</f>
        <v>0</v>
      </c>
      <c r="S352" s="126" t="n">
        <f aca="false">J352/$R$3</f>
        <v>0</v>
      </c>
      <c r="T352" s="126" t="n">
        <f aca="false">L352/$R$3</f>
        <v>0</v>
      </c>
      <c r="U352" s="126" t="n">
        <f aca="false">I352/$R$3</f>
        <v>0</v>
      </c>
      <c r="V352" s="126" t="n">
        <f aca="false">M352/$R$3</f>
        <v>16.867</v>
      </c>
      <c r="W352" s="126" t="n">
        <f aca="false">N352/$R$3</f>
        <v>982.326940417803</v>
      </c>
    </row>
    <row r="353" customFormat="false" ht="12.75" hidden="false" customHeight="false" outlineLevel="0" collapsed="false">
      <c r="A353" s="120" t="n">
        <f aca="false">A352+1</f>
        <v>37239</v>
      </c>
      <c r="B353" s="131" t="str">
        <f aca="false">INDEX('Master Data'!$A$2:$B$8,MATCH(WEEKDAY('EZE Power Trading'!A353,3),'Master Data'!$A$2:$A$8,0),2)</f>
        <v>F</v>
      </c>
      <c r="D353" s="124" t="n">
        <v>0</v>
      </c>
      <c r="E353" s="124" t="n">
        <v>0</v>
      </c>
      <c r="F353" s="124" t="n">
        <v>0</v>
      </c>
      <c r="G353" s="124" t="n">
        <v>0</v>
      </c>
      <c r="I353" s="124" t="n">
        <f aca="false">IF(MONTH($A353)=MONTH($A352),IF(G353=0,I352,G353),G353)</f>
        <v>0</v>
      </c>
      <c r="J353" s="124" t="n">
        <f aca="false">IF(MONTH($A353)=MONTH($A352),SUM(I353-I352),I353)</f>
        <v>0</v>
      </c>
      <c r="K353" s="124" t="n">
        <f aca="false">IF(WEEKDAY(A353,3)&gt;4,0,(IF(A353&lt;K$2,0,IF(A353&lt;=K$3,1,0))))</f>
        <v>0</v>
      </c>
      <c r="L353" s="124" t="n">
        <f aca="false">J353*K353</f>
        <v>0</v>
      </c>
      <c r="M353" s="124" t="n">
        <f aca="false">SUM(J$280:J353)</f>
        <v>16867</v>
      </c>
      <c r="N353" s="124" t="n">
        <f aca="false">SUM(J$6:J353)</f>
        <v>982326.940417803</v>
      </c>
      <c r="P353" s="124" t="n">
        <f aca="false">D353/P$3</f>
        <v>0</v>
      </c>
      <c r="Q353" s="124" t="n">
        <f aca="false">E353/P$3</f>
        <v>0</v>
      </c>
      <c r="R353" s="124" t="n">
        <f aca="false">F353/R$3</f>
        <v>0</v>
      </c>
      <c r="S353" s="126" t="n">
        <f aca="false">J353/$R$3</f>
        <v>0</v>
      </c>
      <c r="T353" s="126" t="n">
        <f aca="false">L353/$R$3</f>
        <v>0</v>
      </c>
      <c r="U353" s="126" t="n">
        <f aca="false">I353/$R$3</f>
        <v>0</v>
      </c>
      <c r="V353" s="126" t="n">
        <f aca="false">M353/$R$3</f>
        <v>16.867</v>
      </c>
      <c r="W353" s="126" t="n">
        <f aca="false">N353/$R$3</f>
        <v>982.326940417803</v>
      </c>
    </row>
    <row r="354" customFormat="false" ht="12.75" hidden="false" customHeight="false" outlineLevel="0" collapsed="false">
      <c r="A354" s="120" t="n">
        <f aca="false">A353+1</f>
        <v>37240</v>
      </c>
      <c r="B354" s="131" t="str">
        <f aca="false">INDEX('Master Data'!$A$2:$B$8,MATCH(WEEKDAY('EZE Power Trading'!A354,3),'Master Data'!$A$2:$A$8,0),2)</f>
        <v>Sa</v>
      </c>
      <c r="D354" s="124" t="n">
        <v>0</v>
      </c>
      <c r="E354" s="124" t="n">
        <v>0</v>
      </c>
      <c r="F354" s="124" t="n">
        <v>0</v>
      </c>
      <c r="G354" s="124" t="n">
        <v>0</v>
      </c>
      <c r="I354" s="124" t="n">
        <f aca="false">IF(MONTH($A354)=MONTH($A353),IF(G354=0,I353,G354),G354)</f>
        <v>0</v>
      </c>
      <c r="J354" s="124" t="n">
        <f aca="false">IF(MONTH($A354)=MONTH($A353),SUM(I354-I353),I354)</f>
        <v>0</v>
      </c>
      <c r="K354" s="124" t="n">
        <f aca="false">IF(WEEKDAY(A354,3)&gt;4,0,(IF(A354&lt;K$2,0,IF(A354&lt;=K$3,1,0))))</f>
        <v>0</v>
      </c>
      <c r="L354" s="124" t="n">
        <f aca="false">J354*K354</f>
        <v>0</v>
      </c>
      <c r="M354" s="124" t="n">
        <f aca="false">SUM(J$280:J354)</f>
        <v>16867</v>
      </c>
      <c r="N354" s="124" t="n">
        <f aca="false">SUM(J$6:J354)</f>
        <v>982326.940417803</v>
      </c>
      <c r="P354" s="124" t="n">
        <f aca="false">D354/P$3</f>
        <v>0</v>
      </c>
      <c r="Q354" s="124" t="n">
        <f aca="false">E354/P$3</f>
        <v>0</v>
      </c>
      <c r="R354" s="124" t="n">
        <f aca="false">F354/R$3</f>
        <v>0</v>
      </c>
      <c r="S354" s="126" t="n">
        <f aca="false">J354/$R$3</f>
        <v>0</v>
      </c>
      <c r="T354" s="126" t="n">
        <f aca="false">L354/$R$3</f>
        <v>0</v>
      </c>
      <c r="U354" s="126" t="n">
        <f aca="false">I354/$R$3</f>
        <v>0</v>
      </c>
      <c r="V354" s="126" t="n">
        <f aca="false">M354/$R$3</f>
        <v>16.867</v>
      </c>
      <c r="W354" s="126" t="n">
        <f aca="false">N354/$R$3</f>
        <v>982.326940417803</v>
      </c>
    </row>
    <row r="355" customFormat="false" ht="12.75" hidden="false" customHeight="false" outlineLevel="0" collapsed="false">
      <c r="A355" s="120" t="n">
        <f aca="false">A354+1</f>
        <v>37241</v>
      </c>
      <c r="B355" s="131" t="str">
        <f aca="false">INDEX('Master Data'!$A$2:$B$8,MATCH(WEEKDAY('EZE Power Trading'!A355,3),'Master Data'!$A$2:$A$8,0),2)</f>
        <v>Su</v>
      </c>
      <c r="D355" s="124" t="n">
        <v>0</v>
      </c>
      <c r="E355" s="124" t="n">
        <v>0</v>
      </c>
      <c r="F355" s="124" t="n">
        <v>0</v>
      </c>
      <c r="G355" s="124" t="n">
        <v>0</v>
      </c>
      <c r="I355" s="124" t="n">
        <f aca="false">IF(MONTH($A355)=MONTH($A354),IF(G355=0,I354,G355),G355)</f>
        <v>0</v>
      </c>
      <c r="J355" s="124" t="n">
        <f aca="false">IF(MONTH($A355)=MONTH($A354),SUM(I355-I354),I355)</f>
        <v>0</v>
      </c>
      <c r="K355" s="124" t="n">
        <f aca="false">IF(WEEKDAY(A355,3)&gt;4,0,(IF(A355&lt;K$2,0,IF(A355&lt;=K$3,1,0))))</f>
        <v>0</v>
      </c>
      <c r="L355" s="124" t="n">
        <f aca="false">J355*K355</f>
        <v>0</v>
      </c>
      <c r="M355" s="124" t="n">
        <f aca="false">SUM(J$280:J355)</f>
        <v>16867</v>
      </c>
      <c r="N355" s="124" t="n">
        <f aca="false">SUM(J$6:J355)</f>
        <v>982326.940417803</v>
      </c>
      <c r="P355" s="124" t="n">
        <f aca="false">D355/P$3</f>
        <v>0</v>
      </c>
      <c r="Q355" s="124" t="n">
        <f aca="false">E355/P$3</f>
        <v>0</v>
      </c>
      <c r="R355" s="124" t="n">
        <f aca="false">F355/R$3</f>
        <v>0</v>
      </c>
      <c r="S355" s="126" t="n">
        <f aca="false">J355/$R$3</f>
        <v>0</v>
      </c>
      <c r="T355" s="126" t="n">
        <f aca="false">L355/$R$3</f>
        <v>0</v>
      </c>
      <c r="U355" s="126" t="n">
        <f aca="false">I355/$R$3</f>
        <v>0</v>
      </c>
      <c r="V355" s="126" t="n">
        <f aca="false">M355/$R$3</f>
        <v>16.867</v>
      </c>
      <c r="W355" s="126" t="n">
        <f aca="false">N355/$R$3</f>
        <v>982.326940417803</v>
      </c>
    </row>
    <row r="356" customFormat="false" ht="12.75" hidden="false" customHeight="false" outlineLevel="0" collapsed="false">
      <c r="A356" s="120" t="n">
        <f aca="false">A355+1</f>
        <v>37242</v>
      </c>
      <c r="B356" s="131" t="str">
        <f aca="false">INDEX('Master Data'!$A$2:$B$8,MATCH(WEEKDAY('EZE Power Trading'!A356,3),'Master Data'!$A$2:$A$8,0),2)</f>
        <v>M</v>
      </c>
      <c r="D356" s="124" t="n">
        <v>0</v>
      </c>
      <c r="E356" s="124" t="n">
        <v>0</v>
      </c>
      <c r="F356" s="124" t="n">
        <v>0</v>
      </c>
      <c r="G356" s="124" t="n">
        <v>0</v>
      </c>
      <c r="I356" s="124" t="n">
        <f aca="false">IF(MONTH($A356)=MONTH($A355),IF(G356=0,I355,G356),G356)</f>
        <v>0</v>
      </c>
      <c r="J356" s="124" t="n">
        <f aca="false">IF(MONTH($A356)=MONTH($A355),SUM(I356-I355),I356)</f>
        <v>0</v>
      </c>
      <c r="K356" s="124" t="n">
        <f aca="false">IF(WEEKDAY(A356,3)&gt;4,0,(IF(A356&lt;K$2,0,IF(A356&lt;=K$3,1,0))))</f>
        <v>0</v>
      </c>
      <c r="L356" s="124" t="n">
        <f aca="false">J356*K356</f>
        <v>0</v>
      </c>
      <c r="M356" s="124" t="n">
        <f aca="false">SUM(J$280:J356)</f>
        <v>16867</v>
      </c>
      <c r="N356" s="124" t="n">
        <f aca="false">SUM(J$6:J356)</f>
        <v>982326.940417803</v>
      </c>
      <c r="P356" s="124" t="n">
        <f aca="false">D356/P$3</f>
        <v>0</v>
      </c>
      <c r="Q356" s="124" t="n">
        <f aca="false">E356/P$3</f>
        <v>0</v>
      </c>
      <c r="R356" s="124" t="n">
        <f aca="false">F356/R$3</f>
        <v>0</v>
      </c>
      <c r="S356" s="126" t="n">
        <f aca="false">J356/$R$3</f>
        <v>0</v>
      </c>
      <c r="T356" s="126" t="n">
        <f aca="false">L356/$R$3</f>
        <v>0</v>
      </c>
      <c r="U356" s="126" t="n">
        <f aca="false">I356/$R$3</f>
        <v>0</v>
      </c>
      <c r="V356" s="126" t="n">
        <f aca="false">M356/$R$3</f>
        <v>16.867</v>
      </c>
      <c r="W356" s="126" t="n">
        <f aca="false">N356/$R$3</f>
        <v>982.326940417803</v>
      </c>
    </row>
    <row r="357" customFormat="false" ht="12.75" hidden="false" customHeight="false" outlineLevel="0" collapsed="false">
      <c r="A357" s="120" t="n">
        <f aca="false">A356+1</f>
        <v>37243</v>
      </c>
      <c r="B357" s="131" t="str">
        <f aca="false">INDEX('Master Data'!$A$2:$B$8,MATCH(WEEKDAY('EZE Power Trading'!A357,3),'Master Data'!$A$2:$A$8,0),2)</f>
        <v>T</v>
      </c>
      <c r="D357" s="124" t="n">
        <v>0</v>
      </c>
      <c r="E357" s="124" t="n">
        <v>0</v>
      </c>
      <c r="F357" s="124" t="n">
        <v>0</v>
      </c>
      <c r="G357" s="124" t="n">
        <v>0</v>
      </c>
      <c r="I357" s="124" t="n">
        <f aca="false">IF(MONTH($A357)=MONTH($A356),IF(G357=0,I356,G357),G357)</f>
        <v>0</v>
      </c>
      <c r="J357" s="124" t="n">
        <f aca="false">IF(MONTH($A357)=MONTH($A356),SUM(I357-I356),I357)</f>
        <v>0</v>
      </c>
      <c r="K357" s="124" t="n">
        <f aca="false">IF(WEEKDAY(A357,3)&gt;4,0,(IF(A357&lt;K$2,0,IF(A357&lt;=K$3,1,0))))</f>
        <v>0</v>
      </c>
      <c r="L357" s="124" t="n">
        <f aca="false">J357*K357</f>
        <v>0</v>
      </c>
      <c r="M357" s="124" t="n">
        <f aca="false">SUM(J$280:J357)</f>
        <v>16867</v>
      </c>
      <c r="N357" s="124" t="n">
        <f aca="false">SUM(J$6:J357)</f>
        <v>982326.940417803</v>
      </c>
      <c r="P357" s="124" t="n">
        <f aca="false">D357/P$3</f>
        <v>0</v>
      </c>
      <c r="Q357" s="124" t="n">
        <f aca="false">E357/P$3</f>
        <v>0</v>
      </c>
      <c r="R357" s="124" t="n">
        <f aca="false">F357/R$3</f>
        <v>0</v>
      </c>
      <c r="S357" s="126" t="n">
        <f aca="false">J357/$R$3</f>
        <v>0</v>
      </c>
      <c r="T357" s="126" t="n">
        <f aca="false">L357/$R$3</f>
        <v>0</v>
      </c>
      <c r="U357" s="126" t="n">
        <f aca="false">I357/$R$3</f>
        <v>0</v>
      </c>
      <c r="V357" s="126" t="n">
        <f aca="false">M357/$R$3</f>
        <v>16.867</v>
      </c>
      <c r="W357" s="126" t="n">
        <f aca="false">N357/$R$3</f>
        <v>982.326940417803</v>
      </c>
    </row>
    <row r="358" customFormat="false" ht="12.75" hidden="false" customHeight="false" outlineLevel="0" collapsed="false">
      <c r="A358" s="120" t="n">
        <f aca="false">A357+1</f>
        <v>37244</v>
      </c>
      <c r="B358" s="131" t="str">
        <f aca="false">INDEX('Master Data'!$A$2:$B$8,MATCH(WEEKDAY('EZE Power Trading'!A358,3),'Master Data'!$A$2:$A$8,0),2)</f>
        <v>W</v>
      </c>
      <c r="D358" s="124" t="n">
        <v>0</v>
      </c>
      <c r="E358" s="124" t="n">
        <v>0</v>
      </c>
      <c r="F358" s="124" t="n">
        <v>0</v>
      </c>
      <c r="G358" s="124" t="n">
        <v>0</v>
      </c>
      <c r="I358" s="124" t="n">
        <f aca="false">IF(MONTH($A358)=MONTH($A357),IF(G358=0,I357,G358),G358)</f>
        <v>0</v>
      </c>
      <c r="J358" s="124" t="n">
        <f aca="false">IF(MONTH($A358)=MONTH($A357),SUM(I358-I357),I358)</f>
        <v>0</v>
      </c>
      <c r="K358" s="124" t="n">
        <f aca="false">IF(WEEKDAY(A358,3)&gt;4,0,(IF(A358&lt;K$2,0,IF(A358&lt;=K$3,1,0))))</f>
        <v>0</v>
      </c>
      <c r="L358" s="124" t="n">
        <f aca="false">J358*K358</f>
        <v>0</v>
      </c>
      <c r="M358" s="124" t="n">
        <f aca="false">SUM(J$280:J358)</f>
        <v>16867</v>
      </c>
      <c r="N358" s="124" t="n">
        <f aca="false">SUM(J$6:J358)</f>
        <v>982326.940417803</v>
      </c>
      <c r="P358" s="124" t="n">
        <f aca="false">D358/P$3</f>
        <v>0</v>
      </c>
      <c r="Q358" s="124" t="n">
        <f aca="false">E358/P$3</f>
        <v>0</v>
      </c>
      <c r="R358" s="124" t="n">
        <f aca="false">F358/R$3</f>
        <v>0</v>
      </c>
      <c r="S358" s="126" t="n">
        <f aca="false">J358/$R$3</f>
        <v>0</v>
      </c>
      <c r="T358" s="126" t="n">
        <f aca="false">L358/$R$3</f>
        <v>0</v>
      </c>
      <c r="U358" s="126" t="n">
        <f aca="false">I358/$R$3</f>
        <v>0</v>
      </c>
      <c r="V358" s="126" t="n">
        <f aca="false">M358/$R$3</f>
        <v>16.867</v>
      </c>
      <c r="W358" s="126" t="n">
        <f aca="false">N358/$R$3</f>
        <v>982.326940417803</v>
      </c>
    </row>
    <row r="359" customFormat="false" ht="12.75" hidden="false" customHeight="false" outlineLevel="0" collapsed="false">
      <c r="A359" s="120" t="n">
        <f aca="false">A358+1</f>
        <v>37245</v>
      </c>
      <c r="B359" s="131" t="str">
        <f aca="false">INDEX('Master Data'!$A$2:$B$8,MATCH(WEEKDAY('EZE Power Trading'!A359,3),'Master Data'!$A$2:$A$8,0),2)</f>
        <v>Th</v>
      </c>
      <c r="D359" s="124" t="n">
        <v>0</v>
      </c>
      <c r="E359" s="124" t="n">
        <v>0</v>
      </c>
      <c r="F359" s="124" t="n">
        <v>0</v>
      </c>
      <c r="G359" s="124" t="n">
        <v>0</v>
      </c>
      <c r="I359" s="124" t="n">
        <f aca="false">IF(MONTH($A359)=MONTH($A358),IF(G359=0,I358,G359),G359)</f>
        <v>0</v>
      </c>
      <c r="J359" s="124" t="n">
        <f aca="false">IF(MONTH($A359)=MONTH($A358),SUM(I359-I358),I359)</f>
        <v>0</v>
      </c>
      <c r="K359" s="124" t="n">
        <f aca="false">IF(WEEKDAY(A359,3)&gt;4,0,(IF(A359&lt;K$2,0,IF(A359&lt;=K$3,1,0))))</f>
        <v>0</v>
      </c>
      <c r="L359" s="124" t="n">
        <f aca="false">J359*K359</f>
        <v>0</v>
      </c>
      <c r="M359" s="124" t="n">
        <f aca="false">SUM(J$280:J359)</f>
        <v>16867</v>
      </c>
      <c r="N359" s="124" t="n">
        <f aca="false">SUM(J$6:J359)</f>
        <v>982326.940417803</v>
      </c>
      <c r="P359" s="124" t="n">
        <f aca="false">D359/P$3</f>
        <v>0</v>
      </c>
      <c r="Q359" s="124" t="n">
        <f aca="false">E359/P$3</f>
        <v>0</v>
      </c>
      <c r="R359" s="124" t="n">
        <f aca="false">F359/R$3</f>
        <v>0</v>
      </c>
      <c r="S359" s="126" t="n">
        <f aca="false">J359/$R$3</f>
        <v>0</v>
      </c>
      <c r="T359" s="126" t="n">
        <f aca="false">L359/$R$3</f>
        <v>0</v>
      </c>
      <c r="U359" s="126" t="n">
        <f aca="false">I359/$R$3</f>
        <v>0</v>
      </c>
      <c r="V359" s="126" t="n">
        <f aca="false">M359/$R$3</f>
        <v>16.867</v>
      </c>
      <c r="W359" s="126" t="n">
        <f aca="false">N359/$R$3</f>
        <v>982.326940417803</v>
      </c>
    </row>
    <row r="360" customFormat="false" ht="12.75" hidden="false" customHeight="false" outlineLevel="0" collapsed="false">
      <c r="A360" s="120" t="n">
        <f aca="false">A359+1</f>
        <v>37246</v>
      </c>
      <c r="B360" s="131" t="str">
        <f aca="false">INDEX('Master Data'!$A$2:$B$8,MATCH(WEEKDAY('EZE Power Trading'!A360,3),'Master Data'!$A$2:$A$8,0),2)</f>
        <v>F</v>
      </c>
      <c r="D360" s="124" t="n">
        <v>0</v>
      </c>
      <c r="E360" s="124" t="n">
        <v>0</v>
      </c>
      <c r="F360" s="124" t="n">
        <v>0</v>
      </c>
      <c r="G360" s="124" t="n">
        <v>0</v>
      </c>
      <c r="I360" s="124" t="n">
        <f aca="false">IF(MONTH($A360)=MONTH($A359),IF(G360=0,I359,G360),G360)</f>
        <v>0</v>
      </c>
      <c r="J360" s="124" t="n">
        <f aca="false">IF(MONTH($A360)=MONTH($A359),SUM(I360-I359),I360)</f>
        <v>0</v>
      </c>
      <c r="K360" s="124" t="n">
        <f aca="false">IF(WEEKDAY(A360,3)&gt;4,0,(IF(A360&lt;K$2,0,IF(A360&lt;=K$3,1,0))))</f>
        <v>0</v>
      </c>
      <c r="L360" s="124" t="n">
        <f aca="false">J360*K360</f>
        <v>0</v>
      </c>
      <c r="M360" s="124" t="n">
        <f aca="false">SUM(J$280:J360)</f>
        <v>16867</v>
      </c>
      <c r="N360" s="124" t="n">
        <f aca="false">SUM(J$6:J360)</f>
        <v>982326.940417803</v>
      </c>
      <c r="P360" s="124" t="n">
        <f aca="false">D360/P$3</f>
        <v>0</v>
      </c>
      <c r="Q360" s="124" t="n">
        <f aca="false">E360/P$3</f>
        <v>0</v>
      </c>
      <c r="R360" s="124" t="n">
        <f aca="false">F360/R$3</f>
        <v>0</v>
      </c>
      <c r="S360" s="126" t="n">
        <f aca="false">J360/$R$3</f>
        <v>0</v>
      </c>
      <c r="T360" s="126" t="n">
        <f aca="false">L360/$R$3</f>
        <v>0</v>
      </c>
      <c r="U360" s="126" t="n">
        <f aca="false">I360/$R$3</f>
        <v>0</v>
      </c>
      <c r="V360" s="126" t="n">
        <f aca="false">M360/$R$3</f>
        <v>16.867</v>
      </c>
      <c r="W360" s="126" t="n">
        <f aca="false">N360/$R$3</f>
        <v>982.326940417803</v>
      </c>
    </row>
    <row r="361" customFormat="false" ht="12.75" hidden="false" customHeight="false" outlineLevel="0" collapsed="false">
      <c r="A361" s="120" t="n">
        <f aca="false">A360+1</f>
        <v>37247</v>
      </c>
      <c r="B361" s="131" t="str">
        <f aca="false">INDEX('Master Data'!$A$2:$B$8,MATCH(WEEKDAY('EZE Power Trading'!A361,3),'Master Data'!$A$2:$A$8,0),2)</f>
        <v>Sa</v>
      </c>
      <c r="D361" s="124" t="n">
        <v>0</v>
      </c>
      <c r="E361" s="124" t="n">
        <v>0</v>
      </c>
      <c r="F361" s="124" t="n">
        <v>0</v>
      </c>
      <c r="G361" s="124" t="n">
        <v>0</v>
      </c>
      <c r="I361" s="124" t="n">
        <f aca="false">IF(MONTH($A361)=MONTH($A360),IF(G361=0,I360,G361),G361)</f>
        <v>0</v>
      </c>
      <c r="J361" s="124" t="n">
        <f aca="false">IF(MONTH($A361)=MONTH($A360),SUM(I361-I360),I361)</f>
        <v>0</v>
      </c>
      <c r="K361" s="124" t="n">
        <f aca="false">IF(WEEKDAY(A361,3)&gt;4,0,(IF(A361&lt;K$2,0,IF(A361&lt;=K$3,1,0))))</f>
        <v>0</v>
      </c>
      <c r="L361" s="124" t="n">
        <f aca="false">J361*K361</f>
        <v>0</v>
      </c>
      <c r="M361" s="124" t="n">
        <f aca="false">SUM(J$280:J361)</f>
        <v>16867</v>
      </c>
      <c r="N361" s="124" t="n">
        <f aca="false">SUM(J$6:J361)</f>
        <v>982326.940417803</v>
      </c>
      <c r="P361" s="124" t="n">
        <f aca="false">D361/P$3</f>
        <v>0</v>
      </c>
      <c r="Q361" s="124" t="n">
        <f aca="false">E361/P$3</f>
        <v>0</v>
      </c>
      <c r="R361" s="124" t="n">
        <f aca="false">F361/R$3</f>
        <v>0</v>
      </c>
      <c r="S361" s="126" t="n">
        <f aca="false">J361/$R$3</f>
        <v>0</v>
      </c>
      <c r="T361" s="126" t="n">
        <f aca="false">L361/$R$3</f>
        <v>0</v>
      </c>
      <c r="U361" s="126" t="n">
        <f aca="false">I361/$R$3</f>
        <v>0</v>
      </c>
      <c r="V361" s="126" t="n">
        <f aca="false">M361/$R$3</f>
        <v>16.867</v>
      </c>
      <c r="W361" s="126" t="n">
        <f aca="false">N361/$R$3</f>
        <v>982.326940417803</v>
      </c>
    </row>
    <row r="362" customFormat="false" ht="12.75" hidden="false" customHeight="false" outlineLevel="0" collapsed="false">
      <c r="A362" s="120" t="n">
        <f aca="false">A361+1</f>
        <v>37248</v>
      </c>
      <c r="B362" s="131" t="str">
        <f aca="false">INDEX('Master Data'!$A$2:$B$8,MATCH(WEEKDAY('EZE Power Trading'!A362,3),'Master Data'!$A$2:$A$8,0),2)</f>
        <v>Su</v>
      </c>
      <c r="D362" s="124" t="n">
        <v>0</v>
      </c>
      <c r="E362" s="124" t="n">
        <v>0</v>
      </c>
      <c r="F362" s="124" t="n">
        <v>0</v>
      </c>
      <c r="G362" s="124" t="n">
        <v>0</v>
      </c>
      <c r="I362" s="124" t="n">
        <f aca="false">IF(MONTH($A362)=MONTH($A361),IF(G362=0,I361,G362),G362)</f>
        <v>0</v>
      </c>
      <c r="J362" s="124" t="n">
        <f aca="false">IF(MONTH($A362)=MONTH($A361),SUM(I362-I361),I362)</f>
        <v>0</v>
      </c>
      <c r="K362" s="124" t="n">
        <f aca="false">IF(WEEKDAY(A362,3)&gt;4,0,(IF(A362&lt;K$2,0,IF(A362&lt;=K$3,1,0))))</f>
        <v>0</v>
      </c>
      <c r="L362" s="124" t="n">
        <f aca="false">J362*K362</f>
        <v>0</v>
      </c>
      <c r="M362" s="124" t="n">
        <f aca="false">SUM(J$280:J362)</f>
        <v>16867</v>
      </c>
      <c r="N362" s="124" t="n">
        <f aca="false">SUM(J$6:J362)</f>
        <v>982326.940417803</v>
      </c>
      <c r="P362" s="124" t="n">
        <f aca="false">D362/P$3</f>
        <v>0</v>
      </c>
      <c r="Q362" s="124" t="n">
        <f aca="false">E362/P$3</f>
        <v>0</v>
      </c>
      <c r="R362" s="124" t="n">
        <f aca="false">F362/R$3</f>
        <v>0</v>
      </c>
      <c r="S362" s="126" t="n">
        <f aca="false">J362/$R$3</f>
        <v>0</v>
      </c>
      <c r="T362" s="126" t="n">
        <f aca="false">L362/$R$3</f>
        <v>0</v>
      </c>
      <c r="U362" s="126" t="n">
        <f aca="false">I362/$R$3</f>
        <v>0</v>
      </c>
      <c r="V362" s="126" t="n">
        <f aca="false">M362/$R$3</f>
        <v>16.867</v>
      </c>
      <c r="W362" s="126" t="n">
        <f aca="false">N362/$R$3</f>
        <v>982.326940417803</v>
      </c>
    </row>
    <row r="363" customFormat="false" ht="12.75" hidden="false" customHeight="false" outlineLevel="0" collapsed="false">
      <c r="A363" s="120" t="n">
        <f aca="false">A362+1</f>
        <v>37249</v>
      </c>
      <c r="B363" s="131" t="str">
        <f aca="false">INDEX('Master Data'!$A$2:$B$8,MATCH(WEEKDAY('EZE Power Trading'!A363,3),'Master Data'!$A$2:$A$8,0),2)</f>
        <v>M</v>
      </c>
      <c r="D363" s="124" t="n">
        <v>0</v>
      </c>
      <c r="E363" s="124" t="n">
        <v>0</v>
      </c>
      <c r="F363" s="124" t="n">
        <v>0</v>
      </c>
      <c r="G363" s="124" t="n">
        <v>0</v>
      </c>
      <c r="I363" s="124" t="n">
        <f aca="false">IF(MONTH($A363)=MONTH($A362),IF(G363=0,I362,G363),G363)</f>
        <v>0</v>
      </c>
      <c r="J363" s="124" t="n">
        <f aca="false">IF(MONTH($A363)=MONTH($A362),SUM(I363-I362),I363)</f>
        <v>0</v>
      </c>
      <c r="K363" s="124" t="n">
        <f aca="false">IF(WEEKDAY(A363,3)&gt;4,0,(IF(A363&lt;K$2,0,IF(A363&lt;=K$3,1,0))))</f>
        <v>0</v>
      </c>
      <c r="L363" s="124" t="n">
        <f aca="false">J363*K363</f>
        <v>0</v>
      </c>
      <c r="M363" s="124" t="n">
        <f aca="false">SUM(J$280:J363)</f>
        <v>16867</v>
      </c>
      <c r="N363" s="124" t="n">
        <f aca="false">SUM(J$6:J363)</f>
        <v>982326.940417803</v>
      </c>
      <c r="P363" s="124" t="n">
        <f aca="false">D363/P$3</f>
        <v>0</v>
      </c>
      <c r="Q363" s="124" t="n">
        <f aca="false">E363/P$3</f>
        <v>0</v>
      </c>
      <c r="R363" s="124" t="n">
        <f aca="false">F363/R$3</f>
        <v>0</v>
      </c>
      <c r="S363" s="126" t="n">
        <f aca="false">J363/$R$3</f>
        <v>0</v>
      </c>
      <c r="T363" s="126" t="n">
        <f aca="false">L363/$R$3</f>
        <v>0</v>
      </c>
      <c r="U363" s="126" t="n">
        <f aca="false">I363/$R$3</f>
        <v>0</v>
      </c>
      <c r="V363" s="126" t="n">
        <f aca="false">M363/$R$3</f>
        <v>16.867</v>
      </c>
      <c r="W363" s="126" t="n">
        <f aca="false">N363/$R$3</f>
        <v>982.326940417803</v>
      </c>
    </row>
    <row r="364" customFormat="false" ht="12.75" hidden="false" customHeight="false" outlineLevel="0" collapsed="false">
      <c r="A364" s="120" t="n">
        <f aca="false">A363+1</f>
        <v>37250</v>
      </c>
      <c r="B364" s="131" t="str">
        <f aca="false">INDEX('Master Data'!$A$2:$B$8,MATCH(WEEKDAY('EZE Power Trading'!A364,3),'Master Data'!$A$2:$A$8,0),2)</f>
        <v>T</v>
      </c>
      <c r="D364" s="124" t="n">
        <v>0</v>
      </c>
      <c r="E364" s="124" t="n">
        <v>0</v>
      </c>
      <c r="F364" s="124" t="n">
        <v>0</v>
      </c>
      <c r="G364" s="124" t="n">
        <v>0</v>
      </c>
      <c r="I364" s="124" t="n">
        <f aca="false">IF(MONTH($A364)=MONTH($A363),IF(G364=0,I363,G364),G364)</f>
        <v>0</v>
      </c>
      <c r="J364" s="124" t="n">
        <f aca="false">IF(MONTH($A364)=MONTH($A363),SUM(I364-I363),I364)</f>
        <v>0</v>
      </c>
      <c r="K364" s="124" t="n">
        <f aca="false">IF(WEEKDAY(A364,3)&gt;4,0,(IF(A364&lt;K$2,0,IF(A364&lt;=K$3,1,0))))</f>
        <v>0</v>
      </c>
      <c r="L364" s="124" t="n">
        <f aca="false">J364*K364</f>
        <v>0</v>
      </c>
      <c r="M364" s="124" t="n">
        <f aca="false">SUM(J$280:J364)</f>
        <v>16867</v>
      </c>
      <c r="N364" s="124" t="n">
        <f aca="false">SUM(J$6:J364)</f>
        <v>982326.940417803</v>
      </c>
      <c r="P364" s="124" t="n">
        <f aca="false">D364/P$3</f>
        <v>0</v>
      </c>
      <c r="Q364" s="124" t="n">
        <f aca="false">E364/P$3</f>
        <v>0</v>
      </c>
      <c r="R364" s="124" t="n">
        <f aca="false">F364/R$3</f>
        <v>0</v>
      </c>
      <c r="S364" s="126" t="n">
        <f aca="false">J364/$R$3</f>
        <v>0</v>
      </c>
      <c r="T364" s="126" t="n">
        <f aca="false">L364/$R$3</f>
        <v>0</v>
      </c>
      <c r="U364" s="126" t="n">
        <f aca="false">I364/$R$3</f>
        <v>0</v>
      </c>
      <c r="V364" s="126" t="n">
        <f aca="false">M364/$R$3</f>
        <v>16.867</v>
      </c>
      <c r="W364" s="126" t="n">
        <f aca="false">N364/$R$3</f>
        <v>982.326940417803</v>
      </c>
    </row>
    <row r="365" customFormat="false" ht="12.75" hidden="false" customHeight="false" outlineLevel="0" collapsed="false">
      <c r="A365" s="120" t="n">
        <f aca="false">A364+1</f>
        <v>37251</v>
      </c>
      <c r="B365" s="131" t="str">
        <f aca="false">INDEX('Master Data'!$A$2:$B$8,MATCH(WEEKDAY('EZE Power Trading'!A365,3),'Master Data'!$A$2:$A$8,0),2)</f>
        <v>W</v>
      </c>
      <c r="D365" s="124" t="n">
        <v>0</v>
      </c>
      <c r="E365" s="124" t="n">
        <v>0</v>
      </c>
      <c r="F365" s="124" t="n">
        <v>0</v>
      </c>
      <c r="G365" s="124" t="n">
        <v>0</v>
      </c>
      <c r="I365" s="124" t="n">
        <f aca="false">IF(MONTH($A365)=MONTH($A364),IF(G365=0,I364,G365),G365)</f>
        <v>0</v>
      </c>
      <c r="J365" s="124" t="n">
        <f aca="false">IF(MONTH($A365)=MONTH($A364),SUM(I365-I364),I365)</f>
        <v>0</v>
      </c>
      <c r="K365" s="124" t="n">
        <f aca="false">IF(WEEKDAY(A365,3)&gt;4,0,(IF(A365&lt;K$2,0,IF(A365&lt;=K$3,1,0))))</f>
        <v>0</v>
      </c>
      <c r="L365" s="124" t="n">
        <f aca="false">J365*K365</f>
        <v>0</v>
      </c>
      <c r="M365" s="124" t="n">
        <f aca="false">SUM(J$280:J365)</f>
        <v>16867</v>
      </c>
      <c r="N365" s="124" t="n">
        <f aca="false">SUM(J$6:J365)</f>
        <v>982326.940417803</v>
      </c>
      <c r="P365" s="124" t="n">
        <f aca="false">D365/P$3</f>
        <v>0</v>
      </c>
      <c r="Q365" s="124" t="n">
        <f aca="false">E365/P$3</f>
        <v>0</v>
      </c>
      <c r="R365" s="124" t="n">
        <f aca="false">F365/R$3</f>
        <v>0</v>
      </c>
      <c r="S365" s="126" t="n">
        <f aca="false">J365/$R$3</f>
        <v>0</v>
      </c>
      <c r="T365" s="126" t="n">
        <f aca="false">L365/$R$3</f>
        <v>0</v>
      </c>
      <c r="U365" s="126" t="n">
        <f aca="false">I365/$R$3</f>
        <v>0</v>
      </c>
      <c r="V365" s="126" t="n">
        <f aca="false">M365/$R$3</f>
        <v>16.867</v>
      </c>
      <c r="W365" s="126" t="n">
        <f aca="false">N365/$R$3</f>
        <v>982.326940417803</v>
      </c>
    </row>
    <row r="366" customFormat="false" ht="12.75" hidden="false" customHeight="false" outlineLevel="0" collapsed="false">
      <c r="A366" s="120" t="n">
        <f aca="false">A365+1</f>
        <v>37252</v>
      </c>
      <c r="B366" s="131" t="str">
        <f aca="false">INDEX('Master Data'!$A$2:$B$8,MATCH(WEEKDAY('EZE Power Trading'!A366,3),'Master Data'!$A$2:$A$8,0),2)</f>
        <v>Th</v>
      </c>
      <c r="D366" s="124" t="n">
        <v>0</v>
      </c>
      <c r="E366" s="124" t="n">
        <v>0</v>
      </c>
      <c r="F366" s="124" t="n">
        <v>0</v>
      </c>
      <c r="G366" s="124" t="n">
        <v>0</v>
      </c>
      <c r="I366" s="124" t="n">
        <f aca="false">IF(MONTH($A366)=MONTH($A365),IF(G366=0,I365,G366),G366)</f>
        <v>0</v>
      </c>
      <c r="J366" s="124" t="n">
        <f aca="false">IF(MONTH($A366)=MONTH($A365),SUM(I366-I365),I366)</f>
        <v>0</v>
      </c>
      <c r="K366" s="124" t="n">
        <f aca="false">IF(WEEKDAY(A366,3)&gt;4,0,(IF(A366&lt;K$2,0,IF(A366&lt;=K$3,1,0))))</f>
        <v>0</v>
      </c>
      <c r="L366" s="124" t="n">
        <f aca="false">J366*K366</f>
        <v>0</v>
      </c>
      <c r="M366" s="124" t="n">
        <f aca="false">SUM(J$280:J366)</f>
        <v>16867</v>
      </c>
      <c r="N366" s="124" t="n">
        <f aca="false">SUM(J$6:J366)</f>
        <v>982326.940417803</v>
      </c>
      <c r="P366" s="124" t="n">
        <f aca="false">D366/P$3</f>
        <v>0</v>
      </c>
      <c r="Q366" s="124" t="n">
        <f aca="false">E366/P$3</f>
        <v>0</v>
      </c>
      <c r="R366" s="124" t="n">
        <f aca="false">F366/R$3</f>
        <v>0</v>
      </c>
      <c r="S366" s="126" t="n">
        <f aca="false">J366/$R$3</f>
        <v>0</v>
      </c>
      <c r="T366" s="126" t="n">
        <f aca="false">L366/$R$3</f>
        <v>0</v>
      </c>
      <c r="U366" s="126" t="n">
        <f aca="false">I366/$R$3</f>
        <v>0</v>
      </c>
      <c r="V366" s="126" t="n">
        <f aca="false">M366/$R$3</f>
        <v>16.867</v>
      </c>
      <c r="W366" s="126" t="n">
        <f aca="false">N366/$R$3</f>
        <v>982.326940417803</v>
      </c>
    </row>
    <row r="367" customFormat="false" ht="12.75" hidden="false" customHeight="false" outlineLevel="0" collapsed="false">
      <c r="A367" s="120" t="n">
        <f aca="false">A366+1</f>
        <v>37253</v>
      </c>
      <c r="B367" s="131" t="str">
        <f aca="false">INDEX('Master Data'!$A$2:$B$8,MATCH(WEEKDAY('EZE Power Trading'!A367,3),'Master Data'!$A$2:$A$8,0),2)</f>
        <v>F</v>
      </c>
      <c r="D367" s="124" t="n">
        <v>0</v>
      </c>
      <c r="E367" s="124" t="n">
        <v>0</v>
      </c>
      <c r="F367" s="124" t="n">
        <v>0</v>
      </c>
      <c r="G367" s="124" t="n">
        <v>0</v>
      </c>
      <c r="I367" s="124" t="n">
        <f aca="false">IF(MONTH($A367)=MONTH($A366),IF(G367=0,I366,G367),G367)</f>
        <v>0</v>
      </c>
      <c r="J367" s="124" t="n">
        <f aca="false">IF(MONTH($A367)=MONTH($A366),SUM(I367-I366),I367)</f>
        <v>0</v>
      </c>
      <c r="K367" s="124" t="n">
        <f aca="false">IF(WEEKDAY(A367,3)&gt;4,0,(IF(A367&lt;K$2,0,IF(A367&lt;=K$3,1,0))))</f>
        <v>0</v>
      </c>
      <c r="L367" s="124" t="n">
        <f aca="false">J367*K367</f>
        <v>0</v>
      </c>
      <c r="M367" s="124" t="n">
        <f aca="false">SUM(J$280:J367)</f>
        <v>16867</v>
      </c>
      <c r="N367" s="124" t="n">
        <f aca="false">SUM(J$6:J367)</f>
        <v>982326.940417803</v>
      </c>
      <c r="P367" s="124" t="n">
        <f aca="false">D367/P$3</f>
        <v>0</v>
      </c>
      <c r="Q367" s="124" t="n">
        <f aca="false">E367/P$3</f>
        <v>0</v>
      </c>
      <c r="R367" s="124" t="n">
        <f aca="false">F367/R$3</f>
        <v>0</v>
      </c>
      <c r="S367" s="126" t="n">
        <f aca="false">J367/$R$3</f>
        <v>0</v>
      </c>
      <c r="T367" s="126" t="n">
        <f aca="false">L367/$R$3</f>
        <v>0</v>
      </c>
      <c r="U367" s="126" t="n">
        <f aca="false">I367/$R$3</f>
        <v>0</v>
      </c>
      <c r="V367" s="126" t="n">
        <f aca="false">M367/$R$3</f>
        <v>16.867</v>
      </c>
      <c r="W367" s="126" t="n">
        <f aca="false">N367/$R$3</f>
        <v>982.326940417803</v>
      </c>
    </row>
    <row r="368" customFormat="false" ht="12.75" hidden="false" customHeight="false" outlineLevel="0" collapsed="false">
      <c r="A368" s="120" t="n">
        <f aca="false">A367+1</f>
        <v>37254</v>
      </c>
      <c r="B368" s="131" t="str">
        <f aca="false">INDEX('Master Data'!$A$2:$B$8,MATCH(WEEKDAY('EZE Power Trading'!A368,3),'Master Data'!$A$2:$A$8,0),2)</f>
        <v>Sa</v>
      </c>
      <c r="D368" s="124" t="n">
        <v>0</v>
      </c>
      <c r="E368" s="124" t="n">
        <v>0</v>
      </c>
      <c r="F368" s="124" t="n">
        <v>0</v>
      </c>
      <c r="G368" s="124" t="n">
        <v>0</v>
      </c>
      <c r="I368" s="124" t="n">
        <f aca="false">IF(MONTH($A368)=MONTH($A367),IF(G368=0,I367,G368),G368)</f>
        <v>0</v>
      </c>
      <c r="J368" s="124" t="n">
        <f aca="false">IF(MONTH($A368)=MONTH($A367),SUM(I368-I367),I368)</f>
        <v>0</v>
      </c>
      <c r="K368" s="124" t="n">
        <f aca="false">IF(WEEKDAY(A368,3)&gt;4,0,(IF(A368&lt;K$2,0,IF(A368&lt;=K$3,1,0))))</f>
        <v>0</v>
      </c>
      <c r="L368" s="124" t="n">
        <f aca="false">J368*K368</f>
        <v>0</v>
      </c>
      <c r="M368" s="124" t="n">
        <f aca="false">SUM(J$280:J368)</f>
        <v>16867</v>
      </c>
      <c r="N368" s="124" t="n">
        <f aca="false">SUM(J$6:J368)</f>
        <v>982326.940417803</v>
      </c>
      <c r="P368" s="124" t="n">
        <f aca="false">D368/P$3</f>
        <v>0</v>
      </c>
      <c r="Q368" s="124" t="n">
        <f aca="false">E368/P$3</f>
        <v>0</v>
      </c>
      <c r="R368" s="124" t="n">
        <f aca="false">F368/R$3</f>
        <v>0</v>
      </c>
      <c r="S368" s="126" t="n">
        <f aca="false">J368/$R$3</f>
        <v>0</v>
      </c>
      <c r="T368" s="126" t="n">
        <f aca="false">L368/$R$3</f>
        <v>0</v>
      </c>
      <c r="U368" s="126" t="n">
        <f aca="false">I368/$R$3</f>
        <v>0</v>
      </c>
      <c r="V368" s="126" t="n">
        <f aca="false">M368/$R$3</f>
        <v>16.867</v>
      </c>
      <c r="W368" s="126" t="n">
        <f aca="false">N368/$R$3</f>
        <v>982.326940417803</v>
      </c>
    </row>
    <row r="369" customFormat="false" ht="12.75" hidden="false" customHeight="false" outlineLevel="0" collapsed="false">
      <c r="A369" s="120" t="n">
        <f aca="false">A368+1</f>
        <v>37255</v>
      </c>
      <c r="B369" s="131" t="str">
        <f aca="false">INDEX('Master Data'!$A$2:$B$8,MATCH(WEEKDAY('EZE Power Trading'!A369,3),'Master Data'!$A$2:$A$8,0),2)</f>
        <v>Su</v>
      </c>
      <c r="D369" s="124" t="n">
        <v>0</v>
      </c>
      <c r="E369" s="124" t="n">
        <v>0</v>
      </c>
      <c r="F369" s="124" t="n">
        <v>0</v>
      </c>
      <c r="G369" s="124" t="n">
        <v>0</v>
      </c>
      <c r="I369" s="124" t="n">
        <f aca="false">IF(MONTH($A369)=MONTH($A368),IF(G369=0,I368,G369),G369)</f>
        <v>0</v>
      </c>
      <c r="J369" s="124" t="n">
        <f aca="false">IF(MONTH($A369)=MONTH($A368),SUM(I369-I368),I369)</f>
        <v>0</v>
      </c>
      <c r="K369" s="124" t="n">
        <f aca="false">IF(WEEKDAY(A369,3)&gt;4,0,(IF(A369&lt;K$2,0,IF(A369&lt;=K$3,1,0))))</f>
        <v>0</v>
      </c>
      <c r="L369" s="124" t="n">
        <f aca="false">J369*K369</f>
        <v>0</v>
      </c>
      <c r="M369" s="124" t="n">
        <f aca="false">SUM(J$280:J369)</f>
        <v>16867</v>
      </c>
      <c r="N369" s="124" t="n">
        <f aca="false">SUM(J$6:J369)</f>
        <v>982326.940417803</v>
      </c>
      <c r="P369" s="124" t="n">
        <f aca="false">D369/P$3</f>
        <v>0</v>
      </c>
      <c r="Q369" s="124" t="n">
        <f aca="false">E369/P$3</f>
        <v>0</v>
      </c>
      <c r="R369" s="124" t="n">
        <f aca="false">F369/R$3</f>
        <v>0</v>
      </c>
      <c r="S369" s="126" t="n">
        <f aca="false">J369/$R$3</f>
        <v>0</v>
      </c>
      <c r="T369" s="126" t="n">
        <f aca="false">L369/$R$3</f>
        <v>0</v>
      </c>
      <c r="U369" s="126" t="n">
        <f aca="false">I369/$R$3</f>
        <v>0</v>
      </c>
      <c r="V369" s="126" t="n">
        <f aca="false">M369/$R$3</f>
        <v>16.867</v>
      </c>
      <c r="W369" s="126" t="n">
        <f aca="false">N369/$R$3</f>
        <v>982.326940417803</v>
      </c>
    </row>
    <row r="370" customFormat="false" ht="12.75" hidden="false" customHeight="false" outlineLevel="0" collapsed="false">
      <c r="A370" s="120" t="n">
        <f aca="false">A369+1</f>
        <v>37256</v>
      </c>
      <c r="B370" s="131" t="str">
        <f aca="false">INDEX('Master Data'!$A$2:$B$8,MATCH(WEEKDAY('EZE Power Trading'!A370,3),'Master Data'!$A$2:$A$8,0),2)</f>
        <v>M</v>
      </c>
      <c r="D370" s="124" t="n">
        <v>0</v>
      </c>
      <c r="E370" s="124" t="n">
        <v>0</v>
      </c>
      <c r="F370" s="124" t="n">
        <v>0</v>
      </c>
      <c r="G370" s="124" t="n">
        <v>0</v>
      </c>
      <c r="I370" s="124" t="n">
        <f aca="false">IF(MONTH($A370)=MONTH($A369),IF(G370=0,I369,G370),G370)</f>
        <v>0</v>
      </c>
      <c r="J370" s="124" t="n">
        <f aca="false">IF(MONTH($A370)=MONTH($A369),SUM(I370-I369),I370)</f>
        <v>0</v>
      </c>
      <c r="K370" s="124" t="n">
        <f aca="false">IF(WEEKDAY(A370,3)&gt;4,0,(IF(A370&lt;K$2,0,IF(A370&lt;=K$3,1,0))))</f>
        <v>0</v>
      </c>
      <c r="L370" s="124" t="n">
        <f aca="false">J370*K370</f>
        <v>0</v>
      </c>
      <c r="M370" s="124" t="n">
        <f aca="false">SUM(J$280:J370)</f>
        <v>16867</v>
      </c>
      <c r="N370" s="124" t="n">
        <f aca="false">SUM(J$6:J370)</f>
        <v>982326.940417803</v>
      </c>
      <c r="P370" s="124" t="n">
        <f aca="false">D370/P$3</f>
        <v>0</v>
      </c>
      <c r="Q370" s="124" t="n">
        <f aca="false">E370/P$3</f>
        <v>0</v>
      </c>
      <c r="R370" s="124" t="n">
        <f aca="false">F370/R$3</f>
        <v>0</v>
      </c>
      <c r="S370" s="126" t="n">
        <f aca="false">J370/$R$3</f>
        <v>0</v>
      </c>
      <c r="T370" s="126" t="n">
        <f aca="false">L370/$R$3</f>
        <v>0</v>
      </c>
      <c r="U370" s="126" t="n">
        <f aca="false">I370/$R$3</f>
        <v>0</v>
      </c>
      <c r="V370" s="126" t="n">
        <f aca="false">M370/$R$3</f>
        <v>16.867</v>
      </c>
      <c r="W370" s="126" t="n">
        <f aca="false">N370/$R$3</f>
        <v>982.326940417803</v>
      </c>
    </row>
    <row r="371" customFormat="false" ht="12.75" hidden="false" customHeight="false" outlineLevel="0" collapsed="false">
      <c r="A371" s="120" t="n">
        <f aca="false">A370+1</f>
        <v>37257</v>
      </c>
      <c r="B371" s="131" t="str">
        <f aca="false">INDEX('Master Data'!$A$2:$B$8,MATCH(WEEKDAY('EZE Power Trading'!A371,3),'Master Data'!$A$2:$A$8,0),2)</f>
        <v>T</v>
      </c>
      <c r="D371" s="124" t="n">
        <v>0</v>
      </c>
      <c r="E371" s="124" t="n">
        <v>0</v>
      </c>
      <c r="F371" s="124" t="n">
        <v>0</v>
      </c>
      <c r="G371" s="124" t="n">
        <v>0</v>
      </c>
      <c r="I371" s="124" t="n">
        <f aca="false">IF(MONTH($A371)=MONTH($A370),IF(G371=0,I370,G371),G371)</f>
        <v>0</v>
      </c>
      <c r="J371" s="124" t="n">
        <f aca="false">IF(MONTH($A371)=MONTH($A370),SUM(I371-I370),I371)</f>
        <v>0</v>
      </c>
      <c r="K371" s="124" t="n">
        <f aca="false">IF(WEEKDAY(A371,3)&gt;4,0,(IF(A371&lt;K$2,0,IF(A371&lt;=K$3,1,0))))</f>
        <v>0</v>
      </c>
      <c r="L371" s="124" t="n">
        <f aca="false">J371*K371</f>
        <v>0</v>
      </c>
      <c r="M371" s="124" t="n">
        <f aca="false">SUM(J$280:J371)</f>
        <v>16867</v>
      </c>
      <c r="N371" s="124" t="n">
        <f aca="false">SUM(J$6:J371)</f>
        <v>982326.940417803</v>
      </c>
      <c r="P371" s="124" t="n">
        <f aca="false">D371/P$3</f>
        <v>0</v>
      </c>
      <c r="Q371" s="124" t="n">
        <f aca="false">E371/P$3</f>
        <v>0</v>
      </c>
      <c r="R371" s="124" t="n">
        <f aca="false">F371/R$3</f>
        <v>0</v>
      </c>
      <c r="S371" s="126" t="n">
        <f aca="false">J371/$R$3</f>
        <v>0</v>
      </c>
      <c r="T371" s="126" t="n">
        <f aca="false">L371/$R$3</f>
        <v>0</v>
      </c>
      <c r="U371" s="126" t="n">
        <f aca="false">I371/$R$3</f>
        <v>0</v>
      </c>
      <c r="V371" s="126" t="n">
        <f aca="false">M371/$R$3</f>
        <v>16.867</v>
      </c>
      <c r="W371" s="126" t="n">
        <f aca="false">N371/$R$3</f>
        <v>982.326940417803</v>
      </c>
    </row>
    <row r="372" customFormat="false" ht="12.75" hidden="false" customHeight="false" outlineLevel="0" collapsed="false">
      <c r="D372" s="124"/>
      <c r="E372" s="124"/>
      <c r="F372" s="124"/>
      <c r="G372" s="124"/>
    </row>
    <row r="373" customFormat="false" ht="12.75" hidden="false" customHeight="false" outlineLevel="0" collapsed="false">
      <c r="D373" s="124"/>
      <c r="E373" s="124"/>
      <c r="F373" s="124"/>
      <c r="G373" s="124"/>
    </row>
    <row r="374" customFormat="false" ht="12.75" hidden="false" customHeight="false" outlineLevel="0" collapsed="false">
      <c r="D374" s="124"/>
      <c r="E374" s="124"/>
      <c r="F374" s="124"/>
      <c r="G374" s="124"/>
    </row>
    <row r="375" customFormat="false" ht="12.75" hidden="false" customHeight="false" outlineLevel="0" collapsed="false">
      <c r="D375" s="124"/>
      <c r="E375" s="124"/>
      <c r="F375" s="124"/>
      <c r="G375" s="124"/>
    </row>
    <row r="376" customFormat="false" ht="12.75" hidden="false" customHeight="false" outlineLevel="0" collapsed="false">
      <c r="D376" s="124"/>
      <c r="E376" s="124"/>
      <c r="F376" s="124"/>
      <c r="G376" s="124"/>
    </row>
    <row r="377" customFormat="false" ht="12.75" hidden="false" customHeight="false" outlineLevel="0" collapsed="false">
      <c r="D377" s="124"/>
      <c r="E377" s="124"/>
      <c r="F377" s="124"/>
      <c r="G377" s="124"/>
    </row>
    <row r="378" customFormat="false" ht="12.75" hidden="false" customHeight="false" outlineLevel="0" collapsed="false">
      <c r="D378" s="124"/>
      <c r="E378" s="124"/>
      <c r="F378" s="124"/>
      <c r="G378" s="124"/>
    </row>
    <row r="379" customFormat="false" ht="12.75" hidden="false" customHeight="false" outlineLevel="0" collapsed="false">
      <c r="D379" s="124"/>
      <c r="E379" s="124"/>
      <c r="F379" s="124"/>
      <c r="G379" s="124"/>
    </row>
    <row r="380" customFormat="false" ht="12.75" hidden="false" customHeight="false" outlineLevel="0" collapsed="false">
      <c r="D380" s="124"/>
      <c r="E380" s="124"/>
      <c r="F380" s="124"/>
      <c r="G380" s="124"/>
    </row>
    <row r="381" customFormat="false" ht="12.75" hidden="false" customHeight="false" outlineLevel="0" collapsed="false">
      <c r="D381" s="124"/>
      <c r="E381" s="124"/>
      <c r="F381" s="124"/>
      <c r="G381" s="124"/>
    </row>
    <row r="382" customFormat="false" ht="12.75" hidden="false" customHeight="false" outlineLevel="0" collapsed="false">
      <c r="D382" s="124"/>
      <c r="E382" s="124"/>
      <c r="F382" s="124"/>
      <c r="G382" s="124"/>
    </row>
    <row r="383" customFormat="false" ht="12.75" hidden="false" customHeight="false" outlineLevel="0" collapsed="false">
      <c r="D383" s="124"/>
      <c r="E383" s="124"/>
      <c r="F383" s="124"/>
      <c r="G383" s="124"/>
    </row>
    <row r="384" customFormat="false" ht="12.75" hidden="false" customHeight="false" outlineLevel="0" collapsed="false">
      <c r="D384" s="124"/>
      <c r="E384" s="124"/>
      <c r="F384" s="124"/>
      <c r="G384" s="124"/>
    </row>
    <row r="385" customFormat="false" ht="12.75" hidden="false" customHeight="false" outlineLevel="0" collapsed="false">
      <c r="D385" s="124"/>
      <c r="E385" s="124"/>
      <c r="F385" s="124"/>
      <c r="G385" s="124"/>
    </row>
    <row r="386" customFormat="false" ht="12.75" hidden="false" customHeight="false" outlineLevel="0" collapsed="false">
      <c r="D386" s="124"/>
      <c r="E386" s="124"/>
      <c r="F386" s="124"/>
      <c r="G386" s="124"/>
    </row>
    <row r="387" customFormat="false" ht="12.75" hidden="false" customHeight="false" outlineLevel="0" collapsed="false">
      <c r="D387" s="124"/>
      <c r="E387" s="124"/>
      <c r="F387" s="124"/>
      <c r="G387" s="124"/>
    </row>
    <row r="388" customFormat="false" ht="12.75" hidden="false" customHeight="false" outlineLevel="0" collapsed="false">
      <c r="D388" s="124"/>
      <c r="E388" s="124"/>
      <c r="F388" s="124"/>
      <c r="G388" s="124"/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2000-04-06T15:28:31Z</dcterms:created>
  <dc:creator>mbenien</dc:creator>
  <dc:description>- Oracle 8i ODBC QueryFix Applied</dc:description>
  <dc:language>en-US</dc:language>
  <cp:lastModifiedBy>msteven</cp:lastModifiedBy>
  <cp:lastPrinted>2001-11-02T14:51:54Z</cp:lastPrinted>
  <dcterms:modified xsi:type="dcterms:W3CDTF">2001-11-02T14:51:55Z</dcterms:modified>
  <cp:revision>0</cp:revision>
  <dc:subject/>
  <dc:title/>
</cp:coreProperties>
</file>